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tables/table12.xml" ContentType="application/vnd.openxmlformats-officedocument.spreadsheetml.table+xml"/>
  <Override PartName="/xl/drawings/drawing3.xml" ContentType="application/vnd.openxmlformats-officedocument.drawing+xml"/>
  <Override PartName="/xl/tables/table13.xml" ContentType="application/vnd.openxmlformats-officedocument.spreadsheetml.table+xml"/>
  <Override PartName="/xl/drawings/drawing4.xml" ContentType="application/vnd.openxmlformats-officedocument.drawing+xml"/>
  <Override PartName="/xl/tables/table14.xml" ContentType="application/vnd.openxmlformats-officedocument.spreadsheetml.table+xml"/>
  <Override PartName="/xl/drawings/drawing5.xml" ContentType="application/vnd.openxmlformats-officedocument.drawing+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E:\Binaa\Project\2025\181\Dashboard\data\raw\"/>
    </mc:Choice>
  </mc:AlternateContent>
  <xr:revisionPtr revIDLastSave="0" documentId="13_ncr:1_{A530AC96-10FC-4C53-9BCE-B5BFCE7AE027}" xr6:coauthVersionLast="47" xr6:coauthVersionMax="47" xr10:uidLastSave="{00000000-0000-0000-0000-000000000000}"/>
  <bookViews>
    <workbookView xWindow="-120" yWindow="-120" windowWidth="29040" windowHeight="15720" firstSheet="3" activeTab="4" xr2:uid="{C056AB5A-84E6-42C4-9AFD-4293C6C6F1E6}"/>
  </bookViews>
  <sheets>
    <sheet name="BOQs" sheetId="10" state="hidden" r:id="rId1"/>
    <sheet name="Contractors" sheetId="16" state="hidden" r:id="rId2"/>
    <sheet name="List" sheetId="8" state="hidden" r:id="rId3"/>
    <sheet name="181-UNDP Houses Rehab Applic" sheetId="87" r:id="rId4"/>
    <sheet name="rehab_sub_rep" sheetId="89" r:id="rId5"/>
    <sheet name="rehab_main_rep" sheetId="88" state="hidden" r:id="rId6"/>
    <sheet name="🧱 تقييم المنازل" sheetId="82" r:id="rId7"/>
    <sheet name="🏠 معلومات المستفيدين" sheetId="81" r:id="rId8"/>
    <sheet name="💰 التكاليف والكميات التقديرية" sheetId="12" r:id="rId9"/>
    <sheet name="🚧 التنفيذ والمتابعة" sheetId="86" r:id="rId10"/>
    <sheet name="📊 Analysis" sheetId="32" r:id="rId11"/>
  </sheets>
  <definedNames>
    <definedName name="\a">#REF!</definedName>
    <definedName name="\AA">#REF!</definedName>
    <definedName name="\AH">#REF!</definedName>
    <definedName name="\b">#REF!</definedName>
    <definedName name="\f">#REF!</definedName>
    <definedName name="\FO">#REF!</definedName>
    <definedName name="\MS">#REF!</definedName>
    <definedName name="\n">#REF!</definedName>
    <definedName name="\o">#REF!</definedName>
    <definedName name="\p">#REF!</definedName>
    <definedName name="\q">#REF!</definedName>
    <definedName name="\r">#REF!</definedName>
    <definedName name="\RK">#REF!</definedName>
    <definedName name="\s">#REF!</definedName>
    <definedName name="\SM">#REF!</definedName>
    <definedName name="\SO">#REF!</definedName>
    <definedName name="\TOT">#REF!</definedName>
    <definedName name="\v">#REF!</definedName>
    <definedName name="\z">#REF!</definedName>
    <definedName name="\ZD">#REF!</definedName>
    <definedName name="____pa2">#REF!</definedName>
    <definedName name="___1__123Graph_ACHART_2" hidden="1">#REF!</definedName>
    <definedName name="___2__123Graph_BCHART_2" hidden="1">#REF!</definedName>
    <definedName name="___LLT1">#REF!</definedName>
    <definedName name="___LLT10">#REF!</definedName>
    <definedName name="___LLT11">#REF!</definedName>
    <definedName name="___LLT12">#REF!</definedName>
    <definedName name="___LLT2">#REF!</definedName>
    <definedName name="___LLT3">#REF!</definedName>
    <definedName name="___LLT4">#REF!</definedName>
    <definedName name="___LLT5">#REF!</definedName>
    <definedName name="___LLT6">#REF!</definedName>
    <definedName name="___LLT7">#REF!</definedName>
    <definedName name="___LLT8">#REF!</definedName>
    <definedName name="___LLT9">#REF!</definedName>
    <definedName name="___LST1">#REF!</definedName>
    <definedName name="___LST2">#REF!</definedName>
    <definedName name="___LST3">#REF!</definedName>
    <definedName name="___LST4">#REF!</definedName>
    <definedName name="___LST5">#REF!</definedName>
    <definedName name="___LT1">#REF!</definedName>
    <definedName name="___LT2">#REF!</definedName>
    <definedName name="___LT3">#REF!</definedName>
    <definedName name="___LT4">#REF!</definedName>
    <definedName name="___pa2">#REF!</definedName>
    <definedName name="___STX1">#REF!</definedName>
    <definedName name="___STX2">#REF!</definedName>
    <definedName name="___STX3">#REF!</definedName>
    <definedName name="___STX4">#REF!</definedName>
    <definedName name="___STX5">#REF!</definedName>
    <definedName name="___tot67000">#REF!</definedName>
    <definedName name="__1__123Graph_ACHART_2" hidden="1">#REF!</definedName>
    <definedName name="__2__123Graph_BCHART_2" hidden="1">#REF!</definedName>
    <definedName name="__Dat1">#REF!</definedName>
    <definedName name="__LLT1">#REF!</definedName>
    <definedName name="__LLT10">#REF!</definedName>
    <definedName name="__LLT11">#REF!</definedName>
    <definedName name="__LLT12">#REF!</definedName>
    <definedName name="__LLT2">#REF!</definedName>
    <definedName name="__LLT3">#REF!</definedName>
    <definedName name="__LLT4">#REF!</definedName>
    <definedName name="__LLT5">#REF!</definedName>
    <definedName name="__LLT6">#REF!</definedName>
    <definedName name="__LLT7">#REF!</definedName>
    <definedName name="__LLT8">#REF!</definedName>
    <definedName name="__LLT9">#REF!</definedName>
    <definedName name="__LST1">#REF!</definedName>
    <definedName name="__LST2">#REF!</definedName>
    <definedName name="__LST3">#REF!</definedName>
    <definedName name="__LST4">#REF!</definedName>
    <definedName name="__LST5">#REF!</definedName>
    <definedName name="__LT1">#REF!</definedName>
    <definedName name="__LT2">#REF!</definedName>
    <definedName name="__LT3">#REF!</definedName>
    <definedName name="__LT4">#REF!</definedName>
    <definedName name="__ob1">#REF!</definedName>
    <definedName name="__ob2">#REF!</definedName>
    <definedName name="__ob234">#REF!</definedName>
    <definedName name="__pa2">#REF!</definedName>
    <definedName name="__STX1">#REF!</definedName>
    <definedName name="__STX2">#REF!</definedName>
    <definedName name="__STX3">#REF!</definedName>
    <definedName name="__STX4">#REF!</definedName>
    <definedName name="__STX5">#REF!</definedName>
    <definedName name="__tot67000">#REF!</definedName>
    <definedName name="__xlnm.Print_Area">#REF!</definedName>
    <definedName name="_1__123Graph_ACHART_2" hidden="1">#REF!</definedName>
    <definedName name="_2__123Graph_BCHART_2" hidden="1">#REF!</definedName>
    <definedName name="_BQ4.2" localSheetId="1" hidden="1">#REF!</definedName>
    <definedName name="_BQ4.2" hidden="1">#REF!</definedName>
    <definedName name="_Dat1">#REF!</definedName>
    <definedName name="_ff">#REF!</definedName>
    <definedName name="_Key1">#REF!</definedName>
    <definedName name="_key2" hidden="1">#REF!</definedName>
    <definedName name="_LLT1">#REF!</definedName>
    <definedName name="_LLT10">#REF!</definedName>
    <definedName name="_LLT11">#REF!</definedName>
    <definedName name="_LLT12">#REF!</definedName>
    <definedName name="_LLT2">#REF!</definedName>
    <definedName name="_LLT3">#REF!</definedName>
    <definedName name="_LLT4">#REF!</definedName>
    <definedName name="_LLT5">#REF!</definedName>
    <definedName name="_LLT6">#REF!</definedName>
    <definedName name="_LLT7">#REF!</definedName>
    <definedName name="_LLT8">#REF!</definedName>
    <definedName name="_LLT9">#REF!</definedName>
    <definedName name="_LST1">#REF!</definedName>
    <definedName name="_LST2">#REF!</definedName>
    <definedName name="_LST3">#REF!</definedName>
    <definedName name="_LST4">#REF!</definedName>
    <definedName name="_LST5">#REF!</definedName>
    <definedName name="_LT1">#REF!</definedName>
    <definedName name="_LT2">#REF!</definedName>
    <definedName name="_LT3">#REF!</definedName>
    <definedName name="_LT4">#REF!</definedName>
    <definedName name="_ob1">#REF!</definedName>
    <definedName name="_ob2">#REF!</definedName>
    <definedName name="_ob234">#REF!</definedName>
    <definedName name="_Order1" hidden="1">255</definedName>
    <definedName name="_Order2" hidden="1">255</definedName>
    <definedName name="_pa2">#REF!</definedName>
    <definedName name="_pa3">#REF!</definedName>
    <definedName name="_pa4">#REF!</definedName>
    <definedName name="_Regression_Out" hidden="1">#REF!</definedName>
    <definedName name="_Regression_X" hidden="1">#REF!</definedName>
    <definedName name="_Regression_Y" hidden="1">#REF!</definedName>
    <definedName name="_Sort">#REF!</definedName>
    <definedName name="_sort1" hidden="1">#REF!</definedName>
    <definedName name="_STX1">#REF!</definedName>
    <definedName name="_STX2">#REF!</definedName>
    <definedName name="_STX3">#REF!</definedName>
    <definedName name="_STX4">#REF!</definedName>
    <definedName name="_STX5">#REF!</definedName>
    <definedName name="_tot67000">#REF!</definedName>
    <definedName name="_YR1">#REF!</definedName>
    <definedName name="_YR2">#REF!</definedName>
    <definedName name="AAA">#REF!</definedName>
    <definedName name="AB" comment="Linie budżetowe">#REF!</definedName>
    <definedName name="account_code">#REF!</definedName>
    <definedName name="account_description">#REF!</definedName>
    <definedName name="ACDI">#REF!</definedName>
    <definedName name="ACF">#REF!</definedName>
    <definedName name="Activities">#REF!</definedName>
    <definedName name="ActivityStartHRP">#REF!</definedName>
    <definedName name="actu_dfid_funding">#REF!</definedName>
    <definedName name="actu_grand_total">#REF!</definedName>
    <definedName name="actu_type">#REF!</definedName>
    <definedName name="Admin">#REF!</definedName>
    <definedName name="admin1" localSheetId="1">#REF!</definedName>
    <definedName name="admin1">#REF!</definedName>
    <definedName name="adminav">#REF!</definedName>
    <definedName name="adminfee">#REF!</definedName>
    <definedName name="AG32_echoratio">#REF!</definedName>
    <definedName name="AI">#REF!</definedName>
    <definedName name="AK10_echoratio">#REF!</definedName>
    <definedName name="AK11_echoratio">#REF!</definedName>
    <definedName name="AK27_echoratio">#REF!</definedName>
    <definedName name="AK4_echoratio">#REF!</definedName>
    <definedName name="AK9_echoratio">#REF!</definedName>
    <definedName name="AL3OCHA3">#REF!</definedName>
    <definedName name="Alaa">#REF!</definedName>
    <definedName name="all">#REF!</definedName>
    <definedName name="AllActivityHRP">#REF!</definedName>
    <definedName name="AllObjective">#REF!</definedName>
    <definedName name="amendment" localSheetId="1">#REF!</definedName>
    <definedName name="amendment">#REF!</definedName>
    <definedName name="annual_increase">#REF!</definedName>
    <definedName name="ANWash2">#REF!</definedName>
    <definedName name="asf">#REF!</definedName>
    <definedName name="ATREB">#REF!</definedName>
    <definedName name="AvailabilityOfItems" hidden="1">#REF!</definedName>
    <definedName name="b">#REF!:OFFSET(#REF!,COUNTA(#REF!)-2,0)</definedName>
    <definedName name="Band1">#REF!</definedName>
    <definedName name="Band2">#REF!</definedName>
    <definedName name="Band3">#REF!</definedName>
    <definedName name="Band4">#REF!</definedName>
    <definedName name="bbbbbbbbbbbbbbbbbbbbbbbbbbbbb">#REF!</definedName>
    <definedName name="bbbbbuhyg" hidden="1">#REF!</definedName>
    <definedName name="beneficiary_type">#REF!</definedName>
    <definedName name="BillingSchedule">#REF!</definedName>
    <definedName name="BK">OFFSET(#REF!,0,0,COUNTA(#REF!),1)</definedName>
    <definedName name="BoQ">#REF!</definedName>
    <definedName name="budget">#REF!</definedName>
    <definedName name="budget_code">#REF!</definedName>
    <definedName name="budget_description">#REF!</definedName>
    <definedName name="Budget_years">#REF!</definedName>
    <definedName name="BudgetUSDwithCAM">#REF!</definedName>
    <definedName name="budzet">#REF!:OFFSET(#REF!,COUNTA(#REF!)-2,0)</definedName>
    <definedName name="budzet_kod">#REF!:OFFSET(#REF!,COUNTA(#REF!)-2,0)</definedName>
    <definedName name="budzet_nazwa">#REF!:OFFSET(#REF!,COUNTA(#REF!)-2,0)</definedName>
    <definedName name="CadreExperience" hidden="1">#REF!</definedName>
    <definedName name="CadreNumber" hidden="1">#REF!</definedName>
    <definedName name="CadreSkills" hidden="1">#REF!</definedName>
    <definedName name="CadreTraining" hidden="1">#REF!</definedName>
    <definedName name="CAM">#REF!</definedName>
    <definedName name="CAMBUDGET">#REF!</definedName>
    <definedName name="Camp">#REF!</definedName>
    <definedName name="camp_column">#REF!</definedName>
    <definedName name="Camp_DD_Admin4">#REF!</definedName>
    <definedName name="Camp_DD_BR">#REF!</definedName>
    <definedName name="Camp_Nahiya_Code">#REF!</definedName>
    <definedName name="Camp_NahyaStart">#REF!</definedName>
    <definedName name="camp_start">#REF!</definedName>
    <definedName name="CampColumn" localSheetId="1">#REF!</definedName>
    <definedName name="CampColumn">#REF!</definedName>
    <definedName name="Camps">OFFSET(#REF!,MATCH(#REF!,#REF!,0),0,COUNTIF(#REF!,#REF!),1)</definedName>
    <definedName name="CampStart" localSheetId="1">#REF!</definedName>
    <definedName name="CampStart">#REF!</definedName>
    <definedName name="Categories">#REF!</definedName>
    <definedName name="CHART">#REF!</definedName>
    <definedName name="Chart_of_accounts">#REF!</definedName>
    <definedName name="Checked" hidden="1">#REF!</definedName>
    <definedName name="CheckMark">"√"</definedName>
    <definedName name="chfusd_BA3">#REF!</definedName>
    <definedName name="City">#REF!</definedName>
    <definedName name="Client">#REF!</definedName>
    <definedName name="Clusters" localSheetId="1">#REF!</definedName>
    <definedName name="Clusters">#REF!</definedName>
    <definedName name="coa">#REF!</definedName>
    <definedName name="codes">#REF!</definedName>
    <definedName name="ColDist" localSheetId="1">#REF!</definedName>
    <definedName name="ColDist">#REF!</definedName>
    <definedName name="Collective_centers">OFFSET(#REF!,MATCH(#REF!,#REF!,0),0,COUNTIF(#REF!,#REF!),1)</definedName>
    <definedName name="ColProv" localSheetId="1">#REF!</definedName>
    <definedName name="ColProv">#REF!</definedName>
    <definedName name="Comm_name">#REF!</definedName>
    <definedName name="Commune" localSheetId="1">OFFSET(DebDist,MATCH(#REF!,Contractors!ColDist,0)-1,2,COUNTIF(Contractors!ColDist,#REF!),1)</definedName>
    <definedName name="Commune">OFFSET(DebDist,MATCH(#REF!,ColDist,0)-1,2,COUNTIF(ColDist,#REF!),1)</definedName>
    <definedName name="Community_Neighbourhood_n">#REF!</definedName>
    <definedName name="Community_Pcode" localSheetId="1">#REF!</definedName>
    <definedName name="Community_Pcode">#REF!</definedName>
    <definedName name="Community_Start" localSheetId="1">#REF!</definedName>
    <definedName name="Community_Start">#REF!</definedName>
    <definedName name="Completed">#REF!</definedName>
    <definedName name="Components">#REF!</definedName>
    <definedName name="ConditionList" hidden="1">#REF!</definedName>
    <definedName name="ConditionList_2" hidden="1">#REF!</definedName>
    <definedName name="ConditionListSpecial" hidden="1">#REF!</definedName>
    <definedName name="consamt">#REF!</definedName>
    <definedName name="conscodes">#REF!</definedName>
    <definedName name="copav">#REF!</definedName>
    <definedName name="copy_again">#REF!</definedName>
    <definedName name="copy_area">#REF!</definedName>
    <definedName name="copyr1">#REF!</definedName>
    <definedName name="copyr2">#REF!</definedName>
    <definedName name="copyr3">#REF!</definedName>
    <definedName name="Cost_Category2">#REF!</definedName>
    <definedName name="cost_type">#REF!</definedName>
    <definedName name="Country">#REF!</definedName>
    <definedName name="CredibilityWeight_Design" hidden="1">#REF!</definedName>
    <definedName name="CredibilityWeight_OM" hidden="1">#REF!</definedName>
    <definedName name="_xlnm.Criteria">#REF!</definedName>
    <definedName name="csdert">#REF!</definedName>
    <definedName name="Ctype">#REF!</definedName>
    <definedName name="CurA">#REF!</definedName>
    <definedName name="CurB">#REF!</definedName>
    <definedName name="CurC">#REF!</definedName>
    <definedName name="curr">#REF!</definedName>
    <definedName name="currency">#REF!</definedName>
    <definedName name="dane">#REF!</definedName>
    <definedName name="DANGER">#REF!</definedName>
    <definedName name="dangerpay">#REF!</definedName>
    <definedName name="DATA">#REF!</definedName>
    <definedName name="DATA1" localSheetId="1">#REF!</definedName>
    <definedName name="DATA1">#REF!</definedName>
    <definedName name="DATA2">#REF!</definedName>
    <definedName name="DataCum">#REF!</definedName>
    <definedName name="DataJuly">#REF!</definedName>
    <definedName name="DataJune">#REF!</definedName>
    <definedName name="DataMay">#REF!</definedName>
    <definedName name="date_submitted">#REF!</definedName>
    <definedName name="Date1">#REF!</definedName>
    <definedName name="Date2">#REF!</definedName>
    <definedName name="day">#REF!</definedName>
    <definedName name="DBA">#REF!</definedName>
    <definedName name="DCLODG">#REF!</definedName>
    <definedName name="DCMIE">#REF!</definedName>
    <definedName name="dcode">#REF!</definedName>
    <definedName name="DCPD">#REF!</definedName>
    <definedName name="DebDist">#REF!</definedName>
    <definedName name="DebProv">#REF!</definedName>
    <definedName name="Deliverables">#REF!</definedName>
    <definedName name="DEP">#REF!</definedName>
    <definedName name="department">#REF!</definedName>
    <definedName name="DFATD_Codes">#REF!</definedName>
    <definedName name="Disease_components">#REF!</definedName>
    <definedName name="DiseaseComponent">#REF!</definedName>
    <definedName name="Distance" hidden="1">#REF!</definedName>
    <definedName name="District" localSheetId="1">OFFSET(DebProv,MATCH(#REF!,Contractors!ColProv,0)-1,2,COUNTIF(Contractors!ColProv,#REF!),1)</definedName>
    <definedName name="District">OFFSET(DebProv,MATCH(#REF!,ColProv,0)-1,2,COUNTIF(ColProv,#REF!),1)</definedName>
    <definedName name="District_Pcode" localSheetId="1">#REF!</definedName>
    <definedName name="District_Pcode">#REF!</definedName>
    <definedName name="District_Start" localSheetId="1">#REF!</definedName>
    <definedName name="District_Start">#REF!</definedName>
    <definedName name="Districts_n">#REF!</definedName>
    <definedName name="DistStart">#REF!</definedName>
    <definedName name="DME_BeforeCloseCompleted_NRC_20579_2_.xls" hidden="1">"False"</definedName>
    <definedName name="DME_BeforeCloseCompleted_NRC_58752_4_.xls" hidden="1">"False"</definedName>
    <definedName name="DME_Dirty" hidden="1">"True"</definedName>
    <definedName name="DME_Dirty_NRC_20579_2_.xls" hidden="1">"True"</definedName>
    <definedName name="DME_Dirty_NRC_58752_4_.xls" hidden="1">"True"</definedName>
    <definedName name="DME_DocumentFlags" hidden="1">"1"</definedName>
    <definedName name="DME_DocumentFlags_NRC_20579_2_.xls" hidden="1">"1"</definedName>
    <definedName name="DME_DocumentFlags_NRC_58752_4_.xls" hidden="1">"1"</definedName>
    <definedName name="DME_DocumentID" hidden="1">"::ODMA\DME-MSE\NRC-58752"</definedName>
    <definedName name="DME_DocumentID_NRC_20579_2_.xls" hidden="1">"::ODMA\DME-MSE\NRC-20579"</definedName>
    <definedName name="DME_DocumentID_NRC_58752_4_.xls" hidden="1">"::ODMA\DME-MSE\NRC-58752"</definedName>
    <definedName name="DME_DocumentOpened" hidden="1">"True"</definedName>
    <definedName name="DME_DocumentOpened_NRC_20579_2_.xls" hidden="1">"True"</definedName>
    <definedName name="DME_DocumentOpened_NRC_58752_4_.xls" hidden="1">"True"</definedName>
    <definedName name="DME_DocumentTitle" hidden="1">"NRC-58752 - P-info Budgeting Template ECHO"</definedName>
    <definedName name="DME_DocumentTitle_NRC_20579_2_.xls" hidden="1">"NRC-20579 - P-info Budgeting Template"</definedName>
    <definedName name="DME_DocumentTitle_NRC_58752_4_.xls" hidden="1">"NRC-58752 - P-info Budgeting Template ECHO"</definedName>
    <definedName name="DME_LocalFile" hidden="1">"False"</definedName>
    <definedName name="DME_LocalFile_NRC_20579_2_.xls" hidden="1">"False"</definedName>
    <definedName name="DME_LocalFile_NRC_58752_4_.xls" hidden="1">"False"</definedName>
    <definedName name="DME_NextWindowNumber" hidden="1">"2"</definedName>
    <definedName name="DME_NextWindowNumber_NRC_20579_2_.xls" hidden="1">"2"</definedName>
    <definedName name="DME_NextWindowNumber_NRC_58752_4_.xls" hidden="1">"2"</definedName>
    <definedName name="DMEHoms" hidden="1">"Falsch"</definedName>
    <definedName name="DollarLC">#REF!</definedName>
    <definedName name="Donorcurrency">#REF!</definedName>
    <definedName name="Donorreq">#REF!</definedName>
    <definedName name="DonorTypes">#REF!</definedName>
    <definedName name="dostawcy_kod">#REF!</definedName>
    <definedName name="dostawcy_tabela">#REF!</definedName>
    <definedName name="dostawcy_tekst">#REF!</definedName>
    <definedName name="dostawcy1">#REF!:OFFSET(#REF!,COUNTA(#REF!)-2,0)</definedName>
    <definedName name="dostawcy2">#REF!:OFFSET(#REF!,COUNTA(#REF!)-2,0)</definedName>
    <definedName name="dpt">#REF!</definedName>
    <definedName name="druk">#REF!</definedName>
    <definedName name="Duration_S1">#REF!</definedName>
    <definedName name="dw">#REF!</definedName>
    <definedName name="E24_ratio">#REF!</definedName>
    <definedName name="E27_ratiofb">#REF!</definedName>
    <definedName name="E32_ratio">#REF!</definedName>
    <definedName name="ECHO">#REF!</definedName>
    <definedName name="eduallowance.expat1">#REF!</definedName>
    <definedName name="eduallowance.expat2">#REF!</definedName>
    <definedName name="eduallowance.expat3">#REF!</definedName>
    <definedName name="eduallowance.expat4">#REF!</definedName>
    <definedName name="EES">#REF!</definedName>
    <definedName name="eur_chf_BC3">#REF!</definedName>
    <definedName name="euros">#REF!</definedName>
    <definedName name="EV__LASTREFTIME__" hidden="1">39622.6580902778</definedName>
    <definedName name="EV__LASTREFTIME___1" hidden="1">39696.5797569444</definedName>
    <definedName name="Exchange">#REF!</definedName>
    <definedName name="ExchangeRate">#REF!</definedName>
    <definedName name="expatsttadays">#REF!</definedName>
    <definedName name="EXPORT_AREA">#REF!</definedName>
    <definedName name="exrate">#REF!</definedName>
    <definedName name="ExternalData_1" localSheetId="3" hidden="1">'181-UNDP Houses Rehab Applic'!$A$1:$DP$80</definedName>
    <definedName name="ExternalData_2" localSheetId="5" hidden="1">'rehab_main_rep'!$A$1:$D$362</definedName>
    <definedName name="ExternalData_3" localSheetId="4" hidden="1">'rehab_sub_rep'!$A$1:$L$1283</definedName>
    <definedName name="FDRs">#REF!</definedName>
    <definedName name="fee">#REF!</definedName>
    <definedName name="field_fringe">#REF!</definedName>
    <definedName name="FieldLab" hidden="1">#REF!</definedName>
    <definedName name="fin">#REF!</definedName>
    <definedName name="FirstGov">#REF!</definedName>
    <definedName name="Five">#REF!</definedName>
    <definedName name="FOCA">#REF!</definedName>
    <definedName name="ForeignTransferAllowance">#REF!</definedName>
    <definedName name="funded_by_dfid">#REF!</definedName>
    <definedName name="g_a">#REF!</definedName>
    <definedName name="GandA">#REF!</definedName>
    <definedName name="gandamult">#REF!</definedName>
    <definedName name="GBP">#REF!</definedName>
    <definedName name="gender" localSheetId="1">#REF!</definedName>
    <definedName name="gender">#REF!</definedName>
    <definedName name="GOV">#REF!</definedName>
    <definedName name="GovCol">#REF!</definedName>
    <definedName name="GOVE">#REF!</definedName>
    <definedName name="Governorate_Communities_n">#REF!</definedName>
    <definedName name="Governorate_n">#REF!</definedName>
    <definedName name="Governorate_Pcode">#REF!</definedName>
    <definedName name="Governorate_Start">#REF!</definedName>
    <definedName name="Governorates">#REF!</definedName>
    <definedName name="Grade1" localSheetId="1">#REF!</definedName>
    <definedName name="Grade1">#REF!</definedName>
    <definedName name="Grade2" localSheetId="1">#REF!</definedName>
    <definedName name="Grade2">#REF!</definedName>
    <definedName name="Grade3" localSheetId="1">#REF!</definedName>
    <definedName name="Grade3">#REF!</definedName>
    <definedName name="Grade4" localSheetId="1">#REF!</definedName>
    <definedName name="Grade4">#REF!</definedName>
    <definedName name="Grade5" localSheetId="1">#REF!</definedName>
    <definedName name="Grade5">#REF!</definedName>
    <definedName name="Grade6" localSheetId="1">#REF!</definedName>
    <definedName name="Grade6">#REF!</definedName>
    <definedName name="Grade7" localSheetId="1">#REF!</definedName>
    <definedName name="Grade7">#REF!</definedName>
    <definedName name="Grade8" localSheetId="1">#REF!</definedName>
    <definedName name="Grade8">#REF!</definedName>
    <definedName name="Grade9" localSheetId="1">#REF!</definedName>
    <definedName name="Grade9">#REF!</definedName>
    <definedName name="Grantcycle">#REF!</definedName>
    <definedName name="Gross">#REF!</definedName>
    <definedName name="GRP">#REF!</definedName>
    <definedName name="HARD">#REF!</definedName>
    <definedName name="hbkbhjvv" hidden="1">#REF!</definedName>
    <definedName name="HEADDAYA3">#REF!,#REF!,#REF!,#REF!,#REF!,#REF!,#REF!,#REF!,#REF!,#REF!,#REF!,#REF!,#REF!</definedName>
    <definedName name="HEADDAYA4">#REF!,#REF!,#REF!,#REF!,#REF!,#REF!,#REF!,#REF!,#REF!,#REF!,#REF!,#REF!,#REF!,#REF!,#REF!,#REF!,#REF!</definedName>
    <definedName name="heading">#N/A</definedName>
    <definedName name="HEADWEEKA3">#REF!,#REF!,#REF!,#REF!,#REF!,#REF!,#REF!,#REF!,#REF!,#REF!,#REF!,#REF!</definedName>
    <definedName name="HEADWEEKA4">#REF!,#REF!,#REF!,#REF!,#REF!,#REF!,#REF!,#REF!,#REF!,#REF!,#REF!,#REF!</definedName>
    <definedName name="HISTORY">#REF!</definedName>
    <definedName name="HIV">#REF!</definedName>
    <definedName name="HIV_AIDS">#REF!</definedName>
    <definedName name="HQ1_">#REF!</definedName>
    <definedName name="HQ1PMY1">#REF!</definedName>
    <definedName name="HQ1PMY2">#REF!</definedName>
    <definedName name="HQ1PMY3">#REF!</definedName>
    <definedName name="HQ1PMY4">#REF!</definedName>
    <definedName name="HQ1PMY5">#REF!</definedName>
    <definedName name="HQ2_">#REF!</definedName>
    <definedName name="HQ2PMY1">#REF!</definedName>
    <definedName name="HQ2PMY2">#REF!</definedName>
    <definedName name="HQ2PMY3">#REF!</definedName>
    <definedName name="HQ2PMY4">#REF!</definedName>
    <definedName name="HQ2PMY5">#REF!</definedName>
    <definedName name="HQ3_">#REF!</definedName>
    <definedName name="HQ3PMY1">#REF!</definedName>
    <definedName name="HQ3PMY2">#REF!</definedName>
    <definedName name="HQ3PMY3">#REF!</definedName>
    <definedName name="HQ3PMY4">#REF!</definedName>
    <definedName name="HQ3PMY5">#REF!</definedName>
    <definedName name="HQ4_">#REF!</definedName>
    <definedName name="HQ4PMY1">#REF!</definedName>
    <definedName name="HQ4PMY2">#REF!</definedName>
    <definedName name="HQ4PMY3">#REF!</definedName>
    <definedName name="HQ4PMY4">#REF!</definedName>
    <definedName name="HQ4PMY5">#REF!</definedName>
    <definedName name="HQ5_">#REF!</definedName>
    <definedName name="HQ5PMY1">#REF!</definedName>
    <definedName name="HQ5PMY2">#REF!</definedName>
    <definedName name="HQ5PMY3">#REF!</definedName>
    <definedName name="HQ5PMY4">#REF!</definedName>
    <definedName name="HQ5PMY5">#REF!</definedName>
    <definedName name="HQ6_">#REF!</definedName>
    <definedName name="HQ6PMY1">#REF!</definedName>
    <definedName name="HQ6PMY2">#REF!</definedName>
    <definedName name="HQ6PMY3">#REF!</definedName>
    <definedName name="HQ6PMY4">#REF!</definedName>
    <definedName name="HQ6PMY5">#REF!</definedName>
    <definedName name="HQ7_">#REF!</definedName>
    <definedName name="HQ7PMY1">#REF!</definedName>
    <definedName name="HQ7PMY2">#REF!</definedName>
    <definedName name="HQ7PMY3">#REF!</definedName>
    <definedName name="HQ7PMY4">#REF!</definedName>
    <definedName name="HQ7PMY5">#REF!</definedName>
    <definedName name="HQ8_">#REF!</definedName>
    <definedName name="HQ8PMY1">#REF!</definedName>
    <definedName name="HQ8PMY2">#REF!</definedName>
    <definedName name="HQ8PMY3">#REF!</definedName>
    <definedName name="HQ8PMY4">#REF!</definedName>
    <definedName name="HQ8PMY5">#REF!</definedName>
    <definedName name="HQINTFR">#REF!</definedName>
    <definedName name="HQLODGAY1">#REF!</definedName>
    <definedName name="HQLODGAY2">#REF!</definedName>
    <definedName name="HQLODGAY3">#REF!</definedName>
    <definedName name="HQLODGAY4">#REF!</definedName>
    <definedName name="HQLODGAY5">#REF!</definedName>
    <definedName name="HQLODGCY1">#REF!</definedName>
    <definedName name="HQLODGCY2">#REF!</definedName>
    <definedName name="HQLODGCY3">#REF!</definedName>
    <definedName name="HQLODGCY4">#REF!</definedName>
    <definedName name="HQLODGCY5">#REF!</definedName>
    <definedName name="HQLODGDY1">#REF!</definedName>
    <definedName name="HQLODGDY2">#REF!</definedName>
    <definedName name="HQLODGDY3">#REF!</definedName>
    <definedName name="HQLODGDY4">#REF!</definedName>
    <definedName name="HQLODGDY5">#REF!</definedName>
    <definedName name="HQMIEAY1">#REF!</definedName>
    <definedName name="HQMIEAY2">#REF!</definedName>
    <definedName name="HQMIEAY3">#REF!</definedName>
    <definedName name="HQMIEAY4">#REF!</definedName>
    <definedName name="HQMIEAY5">#REF!</definedName>
    <definedName name="HQMIECY1">#REF!</definedName>
    <definedName name="HQMIECY2">#REF!</definedName>
    <definedName name="HQMIECY3">#REF!</definedName>
    <definedName name="HQMIECY4">#REF!</definedName>
    <definedName name="HQMIECY5">#REF!</definedName>
    <definedName name="HQMIEDY1">#REF!</definedName>
    <definedName name="HQMIEDY2">#REF!</definedName>
    <definedName name="HQMIEDY3">#REF!</definedName>
    <definedName name="HQMIEDY4">#REF!</definedName>
    <definedName name="HQMIEDY5">#REF!</definedName>
    <definedName name="HR_Turkey">#REF!</definedName>
    <definedName name="HV">#REF!</definedName>
    <definedName name="ICR">#REF!</definedName>
    <definedName name="Idba">#REF!</definedName>
    <definedName name="Ifee">#REF!</definedName>
    <definedName name="IFOH">#REF!</definedName>
    <definedName name="IHSAN">#REF!</definedName>
    <definedName name="IHSANRD">#REF!</definedName>
    <definedName name="IMPLEMENTATION_PHASE">#REF!</definedName>
    <definedName name="Implementing_Entity_Type">#REF!</definedName>
    <definedName name="IN">#REF!</definedName>
    <definedName name="indirect_inputs">#REF!</definedName>
    <definedName name="Indirect1">#REF!</definedName>
    <definedName name="IndirectCostRate">#REF!</definedName>
    <definedName name="infl">#REF!</definedName>
    <definedName name="Inflation">#REF!</definedName>
    <definedName name="INL">#REF!</definedName>
    <definedName name="INODC">#REF!</definedName>
    <definedName name="INT1LODG">#REF!</definedName>
    <definedName name="INT1MIE">#REF!</definedName>
    <definedName name="INT1PD">#REF!</definedName>
    <definedName name="INT2LODG">#REF!</definedName>
    <definedName name="INT2MIE">#REF!</definedName>
    <definedName name="INT2PD">#REF!</definedName>
    <definedName name="INTFARE">#REF!</definedName>
    <definedName name="intlfringe">#REF!</definedName>
    <definedName name="INTLODG">#REF!</definedName>
    <definedName name="INTPDLODG">#REF!</definedName>
    <definedName name="INVOICENUMBER">#REF!</definedName>
    <definedName name="IR">#REF!</definedName>
    <definedName name="ISF">#REF!</definedName>
    <definedName name="ITSupport">#REF!</definedName>
    <definedName name="IWOH">#REF!</definedName>
    <definedName name="ji">#REF!</definedName>
    <definedName name="kampalaperdiem">#REF!</definedName>
    <definedName name="kodyPAH">#REF!</definedName>
    <definedName name="konta">#REF!</definedName>
    <definedName name="konta_numery">#REF!</definedName>
    <definedName name="konta_opisy">#REF!</definedName>
    <definedName name="konta_tabela">#REF!</definedName>
    <definedName name="kontap">#REF!</definedName>
    <definedName name="koszty">#REF!:OFFSET(#REF!,COUNTA(#REF!)-2,0)</definedName>
    <definedName name="koszty_kod">#REF!:OFFSET(#REF!,COUNTA(#REF!)-2,0)</definedName>
    <definedName name="koszty_nazwa">#REF!:OFFSET(#REF!,COUNTA(#REF!)-2,0)</definedName>
    <definedName name="kursy">#REF!</definedName>
    <definedName name="Labor_Categories">#REF!</definedName>
    <definedName name="Labor_categories_and_levels">#REF!</definedName>
    <definedName name="Labor_category_and_level">#REF!</definedName>
    <definedName name="Labor_Escalation">#REF!</definedName>
    <definedName name="Latrine">#REF!</definedName>
    <definedName name="Latrine_maintenace" localSheetId="1">#REF!</definedName>
    <definedName name="Latrine_maintenace">#REF!</definedName>
    <definedName name="lines">#REF!</definedName>
    <definedName name="linie">#REF!</definedName>
    <definedName name="linie_budzetowe_2_kody">#REF!</definedName>
    <definedName name="linie_budzetowe_2_wartosci">#REF!</definedName>
    <definedName name="linie_budzetowe_numery">#REF!</definedName>
    <definedName name="linie_budzetowe_tabela_1">#REF!</definedName>
    <definedName name="linie_budzetowe_tabela_2">#REF!</definedName>
    <definedName name="linie_budzetowe_tekst">#REF!</definedName>
    <definedName name="Linie2">#REF!</definedName>
    <definedName name="list">#REF!</definedName>
    <definedName name="list1">#REF!</definedName>
    <definedName name="List2">#REF!</definedName>
    <definedName name="List21">#REF!</definedName>
    <definedName name="list22">#REF!</definedName>
    <definedName name="LISTA">#REF!</definedName>
    <definedName name="lista1">#REF!</definedName>
    <definedName name="lista2">#REF!</definedName>
    <definedName name="lista3">#REF!</definedName>
    <definedName name="lista5">#REF!</definedName>
    <definedName name="listActivities">#REF!</definedName>
    <definedName name="listAgency">#REF!</definedName>
    <definedName name="listBenType">#REF!</definedName>
    <definedName name="listCommunities">#REF!</definedName>
    <definedName name="listCoverage">#REF!</definedName>
    <definedName name="listH">#REF!</definedName>
    <definedName name="listHubs">#REF!</definedName>
    <definedName name="listie">#REF!</definedName>
    <definedName name="listItems">#REF!</definedName>
    <definedName name="listModality">#REF!</definedName>
    <definedName name="listMonths">#REF!</definedName>
    <definedName name="listNeighborhoods">#REF!</definedName>
    <definedName name="listnew">#REF!</definedName>
    <definedName name="listPartners">#REF!</definedName>
    <definedName name="listReach">#REF!</definedName>
    <definedName name="listS">#REF!</definedName>
    <definedName name="listsda">#REF!</definedName>
    <definedName name="listserv">#REF!</definedName>
    <definedName name="listSites">#REF!</definedName>
    <definedName name="listYN">#REF!</definedName>
    <definedName name="lkhklhjfd">#REF!</definedName>
    <definedName name="lkj">#REF!</definedName>
    <definedName name="LLT10PMY1">#REF!</definedName>
    <definedName name="LLT10PMY2">#REF!</definedName>
    <definedName name="LLT10PMY3">#REF!</definedName>
    <definedName name="LLT10PMY4">#REF!</definedName>
    <definedName name="LLT10PMY5">#REF!</definedName>
    <definedName name="LLT11PMY1">#REF!</definedName>
    <definedName name="LLT11PMY2">#REF!</definedName>
    <definedName name="LLT11PMY3">#REF!</definedName>
    <definedName name="LLT11PMY4">#REF!</definedName>
    <definedName name="LLT11PMY5">#REF!</definedName>
    <definedName name="LLT12PMY1">#REF!</definedName>
    <definedName name="LLT12PMY2">#REF!</definedName>
    <definedName name="LLT12PMY3">#REF!</definedName>
    <definedName name="LLT12PMY4">#REF!</definedName>
    <definedName name="LLT12PMY5">#REF!</definedName>
    <definedName name="LLT1PMY1">#REF!</definedName>
    <definedName name="LLT1PMY2">#REF!</definedName>
    <definedName name="LLT1PMY3">#REF!</definedName>
    <definedName name="LLT1PMY4">#REF!</definedName>
    <definedName name="LLT1PMY5">#REF!</definedName>
    <definedName name="LLT2PMY1">#REF!</definedName>
    <definedName name="LLT2PMY2">#REF!</definedName>
    <definedName name="LLT2PMY3">#REF!</definedName>
    <definedName name="LLT2PMY4">#REF!</definedName>
    <definedName name="LLT2PMY5">#REF!</definedName>
    <definedName name="LLT3PMY1">#REF!</definedName>
    <definedName name="LLT3PMY2">#REF!</definedName>
    <definedName name="LLT3PMY3">#REF!</definedName>
    <definedName name="LLT3PMY4">#REF!</definedName>
    <definedName name="LLT3PMY5">#REF!</definedName>
    <definedName name="LLT4PMY1">#REF!</definedName>
    <definedName name="LLT4PMY2">#REF!</definedName>
    <definedName name="LLT4PMY3">#REF!</definedName>
    <definedName name="LLT4PMY4">#REF!</definedName>
    <definedName name="LLT4PMY5">#REF!</definedName>
    <definedName name="LLT5PMY1">#REF!</definedName>
    <definedName name="LLT5PMY2">#REF!</definedName>
    <definedName name="LLT5PMY3">#REF!</definedName>
    <definedName name="LLT5PMY4">#REF!</definedName>
    <definedName name="LLT5PMY5">#REF!</definedName>
    <definedName name="LLT6PMY1">#REF!</definedName>
    <definedName name="LLT6PMY2">#REF!</definedName>
    <definedName name="LLT6PMY3">#REF!</definedName>
    <definedName name="LLT6PMY4">#REF!</definedName>
    <definedName name="LLT6PMY5">#REF!</definedName>
    <definedName name="LLT7PMY1">#REF!</definedName>
    <definedName name="LLT7PMY2">#REF!</definedName>
    <definedName name="LLT7PMY3">#REF!</definedName>
    <definedName name="LLT7PMY4">#REF!</definedName>
    <definedName name="LLT7PMY5">#REF!</definedName>
    <definedName name="LLT8PMY1">#REF!</definedName>
    <definedName name="LLT8PMY2">#REF!</definedName>
    <definedName name="LLT8PMY3">#REF!</definedName>
    <definedName name="LLT8PMY4">#REF!</definedName>
    <definedName name="LLT8PMY5">#REF!</definedName>
    <definedName name="LLT9PMY1">#REF!</definedName>
    <definedName name="LLT9PMY2">#REF!</definedName>
    <definedName name="LLT9PMY3">#REF!</definedName>
    <definedName name="LLT9PMY4">#REF!</definedName>
    <definedName name="LLT9PMY5">#REF!</definedName>
    <definedName name="LLTLODGBY1">#REF!</definedName>
    <definedName name="LLTLODGBY2">#REF!</definedName>
    <definedName name="LLTLODGBY3">#REF!</definedName>
    <definedName name="LLTLODGBY4">#REF!</definedName>
    <definedName name="LLTLODGBY5">#REF!</definedName>
    <definedName name="LLTLODGDY1">#REF!</definedName>
    <definedName name="LLTLODGDY2">#REF!</definedName>
    <definedName name="LLTLODGDY3">#REF!</definedName>
    <definedName name="LLTLODGDY4">#REF!</definedName>
    <definedName name="LLTLODGDY5">#REF!</definedName>
    <definedName name="LLTMIEBY1">#REF!</definedName>
    <definedName name="LLTMIEBY2">#REF!</definedName>
    <definedName name="LLTMIEBY3">#REF!</definedName>
    <definedName name="LLTMIEBY4">#REF!</definedName>
    <definedName name="LLTMIEBY5">#REF!</definedName>
    <definedName name="LLTMIEDY1">#REF!</definedName>
    <definedName name="LLTMIEDY2">#REF!</definedName>
    <definedName name="LLTMIEDY3">#REF!</definedName>
    <definedName name="LLTMIEDY4">#REF!</definedName>
    <definedName name="LLTMIEDY5">#REF!</definedName>
    <definedName name="localfringe">#REF!</definedName>
    <definedName name="localinflation_yr2">#REF!</definedName>
    <definedName name="localinflation_yr3">#REF!</definedName>
    <definedName name="localinflation_yr4">#REF!</definedName>
    <definedName name="localinflation_yr5">#REF!</definedName>
    <definedName name="localperdiem">#REF!</definedName>
    <definedName name="location">#REF!</definedName>
    <definedName name="LOCATIONS">#REF!</definedName>
    <definedName name="LOCFARE">#REF!</definedName>
    <definedName name="loe">#REF!</definedName>
    <definedName name="LOE__P_MS_YR_">#REF!</definedName>
    <definedName name="Logic">#REF!</definedName>
    <definedName name="LST1PMY1">#REF!</definedName>
    <definedName name="LST1PMY2">#REF!</definedName>
    <definedName name="LST1PMY3">#REF!</definedName>
    <definedName name="LST1PMY4">#REF!</definedName>
    <definedName name="LST1PMY5">#REF!</definedName>
    <definedName name="LST2PMY1">#REF!</definedName>
    <definedName name="LST2PMY2">#REF!</definedName>
    <definedName name="LST2PMY3">#REF!</definedName>
    <definedName name="LST2PMY4">#REF!</definedName>
    <definedName name="LST2PMY5">#REF!</definedName>
    <definedName name="LST3PMY1">#REF!</definedName>
    <definedName name="LST3PMY2">#REF!</definedName>
    <definedName name="LST3PMY3">#REF!</definedName>
    <definedName name="LST3PMY4">#REF!</definedName>
    <definedName name="LST3PMY5">#REF!</definedName>
    <definedName name="LST4PMY1">#REF!</definedName>
    <definedName name="LST4PMY2">#REF!</definedName>
    <definedName name="LST4PMY3">#REF!</definedName>
    <definedName name="LST4PMY4">#REF!</definedName>
    <definedName name="LST4PMY5">#REF!</definedName>
    <definedName name="LST5PMY1">#REF!</definedName>
    <definedName name="LST5PMY2">#REF!</definedName>
    <definedName name="LST5PMY3">#REF!</definedName>
    <definedName name="LST5PMY4">#REF!</definedName>
    <definedName name="LST5PMY5">#REF!</definedName>
    <definedName name="LSTLODGCY1">#REF!</definedName>
    <definedName name="LSTLODGCY2">#REF!</definedName>
    <definedName name="LSTLODGCY3">#REF!</definedName>
    <definedName name="LSTLODGCY4">#REF!</definedName>
    <definedName name="LSTLODGCY5">#REF!</definedName>
    <definedName name="LSTLODGDY1">#REF!</definedName>
    <definedName name="LSTLODGDY2">#REF!</definedName>
    <definedName name="LSTLODGDY3">#REF!</definedName>
    <definedName name="LSTLODGDY4">#REF!</definedName>
    <definedName name="LSTLODGDY5">#REF!</definedName>
    <definedName name="LSTMIECY1">#REF!</definedName>
    <definedName name="LSTMIECY2">#REF!</definedName>
    <definedName name="LSTMIECY3">#REF!</definedName>
    <definedName name="LSTMIECY4">#REF!</definedName>
    <definedName name="LSTMIECY5">#REF!</definedName>
    <definedName name="LSTMIEDY1">#REF!</definedName>
    <definedName name="LSTMIEDY2">#REF!</definedName>
    <definedName name="LSTMIEDY3">#REF!</definedName>
    <definedName name="LSTMIEDY4">#REF!</definedName>
    <definedName name="LSTMIEDY5">#REF!</definedName>
    <definedName name="LT1PMY1">#REF!</definedName>
    <definedName name="LT1PMY2">#REF!</definedName>
    <definedName name="LT1PMY3">#REF!</definedName>
    <definedName name="LT1PMY4">#REF!</definedName>
    <definedName name="LT1PMY5">#REF!</definedName>
    <definedName name="LT2PMY1">#REF!</definedName>
    <definedName name="LT2PMY2">#REF!</definedName>
    <definedName name="LT2PMY3">#REF!</definedName>
    <definedName name="LT2PMY4">#REF!</definedName>
    <definedName name="LT2PMY5">#REF!</definedName>
    <definedName name="LT3PMY1">#REF!</definedName>
    <definedName name="LT3PMY2">#REF!</definedName>
    <definedName name="LT3PMY3">#REF!</definedName>
    <definedName name="LT3PMY4">#REF!</definedName>
    <definedName name="LT3PMY5">#REF!</definedName>
    <definedName name="LT4PMY1">#REF!</definedName>
    <definedName name="LT4PMY2">#REF!</definedName>
    <definedName name="LT4PMY3">#REF!</definedName>
    <definedName name="LT4PMY4">#REF!</definedName>
    <definedName name="LT4PMY5">#REF!</definedName>
    <definedName name="LTLODGAY1">#REF!</definedName>
    <definedName name="LTLODGAY2">#REF!</definedName>
    <definedName name="LTLODGAY3">#REF!</definedName>
    <definedName name="LTLODGAY4">#REF!</definedName>
    <definedName name="LTLODGAY5">#REF!</definedName>
    <definedName name="LTLODGBY1">#REF!</definedName>
    <definedName name="LTLODGBY2">#REF!</definedName>
    <definedName name="LTLODGBY3">#REF!</definedName>
    <definedName name="LTLODGBY4">#REF!</definedName>
    <definedName name="LTLODGBY5">#REF!</definedName>
    <definedName name="LTLODGCY1">#REF!</definedName>
    <definedName name="LTLODGCY2">#REF!</definedName>
    <definedName name="LTLODGCY3">#REF!</definedName>
    <definedName name="LTLODGCY4">#REF!</definedName>
    <definedName name="LTLODGCY5">#REF!</definedName>
    <definedName name="LTLODGDY1">#REF!</definedName>
    <definedName name="LTLODGDY2">#REF!</definedName>
    <definedName name="LTLODGDY3">#REF!</definedName>
    <definedName name="LTLODGDY4">#REF!</definedName>
    <definedName name="LTLODGDY5">#REF!</definedName>
    <definedName name="LTMIEAY1">#REF!</definedName>
    <definedName name="LTMIEAY2">#REF!</definedName>
    <definedName name="LTMIEAY3">#REF!</definedName>
    <definedName name="LTMIEAY4">#REF!</definedName>
    <definedName name="LTMIEAY5">#REF!</definedName>
    <definedName name="LTMIEBY1">#REF!</definedName>
    <definedName name="LTMIEBY2">#REF!</definedName>
    <definedName name="LTMIEBY3">#REF!</definedName>
    <definedName name="LTMIEBY4">#REF!</definedName>
    <definedName name="LTMIEBY5">#REF!</definedName>
    <definedName name="LTMIECY1">#REF!</definedName>
    <definedName name="LTMIECY2">#REF!</definedName>
    <definedName name="LTMIECY3">#REF!</definedName>
    <definedName name="LTMIECY4">#REF!</definedName>
    <definedName name="LTMIECY5">#REF!</definedName>
    <definedName name="LTMIEDY1">#REF!</definedName>
    <definedName name="LTMIEDY2">#REF!</definedName>
    <definedName name="LTMIEDY3">#REF!</definedName>
    <definedName name="LTMIEDY4">#REF!</definedName>
    <definedName name="LTMIEDY5">#REF!</definedName>
    <definedName name="LTTA">#REF!</definedName>
    <definedName name="Luci">#REF!</definedName>
    <definedName name="luke">#REF!</definedName>
    <definedName name="mac_lg_UI_List">#REF!</definedName>
    <definedName name="MacrocategoriesALL">#REF!</definedName>
    <definedName name="MADAC">#REF!</definedName>
    <definedName name="mahmoud">#REF!</definedName>
    <definedName name="Maintenace">#REF!</definedName>
    <definedName name="ManagingAuthority" hidden="1">#REF!</definedName>
    <definedName name="Mantika_Pcode0">#REF!</definedName>
    <definedName name="master_preparer">#REF!</definedName>
    <definedName name="match_requirement">#REF!</definedName>
    <definedName name="materialburden">#REF!</definedName>
    <definedName name="Mazen">#REF!</definedName>
    <definedName name="mbmbmbmbmbmbmbmbmg_">#REF!</definedName>
    <definedName name="Medevac.expat1">#REF!</definedName>
    <definedName name="Medevac.expat2">#REF!</definedName>
    <definedName name="Medevac.expat3">#REF!</definedName>
    <definedName name="Medevac.STTA.day">#REF!</definedName>
    <definedName name="Medevac.STTA.month">#REF!</definedName>
    <definedName name="Member">#REF!</definedName>
    <definedName name="Mid_Level_CCNRate">#REF!</definedName>
    <definedName name="Mid_Level_TCNRate">#REF!</definedName>
    <definedName name="mie">#REF!</definedName>
    <definedName name="misja">#REF!</definedName>
    <definedName name="misje">#REF!</definedName>
    <definedName name="MN">#REF!</definedName>
    <definedName name="MOCA">#REF!</definedName>
    <definedName name="mois">#REF!</definedName>
    <definedName name="month">#REF!</definedName>
    <definedName name="Month1">#REF!</definedName>
    <definedName name="Month2">#REF!</definedName>
    <definedName name="Month3">#REF!</definedName>
    <definedName name="Month4">#REF!</definedName>
    <definedName name="Month5">#REF!</definedName>
    <definedName name="Month6">#REF!</definedName>
    <definedName name="months">#REF!</definedName>
    <definedName name="months_total_F2">#REF!</definedName>
    <definedName name="months_total_F5">#REF!</definedName>
    <definedName name="MPA">#REF!</definedName>
    <definedName name="Mult_Yr1to3">#REF!</definedName>
    <definedName name="Mult_Yr4">#REF!</definedName>
    <definedName name="Mult_Yr5">#REF!</definedName>
    <definedName name="Multipliers_by_AMAP_year">#REF!</definedName>
    <definedName name="Nahya_pcode">#REF!</definedName>
    <definedName name="NahyaStart">#REF!</definedName>
    <definedName name="Name_Community" hidden="1">#REF!</definedName>
    <definedName name="Name_District" hidden="1">#REF!</definedName>
    <definedName name="Name_Governorate" hidden="1">#REF!</definedName>
    <definedName name="Name_Subdistrict" hidden="1">#REF!</definedName>
    <definedName name="nancy">#REF!</definedName>
    <definedName name="nat_cur_code">#REF!</definedName>
    <definedName name="nazwiska">#REF!</definedName>
    <definedName name="Nb_Family">#REF!</definedName>
    <definedName name="NewOH">#REF!</definedName>
    <definedName name="NGOs" hidden="1">OFFSET(#REF!,1,0,COUNTA(#REF!),1)</definedName>
    <definedName name="NI">#REF!</definedName>
    <definedName name="Nigerianpd">#REF!</definedName>
    <definedName name="no_of_outputs">#REF!</definedName>
    <definedName name="noocg" hidden="1">OFFSET(#REF!,1,0,COUNTA(#REF!),1)</definedName>
    <definedName name="NOTES">#REF!</definedName>
    <definedName name="O3CAD">#REF!</definedName>
    <definedName name="Objective_1_SDA">#REF!</definedName>
    <definedName name="Objective_2_SDA">#REF!</definedName>
    <definedName name="Objective_3_SDA">#REF!</definedName>
    <definedName name="Objective_4_SDA">#REF!</definedName>
    <definedName name="ODC_Escalation">#REF!</definedName>
    <definedName name="oddzialy_kod">#REF!:OFFSET(#REF!,COUNTA(#REF!)-2,0)</definedName>
    <definedName name="oddzialy_nazwa">#REF!:OFFSET(#REF!,COUNTA(#REF!)-2,0)</definedName>
    <definedName name="oddzialy_numery">#REF!</definedName>
    <definedName name="oddzialy_numery_1">#REF!</definedName>
    <definedName name="oddzialy_opisy">#REF!</definedName>
    <definedName name="oddzialy_tabela">#REF!</definedName>
    <definedName name="OH">#REF!</definedName>
    <definedName name="OH_Rate">#REF!</definedName>
    <definedName name="ok">#REF!</definedName>
    <definedName name="OM_Mobility" hidden="1">#REF!</definedName>
    <definedName name="one_to_ten">#REF!</definedName>
    <definedName name="Org_inputs">#REF!</definedName>
    <definedName name="Org_name">"CRS-USCCB"</definedName>
    <definedName name="otherperdiem">#REF!</definedName>
    <definedName name="Outcome">#REF!</definedName>
    <definedName name="Outcome1">#REF!</definedName>
    <definedName name="Outcome10">#REF!</definedName>
    <definedName name="Outcome2">#REF!</definedName>
    <definedName name="Outcome3">#REF!</definedName>
    <definedName name="Outcome4">#REF!</definedName>
    <definedName name="Outcome5">#REF!</definedName>
    <definedName name="Outcome6">#REF!</definedName>
    <definedName name="Outcome7">#REF!</definedName>
    <definedName name="Outcome8">#REF!</definedName>
    <definedName name="Outcome9">#REF!</definedName>
    <definedName name="Over_Head">#REF!</definedName>
    <definedName name="overhead">#REF!</definedName>
    <definedName name="Overheads">#REF!</definedName>
    <definedName name="P3_echopercent">#REF!</definedName>
    <definedName name="P7_percentECHO">#REF!</definedName>
    <definedName name="participants">#REF!</definedName>
    <definedName name="Partner">#REF!</definedName>
    <definedName name="PartnerList">#REF!</definedName>
    <definedName name="PAYE">#REF!</definedName>
    <definedName name="payment">#REF!</definedName>
    <definedName name="pcentBJ3">#REF!</definedName>
    <definedName name="pcentBL3">#REF!</definedName>
    <definedName name="pcentBM3">#REF!</definedName>
    <definedName name="PD">#REF!</definedName>
    <definedName name="Percentages">#REF!</definedName>
    <definedName name="percentBK3">#REF!</definedName>
    <definedName name="percentBN3">#REF!</definedName>
    <definedName name="percentBO3">#REF!</definedName>
    <definedName name="percentBP3">#REF!</definedName>
    <definedName name="percentBQ3">#REF!</definedName>
    <definedName name="percentBR3">#REF!</definedName>
    <definedName name="percentyr1">#REF!</definedName>
    <definedName name="percentyr2">#REF!</definedName>
    <definedName name="percentyr3">#REF!</definedName>
    <definedName name="perdiem">#REF!</definedName>
    <definedName name="period_end_1">#REF!</definedName>
    <definedName name="period_end_10">#REF!</definedName>
    <definedName name="period_end_11">#REF!</definedName>
    <definedName name="period_end_12">#REF!</definedName>
    <definedName name="period_end_2">#REF!</definedName>
    <definedName name="period_end_3">#REF!</definedName>
    <definedName name="period_end_4">#REF!</definedName>
    <definedName name="period_end_5">#REF!</definedName>
    <definedName name="period_end_6">#REF!</definedName>
    <definedName name="period_end_7">#REF!</definedName>
    <definedName name="period_end_8">#REF!</definedName>
    <definedName name="period_end_9">#REF!</definedName>
    <definedName name="PERS">#REF!</definedName>
    <definedName name="PHCC">#REF!</definedName>
    <definedName name="PHCU">#REF!</definedName>
    <definedName name="PLACE">#REF!</definedName>
    <definedName name="płatnicy">#REF!</definedName>
    <definedName name="Position">#REF!</definedName>
    <definedName name="postallowance">#REF!</definedName>
    <definedName name="postallowance.expat2">#REF!</definedName>
    <definedName name="postallowance.expat3">#REF!</definedName>
    <definedName name="postallowance.expat4">#REF!</definedName>
    <definedName name="POSTAVELODG">#REF!</definedName>
    <definedName name="POSTAVEMIE">#REF!</definedName>
    <definedName name="POSTAVEPD">#REF!</definedName>
    <definedName name="POSTCITYLODG">#REF!</definedName>
    <definedName name="POSTCITYMIE">#REF!</definedName>
    <definedName name="POSTCITYPD">#REF!</definedName>
    <definedName name="POSTDIF">#REF!</definedName>
    <definedName name="postdifferential">#REF!</definedName>
    <definedName name="POSTLOCLODG">#REF!</definedName>
    <definedName name="POSTLOCMIE">#REF!</definedName>
    <definedName name="POSTLOCPD">#REF!</definedName>
    <definedName name="Print">#REF!</definedName>
    <definedName name="print_ar2">#REF!</definedName>
    <definedName name="_xlnm.Print_Area">#REF!</definedName>
    <definedName name="PRINT_AREA_MI">#REF!</definedName>
    <definedName name="PRINT_MACRO">#REF!</definedName>
    <definedName name="_xlnm.Print_Titles">#REF!</definedName>
    <definedName name="PRINT_TITLES_MI">#REF!</definedName>
    <definedName name="printA">#REF!</definedName>
    <definedName name="printRP">#REF!</definedName>
    <definedName name="PROAREA_COL" localSheetId="1">#REF!</definedName>
    <definedName name="PROAREA_COL">#REF!</definedName>
    <definedName name="PROAREA_START" localSheetId="1">#REF!</definedName>
    <definedName name="PROAREA_START">#REF!</definedName>
    <definedName name="Procure">#REF!</definedName>
    <definedName name="procurementfee">#REF!</definedName>
    <definedName name="proj_dfid_funding">#REF!</definedName>
    <definedName name="proj_grand_total">#REF!</definedName>
    <definedName name="proj_type">#REF!</definedName>
    <definedName name="project">#REF!</definedName>
    <definedName name="Project_Name">#REF!</definedName>
    <definedName name="Project_support_costs">#REF!</definedName>
    <definedName name="Projects">#REF!</definedName>
    <definedName name="Projectstatus">#REF!</definedName>
    <definedName name="projekt">#REF!</definedName>
    <definedName name="projekt_kod_2">#REF!</definedName>
    <definedName name="projekt_nazwa">#REF!:OFFSET(#REF!,COUNTA(#REF!)-2,0)</definedName>
    <definedName name="projekt_numery">#REF!</definedName>
    <definedName name="projekt_opisy">#REF!</definedName>
    <definedName name="projekt_tabela">#REF!</definedName>
    <definedName name="projekty">#REF!</definedName>
    <definedName name="Projekty_zrodla">#REF!:OFFSET(#REF!,COUNTA(#REF!)-2,0)</definedName>
    <definedName name="Province" localSheetId="1">#REF!</definedName>
    <definedName name="Province">#REF!</definedName>
    <definedName name="PSA">#REF!</definedName>
    <definedName name="PWB">#REF!</definedName>
    <definedName name="Q_Status" localSheetId="1">OFFSET(#REF!,,,COUNTA(#REF!)-1,1)</definedName>
    <definedName name="Q_Status">OFFSET(#REF!,,,COUNTA(#REF!)-1,1)</definedName>
    <definedName name="qryReportToExcel">#REF!</definedName>
    <definedName name="qwe">#REF!</definedName>
    <definedName name="qweasdzxc">#REF!</definedName>
    <definedName name="R_Admin1">#REF!</definedName>
    <definedName name="R_Admin1PCode">#REF!</definedName>
    <definedName name="rate">#REF!</definedName>
    <definedName name="rate_type">#REF!</definedName>
    <definedName name="Rate1">#REF!</definedName>
    <definedName name="Rate2">#REF!</definedName>
    <definedName name="Rate3">#REF!</definedName>
    <definedName name="RBALANCE">#REF!</definedName>
    <definedName name="RefStageWeight" hidden="1">#REF!</definedName>
    <definedName name="Regional_Offices">#REF!</definedName>
    <definedName name="Respo" localSheetId="1">OFFSET(#REF!,,,COUNTA(#REF!)-1,1)</definedName>
    <definedName name="Respo">OFFSET(#REF!,,,COUNTA(#REF!)-1,1)</definedName>
    <definedName name="revex">#REF!</definedName>
    <definedName name="rngCurrency">#REF!</definedName>
    <definedName name="Role">#REF!</definedName>
    <definedName name="RRFARE">#REF!</definedName>
    <definedName name="S1_days_per_month">#REF!</definedName>
    <definedName name="SafetyMeasures" hidden="1">#REF!</definedName>
    <definedName name="Salary_escalation">#REF!</definedName>
    <definedName name="SALHIST">#REF!</definedName>
    <definedName name="salincrease">#REF!</definedName>
    <definedName name="SB">#REF!</definedName>
    <definedName name="SD">#REF!</definedName>
    <definedName name="SDA">#REF!</definedName>
    <definedName name="sdaa">#REF!</definedName>
    <definedName name="SDAList">#REF!</definedName>
    <definedName name="sectorlist">#REF!</definedName>
    <definedName name="Senior_CCNRate">#REF!</definedName>
    <definedName name="Senior_TCNRate">#REF!</definedName>
    <definedName name="SEV">#REF!</definedName>
    <definedName name="SEVPA">#REF!</definedName>
    <definedName name="SF">#REF!</definedName>
    <definedName name="shared_P6">#REF!</definedName>
    <definedName name="sheet4">#REF!</definedName>
    <definedName name="SHTYPE">#REF!</definedName>
    <definedName name="SI">#REF!</definedName>
    <definedName name="Slicer_Contractor">#N/A</definedName>
    <definedName name="Slicer_type">#N/A</definedName>
    <definedName name="SRP_Activities_Start">#REF!</definedName>
    <definedName name="SRP_Objective_Start">#REF!</definedName>
    <definedName name="srsalincrease">#REF!</definedName>
    <definedName name="ss">#REF!</definedName>
    <definedName name="SSCC">#REF!</definedName>
    <definedName name="Staff_Fringe">#REF!</definedName>
    <definedName name="Stage">#REF!</definedName>
    <definedName name="State">#REF!</definedName>
    <definedName name="StationType" hidden="1">#REF!</definedName>
    <definedName name="Status" localSheetId="1">OFFSET(#REF!,,,COUNTA(#REF!)-1,1)</definedName>
    <definedName name="Status">OFFSET(#REF!,,,COUNTA(#REF!)-1,1)</definedName>
    <definedName name="STTA_Dayspertrip">#REF!</definedName>
    <definedName name="sttaav">#REF!</definedName>
    <definedName name="sttaperdiem">#REF!</definedName>
    <definedName name="sttayr1">#REF!</definedName>
    <definedName name="sttayr2">#REF!</definedName>
    <definedName name="sttayr3">#REF!</definedName>
    <definedName name="STX1LODGAY1">#REF!</definedName>
    <definedName name="STX1LODGAY2">#REF!</definedName>
    <definedName name="STX1LODGAY3">#REF!</definedName>
    <definedName name="STX1LODGAY4">#REF!</definedName>
    <definedName name="STX1LODGAY5">#REF!</definedName>
    <definedName name="STX1LODGBY1">#REF!</definedName>
    <definedName name="STX1LODGBY2">#REF!</definedName>
    <definedName name="STX1LODGBY3">#REF!</definedName>
    <definedName name="STX1LODGBY4">#REF!</definedName>
    <definedName name="STX1LODGBY5">#REF!</definedName>
    <definedName name="STX1LODGCY1">#REF!</definedName>
    <definedName name="STX1LODGCY2">#REF!</definedName>
    <definedName name="STX1LODGCY3">#REF!</definedName>
    <definedName name="STX1LODGCY4">#REF!</definedName>
    <definedName name="STX1LODGCY5">#REF!</definedName>
    <definedName name="STX1LODGDY1">#REF!</definedName>
    <definedName name="STX1LODGDY2">#REF!</definedName>
    <definedName name="STX1LODGDY3">#REF!</definedName>
    <definedName name="STX1LODGDY4">#REF!</definedName>
    <definedName name="STX1LODGDY5">#REF!</definedName>
    <definedName name="STX1MIEAY1">#REF!</definedName>
    <definedName name="STX1MIEAY2">#REF!</definedName>
    <definedName name="STX1MIEAY3">#REF!</definedName>
    <definedName name="STX1MIEAY4">#REF!</definedName>
    <definedName name="STX1MIEAY5">#REF!</definedName>
    <definedName name="STX1MIEBY1">#REF!</definedName>
    <definedName name="STX1MIEBY2">#REF!</definedName>
    <definedName name="STX1MIEBY3">#REF!</definedName>
    <definedName name="STX1MIEBY4">#REF!</definedName>
    <definedName name="STX1MIEBY5">#REF!</definedName>
    <definedName name="STX1MIECY1">#REF!</definedName>
    <definedName name="STX1MIECY2">#REF!</definedName>
    <definedName name="STX1MIECY3">#REF!</definedName>
    <definedName name="STX1MIECY4">#REF!</definedName>
    <definedName name="STX1MIECY5">#REF!</definedName>
    <definedName name="STX1MIEDY1">#REF!</definedName>
    <definedName name="STX1MIEDY2">#REF!</definedName>
    <definedName name="STX1MIEDY3">#REF!</definedName>
    <definedName name="STX1MIEDY4">#REF!</definedName>
    <definedName name="STX1MIEDY5">#REF!</definedName>
    <definedName name="STX1PMY1">#REF!</definedName>
    <definedName name="STX1PMY2">#REF!</definedName>
    <definedName name="STX1PMY3">#REF!</definedName>
    <definedName name="STX1PMY4">#REF!</definedName>
    <definedName name="STX1PMY5">#REF!</definedName>
    <definedName name="STX2LODGAY1">#REF!</definedName>
    <definedName name="STX2LODGAY2">#REF!</definedName>
    <definedName name="STX2LODGAY3">#REF!</definedName>
    <definedName name="STX2LODGAY4">#REF!</definedName>
    <definedName name="STX2LODGAY5">#REF!</definedName>
    <definedName name="STX2LODGBY1">#REF!</definedName>
    <definedName name="STX2LODGBY2">#REF!</definedName>
    <definedName name="STX2LODGBY3">#REF!</definedName>
    <definedName name="STX2LODGBY4">#REF!</definedName>
    <definedName name="STX2LODGBY5">#REF!</definedName>
    <definedName name="STX2LODGCY1">#REF!</definedName>
    <definedName name="STX2LODGCY2">#REF!</definedName>
    <definedName name="STX2LODGCY3">#REF!</definedName>
    <definedName name="STX2LODGCY4">#REF!</definedName>
    <definedName name="STX2LODGCY5">#REF!</definedName>
    <definedName name="STX2LODGDY1">#REF!</definedName>
    <definedName name="STX2LODGDY2">#REF!</definedName>
    <definedName name="STX2LODGDY3">#REF!</definedName>
    <definedName name="STX2LODGDY4">#REF!</definedName>
    <definedName name="STX2LODGDY5">#REF!</definedName>
    <definedName name="STX2MIEAY1">#REF!</definedName>
    <definedName name="STX2MIEAY2">#REF!</definedName>
    <definedName name="STX2MIEAY3">#REF!</definedName>
    <definedName name="STX2MIEAY4">#REF!</definedName>
    <definedName name="STX2MIEAY5">#REF!</definedName>
    <definedName name="STX2MIEBY1">#REF!</definedName>
    <definedName name="STX2MIEBY2">#REF!</definedName>
    <definedName name="STX2MIEBY3">#REF!</definedName>
    <definedName name="STX2MIEBY4">#REF!</definedName>
    <definedName name="STX2MIEBY5">#REF!</definedName>
    <definedName name="STX2MIECY1">#REF!</definedName>
    <definedName name="STX2MIECY2">#REF!</definedName>
    <definedName name="STX2MIECY3">#REF!</definedName>
    <definedName name="STX2MIECY4">#REF!</definedName>
    <definedName name="STX2MIECY5">#REF!</definedName>
    <definedName name="STX2MIEDY1">#REF!</definedName>
    <definedName name="STX2MIEDY2">#REF!</definedName>
    <definedName name="STX2MIEDY3">#REF!</definedName>
    <definedName name="STX2MIEDY4">#REF!</definedName>
    <definedName name="STX2MIEDY5">#REF!</definedName>
    <definedName name="STX2PMY1">#REF!</definedName>
    <definedName name="STX2PMY2">#REF!</definedName>
    <definedName name="STX2PMY3">#REF!</definedName>
    <definedName name="STX2PMY4">#REF!</definedName>
    <definedName name="STX2PMY5">#REF!</definedName>
    <definedName name="STX3LODGAY1">#REF!</definedName>
    <definedName name="STX3LODGAY2">#REF!</definedName>
    <definedName name="STX3LODGAY3">#REF!</definedName>
    <definedName name="STX3LODGAY4">#REF!</definedName>
    <definedName name="STX3LODGAY5">#REF!</definedName>
    <definedName name="STX3LODGBY1">#REF!</definedName>
    <definedName name="STX3LODGBY2">#REF!</definedName>
    <definedName name="STX3LODGBY3">#REF!</definedName>
    <definedName name="STX3LODGBY4">#REF!</definedName>
    <definedName name="STX3LODGBY5">#REF!</definedName>
    <definedName name="STX3LODGCY1">#REF!</definedName>
    <definedName name="STX3LODGCY2">#REF!</definedName>
    <definedName name="STX3LODGCY3">#REF!</definedName>
    <definedName name="STX3LODGCY4">#REF!</definedName>
    <definedName name="STX3LODGCY5">#REF!</definedName>
    <definedName name="STX3LODGDY1">#REF!</definedName>
    <definedName name="STX3LODGDY2">#REF!</definedName>
    <definedName name="STX3LODGDY3">#REF!</definedName>
    <definedName name="STX3LODGDY4">#REF!</definedName>
    <definedName name="STX3LODGDY5">#REF!</definedName>
    <definedName name="STX3MIEAY1">#REF!</definedName>
    <definedName name="STX3MIEAY2">#REF!</definedName>
    <definedName name="STX3MIEAY3">#REF!</definedName>
    <definedName name="STX3MIEAY4">#REF!</definedName>
    <definedName name="STX3MIEAY5">#REF!</definedName>
    <definedName name="STX3MIEBY1">#REF!</definedName>
    <definedName name="STX3MIEBY2">#REF!</definedName>
    <definedName name="STX3MIEBY3">#REF!</definedName>
    <definedName name="STX3MIEBY4">#REF!</definedName>
    <definedName name="STX3MIEBY5">#REF!</definedName>
    <definedName name="STX3MIECY1">#REF!</definedName>
    <definedName name="STX3MIECY2">#REF!</definedName>
    <definedName name="STX3MIECY3">#REF!</definedName>
    <definedName name="STX3MIECY4">#REF!</definedName>
    <definedName name="STX3MIECY5">#REF!</definedName>
    <definedName name="STX3MIEDY1">#REF!</definedName>
    <definedName name="STX3MIEDY2">#REF!</definedName>
    <definedName name="STX3MIEDY3">#REF!</definedName>
    <definedName name="STX3MIEDY4">#REF!</definedName>
    <definedName name="STX3MIEDY5">#REF!</definedName>
    <definedName name="STX3PMY1">#REF!</definedName>
    <definedName name="STX3PMY2">#REF!</definedName>
    <definedName name="STX3PMY3">#REF!</definedName>
    <definedName name="STX3PMY4">#REF!</definedName>
    <definedName name="STX3PMY5">#REF!</definedName>
    <definedName name="STX4LODGAY1">#REF!</definedName>
    <definedName name="STX4LODGAY2">#REF!</definedName>
    <definedName name="STX4LODGAY3">#REF!</definedName>
    <definedName name="STX4LODGAY4">#REF!</definedName>
    <definedName name="STX4LODGAY5">#REF!</definedName>
    <definedName name="STX4LODGBY1">#REF!</definedName>
    <definedName name="STX4LODGBY2">#REF!</definedName>
    <definedName name="STX4LODGBY3">#REF!</definedName>
    <definedName name="STX4LODGBY4">#REF!</definedName>
    <definedName name="STX4LODGBY5">#REF!</definedName>
    <definedName name="STX4LODGCY1">#REF!</definedName>
    <definedName name="STX4LODGCY2">#REF!</definedName>
    <definedName name="STX4LODGCY3">#REF!</definedName>
    <definedName name="STX4LODGCY4">#REF!</definedName>
    <definedName name="STX4LODGCY5">#REF!</definedName>
    <definedName name="STX4LODGDY1">#REF!</definedName>
    <definedName name="STX4LODGDY2">#REF!</definedName>
    <definedName name="STX4LODGDY3">#REF!</definedName>
    <definedName name="STX4LODGDY4">#REF!</definedName>
    <definedName name="STX4LODGDY5">#REF!</definedName>
    <definedName name="STX4MIEAY1">#REF!</definedName>
    <definedName name="STX4MIEAY2">#REF!</definedName>
    <definedName name="STX4MIEAY3">#REF!</definedName>
    <definedName name="STX4MIEAY4">#REF!</definedName>
    <definedName name="STX4MIEAY5">#REF!</definedName>
    <definedName name="STX4MIEBY1">#REF!</definedName>
    <definedName name="STX4MIEBY2">#REF!</definedName>
    <definedName name="STX4MIEBY3">#REF!</definedName>
    <definedName name="STX4MIEBY4">#REF!</definedName>
    <definedName name="STX4MIEBY5">#REF!</definedName>
    <definedName name="STX4MIECY1">#REF!</definedName>
    <definedName name="STX4MIECY2">#REF!</definedName>
    <definedName name="STX4MIECY3">#REF!</definedName>
    <definedName name="STX4MIECY4">#REF!</definedName>
    <definedName name="STX4MIECY5">#REF!</definedName>
    <definedName name="STX4MIEDY1">#REF!</definedName>
    <definedName name="STX4MIEDY2">#REF!</definedName>
    <definedName name="STX4MIEDY3">#REF!</definedName>
    <definedName name="STX4MIEDY4">#REF!</definedName>
    <definedName name="STX4MIEDY5">#REF!</definedName>
    <definedName name="STX4PMY1">#REF!</definedName>
    <definedName name="STX4PMY2">#REF!</definedName>
    <definedName name="STX4PMY3">#REF!</definedName>
    <definedName name="STX4PMY4">#REF!</definedName>
    <definedName name="STX4PMY5">#REF!</definedName>
    <definedName name="STX5LODGAY1">#REF!</definedName>
    <definedName name="STX5LODGAY2">#REF!</definedName>
    <definedName name="STX5LODGAY3">#REF!</definedName>
    <definedName name="STX5LODGAY4">#REF!</definedName>
    <definedName name="STX5LODGAY5">#REF!</definedName>
    <definedName name="STX5LODGBY1">#REF!</definedName>
    <definedName name="STX5LODGBY2">#REF!</definedName>
    <definedName name="STX5LODGBY3">#REF!</definedName>
    <definedName name="STX5LODGBY4">#REF!</definedName>
    <definedName name="STX5LODGBY5">#REF!</definedName>
    <definedName name="STX5LODGCY1">#REF!</definedName>
    <definedName name="STX5LODGCY2">#REF!</definedName>
    <definedName name="STX5LODGCY3">#REF!</definedName>
    <definedName name="STX5LODGCY4">#REF!</definedName>
    <definedName name="STX5LODGCY5">#REF!</definedName>
    <definedName name="STX5LODGDY1">#REF!</definedName>
    <definedName name="STX5LODGDY2">#REF!</definedName>
    <definedName name="STX5LODGDY3">#REF!</definedName>
    <definedName name="STX5LODGDY4">#REF!</definedName>
    <definedName name="STX5LODGDY5">#REF!</definedName>
    <definedName name="STX5MIEAY1">#REF!</definedName>
    <definedName name="STX5MIEAY2">#REF!</definedName>
    <definedName name="STX5MIEAY3">#REF!</definedName>
    <definedName name="STX5MIEAY4">#REF!</definedName>
    <definedName name="STX5MIEAY5">#REF!</definedName>
    <definedName name="STX5MIEBY1">#REF!</definedName>
    <definedName name="STX5MIEBY2">#REF!</definedName>
    <definedName name="STX5MIEBY3">#REF!</definedName>
    <definedName name="STX5MIEBY4">#REF!</definedName>
    <definedName name="STX5MIEBY5">#REF!</definedName>
    <definedName name="STX5MIECY1">#REF!</definedName>
    <definedName name="STX5MIECY2">#REF!</definedName>
    <definedName name="STX5MIECY3">#REF!</definedName>
    <definedName name="STX5MIECY4">#REF!</definedName>
    <definedName name="STX5MIECY5">#REF!</definedName>
    <definedName name="STX5MIEDY1">#REF!</definedName>
    <definedName name="STX5MIEDY2">#REF!</definedName>
    <definedName name="STX5MIEDY3">#REF!</definedName>
    <definedName name="STX5MIEDY4">#REF!</definedName>
    <definedName name="STX5MIEDY5">#REF!</definedName>
    <definedName name="STX5PMY1">#REF!</definedName>
    <definedName name="STX5PMY2">#REF!</definedName>
    <definedName name="STX5PMY3">#REF!</definedName>
    <definedName name="STX5PMY4">#REF!</definedName>
    <definedName name="STX5PMY5">#REF!</definedName>
    <definedName name="STXLODGAY1">#REF!+#REF!+#REF!+#REF!+#REF!</definedName>
    <definedName name="STXLODGAY2">#REF!+#REF!+#REF!+#REF!+#REF!</definedName>
    <definedName name="STXLODGAY3">#REF!+#REF!+#REF!+#REF!+#REF!</definedName>
    <definedName name="STXLODGAY4">#REF!+#REF!+#REF!+#REF!+#REF!</definedName>
    <definedName name="STXLODGAY5">#REF!+#REF!+#REF!+#REF!+#REF!</definedName>
    <definedName name="STXLODGBY1">#REF!+#REF!+#REF!+#REF!+#REF!</definedName>
    <definedName name="STXLODGBY2">#REF!+#REF!+#REF!+#REF!+#REF!</definedName>
    <definedName name="STXLODGBY3">#REF!+#REF!+#REF!+#REF!+#REF!</definedName>
    <definedName name="STXLODGBY4">#REF!+#REF!+#REF!+#REF!+#REF!</definedName>
    <definedName name="STXLODGBY5">#REF!+#REF!+#REF!+#REF!+#REF!</definedName>
    <definedName name="STXLODGCY1">#REF!+#REF!+#REF!+#REF!+#REF!</definedName>
    <definedName name="STXLODGCY2">#REF!+#REF!+#REF!+#REF!+#REF!</definedName>
    <definedName name="STXLODGCY3">#REF!+#REF!+#REF!+#REF!+#REF!</definedName>
    <definedName name="STXLODGCY4">#REF!+#REF!+#REF!+#REF!+#REF!</definedName>
    <definedName name="STXLODGCY5">#REF!+#REF!+#REF!+#REF!+#REF!</definedName>
    <definedName name="STXLODGDY1">#REF!+#REF!+#REF!+#REF!+#REF!</definedName>
    <definedName name="STXLODGDY2">#REF!+#REF!+#REF!+#REF!+#REF!</definedName>
    <definedName name="STXLODGDY3">#REF!+#REF!+#REF!+#REF!+#REF!</definedName>
    <definedName name="STXLODGDY4">#REF!+#REF!+#REF!+#REF!+#REF!</definedName>
    <definedName name="STXLODGDY5">#REF!+#REF!+#REF!+#REF!+#REF!</definedName>
    <definedName name="STXMIEAY1">#REF!+#REF!+#REF!+#REF!+#REF!</definedName>
    <definedName name="STXMIEAY2">#REF!+#REF!+#REF!+#REF!+#REF!</definedName>
    <definedName name="STXMIEAY3">#REF!+#REF!+#REF!+#REF!+#REF!</definedName>
    <definedName name="STXMIEAY4">#REF!+#REF!+#REF!+#REF!+#REF!</definedName>
    <definedName name="STXMIEAY5">#REF!+#REF!+#REF!+#REF!+#REF!</definedName>
    <definedName name="STXMIEBY1">#REF!+#REF!+#REF!+#REF!+#REF!</definedName>
    <definedName name="STXMIEBY2">#REF!+#REF!+#REF!+#REF!+#REF!</definedName>
    <definedName name="STXMIEBY3">#REF!+#REF!+#REF!+#REF!+#REF!</definedName>
    <definedName name="STXMIEBY4">#REF!+#REF!+#REF!+#REF!+#REF!</definedName>
    <definedName name="STXMIEBY5">#REF!+#REF!+#REF!+#REF!+#REF!</definedName>
    <definedName name="STXMIECY1">#REF!+#REF!+#REF!+#REF!+#REF!</definedName>
    <definedName name="STXMIECY2">#REF!+#REF!+#REF!+#REF!+#REF!</definedName>
    <definedName name="STXMIECY3">#REF!+#REF!+#REF!+#REF!+#REF!</definedName>
    <definedName name="STXMIECY4">#REF!+#REF!+#REF!+#REF!+#REF!</definedName>
    <definedName name="STXMIECY5">#REF!+#REF!+#REF!+#REF!+#REF!</definedName>
    <definedName name="STXMIEDY1">#REF!+#REF!+#REF!+#REF!+#REF!</definedName>
    <definedName name="STXMIEDY2">#REF!+#REF!+#REF!+#REF!+#REF!</definedName>
    <definedName name="STXMIEDY3">#REF!+#REF!+#REF!+#REF!+#REF!</definedName>
    <definedName name="STXMIEDY4">#REF!+#REF!+#REF!+#REF!+#REF!</definedName>
    <definedName name="STXMIEDY5">#REF!+#REF!+#REF!+#REF!+#REF!</definedName>
    <definedName name="SubA">#REF!</definedName>
    <definedName name="SubB">#REF!</definedName>
    <definedName name="SubC">#REF!</definedName>
    <definedName name="SubD">#REF!</definedName>
    <definedName name="SubDistrict_Communities_n">#REF!</definedName>
    <definedName name="Subdistrict_Pcode" localSheetId="1">#REF!</definedName>
    <definedName name="Subdistrict_Pcode">#REF!</definedName>
    <definedName name="Subdistrict_Start" localSheetId="1">#REF!</definedName>
    <definedName name="Subdistrict_Start">#REF!</definedName>
    <definedName name="SubDistricts_n">#REF!</definedName>
    <definedName name="subkhandling">#REF!</definedName>
    <definedName name="SubTD">#REF!</definedName>
    <definedName name="SubTotalA">#REF!</definedName>
    <definedName name="SubTotalB">#REF!</definedName>
    <definedName name="SubTotalC">#REF!</definedName>
    <definedName name="SubTotalD">#REF!</definedName>
    <definedName name="SUM_PA">#REF!</definedName>
    <definedName name="T2n">#REF!</definedName>
    <definedName name="taav">#REF!</definedName>
    <definedName name="Table1">#REF!</definedName>
    <definedName name="Task_holder" localSheetId="1">OFFSET(#REF!,,,COUNTA(#REF!)-1,1)</definedName>
    <definedName name="Task_holder">OFFSET(#REF!,,,COUNTA(#REF!)-1,1)</definedName>
    <definedName name="Tax">#REF!</definedName>
    <definedName name="tayr1">#REF!</definedName>
    <definedName name="tayr2">#REF!</definedName>
    <definedName name="tayr3">#REF!</definedName>
    <definedName name="TCN_CCN">#REF!</definedName>
    <definedName name="TCNCCNSTTA_DaysYr1">#REF!</definedName>
    <definedName name="TCNCCNSTTA_DaysYr2">#REF!</definedName>
    <definedName name="TCNCCNSTTA_DaysYr3">#REF!</definedName>
    <definedName name="TCNCCNSTTA_DaysYr4">#REF!</definedName>
    <definedName name="TCNCCNSTTA_DaysYr5">#REF!</definedName>
    <definedName name="Technical_Sector">#REF!</definedName>
    <definedName name="TEST0" localSheetId="1">#REF!</definedName>
    <definedName name="TEST0">#REF!</definedName>
    <definedName name="TESTKEYS" localSheetId="1">#REF!</definedName>
    <definedName name="TESTKEYS">#REF!</definedName>
    <definedName name="TESTVKEY" localSheetId="1">#REF!</definedName>
    <definedName name="TESTVKEY">#REF!</definedName>
    <definedName name="Themes">#REF!</definedName>
    <definedName name="TINC">#REF!</definedName>
    <definedName name="tłumaczenia">#REF!</definedName>
    <definedName name="total">#REF!</definedName>
    <definedName name="total_cost">#REF!</definedName>
    <definedName name="total_cost_y1">#REF!</definedName>
    <definedName name="total_S173">#REF!</definedName>
    <definedName name="total1">#REF!</definedName>
    <definedName name="TotalA">#REF!</definedName>
    <definedName name="TotalB">#REF!</definedName>
    <definedName name="TotalC">#REF!</definedName>
    <definedName name="TotalC1">#REF!</definedName>
    <definedName name="TotalD">#REF!</definedName>
    <definedName name="TotalExp">#REF!</definedName>
    <definedName name="TotalInc">#REF!</definedName>
    <definedName name="TotalLAS">#REF!</definedName>
    <definedName name="TotFur">#REF!</definedName>
    <definedName name="TotMed">#REF!</definedName>
    <definedName name="Totspa">#REF!</definedName>
    <definedName name="TotToo">#REF!</definedName>
    <definedName name="TotWatMat">#REF!</definedName>
    <definedName name="TQA">#REF!</definedName>
    <definedName name="TQC">#REF!</definedName>
    <definedName name="TQX">#REF!</definedName>
    <definedName name="Transit">#REF!</definedName>
    <definedName name="trip">#REF!</definedName>
    <definedName name="TrustExtent" hidden="1">#REF!</definedName>
    <definedName name="Type">#REF!</definedName>
    <definedName name="Type_of_location" localSheetId="1">#REF!</definedName>
    <definedName name="Type_of_location">#REF!</definedName>
    <definedName name="unit_name">#REF!</definedName>
    <definedName name="unit_number">#REF!</definedName>
    <definedName name="Unit_Pr">#REF!</definedName>
    <definedName name="UnitDesciption1">#REF!</definedName>
    <definedName name="UnitDesciption2">#REF!</definedName>
    <definedName name="usd">#REF!</definedName>
    <definedName name="usdcad">#REF!</definedName>
    <definedName name="usdeur">#REF!</definedName>
    <definedName name="USFARE">#REF!</definedName>
    <definedName name="usinflation_yr2">#REF!</definedName>
    <definedName name="usinflation_yr3">#REF!</definedName>
    <definedName name="usinflation_yr4">#REF!</definedName>
    <definedName name="usinflation_yr5">#REF!</definedName>
    <definedName name="V1_usd">#REF!</definedName>
    <definedName name="Vc_Days">#REF!</definedName>
    <definedName name="VOCA">#REF!</definedName>
    <definedName name="VOLLODGAY1">#REF!</definedName>
    <definedName name="VOLLODGAY2">#REF!</definedName>
    <definedName name="VOLLODGAY3">#REF!</definedName>
    <definedName name="VOLLODGAY4">#REF!</definedName>
    <definedName name="VOLLODGAY5">#REF!</definedName>
    <definedName name="VOLLODGCY1">#REF!</definedName>
    <definedName name="VOLLODGCY2">#REF!</definedName>
    <definedName name="VOLLODGCY3">#REF!</definedName>
    <definedName name="VOLLODGCY4">#REF!</definedName>
    <definedName name="VOLLODGCY5">#REF!</definedName>
    <definedName name="VOLLODGDY1">#REF!</definedName>
    <definedName name="VOLLODGDY2">#REF!</definedName>
    <definedName name="VOLLODGDY3">#REF!</definedName>
    <definedName name="VOLLODGDY4">#REF!</definedName>
    <definedName name="VOLLODGDY5">#REF!</definedName>
    <definedName name="VOLMIEAY1">#REF!</definedName>
    <definedName name="VOLMIEAY2">#REF!</definedName>
    <definedName name="VOLMIEAY3">#REF!</definedName>
    <definedName name="VOLMIEAY4">#REF!</definedName>
    <definedName name="VOLMIEAY5">#REF!</definedName>
    <definedName name="VOLMIECY1">#REF!</definedName>
    <definedName name="VOLMIECY2">#REF!</definedName>
    <definedName name="VOLMIECY3">#REF!</definedName>
    <definedName name="VOLMIECY4">#REF!</definedName>
    <definedName name="VOLMIECY5">#REF!</definedName>
    <definedName name="VOLMIEDY1">#REF!</definedName>
    <definedName name="VOLMIEDY2">#REF!</definedName>
    <definedName name="VOLMIEDY3">#REF!</definedName>
    <definedName name="VOLMIEDY4">#REF!</definedName>
    <definedName name="VOLMIEDY5">#REF!</definedName>
    <definedName name="VOLPD1">#REF!</definedName>
    <definedName name="VOLPD1LODG">#REF!</definedName>
    <definedName name="VOLPD1MIE">#REF!</definedName>
    <definedName name="VOLPD2">#REF!</definedName>
    <definedName name="VOLPD2LODG">#REF!</definedName>
    <definedName name="VOLPD2MIE">#REF!</definedName>
    <definedName name="VPMY1">#REF!</definedName>
    <definedName name="VPMY2">#REF!</definedName>
    <definedName name="VPMY3">#REF!</definedName>
    <definedName name="VPMY4">#REF!</definedName>
    <definedName name="VPMY5">#REF!</definedName>
    <definedName name="VPMY6">#REF!</definedName>
    <definedName name="waluty">#REF!</definedName>
    <definedName name="WaterQuality" hidden="1">#REF!</definedName>
    <definedName name="WaterSourceType" hidden="1">#REF!</definedName>
    <definedName name="we">#REF!</definedName>
    <definedName name="Wk_Days">#REF!</definedName>
    <definedName name="workerscomp.expat">#REF!</definedName>
    <definedName name="workerscomp.STTA">#REF!</definedName>
    <definedName name="WORKSHEET_A">#REF!</definedName>
    <definedName name="WORKSHEET_B">#REF!</definedName>
    <definedName name="WORKSHEET_C">#REF!</definedName>
    <definedName name="WORKSHEET_D">#REF!</definedName>
    <definedName name="WORKSHEET_E">#REF!</definedName>
    <definedName name="www">#REF!</definedName>
    <definedName name="wwwwwwwwwwwwwwwww" hidden="1">#REF!</definedName>
    <definedName name="X4_dayspermonth">#REF!</definedName>
    <definedName name="xc">#REF!</definedName>
    <definedName name="XX">#REF!</definedName>
    <definedName name="xxx">#REF!</definedName>
    <definedName name="xxxxx">#REF!</definedName>
    <definedName name="xxxxxx">#REF!</definedName>
    <definedName name="xxxxxxxxxxxxx">#REF!</definedName>
    <definedName name="xxxxxxxxxxxxxxxxx">#REF!</definedName>
    <definedName name="xxxxxxxxxxxxxxxxxxxxxxxxxxxx">#REF!</definedName>
    <definedName name="xxxxxxxxxxxxxxxxxxxxxxxxxxxxxxxxxxx">#REF!</definedName>
    <definedName name="xxxxxxxxxxxxxxxxxxxxxxxxxxxxxxxxxxxxxxxxxxxxxxxxxxxxxxxxx">#REF!</definedName>
    <definedName name="Year1">#REF!</definedName>
    <definedName name="yes_no" localSheetId="1">#REF!</definedName>
    <definedName name="yes_no">#REF!</definedName>
    <definedName name="YesNo" hidden="1">#REF!</definedName>
    <definedName name="Zaliczki">#REF!</definedName>
    <definedName name="zrodla_nazwa">#REF!:OFFSET(#REF!,COUNTA(#REF!)-2,0)</definedName>
    <definedName name="zrodla_nazwa_kod">#REF!:OFFSET(#REF!,COUNTA(#REF!)-2,0)</definedName>
    <definedName name="zrodlo_fin_numery">#REF!</definedName>
    <definedName name="zrodlo_fin_tekst">#REF!</definedName>
    <definedName name="zrodlo_numery">#REF!</definedName>
    <definedName name="zrodlo_opis">#REF!</definedName>
    <definedName name="zrodlo_tabela">#REF!</definedName>
    <definedName name="zrodlo_tekst">#REF!</definedName>
    <definedName name="ドルレート">#REF!</definedName>
    <definedName name="ط">#REF!</definedName>
    <definedName name="国内旅費">#REF!</definedName>
    <definedName name="国内活動費">#REF!</definedName>
    <definedName name="国内費">#REF!</definedName>
    <definedName name="地域">#REF!</definedName>
    <definedName name="基本人件費">#REF!</definedName>
    <definedName name="基盤整備費合計">#REF!</definedName>
    <definedName name="報告書作成費合計">#REF!</definedName>
    <definedName name="契約年度">#REF!</definedName>
    <definedName name="技術交換費合計">#REF!</definedName>
    <definedName name="海外活動費">#REF!</definedName>
    <definedName name="現地業務費合計">#REF!</definedName>
    <definedName name="現地研修費合計">#REF!</definedName>
    <definedName name="現地通貨レート">#REF!</definedName>
    <definedName name="直人費コンサル">#REF!</definedName>
    <definedName name="直人費合計">#REF!</definedName>
    <definedName name="直接経費">#REF!</definedName>
    <definedName name="直接費">#REF!</definedName>
    <definedName name="積算総額">#REF!</definedName>
    <definedName name="航空賃C">#REF!</definedName>
    <definedName name="航空賃Y">#REF!</definedName>
    <definedName name="設備・機材費">#REF!</definedName>
    <definedName name="調査旅費合計">#REF!</definedName>
    <definedName name="資機材費合計">#REF!</definedName>
    <definedName name="通訳単価">#REF!</definedName>
  </definedNames>
  <calcPr calcId="191028"/>
  <pivotCaches>
    <pivotCache cacheId="0" r:id="rId1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0" l="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17" i="10" l="1"/>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Q11" i="32" l="1"/>
  <c r="M8" i="32"/>
  <c r="M7" i="32"/>
  <c r="M6" i="32"/>
  <c r="Q4" i="32"/>
  <c r="Q10" i="32" s="1"/>
  <c r="H9" i="32"/>
  <c r="H8" i="32"/>
  <c r="E7" i="32"/>
  <c r="E8" i="32"/>
  <c r="E9" i="32"/>
  <c r="E10" i="32"/>
  <c r="E11" i="32"/>
  <c r="E12" i="32"/>
  <c r="E13" i="32"/>
  <c r="E14" i="32"/>
  <c r="E15" i="32"/>
  <c r="H14" i="32"/>
  <c r="H15" i="32"/>
  <c r="E16" i="32"/>
  <c r="H16" i="32"/>
  <c r="E6" i="32"/>
  <c r="H4" i="32"/>
  <c r="H13" i="32"/>
  <c r="E6" i="82"/>
  <c r="L6" i="86"/>
  <c r="L7" i="86"/>
  <c r="L8" i="86"/>
  <c r="L9" i="86"/>
  <c r="L10" i="86"/>
  <c r="L11" i="86"/>
  <c r="L12" i="86"/>
  <c r="L13" i="86"/>
  <c r="L14" i="86"/>
  <c r="L15" i="86"/>
  <c r="L16" i="86"/>
  <c r="L17" i="86"/>
  <c r="L18" i="86"/>
  <c r="L19" i="86"/>
  <c r="L20" i="86"/>
  <c r="L21" i="86"/>
  <c r="L22" i="86"/>
  <c r="L23" i="86"/>
  <c r="L24" i="86"/>
  <c r="L25" i="86"/>
  <c r="L26" i="86"/>
  <c r="L27" i="86"/>
  <c r="L28" i="86"/>
  <c r="L29" i="86"/>
  <c r="L30" i="86"/>
  <c r="L31" i="86"/>
  <c r="L32" i="86"/>
  <c r="L33" i="86"/>
  <c r="L34" i="86"/>
  <c r="L35" i="86"/>
  <c r="L36" i="86"/>
  <c r="L37" i="86"/>
  <c r="L38" i="86"/>
  <c r="L39" i="86"/>
  <c r="L40" i="86"/>
  <c r="L41" i="86"/>
  <c r="L42" i="86"/>
  <c r="L43" i="86"/>
  <c r="L44" i="86"/>
  <c r="L45" i="86"/>
  <c r="L46" i="86"/>
  <c r="L47" i="86"/>
  <c r="L48" i="86"/>
  <c r="L49" i="86"/>
  <c r="L50" i="86"/>
  <c r="L51" i="86"/>
  <c r="L52" i="86"/>
  <c r="L53" i="86"/>
  <c r="L54" i="86"/>
  <c r="L55" i="86"/>
  <c r="L56" i="86"/>
  <c r="L57" i="86"/>
  <c r="L58" i="86"/>
  <c r="L59" i="86"/>
  <c r="L60" i="86"/>
  <c r="L61" i="86"/>
  <c r="L62" i="86"/>
  <c r="L63" i="86"/>
  <c r="L64" i="86"/>
  <c r="L65" i="86"/>
  <c r="L66" i="86"/>
  <c r="L67" i="86"/>
  <c r="L68" i="86"/>
  <c r="L69" i="86"/>
  <c r="L70" i="86"/>
  <c r="L71" i="86"/>
  <c r="L72" i="86"/>
  <c r="L73" i="86"/>
  <c r="L74" i="86"/>
  <c r="L75" i="86"/>
  <c r="L76" i="86"/>
  <c r="L77" i="86"/>
  <c r="L78" i="86"/>
  <c r="L79" i="86"/>
  <c r="L80" i="86"/>
  <c r="L81" i="86"/>
  <c r="L82" i="86"/>
  <c r="L83" i="86"/>
  <c r="L84" i="86"/>
  <c r="L85" i="86"/>
  <c r="L86" i="86"/>
  <c r="L87" i="86"/>
  <c r="L88" i="86"/>
  <c r="L89" i="86"/>
  <c r="L90" i="86"/>
  <c r="L91" i="86"/>
  <c r="L92" i="86"/>
  <c r="L93" i="86"/>
  <c r="L94" i="86"/>
  <c r="L95" i="86"/>
  <c r="L96" i="86"/>
  <c r="L97" i="86"/>
  <c r="L98" i="86"/>
  <c r="L99" i="86"/>
  <c r="L100" i="86"/>
  <c r="L101" i="86"/>
  <c r="L102" i="86"/>
  <c r="L103" i="86"/>
  <c r="L104" i="86"/>
  <c r="L105" i="86"/>
  <c r="L106" i="86"/>
  <c r="L107" i="86"/>
  <c r="L108" i="86"/>
  <c r="L109" i="86"/>
  <c r="L110" i="86"/>
  <c r="L111" i="86"/>
  <c r="L112" i="86"/>
  <c r="L113" i="86"/>
  <c r="L114" i="86"/>
  <c r="L115" i="86"/>
  <c r="L116" i="86"/>
  <c r="L117" i="86"/>
  <c r="L118" i="86"/>
  <c r="L119" i="86"/>
  <c r="L120" i="86"/>
  <c r="L121" i="86"/>
  <c r="L122" i="86"/>
  <c r="L123" i="86"/>
  <c r="L124" i="86"/>
  <c r="L125" i="86"/>
  <c r="L126" i="86"/>
  <c r="L127" i="86"/>
  <c r="L128" i="86"/>
  <c r="L129" i="86"/>
  <c r="L130" i="86"/>
  <c r="L131" i="86"/>
  <c r="L132" i="86"/>
  <c r="L133" i="86"/>
  <c r="L134" i="86"/>
  <c r="L135" i="86"/>
  <c r="L136" i="86"/>
  <c r="L137" i="86"/>
  <c r="L138" i="86"/>
  <c r="L139" i="86"/>
  <c r="L140" i="86"/>
  <c r="L141" i="86"/>
  <c r="L142" i="86"/>
  <c r="L143" i="86"/>
  <c r="L144" i="86"/>
  <c r="L145" i="86"/>
  <c r="L146" i="86"/>
  <c r="L147" i="86"/>
  <c r="L148" i="86"/>
  <c r="L149" i="86"/>
  <c r="L150" i="86"/>
  <c r="L151" i="86"/>
  <c r="L152" i="86"/>
  <c r="L153" i="86"/>
  <c r="L154" i="86"/>
  <c r="L155" i="86"/>
  <c r="L156" i="86"/>
  <c r="L157" i="86"/>
  <c r="L158" i="86"/>
  <c r="L159" i="86"/>
  <c r="L160" i="86"/>
  <c r="L161" i="86"/>
  <c r="L162" i="86"/>
  <c r="L163" i="86"/>
  <c r="L164" i="86"/>
  <c r="L165" i="86"/>
  <c r="L166" i="86"/>
  <c r="L167" i="86"/>
  <c r="L168" i="86"/>
  <c r="L169" i="86"/>
  <c r="L170" i="86"/>
  <c r="L171" i="86"/>
  <c r="L172" i="86"/>
  <c r="L173" i="86"/>
  <c r="L174" i="86"/>
  <c r="L175" i="86"/>
  <c r="L176" i="86"/>
  <c r="L177" i="86"/>
  <c r="L178" i="86"/>
  <c r="L179" i="86"/>
  <c r="L180" i="86"/>
  <c r="L181" i="86"/>
  <c r="L182" i="86"/>
  <c r="L183" i="86"/>
  <c r="L184" i="86"/>
  <c r="L185" i="86"/>
  <c r="L186" i="86"/>
  <c r="L187" i="86"/>
  <c r="L188" i="86"/>
  <c r="L189" i="86"/>
  <c r="L190" i="86"/>
  <c r="L191" i="86"/>
  <c r="L192" i="86"/>
  <c r="L193" i="86"/>
  <c r="L194" i="86"/>
  <c r="L195" i="86"/>
  <c r="L196" i="86"/>
  <c r="L197" i="86"/>
  <c r="L198" i="86"/>
  <c r="L199" i="86"/>
  <c r="L200" i="86"/>
  <c r="L201" i="86"/>
  <c r="L202" i="86"/>
  <c r="L203" i="86"/>
  <c r="L204" i="86"/>
  <c r="L205" i="86"/>
  <c r="L206" i="86"/>
  <c r="L207" i="86"/>
  <c r="L208" i="86"/>
  <c r="L209" i="86"/>
  <c r="L210" i="86"/>
  <c r="L211" i="86"/>
  <c r="L212" i="86"/>
  <c r="L213" i="86"/>
  <c r="L214" i="86"/>
  <c r="L215" i="86"/>
  <c r="L216" i="86"/>
  <c r="L217" i="86"/>
  <c r="L218" i="86"/>
  <c r="L219" i="86"/>
  <c r="L220" i="86"/>
  <c r="L221" i="86"/>
  <c r="L222" i="86"/>
  <c r="L223" i="86"/>
  <c r="L224" i="86"/>
  <c r="L225" i="86"/>
  <c r="L226" i="86"/>
  <c r="L227" i="86"/>
  <c r="L228" i="86"/>
  <c r="L229" i="86"/>
  <c r="L230" i="86"/>
  <c r="L231" i="86"/>
  <c r="L232" i="86"/>
  <c r="L233" i="86"/>
  <c r="L234" i="86"/>
  <c r="L235" i="86"/>
  <c r="L236" i="86"/>
  <c r="L237" i="86"/>
  <c r="L238" i="86"/>
  <c r="L239" i="86"/>
  <c r="L240" i="86"/>
  <c r="L241" i="86"/>
  <c r="L242" i="86"/>
  <c r="L243" i="86"/>
  <c r="L244" i="86"/>
  <c r="L245" i="86"/>
  <c r="L246" i="86"/>
  <c r="L247" i="86"/>
  <c r="L248" i="86"/>
  <c r="L249" i="86"/>
  <c r="L250" i="86"/>
  <c r="L251" i="86"/>
  <c r="L252" i="86"/>
  <c r="L253" i="86"/>
  <c r="L254" i="86"/>
  <c r="L255" i="86"/>
  <c r="L256" i="86"/>
  <c r="L257" i="86"/>
  <c r="L258" i="86"/>
  <c r="L259" i="86"/>
  <c r="L260" i="86"/>
  <c r="L261" i="86"/>
  <c r="L262" i="86"/>
  <c r="L263" i="86"/>
  <c r="L264" i="86"/>
  <c r="L265" i="86"/>
  <c r="L266" i="86"/>
  <c r="L267" i="86"/>
  <c r="L268" i="86"/>
  <c r="L269" i="86"/>
  <c r="L270" i="86"/>
  <c r="L271" i="86"/>
  <c r="L272" i="86"/>
  <c r="L273" i="86"/>
  <c r="L274" i="86"/>
  <c r="L275" i="86"/>
  <c r="L276" i="86"/>
  <c r="L277" i="86"/>
  <c r="L278" i="86"/>
  <c r="L279" i="86"/>
  <c r="L280" i="86"/>
  <c r="L281" i="86"/>
  <c r="L282" i="86"/>
  <c r="L283" i="86"/>
  <c r="L284" i="86"/>
  <c r="L285" i="86"/>
  <c r="L286" i="86"/>
  <c r="L287" i="86"/>
  <c r="L288" i="86"/>
  <c r="L289" i="86"/>
  <c r="L290" i="86"/>
  <c r="L291" i="86"/>
  <c r="L292" i="86"/>
  <c r="L293" i="86"/>
  <c r="L294" i="86"/>
  <c r="L295" i="86"/>
  <c r="L296" i="86"/>
  <c r="L297" i="86"/>
  <c r="L298" i="86"/>
  <c r="L299" i="86"/>
  <c r="L300" i="86"/>
  <c r="L301" i="86"/>
  <c r="L302" i="86"/>
  <c r="L303" i="86"/>
  <c r="L304" i="86"/>
  <c r="L305" i="86"/>
  <c r="L306" i="86"/>
  <c r="L307" i="86"/>
  <c r="L308" i="86"/>
  <c r="L309" i="86"/>
  <c r="L310" i="86"/>
  <c r="L311" i="86"/>
  <c r="L312" i="86"/>
  <c r="L313" i="86"/>
  <c r="L314" i="86"/>
  <c r="L315" i="86"/>
  <c r="L316" i="86"/>
  <c r="L317" i="86"/>
  <c r="L318" i="86"/>
  <c r="L319" i="86"/>
  <c r="L320" i="86"/>
  <c r="L321" i="86"/>
  <c r="L322" i="86"/>
  <c r="L323" i="86"/>
  <c r="L324" i="86"/>
  <c r="L325" i="86"/>
  <c r="L326" i="86"/>
  <c r="L327" i="86"/>
  <c r="L328" i="86"/>
  <c r="L329" i="86"/>
  <c r="L330" i="86"/>
  <c r="L331" i="86"/>
  <c r="L332" i="86"/>
  <c r="L333" i="86"/>
  <c r="L334" i="86"/>
  <c r="L335" i="86"/>
  <c r="L336" i="86"/>
  <c r="L337" i="86"/>
  <c r="L338" i="86"/>
  <c r="L339" i="86"/>
  <c r="L340" i="86"/>
  <c r="L341" i="86"/>
  <c r="L342" i="86"/>
  <c r="L343" i="86"/>
  <c r="L344" i="86"/>
  <c r="L345" i="86"/>
  <c r="L346" i="86"/>
  <c r="L347" i="86"/>
  <c r="L348" i="86"/>
  <c r="L349" i="86"/>
  <c r="L350" i="86"/>
  <c r="L351" i="86"/>
  <c r="L352" i="86"/>
  <c r="L353" i="86"/>
  <c r="L354" i="86"/>
  <c r="L355" i="86"/>
  <c r="L356" i="86"/>
  <c r="L357" i="86"/>
  <c r="L358" i="86"/>
  <c r="L359" i="86"/>
  <c r="L360" i="86"/>
  <c r="L361" i="86"/>
  <c r="L362" i="86"/>
  <c r="L363" i="86"/>
  <c r="L364" i="86"/>
  <c r="L365" i="86"/>
  <c r="L366" i="86"/>
  <c r="L367" i="86"/>
  <c r="L368" i="86"/>
  <c r="L369" i="86"/>
  <c r="L370" i="86"/>
  <c r="L371" i="86"/>
  <c r="L372" i="86"/>
  <c r="L373" i="86"/>
  <c r="L374" i="86"/>
  <c r="L375" i="86"/>
  <c r="L376" i="86"/>
  <c r="L377" i="86"/>
  <c r="L378" i="86"/>
  <c r="L379" i="86"/>
  <c r="L380" i="86"/>
  <c r="L381" i="86"/>
  <c r="L382" i="86"/>
  <c r="L383" i="86"/>
  <c r="L384" i="86"/>
  <c r="L385" i="86"/>
  <c r="L386" i="86"/>
  <c r="L387" i="86"/>
  <c r="L388" i="86"/>
  <c r="L389" i="86"/>
  <c r="L390" i="86"/>
  <c r="L391" i="86"/>
  <c r="L392" i="86"/>
  <c r="L393" i="86"/>
  <c r="L394" i="86"/>
  <c r="L395" i="86"/>
  <c r="L396" i="86"/>
  <c r="L397" i="86"/>
  <c r="L398" i="86"/>
  <c r="L399" i="86"/>
  <c r="L400" i="86"/>
  <c r="L401" i="86"/>
  <c r="L402" i="86"/>
  <c r="L403" i="86"/>
  <c r="L404" i="86"/>
  <c r="L405" i="86"/>
  <c r="L406" i="86"/>
  <c r="L407" i="86"/>
  <c r="L408" i="86"/>
  <c r="L409" i="86"/>
  <c r="L410" i="86"/>
  <c r="L411" i="86"/>
  <c r="L412" i="86"/>
  <c r="L413" i="86"/>
  <c r="L414" i="86"/>
  <c r="L415" i="86"/>
  <c r="L416" i="86"/>
  <c r="L417" i="86"/>
  <c r="L418" i="86"/>
  <c r="L419" i="86"/>
  <c r="L420" i="86"/>
  <c r="L421" i="86"/>
  <c r="L422" i="86"/>
  <c r="L423" i="86"/>
  <c r="L424" i="86"/>
  <c r="L425" i="86"/>
  <c r="L426" i="86"/>
  <c r="L427" i="86"/>
  <c r="L428" i="86"/>
  <c r="L429" i="86"/>
  <c r="L430" i="86"/>
  <c r="L431" i="86"/>
  <c r="L432" i="86"/>
  <c r="L433" i="86"/>
  <c r="L434" i="86"/>
  <c r="L435" i="86"/>
  <c r="L436" i="86"/>
  <c r="L437" i="86"/>
  <c r="L438" i="86"/>
  <c r="L439" i="86"/>
  <c r="L440" i="86"/>
  <c r="L441" i="86"/>
  <c r="L442" i="86"/>
  <c r="L443" i="86"/>
  <c r="L444" i="86"/>
  <c r="L445" i="86"/>
  <c r="L446" i="86"/>
  <c r="L447" i="86"/>
  <c r="L448" i="86"/>
  <c r="L449" i="86"/>
  <c r="L450" i="86"/>
  <c r="L451" i="86"/>
  <c r="L452" i="86"/>
  <c r="L453" i="86"/>
  <c r="L454" i="86"/>
  <c r="L455" i="86"/>
  <c r="L456" i="86"/>
  <c r="L457" i="86"/>
  <c r="L458" i="86"/>
  <c r="L459" i="86"/>
  <c r="L460" i="86"/>
  <c r="L461" i="86"/>
  <c r="L462" i="86"/>
  <c r="L463" i="86"/>
  <c r="L464" i="86"/>
  <c r="L465" i="86"/>
  <c r="L466" i="86"/>
  <c r="L467" i="86"/>
  <c r="L468" i="86"/>
  <c r="L469" i="86"/>
  <c r="L470" i="86"/>
  <c r="L471" i="86"/>
  <c r="L472" i="86"/>
  <c r="L473" i="86"/>
  <c r="L474" i="86"/>
  <c r="L475" i="86"/>
  <c r="L476" i="86"/>
  <c r="L477" i="86"/>
  <c r="L478" i="86"/>
  <c r="L479" i="86"/>
  <c r="L480" i="86"/>
  <c r="L481" i="86"/>
  <c r="L482" i="86"/>
  <c r="L483" i="86"/>
  <c r="L484" i="86"/>
  <c r="L485" i="86"/>
  <c r="L486" i="86"/>
  <c r="L487" i="86"/>
  <c r="L488" i="86"/>
  <c r="L489" i="86"/>
  <c r="L490" i="86"/>
  <c r="L491" i="86"/>
  <c r="L492" i="86"/>
  <c r="L493" i="86"/>
  <c r="L494" i="86"/>
  <c r="L495" i="86"/>
  <c r="L496" i="86"/>
  <c r="L497" i="86"/>
  <c r="L498" i="86"/>
  <c r="L499" i="86"/>
  <c r="L500" i="86"/>
  <c r="L501" i="86"/>
  <c r="L502" i="86"/>
  <c r="L503" i="86"/>
  <c r="L504" i="86"/>
  <c r="L505" i="86"/>
  <c r="L506" i="86"/>
  <c r="L507" i="86"/>
  <c r="L508" i="86"/>
  <c r="L509" i="86"/>
  <c r="L510" i="86"/>
  <c r="L511" i="86"/>
  <c r="L512" i="86"/>
  <c r="L513" i="86"/>
  <c r="L514" i="86"/>
  <c r="L515" i="86"/>
  <c r="L516" i="86"/>
  <c r="L517" i="86"/>
  <c r="L518" i="86"/>
  <c r="L519" i="86"/>
  <c r="L520" i="86"/>
  <c r="L521" i="86"/>
  <c r="L522" i="86"/>
  <c r="L523" i="86"/>
  <c r="L524" i="86"/>
  <c r="L525" i="86"/>
  <c r="L526" i="86"/>
  <c r="L527" i="86"/>
  <c r="L528" i="86"/>
  <c r="L529" i="86"/>
  <c r="L530" i="86"/>
  <c r="L531" i="86"/>
  <c r="L532" i="86"/>
  <c r="L533" i="86"/>
  <c r="L534" i="86"/>
  <c r="L535" i="86"/>
  <c r="L536" i="86"/>
  <c r="L537" i="86"/>
  <c r="L538" i="86"/>
  <c r="L539" i="86"/>
  <c r="L540" i="86"/>
  <c r="L541" i="86"/>
  <c r="L542" i="86"/>
  <c r="L543" i="86"/>
  <c r="L544" i="86"/>
  <c r="L545" i="86"/>
  <c r="L546" i="86"/>
  <c r="L547" i="86"/>
  <c r="L548" i="86"/>
  <c r="L549" i="86"/>
  <c r="L550" i="86"/>
  <c r="L551" i="86"/>
  <c r="L552" i="86"/>
  <c r="L553" i="86"/>
  <c r="L554" i="86"/>
  <c r="L555" i="86"/>
  <c r="L556" i="86"/>
  <c r="L557" i="86"/>
  <c r="L558" i="86"/>
  <c r="L559" i="86"/>
  <c r="L560" i="86"/>
  <c r="L561" i="86"/>
  <c r="L562" i="86"/>
  <c r="L563" i="86"/>
  <c r="L564" i="86"/>
  <c r="L565" i="86"/>
  <c r="L566" i="86"/>
  <c r="L567" i="86"/>
  <c r="L568" i="86"/>
  <c r="L569" i="86"/>
  <c r="L570" i="86"/>
  <c r="L571" i="86"/>
  <c r="L572" i="86"/>
  <c r="L573" i="86"/>
  <c r="L574" i="86"/>
  <c r="L575" i="86"/>
  <c r="L576" i="86"/>
  <c r="L577" i="86"/>
  <c r="L578" i="86"/>
  <c r="L579" i="86"/>
  <c r="L580" i="86"/>
  <c r="L581" i="86"/>
  <c r="L582" i="86"/>
  <c r="L583" i="86"/>
  <c r="L584" i="86"/>
  <c r="L585" i="86"/>
  <c r="L586" i="86"/>
  <c r="L587" i="86"/>
  <c r="L588" i="86"/>
  <c r="L589" i="86"/>
  <c r="L590" i="86"/>
  <c r="L591" i="86"/>
  <c r="L592" i="86"/>
  <c r="L593" i="86"/>
  <c r="L594" i="86"/>
  <c r="L595" i="86"/>
  <c r="L596" i="86"/>
  <c r="L597" i="86"/>
  <c r="L598" i="86"/>
  <c r="L599" i="86"/>
  <c r="L600" i="86"/>
  <c r="L601" i="86"/>
  <c r="L602" i="86"/>
  <c r="L603" i="86"/>
  <c r="L604" i="86"/>
  <c r="L605" i="86"/>
  <c r="L606" i="86"/>
  <c r="L607" i="86"/>
  <c r="L608" i="86"/>
  <c r="L609" i="86"/>
  <c r="L610" i="86"/>
  <c r="L611" i="86"/>
  <c r="L612" i="86"/>
  <c r="L613" i="86"/>
  <c r="L614" i="86"/>
  <c r="L615" i="86"/>
  <c r="L616" i="86"/>
  <c r="L617" i="86"/>
  <c r="L618" i="86"/>
  <c r="L619" i="86"/>
  <c r="L620" i="86"/>
  <c r="L621" i="86"/>
  <c r="L622" i="86"/>
  <c r="L623" i="86"/>
  <c r="L624" i="86"/>
  <c r="L625" i="86"/>
  <c r="L626" i="86"/>
  <c r="L627" i="86"/>
  <c r="L628" i="86"/>
  <c r="L629" i="86"/>
  <c r="L630" i="86"/>
  <c r="L631" i="86"/>
  <c r="L632" i="86"/>
  <c r="L633" i="86"/>
  <c r="L634" i="86"/>
  <c r="L635" i="86"/>
  <c r="L636" i="86"/>
  <c r="L637" i="86"/>
  <c r="L638" i="86"/>
  <c r="L639" i="86"/>
  <c r="L640" i="86"/>
  <c r="L641" i="86"/>
  <c r="L642" i="86"/>
  <c r="L643" i="86"/>
  <c r="L644" i="86"/>
  <c r="L645" i="86"/>
  <c r="L646" i="86"/>
  <c r="L647" i="86"/>
  <c r="L648" i="86"/>
  <c r="L649" i="86"/>
  <c r="L650" i="86"/>
  <c r="L651" i="86"/>
  <c r="L652" i="86"/>
  <c r="L653" i="86"/>
  <c r="L654" i="86"/>
  <c r="L655" i="86"/>
  <c r="L656" i="86"/>
  <c r="L657" i="86"/>
  <c r="L658" i="86"/>
  <c r="L659" i="86"/>
  <c r="L660" i="86"/>
  <c r="L661" i="86"/>
  <c r="L662" i="86"/>
  <c r="L663" i="86"/>
  <c r="L664" i="86"/>
  <c r="L665" i="86"/>
  <c r="L666" i="86"/>
  <c r="L667" i="86"/>
  <c r="L668" i="86"/>
  <c r="L669" i="86"/>
  <c r="L670" i="86"/>
  <c r="L671" i="86"/>
  <c r="L672" i="86"/>
  <c r="L673" i="86"/>
  <c r="L674" i="86"/>
  <c r="L675" i="86"/>
  <c r="L676" i="86"/>
  <c r="L677" i="86"/>
  <c r="L678" i="86"/>
  <c r="L679" i="86"/>
  <c r="L680" i="86"/>
  <c r="L681" i="86"/>
  <c r="L682" i="86"/>
  <c r="L683" i="86"/>
  <c r="L684" i="86"/>
  <c r="L685" i="86"/>
  <c r="L686" i="86"/>
  <c r="L687" i="86"/>
  <c r="L688" i="86"/>
  <c r="L689" i="86"/>
  <c r="L690" i="86"/>
  <c r="L691" i="86"/>
  <c r="L692" i="86"/>
  <c r="L693" i="86"/>
  <c r="L694" i="86"/>
  <c r="L695" i="86"/>
  <c r="L696" i="86"/>
  <c r="L697" i="86"/>
  <c r="L698" i="86"/>
  <c r="L699" i="86"/>
  <c r="L700" i="86"/>
  <c r="L701" i="86"/>
  <c r="L702" i="86"/>
  <c r="L703" i="86"/>
  <c r="L704" i="86"/>
  <c r="G20" i="8"/>
  <c r="G21" i="8"/>
  <c r="G22" i="8"/>
  <c r="BC704" i="86"/>
  <c r="AZ704" i="86"/>
  <c r="AW704" i="86"/>
  <c r="AT704" i="86"/>
  <c r="AQ704" i="86"/>
  <c r="AN704" i="86"/>
  <c r="AK704" i="86"/>
  <c r="AH704" i="86"/>
  <c r="AE704" i="86"/>
  <c r="AB704" i="86"/>
  <c r="Y704" i="86"/>
  <c r="V704" i="86"/>
  <c r="S704" i="86"/>
  <c r="P704" i="86"/>
  <c r="G704" i="86"/>
  <c r="F704" i="86"/>
  <c r="BC703" i="86"/>
  <c r="AZ703" i="86"/>
  <c r="AW703" i="86"/>
  <c r="AT703" i="86"/>
  <c r="AQ703" i="86"/>
  <c r="AN703" i="86"/>
  <c r="AK703" i="86"/>
  <c r="AH703" i="86"/>
  <c r="AE703" i="86"/>
  <c r="AB703" i="86"/>
  <c r="Y703" i="86"/>
  <c r="V703" i="86"/>
  <c r="S703" i="86"/>
  <c r="P703" i="86"/>
  <c r="G703" i="86"/>
  <c r="F703" i="86"/>
  <c r="BC702" i="86"/>
  <c r="AZ702" i="86"/>
  <c r="AW702" i="86"/>
  <c r="AT702" i="86"/>
  <c r="AQ702" i="86"/>
  <c r="AN702" i="86"/>
  <c r="AK702" i="86"/>
  <c r="AH702" i="86"/>
  <c r="AE702" i="86"/>
  <c r="AB702" i="86"/>
  <c r="Y702" i="86"/>
  <c r="V702" i="86"/>
  <c r="S702" i="86"/>
  <c r="P702" i="86"/>
  <c r="G702" i="86"/>
  <c r="F702" i="86"/>
  <c r="BC701" i="86"/>
  <c r="AZ701" i="86"/>
  <c r="AW701" i="86"/>
  <c r="AT701" i="86"/>
  <c r="AQ701" i="86"/>
  <c r="AN701" i="86"/>
  <c r="AK701" i="86"/>
  <c r="AH701" i="86"/>
  <c r="AE701" i="86"/>
  <c r="AB701" i="86"/>
  <c r="Y701" i="86"/>
  <c r="V701" i="86"/>
  <c r="S701" i="86"/>
  <c r="P701" i="86"/>
  <c r="G701" i="86"/>
  <c r="F701" i="86"/>
  <c r="BC700" i="86"/>
  <c r="AZ700" i="86"/>
  <c r="AW700" i="86"/>
  <c r="AT700" i="86"/>
  <c r="AQ700" i="86"/>
  <c r="AN700" i="86"/>
  <c r="AK700" i="86"/>
  <c r="AH700" i="86"/>
  <c r="AE700" i="86"/>
  <c r="AB700" i="86"/>
  <c r="Y700" i="86"/>
  <c r="V700" i="86"/>
  <c r="S700" i="86"/>
  <c r="P700" i="86"/>
  <c r="G700" i="86"/>
  <c r="F700" i="86"/>
  <c r="BC699" i="86"/>
  <c r="AZ699" i="86"/>
  <c r="AW699" i="86"/>
  <c r="AT699" i="86"/>
  <c r="AQ699" i="86"/>
  <c r="AN699" i="86"/>
  <c r="AK699" i="86"/>
  <c r="AH699" i="86"/>
  <c r="AE699" i="86"/>
  <c r="AB699" i="86"/>
  <c r="Y699" i="86"/>
  <c r="V699" i="86"/>
  <c r="S699" i="86"/>
  <c r="P699" i="86"/>
  <c r="G699" i="86"/>
  <c r="F699" i="86"/>
  <c r="BC698" i="86"/>
  <c r="AZ698" i="86"/>
  <c r="AW698" i="86"/>
  <c r="AT698" i="86"/>
  <c r="AQ698" i="86"/>
  <c r="AN698" i="86"/>
  <c r="AK698" i="86"/>
  <c r="AH698" i="86"/>
  <c r="AE698" i="86"/>
  <c r="AB698" i="86"/>
  <c r="Y698" i="86"/>
  <c r="V698" i="86"/>
  <c r="S698" i="86"/>
  <c r="P698" i="86"/>
  <c r="G698" i="86"/>
  <c r="F698" i="86"/>
  <c r="BC697" i="86"/>
  <c r="AZ697" i="86"/>
  <c r="AW697" i="86"/>
  <c r="AT697" i="86"/>
  <c r="AQ697" i="86"/>
  <c r="AN697" i="86"/>
  <c r="AK697" i="86"/>
  <c r="AH697" i="86"/>
  <c r="AE697" i="86"/>
  <c r="AB697" i="86"/>
  <c r="Y697" i="86"/>
  <c r="M697" i="86" s="1"/>
  <c r="V697" i="86"/>
  <c r="S697" i="86"/>
  <c r="P697" i="86"/>
  <c r="G697" i="86"/>
  <c r="F697" i="86"/>
  <c r="BC696" i="86"/>
  <c r="AZ696" i="86"/>
  <c r="AW696" i="86"/>
  <c r="AT696" i="86"/>
  <c r="AQ696" i="86"/>
  <c r="AN696" i="86"/>
  <c r="AK696" i="86"/>
  <c r="AH696" i="86"/>
  <c r="AE696" i="86"/>
  <c r="AB696" i="86"/>
  <c r="Y696" i="86"/>
  <c r="V696" i="86"/>
  <c r="S696" i="86"/>
  <c r="P696" i="86"/>
  <c r="G696" i="86"/>
  <c r="F696" i="86"/>
  <c r="BC695" i="86"/>
  <c r="AZ695" i="86"/>
  <c r="AW695" i="86"/>
  <c r="AT695" i="86"/>
  <c r="AQ695" i="86"/>
  <c r="AN695" i="86"/>
  <c r="AK695" i="86"/>
  <c r="AH695" i="86"/>
  <c r="AE695" i="86"/>
  <c r="AB695" i="86"/>
  <c r="Y695" i="86"/>
  <c r="M695" i="86" s="1"/>
  <c r="V695" i="86"/>
  <c r="S695" i="86"/>
  <c r="P695" i="86"/>
  <c r="G695" i="86"/>
  <c r="F695" i="86"/>
  <c r="BC694" i="86"/>
  <c r="AZ694" i="86"/>
  <c r="AW694" i="86"/>
  <c r="AT694" i="86"/>
  <c r="AQ694" i="86"/>
  <c r="AN694" i="86"/>
  <c r="AK694" i="86"/>
  <c r="AH694" i="86"/>
  <c r="AE694" i="86"/>
  <c r="AB694" i="86"/>
  <c r="Y694" i="86"/>
  <c r="V694" i="86"/>
  <c r="S694" i="86"/>
  <c r="P694" i="86"/>
  <c r="G694" i="86"/>
  <c r="F694" i="86"/>
  <c r="BC693" i="86"/>
  <c r="AZ693" i="86"/>
  <c r="AW693" i="86"/>
  <c r="AT693" i="86"/>
  <c r="AQ693" i="86"/>
  <c r="AN693" i="86"/>
  <c r="AK693" i="86"/>
  <c r="AH693" i="86"/>
  <c r="AE693" i="86"/>
  <c r="AB693" i="86"/>
  <c r="Y693" i="86"/>
  <c r="V693" i="86"/>
  <c r="S693" i="86"/>
  <c r="P693" i="86"/>
  <c r="G693" i="86"/>
  <c r="F693" i="86"/>
  <c r="BC692" i="86"/>
  <c r="AZ692" i="86"/>
  <c r="AW692" i="86"/>
  <c r="AT692" i="86"/>
  <c r="AQ692" i="86"/>
  <c r="AN692" i="86"/>
  <c r="AK692" i="86"/>
  <c r="AH692" i="86"/>
  <c r="AE692" i="86"/>
  <c r="AB692" i="86"/>
  <c r="Y692" i="86"/>
  <c r="V692" i="86"/>
  <c r="S692" i="86"/>
  <c r="P692" i="86"/>
  <c r="G692" i="86"/>
  <c r="F692" i="86"/>
  <c r="BC691" i="86"/>
  <c r="AZ691" i="86"/>
  <c r="AW691" i="86"/>
  <c r="AT691" i="86"/>
  <c r="AQ691" i="86"/>
  <c r="AN691" i="86"/>
  <c r="AK691" i="86"/>
  <c r="AH691" i="86"/>
  <c r="AE691" i="86"/>
  <c r="AB691" i="86"/>
  <c r="Y691" i="86"/>
  <c r="M691" i="86" s="1"/>
  <c r="V691" i="86"/>
  <c r="S691" i="86"/>
  <c r="P691" i="86"/>
  <c r="G691" i="86"/>
  <c r="F691" i="86"/>
  <c r="BC690" i="86"/>
  <c r="AZ690" i="86"/>
  <c r="AW690" i="86"/>
  <c r="AT690" i="86"/>
  <c r="AQ690" i="86"/>
  <c r="AN690" i="86"/>
  <c r="AK690" i="86"/>
  <c r="AH690" i="86"/>
  <c r="AE690" i="86"/>
  <c r="AB690" i="86"/>
  <c r="Y690" i="86"/>
  <c r="V690" i="86"/>
  <c r="S690" i="86"/>
  <c r="P690" i="86"/>
  <c r="G690" i="86"/>
  <c r="F690" i="86"/>
  <c r="BC689" i="86"/>
  <c r="AZ689" i="86"/>
  <c r="AW689" i="86"/>
  <c r="AT689" i="86"/>
  <c r="AQ689" i="86"/>
  <c r="AN689" i="86"/>
  <c r="AK689" i="86"/>
  <c r="AH689" i="86"/>
  <c r="AE689" i="86"/>
  <c r="AB689" i="86"/>
  <c r="Y689" i="86"/>
  <c r="M689" i="86" s="1"/>
  <c r="V689" i="86"/>
  <c r="S689" i="86"/>
  <c r="P689" i="86"/>
  <c r="G689" i="86"/>
  <c r="F689" i="86"/>
  <c r="BC688" i="86"/>
  <c r="AZ688" i="86"/>
  <c r="AW688" i="86"/>
  <c r="AT688" i="86"/>
  <c r="AQ688" i="86"/>
  <c r="AN688" i="86"/>
  <c r="AK688" i="86"/>
  <c r="AH688" i="86"/>
  <c r="AE688" i="86"/>
  <c r="AB688" i="86"/>
  <c r="Y688" i="86"/>
  <c r="V688" i="86"/>
  <c r="S688" i="86"/>
  <c r="P688" i="86"/>
  <c r="G688" i="86"/>
  <c r="F688" i="86"/>
  <c r="BC687" i="86"/>
  <c r="AZ687" i="86"/>
  <c r="AW687" i="86"/>
  <c r="AT687" i="86"/>
  <c r="AQ687" i="86"/>
  <c r="AN687" i="86"/>
  <c r="AK687" i="86"/>
  <c r="AH687" i="86"/>
  <c r="AE687" i="86"/>
  <c r="AB687" i="86"/>
  <c r="Y687" i="86"/>
  <c r="M687" i="86" s="1"/>
  <c r="V687" i="86"/>
  <c r="S687" i="86"/>
  <c r="P687" i="86"/>
  <c r="G687" i="86"/>
  <c r="F687" i="86"/>
  <c r="BC686" i="86"/>
  <c r="AZ686" i="86"/>
  <c r="AW686" i="86"/>
  <c r="AT686" i="86"/>
  <c r="AQ686" i="86"/>
  <c r="AN686" i="86"/>
  <c r="AK686" i="86"/>
  <c r="AH686" i="86"/>
  <c r="AE686" i="86"/>
  <c r="AB686" i="86"/>
  <c r="Y686" i="86"/>
  <c r="V686" i="86"/>
  <c r="S686" i="86"/>
  <c r="P686" i="86"/>
  <c r="G686" i="86"/>
  <c r="F686" i="86"/>
  <c r="BC685" i="86"/>
  <c r="AZ685" i="86"/>
  <c r="AW685" i="86"/>
  <c r="AT685" i="86"/>
  <c r="AQ685" i="86"/>
  <c r="AN685" i="86"/>
  <c r="AK685" i="86"/>
  <c r="AH685" i="86"/>
  <c r="AE685" i="86"/>
  <c r="AB685" i="86"/>
  <c r="Y685" i="86"/>
  <c r="M685" i="86" s="1"/>
  <c r="V685" i="86"/>
  <c r="S685" i="86"/>
  <c r="P685" i="86"/>
  <c r="G685" i="86"/>
  <c r="F685" i="86"/>
  <c r="BC684" i="86"/>
  <c r="AZ684" i="86"/>
  <c r="AW684" i="86"/>
  <c r="AT684" i="86"/>
  <c r="AQ684" i="86"/>
  <c r="AN684" i="86"/>
  <c r="AK684" i="86"/>
  <c r="AH684" i="86"/>
  <c r="AE684" i="86"/>
  <c r="AB684" i="86"/>
  <c r="Y684" i="86"/>
  <c r="V684" i="86"/>
  <c r="S684" i="86"/>
  <c r="P684" i="86"/>
  <c r="G684" i="86"/>
  <c r="F684" i="86"/>
  <c r="BC683" i="86"/>
  <c r="AZ683" i="86"/>
  <c r="AW683" i="86"/>
  <c r="AT683" i="86"/>
  <c r="AQ683" i="86"/>
  <c r="AN683" i="86"/>
  <c r="AK683" i="86"/>
  <c r="AH683" i="86"/>
  <c r="AE683" i="86"/>
  <c r="AB683" i="86"/>
  <c r="Y683" i="86"/>
  <c r="V683" i="86"/>
  <c r="S683" i="86"/>
  <c r="P683" i="86"/>
  <c r="G683" i="86"/>
  <c r="F683" i="86"/>
  <c r="BC682" i="86"/>
  <c r="AZ682" i="86"/>
  <c r="AW682" i="86"/>
  <c r="AT682" i="86"/>
  <c r="AQ682" i="86"/>
  <c r="AN682" i="86"/>
  <c r="AK682" i="86"/>
  <c r="AH682" i="86"/>
  <c r="AE682" i="86"/>
  <c r="AB682" i="86"/>
  <c r="Y682" i="86"/>
  <c r="V682" i="86"/>
  <c r="S682" i="86"/>
  <c r="P682" i="86"/>
  <c r="G682" i="86"/>
  <c r="F682" i="86"/>
  <c r="BC681" i="86"/>
  <c r="AZ681" i="86"/>
  <c r="AW681" i="86"/>
  <c r="AT681" i="86"/>
  <c r="AQ681" i="86"/>
  <c r="AN681" i="86"/>
  <c r="AK681" i="86"/>
  <c r="AH681" i="86"/>
  <c r="AE681" i="86"/>
  <c r="AB681" i="86"/>
  <c r="Y681" i="86"/>
  <c r="V681" i="86"/>
  <c r="S681" i="86"/>
  <c r="P681" i="86"/>
  <c r="G681" i="86"/>
  <c r="F681" i="86"/>
  <c r="BC680" i="86"/>
  <c r="AZ680" i="86"/>
  <c r="AW680" i="86"/>
  <c r="AT680" i="86"/>
  <c r="AQ680" i="86"/>
  <c r="AN680" i="86"/>
  <c r="AK680" i="86"/>
  <c r="AH680" i="86"/>
  <c r="AE680" i="86"/>
  <c r="AB680" i="86"/>
  <c r="Y680" i="86"/>
  <c r="V680" i="86"/>
  <c r="S680" i="86"/>
  <c r="P680" i="86"/>
  <c r="G680" i="86"/>
  <c r="F680" i="86"/>
  <c r="BC679" i="86"/>
  <c r="AZ679" i="86"/>
  <c r="AW679" i="86"/>
  <c r="AT679" i="86"/>
  <c r="AQ679" i="86"/>
  <c r="AN679" i="86"/>
  <c r="AK679" i="86"/>
  <c r="AH679" i="86"/>
  <c r="AE679" i="86"/>
  <c r="AB679" i="86"/>
  <c r="Y679" i="86"/>
  <c r="V679" i="86"/>
  <c r="S679" i="86"/>
  <c r="P679" i="86"/>
  <c r="G679" i="86"/>
  <c r="F679" i="86"/>
  <c r="BC678" i="86"/>
  <c r="AZ678" i="86"/>
  <c r="AW678" i="86"/>
  <c r="AT678" i="86"/>
  <c r="AQ678" i="86"/>
  <c r="AN678" i="86"/>
  <c r="AK678" i="86"/>
  <c r="AH678" i="86"/>
  <c r="AE678" i="86"/>
  <c r="AB678" i="86"/>
  <c r="Y678" i="86"/>
  <c r="V678" i="86"/>
  <c r="S678" i="86"/>
  <c r="P678" i="86"/>
  <c r="G678" i="86"/>
  <c r="F678" i="86"/>
  <c r="BC677" i="86"/>
  <c r="AZ677" i="86"/>
  <c r="AW677" i="86"/>
  <c r="AT677" i="86"/>
  <c r="AQ677" i="86"/>
  <c r="AN677" i="86"/>
  <c r="AK677" i="86"/>
  <c r="AH677" i="86"/>
  <c r="AE677" i="86"/>
  <c r="AB677" i="86"/>
  <c r="Y677" i="86"/>
  <c r="V677" i="86"/>
  <c r="S677" i="86"/>
  <c r="P677" i="86"/>
  <c r="G677" i="86"/>
  <c r="F677" i="86"/>
  <c r="BC676" i="86"/>
  <c r="AZ676" i="86"/>
  <c r="AW676" i="86"/>
  <c r="AT676" i="86"/>
  <c r="AQ676" i="86"/>
  <c r="AN676" i="86"/>
  <c r="AK676" i="86"/>
  <c r="AH676" i="86"/>
  <c r="AE676" i="86"/>
  <c r="AB676" i="86"/>
  <c r="Y676" i="86"/>
  <c r="V676" i="86"/>
  <c r="S676" i="86"/>
  <c r="P676" i="86"/>
  <c r="G676" i="86"/>
  <c r="F676" i="86"/>
  <c r="BC675" i="86"/>
  <c r="AZ675" i="86"/>
  <c r="AW675" i="86"/>
  <c r="AT675" i="86"/>
  <c r="AQ675" i="86"/>
  <c r="AN675" i="86"/>
  <c r="AK675" i="86"/>
  <c r="AH675" i="86"/>
  <c r="AE675" i="86"/>
  <c r="AB675" i="86"/>
  <c r="Y675" i="86"/>
  <c r="V675" i="86"/>
  <c r="S675" i="86"/>
  <c r="P675" i="86"/>
  <c r="G675" i="86"/>
  <c r="F675" i="86"/>
  <c r="BC674" i="86"/>
  <c r="AZ674" i="86"/>
  <c r="AW674" i="86"/>
  <c r="AT674" i="86"/>
  <c r="AQ674" i="86"/>
  <c r="AN674" i="86"/>
  <c r="AK674" i="86"/>
  <c r="AH674" i="86"/>
  <c r="AE674" i="86"/>
  <c r="AB674" i="86"/>
  <c r="Y674" i="86"/>
  <c r="V674" i="86"/>
  <c r="S674" i="86"/>
  <c r="P674" i="86"/>
  <c r="G674" i="86"/>
  <c r="F674" i="86"/>
  <c r="BC673" i="86"/>
  <c r="AZ673" i="86"/>
  <c r="AW673" i="86"/>
  <c r="AT673" i="86"/>
  <c r="AQ673" i="86"/>
  <c r="AN673" i="86"/>
  <c r="AK673" i="86"/>
  <c r="AH673" i="86"/>
  <c r="AE673" i="86"/>
  <c r="AB673" i="86"/>
  <c r="Y673" i="86"/>
  <c r="M673" i="86" s="1"/>
  <c r="V673" i="86"/>
  <c r="S673" i="86"/>
  <c r="P673" i="86"/>
  <c r="G673" i="86"/>
  <c r="F673" i="86"/>
  <c r="BC672" i="86"/>
  <c r="AZ672" i="86"/>
  <c r="AW672" i="86"/>
  <c r="AT672" i="86"/>
  <c r="AQ672" i="86"/>
  <c r="AN672" i="86"/>
  <c r="AK672" i="86"/>
  <c r="AH672" i="86"/>
  <c r="AE672" i="86"/>
  <c r="AB672" i="86"/>
  <c r="Y672" i="86"/>
  <c r="V672" i="86"/>
  <c r="S672" i="86"/>
  <c r="P672" i="86"/>
  <c r="G672" i="86"/>
  <c r="F672" i="86"/>
  <c r="BC671" i="86"/>
  <c r="AZ671" i="86"/>
  <c r="AW671" i="86"/>
  <c r="AT671" i="86"/>
  <c r="AQ671" i="86"/>
  <c r="AN671" i="86"/>
  <c r="AK671" i="86"/>
  <c r="AH671" i="86"/>
  <c r="AE671" i="86"/>
  <c r="AB671" i="86"/>
  <c r="Y671" i="86"/>
  <c r="V671" i="86"/>
  <c r="S671" i="86"/>
  <c r="P671" i="86"/>
  <c r="G671" i="86"/>
  <c r="F671" i="86"/>
  <c r="BC670" i="86"/>
  <c r="AZ670" i="86"/>
  <c r="AW670" i="86"/>
  <c r="AT670" i="86"/>
  <c r="AQ670" i="86"/>
  <c r="AN670" i="86"/>
  <c r="AK670" i="86"/>
  <c r="AH670" i="86"/>
  <c r="AE670" i="86"/>
  <c r="AB670" i="86"/>
  <c r="Y670" i="86"/>
  <c r="V670" i="86"/>
  <c r="S670" i="86"/>
  <c r="P670" i="86"/>
  <c r="G670" i="86"/>
  <c r="F670" i="86"/>
  <c r="BC669" i="86"/>
  <c r="AZ669" i="86"/>
  <c r="AW669" i="86"/>
  <c r="AT669" i="86"/>
  <c r="AQ669" i="86"/>
  <c r="AN669" i="86"/>
  <c r="AK669" i="86"/>
  <c r="AH669" i="86"/>
  <c r="AE669" i="86"/>
  <c r="AB669" i="86"/>
  <c r="Y669" i="86"/>
  <c r="M669" i="86" s="1"/>
  <c r="V669" i="86"/>
  <c r="S669" i="86"/>
  <c r="P669" i="86"/>
  <c r="G669" i="86"/>
  <c r="F669" i="86"/>
  <c r="BC668" i="86"/>
  <c r="AZ668" i="86"/>
  <c r="AW668" i="86"/>
  <c r="AT668" i="86"/>
  <c r="AQ668" i="86"/>
  <c r="AN668" i="86"/>
  <c r="AK668" i="86"/>
  <c r="AH668" i="86"/>
  <c r="AE668" i="86"/>
  <c r="AB668" i="86"/>
  <c r="Y668" i="86"/>
  <c r="V668" i="86"/>
  <c r="S668" i="86"/>
  <c r="P668" i="86"/>
  <c r="G668" i="86"/>
  <c r="F668" i="86"/>
  <c r="BC667" i="86"/>
  <c r="AZ667" i="86"/>
  <c r="AW667" i="86"/>
  <c r="AT667" i="86"/>
  <c r="AQ667" i="86"/>
  <c r="AN667" i="86"/>
  <c r="AK667" i="86"/>
  <c r="AH667" i="86"/>
  <c r="AE667" i="86"/>
  <c r="AB667" i="86"/>
  <c r="Y667" i="86"/>
  <c r="M667" i="86" s="1"/>
  <c r="V667" i="86"/>
  <c r="S667" i="86"/>
  <c r="P667" i="86"/>
  <c r="G667" i="86"/>
  <c r="F667" i="86"/>
  <c r="BC666" i="86"/>
  <c r="AZ666" i="86"/>
  <c r="AW666" i="86"/>
  <c r="AT666" i="86"/>
  <c r="AQ666" i="86"/>
  <c r="AN666" i="86"/>
  <c r="AK666" i="86"/>
  <c r="AH666" i="86"/>
  <c r="AE666" i="86"/>
  <c r="AB666" i="86"/>
  <c r="Y666" i="86"/>
  <c r="V666" i="86"/>
  <c r="S666" i="86"/>
  <c r="P666" i="86"/>
  <c r="G666" i="86"/>
  <c r="F666" i="86"/>
  <c r="BC665" i="86"/>
  <c r="AZ665" i="86"/>
  <c r="AW665" i="86"/>
  <c r="AT665" i="86"/>
  <c r="AQ665" i="86"/>
  <c r="AN665" i="86"/>
  <c r="AK665" i="86"/>
  <c r="AH665" i="86"/>
  <c r="AE665" i="86"/>
  <c r="AB665" i="86"/>
  <c r="Y665" i="86"/>
  <c r="V665" i="86"/>
  <c r="S665" i="86"/>
  <c r="P665" i="86"/>
  <c r="G665" i="86"/>
  <c r="F665" i="86"/>
  <c r="BC664" i="86"/>
  <c r="AZ664" i="86"/>
  <c r="AW664" i="86"/>
  <c r="AT664" i="86"/>
  <c r="AQ664" i="86"/>
  <c r="AN664" i="86"/>
  <c r="AK664" i="86"/>
  <c r="AH664" i="86"/>
  <c r="AE664" i="86"/>
  <c r="AB664" i="86"/>
  <c r="Y664" i="86"/>
  <c r="V664" i="86"/>
  <c r="S664" i="86"/>
  <c r="P664" i="86"/>
  <c r="G664" i="86"/>
  <c r="F664" i="86"/>
  <c r="BC663" i="86"/>
  <c r="AZ663" i="86"/>
  <c r="AW663" i="86"/>
  <c r="AT663" i="86"/>
  <c r="AQ663" i="86"/>
  <c r="AN663" i="86"/>
  <c r="AK663" i="86"/>
  <c r="AH663" i="86"/>
  <c r="AE663" i="86"/>
  <c r="AB663" i="86"/>
  <c r="Y663" i="86"/>
  <c r="V663" i="86"/>
  <c r="S663" i="86"/>
  <c r="P663" i="86"/>
  <c r="G663" i="86"/>
  <c r="F663" i="86"/>
  <c r="BC662" i="86"/>
  <c r="AZ662" i="86"/>
  <c r="AW662" i="86"/>
  <c r="AT662" i="86"/>
  <c r="AQ662" i="86"/>
  <c r="AN662" i="86"/>
  <c r="AK662" i="86"/>
  <c r="AH662" i="86"/>
  <c r="AE662" i="86"/>
  <c r="AB662" i="86"/>
  <c r="Y662" i="86"/>
  <c r="V662" i="86"/>
  <c r="S662" i="86"/>
  <c r="P662" i="86"/>
  <c r="G662" i="86"/>
  <c r="F662" i="86"/>
  <c r="BC661" i="86"/>
  <c r="AZ661" i="86"/>
  <c r="AW661" i="86"/>
  <c r="AT661" i="86"/>
  <c r="AQ661" i="86"/>
  <c r="AN661" i="86"/>
  <c r="AK661" i="86"/>
  <c r="AH661" i="86"/>
  <c r="AE661" i="86"/>
  <c r="AB661" i="86"/>
  <c r="Y661" i="86"/>
  <c r="V661" i="86"/>
  <c r="S661" i="86"/>
  <c r="P661" i="86"/>
  <c r="G661" i="86"/>
  <c r="F661" i="86"/>
  <c r="BC660" i="86"/>
  <c r="AZ660" i="86"/>
  <c r="AW660" i="86"/>
  <c r="AT660" i="86"/>
  <c r="AQ660" i="86"/>
  <c r="AN660" i="86"/>
  <c r="AK660" i="86"/>
  <c r="AH660" i="86"/>
  <c r="AE660" i="86"/>
  <c r="AB660" i="86"/>
  <c r="Y660" i="86"/>
  <c r="V660" i="86"/>
  <c r="S660" i="86"/>
  <c r="P660" i="86"/>
  <c r="G660" i="86"/>
  <c r="F660" i="86"/>
  <c r="BC659" i="86"/>
  <c r="AZ659" i="86"/>
  <c r="AW659" i="86"/>
  <c r="AT659" i="86"/>
  <c r="AQ659" i="86"/>
  <c r="AN659" i="86"/>
  <c r="AK659" i="86"/>
  <c r="AH659" i="86"/>
  <c r="AE659" i="86"/>
  <c r="AB659" i="86"/>
  <c r="Y659" i="86"/>
  <c r="M659" i="86" s="1"/>
  <c r="V659" i="86"/>
  <c r="S659" i="86"/>
  <c r="P659" i="86"/>
  <c r="G659" i="86"/>
  <c r="F659" i="86"/>
  <c r="BC658" i="86"/>
  <c r="AZ658" i="86"/>
  <c r="AW658" i="86"/>
  <c r="AT658" i="86"/>
  <c r="AQ658" i="86"/>
  <c r="AN658" i="86"/>
  <c r="AK658" i="86"/>
  <c r="AH658" i="86"/>
  <c r="AE658" i="86"/>
  <c r="AB658" i="86"/>
  <c r="Y658" i="86"/>
  <c r="V658" i="86"/>
  <c r="S658" i="86"/>
  <c r="P658" i="86"/>
  <c r="G658" i="86"/>
  <c r="F658" i="86"/>
  <c r="BC657" i="86"/>
  <c r="AZ657" i="86"/>
  <c r="AW657" i="86"/>
  <c r="AT657" i="86"/>
  <c r="AQ657" i="86"/>
  <c r="AN657" i="86"/>
  <c r="AK657" i="86"/>
  <c r="AH657" i="86"/>
  <c r="AE657" i="86"/>
  <c r="AB657" i="86"/>
  <c r="Y657" i="86"/>
  <c r="V657" i="86"/>
  <c r="S657" i="86"/>
  <c r="P657" i="86"/>
  <c r="G657" i="86"/>
  <c r="F657" i="86"/>
  <c r="BC656" i="86"/>
  <c r="AZ656" i="86"/>
  <c r="AW656" i="86"/>
  <c r="AT656" i="86"/>
  <c r="AQ656" i="86"/>
  <c r="AN656" i="86"/>
  <c r="AK656" i="86"/>
  <c r="AH656" i="86"/>
  <c r="AE656" i="86"/>
  <c r="AB656" i="86"/>
  <c r="Y656" i="86"/>
  <c r="V656" i="86"/>
  <c r="S656" i="86"/>
  <c r="P656" i="86"/>
  <c r="G656" i="86"/>
  <c r="F656" i="86"/>
  <c r="BC655" i="86"/>
  <c r="AZ655" i="86"/>
  <c r="AW655" i="86"/>
  <c r="AT655" i="86"/>
  <c r="AQ655" i="86"/>
  <c r="AN655" i="86"/>
  <c r="AK655" i="86"/>
  <c r="AH655" i="86"/>
  <c r="AE655" i="86"/>
  <c r="AB655" i="86"/>
  <c r="Y655" i="86"/>
  <c r="M655" i="86" s="1"/>
  <c r="V655" i="86"/>
  <c r="S655" i="86"/>
  <c r="P655" i="86"/>
  <c r="G655" i="86"/>
  <c r="F655" i="86"/>
  <c r="BC654" i="86"/>
  <c r="AZ654" i="86"/>
  <c r="AW654" i="86"/>
  <c r="AT654" i="86"/>
  <c r="AQ654" i="86"/>
  <c r="AN654" i="86"/>
  <c r="AK654" i="86"/>
  <c r="AH654" i="86"/>
  <c r="AE654" i="86"/>
  <c r="AB654" i="86"/>
  <c r="Y654" i="86"/>
  <c r="V654" i="86"/>
  <c r="S654" i="86"/>
  <c r="P654" i="86"/>
  <c r="G654" i="86"/>
  <c r="F654" i="86"/>
  <c r="BC653" i="86"/>
  <c r="AZ653" i="86"/>
  <c r="AW653" i="86"/>
  <c r="AT653" i="86"/>
  <c r="AQ653" i="86"/>
  <c r="AN653" i="86"/>
  <c r="AK653" i="86"/>
  <c r="AH653" i="86"/>
  <c r="AE653" i="86"/>
  <c r="AB653" i="86"/>
  <c r="Y653" i="86"/>
  <c r="M653" i="86" s="1"/>
  <c r="V653" i="86"/>
  <c r="S653" i="86"/>
  <c r="P653" i="86"/>
  <c r="G653" i="86"/>
  <c r="F653" i="86"/>
  <c r="BC652" i="86"/>
  <c r="AZ652" i="86"/>
  <c r="AW652" i="86"/>
  <c r="AT652" i="86"/>
  <c r="AQ652" i="86"/>
  <c r="AN652" i="86"/>
  <c r="AK652" i="86"/>
  <c r="AH652" i="86"/>
  <c r="AE652" i="86"/>
  <c r="AB652" i="86"/>
  <c r="Y652" i="86"/>
  <c r="V652" i="86"/>
  <c r="S652" i="86"/>
  <c r="P652" i="86"/>
  <c r="G652" i="86"/>
  <c r="F652" i="86"/>
  <c r="BC651" i="86"/>
  <c r="AZ651" i="86"/>
  <c r="AW651" i="86"/>
  <c r="AT651" i="86"/>
  <c r="AQ651" i="86"/>
  <c r="AN651" i="86"/>
  <c r="AK651" i="86"/>
  <c r="AH651" i="86"/>
  <c r="AE651" i="86"/>
  <c r="AB651" i="86"/>
  <c r="Y651" i="86"/>
  <c r="V651" i="86"/>
  <c r="S651" i="86"/>
  <c r="P651" i="86"/>
  <c r="G651" i="86"/>
  <c r="F651" i="86"/>
  <c r="BC650" i="86"/>
  <c r="AZ650" i="86"/>
  <c r="AW650" i="86"/>
  <c r="AT650" i="86"/>
  <c r="AQ650" i="86"/>
  <c r="AN650" i="86"/>
  <c r="AK650" i="86"/>
  <c r="AH650" i="86"/>
  <c r="AE650" i="86"/>
  <c r="AB650" i="86"/>
  <c r="Y650" i="86"/>
  <c r="V650" i="86"/>
  <c r="S650" i="86"/>
  <c r="P650" i="86"/>
  <c r="G650" i="86"/>
  <c r="F650" i="86"/>
  <c r="BC649" i="86"/>
  <c r="AZ649" i="86"/>
  <c r="AW649" i="86"/>
  <c r="AT649" i="86"/>
  <c r="AQ649" i="86"/>
  <c r="AN649" i="86"/>
  <c r="AK649" i="86"/>
  <c r="AH649" i="86"/>
  <c r="AE649" i="86"/>
  <c r="AB649" i="86"/>
  <c r="Y649" i="86"/>
  <c r="M649" i="86" s="1"/>
  <c r="V649" i="86"/>
  <c r="S649" i="86"/>
  <c r="P649" i="86"/>
  <c r="G649" i="86"/>
  <c r="F649" i="86"/>
  <c r="BC648" i="86"/>
  <c r="AZ648" i="86"/>
  <c r="AW648" i="86"/>
  <c r="AT648" i="86"/>
  <c r="AQ648" i="86"/>
  <c r="AN648" i="86"/>
  <c r="AK648" i="86"/>
  <c r="AH648" i="86"/>
  <c r="AE648" i="86"/>
  <c r="AB648" i="86"/>
  <c r="Y648" i="86"/>
  <c r="V648" i="86"/>
  <c r="S648" i="86"/>
  <c r="P648" i="86"/>
  <c r="G648" i="86"/>
  <c r="F648" i="86"/>
  <c r="BC647" i="86"/>
  <c r="AZ647" i="86"/>
  <c r="AW647" i="86"/>
  <c r="AT647" i="86"/>
  <c r="AQ647" i="86"/>
  <c r="AN647" i="86"/>
  <c r="AK647" i="86"/>
  <c r="AH647" i="86"/>
  <c r="AE647" i="86"/>
  <c r="AB647" i="86"/>
  <c r="Y647" i="86"/>
  <c r="M647" i="86" s="1"/>
  <c r="V647" i="86"/>
  <c r="S647" i="86"/>
  <c r="P647" i="86"/>
  <c r="G647" i="86"/>
  <c r="F647" i="86"/>
  <c r="BC646" i="86"/>
  <c r="AZ646" i="86"/>
  <c r="AW646" i="86"/>
  <c r="AT646" i="86"/>
  <c r="AQ646" i="86"/>
  <c r="AN646" i="86"/>
  <c r="AK646" i="86"/>
  <c r="AH646" i="86"/>
  <c r="AE646" i="86"/>
  <c r="AB646" i="86"/>
  <c r="Y646" i="86"/>
  <c r="V646" i="86"/>
  <c r="S646" i="86"/>
  <c r="P646" i="86"/>
  <c r="G646" i="86"/>
  <c r="F646" i="86"/>
  <c r="BC645" i="86"/>
  <c r="AZ645" i="86"/>
  <c r="AW645" i="86"/>
  <c r="AT645" i="86"/>
  <c r="AQ645" i="86"/>
  <c r="AN645" i="86"/>
  <c r="AK645" i="86"/>
  <c r="AH645" i="86"/>
  <c r="AE645" i="86"/>
  <c r="AB645" i="86"/>
  <c r="Y645" i="86"/>
  <c r="V645" i="86"/>
  <c r="S645" i="86"/>
  <c r="P645" i="86"/>
  <c r="G645" i="86"/>
  <c r="F645" i="86"/>
  <c r="BC644" i="86"/>
  <c r="AZ644" i="86"/>
  <c r="AW644" i="86"/>
  <c r="AT644" i="86"/>
  <c r="AQ644" i="86"/>
  <c r="AN644" i="86"/>
  <c r="AK644" i="86"/>
  <c r="AH644" i="86"/>
  <c r="AE644" i="86"/>
  <c r="AB644" i="86"/>
  <c r="Y644" i="86"/>
  <c r="V644" i="86"/>
  <c r="S644" i="86"/>
  <c r="P644" i="86"/>
  <c r="G644" i="86"/>
  <c r="F644" i="86"/>
  <c r="BC643" i="86"/>
  <c r="AZ643" i="86"/>
  <c r="AW643" i="86"/>
  <c r="AT643" i="86"/>
  <c r="AQ643" i="86"/>
  <c r="AN643" i="86"/>
  <c r="AK643" i="86"/>
  <c r="AH643" i="86"/>
  <c r="AE643" i="86"/>
  <c r="AB643" i="86"/>
  <c r="Y643" i="86"/>
  <c r="V643" i="86"/>
  <c r="S643" i="86"/>
  <c r="P643" i="86"/>
  <c r="G643" i="86"/>
  <c r="F643" i="86"/>
  <c r="BC642" i="86"/>
  <c r="AZ642" i="86"/>
  <c r="AW642" i="86"/>
  <c r="AT642" i="86"/>
  <c r="AQ642" i="86"/>
  <c r="AN642" i="86"/>
  <c r="AK642" i="86"/>
  <c r="AH642" i="86"/>
  <c r="AE642" i="86"/>
  <c r="AB642" i="86"/>
  <c r="Y642" i="86"/>
  <c r="V642" i="86"/>
  <c r="S642" i="86"/>
  <c r="P642" i="86"/>
  <c r="G642" i="86"/>
  <c r="F642" i="86"/>
  <c r="BC641" i="86"/>
  <c r="AZ641" i="86"/>
  <c r="AW641" i="86"/>
  <c r="AT641" i="86"/>
  <c r="AQ641" i="86"/>
  <c r="AN641" i="86"/>
  <c r="AK641" i="86"/>
  <c r="AH641" i="86"/>
  <c r="AE641" i="86"/>
  <c r="AB641" i="86"/>
  <c r="Y641" i="86"/>
  <c r="V641" i="86"/>
  <c r="S641" i="86"/>
  <c r="P641" i="86"/>
  <c r="G641" i="86"/>
  <c r="F641" i="86"/>
  <c r="BC640" i="86"/>
  <c r="AZ640" i="86"/>
  <c r="AW640" i="86"/>
  <c r="AT640" i="86"/>
  <c r="AQ640" i="86"/>
  <c r="AN640" i="86"/>
  <c r="AK640" i="86"/>
  <c r="AH640" i="86"/>
  <c r="AE640" i="86"/>
  <c r="AB640" i="86"/>
  <c r="Y640" i="86"/>
  <c r="V640" i="86"/>
  <c r="S640" i="86"/>
  <c r="P640" i="86"/>
  <c r="G640" i="86"/>
  <c r="F640" i="86"/>
  <c r="BC639" i="86"/>
  <c r="AZ639" i="86"/>
  <c r="AW639" i="86"/>
  <c r="AT639" i="86"/>
  <c r="AQ639" i="86"/>
  <c r="AN639" i="86"/>
  <c r="AK639" i="86"/>
  <c r="AH639" i="86"/>
  <c r="AE639" i="86"/>
  <c r="AB639" i="86"/>
  <c r="Y639" i="86"/>
  <c r="M639" i="86" s="1"/>
  <c r="V639" i="86"/>
  <c r="S639" i="86"/>
  <c r="P639" i="86"/>
  <c r="G639" i="86"/>
  <c r="F639" i="86"/>
  <c r="BC638" i="86"/>
  <c r="AZ638" i="86"/>
  <c r="AW638" i="86"/>
  <c r="AT638" i="86"/>
  <c r="AQ638" i="86"/>
  <c r="AN638" i="86"/>
  <c r="AK638" i="86"/>
  <c r="AH638" i="86"/>
  <c r="AE638" i="86"/>
  <c r="AB638" i="86"/>
  <c r="Y638" i="86"/>
  <c r="V638" i="86"/>
  <c r="S638" i="86"/>
  <c r="P638" i="86"/>
  <c r="G638" i="86"/>
  <c r="F638" i="86"/>
  <c r="BC637" i="86"/>
  <c r="AZ637" i="86"/>
  <c r="AW637" i="86"/>
  <c r="AT637" i="86"/>
  <c r="AQ637" i="86"/>
  <c r="AN637" i="86"/>
  <c r="AK637" i="86"/>
  <c r="AH637" i="86"/>
  <c r="AE637" i="86"/>
  <c r="AB637" i="86"/>
  <c r="Y637" i="86"/>
  <c r="V637" i="86"/>
  <c r="S637" i="86"/>
  <c r="P637" i="86"/>
  <c r="G637" i="86"/>
  <c r="F637" i="86"/>
  <c r="BC636" i="86"/>
  <c r="AZ636" i="86"/>
  <c r="AW636" i="86"/>
  <c r="AT636" i="86"/>
  <c r="AQ636" i="86"/>
  <c r="AN636" i="86"/>
  <c r="AK636" i="86"/>
  <c r="AH636" i="86"/>
  <c r="AE636" i="86"/>
  <c r="AB636" i="86"/>
  <c r="Y636" i="86"/>
  <c r="V636" i="86"/>
  <c r="S636" i="86"/>
  <c r="P636" i="86"/>
  <c r="G636" i="86"/>
  <c r="F636" i="86"/>
  <c r="BC635" i="86"/>
  <c r="AZ635" i="86"/>
  <c r="AW635" i="86"/>
  <c r="AT635" i="86"/>
  <c r="AQ635" i="86"/>
  <c r="AN635" i="86"/>
  <c r="AK635" i="86"/>
  <c r="AH635" i="86"/>
  <c r="AE635" i="86"/>
  <c r="AB635" i="86"/>
  <c r="Y635" i="86"/>
  <c r="V635" i="86"/>
  <c r="S635" i="86"/>
  <c r="P635" i="86"/>
  <c r="G635" i="86"/>
  <c r="F635" i="86"/>
  <c r="BC634" i="86"/>
  <c r="AZ634" i="86"/>
  <c r="AW634" i="86"/>
  <c r="AT634" i="86"/>
  <c r="AQ634" i="86"/>
  <c r="AN634" i="86"/>
  <c r="AK634" i="86"/>
  <c r="AH634" i="86"/>
  <c r="AE634" i="86"/>
  <c r="AB634" i="86"/>
  <c r="Y634" i="86"/>
  <c r="V634" i="86"/>
  <c r="S634" i="86"/>
  <c r="P634" i="86"/>
  <c r="G634" i="86"/>
  <c r="F634" i="86"/>
  <c r="BC633" i="86"/>
  <c r="AZ633" i="86"/>
  <c r="AW633" i="86"/>
  <c r="AT633" i="86"/>
  <c r="AQ633" i="86"/>
  <c r="AN633" i="86"/>
  <c r="AK633" i="86"/>
  <c r="AH633" i="86"/>
  <c r="AE633" i="86"/>
  <c r="AB633" i="86"/>
  <c r="Y633" i="86"/>
  <c r="V633" i="86"/>
  <c r="S633" i="86"/>
  <c r="P633" i="86"/>
  <c r="G633" i="86"/>
  <c r="F633" i="86"/>
  <c r="BC632" i="86"/>
  <c r="AZ632" i="86"/>
  <c r="AW632" i="86"/>
  <c r="AT632" i="86"/>
  <c r="AQ632" i="86"/>
  <c r="AN632" i="86"/>
  <c r="AK632" i="86"/>
  <c r="AH632" i="86"/>
  <c r="AE632" i="86"/>
  <c r="AB632" i="86"/>
  <c r="Y632" i="86"/>
  <c r="V632" i="86"/>
  <c r="S632" i="86"/>
  <c r="P632" i="86"/>
  <c r="G632" i="86"/>
  <c r="F632" i="86"/>
  <c r="BC631" i="86"/>
  <c r="AZ631" i="86"/>
  <c r="AW631" i="86"/>
  <c r="AT631" i="86"/>
  <c r="AQ631" i="86"/>
  <c r="AN631" i="86"/>
  <c r="AK631" i="86"/>
  <c r="AH631" i="86"/>
  <c r="AE631" i="86"/>
  <c r="AB631" i="86"/>
  <c r="Y631" i="86"/>
  <c r="V631" i="86"/>
  <c r="S631" i="86"/>
  <c r="P631" i="86"/>
  <c r="G631" i="86"/>
  <c r="F631" i="86"/>
  <c r="BC630" i="86"/>
  <c r="AZ630" i="86"/>
  <c r="AW630" i="86"/>
  <c r="AT630" i="86"/>
  <c r="AQ630" i="86"/>
  <c r="AN630" i="86"/>
  <c r="AK630" i="86"/>
  <c r="AH630" i="86"/>
  <c r="AE630" i="86"/>
  <c r="AB630" i="86"/>
  <c r="Y630" i="86"/>
  <c r="V630" i="86"/>
  <c r="S630" i="86"/>
  <c r="P630" i="86"/>
  <c r="G630" i="86"/>
  <c r="F630" i="86"/>
  <c r="BC629" i="86"/>
  <c r="AZ629" i="86"/>
  <c r="AW629" i="86"/>
  <c r="AT629" i="86"/>
  <c r="AQ629" i="86"/>
  <c r="AN629" i="86"/>
  <c r="AK629" i="86"/>
  <c r="AH629" i="86"/>
  <c r="AE629" i="86"/>
  <c r="AB629" i="86"/>
  <c r="Y629" i="86"/>
  <c r="M629" i="86" s="1"/>
  <c r="V629" i="86"/>
  <c r="S629" i="86"/>
  <c r="P629" i="86"/>
  <c r="G629" i="86"/>
  <c r="F629" i="86"/>
  <c r="BC628" i="86"/>
  <c r="AZ628" i="86"/>
  <c r="AW628" i="86"/>
  <c r="AT628" i="86"/>
  <c r="AQ628" i="86"/>
  <c r="AN628" i="86"/>
  <c r="AK628" i="86"/>
  <c r="AH628" i="86"/>
  <c r="AE628" i="86"/>
  <c r="AB628" i="86"/>
  <c r="Y628" i="86"/>
  <c r="V628" i="86"/>
  <c r="S628" i="86"/>
  <c r="P628" i="86"/>
  <c r="G628" i="86"/>
  <c r="F628" i="86"/>
  <c r="BC627" i="86"/>
  <c r="AZ627" i="86"/>
  <c r="AW627" i="86"/>
  <c r="AT627" i="86"/>
  <c r="AQ627" i="86"/>
  <c r="AN627" i="86"/>
  <c r="AK627" i="86"/>
  <c r="AH627" i="86"/>
  <c r="AE627" i="86"/>
  <c r="AB627" i="86"/>
  <c r="Y627" i="86"/>
  <c r="M627" i="86" s="1"/>
  <c r="V627" i="86"/>
  <c r="S627" i="86"/>
  <c r="P627" i="86"/>
  <c r="G627" i="86"/>
  <c r="F627" i="86"/>
  <c r="BC626" i="86"/>
  <c r="AZ626" i="86"/>
  <c r="AW626" i="86"/>
  <c r="AT626" i="86"/>
  <c r="AQ626" i="86"/>
  <c r="AN626" i="86"/>
  <c r="AK626" i="86"/>
  <c r="AH626" i="86"/>
  <c r="AE626" i="86"/>
  <c r="AB626" i="86"/>
  <c r="Y626" i="86"/>
  <c r="V626" i="86"/>
  <c r="S626" i="86"/>
  <c r="P626" i="86"/>
  <c r="G626" i="86"/>
  <c r="F626" i="86"/>
  <c r="BC625" i="86"/>
  <c r="AZ625" i="86"/>
  <c r="AW625" i="86"/>
  <c r="AT625" i="86"/>
  <c r="AQ625" i="86"/>
  <c r="AN625" i="86"/>
  <c r="AK625" i="86"/>
  <c r="AH625" i="86"/>
  <c r="AE625" i="86"/>
  <c r="AB625" i="86"/>
  <c r="Y625" i="86"/>
  <c r="V625" i="86"/>
  <c r="S625" i="86"/>
  <c r="P625" i="86"/>
  <c r="G625" i="86"/>
  <c r="F625" i="86"/>
  <c r="BC624" i="86"/>
  <c r="AZ624" i="86"/>
  <c r="AW624" i="86"/>
  <c r="AT624" i="86"/>
  <c r="AQ624" i="86"/>
  <c r="AN624" i="86"/>
  <c r="AK624" i="86"/>
  <c r="AH624" i="86"/>
  <c r="AE624" i="86"/>
  <c r="AB624" i="86"/>
  <c r="Y624" i="86"/>
  <c r="V624" i="86"/>
  <c r="S624" i="86"/>
  <c r="P624" i="86"/>
  <c r="G624" i="86"/>
  <c r="F624" i="86"/>
  <c r="BC623" i="86"/>
  <c r="AZ623" i="86"/>
  <c r="AW623" i="86"/>
  <c r="AT623" i="86"/>
  <c r="AQ623" i="86"/>
  <c r="AN623" i="86"/>
  <c r="AK623" i="86"/>
  <c r="AH623" i="86"/>
  <c r="AE623" i="86"/>
  <c r="AB623" i="86"/>
  <c r="Y623" i="86"/>
  <c r="V623" i="86"/>
  <c r="S623" i="86"/>
  <c r="P623" i="86"/>
  <c r="G623" i="86"/>
  <c r="F623" i="86"/>
  <c r="BC622" i="86"/>
  <c r="AZ622" i="86"/>
  <c r="AW622" i="86"/>
  <c r="AT622" i="86"/>
  <c r="AQ622" i="86"/>
  <c r="AN622" i="86"/>
  <c r="AK622" i="86"/>
  <c r="AH622" i="86"/>
  <c r="AE622" i="86"/>
  <c r="AB622" i="86"/>
  <c r="Y622" i="86"/>
  <c r="V622" i="86"/>
  <c r="S622" i="86"/>
  <c r="P622" i="86"/>
  <c r="G622" i="86"/>
  <c r="F622" i="86"/>
  <c r="BC621" i="86"/>
  <c r="AZ621" i="86"/>
  <c r="AW621" i="86"/>
  <c r="AT621" i="86"/>
  <c r="AQ621" i="86"/>
  <c r="AN621" i="86"/>
  <c r="AK621" i="86"/>
  <c r="AH621" i="86"/>
  <c r="AE621" i="86"/>
  <c r="AB621" i="86"/>
  <c r="Y621" i="86"/>
  <c r="V621" i="86"/>
  <c r="S621" i="86"/>
  <c r="P621" i="86"/>
  <c r="G621" i="86"/>
  <c r="F621" i="86"/>
  <c r="BC620" i="86"/>
  <c r="AZ620" i="86"/>
  <c r="AW620" i="86"/>
  <c r="AT620" i="86"/>
  <c r="AQ620" i="86"/>
  <c r="AN620" i="86"/>
  <c r="AK620" i="86"/>
  <c r="AH620" i="86"/>
  <c r="AE620" i="86"/>
  <c r="AB620" i="86"/>
  <c r="Y620" i="86"/>
  <c r="V620" i="86"/>
  <c r="S620" i="86"/>
  <c r="P620" i="86"/>
  <c r="G620" i="86"/>
  <c r="F620" i="86"/>
  <c r="BC619" i="86"/>
  <c r="AZ619" i="86"/>
  <c r="AW619" i="86"/>
  <c r="AT619" i="86"/>
  <c r="AQ619" i="86"/>
  <c r="AN619" i="86"/>
  <c r="AK619" i="86"/>
  <c r="AH619" i="86"/>
  <c r="AE619" i="86"/>
  <c r="AB619" i="86"/>
  <c r="Y619" i="86"/>
  <c r="M619" i="86" s="1"/>
  <c r="V619" i="86"/>
  <c r="S619" i="86"/>
  <c r="P619" i="86"/>
  <c r="G619" i="86"/>
  <c r="F619" i="86"/>
  <c r="BC618" i="86"/>
  <c r="AZ618" i="86"/>
  <c r="AW618" i="86"/>
  <c r="AT618" i="86"/>
  <c r="AQ618" i="86"/>
  <c r="AN618" i="86"/>
  <c r="AK618" i="86"/>
  <c r="AH618" i="86"/>
  <c r="AE618" i="86"/>
  <c r="AB618" i="86"/>
  <c r="Y618" i="86"/>
  <c r="V618" i="86"/>
  <c r="S618" i="86"/>
  <c r="P618" i="86"/>
  <c r="G618" i="86"/>
  <c r="F618" i="86"/>
  <c r="BC617" i="86"/>
  <c r="AZ617" i="86"/>
  <c r="AW617" i="86"/>
  <c r="AT617" i="86"/>
  <c r="AQ617" i="86"/>
  <c r="AN617" i="86"/>
  <c r="AK617" i="86"/>
  <c r="AH617" i="86"/>
  <c r="AE617" i="86"/>
  <c r="AB617" i="86"/>
  <c r="Y617" i="86"/>
  <c r="V617" i="86"/>
  <c r="S617" i="86"/>
  <c r="P617" i="86"/>
  <c r="G617" i="86"/>
  <c r="F617" i="86"/>
  <c r="BC616" i="86"/>
  <c r="AZ616" i="86"/>
  <c r="AW616" i="86"/>
  <c r="AT616" i="86"/>
  <c r="AQ616" i="86"/>
  <c r="AN616" i="86"/>
  <c r="AK616" i="86"/>
  <c r="AH616" i="86"/>
  <c r="AE616" i="86"/>
  <c r="AB616" i="86"/>
  <c r="Y616" i="86"/>
  <c r="V616" i="86"/>
  <c r="S616" i="86"/>
  <c r="P616" i="86"/>
  <c r="G616" i="86"/>
  <c r="F616" i="86"/>
  <c r="BC615" i="86"/>
  <c r="AZ615" i="86"/>
  <c r="AW615" i="86"/>
  <c r="AT615" i="86"/>
  <c r="AQ615" i="86"/>
  <c r="AN615" i="86"/>
  <c r="AK615" i="86"/>
  <c r="AH615" i="86"/>
  <c r="AE615" i="86"/>
  <c r="AB615" i="86"/>
  <c r="Y615" i="86"/>
  <c r="V615" i="86"/>
  <c r="S615" i="86"/>
  <c r="P615" i="86"/>
  <c r="G615" i="86"/>
  <c r="F615" i="86"/>
  <c r="BC614" i="86"/>
  <c r="AZ614" i="86"/>
  <c r="AW614" i="86"/>
  <c r="AT614" i="86"/>
  <c r="AQ614" i="86"/>
  <c r="AN614" i="86"/>
  <c r="AK614" i="86"/>
  <c r="AH614" i="86"/>
  <c r="AE614" i="86"/>
  <c r="AB614" i="86"/>
  <c r="Y614" i="86"/>
  <c r="V614" i="86"/>
  <c r="S614" i="86"/>
  <c r="P614" i="86"/>
  <c r="G614" i="86"/>
  <c r="F614" i="86"/>
  <c r="BC613" i="86"/>
  <c r="AZ613" i="86"/>
  <c r="AW613" i="86"/>
  <c r="AT613" i="86"/>
  <c r="AQ613" i="86"/>
  <c r="AN613" i="86"/>
  <c r="AK613" i="86"/>
  <c r="AH613" i="86"/>
  <c r="AE613" i="86"/>
  <c r="AB613" i="86"/>
  <c r="Y613" i="86"/>
  <c r="V613" i="86"/>
  <c r="S613" i="86"/>
  <c r="P613" i="86"/>
  <c r="G613" i="86"/>
  <c r="F613" i="86"/>
  <c r="BC612" i="86"/>
  <c r="AZ612" i="86"/>
  <c r="AW612" i="86"/>
  <c r="AT612" i="86"/>
  <c r="AQ612" i="86"/>
  <c r="AN612" i="86"/>
  <c r="AK612" i="86"/>
  <c r="AH612" i="86"/>
  <c r="AE612" i="86"/>
  <c r="AB612" i="86"/>
  <c r="Y612" i="86"/>
  <c r="V612" i="86"/>
  <c r="S612" i="86"/>
  <c r="P612" i="86"/>
  <c r="G612" i="86"/>
  <c r="F612" i="86"/>
  <c r="BC611" i="86"/>
  <c r="AZ611" i="86"/>
  <c r="AW611" i="86"/>
  <c r="AT611" i="86"/>
  <c r="AQ611" i="86"/>
  <c r="AN611" i="86"/>
  <c r="AK611" i="86"/>
  <c r="AH611" i="86"/>
  <c r="AE611" i="86"/>
  <c r="AB611" i="86"/>
  <c r="Y611" i="86"/>
  <c r="M611" i="86" s="1"/>
  <c r="V611" i="86"/>
  <c r="S611" i="86"/>
  <c r="P611" i="86"/>
  <c r="G611" i="86"/>
  <c r="F611" i="86"/>
  <c r="BC610" i="86"/>
  <c r="AZ610" i="86"/>
  <c r="AW610" i="86"/>
  <c r="AT610" i="86"/>
  <c r="AQ610" i="86"/>
  <c r="AN610" i="86"/>
  <c r="AK610" i="86"/>
  <c r="AH610" i="86"/>
  <c r="AE610" i="86"/>
  <c r="AB610" i="86"/>
  <c r="Y610" i="86"/>
  <c r="V610" i="86"/>
  <c r="S610" i="86"/>
  <c r="P610" i="86"/>
  <c r="G610" i="86"/>
  <c r="F610" i="86"/>
  <c r="BC609" i="86"/>
  <c r="AZ609" i="86"/>
  <c r="AW609" i="86"/>
  <c r="AT609" i="86"/>
  <c r="AQ609" i="86"/>
  <c r="AN609" i="86"/>
  <c r="AK609" i="86"/>
  <c r="AH609" i="86"/>
  <c r="AE609" i="86"/>
  <c r="AB609" i="86"/>
  <c r="Y609" i="86"/>
  <c r="V609" i="86"/>
  <c r="S609" i="86"/>
  <c r="P609" i="86"/>
  <c r="G609" i="86"/>
  <c r="F609" i="86"/>
  <c r="BC608" i="86"/>
  <c r="AZ608" i="86"/>
  <c r="AW608" i="86"/>
  <c r="AT608" i="86"/>
  <c r="AQ608" i="86"/>
  <c r="AN608" i="86"/>
  <c r="AK608" i="86"/>
  <c r="AH608" i="86"/>
  <c r="AE608" i="86"/>
  <c r="AB608" i="86"/>
  <c r="Y608" i="86"/>
  <c r="V608" i="86"/>
  <c r="S608" i="86"/>
  <c r="P608" i="86"/>
  <c r="G608" i="86"/>
  <c r="F608" i="86"/>
  <c r="BC607" i="86"/>
  <c r="AZ607" i="86"/>
  <c r="AW607" i="86"/>
  <c r="AT607" i="86"/>
  <c r="AQ607" i="86"/>
  <c r="AN607" i="86"/>
  <c r="AK607" i="86"/>
  <c r="AH607" i="86"/>
  <c r="AE607" i="86"/>
  <c r="AB607" i="86"/>
  <c r="Y607" i="86"/>
  <c r="V607" i="86"/>
  <c r="S607" i="86"/>
  <c r="P607" i="86"/>
  <c r="G607" i="86"/>
  <c r="F607" i="86"/>
  <c r="BC606" i="86"/>
  <c r="AZ606" i="86"/>
  <c r="AW606" i="86"/>
  <c r="AT606" i="86"/>
  <c r="AQ606" i="86"/>
  <c r="AN606" i="86"/>
  <c r="AK606" i="86"/>
  <c r="AH606" i="86"/>
  <c r="AE606" i="86"/>
  <c r="AB606" i="86"/>
  <c r="Y606" i="86"/>
  <c r="V606" i="86"/>
  <c r="S606" i="86"/>
  <c r="P606" i="86"/>
  <c r="G606" i="86"/>
  <c r="F606" i="86"/>
  <c r="BC605" i="86"/>
  <c r="AZ605" i="86"/>
  <c r="AW605" i="86"/>
  <c r="AT605" i="86"/>
  <c r="AQ605" i="86"/>
  <c r="AN605" i="86"/>
  <c r="AK605" i="86"/>
  <c r="AH605" i="86"/>
  <c r="AE605" i="86"/>
  <c r="AB605" i="86"/>
  <c r="Y605" i="86"/>
  <c r="V605" i="86"/>
  <c r="S605" i="86"/>
  <c r="P605" i="86"/>
  <c r="G605" i="86"/>
  <c r="F605" i="86"/>
  <c r="BC604" i="86"/>
  <c r="AZ604" i="86"/>
  <c r="AW604" i="86"/>
  <c r="AT604" i="86"/>
  <c r="AQ604" i="86"/>
  <c r="AN604" i="86"/>
  <c r="AK604" i="86"/>
  <c r="AH604" i="86"/>
  <c r="AE604" i="86"/>
  <c r="AB604" i="86"/>
  <c r="Y604" i="86"/>
  <c r="V604" i="86"/>
  <c r="S604" i="86"/>
  <c r="P604" i="86"/>
  <c r="G604" i="86"/>
  <c r="F604" i="86"/>
  <c r="BC603" i="86"/>
  <c r="AZ603" i="86"/>
  <c r="AW603" i="86"/>
  <c r="AT603" i="86"/>
  <c r="AQ603" i="86"/>
  <c r="AN603" i="86"/>
  <c r="AK603" i="86"/>
  <c r="AH603" i="86"/>
  <c r="AE603" i="86"/>
  <c r="AB603" i="86"/>
  <c r="Y603" i="86"/>
  <c r="V603" i="86"/>
  <c r="S603" i="86"/>
  <c r="P603" i="86"/>
  <c r="G603" i="86"/>
  <c r="F603" i="86"/>
  <c r="BC602" i="86"/>
  <c r="AZ602" i="86"/>
  <c r="AW602" i="86"/>
  <c r="AT602" i="86"/>
  <c r="AQ602" i="86"/>
  <c r="AN602" i="86"/>
  <c r="AK602" i="86"/>
  <c r="AH602" i="86"/>
  <c r="AE602" i="86"/>
  <c r="AB602" i="86"/>
  <c r="Y602" i="86"/>
  <c r="V602" i="86"/>
  <c r="S602" i="86"/>
  <c r="P602" i="86"/>
  <c r="G602" i="86"/>
  <c r="F602" i="86"/>
  <c r="BC601" i="86"/>
  <c r="AZ601" i="86"/>
  <c r="AW601" i="86"/>
  <c r="AT601" i="86"/>
  <c r="AQ601" i="86"/>
  <c r="AN601" i="86"/>
  <c r="AK601" i="86"/>
  <c r="AH601" i="86"/>
  <c r="AE601" i="86"/>
  <c r="AB601" i="86"/>
  <c r="Y601" i="86"/>
  <c r="V601" i="86"/>
  <c r="S601" i="86"/>
  <c r="P601" i="86"/>
  <c r="G601" i="86"/>
  <c r="F601" i="86"/>
  <c r="BC600" i="86"/>
  <c r="AZ600" i="86"/>
  <c r="AW600" i="86"/>
  <c r="AT600" i="86"/>
  <c r="AQ600" i="86"/>
  <c r="AN600" i="86"/>
  <c r="AK600" i="86"/>
  <c r="AH600" i="86"/>
  <c r="AE600" i="86"/>
  <c r="AB600" i="86"/>
  <c r="Y600" i="86"/>
  <c r="V600" i="86"/>
  <c r="S600" i="86"/>
  <c r="P600" i="86"/>
  <c r="G600" i="86"/>
  <c r="F600" i="86"/>
  <c r="BC599" i="86"/>
  <c r="AZ599" i="86"/>
  <c r="AW599" i="86"/>
  <c r="AT599" i="86"/>
  <c r="AQ599" i="86"/>
  <c r="AN599" i="86"/>
  <c r="AK599" i="86"/>
  <c r="AH599" i="86"/>
  <c r="AE599" i="86"/>
  <c r="AB599" i="86"/>
  <c r="Y599" i="86"/>
  <c r="V599" i="86"/>
  <c r="S599" i="86"/>
  <c r="P599" i="86"/>
  <c r="G599" i="86"/>
  <c r="F599" i="86"/>
  <c r="BC598" i="86"/>
  <c r="AZ598" i="86"/>
  <c r="AW598" i="86"/>
  <c r="AT598" i="86"/>
  <c r="AQ598" i="86"/>
  <c r="AN598" i="86"/>
  <c r="AK598" i="86"/>
  <c r="AH598" i="86"/>
  <c r="AE598" i="86"/>
  <c r="AB598" i="86"/>
  <c r="Y598" i="86"/>
  <c r="V598" i="86"/>
  <c r="S598" i="86"/>
  <c r="P598" i="86"/>
  <c r="G598" i="86"/>
  <c r="F598" i="86"/>
  <c r="BC597" i="86"/>
  <c r="AZ597" i="86"/>
  <c r="AW597" i="86"/>
  <c r="AT597" i="86"/>
  <c r="AQ597" i="86"/>
  <c r="AN597" i="86"/>
  <c r="AK597" i="86"/>
  <c r="AH597" i="86"/>
  <c r="AE597" i="86"/>
  <c r="AB597" i="86"/>
  <c r="Y597" i="86"/>
  <c r="V597" i="86"/>
  <c r="S597" i="86"/>
  <c r="P597" i="86"/>
  <c r="G597" i="86"/>
  <c r="F597" i="86"/>
  <c r="BC596" i="86"/>
  <c r="AZ596" i="86"/>
  <c r="AW596" i="86"/>
  <c r="AT596" i="86"/>
  <c r="AQ596" i="86"/>
  <c r="AN596" i="86"/>
  <c r="AK596" i="86"/>
  <c r="AH596" i="86"/>
  <c r="AE596" i="86"/>
  <c r="AB596" i="86"/>
  <c r="Y596" i="86"/>
  <c r="V596" i="86"/>
  <c r="S596" i="86"/>
  <c r="P596" i="86"/>
  <c r="G596" i="86"/>
  <c r="F596" i="86"/>
  <c r="BC595" i="86"/>
  <c r="AZ595" i="86"/>
  <c r="AW595" i="86"/>
  <c r="AT595" i="86"/>
  <c r="AQ595" i="86"/>
  <c r="AN595" i="86"/>
  <c r="AK595" i="86"/>
  <c r="AH595" i="86"/>
  <c r="AE595" i="86"/>
  <c r="AB595" i="86"/>
  <c r="Y595" i="86"/>
  <c r="M595" i="86" s="1"/>
  <c r="V595" i="86"/>
  <c r="S595" i="86"/>
  <c r="P595" i="86"/>
  <c r="G595" i="86"/>
  <c r="F595" i="86"/>
  <c r="BC594" i="86"/>
  <c r="AZ594" i="86"/>
  <c r="AW594" i="86"/>
  <c r="AT594" i="86"/>
  <c r="AQ594" i="86"/>
  <c r="AN594" i="86"/>
  <c r="AK594" i="86"/>
  <c r="AH594" i="86"/>
  <c r="AE594" i="86"/>
  <c r="AB594" i="86"/>
  <c r="Y594" i="86"/>
  <c r="V594" i="86"/>
  <c r="S594" i="86"/>
  <c r="P594" i="86"/>
  <c r="G594" i="86"/>
  <c r="F594" i="86"/>
  <c r="BC593" i="86"/>
  <c r="AZ593" i="86"/>
  <c r="AW593" i="86"/>
  <c r="AT593" i="86"/>
  <c r="AQ593" i="86"/>
  <c r="AN593" i="86"/>
  <c r="AK593" i="86"/>
  <c r="AH593" i="86"/>
  <c r="AE593" i="86"/>
  <c r="AB593" i="86"/>
  <c r="Y593" i="86"/>
  <c r="M593" i="86" s="1"/>
  <c r="V593" i="86"/>
  <c r="S593" i="86"/>
  <c r="P593" i="86"/>
  <c r="G593" i="86"/>
  <c r="F593" i="86"/>
  <c r="BC592" i="86"/>
  <c r="AZ592" i="86"/>
  <c r="AW592" i="86"/>
  <c r="AT592" i="86"/>
  <c r="AQ592" i="86"/>
  <c r="AN592" i="86"/>
  <c r="AK592" i="86"/>
  <c r="AH592" i="86"/>
  <c r="AE592" i="86"/>
  <c r="AB592" i="86"/>
  <c r="Y592" i="86"/>
  <c r="V592" i="86"/>
  <c r="S592" i="86"/>
  <c r="P592" i="86"/>
  <c r="G592" i="86"/>
  <c r="F592" i="86"/>
  <c r="BC591" i="86"/>
  <c r="AZ591" i="86"/>
  <c r="AW591" i="86"/>
  <c r="AT591" i="86"/>
  <c r="AQ591" i="86"/>
  <c r="AN591" i="86"/>
  <c r="AK591" i="86"/>
  <c r="AH591" i="86"/>
  <c r="AE591" i="86"/>
  <c r="AB591" i="86"/>
  <c r="Y591" i="86"/>
  <c r="V591" i="86"/>
  <c r="S591" i="86"/>
  <c r="P591" i="86"/>
  <c r="G591" i="86"/>
  <c r="F591" i="86"/>
  <c r="BC590" i="86"/>
  <c r="AZ590" i="86"/>
  <c r="AW590" i="86"/>
  <c r="AT590" i="86"/>
  <c r="AQ590" i="86"/>
  <c r="AN590" i="86"/>
  <c r="AK590" i="86"/>
  <c r="AH590" i="86"/>
  <c r="AE590" i="86"/>
  <c r="AB590" i="86"/>
  <c r="Y590" i="86"/>
  <c r="V590" i="86"/>
  <c r="S590" i="86"/>
  <c r="P590" i="86"/>
  <c r="G590" i="86"/>
  <c r="F590" i="86"/>
  <c r="BC589" i="86"/>
  <c r="AZ589" i="86"/>
  <c r="AW589" i="86"/>
  <c r="AT589" i="86"/>
  <c r="AQ589" i="86"/>
  <c r="AN589" i="86"/>
  <c r="AK589" i="86"/>
  <c r="AH589" i="86"/>
  <c r="AE589" i="86"/>
  <c r="AB589" i="86"/>
  <c r="Y589" i="86"/>
  <c r="V589" i="86"/>
  <c r="S589" i="86"/>
  <c r="P589" i="86"/>
  <c r="G589" i="86"/>
  <c r="F589" i="86"/>
  <c r="BC588" i="86"/>
  <c r="AZ588" i="86"/>
  <c r="AW588" i="86"/>
  <c r="AT588" i="86"/>
  <c r="AQ588" i="86"/>
  <c r="AN588" i="86"/>
  <c r="AK588" i="86"/>
  <c r="AH588" i="86"/>
  <c r="AE588" i="86"/>
  <c r="AB588" i="86"/>
  <c r="Y588" i="86"/>
  <c r="V588" i="86"/>
  <c r="S588" i="86"/>
  <c r="P588" i="86"/>
  <c r="G588" i="86"/>
  <c r="F588" i="86"/>
  <c r="BC587" i="86"/>
  <c r="AZ587" i="86"/>
  <c r="AW587" i="86"/>
  <c r="AT587" i="86"/>
  <c r="AQ587" i="86"/>
  <c r="AN587" i="86"/>
  <c r="AK587" i="86"/>
  <c r="AH587" i="86"/>
  <c r="AE587" i="86"/>
  <c r="AB587" i="86"/>
  <c r="Y587" i="86"/>
  <c r="V587" i="86"/>
  <c r="S587" i="86"/>
  <c r="P587" i="86"/>
  <c r="G587" i="86"/>
  <c r="F587" i="86"/>
  <c r="BC586" i="86"/>
  <c r="AZ586" i="86"/>
  <c r="AW586" i="86"/>
  <c r="AT586" i="86"/>
  <c r="AQ586" i="86"/>
  <c r="AN586" i="86"/>
  <c r="AK586" i="86"/>
  <c r="AH586" i="86"/>
  <c r="AE586" i="86"/>
  <c r="AB586" i="86"/>
  <c r="Y586" i="86"/>
  <c r="V586" i="86"/>
  <c r="S586" i="86"/>
  <c r="P586" i="86"/>
  <c r="G586" i="86"/>
  <c r="F586" i="86"/>
  <c r="BC585" i="86"/>
  <c r="AZ585" i="86"/>
  <c r="AW585" i="86"/>
  <c r="AT585" i="86"/>
  <c r="AQ585" i="86"/>
  <c r="AN585" i="86"/>
  <c r="AK585" i="86"/>
  <c r="AH585" i="86"/>
  <c r="AE585" i="86"/>
  <c r="AB585" i="86"/>
  <c r="Y585" i="86"/>
  <c r="V585" i="86"/>
  <c r="S585" i="86"/>
  <c r="P585" i="86"/>
  <c r="G585" i="86"/>
  <c r="F585" i="86"/>
  <c r="BC584" i="86"/>
  <c r="AZ584" i="86"/>
  <c r="AW584" i="86"/>
  <c r="AT584" i="86"/>
  <c r="AQ584" i="86"/>
  <c r="AN584" i="86"/>
  <c r="AK584" i="86"/>
  <c r="AH584" i="86"/>
  <c r="AE584" i="86"/>
  <c r="AB584" i="86"/>
  <c r="Y584" i="86"/>
  <c r="V584" i="86"/>
  <c r="S584" i="86"/>
  <c r="P584" i="86"/>
  <c r="G584" i="86"/>
  <c r="F584" i="86"/>
  <c r="BC583" i="86"/>
  <c r="AZ583" i="86"/>
  <c r="AW583" i="86"/>
  <c r="AT583" i="86"/>
  <c r="AQ583" i="86"/>
  <c r="AN583" i="86"/>
  <c r="AK583" i="86"/>
  <c r="AH583" i="86"/>
  <c r="AE583" i="86"/>
  <c r="AB583" i="86"/>
  <c r="Y583" i="86"/>
  <c r="V583" i="86"/>
  <c r="S583" i="86"/>
  <c r="P583" i="86"/>
  <c r="G583" i="86"/>
  <c r="F583" i="86"/>
  <c r="BC582" i="86"/>
  <c r="AZ582" i="86"/>
  <c r="AW582" i="86"/>
  <c r="AT582" i="86"/>
  <c r="AQ582" i="86"/>
  <c r="AN582" i="86"/>
  <c r="AK582" i="86"/>
  <c r="AH582" i="86"/>
  <c r="AE582" i="86"/>
  <c r="AB582" i="86"/>
  <c r="Y582" i="86"/>
  <c r="V582" i="86"/>
  <c r="S582" i="86"/>
  <c r="P582" i="86"/>
  <c r="G582" i="86"/>
  <c r="F582" i="86"/>
  <c r="BC581" i="86"/>
  <c r="AZ581" i="86"/>
  <c r="AW581" i="86"/>
  <c r="AT581" i="86"/>
  <c r="AQ581" i="86"/>
  <c r="AN581" i="86"/>
  <c r="AK581" i="86"/>
  <c r="AH581" i="86"/>
  <c r="AE581" i="86"/>
  <c r="AB581" i="86"/>
  <c r="Y581" i="86"/>
  <c r="V581" i="86"/>
  <c r="S581" i="86"/>
  <c r="P581" i="86"/>
  <c r="G581" i="86"/>
  <c r="F581" i="86"/>
  <c r="BC580" i="86"/>
  <c r="AZ580" i="86"/>
  <c r="AW580" i="86"/>
  <c r="AT580" i="86"/>
  <c r="AQ580" i="86"/>
  <c r="AN580" i="86"/>
  <c r="AK580" i="86"/>
  <c r="AH580" i="86"/>
  <c r="AE580" i="86"/>
  <c r="AB580" i="86"/>
  <c r="Y580" i="86"/>
  <c r="V580" i="86"/>
  <c r="S580" i="86"/>
  <c r="P580" i="86"/>
  <c r="G580" i="86"/>
  <c r="F580" i="86"/>
  <c r="BC579" i="86"/>
  <c r="AZ579" i="86"/>
  <c r="AW579" i="86"/>
  <c r="AT579" i="86"/>
  <c r="AQ579" i="86"/>
  <c r="AN579" i="86"/>
  <c r="AK579" i="86"/>
  <c r="AH579" i="86"/>
  <c r="AE579" i="86"/>
  <c r="AB579" i="86"/>
  <c r="Y579" i="86"/>
  <c r="V579" i="86"/>
  <c r="S579" i="86"/>
  <c r="P579" i="86"/>
  <c r="G579" i="86"/>
  <c r="F579" i="86"/>
  <c r="BC578" i="86"/>
  <c r="AZ578" i="86"/>
  <c r="AW578" i="86"/>
  <c r="AT578" i="86"/>
  <c r="AQ578" i="86"/>
  <c r="AN578" i="86"/>
  <c r="AK578" i="86"/>
  <c r="AH578" i="86"/>
  <c r="AE578" i="86"/>
  <c r="AB578" i="86"/>
  <c r="Y578" i="86"/>
  <c r="V578" i="86"/>
  <c r="S578" i="86"/>
  <c r="P578" i="86"/>
  <c r="G578" i="86"/>
  <c r="F578" i="86"/>
  <c r="BC577" i="86"/>
  <c r="AZ577" i="86"/>
  <c r="AW577" i="86"/>
  <c r="AT577" i="86"/>
  <c r="AQ577" i="86"/>
  <c r="AN577" i="86"/>
  <c r="AK577" i="86"/>
  <c r="AH577" i="86"/>
  <c r="AE577" i="86"/>
  <c r="AB577" i="86"/>
  <c r="Y577" i="86"/>
  <c r="V577" i="86"/>
  <c r="S577" i="86"/>
  <c r="P577" i="86"/>
  <c r="G577" i="86"/>
  <c r="F577" i="86"/>
  <c r="BC576" i="86"/>
  <c r="AZ576" i="86"/>
  <c r="AW576" i="86"/>
  <c r="AT576" i="86"/>
  <c r="AQ576" i="86"/>
  <c r="AN576" i="86"/>
  <c r="AK576" i="86"/>
  <c r="AH576" i="86"/>
  <c r="AE576" i="86"/>
  <c r="AB576" i="86"/>
  <c r="Y576" i="86"/>
  <c r="V576" i="86"/>
  <c r="S576" i="86"/>
  <c r="P576" i="86"/>
  <c r="G576" i="86"/>
  <c r="F576" i="86"/>
  <c r="BC575" i="86"/>
  <c r="AZ575" i="86"/>
  <c r="AW575" i="86"/>
  <c r="AT575" i="86"/>
  <c r="AQ575" i="86"/>
  <c r="AN575" i="86"/>
  <c r="AK575" i="86"/>
  <c r="AH575" i="86"/>
  <c r="AE575" i="86"/>
  <c r="AB575" i="86"/>
  <c r="Y575" i="86"/>
  <c r="M575" i="86" s="1"/>
  <c r="V575" i="86"/>
  <c r="S575" i="86"/>
  <c r="P575" i="86"/>
  <c r="G575" i="86"/>
  <c r="F575" i="86"/>
  <c r="BC574" i="86"/>
  <c r="AZ574" i="86"/>
  <c r="AW574" i="86"/>
  <c r="AT574" i="86"/>
  <c r="AQ574" i="86"/>
  <c r="AN574" i="86"/>
  <c r="AK574" i="86"/>
  <c r="AH574" i="86"/>
  <c r="AE574" i="86"/>
  <c r="AB574" i="86"/>
  <c r="Y574" i="86"/>
  <c r="V574" i="86"/>
  <c r="S574" i="86"/>
  <c r="P574" i="86"/>
  <c r="G574" i="86"/>
  <c r="F574" i="86"/>
  <c r="BC573" i="86"/>
  <c r="AZ573" i="86"/>
  <c r="AW573" i="86"/>
  <c r="AT573" i="86"/>
  <c r="AQ573" i="86"/>
  <c r="AN573" i="86"/>
  <c r="AK573" i="86"/>
  <c r="AH573" i="86"/>
  <c r="AE573" i="86"/>
  <c r="AB573" i="86"/>
  <c r="Y573" i="86"/>
  <c r="V573" i="86"/>
  <c r="S573" i="86"/>
  <c r="P573" i="86"/>
  <c r="G573" i="86"/>
  <c r="F573" i="86"/>
  <c r="BC572" i="86"/>
  <c r="AZ572" i="86"/>
  <c r="AW572" i="86"/>
  <c r="AT572" i="86"/>
  <c r="AQ572" i="86"/>
  <c r="AN572" i="86"/>
  <c r="AK572" i="86"/>
  <c r="AH572" i="86"/>
  <c r="AE572" i="86"/>
  <c r="AB572" i="86"/>
  <c r="Y572" i="86"/>
  <c r="V572" i="86"/>
  <c r="S572" i="86"/>
  <c r="P572" i="86"/>
  <c r="G572" i="86"/>
  <c r="F572" i="86"/>
  <c r="BC571" i="86"/>
  <c r="AZ571" i="86"/>
  <c r="AW571" i="86"/>
  <c r="AT571" i="86"/>
  <c r="AQ571" i="86"/>
  <c r="AN571" i="86"/>
  <c r="AK571" i="86"/>
  <c r="AH571" i="86"/>
  <c r="AE571" i="86"/>
  <c r="AB571" i="86"/>
  <c r="Y571" i="86"/>
  <c r="V571" i="86"/>
  <c r="S571" i="86"/>
  <c r="P571" i="86"/>
  <c r="G571" i="86"/>
  <c r="F571" i="86"/>
  <c r="BC570" i="86"/>
  <c r="AZ570" i="86"/>
  <c r="AW570" i="86"/>
  <c r="AT570" i="86"/>
  <c r="AQ570" i="86"/>
  <c r="AN570" i="86"/>
  <c r="AK570" i="86"/>
  <c r="AH570" i="86"/>
  <c r="AE570" i="86"/>
  <c r="AB570" i="86"/>
  <c r="Y570" i="86"/>
  <c r="V570" i="86"/>
  <c r="S570" i="86"/>
  <c r="P570" i="86"/>
  <c r="G570" i="86"/>
  <c r="F570" i="86"/>
  <c r="BC569" i="86"/>
  <c r="AZ569" i="86"/>
  <c r="AW569" i="86"/>
  <c r="AT569" i="86"/>
  <c r="AQ569" i="86"/>
  <c r="AN569" i="86"/>
  <c r="AK569" i="86"/>
  <c r="AH569" i="86"/>
  <c r="AE569" i="86"/>
  <c r="AB569" i="86"/>
  <c r="Y569" i="86"/>
  <c r="V569" i="86"/>
  <c r="S569" i="86"/>
  <c r="P569" i="86"/>
  <c r="G569" i="86"/>
  <c r="F569" i="86"/>
  <c r="BC568" i="86"/>
  <c r="AZ568" i="86"/>
  <c r="AW568" i="86"/>
  <c r="AT568" i="86"/>
  <c r="AQ568" i="86"/>
  <c r="AN568" i="86"/>
  <c r="AK568" i="86"/>
  <c r="AH568" i="86"/>
  <c r="AE568" i="86"/>
  <c r="AB568" i="86"/>
  <c r="Y568" i="86"/>
  <c r="V568" i="86"/>
  <c r="S568" i="86"/>
  <c r="P568" i="86"/>
  <c r="G568" i="86"/>
  <c r="F568" i="86"/>
  <c r="BC567" i="86"/>
  <c r="AZ567" i="86"/>
  <c r="AW567" i="86"/>
  <c r="AT567" i="86"/>
  <c r="AQ567" i="86"/>
  <c r="AN567" i="86"/>
  <c r="AK567" i="86"/>
  <c r="AH567" i="86"/>
  <c r="AE567" i="86"/>
  <c r="AB567" i="86"/>
  <c r="Y567" i="86"/>
  <c r="V567" i="86"/>
  <c r="S567" i="86"/>
  <c r="P567" i="86"/>
  <c r="G567" i="86"/>
  <c r="F567" i="86"/>
  <c r="BC566" i="86"/>
  <c r="AZ566" i="86"/>
  <c r="AW566" i="86"/>
  <c r="AT566" i="86"/>
  <c r="AQ566" i="86"/>
  <c r="AN566" i="86"/>
  <c r="AK566" i="86"/>
  <c r="AH566" i="86"/>
  <c r="AE566" i="86"/>
  <c r="AB566" i="86"/>
  <c r="Y566" i="86"/>
  <c r="V566" i="86"/>
  <c r="S566" i="86"/>
  <c r="P566" i="86"/>
  <c r="G566" i="86"/>
  <c r="F566" i="86"/>
  <c r="BC565" i="86"/>
  <c r="AZ565" i="86"/>
  <c r="AW565" i="86"/>
  <c r="AT565" i="86"/>
  <c r="AQ565" i="86"/>
  <c r="AN565" i="86"/>
  <c r="AK565" i="86"/>
  <c r="AH565" i="86"/>
  <c r="AE565" i="86"/>
  <c r="AB565" i="86"/>
  <c r="Y565" i="86"/>
  <c r="M565" i="86" s="1"/>
  <c r="V565" i="86"/>
  <c r="S565" i="86"/>
  <c r="P565" i="86"/>
  <c r="G565" i="86"/>
  <c r="F565" i="86"/>
  <c r="BC564" i="86"/>
  <c r="AZ564" i="86"/>
  <c r="AW564" i="86"/>
  <c r="AT564" i="86"/>
  <c r="AQ564" i="86"/>
  <c r="AN564" i="86"/>
  <c r="AK564" i="86"/>
  <c r="AH564" i="86"/>
  <c r="AE564" i="86"/>
  <c r="AB564" i="86"/>
  <c r="Y564" i="86"/>
  <c r="V564" i="86"/>
  <c r="S564" i="86"/>
  <c r="P564" i="86"/>
  <c r="G564" i="86"/>
  <c r="F564" i="86"/>
  <c r="BC563" i="86"/>
  <c r="AZ563" i="86"/>
  <c r="AW563" i="86"/>
  <c r="AT563" i="86"/>
  <c r="AQ563" i="86"/>
  <c r="AN563" i="86"/>
  <c r="AK563" i="86"/>
  <c r="AH563" i="86"/>
  <c r="AE563" i="86"/>
  <c r="AB563" i="86"/>
  <c r="Y563" i="86"/>
  <c r="V563" i="86"/>
  <c r="S563" i="86"/>
  <c r="P563" i="86"/>
  <c r="G563" i="86"/>
  <c r="F563" i="86"/>
  <c r="BC562" i="86"/>
  <c r="AZ562" i="86"/>
  <c r="AW562" i="86"/>
  <c r="AT562" i="86"/>
  <c r="AQ562" i="86"/>
  <c r="AN562" i="86"/>
  <c r="AK562" i="86"/>
  <c r="AH562" i="86"/>
  <c r="AE562" i="86"/>
  <c r="AB562" i="86"/>
  <c r="Y562" i="86"/>
  <c r="V562" i="86"/>
  <c r="S562" i="86"/>
  <c r="P562" i="86"/>
  <c r="G562" i="86"/>
  <c r="F562" i="86"/>
  <c r="BC561" i="86"/>
  <c r="AZ561" i="86"/>
  <c r="AW561" i="86"/>
  <c r="AT561" i="86"/>
  <c r="AQ561" i="86"/>
  <c r="AN561" i="86"/>
  <c r="AK561" i="86"/>
  <c r="AH561" i="86"/>
  <c r="AE561" i="86"/>
  <c r="AB561" i="86"/>
  <c r="Y561" i="86"/>
  <c r="V561" i="86"/>
  <c r="S561" i="86"/>
  <c r="P561" i="86"/>
  <c r="G561" i="86"/>
  <c r="F561" i="86"/>
  <c r="BC560" i="86"/>
  <c r="AZ560" i="86"/>
  <c r="AW560" i="86"/>
  <c r="AT560" i="86"/>
  <c r="AQ560" i="86"/>
  <c r="AN560" i="86"/>
  <c r="AK560" i="86"/>
  <c r="AH560" i="86"/>
  <c r="AE560" i="86"/>
  <c r="AB560" i="86"/>
  <c r="Y560" i="86"/>
  <c r="V560" i="86"/>
  <c r="S560" i="86"/>
  <c r="P560" i="86"/>
  <c r="G560" i="86"/>
  <c r="F560" i="86"/>
  <c r="BC559" i="86"/>
  <c r="AZ559" i="86"/>
  <c r="AW559" i="86"/>
  <c r="AT559" i="86"/>
  <c r="AQ559" i="86"/>
  <c r="AN559" i="86"/>
  <c r="AK559" i="86"/>
  <c r="AH559" i="86"/>
  <c r="AE559" i="86"/>
  <c r="AB559" i="86"/>
  <c r="Y559" i="86"/>
  <c r="V559" i="86"/>
  <c r="S559" i="86"/>
  <c r="P559" i="86"/>
  <c r="G559" i="86"/>
  <c r="F559" i="86"/>
  <c r="BC558" i="86"/>
  <c r="AZ558" i="86"/>
  <c r="AW558" i="86"/>
  <c r="AT558" i="86"/>
  <c r="AQ558" i="86"/>
  <c r="AN558" i="86"/>
  <c r="AK558" i="86"/>
  <c r="AH558" i="86"/>
  <c r="AE558" i="86"/>
  <c r="AB558" i="86"/>
  <c r="Y558" i="86"/>
  <c r="V558" i="86"/>
  <c r="S558" i="86"/>
  <c r="P558" i="86"/>
  <c r="G558" i="86"/>
  <c r="F558" i="86"/>
  <c r="BC557" i="86"/>
  <c r="AZ557" i="86"/>
  <c r="AW557" i="86"/>
  <c r="AT557" i="86"/>
  <c r="AQ557" i="86"/>
  <c r="AN557" i="86"/>
  <c r="AK557" i="86"/>
  <c r="AH557" i="86"/>
  <c r="AE557" i="86"/>
  <c r="AB557" i="86"/>
  <c r="Y557" i="86"/>
  <c r="V557" i="86"/>
  <c r="S557" i="86"/>
  <c r="P557" i="86"/>
  <c r="G557" i="86"/>
  <c r="F557" i="86"/>
  <c r="BC556" i="86"/>
  <c r="AZ556" i="86"/>
  <c r="AW556" i="86"/>
  <c r="AT556" i="86"/>
  <c r="AQ556" i="86"/>
  <c r="AN556" i="86"/>
  <c r="AK556" i="86"/>
  <c r="AH556" i="86"/>
  <c r="AE556" i="86"/>
  <c r="AB556" i="86"/>
  <c r="Y556" i="86"/>
  <c r="V556" i="86"/>
  <c r="S556" i="86"/>
  <c r="P556" i="86"/>
  <c r="G556" i="86"/>
  <c r="F556" i="86"/>
  <c r="BC555" i="86"/>
  <c r="AZ555" i="86"/>
  <c r="AW555" i="86"/>
  <c r="AT555" i="86"/>
  <c r="AQ555" i="86"/>
  <c r="AN555" i="86"/>
  <c r="AK555" i="86"/>
  <c r="AH555" i="86"/>
  <c r="AE555" i="86"/>
  <c r="AB555" i="86"/>
  <c r="Y555" i="86"/>
  <c r="V555" i="86"/>
  <c r="S555" i="86"/>
  <c r="P555" i="86"/>
  <c r="G555" i="86"/>
  <c r="F555" i="86"/>
  <c r="BC554" i="86"/>
  <c r="AZ554" i="86"/>
  <c r="AW554" i="86"/>
  <c r="AT554" i="86"/>
  <c r="AQ554" i="86"/>
  <c r="AN554" i="86"/>
  <c r="AK554" i="86"/>
  <c r="AH554" i="86"/>
  <c r="AE554" i="86"/>
  <c r="AB554" i="86"/>
  <c r="Y554" i="86"/>
  <c r="V554" i="86"/>
  <c r="S554" i="86"/>
  <c r="P554" i="86"/>
  <c r="G554" i="86"/>
  <c r="F554" i="86"/>
  <c r="BC553" i="86"/>
  <c r="AZ553" i="86"/>
  <c r="AW553" i="86"/>
  <c r="AT553" i="86"/>
  <c r="AQ553" i="86"/>
  <c r="AN553" i="86"/>
  <c r="AK553" i="86"/>
  <c r="AH553" i="86"/>
  <c r="AE553" i="86"/>
  <c r="AB553" i="86"/>
  <c r="Y553" i="86"/>
  <c r="M553" i="86" s="1"/>
  <c r="V553" i="86"/>
  <c r="S553" i="86"/>
  <c r="P553" i="86"/>
  <c r="G553" i="86"/>
  <c r="F553" i="86"/>
  <c r="BC552" i="86"/>
  <c r="AZ552" i="86"/>
  <c r="AW552" i="86"/>
  <c r="AT552" i="86"/>
  <c r="AQ552" i="86"/>
  <c r="AN552" i="86"/>
  <c r="AK552" i="86"/>
  <c r="AH552" i="86"/>
  <c r="AE552" i="86"/>
  <c r="AB552" i="86"/>
  <c r="Y552" i="86"/>
  <c r="V552" i="86"/>
  <c r="S552" i="86"/>
  <c r="P552" i="86"/>
  <c r="G552" i="86"/>
  <c r="F552" i="86"/>
  <c r="BC551" i="86"/>
  <c r="AZ551" i="86"/>
  <c r="AW551" i="86"/>
  <c r="AT551" i="86"/>
  <c r="AQ551" i="86"/>
  <c r="AN551" i="86"/>
  <c r="AK551" i="86"/>
  <c r="AH551" i="86"/>
  <c r="AE551" i="86"/>
  <c r="AB551" i="86"/>
  <c r="Y551" i="86"/>
  <c r="V551" i="86"/>
  <c r="S551" i="86"/>
  <c r="P551" i="86"/>
  <c r="G551" i="86"/>
  <c r="F551" i="86"/>
  <c r="BC550" i="86"/>
  <c r="AZ550" i="86"/>
  <c r="AW550" i="86"/>
  <c r="AT550" i="86"/>
  <c r="AQ550" i="86"/>
  <c r="AN550" i="86"/>
  <c r="AK550" i="86"/>
  <c r="AH550" i="86"/>
  <c r="AE550" i="86"/>
  <c r="AB550" i="86"/>
  <c r="Y550" i="86"/>
  <c r="V550" i="86"/>
  <c r="S550" i="86"/>
  <c r="P550" i="86"/>
  <c r="G550" i="86"/>
  <c r="F550" i="86"/>
  <c r="BC549" i="86"/>
  <c r="AZ549" i="86"/>
  <c r="AW549" i="86"/>
  <c r="AT549" i="86"/>
  <c r="AQ549" i="86"/>
  <c r="AN549" i="86"/>
  <c r="AK549" i="86"/>
  <c r="AH549" i="86"/>
  <c r="AE549" i="86"/>
  <c r="AB549" i="86"/>
  <c r="Y549" i="86"/>
  <c r="V549" i="86"/>
  <c r="S549" i="86"/>
  <c r="P549" i="86"/>
  <c r="G549" i="86"/>
  <c r="F549" i="86"/>
  <c r="BC548" i="86"/>
  <c r="AZ548" i="86"/>
  <c r="AW548" i="86"/>
  <c r="AT548" i="86"/>
  <c r="AQ548" i="86"/>
  <c r="AN548" i="86"/>
  <c r="AK548" i="86"/>
  <c r="AH548" i="86"/>
  <c r="AE548" i="86"/>
  <c r="AB548" i="86"/>
  <c r="Y548" i="86"/>
  <c r="V548" i="86"/>
  <c r="S548" i="86"/>
  <c r="P548" i="86"/>
  <c r="G548" i="86"/>
  <c r="F548" i="86"/>
  <c r="BC547" i="86"/>
  <c r="AZ547" i="86"/>
  <c r="AW547" i="86"/>
  <c r="AT547" i="86"/>
  <c r="AQ547" i="86"/>
  <c r="AN547" i="86"/>
  <c r="AK547" i="86"/>
  <c r="AH547" i="86"/>
  <c r="AE547" i="86"/>
  <c r="AB547" i="86"/>
  <c r="Y547" i="86"/>
  <c r="V547" i="86"/>
  <c r="S547" i="86"/>
  <c r="P547" i="86"/>
  <c r="G547" i="86"/>
  <c r="F547" i="86"/>
  <c r="BC546" i="86"/>
  <c r="AZ546" i="86"/>
  <c r="AW546" i="86"/>
  <c r="AT546" i="86"/>
  <c r="AQ546" i="86"/>
  <c r="AN546" i="86"/>
  <c r="AK546" i="86"/>
  <c r="AH546" i="86"/>
  <c r="AE546" i="86"/>
  <c r="AB546" i="86"/>
  <c r="Y546" i="86"/>
  <c r="V546" i="86"/>
  <c r="S546" i="86"/>
  <c r="P546" i="86"/>
  <c r="G546" i="86"/>
  <c r="F546" i="86"/>
  <c r="BC545" i="86"/>
  <c r="AZ545" i="86"/>
  <c r="AW545" i="86"/>
  <c r="AT545" i="86"/>
  <c r="AQ545" i="86"/>
  <c r="AN545" i="86"/>
  <c r="AK545" i="86"/>
  <c r="AH545" i="86"/>
  <c r="AE545" i="86"/>
  <c r="AB545" i="86"/>
  <c r="Y545" i="86"/>
  <c r="V545" i="86"/>
  <c r="S545" i="86"/>
  <c r="P545" i="86"/>
  <c r="G545" i="86"/>
  <c r="F545" i="86"/>
  <c r="BC544" i="86"/>
  <c r="AZ544" i="86"/>
  <c r="AW544" i="86"/>
  <c r="AT544" i="86"/>
  <c r="AQ544" i="86"/>
  <c r="AN544" i="86"/>
  <c r="AK544" i="86"/>
  <c r="AH544" i="86"/>
  <c r="AE544" i="86"/>
  <c r="AB544" i="86"/>
  <c r="Y544" i="86"/>
  <c r="V544" i="86"/>
  <c r="S544" i="86"/>
  <c r="P544" i="86"/>
  <c r="G544" i="86"/>
  <c r="F544" i="86"/>
  <c r="BC543" i="86"/>
  <c r="AZ543" i="86"/>
  <c r="AW543" i="86"/>
  <c r="AT543" i="86"/>
  <c r="AQ543" i="86"/>
  <c r="AN543" i="86"/>
  <c r="AK543" i="86"/>
  <c r="AH543" i="86"/>
  <c r="AE543" i="86"/>
  <c r="AB543" i="86"/>
  <c r="Y543" i="86"/>
  <c r="V543" i="86"/>
  <c r="S543" i="86"/>
  <c r="P543" i="86"/>
  <c r="G543" i="86"/>
  <c r="F543" i="86"/>
  <c r="BC542" i="86"/>
  <c r="AZ542" i="86"/>
  <c r="AW542" i="86"/>
  <c r="AT542" i="86"/>
  <c r="AQ542" i="86"/>
  <c r="AN542" i="86"/>
  <c r="AK542" i="86"/>
  <c r="AH542" i="86"/>
  <c r="AE542" i="86"/>
  <c r="AB542" i="86"/>
  <c r="Y542" i="86"/>
  <c r="V542" i="86"/>
  <c r="S542" i="86"/>
  <c r="P542" i="86"/>
  <c r="G542" i="86"/>
  <c r="F542" i="86"/>
  <c r="BC541" i="86"/>
  <c r="AZ541" i="86"/>
  <c r="AW541" i="86"/>
  <c r="AT541" i="86"/>
  <c r="AQ541" i="86"/>
  <c r="AN541" i="86"/>
  <c r="AK541" i="86"/>
  <c r="AH541" i="86"/>
  <c r="AE541" i="86"/>
  <c r="AB541" i="86"/>
  <c r="Y541" i="86"/>
  <c r="V541" i="86"/>
  <c r="S541" i="86"/>
  <c r="P541" i="86"/>
  <c r="G541" i="86"/>
  <c r="F541" i="86"/>
  <c r="BC540" i="86"/>
  <c r="AZ540" i="86"/>
  <c r="AW540" i="86"/>
  <c r="AT540" i="86"/>
  <c r="AQ540" i="86"/>
  <c r="AN540" i="86"/>
  <c r="AK540" i="86"/>
  <c r="AH540" i="86"/>
  <c r="AE540" i="86"/>
  <c r="AB540" i="86"/>
  <c r="Y540" i="86"/>
  <c r="V540" i="86"/>
  <c r="S540" i="86"/>
  <c r="P540" i="86"/>
  <c r="G540" i="86"/>
  <c r="F540" i="86"/>
  <c r="BC539" i="86"/>
  <c r="AZ539" i="86"/>
  <c r="AW539" i="86"/>
  <c r="AT539" i="86"/>
  <c r="AQ539" i="86"/>
  <c r="AN539" i="86"/>
  <c r="AK539" i="86"/>
  <c r="AH539" i="86"/>
  <c r="AE539" i="86"/>
  <c r="AB539" i="86"/>
  <c r="Y539" i="86"/>
  <c r="V539" i="86"/>
  <c r="S539" i="86"/>
  <c r="P539" i="86"/>
  <c r="G539" i="86"/>
  <c r="F539" i="86"/>
  <c r="BC538" i="86"/>
  <c r="AZ538" i="86"/>
  <c r="AW538" i="86"/>
  <c r="AT538" i="86"/>
  <c r="AQ538" i="86"/>
  <c r="AN538" i="86"/>
  <c r="AK538" i="86"/>
  <c r="AH538" i="86"/>
  <c r="AE538" i="86"/>
  <c r="AB538" i="86"/>
  <c r="Y538" i="86"/>
  <c r="V538" i="86"/>
  <c r="S538" i="86"/>
  <c r="P538" i="86"/>
  <c r="G538" i="86"/>
  <c r="F538" i="86"/>
  <c r="BC537" i="86"/>
  <c r="AZ537" i="86"/>
  <c r="AW537" i="86"/>
  <c r="AT537" i="86"/>
  <c r="AQ537" i="86"/>
  <c r="AN537" i="86"/>
  <c r="AK537" i="86"/>
  <c r="AH537" i="86"/>
  <c r="AE537" i="86"/>
  <c r="AB537" i="86"/>
  <c r="Y537" i="86"/>
  <c r="V537" i="86"/>
  <c r="S537" i="86"/>
  <c r="P537" i="86"/>
  <c r="G537" i="86"/>
  <c r="F537" i="86"/>
  <c r="BC536" i="86"/>
  <c r="AZ536" i="86"/>
  <c r="AW536" i="86"/>
  <c r="AT536" i="86"/>
  <c r="AQ536" i="86"/>
  <c r="AN536" i="86"/>
  <c r="AK536" i="86"/>
  <c r="AH536" i="86"/>
  <c r="AE536" i="86"/>
  <c r="AB536" i="86"/>
  <c r="Y536" i="86"/>
  <c r="V536" i="86"/>
  <c r="S536" i="86"/>
  <c r="P536" i="86"/>
  <c r="G536" i="86"/>
  <c r="F536" i="86"/>
  <c r="BC535" i="86"/>
  <c r="AZ535" i="86"/>
  <c r="AW535" i="86"/>
  <c r="AT535" i="86"/>
  <c r="AQ535" i="86"/>
  <c r="AN535" i="86"/>
  <c r="AK535" i="86"/>
  <c r="AH535" i="86"/>
  <c r="AE535" i="86"/>
  <c r="AB535" i="86"/>
  <c r="Y535" i="86"/>
  <c r="V535" i="86"/>
  <c r="S535" i="86"/>
  <c r="P535" i="86"/>
  <c r="G535" i="86"/>
  <c r="F535" i="86"/>
  <c r="BC534" i="86"/>
  <c r="AZ534" i="86"/>
  <c r="AW534" i="86"/>
  <c r="AT534" i="86"/>
  <c r="AQ534" i="86"/>
  <c r="AN534" i="86"/>
  <c r="AK534" i="86"/>
  <c r="AH534" i="86"/>
  <c r="AE534" i="86"/>
  <c r="AB534" i="86"/>
  <c r="Y534" i="86"/>
  <c r="V534" i="86"/>
  <c r="S534" i="86"/>
  <c r="P534" i="86"/>
  <c r="G534" i="86"/>
  <c r="F534" i="86"/>
  <c r="BC533" i="86"/>
  <c r="AZ533" i="86"/>
  <c r="AW533" i="86"/>
  <c r="AT533" i="86"/>
  <c r="AQ533" i="86"/>
  <c r="AN533" i="86"/>
  <c r="AK533" i="86"/>
  <c r="AH533" i="86"/>
  <c r="AE533" i="86"/>
  <c r="AB533" i="86"/>
  <c r="Y533" i="86"/>
  <c r="V533" i="86"/>
  <c r="S533" i="86"/>
  <c r="P533" i="86"/>
  <c r="G533" i="86"/>
  <c r="F533" i="86"/>
  <c r="BC532" i="86"/>
  <c r="AZ532" i="86"/>
  <c r="AW532" i="86"/>
  <c r="AT532" i="86"/>
  <c r="AQ532" i="86"/>
  <c r="AN532" i="86"/>
  <c r="AK532" i="86"/>
  <c r="AH532" i="86"/>
  <c r="AE532" i="86"/>
  <c r="AB532" i="86"/>
  <c r="Y532" i="86"/>
  <c r="V532" i="86"/>
  <c r="S532" i="86"/>
  <c r="P532" i="86"/>
  <c r="G532" i="86"/>
  <c r="F532" i="86"/>
  <c r="BC531" i="86"/>
  <c r="AZ531" i="86"/>
  <c r="AW531" i="86"/>
  <c r="AT531" i="86"/>
  <c r="AQ531" i="86"/>
  <c r="AN531" i="86"/>
  <c r="AK531" i="86"/>
  <c r="AH531" i="86"/>
  <c r="AE531" i="86"/>
  <c r="AB531" i="86"/>
  <c r="Y531" i="86"/>
  <c r="V531" i="86"/>
  <c r="S531" i="86"/>
  <c r="P531" i="86"/>
  <c r="G531" i="86"/>
  <c r="F531" i="86"/>
  <c r="BC530" i="86"/>
  <c r="AZ530" i="86"/>
  <c r="AW530" i="86"/>
  <c r="AT530" i="86"/>
  <c r="AQ530" i="86"/>
  <c r="AN530" i="86"/>
  <c r="AK530" i="86"/>
  <c r="AH530" i="86"/>
  <c r="AE530" i="86"/>
  <c r="AB530" i="86"/>
  <c r="Y530" i="86"/>
  <c r="V530" i="86"/>
  <c r="S530" i="86"/>
  <c r="P530" i="86"/>
  <c r="G530" i="86"/>
  <c r="F530" i="86"/>
  <c r="BC529" i="86"/>
  <c r="AZ529" i="86"/>
  <c r="AW529" i="86"/>
  <c r="AT529" i="86"/>
  <c r="AQ529" i="86"/>
  <c r="AN529" i="86"/>
  <c r="AK529" i="86"/>
  <c r="AH529" i="86"/>
  <c r="AE529" i="86"/>
  <c r="AB529" i="86"/>
  <c r="Y529" i="86"/>
  <c r="V529" i="86"/>
  <c r="S529" i="86"/>
  <c r="P529" i="86"/>
  <c r="G529" i="86"/>
  <c r="F529" i="86"/>
  <c r="BC528" i="86"/>
  <c r="AZ528" i="86"/>
  <c r="AW528" i="86"/>
  <c r="AT528" i="86"/>
  <c r="AQ528" i="86"/>
  <c r="AN528" i="86"/>
  <c r="AK528" i="86"/>
  <c r="AH528" i="86"/>
  <c r="AE528" i="86"/>
  <c r="AB528" i="86"/>
  <c r="Y528" i="86"/>
  <c r="V528" i="86"/>
  <c r="S528" i="86"/>
  <c r="P528" i="86"/>
  <c r="G528" i="86"/>
  <c r="F528" i="86"/>
  <c r="BC527" i="86"/>
  <c r="AZ527" i="86"/>
  <c r="AW527" i="86"/>
  <c r="AT527" i="86"/>
  <c r="AQ527" i="86"/>
  <c r="AN527" i="86"/>
  <c r="AK527" i="86"/>
  <c r="AH527" i="86"/>
  <c r="AE527" i="86"/>
  <c r="AB527" i="86"/>
  <c r="Y527" i="86"/>
  <c r="V527" i="86"/>
  <c r="S527" i="86"/>
  <c r="P527" i="86"/>
  <c r="G527" i="86"/>
  <c r="F527" i="86"/>
  <c r="BC526" i="86"/>
  <c r="AZ526" i="86"/>
  <c r="AW526" i="86"/>
  <c r="AT526" i="86"/>
  <c r="AQ526" i="86"/>
  <c r="AN526" i="86"/>
  <c r="AK526" i="86"/>
  <c r="AH526" i="86"/>
  <c r="AE526" i="86"/>
  <c r="AB526" i="86"/>
  <c r="Y526" i="86"/>
  <c r="V526" i="86"/>
  <c r="S526" i="86"/>
  <c r="P526" i="86"/>
  <c r="G526" i="86"/>
  <c r="F526" i="86"/>
  <c r="BC525" i="86"/>
  <c r="AZ525" i="86"/>
  <c r="AW525" i="86"/>
  <c r="AT525" i="86"/>
  <c r="AQ525" i="86"/>
  <c r="AN525" i="86"/>
  <c r="AK525" i="86"/>
  <c r="AH525" i="86"/>
  <c r="AE525" i="86"/>
  <c r="AB525" i="86"/>
  <c r="Y525" i="86"/>
  <c r="V525" i="86"/>
  <c r="S525" i="86"/>
  <c r="P525" i="86"/>
  <c r="G525" i="86"/>
  <c r="F525" i="86"/>
  <c r="BC524" i="86"/>
  <c r="AZ524" i="86"/>
  <c r="AW524" i="86"/>
  <c r="AT524" i="86"/>
  <c r="AQ524" i="86"/>
  <c r="AN524" i="86"/>
  <c r="AK524" i="86"/>
  <c r="AH524" i="86"/>
  <c r="AE524" i="86"/>
  <c r="AB524" i="86"/>
  <c r="Y524" i="86"/>
  <c r="V524" i="86"/>
  <c r="S524" i="86"/>
  <c r="P524" i="86"/>
  <c r="G524" i="86"/>
  <c r="F524" i="86"/>
  <c r="BC523" i="86"/>
  <c r="AZ523" i="86"/>
  <c r="AW523" i="86"/>
  <c r="AT523" i="86"/>
  <c r="AQ523" i="86"/>
  <c r="AN523" i="86"/>
  <c r="AK523" i="86"/>
  <c r="AH523" i="86"/>
  <c r="AE523" i="86"/>
  <c r="AB523" i="86"/>
  <c r="Y523" i="86"/>
  <c r="M523" i="86" s="1"/>
  <c r="V523" i="86"/>
  <c r="S523" i="86"/>
  <c r="P523" i="86"/>
  <c r="G523" i="86"/>
  <c r="F523" i="86"/>
  <c r="BC522" i="86"/>
  <c r="AZ522" i="86"/>
  <c r="AW522" i="86"/>
  <c r="AT522" i="86"/>
  <c r="AQ522" i="86"/>
  <c r="AN522" i="86"/>
  <c r="AK522" i="86"/>
  <c r="AH522" i="86"/>
  <c r="AE522" i="86"/>
  <c r="AB522" i="86"/>
  <c r="Y522" i="86"/>
  <c r="V522" i="86"/>
  <c r="S522" i="86"/>
  <c r="P522" i="86"/>
  <c r="G522" i="86"/>
  <c r="F522" i="86"/>
  <c r="BC521" i="86"/>
  <c r="AZ521" i="86"/>
  <c r="AW521" i="86"/>
  <c r="AT521" i="86"/>
  <c r="AQ521" i="86"/>
  <c r="AN521" i="86"/>
  <c r="AK521" i="86"/>
  <c r="AH521" i="86"/>
  <c r="AE521" i="86"/>
  <c r="AB521" i="86"/>
  <c r="Y521" i="86"/>
  <c r="V521" i="86"/>
  <c r="S521" i="86"/>
  <c r="P521" i="86"/>
  <c r="G521" i="86"/>
  <c r="F521" i="86"/>
  <c r="BC520" i="86"/>
  <c r="AZ520" i="86"/>
  <c r="AW520" i="86"/>
  <c r="AT520" i="86"/>
  <c r="AQ520" i="86"/>
  <c r="AN520" i="86"/>
  <c r="AK520" i="86"/>
  <c r="AH520" i="86"/>
  <c r="AE520" i="86"/>
  <c r="AB520" i="86"/>
  <c r="Y520" i="86"/>
  <c r="V520" i="86"/>
  <c r="S520" i="86"/>
  <c r="P520" i="86"/>
  <c r="G520" i="86"/>
  <c r="F520" i="86"/>
  <c r="BC519" i="86"/>
  <c r="AZ519" i="86"/>
  <c r="AW519" i="86"/>
  <c r="AT519" i="86"/>
  <c r="AQ519" i="86"/>
  <c r="AN519" i="86"/>
  <c r="AK519" i="86"/>
  <c r="AH519" i="86"/>
  <c r="AE519" i="86"/>
  <c r="AB519" i="86"/>
  <c r="Y519" i="86"/>
  <c r="V519" i="86"/>
  <c r="S519" i="86"/>
  <c r="P519" i="86"/>
  <c r="G519" i="86"/>
  <c r="F519" i="86"/>
  <c r="BC518" i="86"/>
  <c r="AZ518" i="86"/>
  <c r="AW518" i="86"/>
  <c r="AT518" i="86"/>
  <c r="AQ518" i="86"/>
  <c r="AN518" i="86"/>
  <c r="AK518" i="86"/>
  <c r="AH518" i="86"/>
  <c r="AE518" i="86"/>
  <c r="AB518" i="86"/>
  <c r="Y518" i="86"/>
  <c r="V518" i="86"/>
  <c r="S518" i="86"/>
  <c r="P518" i="86"/>
  <c r="G518" i="86"/>
  <c r="F518" i="86"/>
  <c r="BC517" i="86"/>
  <c r="AZ517" i="86"/>
  <c r="AW517" i="86"/>
  <c r="AT517" i="86"/>
  <c r="AQ517" i="86"/>
  <c r="AN517" i="86"/>
  <c r="AK517" i="86"/>
  <c r="AH517" i="86"/>
  <c r="AE517" i="86"/>
  <c r="AB517" i="86"/>
  <c r="Y517" i="86"/>
  <c r="V517" i="86"/>
  <c r="S517" i="86"/>
  <c r="P517" i="86"/>
  <c r="G517" i="86"/>
  <c r="F517" i="86"/>
  <c r="BC516" i="86"/>
  <c r="AZ516" i="86"/>
  <c r="AW516" i="86"/>
  <c r="AT516" i="86"/>
  <c r="AQ516" i="86"/>
  <c r="AN516" i="86"/>
  <c r="AK516" i="86"/>
  <c r="AH516" i="86"/>
  <c r="AE516" i="86"/>
  <c r="AB516" i="86"/>
  <c r="Y516" i="86"/>
  <c r="V516" i="86"/>
  <c r="S516" i="86"/>
  <c r="P516" i="86"/>
  <c r="G516" i="86"/>
  <c r="F516" i="86"/>
  <c r="BC515" i="86"/>
  <c r="AZ515" i="86"/>
  <c r="AW515" i="86"/>
  <c r="AT515" i="86"/>
  <c r="AQ515" i="86"/>
  <c r="AN515" i="86"/>
  <c r="AK515" i="86"/>
  <c r="AH515" i="86"/>
  <c r="AE515" i="86"/>
  <c r="AB515" i="86"/>
  <c r="Y515" i="86"/>
  <c r="M515" i="86" s="1"/>
  <c r="V515" i="86"/>
  <c r="S515" i="86"/>
  <c r="P515" i="86"/>
  <c r="G515" i="86"/>
  <c r="F515" i="86"/>
  <c r="BC514" i="86"/>
  <c r="AZ514" i="86"/>
  <c r="AW514" i="86"/>
  <c r="AT514" i="86"/>
  <c r="AQ514" i="86"/>
  <c r="AN514" i="86"/>
  <c r="AK514" i="86"/>
  <c r="AH514" i="86"/>
  <c r="AE514" i="86"/>
  <c r="AB514" i="86"/>
  <c r="Y514" i="86"/>
  <c r="V514" i="86"/>
  <c r="S514" i="86"/>
  <c r="P514" i="86"/>
  <c r="G514" i="86"/>
  <c r="F514" i="86"/>
  <c r="BC513" i="86"/>
  <c r="AZ513" i="86"/>
  <c r="AW513" i="86"/>
  <c r="AT513" i="86"/>
  <c r="AQ513" i="86"/>
  <c r="AN513" i="86"/>
  <c r="AK513" i="86"/>
  <c r="AH513" i="86"/>
  <c r="AE513" i="86"/>
  <c r="AB513" i="86"/>
  <c r="Y513" i="86"/>
  <c r="V513" i="86"/>
  <c r="S513" i="86"/>
  <c r="P513" i="86"/>
  <c r="G513" i="86"/>
  <c r="F513" i="86"/>
  <c r="BC512" i="86"/>
  <c r="AZ512" i="86"/>
  <c r="AW512" i="86"/>
  <c r="AT512" i="86"/>
  <c r="AQ512" i="86"/>
  <c r="AN512" i="86"/>
  <c r="AK512" i="86"/>
  <c r="AH512" i="86"/>
  <c r="AE512" i="86"/>
  <c r="AB512" i="86"/>
  <c r="Y512" i="86"/>
  <c r="V512" i="86"/>
  <c r="S512" i="86"/>
  <c r="P512" i="86"/>
  <c r="G512" i="86"/>
  <c r="F512" i="86"/>
  <c r="BC511" i="86"/>
  <c r="AZ511" i="86"/>
  <c r="AW511" i="86"/>
  <c r="AT511" i="86"/>
  <c r="AQ511" i="86"/>
  <c r="AN511" i="86"/>
  <c r="AK511" i="86"/>
  <c r="AH511" i="86"/>
  <c r="AE511" i="86"/>
  <c r="AB511" i="86"/>
  <c r="Y511" i="86"/>
  <c r="M511" i="86" s="1"/>
  <c r="V511" i="86"/>
  <c r="S511" i="86"/>
  <c r="P511" i="86"/>
  <c r="G511" i="86"/>
  <c r="F511" i="86"/>
  <c r="BC510" i="86"/>
  <c r="AZ510" i="86"/>
  <c r="AW510" i="86"/>
  <c r="AT510" i="86"/>
  <c r="AQ510" i="86"/>
  <c r="AN510" i="86"/>
  <c r="AK510" i="86"/>
  <c r="AH510" i="86"/>
  <c r="AE510" i="86"/>
  <c r="AB510" i="86"/>
  <c r="Y510" i="86"/>
  <c r="V510" i="86"/>
  <c r="S510" i="86"/>
  <c r="P510" i="86"/>
  <c r="G510" i="86"/>
  <c r="F510" i="86"/>
  <c r="BC509" i="86"/>
  <c r="AZ509" i="86"/>
  <c r="AW509" i="86"/>
  <c r="AT509" i="86"/>
  <c r="AQ509" i="86"/>
  <c r="AN509" i="86"/>
  <c r="AK509" i="86"/>
  <c r="AH509" i="86"/>
  <c r="AE509" i="86"/>
  <c r="AB509" i="86"/>
  <c r="Y509" i="86"/>
  <c r="V509" i="86"/>
  <c r="S509" i="86"/>
  <c r="P509" i="86"/>
  <c r="G509" i="86"/>
  <c r="F509" i="86"/>
  <c r="BC508" i="86"/>
  <c r="AZ508" i="86"/>
  <c r="AW508" i="86"/>
  <c r="AT508" i="86"/>
  <c r="AQ508" i="86"/>
  <c r="AN508" i="86"/>
  <c r="AK508" i="86"/>
  <c r="AH508" i="86"/>
  <c r="AE508" i="86"/>
  <c r="AB508" i="86"/>
  <c r="Y508" i="86"/>
  <c r="V508" i="86"/>
  <c r="S508" i="86"/>
  <c r="P508" i="86"/>
  <c r="G508" i="86"/>
  <c r="F508" i="86"/>
  <c r="BC507" i="86"/>
  <c r="AZ507" i="86"/>
  <c r="AW507" i="86"/>
  <c r="AT507" i="86"/>
  <c r="AQ507" i="86"/>
  <c r="AN507" i="86"/>
  <c r="AK507" i="86"/>
  <c r="AH507" i="86"/>
  <c r="AE507" i="86"/>
  <c r="AB507" i="86"/>
  <c r="Y507" i="86"/>
  <c r="V507" i="86"/>
  <c r="S507" i="86"/>
  <c r="P507" i="86"/>
  <c r="G507" i="86"/>
  <c r="F507" i="86"/>
  <c r="BC506" i="86"/>
  <c r="AZ506" i="86"/>
  <c r="AW506" i="86"/>
  <c r="AT506" i="86"/>
  <c r="AQ506" i="86"/>
  <c r="AN506" i="86"/>
  <c r="AK506" i="86"/>
  <c r="AH506" i="86"/>
  <c r="AE506" i="86"/>
  <c r="AB506" i="86"/>
  <c r="Y506" i="86"/>
  <c r="V506" i="86"/>
  <c r="S506" i="86"/>
  <c r="P506" i="86"/>
  <c r="G506" i="86"/>
  <c r="F506" i="86"/>
  <c r="BC505" i="86"/>
  <c r="AZ505" i="86"/>
  <c r="AW505" i="86"/>
  <c r="AT505" i="86"/>
  <c r="AQ505" i="86"/>
  <c r="AN505" i="86"/>
  <c r="AK505" i="86"/>
  <c r="AH505" i="86"/>
  <c r="AE505" i="86"/>
  <c r="AB505" i="86"/>
  <c r="Y505" i="86"/>
  <c r="V505" i="86"/>
  <c r="S505" i="86"/>
  <c r="P505" i="86"/>
  <c r="G505" i="86"/>
  <c r="F505" i="86"/>
  <c r="BC504" i="86"/>
  <c r="AZ504" i="86"/>
  <c r="AW504" i="86"/>
  <c r="AT504" i="86"/>
  <c r="AQ504" i="86"/>
  <c r="AN504" i="86"/>
  <c r="AK504" i="86"/>
  <c r="AH504" i="86"/>
  <c r="AE504" i="86"/>
  <c r="AB504" i="86"/>
  <c r="Y504" i="86"/>
  <c r="V504" i="86"/>
  <c r="S504" i="86"/>
  <c r="P504" i="86"/>
  <c r="G504" i="86"/>
  <c r="F504" i="86"/>
  <c r="BC503" i="86"/>
  <c r="AZ503" i="86"/>
  <c r="AW503" i="86"/>
  <c r="AT503" i="86"/>
  <c r="AQ503" i="86"/>
  <c r="AN503" i="86"/>
  <c r="AK503" i="86"/>
  <c r="AH503" i="86"/>
  <c r="AE503" i="86"/>
  <c r="AB503" i="86"/>
  <c r="Y503" i="86"/>
  <c r="V503" i="86"/>
  <c r="S503" i="86"/>
  <c r="P503" i="86"/>
  <c r="G503" i="86"/>
  <c r="F503" i="86"/>
  <c r="BC502" i="86"/>
  <c r="AZ502" i="86"/>
  <c r="AW502" i="86"/>
  <c r="AT502" i="86"/>
  <c r="AQ502" i="86"/>
  <c r="AN502" i="86"/>
  <c r="AK502" i="86"/>
  <c r="AH502" i="86"/>
  <c r="AE502" i="86"/>
  <c r="AB502" i="86"/>
  <c r="Y502" i="86"/>
  <c r="V502" i="86"/>
  <c r="S502" i="86"/>
  <c r="P502" i="86"/>
  <c r="G502" i="86"/>
  <c r="F502" i="86"/>
  <c r="BC501" i="86"/>
  <c r="AZ501" i="86"/>
  <c r="AW501" i="86"/>
  <c r="AT501" i="86"/>
  <c r="AQ501" i="86"/>
  <c r="AN501" i="86"/>
  <c r="AK501" i="86"/>
  <c r="AH501" i="86"/>
  <c r="AE501" i="86"/>
  <c r="AB501" i="86"/>
  <c r="Y501" i="86"/>
  <c r="M501" i="86" s="1"/>
  <c r="V501" i="86"/>
  <c r="S501" i="86"/>
  <c r="P501" i="86"/>
  <c r="G501" i="86"/>
  <c r="F501" i="86"/>
  <c r="BC500" i="86"/>
  <c r="AZ500" i="86"/>
  <c r="AW500" i="86"/>
  <c r="AT500" i="86"/>
  <c r="AQ500" i="86"/>
  <c r="AN500" i="86"/>
  <c r="AK500" i="86"/>
  <c r="AH500" i="86"/>
  <c r="AE500" i="86"/>
  <c r="AB500" i="86"/>
  <c r="Y500" i="86"/>
  <c r="V500" i="86"/>
  <c r="S500" i="86"/>
  <c r="P500" i="86"/>
  <c r="G500" i="86"/>
  <c r="F500" i="86"/>
  <c r="BC499" i="86"/>
  <c r="AZ499" i="86"/>
  <c r="AW499" i="86"/>
  <c r="AT499" i="86"/>
  <c r="AQ499" i="86"/>
  <c r="AN499" i="86"/>
  <c r="AK499" i="86"/>
  <c r="AH499" i="86"/>
  <c r="AE499" i="86"/>
  <c r="AB499" i="86"/>
  <c r="Y499" i="86"/>
  <c r="V499" i="86"/>
  <c r="S499" i="86"/>
  <c r="P499" i="86"/>
  <c r="G499" i="86"/>
  <c r="F499" i="86"/>
  <c r="BC498" i="86"/>
  <c r="AZ498" i="86"/>
  <c r="AW498" i="86"/>
  <c r="AT498" i="86"/>
  <c r="AQ498" i="86"/>
  <c r="AN498" i="86"/>
  <c r="AK498" i="86"/>
  <c r="AH498" i="86"/>
  <c r="AE498" i="86"/>
  <c r="AB498" i="86"/>
  <c r="Y498" i="86"/>
  <c r="V498" i="86"/>
  <c r="S498" i="86"/>
  <c r="P498" i="86"/>
  <c r="G498" i="86"/>
  <c r="F498" i="86"/>
  <c r="BC497" i="86"/>
  <c r="AZ497" i="86"/>
  <c r="AW497" i="86"/>
  <c r="AT497" i="86"/>
  <c r="AQ497" i="86"/>
  <c r="AN497" i="86"/>
  <c r="AK497" i="86"/>
  <c r="AH497" i="86"/>
  <c r="AE497" i="86"/>
  <c r="AB497" i="86"/>
  <c r="Y497" i="86"/>
  <c r="V497" i="86"/>
  <c r="S497" i="86"/>
  <c r="P497" i="86"/>
  <c r="G497" i="86"/>
  <c r="F497" i="86"/>
  <c r="BC496" i="86"/>
  <c r="AZ496" i="86"/>
  <c r="AW496" i="86"/>
  <c r="AT496" i="86"/>
  <c r="AQ496" i="86"/>
  <c r="AN496" i="86"/>
  <c r="AK496" i="86"/>
  <c r="AH496" i="86"/>
  <c r="AE496" i="86"/>
  <c r="AB496" i="86"/>
  <c r="Y496" i="86"/>
  <c r="V496" i="86"/>
  <c r="S496" i="86"/>
  <c r="P496" i="86"/>
  <c r="G496" i="86"/>
  <c r="F496" i="86"/>
  <c r="BC495" i="86"/>
  <c r="AZ495" i="86"/>
  <c r="AW495" i="86"/>
  <c r="AT495" i="86"/>
  <c r="AQ495" i="86"/>
  <c r="AN495" i="86"/>
  <c r="AK495" i="86"/>
  <c r="AH495" i="86"/>
  <c r="AE495" i="86"/>
  <c r="AB495" i="86"/>
  <c r="Y495" i="86"/>
  <c r="V495" i="86"/>
  <c r="S495" i="86"/>
  <c r="P495" i="86"/>
  <c r="G495" i="86"/>
  <c r="F495" i="86"/>
  <c r="BC494" i="86"/>
  <c r="AZ494" i="86"/>
  <c r="AW494" i="86"/>
  <c r="AT494" i="86"/>
  <c r="AQ494" i="86"/>
  <c r="AN494" i="86"/>
  <c r="AK494" i="86"/>
  <c r="AH494" i="86"/>
  <c r="AE494" i="86"/>
  <c r="AB494" i="86"/>
  <c r="Y494" i="86"/>
  <c r="V494" i="86"/>
  <c r="S494" i="86"/>
  <c r="P494" i="86"/>
  <c r="G494" i="86"/>
  <c r="F494" i="86"/>
  <c r="BC493" i="86"/>
  <c r="AZ493" i="86"/>
  <c r="AW493" i="86"/>
  <c r="AT493" i="86"/>
  <c r="AQ493" i="86"/>
  <c r="AN493" i="86"/>
  <c r="AK493" i="86"/>
  <c r="AH493" i="86"/>
  <c r="AE493" i="86"/>
  <c r="AB493" i="86"/>
  <c r="Y493" i="86"/>
  <c r="V493" i="86"/>
  <c r="S493" i="86"/>
  <c r="P493" i="86"/>
  <c r="G493" i="86"/>
  <c r="F493" i="86"/>
  <c r="BC492" i="86"/>
  <c r="AZ492" i="86"/>
  <c r="AW492" i="86"/>
  <c r="AT492" i="86"/>
  <c r="AQ492" i="86"/>
  <c r="AN492" i="86"/>
  <c r="AK492" i="86"/>
  <c r="AH492" i="86"/>
  <c r="AE492" i="86"/>
  <c r="AB492" i="86"/>
  <c r="Y492" i="86"/>
  <c r="V492" i="86"/>
  <c r="S492" i="86"/>
  <c r="P492" i="86"/>
  <c r="G492" i="86"/>
  <c r="F492" i="86"/>
  <c r="BC491" i="86"/>
  <c r="AZ491" i="86"/>
  <c r="AW491" i="86"/>
  <c r="AT491" i="86"/>
  <c r="AQ491" i="86"/>
  <c r="AN491" i="86"/>
  <c r="AK491" i="86"/>
  <c r="AH491" i="86"/>
  <c r="AE491" i="86"/>
  <c r="AB491" i="86"/>
  <c r="Y491" i="86"/>
  <c r="V491" i="86"/>
  <c r="S491" i="86"/>
  <c r="P491" i="86"/>
  <c r="G491" i="86"/>
  <c r="F491" i="86"/>
  <c r="BC490" i="86"/>
  <c r="AZ490" i="86"/>
  <c r="AW490" i="86"/>
  <c r="AT490" i="86"/>
  <c r="AQ490" i="86"/>
  <c r="AN490" i="86"/>
  <c r="AK490" i="86"/>
  <c r="AH490" i="86"/>
  <c r="AE490" i="86"/>
  <c r="AB490" i="86"/>
  <c r="Y490" i="86"/>
  <c r="V490" i="86"/>
  <c r="S490" i="86"/>
  <c r="P490" i="86"/>
  <c r="G490" i="86"/>
  <c r="F490" i="86"/>
  <c r="BC489" i="86"/>
  <c r="AZ489" i="86"/>
  <c r="AW489" i="86"/>
  <c r="AT489" i="86"/>
  <c r="AQ489" i="86"/>
  <c r="AN489" i="86"/>
  <c r="AK489" i="86"/>
  <c r="AH489" i="86"/>
  <c r="AE489" i="86"/>
  <c r="AB489" i="86"/>
  <c r="Y489" i="86"/>
  <c r="V489" i="86"/>
  <c r="S489" i="86"/>
  <c r="P489" i="86"/>
  <c r="G489" i="86"/>
  <c r="F489" i="86"/>
  <c r="BC488" i="86"/>
  <c r="AZ488" i="86"/>
  <c r="AW488" i="86"/>
  <c r="AT488" i="86"/>
  <c r="AQ488" i="86"/>
  <c r="AN488" i="86"/>
  <c r="AK488" i="86"/>
  <c r="AH488" i="86"/>
  <c r="AE488" i="86"/>
  <c r="AB488" i="86"/>
  <c r="Y488" i="86"/>
  <c r="V488" i="86"/>
  <c r="S488" i="86"/>
  <c r="P488" i="86"/>
  <c r="G488" i="86"/>
  <c r="F488" i="86"/>
  <c r="BC487" i="86"/>
  <c r="AZ487" i="86"/>
  <c r="AW487" i="86"/>
  <c r="AT487" i="86"/>
  <c r="AQ487" i="86"/>
  <c r="AN487" i="86"/>
  <c r="AK487" i="86"/>
  <c r="AH487" i="86"/>
  <c r="AE487" i="86"/>
  <c r="AB487" i="86"/>
  <c r="Y487" i="86"/>
  <c r="V487" i="86"/>
  <c r="S487" i="86"/>
  <c r="P487" i="86"/>
  <c r="G487" i="86"/>
  <c r="F487" i="86"/>
  <c r="BC486" i="86"/>
  <c r="AZ486" i="86"/>
  <c r="AW486" i="86"/>
  <c r="AT486" i="86"/>
  <c r="AQ486" i="86"/>
  <c r="AN486" i="86"/>
  <c r="AK486" i="86"/>
  <c r="AH486" i="86"/>
  <c r="AE486" i="86"/>
  <c r="AB486" i="86"/>
  <c r="Y486" i="86"/>
  <c r="V486" i="86"/>
  <c r="S486" i="86"/>
  <c r="P486" i="86"/>
  <c r="G486" i="86"/>
  <c r="F486" i="86"/>
  <c r="BC485" i="86"/>
  <c r="AZ485" i="86"/>
  <c r="AW485" i="86"/>
  <c r="AT485" i="86"/>
  <c r="AQ485" i="86"/>
  <c r="AN485" i="86"/>
  <c r="AK485" i="86"/>
  <c r="AH485" i="86"/>
  <c r="AE485" i="86"/>
  <c r="AB485" i="86"/>
  <c r="Y485" i="86"/>
  <c r="V485" i="86"/>
  <c r="S485" i="86"/>
  <c r="P485" i="86"/>
  <c r="G485" i="86"/>
  <c r="F485" i="86"/>
  <c r="BC484" i="86"/>
  <c r="AZ484" i="86"/>
  <c r="AW484" i="86"/>
  <c r="AT484" i="86"/>
  <c r="AQ484" i="86"/>
  <c r="AN484" i="86"/>
  <c r="AK484" i="86"/>
  <c r="AH484" i="86"/>
  <c r="AE484" i="86"/>
  <c r="AB484" i="86"/>
  <c r="Y484" i="86"/>
  <c r="V484" i="86"/>
  <c r="S484" i="86"/>
  <c r="P484" i="86"/>
  <c r="G484" i="86"/>
  <c r="F484" i="86"/>
  <c r="BC483" i="86"/>
  <c r="AZ483" i="86"/>
  <c r="AW483" i="86"/>
  <c r="AT483" i="86"/>
  <c r="AQ483" i="86"/>
  <c r="AN483" i="86"/>
  <c r="AK483" i="86"/>
  <c r="AH483" i="86"/>
  <c r="AE483" i="86"/>
  <c r="AB483" i="86"/>
  <c r="Y483" i="86"/>
  <c r="V483" i="86"/>
  <c r="S483" i="86"/>
  <c r="P483" i="86"/>
  <c r="G483" i="86"/>
  <c r="F483" i="86"/>
  <c r="BC482" i="86"/>
  <c r="AZ482" i="86"/>
  <c r="AW482" i="86"/>
  <c r="AT482" i="86"/>
  <c r="AQ482" i="86"/>
  <c r="AN482" i="86"/>
  <c r="AK482" i="86"/>
  <c r="AH482" i="86"/>
  <c r="AE482" i="86"/>
  <c r="AB482" i="86"/>
  <c r="Y482" i="86"/>
  <c r="V482" i="86"/>
  <c r="S482" i="86"/>
  <c r="P482" i="86"/>
  <c r="G482" i="86"/>
  <c r="F482" i="86"/>
  <c r="BC481" i="86"/>
  <c r="AZ481" i="86"/>
  <c r="AW481" i="86"/>
  <c r="AT481" i="86"/>
  <c r="AQ481" i="86"/>
  <c r="AN481" i="86"/>
  <c r="AK481" i="86"/>
  <c r="AH481" i="86"/>
  <c r="AE481" i="86"/>
  <c r="AB481" i="86"/>
  <c r="Y481" i="86"/>
  <c r="V481" i="86"/>
  <c r="S481" i="86"/>
  <c r="P481" i="86"/>
  <c r="G481" i="86"/>
  <c r="F481" i="86"/>
  <c r="BC480" i="86"/>
  <c r="AZ480" i="86"/>
  <c r="AW480" i="86"/>
  <c r="AT480" i="86"/>
  <c r="AQ480" i="86"/>
  <c r="AN480" i="86"/>
  <c r="AK480" i="86"/>
  <c r="AH480" i="86"/>
  <c r="AE480" i="86"/>
  <c r="AB480" i="86"/>
  <c r="Y480" i="86"/>
  <c r="V480" i="86"/>
  <c r="S480" i="86"/>
  <c r="P480" i="86"/>
  <c r="G480" i="86"/>
  <c r="F480" i="86"/>
  <c r="BC479" i="86"/>
  <c r="AZ479" i="86"/>
  <c r="AW479" i="86"/>
  <c r="AT479" i="86"/>
  <c r="AQ479" i="86"/>
  <c r="AN479" i="86"/>
  <c r="AK479" i="86"/>
  <c r="AH479" i="86"/>
  <c r="AE479" i="86"/>
  <c r="AB479" i="86"/>
  <c r="Y479" i="86"/>
  <c r="M479" i="86" s="1"/>
  <c r="V479" i="86"/>
  <c r="S479" i="86"/>
  <c r="P479" i="86"/>
  <c r="G479" i="86"/>
  <c r="F479" i="86"/>
  <c r="BC478" i="86"/>
  <c r="AZ478" i="86"/>
  <c r="AW478" i="86"/>
  <c r="AT478" i="86"/>
  <c r="AQ478" i="86"/>
  <c r="AN478" i="86"/>
  <c r="AK478" i="86"/>
  <c r="AH478" i="86"/>
  <c r="AE478" i="86"/>
  <c r="AB478" i="86"/>
  <c r="Y478" i="86"/>
  <c r="V478" i="86"/>
  <c r="S478" i="86"/>
  <c r="P478" i="86"/>
  <c r="G478" i="86"/>
  <c r="F478" i="86"/>
  <c r="BC477" i="86"/>
  <c r="AZ477" i="86"/>
  <c r="AW477" i="86"/>
  <c r="AT477" i="86"/>
  <c r="AQ477" i="86"/>
  <c r="AN477" i="86"/>
  <c r="AK477" i="86"/>
  <c r="AH477" i="86"/>
  <c r="AE477" i="86"/>
  <c r="AB477" i="86"/>
  <c r="Y477" i="86"/>
  <c r="M477" i="86" s="1"/>
  <c r="V477" i="86"/>
  <c r="S477" i="86"/>
  <c r="P477" i="86"/>
  <c r="G477" i="86"/>
  <c r="F477" i="86"/>
  <c r="BC476" i="86"/>
  <c r="AZ476" i="86"/>
  <c r="AW476" i="86"/>
  <c r="AT476" i="86"/>
  <c r="AQ476" i="86"/>
  <c r="AN476" i="86"/>
  <c r="AK476" i="86"/>
  <c r="AH476" i="86"/>
  <c r="AE476" i="86"/>
  <c r="AB476" i="86"/>
  <c r="Y476" i="86"/>
  <c r="V476" i="86"/>
  <c r="S476" i="86"/>
  <c r="P476" i="86"/>
  <c r="G476" i="86"/>
  <c r="F476" i="86"/>
  <c r="BC475" i="86"/>
  <c r="AZ475" i="86"/>
  <c r="AW475" i="86"/>
  <c r="AT475" i="86"/>
  <c r="AQ475" i="86"/>
  <c r="AN475" i="86"/>
  <c r="AK475" i="86"/>
  <c r="AH475" i="86"/>
  <c r="AE475" i="86"/>
  <c r="AB475" i="86"/>
  <c r="Y475" i="86"/>
  <c r="V475" i="86"/>
  <c r="S475" i="86"/>
  <c r="P475" i="86"/>
  <c r="G475" i="86"/>
  <c r="F475" i="86"/>
  <c r="BC474" i="86"/>
  <c r="AZ474" i="86"/>
  <c r="AW474" i="86"/>
  <c r="AT474" i="86"/>
  <c r="AQ474" i="86"/>
  <c r="AN474" i="86"/>
  <c r="AK474" i="86"/>
  <c r="AH474" i="86"/>
  <c r="AE474" i="86"/>
  <c r="AB474" i="86"/>
  <c r="Y474" i="86"/>
  <c r="V474" i="86"/>
  <c r="S474" i="86"/>
  <c r="P474" i="86"/>
  <c r="G474" i="86"/>
  <c r="F474" i="86"/>
  <c r="BC473" i="86"/>
  <c r="AZ473" i="86"/>
  <c r="AW473" i="86"/>
  <c r="AT473" i="86"/>
  <c r="AQ473" i="86"/>
  <c r="AN473" i="86"/>
  <c r="AK473" i="86"/>
  <c r="AH473" i="86"/>
  <c r="AE473" i="86"/>
  <c r="AB473" i="86"/>
  <c r="Y473" i="86"/>
  <c r="V473" i="86"/>
  <c r="S473" i="86"/>
  <c r="P473" i="86"/>
  <c r="G473" i="86"/>
  <c r="F473" i="86"/>
  <c r="BC472" i="86"/>
  <c r="AZ472" i="86"/>
  <c r="AW472" i="86"/>
  <c r="AT472" i="86"/>
  <c r="AQ472" i="86"/>
  <c r="AN472" i="86"/>
  <c r="AK472" i="86"/>
  <c r="AH472" i="86"/>
  <c r="AE472" i="86"/>
  <c r="AB472" i="86"/>
  <c r="Y472" i="86"/>
  <c r="V472" i="86"/>
  <c r="S472" i="86"/>
  <c r="P472" i="86"/>
  <c r="G472" i="86"/>
  <c r="F472" i="86"/>
  <c r="BC471" i="86"/>
  <c r="AZ471" i="86"/>
  <c r="AW471" i="86"/>
  <c r="AT471" i="86"/>
  <c r="AQ471" i="86"/>
  <c r="AN471" i="86"/>
  <c r="AK471" i="86"/>
  <c r="AH471" i="86"/>
  <c r="AE471" i="86"/>
  <c r="AB471" i="86"/>
  <c r="Y471" i="86"/>
  <c r="V471" i="86"/>
  <c r="S471" i="86"/>
  <c r="P471" i="86"/>
  <c r="G471" i="86"/>
  <c r="F471" i="86"/>
  <c r="BC470" i="86"/>
  <c r="AZ470" i="86"/>
  <c r="AW470" i="86"/>
  <c r="AT470" i="86"/>
  <c r="AQ470" i="86"/>
  <c r="AN470" i="86"/>
  <c r="AK470" i="86"/>
  <c r="AH470" i="86"/>
  <c r="AE470" i="86"/>
  <c r="AB470" i="86"/>
  <c r="Y470" i="86"/>
  <c r="V470" i="86"/>
  <c r="S470" i="86"/>
  <c r="P470" i="86"/>
  <c r="G470" i="86"/>
  <c r="F470" i="86"/>
  <c r="BC469" i="86"/>
  <c r="AZ469" i="86"/>
  <c r="AW469" i="86"/>
  <c r="AT469" i="86"/>
  <c r="AQ469" i="86"/>
  <c r="AN469" i="86"/>
  <c r="AK469" i="86"/>
  <c r="AH469" i="86"/>
  <c r="AE469" i="86"/>
  <c r="AB469" i="86"/>
  <c r="Y469" i="86"/>
  <c r="V469" i="86"/>
  <c r="S469" i="86"/>
  <c r="P469" i="86"/>
  <c r="G469" i="86"/>
  <c r="F469" i="86"/>
  <c r="BC468" i="86"/>
  <c r="AZ468" i="86"/>
  <c r="AW468" i="86"/>
  <c r="AT468" i="86"/>
  <c r="AQ468" i="86"/>
  <c r="AN468" i="86"/>
  <c r="AK468" i="86"/>
  <c r="AH468" i="86"/>
  <c r="AE468" i="86"/>
  <c r="AB468" i="86"/>
  <c r="Y468" i="86"/>
  <c r="V468" i="86"/>
  <c r="S468" i="86"/>
  <c r="P468" i="86"/>
  <c r="G468" i="86"/>
  <c r="F468" i="86"/>
  <c r="BC467" i="86"/>
  <c r="AZ467" i="86"/>
  <c r="AW467" i="86"/>
  <c r="AT467" i="86"/>
  <c r="AQ467" i="86"/>
  <c r="AN467" i="86"/>
  <c r="AK467" i="86"/>
  <c r="AH467" i="86"/>
  <c r="AE467" i="86"/>
  <c r="AB467" i="86"/>
  <c r="Y467" i="86"/>
  <c r="V467" i="86"/>
  <c r="S467" i="86"/>
  <c r="P467" i="86"/>
  <c r="G467" i="86"/>
  <c r="F467" i="86"/>
  <c r="BC466" i="86"/>
  <c r="AZ466" i="86"/>
  <c r="AW466" i="86"/>
  <c r="AT466" i="86"/>
  <c r="AQ466" i="86"/>
  <c r="AN466" i="86"/>
  <c r="AK466" i="86"/>
  <c r="AH466" i="86"/>
  <c r="AE466" i="86"/>
  <c r="AB466" i="86"/>
  <c r="Y466" i="86"/>
  <c r="V466" i="86"/>
  <c r="S466" i="86"/>
  <c r="P466" i="86"/>
  <c r="G466" i="86"/>
  <c r="F466" i="86"/>
  <c r="BC465" i="86"/>
  <c r="AZ465" i="86"/>
  <c r="AW465" i="86"/>
  <c r="AT465" i="86"/>
  <c r="AQ465" i="86"/>
  <c r="AN465" i="86"/>
  <c r="AK465" i="86"/>
  <c r="AH465" i="86"/>
  <c r="AE465" i="86"/>
  <c r="AB465" i="86"/>
  <c r="Y465" i="86"/>
  <c r="V465" i="86"/>
  <c r="S465" i="86"/>
  <c r="P465" i="86"/>
  <c r="G465" i="86"/>
  <c r="F465" i="86"/>
  <c r="BC464" i="86"/>
  <c r="AZ464" i="86"/>
  <c r="AW464" i="86"/>
  <c r="AT464" i="86"/>
  <c r="AQ464" i="86"/>
  <c r="AN464" i="86"/>
  <c r="AK464" i="86"/>
  <c r="AH464" i="86"/>
  <c r="AE464" i="86"/>
  <c r="AB464" i="86"/>
  <c r="Y464" i="86"/>
  <c r="V464" i="86"/>
  <c r="S464" i="86"/>
  <c r="P464" i="86"/>
  <c r="G464" i="86"/>
  <c r="F464" i="86"/>
  <c r="BC463" i="86"/>
  <c r="AZ463" i="86"/>
  <c r="AW463" i="86"/>
  <c r="AT463" i="86"/>
  <c r="AQ463" i="86"/>
  <c r="AN463" i="86"/>
  <c r="AK463" i="86"/>
  <c r="AH463" i="86"/>
  <c r="AE463" i="86"/>
  <c r="AB463" i="86"/>
  <c r="Y463" i="86"/>
  <c r="V463" i="86"/>
  <c r="S463" i="86"/>
  <c r="P463" i="86"/>
  <c r="G463" i="86"/>
  <c r="F463" i="86"/>
  <c r="BC462" i="86"/>
  <c r="AZ462" i="86"/>
  <c r="AW462" i="86"/>
  <c r="AT462" i="86"/>
  <c r="AQ462" i="86"/>
  <c r="AN462" i="86"/>
  <c r="AK462" i="86"/>
  <c r="AH462" i="86"/>
  <c r="AE462" i="86"/>
  <c r="AB462" i="86"/>
  <c r="Y462" i="86"/>
  <c r="V462" i="86"/>
  <c r="S462" i="86"/>
  <c r="P462" i="86"/>
  <c r="G462" i="86"/>
  <c r="F462" i="86"/>
  <c r="BC461" i="86"/>
  <c r="AZ461" i="86"/>
  <c r="AW461" i="86"/>
  <c r="AT461" i="86"/>
  <c r="AQ461" i="86"/>
  <c r="AN461" i="86"/>
  <c r="AK461" i="86"/>
  <c r="AH461" i="86"/>
  <c r="AE461" i="86"/>
  <c r="AB461" i="86"/>
  <c r="Y461" i="86"/>
  <c r="V461" i="86"/>
  <c r="S461" i="86"/>
  <c r="P461" i="86"/>
  <c r="G461" i="86"/>
  <c r="F461" i="86"/>
  <c r="BC460" i="86"/>
  <c r="AZ460" i="86"/>
  <c r="AW460" i="86"/>
  <c r="AT460" i="86"/>
  <c r="AQ460" i="86"/>
  <c r="AN460" i="86"/>
  <c r="AK460" i="86"/>
  <c r="AH460" i="86"/>
  <c r="AE460" i="86"/>
  <c r="AB460" i="86"/>
  <c r="Y460" i="86"/>
  <c r="V460" i="86"/>
  <c r="S460" i="86"/>
  <c r="P460" i="86"/>
  <c r="G460" i="86"/>
  <c r="F460" i="86"/>
  <c r="BC459" i="86"/>
  <c r="AZ459" i="86"/>
  <c r="AW459" i="86"/>
  <c r="AT459" i="86"/>
  <c r="AQ459" i="86"/>
  <c r="AN459" i="86"/>
  <c r="AK459" i="86"/>
  <c r="AH459" i="86"/>
  <c r="AE459" i="86"/>
  <c r="AB459" i="86"/>
  <c r="Y459" i="86"/>
  <c r="M459" i="86" s="1"/>
  <c r="V459" i="86"/>
  <c r="S459" i="86"/>
  <c r="P459" i="86"/>
  <c r="G459" i="86"/>
  <c r="F459" i="86"/>
  <c r="BC458" i="86"/>
  <c r="AZ458" i="86"/>
  <c r="AW458" i="86"/>
  <c r="AT458" i="86"/>
  <c r="AQ458" i="86"/>
  <c r="AN458" i="86"/>
  <c r="AK458" i="86"/>
  <c r="AH458" i="86"/>
  <c r="AE458" i="86"/>
  <c r="AB458" i="86"/>
  <c r="Y458" i="86"/>
  <c r="V458" i="86"/>
  <c r="S458" i="86"/>
  <c r="P458" i="86"/>
  <c r="G458" i="86"/>
  <c r="F458" i="86"/>
  <c r="BC457" i="86"/>
  <c r="AZ457" i="86"/>
  <c r="AW457" i="86"/>
  <c r="AT457" i="86"/>
  <c r="AQ457" i="86"/>
  <c r="AN457" i="86"/>
  <c r="AK457" i="86"/>
  <c r="AH457" i="86"/>
  <c r="AE457" i="86"/>
  <c r="AB457" i="86"/>
  <c r="Y457" i="86"/>
  <c r="V457" i="86"/>
  <c r="S457" i="86"/>
  <c r="P457" i="86"/>
  <c r="G457" i="86"/>
  <c r="F457" i="86"/>
  <c r="BC456" i="86"/>
  <c r="AZ456" i="86"/>
  <c r="AW456" i="86"/>
  <c r="AT456" i="86"/>
  <c r="AQ456" i="86"/>
  <c r="AN456" i="86"/>
  <c r="AK456" i="86"/>
  <c r="AH456" i="86"/>
  <c r="AE456" i="86"/>
  <c r="AB456" i="86"/>
  <c r="Y456" i="86"/>
  <c r="V456" i="86"/>
  <c r="S456" i="86"/>
  <c r="P456" i="86"/>
  <c r="G456" i="86"/>
  <c r="F456" i="86"/>
  <c r="BC455" i="86"/>
  <c r="AZ455" i="86"/>
  <c r="AW455" i="86"/>
  <c r="AT455" i="86"/>
  <c r="AQ455" i="86"/>
  <c r="AN455" i="86"/>
  <c r="AK455" i="86"/>
  <c r="AH455" i="86"/>
  <c r="AE455" i="86"/>
  <c r="AB455" i="86"/>
  <c r="Y455" i="86"/>
  <c r="V455" i="86"/>
  <c r="S455" i="86"/>
  <c r="P455" i="86"/>
  <c r="G455" i="86"/>
  <c r="F455" i="86"/>
  <c r="BC454" i="86"/>
  <c r="AZ454" i="86"/>
  <c r="AW454" i="86"/>
  <c r="AT454" i="86"/>
  <c r="AQ454" i="86"/>
  <c r="AN454" i="86"/>
  <c r="AK454" i="86"/>
  <c r="AH454" i="86"/>
  <c r="AE454" i="86"/>
  <c r="AB454" i="86"/>
  <c r="Y454" i="86"/>
  <c r="V454" i="86"/>
  <c r="S454" i="86"/>
  <c r="P454" i="86"/>
  <c r="G454" i="86"/>
  <c r="F454" i="86"/>
  <c r="BC453" i="86"/>
  <c r="AZ453" i="86"/>
  <c r="AW453" i="86"/>
  <c r="AT453" i="86"/>
  <c r="AQ453" i="86"/>
  <c r="AN453" i="86"/>
  <c r="AK453" i="86"/>
  <c r="AH453" i="86"/>
  <c r="AE453" i="86"/>
  <c r="AB453" i="86"/>
  <c r="Y453" i="86"/>
  <c r="V453" i="86"/>
  <c r="S453" i="86"/>
  <c r="P453" i="86"/>
  <c r="G453" i="86"/>
  <c r="F453" i="86"/>
  <c r="BC452" i="86"/>
  <c r="AZ452" i="86"/>
  <c r="AW452" i="86"/>
  <c r="AT452" i="86"/>
  <c r="AQ452" i="86"/>
  <c r="AN452" i="86"/>
  <c r="AK452" i="86"/>
  <c r="AH452" i="86"/>
  <c r="AE452" i="86"/>
  <c r="AB452" i="86"/>
  <c r="Y452" i="86"/>
  <c r="V452" i="86"/>
  <c r="S452" i="86"/>
  <c r="P452" i="86"/>
  <c r="G452" i="86"/>
  <c r="F452" i="86"/>
  <c r="BC451" i="86"/>
  <c r="AZ451" i="86"/>
  <c r="AW451" i="86"/>
  <c r="AT451" i="86"/>
  <c r="AQ451" i="86"/>
  <c r="AN451" i="86"/>
  <c r="AK451" i="86"/>
  <c r="AH451" i="86"/>
  <c r="AE451" i="86"/>
  <c r="AB451" i="86"/>
  <c r="Y451" i="86"/>
  <c r="V451" i="86"/>
  <c r="S451" i="86"/>
  <c r="P451" i="86"/>
  <c r="G451" i="86"/>
  <c r="F451" i="86"/>
  <c r="BC450" i="86"/>
  <c r="AZ450" i="86"/>
  <c r="AW450" i="86"/>
  <c r="AT450" i="86"/>
  <c r="AQ450" i="86"/>
  <c r="AN450" i="86"/>
  <c r="AK450" i="86"/>
  <c r="AH450" i="86"/>
  <c r="AE450" i="86"/>
  <c r="AB450" i="86"/>
  <c r="Y450" i="86"/>
  <c r="V450" i="86"/>
  <c r="S450" i="86"/>
  <c r="P450" i="86"/>
  <c r="G450" i="86"/>
  <c r="F450" i="86"/>
  <c r="BC449" i="86"/>
  <c r="AZ449" i="86"/>
  <c r="AW449" i="86"/>
  <c r="AT449" i="86"/>
  <c r="AQ449" i="86"/>
  <c r="AN449" i="86"/>
  <c r="AK449" i="86"/>
  <c r="AH449" i="86"/>
  <c r="AE449" i="86"/>
  <c r="AB449" i="86"/>
  <c r="Y449" i="86"/>
  <c r="V449" i="86"/>
  <c r="S449" i="86"/>
  <c r="P449" i="86"/>
  <c r="G449" i="86"/>
  <c r="F449" i="86"/>
  <c r="BC448" i="86"/>
  <c r="AZ448" i="86"/>
  <c r="AW448" i="86"/>
  <c r="AT448" i="86"/>
  <c r="AQ448" i="86"/>
  <c r="AN448" i="86"/>
  <c r="AK448" i="86"/>
  <c r="AH448" i="86"/>
  <c r="AE448" i="86"/>
  <c r="AB448" i="86"/>
  <c r="Y448" i="86"/>
  <c r="V448" i="86"/>
  <c r="S448" i="86"/>
  <c r="P448" i="86"/>
  <c r="G448" i="86"/>
  <c r="F448" i="86"/>
  <c r="BC447" i="86"/>
  <c r="AZ447" i="86"/>
  <c r="AW447" i="86"/>
  <c r="AT447" i="86"/>
  <c r="AQ447" i="86"/>
  <c r="AN447" i="86"/>
  <c r="AK447" i="86"/>
  <c r="AH447" i="86"/>
  <c r="AE447" i="86"/>
  <c r="AB447" i="86"/>
  <c r="Y447" i="86"/>
  <c r="V447" i="86"/>
  <c r="S447" i="86"/>
  <c r="P447" i="86"/>
  <c r="G447" i="86"/>
  <c r="F447" i="86"/>
  <c r="BC446" i="86"/>
  <c r="AZ446" i="86"/>
  <c r="AW446" i="86"/>
  <c r="AT446" i="86"/>
  <c r="AQ446" i="86"/>
  <c r="AN446" i="86"/>
  <c r="AK446" i="86"/>
  <c r="AH446" i="86"/>
  <c r="AE446" i="86"/>
  <c r="AB446" i="86"/>
  <c r="Y446" i="86"/>
  <c r="V446" i="86"/>
  <c r="S446" i="86"/>
  <c r="P446" i="86"/>
  <c r="G446" i="86"/>
  <c r="F446" i="86"/>
  <c r="BC445" i="86"/>
  <c r="AZ445" i="86"/>
  <c r="AW445" i="86"/>
  <c r="AT445" i="86"/>
  <c r="AQ445" i="86"/>
  <c r="AN445" i="86"/>
  <c r="AK445" i="86"/>
  <c r="AH445" i="86"/>
  <c r="AE445" i="86"/>
  <c r="AB445" i="86"/>
  <c r="Y445" i="86"/>
  <c r="V445" i="86"/>
  <c r="S445" i="86"/>
  <c r="P445" i="86"/>
  <c r="G445" i="86"/>
  <c r="F445" i="86"/>
  <c r="BC444" i="86"/>
  <c r="AZ444" i="86"/>
  <c r="AW444" i="86"/>
  <c r="AT444" i="86"/>
  <c r="AQ444" i="86"/>
  <c r="AN444" i="86"/>
  <c r="AK444" i="86"/>
  <c r="AH444" i="86"/>
  <c r="AE444" i="86"/>
  <c r="AB444" i="86"/>
  <c r="Y444" i="86"/>
  <c r="V444" i="86"/>
  <c r="S444" i="86"/>
  <c r="P444" i="86"/>
  <c r="G444" i="86"/>
  <c r="F444" i="86"/>
  <c r="BC443" i="86"/>
  <c r="AZ443" i="86"/>
  <c r="AW443" i="86"/>
  <c r="AT443" i="86"/>
  <c r="AQ443" i="86"/>
  <c r="AN443" i="86"/>
  <c r="AK443" i="86"/>
  <c r="AH443" i="86"/>
  <c r="AE443" i="86"/>
  <c r="AB443" i="86"/>
  <c r="Y443" i="86"/>
  <c r="V443" i="86"/>
  <c r="S443" i="86"/>
  <c r="P443" i="86"/>
  <c r="G443" i="86"/>
  <c r="F443" i="86"/>
  <c r="BC442" i="86"/>
  <c r="AZ442" i="86"/>
  <c r="AW442" i="86"/>
  <c r="AT442" i="86"/>
  <c r="AQ442" i="86"/>
  <c r="AN442" i="86"/>
  <c r="AK442" i="86"/>
  <c r="AH442" i="86"/>
  <c r="AE442" i="86"/>
  <c r="AB442" i="86"/>
  <c r="Y442" i="86"/>
  <c r="V442" i="86"/>
  <c r="S442" i="86"/>
  <c r="P442" i="86"/>
  <c r="G442" i="86"/>
  <c r="F442" i="86"/>
  <c r="BC441" i="86"/>
  <c r="AZ441" i="86"/>
  <c r="AW441" i="86"/>
  <c r="AT441" i="86"/>
  <c r="AQ441" i="86"/>
  <c r="AN441" i="86"/>
  <c r="AK441" i="86"/>
  <c r="AH441" i="86"/>
  <c r="AE441" i="86"/>
  <c r="AB441" i="86"/>
  <c r="Y441" i="86"/>
  <c r="V441" i="86"/>
  <c r="S441" i="86"/>
  <c r="P441" i="86"/>
  <c r="G441" i="86"/>
  <c r="F441" i="86"/>
  <c r="BC440" i="86"/>
  <c r="AZ440" i="86"/>
  <c r="AW440" i="86"/>
  <c r="AT440" i="86"/>
  <c r="AQ440" i="86"/>
  <c r="AN440" i="86"/>
  <c r="AK440" i="86"/>
  <c r="AH440" i="86"/>
  <c r="AE440" i="86"/>
  <c r="AB440" i="86"/>
  <c r="Y440" i="86"/>
  <c r="V440" i="86"/>
  <c r="S440" i="86"/>
  <c r="P440" i="86"/>
  <c r="G440" i="86"/>
  <c r="F440" i="86"/>
  <c r="BC439" i="86"/>
  <c r="AZ439" i="86"/>
  <c r="AW439" i="86"/>
  <c r="AT439" i="86"/>
  <c r="AQ439" i="86"/>
  <c r="AN439" i="86"/>
  <c r="AK439" i="86"/>
  <c r="AH439" i="86"/>
  <c r="AE439" i="86"/>
  <c r="AB439" i="86"/>
  <c r="Y439" i="86"/>
  <c r="V439" i="86"/>
  <c r="S439" i="86"/>
  <c r="P439" i="86"/>
  <c r="G439" i="86"/>
  <c r="F439" i="86"/>
  <c r="BC438" i="86"/>
  <c r="AZ438" i="86"/>
  <c r="AW438" i="86"/>
  <c r="AT438" i="86"/>
  <c r="AQ438" i="86"/>
  <c r="AN438" i="86"/>
  <c r="AK438" i="86"/>
  <c r="AH438" i="86"/>
  <c r="AE438" i="86"/>
  <c r="AB438" i="86"/>
  <c r="Y438" i="86"/>
  <c r="V438" i="86"/>
  <c r="S438" i="86"/>
  <c r="P438" i="86"/>
  <c r="G438" i="86"/>
  <c r="F438" i="86"/>
  <c r="BC437" i="86"/>
  <c r="AZ437" i="86"/>
  <c r="AW437" i="86"/>
  <c r="AT437" i="86"/>
  <c r="AQ437" i="86"/>
  <c r="AN437" i="86"/>
  <c r="AK437" i="86"/>
  <c r="AH437" i="86"/>
  <c r="AE437" i="86"/>
  <c r="AB437" i="86"/>
  <c r="Y437" i="86"/>
  <c r="V437" i="86"/>
  <c r="S437" i="86"/>
  <c r="P437" i="86"/>
  <c r="G437" i="86"/>
  <c r="F437" i="86"/>
  <c r="BC436" i="86"/>
  <c r="AZ436" i="86"/>
  <c r="AW436" i="86"/>
  <c r="AT436" i="86"/>
  <c r="AQ436" i="86"/>
  <c r="AN436" i="86"/>
  <c r="AK436" i="86"/>
  <c r="AH436" i="86"/>
  <c r="AE436" i="86"/>
  <c r="AB436" i="86"/>
  <c r="Y436" i="86"/>
  <c r="V436" i="86"/>
  <c r="S436" i="86"/>
  <c r="P436" i="86"/>
  <c r="G436" i="86"/>
  <c r="F436" i="86"/>
  <c r="BC435" i="86"/>
  <c r="AZ435" i="86"/>
  <c r="AW435" i="86"/>
  <c r="AT435" i="86"/>
  <c r="AQ435" i="86"/>
  <c r="AN435" i="86"/>
  <c r="AK435" i="86"/>
  <c r="AH435" i="86"/>
  <c r="AE435" i="86"/>
  <c r="AB435" i="86"/>
  <c r="Y435" i="86"/>
  <c r="V435" i="86"/>
  <c r="S435" i="86"/>
  <c r="P435" i="86"/>
  <c r="G435" i="86"/>
  <c r="F435" i="86"/>
  <c r="BC434" i="86"/>
  <c r="AZ434" i="86"/>
  <c r="AW434" i="86"/>
  <c r="AT434" i="86"/>
  <c r="AQ434" i="86"/>
  <c r="AN434" i="86"/>
  <c r="AK434" i="86"/>
  <c r="AH434" i="86"/>
  <c r="AE434" i="86"/>
  <c r="AB434" i="86"/>
  <c r="Y434" i="86"/>
  <c r="V434" i="86"/>
  <c r="S434" i="86"/>
  <c r="P434" i="86"/>
  <c r="G434" i="86"/>
  <c r="F434" i="86"/>
  <c r="BC433" i="86"/>
  <c r="AZ433" i="86"/>
  <c r="AW433" i="86"/>
  <c r="AT433" i="86"/>
  <c r="AQ433" i="86"/>
  <c r="AN433" i="86"/>
  <c r="AK433" i="86"/>
  <c r="AH433" i="86"/>
  <c r="AE433" i="86"/>
  <c r="AB433" i="86"/>
  <c r="Y433" i="86"/>
  <c r="V433" i="86"/>
  <c r="S433" i="86"/>
  <c r="P433" i="86"/>
  <c r="G433" i="86"/>
  <c r="F433" i="86"/>
  <c r="BC432" i="86"/>
  <c r="AZ432" i="86"/>
  <c r="AW432" i="86"/>
  <c r="AT432" i="86"/>
  <c r="AQ432" i="86"/>
  <c r="AN432" i="86"/>
  <c r="AK432" i="86"/>
  <c r="AH432" i="86"/>
  <c r="AE432" i="86"/>
  <c r="AB432" i="86"/>
  <c r="Y432" i="86"/>
  <c r="V432" i="86"/>
  <c r="S432" i="86"/>
  <c r="P432" i="86"/>
  <c r="G432" i="86"/>
  <c r="F432" i="86"/>
  <c r="BC431" i="86"/>
  <c r="AZ431" i="86"/>
  <c r="AW431" i="86"/>
  <c r="AT431" i="86"/>
  <c r="AQ431" i="86"/>
  <c r="AN431" i="86"/>
  <c r="AK431" i="86"/>
  <c r="AH431" i="86"/>
  <c r="AE431" i="86"/>
  <c r="AB431" i="86"/>
  <c r="Y431" i="86"/>
  <c r="V431" i="86"/>
  <c r="S431" i="86"/>
  <c r="P431" i="86"/>
  <c r="G431" i="86"/>
  <c r="F431" i="86"/>
  <c r="BC430" i="86"/>
  <c r="AZ430" i="86"/>
  <c r="AW430" i="86"/>
  <c r="AT430" i="86"/>
  <c r="AQ430" i="86"/>
  <c r="AN430" i="86"/>
  <c r="AK430" i="86"/>
  <c r="AH430" i="86"/>
  <c r="AE430" i="86"/>
  <c r="AB430" i="86"/>
  <c r="Y430" i="86"/>
  <c r="V430" i="86"/>
  <c r="S430" i="86"/>
  <c r="P430" i="86"/>
  <c r="G430" i="86"/>
  <c r="F430" i="86"/>
  <c r="BC429" i="86"/>
  <c r="AZ429" i="86"/>
  <c r="AW429" i="86"/>
  <c r="AT429" i="86"/>
  <c r="AQ429" i="86"/>
  <c r="AN429" i="86"/>
  <c r="AK429" i="86"/>
  <c r="AH429" i="86"/>
  <c r="AE429" i="86"/>
  <c r="AB429" i="86"/>
  <c r="Y429" i="86"/>
  <c r="V429" i="86"/>
  <c r="S429" i="86"/>
  <c r="P429" i="86"/>
  <c r="G429" i="86"/>
  <c r="F429" i="86"/>
  <c r="BC428" i="86"/>
  <c r="AZ428" i="86"/>
  <c r="AW428" i="86"/>
  <c r="AT428" i="86"/>
  <c r="AQ428" i="86"/>
  <c r="AN428" i="86"/>
  <c r="AK428" i="86"/>
  <c r="AH428" i="86"/>
  <c r="AE428" i="86"/>
  <c r="AB428" i="86"/>
  <c r="Y428" i="86"/>
  <c r="V428" i="86"/>
  <c r="S428" i="86"/>
  <c r="P428" i="86"/>
  <c r="G428" i="86"/>
  <c r="F428" i="86"/>
  <c r="BC427" i="86"/>
  <c r="AZ427" i="86"/>
  <c r="AW427" i="86"/>
  <c r="AT427" i="86"/>
  <c r="AQ427" i="86"/>
  <c r="AN427" i="86"/>
  <c r="AK427" i="86"/>
  <c r="AH427" i="86"/>
  <c r="AE427" i="86"/>
  <c r="AB427" i="86"/>
  <c r="Y427" i="86"/>
  <c r="V427" i="86"/>
  <c r="S427" i="86"/>
  <c r="P427" i="86"/>
  <c r="G427" i="86"/>
  <c r="F427" i="86"/>
  <c r="BC426" i="86"/>
  <c r="AZ426" i="86"/>
  <c r="AW426" i="86"/>
  <c r="AT426" i="86"/>
  <c r="AQ426" i="86"/>
  <c r="AN426" i="86"/>
  <c r="AK426" i="86"/>
  <c r="AH426" i="86"/>
  <c r="AE426" i="86"/>
  <c r="AB426" i="86"/>
  <c r="Y426" i="86"/>
  <c r="V426" i="86"/>
  <c r="S426" i="86"/>
  <c r="P426" i="86"/>
  <c r="G426" i="86"/>
  <c r="F426" i="86"/>
  <c r="BC425" i="86"/>
  <c r="AZ425" i="86"/>
  <c r="AW425" i="86"/>
  <c r="AT425" i="86"/>
  <c r="AQ425" i="86"/>
  <c r="AN425" i="86"/>
  <c r="AK425" i="86"/>
  <c r="AH425" i="86"/>
  <c r="AE425" i="86"/>
  <c r="AB425" i="86"/>
  <c r="Y425" i="86"/>
  <c r="V425" i="86"/>
  <c r="S425" i="86"/>
  <c r="P425" i="86"/>
  <c r="G425" i="86"/>
  <c r="F425" i="86"/>
  <c r="BC424" i="86"/>
  <c r="AZ424" i="86"/>
  <c r="AW424" i="86"/>
  <c r="AT424" i="86"/>
  <c r="AQ424" i="86"/>
  <c r="AN424" i="86"/>
  <c r="AK424" i="86"/>
  <c r="AH424" i="86"/>
  <c r="AE424" i="86"/>
  <c r="AB424" i="86"/>
  <c r="Y424" i="86"/>
  <c r="V424" i="86"/>
  <c r="S424" i="86"/>
  <c r="P424" i="86"/>
  <c r="G424" i="86"/>
  <c r="F424" i="86"/>
  <c r="BC423" i="86"/>
  <c r="AZ423" i="86"/>
  <c r="AW423" i="86"/>
  <c r="AT423" i="86"/>
  <c r="AQ423" i="86"/>
  <c r="AN423" i="86"/>
  <c r="AK423" i="86"/>
  <c r="AH423" i="86"/>
  <c r="AE423" i="86"/>
  <c r="AB423" i="86"/>
  <c r="Y423" i="86"/>
  <c r="V423" i="86"/>
  <c r="S423" i="86"/>
  <c r="P423" i="86"/>
  <c r="G423" i="86"/>
  <c r="F423" i="86"/>
  <c r="BC422" i="86"/>
  <c r="AZ422" i="86"/>
  <c r="AW422" i="86"/>
  <c r="AT422" i="86"/>
  <c r="AQ422" i="86"/>
  <c r="AN422" i="86"/>
  <c r="AK422" i="86"/>
  <c r="AH422" i="86"/>
  <c r="AE422" i="86"/>
  <c r="AB422" i="86"/>
  <c r="Y422" i="86"/>
  <c r="V422" i="86"/>
  <c r="S422" i="86"/>
  <c r="P422" i="86"/>
  <c r="G422" i="86"/>
  <c r="F422" i="86"/>
  <c r="BC421" i="86"/>
  <c r="AZ421" i="86"/>
  <c r="AW421" i="86"/>
  <c r="AT421" i="86"/>
  <c r="AQ421" i="86"/>
  <c r="AN421" i="86"/>
  <c r="AK421" i="86"/>
  <c r="AH421" i="86"/>
  <c r="AE421" i="86"/>
  <c r="AB421" i="86"/>
  <c r="Y421" i="86"/>
  <c r="V421" i="86"/>
  <c r="S421" i="86"/>
  <c r="P421" i="86"/>
  <c r="G421" i="86"/>
  <c r="F421" i="86"/>
  <c r="BC420" i="86"/>
  <c r="AZ420" i="86"/>
  <c r="AW420" i="86"/>
  <c r="AT420" i="86"/>
  <c r="AQ420" i="86"/>
  <c r="AN420" i="86"/>
  <c r="AK420" i="86"/>
  <c r="AH420" i="86"/>
  <c r="AE420" i="86"/>
  <c r="AB420" i="86"/>
  <c r="Y420" i="86"/>
  <c r="V420" i="86"/>
  <c r="S420" i="86"/>
  <c r="P420" i="86"/>
  <c r="G420" i="86"/>
  <c r="F420" i="86"/>
  <c r="BC419" i="86"/>
  <c r="AZ419" i="86"/>
  <c r="AW419" i="86"/>
  <c r="AT419" i="86"/>
  <c r="AQ419" i="86"/>
  <c r="AN419" i="86"/>
  <c r="AK419" i="86"/>
  <c r="AH419" i="86"/>
  <c r="AE419" i="86"/>
  <c r="AB419" i="86"/>
  <c r="Y419" i="86"/>
  <c r="V419" i="86"/>
  <c r="S419" i="86"/>
  <c r="P419" i="86"/>
  <c r="G419" i="86"/>
  <c r="F419" i="86"/>
  <c r="BC418" i="86"/>
  <c r="AZ418" i="86"/>
  <c r="AW418" i="86"/>
  <c r="AT418" i="86"/>
  <c r="AQ418" i="86"/>
  <c r="AN418" i="86"/>
  <c r="AK418" i="86"/>
  <c r="AH418" i="86"/>
  <c r="AE418" i="86"/>
  <c r="AB418" i="86"/>
  <c r="Y418" i="86"/>
  <c r="V418" i="86"/>
  <c r="S418" i="86"/>
  <c r="P418" i="86"/>
  <c r="G418" i="86"/>
  <c r="F418" i="86"/>
  <c r="BC417" i="86"/>
  <c r="AZ417" i="86"/>
  <c r="AW417" i="86"/>
  <c r="AT417" i="86"/>
  <c r="AQ417" i="86"/>
  <c r="AN417" i="86"/>
  <c r="AK417" i="86"/>
  <c r="AH417" i="86"/>
  <c r="AE417" i="86"/>
  <c r="AB417" i="86"/>
  <c r="Y417" i="86"/>
  <c r="V417" i="86"/>
  <c r="S417" i="86"/>
  <c r="P417" i="86"/>
  <c r="G417" i="86"/>
  <c r="F417" i="86"/>
  <c r="BC416" i="86"/>
  <c r="AZ416" i="86"/>
  <c r="AW416" i="86"/>
  <c r="AT416" i="86"/>
  <c r="AQ416" i="86"/>
  <c r="AN416" i="86"/>
  <c r="AK416" i="86"/>
  <c r="AH416" i="86"/>
  <c r="AE416" i="86"/>
  <c r="AB416" i="86"/>
  <c r="Y416" i="86"/>
  <c r="V416" i="86"/>
  <c r="S416" i="86"/>
  <c r="P416" i="86"/>
  <c r="G416" i="86"/>
  <c r="F416" i="86"/>
  <c r="BC415" i="86"/>
  <c r="AZ415" i="86"/>
  <c r="AW415" i="86"/>
  <c r="AT415" i="86"/>
  <c r="AQ415" i="86"/>
  <c r="AN415" i="86"/>
  <c r="AK415" i="86"/>
  <c r="AH415" i="86"/>
  <c r="AE415" i="86"/>
  <c r="AB415" i="86"/>
  <c r="Y415" i="86"/>
  <c r="V415" i="86"/>
  <c r="S415" i="86"/>
  <c r="P415" i="86"/>
  <c r="G415" i="86"/>
  <c r="F415" i="86"/>
  <c r="BC414" i="86"/>
  <c r="AZ414" i="86"/>
  <c r="AW414" i="86"/>
  <c r="AT414" i="86"/>
  <c r="AQ414" i="86"/>
  <c r="AN414" i="86"/>
  <c r="AK414" i="86"/>
  <c r="AH414" i="86"/>
  <c r="AE414" i="86"/>
  <c r="AB414" i="86"/>
  <c r="Y414" i="86"/>
  <c r="V414" i="86"/>
  <c r="S414" i="86"/>
  <c r="P414" i="86"/>
  <c r="G414" i="86"/>
  <c r="F414" i="86"/>
  <c r="BC413" i="86"/>
  <c r="AZ413" i="86"/>
  <c r="AW413" i="86"/>
  <c r="AT413" i="86"/>
  <c r="AQ413" i="86"/>
  <c r="AN413" i="86"/>
  <c r="AK413" i="86"/>
  <c r="AH413" i="86"/>
  <c r="AE413" i="86"/>
  <c r="AB413" i="86"/>
  <c r="Y413" i="86"/>
  <c r="V413" i="86"/>
  <c r="S413" i="86"/>
  <c r="P413" i="86"/>
  <c r="G413" i="86"/>
  <c r="F413" i="86"/>
  <c r="BC412" i="86"/>
  <c r="AZ412" i="86"/>
  <c r="AW412" i="86"/>
  <c r="AT412" i="86"/>
  <c r="AQ412" i="86"/>
  <c r="AN412" i="86"/>
  <c r="AK412" i="86"/>
  <c r="AH412" i="86"/>
  <c r="AE412" i="86"/>
  <c r="AB412" i="86"/>
  <c r="Y412" i="86"/>
  <c r="V412" i="86"/>
  <c r="S412" i="86"/>
  <c r="P412" i="86"/>
  <c r="G412" i="86"/>
  <c r="F412" i="86"/>
  <c r="BC411" i="86"/>
  <c r="AZ411" i="86"/>
  <c r="AW411" i="86"/>
  <c r="AT411" i="86"/>
  <c r="AQ411" i="86"/>
  <c r="AN411" i="86"/>
  <c r="AK411" i="86"/>
  <c r="AH411" i="86"/>
  <c r="AE411" i="86"/>
  <c r="AB411" i="86"/>
  <c r="Y411" i="86"/>
  <c r="V411" i="86"/>
  <c r="S411" i="86"/>
  <c r="P411" i="86"/>
  <c r="G411" i="86"/>
  <c r="F411" i="86"/>
  <c r="BC410" i="86"/>
  <c r="AZ410" i="86"/>
  <c r="AW410" i="86"/>
  <c r="AT410" i="86"/>
  <c r="AQ410" i="86"/>
  <c r="AN410" i="86"/>
  <c r="AK410" i="86"/>
  <c r="AH410" i="86"/>
  <c r="AE410" i="86"/>
  <c r="AB410" i="86"/>
  <c r="Y410" i="86"/>
  <c r="V410" i="86"/>
  <c r="S410" i="86"/>
  <c r="P410" i="86"/>
  <c r="G410" i="86"/>
  <c r="F410" i="86"/>
  <c r="BC409" i="86"/>
  <c r="AZ409" i="86"/>
  <c r="AW409" i="86"/>
  <c r="AT409" i="86"/>
  <c r="AQ409" i="86"/>
  <c r="AN409" i="86"/>
  <c r="AK409" i="86"/>
  <c r="AH409" i="86"/>
  <c r="AE409" i="86"/>
  <c r="AB409" i="86"/>
  <c r="Y409" i="86"/>
  <c r="M409" i="86" s="1"/>
  <c r="V409" i="86"/>
  <c r="S409" i="86"/>
  <c r="P409" i="86"/>
  <c r="G409" i="86"/>
  <c r="F409" i="86"/>
  <c r="BC408" i="86"/>
  <c r="AZ408" i="86"/>
  <c r="AW408" i="86"/>
  <c r="AT408" i="86"/>
  <c r="AQ408" i="86"/>
  <c r="AN408" i="86"/>
  <c r="AK408" i="86"/>
  <c r="AH408" i="86"/>
  <c r="AE408" i="86"/>
  <c r="AB408" i="86"/>
  <c r="Y408" i="86"/>
  <c r="V408" i="86"/>
  <c r="S408" i="86"/>
  <c r="P408" i="86"/>
  <c r="G408" i="86"/>
  <c r="F408" i="86"/>
  <c r="BC407" i="86"/>
  <c r="AZ407" i="86"/>
  <c r="AW407" i="86"/>
  <c r="AT407" i="86"/>
  <c r="AQ407" i="86"/>
  <c r="AN407" i="86"/>
  <c r="AK407" i="86"/>
  <c r="AH407" i="86"/>
  <c r="AE407" i="86"/>
  <c r="AB407" i="86"/>
  <c r="Y407" i="86"/>
  <c r="V407" i="86"/>
  <c r="S407" i="86"/>
  <c r="P407" i="86"/>
  <c r="G407" i="86"/>
  <c r="F407" i="86"/>
  <c r="BC406" i="86"/>
  <c r="AZ406" i="86"/>
  <c r="AW406" i="86"/>
  <c r="AT406" i="86"/>
  <c r="AQ406" i="86"/>
  <c r="AN406" i="86"/>
  <c r="AK406" i="86"/>
  <c r="AH406" i="86"/>
  <c r="AE406" i="86"/>
  <c r="AB406" i="86"/>
  <c r="Y406" i="86"/>
  <c r="V406" i="86"/>
  <c r="S406" i="86"/>
  <c r="P406" i="86"/>
  <c r="G406" i="86"/>
  <c r="F406" i="86"/>
  <c r="BC405" i="86"/>
  <c r="AZ405" i="86"/>
  <c r="AW405" i="86"/>
  <c r="AT405" i="86"/>
  <c r="AQ405" i="86"/>
  <c r="AN405" i="86"/>
  <c r="AK405" i="86"/>
  <c r="AH405" i="86"/>
  <c r="AE405" i="86"/>
  <c r="AB405" i="86"/>
  <c r="Y405" i="86"/>
  <c r="V405" i="86"/>
  <c r="S405" i="86"/>
  <c r="P405" i="86"/>
  <c r="G405" i="86"/>
  <c r="F405" i="86"/>
  <c r="BC404" i="86"/>
  <c r="AZ404" i="86"/>
  <c r="AW404" i="86"/>
  <c r="AT404" i="86"/>
  <c r="AQ404" i="86"/>
  <c r="AN404" i="86"/>
  <c r="AK404" i="86"/>
  <c r="AH404" i="86"/>
  <c r="AE404" i="86"/>
  <c r="AB404" i="86"/>
  <c r="Y404" i="86"/>
  <c r="V404" i="86"/>
  <c r="S404" i="86"/>
  <c r="P404" i="86"/>
  <c r="G404" i="86"/>
  <c r="F404" i="86"/>
  <c r="BC403" i="86"/>
  <c r="AZ403" i="86"/>
  <c r="AW403" i="86"/>
  <c r="AT403" i="86"/>
  <c r="AQ403" i="86"/>
  <c r="AN403" i="86"/>
  <c r="AK403" i="86"/>
  <c r="AH403" i="86"/>
  <c r="AE403" i="86"/>
  <c r="AB403" i="86"/>
  <c r="Y403" i="86"/>
  <c r="V403" i="86"/>
  <c r="S403" i="86"/>
  <c r="P403" i="86"/>
  <c r="G403" i="86"/>
  <c r="F403" i="86"/>
  <c r="BC402" i="86"/>
  <c r="AZ402" i="86"/>
  <c r="AW402" i="86"/>
  <c r="AT402" i="86"/>
  <c r="AQ402" i="86"/>
  <c r="AN402" i="86"/>
  <c r="AK402" i="86"/>
  <c r="AH402" i="86"/>
  <c r="AE402" i="86"/>
  <c r="AB402" i="86"/>
  <c r="Y402" i="86"/>
  <c r="V402" i="86"/>
  <c r="S402" i="86"/>
  <c r="P402" i="86"/>
  <c r="G402" i="86"/>
  <c r="F402" i="86"/>
  <c r="BC401" i="86"/>
  <c r="AZ401" i="86"/>
  <c r="AW401" i="86"/>
  <c r="AT401" i="86"/>
  <c r="AQ401" i="86"/>
  <c r="AN401" i="86"/>
  <c r="AK401" i="86"/>
  <c r="AH401" i="86"/>
  <c r="AE401" i="86"/>
  <c r="AB401" i="86"/>
  <c r="Y401" i="86"/>
  <c r="V401" i="86"/>
  <c r="S401" i="86"/>
  <c r="P401" i="86"/>
  <c r="G401" i="86"/>
  <c r="F401" i="86"/>
  <c r="BC400" i="86"/>
  <c r="AZ400" i="86"/>
  <c r="AW400" i="86"/>
  <c r="AT400" i="86"/>
  <c r="AQ400" i="86"/>
  <c r="AN400" i="86"/>
  <c r="AK400" i="86"/>
  <c r="AH400" i="86"/>
  <c r="AE400" i="86"/>
  <c r="AB400" i="86"/>
  <c r="Y400" i="86"/>
  <c r="V400" i="86"/>
  <c r="S400" i="86"/>
  <c r="P400" i="86"/>
  <c r="G400" i="86"/>
  <c r="F400" i="86"/>
  <c r="BC399" i="86"/>
  <c r="AZ399" i="86"/>
  <c r="AW399" i="86"/>
  <c r="AT399" i="86"/>
  <c r="AQ399" i="86"/>
  <c r="AN399" i="86"/>
  <c r="AK399" i="86"/>
  <c r="AH399" i="86"/>
  <c r="AE399" i="86"/>
  <c r="AB399" i="86"/>
  <c r="Y399" i="86"/>
  <c r="V399" i="86"/>
  <c r="S399" i="86"/>
  <c r="P399" i="86"/>
  <c r="G399" i="86"/>
  <c r="F399" i="86"/>
  <c r="BC398" i="86"/>
  <c r="AZ398" i="86"/>
  <c r="AW398" i="86"/>
  <c r="AT398" i="86"/>
  <c r="AQ398" i="86"/>
  <c r="AN398" i="86"/>
  <c r="AK398" i="86"/>
  <c r="AH398" i="86"/>
  <c r="AE398" i="86"/>
  <c r="AB398" i="86"/>
  <c r="Y398" i="86"/>
  <c r="V398" i="86"/>
  <c r="S398" i="86"/>
  <c r="P398" i="86"/>
  <c r="G398" i="86"/>
  <c r="F398" i="86"/>
  <c r="BC397" i="86"/>
  <c r="AZ397" i="86"/>
  <c r="AW397" i="86"/>
  <c r="AT397" i="86"/>
  <c r="AQ397" i="86"/>
  <c r="AN397" i="86"/>
  <c r="AK397" i="86"/>
  <c r="AH397" i="86"/>
  <c r="AE397" i="86"/>
  <c r="AB397" i="86"/>
  <c r="Y397" i="86"/>
  <c r="V397" i="86"/>
  <c r="S397" i="86"/>
  <c r="P397" i="86"/>
  <c r="G397" i="86"/>
  <c r="F397" i="86"/>
  <c r="BC396" i="86"/>
  <c r="AZ396" i="86"/>
  <c r="AW396" i="86"/>
  <c r="AT396" i="86"/>
  <c r="AQ396" i="86"/>
  <c r="AN396" i="86"/>
  <c r="AK396" i="86"/>
  <c r="AH396" i="86"/>
  <c r="AE396" i="86"/>
  <c r="AB396" i="86"/>
  <c r="Y396" i="86"/>
  <c r="V396" i="86"/>
  <c r="S396" i="86"/>
  <c r="P396" i="86"/>
  <c r="G396" i="86"/>
  <c r="F396" i="86"/>
  <c r="BC395" i="86"/>
  <c r="AZ395" i="86"/>
  <c r="AW395" i="86"/>
  <c r="AT395" i="86"/>
  <c r="AQ395" i="86"/>
  <c r="AN395" i="86"/>
  <c r="AK395" i="86"/>
  <c r="AH395" i="86"/>
  <c r="AE395" i="86"/>
  <c r="AB395" i="86"/>
  <c r="Y395" i="86"/>
  <c r="V395" i="86"/>
  <c r="S395" i="86"/>
  <c r="P395" i="86"/>
  <c r="G395" i="86"/>
  <c r="F395" i="86"/>
  <c r="BC394" i="86"/>
  <c r="AZ394" i="86"/>
  <c r="AW394" i="86"/>
  <c r="AT394" i="86"/>
  <c r="AQ394" i="86"/>
  <c r="AN394" i="86"/>
  <c r="AK394" i="86"/>
  <c r="AH394" i="86"/>
  <c r="AE394" i="86"/>
  <c r="AB394" i="86"/>
  <c r="Y394" i="86"/>
  <c r="V394" i="86"/>
  <c r="S394" i="86"/>
  <c r="P394" i="86"/>
  <c r="G394" i="86"/>
  <c r="F394" i="86"/>
  <c r="BC393" i="86"/>
  <c r="AZ393" i="86"/>
  <c r="AW393" i="86"/>
  <c r="AT393" i="86"/>
  <c r="AQ393" i="86"/>
  <c r="AN393" i="86"/>
  <c r="AK393" i="86"/>
  <c r="AH393" i="86"/>
  <c r="AE393" i="86"/>
  <c r="AB393" i="86"/>
  <c r="Y393" i="86"/>
  <c r="V393" i="86"/>
  <c r="S393" i="86"/>
  <c r="P393" i="86"/>
  <c r="G393" i="86"/>
  <c r="F393" i="86"/>
  <c r="BC392" i="86"/>
  <c r="AZ392" i="86"/>
  <c r="AW392" i="86"/>
  <c r="AT392" i="86"/>
  <c r="AQ392" i="86"/>
  <c r="AN392" i="86"/>
  <c r="AK392" i="86"/>
  <c r="AH392" i="86"/>
  <c r="AE392" i="86"/>
  <c r="AB392" i="86"/>
  <c r="Y392" i="86"/>
  <c r="V392" i="86"/>
  <c r="S392" i="86"/>
  <c r="P392" i="86"/>
  <c r="G392" i="86"/>
  <c r="F392" i="86"/>
  <c r="BC391" i="86"/>
  <c r="AZ391" i="86"/>
  <c r="AW391" i="86"/>
  <c r="AT391" i="86"/>
  <c r="AQ391" i="86"/>
  <c r="AN391" i="86"/>
  <c r="AK391" i="86"/>
  <c r="AH391" i="86"/>
  <c r="AE391" i="86"/>
  <c r="AB391" i="86"/>
  <c r="Y391" i="86"/>
  <c r="V391" i="86"/>
  <c r="S391" i="86"/>
  <c r="P391" i="86"/>
  <c r="G391" i="86"/>
  <c r="F391" i="86"/>
  <c r="BC390" i="86"/>
  <c r="AZ390" i="86"/>
  <c r="AW390" i="86"/>
  <c r="AT390" i="86"/>
  <c r="AQ390" i="86"/>
  <c r="AN390" i="86"/>
  <c r="AK390" i="86"/>
  <c r="AH390" i="86"/>
  <c r="AE390" i="86"/>
  <c r="AB390" i="86"/>
  <c r="Y390" i="86"/>
  <c r="V390" i="86"/>
  <c r="S390" i="86"/>
  <c r="P390" i="86"/>
  <c r="G390" i="86"/>
  <c r="F390" i="86"/>
  <c r="BC389" i="86"/>
  <c r="AZ389" i="86"/>
  <c r="AW389" i="86"/>
  <c r="AT389" i="86"/>
  <c r="AQ389" i="86"/>
  <c r="AN389" i="86"/>
  <c r="AK389" i="86"/>
  <c r="AH389" i="86"/>
  <c r="AE389" i="86"/>
  <c r="AB389" i="86"/>
  <c r="Y389" i="86"/>
  <c r="V389" i="86"/>
  <c r="S389" i="86"/>
  <c r="P389" i="86"/>
  <c r="G389" i="86"/>
  <c r="F389" i="86"/>
  <c r="BC388" i="86"/>
  <c r="AZ388" i="86"/>
  <c r="AW388" i="86"/>
  <c r="AT388" i="86"/>
  <c r="AQ388" i="86"/>
  <c r="AN388" i="86"/>
  <c r="AK388" i="86"/>
  <c r="AH388" i="86"/>
  <c r="AE388" i="86"/>
  <c r="AB388" i="86"/>
  <c r="Y388" i="86"/>
  <c r="V388" i="86"/>
  <c r="S388" i="86"/>
  <c r="P388" i="86"/>
  <c r="G388" i="86"/>
  <c r="F388" i="86"/>
  <c r="BC387" i="86"/>
  <c r="AZ387" i="86"/>
  <c r="AW387" i="86"/>
  <c r="AT387" i="86"/>
  <c r="AQ387" i="86"/>
  <c r="AN387" i="86"/>
  <c r="AK387" i="86"/>
  <c r="AH387" i="86"/>
  <c r="AE387" i="86"/>
  <c r="AB387" i="86"/>
  <c r="Y387" i="86"/>
  <c r="V387" i="86"/>
  <c r="S387" i="86"/>
  <c r="P387" i="86"/>
  <c r="G387" i="86"/>
  <c r="F387" i="86"/>
  <c r="BC386" i="86"/>
  <c r="AZ386" i="86"/>
  <c r="AW386" i="86"/>
  <c r="AT386" i="86"/>
  <c r="AQ386" i="86"/>
  <c r="AN386" i="86"/>
  <c r="AK386" i="86"/>
  <c r="AH386" i="86"/>
  <c r="AE386" i="86"/>
  <c r="AB386" i="86"/>
  <c r="Y386" i="86"/>
  <c r="V386" i="86"/>
  <c r="S386" i="86"/>
  <c r="P386" i="86"/>
  <c r="G386" i="86"/>
  <c r="F386" i="86"/>
  <c r="BC385" i="86"/>
  <c r="AZ385" i="86"/>
  <c r="AW385" i="86"/>
  <c r="AT385" i="86"/>
  <c r="AQ385" i="86"/>
  <c r="AN385" i="86"/>
  <c r="AK385" i="86"/>
  <c r="AH385" i="86"/>
  <c r="AE385" i="86"/>
  <c r="AB385" i="86"/>
  <c r="Y385" i="86"/>
  <c r="V385" i="86"/>
  <c r="S385" i="86"/>
  <c r="P385" i="86"/>
  <c r="G385" i="86"/>
  <c r="F385" i="86"/>
  <c r="BC384" i="86"/>
  <c r="AZ384" i="86"/>
  <c r="AW384" i="86"/>
  <c r="AT384" i="86"/>
  <c r="AQ384" i="86"/>
  <c r="AN384" i="86"/>
  <c r="AK384" i="86"/>
  <c r="AH384" i="86"/>
  <c r="AE384" i="86"/>
  <c r="AB384" i="86"/>
  <c r="Y384" i="86"/>
  <c r="V384" i="86"/>
  <c r="S384" i="86"/>
  <c r="P384" i="86"/>
  <c r="G384" i="86"/>
  <c r="F384" i="86"/>
  <c r="BC383" i="86"/>
  <c r="AZ383" i="86"/>
  <c r="AW383" i="86"/>
  <c r="AT383" i="86"/>
  <c r="AQ383" i="86"/>
  <c r="AN383" i="86"/>
  <c r="AK383" i="86"/>
  <c r="AH383" i="86"/>
  <c r="AE383" i="86"/>
  <c r="AB383" i="86"/>
  <c r="Y383" i="86"/>
  <c r="V383" i="86"/>
  <c r="S383" i="86"/>
  <c r="P383" i="86"/>
  <c r="G383" i="86"/>
  <c r="F383" i="86"/>
  <c r="BC382" i="86"/>
  <c r="AZ382" i="86"/>
  <c r="AW382" i="86"/>
  <c r="AT382" i="86"/>
  <c r="AQ382" i="86"/>
  <c r="AN382" i="86"/>
  <c r="AK382" i="86"/>
  <c r="AH382" i="86"/>
  <c r="AE382" i="86"/>
  <c r="AB382" i="86"/>
  <c r="Y382" i="86"/>
  <c r="V382" i="86"/>
  <c r="S382" i="86"/>
  <c r="P382" i="86"/>
  <c r="G382" i="86"/>
  <c r="F382" i="86"/>
  <c r="BC381" i="86"/>
  <c r="AZ381" i="86"/>
  <c r="AW381" i="86"/>
  <c r="AT381" i="86"/>
  <c r="AQ381" i="86"/>
  <c r="AN381" i="86"/>
  <c r="AK381" i="86"/>
  <c r="AH381" i="86"/>
  <c r="AE381" i="86"/>
  <c r="AB381" i="86"/>
  <c r="Y381" i="86"/>
  <c r="V381" i="86"/>
  <c r="S381" i="86"/>
  <c r="P381" i="86"/>
  <c r="G381" i="86"/>
  <c r="F381" i="86"/>
  <c r="BC380" i="86"/>
  <c r="AZ380" i="86"/>
  <c r="AW380" i="86"/>
  <c r="AT380" i="86"/>
  <c r="AQ380" i="86"/>
  <c r="AN380" i="86"/>
  <c r="AK380" i="86"/>
  <c r="AH380" i="86"/>
  <c r="AE380" i="86"/>
  <c r="AB380" i="86"/>
  <c r="Y380" i="86"/>
  <c r="V380" i="86"/>
  <c r="S380" i="86"/>
  <c r="P380" i="86"/>
  <c r="G380" i="86"/>
  <c r="F380" i="86"/>
  <c r="BC379" i="86"/>
  <c r="AZ379" i="86"/>
  <c r="AW379" i="86"/>
  <c r="AT379" i="86"/>
  <c r="AQ379" i="86"/>
  <c r="AN379" i="86"/>
  <c r="AK379" i="86"/>
  <c r="AH379" i="86"/>
  <c r="AE379" i="86"/>
  <c r="AB379" i="86"/>
  <c r="Y379" i="86"/>
  <c r="V379" i="86"/>
  <c r="S379" i="86"/>
  <c r="P379" i="86"/>
  <c r="G379" i="86"/>
  <c r="F379" i="86"/>
  <c r="BC378" i="86"/>
  <c r="AZ378" i="86"/>
  <c r="AW378" i="86"/>
  <c r="AT378" i="86"/>
  <c r="AQ378" i="86"/>
  <c r="AN378" i="86"/>
  <c r="AK378" i="86"/>
  <c r="AH378" i="86"/>
  <c r="AE378" i="86"/>
  <c r="AB378" i="86"/>
  <c r="Y378" i="86"/>
  <c r="V378" i="86"/>
  <c r="S378" i="86"/>
  <c r="P378" i="86"/>
  <c r="G378" i="86"/>
  <c r="F378" i="86"/>
  <c r="BC377" i="86"/>
  <c r="AZ377" i="86"/>
  <c r="AW377" i="86"/>
  <c r="AT377" i="86"/>
  <c r="AQ377" i="86"/>
  <c r="AN377" i="86"/>
  <c r="AK377" i="86"/>
  <c r="AH377" i="86"/>
  <c r="AE377" i="86"/>
  <c r="AB377" i="86"/>
  <c r="Y377" i="86"/>
  <c r="V377" i="86"/>
  <c r="S377" i="86"/>
  <c r="P377" i="86"/>
  <c r="G377" i="86"/>
  <c r="F377" i="86"/>
  <c r="BC376" i="86"/>
  <c r="AZ376" i="86"/>
  <c r="AW376" i="86"/>
  <c r="AT376" i="86"/>
  <c r="AQ376" i="86"/>
  <c r="AN376" i="86"/>
  <c r="AK376" i="86"/>
  <c r="AH376" i="86"/>
  <c r="AE376" i="86"/>
  <c r="AB376" i="86"/>
  <c r="Y376" i="86"/>
  <c r="V376" i="86"/>
  <c r="S376" i="86"/>
  <c r="P376" i="86"/>
  <c r="G376" i="86"/>
  <c r="F376" i="86"/>
  <c r="BC375" i="86"/>
  <c r="AZ375" i="86"/>
  <c r="AW375" i="86"/>
  <c r="AT375" i="86"/>
  <c r="AQ375" i="86"/>
  <c r="AN375" i="86"/>
  <c r="AK375" i="86"/>
  <c r="AH375" i="86"/>
  <c r="AE375" i="86"/>
  <c r="AB375" i="86"/>
  <c r="Y375" i="86"/>
  <c r="V375" i="86"/>
  <c r="S375" i="86"/>
  <c r="P375" i="86"/>
  <c r="G375" i="86"/>
  <c r="F375" i="86"/>
  <c r="BC374" i="86"/>
  <c r="AZ374" i="86"/>
  <c r="AW374" i="86"/>
  <c r="AT374" i="86"/>
  <c r="AQ374" i="86"/>
  <c r="AN374" i="86"/>
  <c r="AK374" i="86"/>
  <c r="AH374" i="86"/>
  <c r="AE374" i="86"/>
  <c r="AB374" i="86"/>
  <c r="Y374" i="86"/>
  <c r="V374" i="86"/>
  <c r="S374" i="86"/>
  <c r="P374" i="86"/>
  <c r="G374" i="86"/>
  <c r="F374" i="86"/>
  <c r="BC373" i="86"/>
  <c r="AZ373" i="86"/>
  <c r="AW373" i="86"/>
  <c r="AT373" i="86"/>
  <c r="AQ373" i="86"/>
  <c r="AN373" i="86"/>
  <c r="AK373" i="86"/>
  <c r="AH373" i="86"/>
  <c r="AE373" i="86"/>
  <c r="AB373" i="86"/>
  <c r="Y373" i="86"/>
  <c r="M373" i="86" s="1"/>
  <c r="V373" i="86"/>
  <c r="S373" i="86"/>
  <c r="P373" i="86"/>
  <c r="G373" i="86"/>
  <c r="F373" i="86"/>
  <c r="BC372" i="86"/>
  <c r="AZ372" i="86"/>
  <c r="AW372" i="86"/>
  <c r="AT372" i="86"/>
  <c r="AQ372" i="86"/>
  <c r="AN372" i="86"/>
  <c r="AK372" i="86"/>
  <c r="AH372" i="86"/>
  <c r="AE372" i="86"/>
  <c r="AB372" i="86"/>
  <c r="Y372" i="86"/>
  <c r="V372" i="86"/>
  <c r="S372" i="86"/>
  <c r="P372" i="86"/>
  <c r="G372" i="86"/>
  <c r="F372" i="86"/>
  <c r="BC371" i="86"/>
  <c r="AZ371" i="86"/>
  <c r="AW371" i="86"/>
  <c r="AT371" i="86"/>
  <c r="AQ371" i="86"/>
  <c r="AN371" i="86"/>
  <c r="AK371" i="86"/>
  <c r="AH371" i="86"/>
  <c r="AE371" i="86"/>
  <c r="AB371" i="86"/>
  <c r="Y371" i="86"/>
  <c r="V371" i="86"/>
  <c r="S371" i="86"/>
  <c r="P371" i="86"/>
  <c r="G371" i="86"/>
  <c r="F371" i="86"/>
  <c r="BC370" i="86"/>
  <c r="AZ370" i="86"/>
  <c r="AW370" i="86"/>
  <c r="AT370" i="86"/>
  <c r="AQ370" i="86"/>
  <c r="AN370" i="86"/>
  <c r="AK370" i="86"/>
  <c r="AH370" i="86"/>
  <c r="AE370" i="86"/>
  <c r="AB370" i="86"/>
  <c r="Y370" i="86"/>
  <c r="V370" i="86"/>
  <c r="S370" i="86"/>
  <c r="P370" i="86"/>
  <c r="G370" i="86"/>
  <c r="F370" i="86"/>
  <c r="BC369" i="86"/>
  <c r="AZ369" i="86"/>
  <c r="AW369" i="86"/>
  <c r="AT369" i="86"/>
  <c r="AQ369" i="86"/>
  <c r="AN369" i="86"/>
  <c r="AK369" i="86"/>
  <c r="AH369" i="86"/>
  <c r="AE369" i="86"/>
  <c r="AB369" i="86"/>
  <c r="Y369" i="86"/>
  <c r="V369" i="86"/>
  <c r="S369" i="86"/>
  <c r="P369" i="86"/>
  <c r="G369" i="86"/>
  <c r="F369" i="86"/>
  <c r="BC368" i="86"/>
  <c r="AZ368" i="86"/>
  <c r="AW368" i="86"/>
  <c r="AT368" i="86"/>
  <c r="AQ368" i="86"/>
  <c r="AN368" i="86"/>
  <c r="AK368" i="86"/>
  <c r="AH368" i="86"/>
  <c r="AE368" i="86"/>
  <c r="AB368" i="86"/>
  <c r="Y368" i="86"/>
  <c r="V368" i="86"/>
  <c r="S368" i="86"/>
  <c r="P368" i="86"/>
  <c r="G368" i="86"/>
  <c r="F368" i="86"/>
  <c r="BC367" i="86"/>
  <c r="AZ367" i="86"/>
  <c r="AW367" i="86"/>
  <c r="AT367" i="86"/>
  <c r="AQ367" i="86"/>
  <c r="AN367" i="86"/>
  <c r="AK367" i="86"/>
  <c r="AH367" i="86"/>
  <c r="AE367" i="86"/>
  <c r="AB367" i="86"/>
  <c r="Y367" i="86"/>
  <c r="V367" i="86"/>
  <c r="S367" i="86"/>
  <c r="P367" i="86"/>
  <c r="G367" i="86"/>
  <c r="F367" i="86"/>
  <c r="BC366" i="86"/>
  <c r="AZ366" i="86"/>
  <c r="AW366" i="86"/>
  <c r="AT366" i="86"/>
  <c r="AQ366" i="86"/>
  <c r="AN366" i="86"/>
  <c r="AK366" i="86"/>
  <c r="AH366" i="86"/>
  <c r="AE366" i="86"/>
  <c r="AB366" i="86"/>
  <c r="Y366" i="86"/>
  <c r="V366" i="86"/>
  <c r="S366" i="86"/>
  <c r="P366" i="86"/>
  <c r="G366" i="86"/>
  <c r="F366" i="86"/>
  <c r="BC365" i="86"/>
  <c r="AZ365" i="86"/>
  <c r="AW365" i="86"/>
  <c r="AT365" i="86"/>
  <c r="AQ365" i="86"/>
  <c r="AN365" i="86"/>
  <c r="AK365" i="86"/>
  <c r="AH365" i="86"/>
  <c r="AE365" i="86"/>
  <c r="AB365" i="86"/>
  <c r="Y365" i="86"/>
  <c r="V365" i="86"/>
  <c r="S365" i="86"/>
  <c r="P365" i="86"/>
  <c r="G365" i="86"/>
  <c r="F365" i="86"/>
  <c r="BC364" i="86"/>
  <c r="AZ364" i="86"/>
  <c r="AW364" i="86"/>
  <c r="AT364" i="86"/>
  <c r="AQ364" i="86"/>
  <c r="AN364" i="86"/>
  <c r="AK364" i="86"/>
  <c r="AH364" i="86"/>
  <c r="AE364" i="86"/>
  <c r="AB364" i="86"/>
  <c r="Y364" i="86"/>
  <c r="V364" i="86"/>
  <c r="S364" i="86"/>
  <c r="P364" i="86"/>
  <c r="G364" i="86"/>
  <c r="F364" i="86"/>
  <c r="BC363" i="86"/>
  <c r="AZ363" i="86"/>
  <c r="AW363" i="86"/>
  <c r="AT363" i="86"/>
  <c r="AQ363" i="86"/>
  <c r="AN363" i="86"/>
  <c r="AK363" i="86"/>
  <c r="AH363" i="86"/>
  <c r="AE363" i="86"/>
  <c r="AB363" i="86"/>
  <c r="Y363" i="86"/>
  <c r="V363" i="86"/>
  <c r="S363" i="86"/>
  <c r="P363" i="86"/>
  <c r="G363" i="86"/>
  <c r="F363" i="86"/>
  <c r="BC362" i="86"/>
  <c r="AZ362" i="86"/>
  <c r="AW362" i="86"/>
  <c r="AT362" i="86"/>
  <c r="AQ362" i="86"/>
  <c r="AN362" i="86"/>
  <c r="AK362" i="86"/>
  <c r="AH362" i="86"/>
  <c r="AE362" i="86"/>
  <c r="AB362" i="86"/>
  <c r="Y362" i="86"/>
  <c r="V362" i="86"/>
  <c r="S362" i="86"/>
  <c r="P362" i="86"/>
  <c r="G362" i="86"/>
  <c r="F362" i="86"/>
  <c r="BC361" i="86"/>
  <c r="AZ361" i="86"/>
  <c r="AW361" i="86"/>
  <c r="AT361" i="86"/>
  <c r="AQ361" i="86"/>
  <c r="AN361" i="86"/>
  <c r="AK361" i="86"/>
  <c r="AH361" i="86"/>
  <c r="AE361" i="86"/>
  <c r="AB361" i="86"/>
  <c r="Y361" i="86"/>
  <c r="V361" i="86"/>
  <c r="S361" i="86"/>
  <c r="P361" i="86"/>
  <c r="G361" i="86"/>
  <c r="F361" i="86"/>
  <c r="BC360" i="86"/>
  <c r="AZ360" i="86"/>
  <c r="AW360" i="86"/>
  <c r="AT360" i="86"/>
  <c r="AQ360" i="86"/>
  <c r="AN360" i="86"/>
  <c r="AK360" i="86"/>
  <c r="AH360" i="86"/>
  <c r="AE360" i="86"/>
  <c r="AB360" i="86"/>
  <c r="Y360" i="86"/>
  <c r="V360" i="86"/>
  <c r="S360" i="86"/>
  <c r="P360" i="86"/>
  <c r="G360" i="86"/>
  <c r="F360" i="86"/>
  <c r="BC359" i="86"/>
  <c r="AZ359" i="86"/>
  <c r="AW359" i="86"/>
  <c r="AT359" i="86"/>
  <c r="AQ359" i="86"/>
  <c r="AN359" i="86"/>
  <c r="AK359" i="86"/>
  <c r="AH359" i="86"/>
  <c r="AE359" i="86"/>
  <c r="AB359" i="86"/>
  <c r="Y359" i="86"/>
  <c r="V359" i="86"/>
  <c r="S359" i="86"/>
  <c r="P359" i="86"/>
  <c r="G359" i="86"/>
  <c r="F359" i="86"/>
  <c r="BC358" i="86"/>
  <c r="AZ358" i="86"/>
  <c r="AW358" i="86"/>
  <c r="AT358" i="86"/>
  <c r="AQ358" i="86"/>
  <c r="AN358" i="86"/>
  <c r="AK358" i="86"/>
  <c r="AH358" i="86"/>
  <c r="AE358" i="86"/>
  <c r="AB358" i="86"/>
  <c r="Y358" i="86"/>
  <c r="V358" i="86"/>
  <c r="S358" i="86"/>
  <c r="P358" i="86"/>
  <c r="G358" i="86"/>
  <c r="F358" i="86"/>
  <c r="BC357" i="86"/>
  <c r="AZ357" i="86"/>
  <c r="AW357" i="86"/>
  <c r="AT357" i="86"/>
  <c r="AQ357" i="86"/>
  <c r="AN357" i="86"/>
  <c r="AK357" i="86"/>
  <c r="AH357" i="86"/>
  <c r="AE357" i="86"/>
  <c r="AB357" i="86"/>
  <c r="Y357" i="86"/>
  <c r="V357" i="86"/>
  <c r="S357" i="86"/>
  <c r="P357" i="86"/>
  <c r="G357" i="86"/>
  <c r="F357" i="86"/>
  <c r="BC356" i="86"/>
  <c r="AZ356" i="86"/>
  <c r="AW356" i="86"/>
  <c r="AT356" i="86"/>
  <c r="AQ356" i="86"/>
  <c r="AN356" i="86"/>
  <c r="AK356" i="86"/>
  <c r="AH356" i="86"/>
  <c r="AE356" i="86"/>
  <c r="AB356" i="86"/>
  <c r="Y356" i="86"/>
  <c r="V356" i="86"/>
  <c r="S356" i="86"/>
  <c r="P356" i="86"/>
  <c r="G356" i="86"/>
  <c r="F356" i="86"/>
  <c r="BC355" i="86"/>
  <c r="AZ355" i="86"/>
  <c r="AW355" i="86"/>
  <c r="AT355" i="86"/>
  <c r="AQ355" i="86"/>
  <c r="AN355" i="86"/>
  <c r="AK355" i="86"/>
  <c r="AH355" i="86"/>
  <c r="AE355" i="86"/>
  <c r="AB355" i="86"/>
  <c r="Y355" i="86"/>
  <c r="V355" i="86"/>
  <c r="S355" i="86"/>
  <c r="P355" i="86"/>
  <c r="G355" i="86"/>
  <c r="F355" i="86"/>
  <c r="BC354" i="86"/>
  <c r="AZ354" i="86"/>
  <c r="AW354" i="86"/>
  <c r="AT354" i="86"/>
  <c r="AQ354" i="86"/>
  <c r="AN354" i="86"/>
  <c r="AK354" i="86"/>
  <c r="AH354" i="86"/>
  <c r="AE354" i="86"/>
  <c r="AB354" i="86"/>
  <c r="Y354" i="86"/>
  <c r="V354" i="86"/>
  <c r="S354" i="86"/>
  <c r="P354" i="86"/>
  <c r="G354" i="86"/>
  <c r="F354" i="86"/>
  <c r="BC353" i="86"/>
  <c r="AZ353" i="86"/>
  <c r="AW353" i="86"/>
  <c r="AT353" i="86"/>
  <c r="AQ353" i="86"/>
  <c r="AN353" i="86"/>
  <c r="AK353" i="86"/>
  <c r="AH353" i="86"/>
  <c r="AE353" i="86"/>
  <c r="AB353" i="86"/>
  <c r="Y353" i="86"/>
  <c r="V353" i="86"/>
  <c r="S353" i="86"/>
  <c r="P353" i="86"/>
  <c r="G353" i="86"/>
  <c r="F353" i="86"/>
  <c r="BC352" i="86"/>
  <c r="AZ352" i="86"/>
  <c r="AW352" i="86"/>
  <c r="AT352" i="86"/>
  <c r="AQ352" i="86"/>
  <c r="AN352" i="86"/>
  <c r="AK352" i="86"/>
  <c r="AH352" i="86"/>
  <c r="AE352" i="86"/>
  <c r="AB352" i="86"/>
  <c r="Y352" i="86"/>
  <c r="V352" i="86"/>
  <c r="S352" i="86"/>
  <c r="P352" i="86"/>
  <c r="G352" i="86"/>
  <c r="F352" i="86"/>
  <c r="BC351" i="86"/>
  <c r="AZ351" i="86"/>
  <c r="AW351" i="86"/>
  <c r="AT351" i="86"/>
  <c r="AQ351" i="86"/>
  <c r="AN351" i="86"/>
  <c r="AK351" i="86"/>
  <c r="AH351" i="86"/>
  <c r="AE351" i="86"/>
  <c r="AB351" i="86"/>
  <c r="Y351" i="86"/>
  <c r="V351" i="86"/>
  <c r="S351" i="86"/>
  <c r="P351" i="86"/>
  <c r="G351" i="86"/>
  <c r="F351" i="86"/>
  <c r="BC350" i="86"/>
  <c r="AZ350" i="86"/>
  <c r="AW350" i="86"/>
  <c r="AT350" i="86"/>
  <c r="AQ350" i="86"/>
  <c r="AN350" i="86"/>
  <c r="AK350" i="86"/>
  <c r="AH350" i="86"/>
  <c r="AE350" i="86"/>
  <c r="AB350" i="86"/>
  <c r="Y350" i="86"/>
  <c r="V350" i="86"/>
  <c r="S350" i="86"/>
  <c r="P350" i="86"/>
  <c r="G350" i="86"/>
  <c r="F350" i="86"/>
  <c r="BC349" i="86"/>
  <c r="AZ349" i="86"/>
  <c r="AW349" i="86"/>
  <c r="AT349" i="86"/>
  <c r="AQ349" i="86"/>
  <c r="AN349" i="86"/>
  <c r="AK349" i="86"/>
  <c r="AH349" i="86"/>
  <c r="AE349" i="86"/>
  <c r="AB349" i="86"/>
  <c r="Y349" i="86"/>
  <c r="V349" i="86"/>
  <c r="S349" i="86"/>
  <c r="P349" i="86"/>
  <c r="G349" i="86"/>
  <c r="F349" i="86"/>
  <c r="BC348" i="86"/>
  <c r="AZ348" i="86"/>
  <c r="AW348" i="86"/>
  <c r="AT348" i="86"/>
  <c r="AQ348" i="86"/>
  <c r="AN348" i="86"/>
  <c r="AK348" i="86"/>
  <c r="AH348" i="86"/>
  <c r="AE348" i="86"/>
  <c r="AB348" i="86"/>
  <c r="Y348" i="86"/>
  <c r="V348" i="86"/>
  <c r="S348" i="86"/>
  <c r="P348" i="86"/>
  <c r="G348" i="86"/>
  <c r="F348" i="86"/>
  <c r="BC347" i="86"/>
  <c r="AZ347" i="86"/>
  <c r="AW347" i="86"/>
  <c r="AT347" i="86"/>
  <c r="AQ347" i="86"/>
  <c r="AN347" i="86"/>
  <c r="AK347" i="86"/>
  <c r="AH347" i="86"/>
  <c r="AE347" i="86"/>
  <c r="AB347" i="86"/>
  <c r="Y347" i="86"/>
  <c r="V347" i="86"/>
  <c r="S347" i="86"/>
  <c r="P347" i="86"/>
  <c r="G347" i="86"/>
  <c r="F347" i="86"/>
  <c r="BC346" i="86"/>
  <c r="AZ346" i="86"/>
  <c r="AW346" i="86"/>
  <c r="AT346" i="86"/>
  <c r="AQ346" i="86"/>
  <c r="AN346" i="86"/>
  <c r="AK346" i="86"/>
  <c r="AH346" i="86"/>
  <c r="AE346" i="86"/>
  <c r="AB346" i="86"/>
  <c r="Y346" i="86"/>
  <c r="V346" i="86"/>
  <c r="S346" i="86"/>
  <c r="P346" i="86"/>
  <c r="G346" i="86"/>
  <c r="F346" i="86"/>
  <c r="BC345" i="86"/>
  <c r="AZ345" i="86"/>
  <c r="AW345" i="86"/>
  <c r="AT345" i="86"/>
  <c r="AQ345" i="86"/>
  <c r="AN345" i="86"/>
  <c r="AK345" i="86"/>
  <c r="AH345" i="86"/>
  <c r="AE345" i="86"/>
  <c r="AB345" i="86"/>
  <c r="Y345" i="86"/>
  <c r="V345" i="86"/>
  <c r="S345" i="86"/>
  <c r="P345" i="86"/>
  <c r="G345" i="86"/>
  <c r="F345" i="86"/>
  <c r="BC344" i="86"/>
  <c r="AZ344" i="86"/>
  <c r="AW344" i="86"/>
  <c r="AT344" i="86"/>
  <c r="AQ344" i="86"/>
  <c r="AN344" i="86"/>
  <c r="AK344" i="86"/>
  <c r="AH344" i="86"/>
  <c r="AE344" i="86"/>
  <c r="AB344" i="86"/>
  <c r="Y344" i="86"/>
  <c r="V344" i="86"/>
  <c r="S344" i="86"/>
  <c r="P344" i="86"/>
  <c r="G344" i="86"/>
  <c r="F344" i="86"/>
  <c r="BC343" i="86"/>
  <c r="AZ343" i="86"/>
  <c r="AW343" i="86"/>
  <c r="AT343" i="86"/>
  <c r="AQ343" i="86"/>
  <c r="AN343" i="86"/>
  <c r="AK343" i="86"/>
  <c r="AH343" i="86"/>
  <c r="AE343" i="86"/>
  <c r="AB343" i="86"/>
  <c r="Y343" i="86"/>
  <c r="V343" i="86"/>
  <c r="S343" i="86"/>
  <c r="P343" i="86"/>
  <c r="G343" i="86"/>
  <c r="F343" i="86"/>
  <c r="BC342" i="86"/>
  <c r="AZ342" i="86"/>
  <c r="AW342" i="86"/>
  <c r="AT342" i="86"/>
  <c r="AQ342" i="86"/>
  <c r="AN342" i="86"/>
  <c r="AK342" i="86"/>
  <c r="AH342" i="86"/>
  <c r="AE342" i="86"/>
  <c r="AB342" i="86"/>
  <c r="Y342" i="86"/>
  <c r="V342" i="86"/>
  <c r="S342" i="86"/>
  <c r="P342" i="86"/>
  <c r="G342" i="86"/>
  <c r="F342" i="86"/>
  <c r="BC341" i="86"/>
  <c r="AZ341" i="86"/>
  <c r="AW341" i="86"/>
  <c r="AT341" i="86"/>
  <c r="AQ341" i="86"/>
  <c r="AN341" i="86"/>
  <c r="AK341" i="86"/>
  <c r="AH341" i="86"/>
  <c r="AE341" i="86"/>
  <c r="AB341" i="86"/>
  <c r="Y341" i="86"/>
  <c r="V341" i="86"/>
  <c r="S341" i="86"/>
  <c r="P341" i="86"/>
  <c r="G341" i="86"/>
  <c r="F341" i="86"/>
  <c r="BC340" i="86"/>
  <c r="AZ340" i="86"/>
  <c r="AW340" i="86"/>
  <c r="AT340" i="86"/>
  <c r="AQ340" i="86"/>
  <c r="AN340" i="86"/>
  <c r="AK340" i="86"/>
  <c r="AH340" i="86"/>
  <c r="AE340" i="86"/>
  <c r="AB340" i="86"/>
  <c r="Y340" i="86"/>
  <c r="V340" i="86"/>
  <c r="S340" i="86"/>
  <c r="P340" i="86"/>
  <c r="G340" i="86"/>
  <c r="F340" i="86"/>
  <c r="BC339" i="86"/>
  <c r="AZ339" i="86"/>
  <c r="AW339" i="86"/>
  <c r="AT339" i="86"/>
  <c r="AQ339" i="86"/>
  <c r="AN339" i="86"/>
  <c r="AK339" i="86"/>
  <c r="AH339" i="86"/>
  <c r="AE339" i="86"/>
  <c r="AB339" i="86"/>
  <c r="Y339" i="86"/>
  <c r="V339" i="86"/>
  <c r="S339" i="86"/>
  <c r="P339" i="86"/>
  <c r="G339" i="86"/>
  <c r="F339" i="86"/>
  <c r="BC338" i="86"/>
  <c r="AZ338" i="86"/>
  <c r="AW338" i="86"/>
  <c r="AT338" i="86"/>
  <c r="AQ338" i="86"/>
  <c r="AN338" i="86"/>
  <c r="AK338" i="86"/>
  <c r="AH338" i="86"/>
  <c r="AE338" i="86"/>
  <c r="AB338" i="86"/>
  <c r="Y338" i="86"/>
  <c r="V338" i="86"/>
  <c r="S338" i="86"/>
  <c r="P338" i="86"/>
  <c r="G338" i="86"/>
  <c r="F338" i="86"/>
  <c r="BC337" i="86"/>
  <c r="AZ337" i="86"/>
  <c r="AW337" i="86"/>
  <c r="AT337" i="86"/>
  <c r="AQ337" i="86"/>
  <c r="AN337" i="86"/>
  <c r="AK337" i="86"/>
  <c r="AH337" i="86"/>
  <c r="AE337" i="86"/>
  <c r="AB337" i="86"/>
  <c r="Y337" i="86"/>
  <c r="M337" i="86" s="1"/>
  <c r="V337" i="86"/>
  <c r="S337" i="86"/>
  <c r="P337" i="86"/>
  <c r="G337" i="86"/>
  <c r="F337" i="86"/>
  <c r="BC336" i="86"/>
  <c r="AZ336" i="86"/>
  <c r="AW336" i="86"/>
  <c r="AT336" i="86"/>
  <c r="AQ336" i="86"/>
  <c r="AN336" i="86"/>
  <c r="AK336" i="86"/>
  <c r="AH336" i="86"/>
  <c r="AE336" i="86"/>
  <c r="AB336" i="86"/>
  <c r="Y336" i="86"/>
  <c r="V336" i="86"/>
  <c r="S336" i="86"/>
  <c r="P336" i="86"/>
  <c r="G336" i="86"/>
  <c r="F336" i="86"/>
  <c r="BC335" i="86"/>
  <c r="AZ335" i="86"/>
  <c r="AW335" i="86"/>
  <c r="AT335" i="86"/>
  <c r="AQ335" i="86"/>
  <c r="AN335" i="86"/>
  <c r="AK335" i="86"/>
  <c r="AH335" i="86"/>
  <c r="AE335" i="86"/>
  <c r="AB335" i="86"/>
  <c r="Y335" i="86"/>
  <c r="M335" i="86" s="1"/>
  <c r="V335" i="86"/>
  <c r="S335" i="86"/>
  <c r="P335" i="86"/>
  <c r="G335" i="86"/>
  <c r="F335" i="86"/>
  <c r="BC334" i="86"/>
  <c r="AZ334" i="86"/>
  <c r="AW334" i="86"/>
  <c r="AT334" i="86"/>
  <c r="AQ334" i="86"/>
  <c r="AN334" i="86"/>
  <c r="AK334" i="86"/>
  <c r="AH334" i="86"/>
  <c r="AE334" i="86"/>
  <c r="AB334" i="86"/>
  <c r="Y334" i="86"/>
  <c r="V334" i="86"/>
  <c r="S334" i="86"/>
  <c r="P334" i="86"/>
  <c r="G334" i="86"/>
  <c r="F334" i="86"/>
  <c r="BC333" i="86"/>
  <c r="AZ333" i="86"/>
  <c r="AW333" i="86"/>
  <c r="AT333" i="86"/>
  <c r="AQ333" i="86"/>
  <c r="AN333" i="86"/>
  <c r="AK333" i="86"/>
  <c r="AH333" i="86"/>
  <c r="AE333" i="86"/>
  <c r="AB333" i="86"/>
  <c r="Y333" i="86"/>
  <c r="V333" i="86"/>
  <c r="S333" i="86"/>
  <c r="P333" i="86"/>
  <c r="G333" i="86"/>
  <c r="F333" i="86"/>
  <c r="BC332" i="86"/>
  <c r="AZ332" i="86"/>
  <c r="AW332" i="86"/>
  <c r="AT332" i="86"/>
  <c r="AQ332" i="86"/>
  <c r="AN332" i="86"/>
  <c r="AK332" i="86"/>
  <c r="AH332" i="86"/>
  <c r="AE332" i="86"/>
  <c r="AB332" i="86"/>
  <c r="Y332" i="86"/>
  <c r="V332" i="86"/>
  <c r="S332" i="86"/>
  <c r="P332" i="86"/>
  <c r="G332" i="86"/>
  <c r="F332" i="86"/>
  <c r="BC331" i="86"/>
  <c r="AZ331" i="86"/>
  <c r="AW331" i="86"/>
  <c r="AT331" i="86"/>
  <c r="AQ331" i="86"/>
  <c r="AN331" i="86"/>
  <c r="AK331" i="86"/>
  <c r="AH331" i="86"/>
  <c r="AE331" i="86"/>
  <c r="AB331" i="86"/>
  <c r="Y331" i="86"/>
  <c r="V331" i="86"/>
  <c r="S331" i="86"/>
  <c r="P331" i="86"/>
  <c r="G331" i="86"/>
  <c r="F331" i="86"/>
  <c r="BC330" i="86"/>
  <c r="AZ330" i="86"/>
  <c r="AW330" i="86"/>
  <c r="AT330" i="86"/>
  <c r="AQ330" i="86"/>
  <c r="AN330" i="86"/>
  <c r="AK330" i="86"/>
  <c r="AH330" i="86"/>
  <c r="AE330" i="86"/>
  <c r="AB330" i="86"/>
  <c r="Y330" i="86"/>
  <c r="V330" i="86"/>
  <c r="S330" i="86"/>
  <c r="P330" i="86"/>
  <c r="G330" i="86"/>
  <c r="F330" i="86"/>
  <c r="BC329" i="86"/>
  <c r="AZ329" i="86"/>
  <c r="AW329" i="86"/>
  <c r="AT329" i="86"/>
  <c r="AQ329" i="86"/>
  <c r="AN329" i="86"/>
  <c r="AK329" i="86"/>
  <c r="AH329" i="86"/>
  <c r="AE329" i="86"/>
  <c r="AB329" i="86"/>
  <c r="Y329" i="86"/>
  <c r="V329" i="86"/>
  <c r="S329" i="86"/>
  <c r="P329" i="86"/>
  <c r="G329" i="86"/>
  <c r="F329" i="86"/>
  <c r="BC328" i="86"/>
  <c r="AZ328" i="86"/>
  <c r="AW328" i="86"/>
  <c r="AT328" i="86"/>
  <c r="AQ328" i="86"/>
  <c r="AN328" i="86"/>
  <c r="AK328" i="86"/>
  <c r="AH328" i="86"/>
  <c r="AE328" i="86"/>
  <c r="AB328" i="86"/>
  <c r="Y328" i="86"/>
  <c r="V328" i="86"/>
  <c r="S328" i="86"/>
  <c r="P328" i="86"/>
  <c r="G328" i="86"/>
  <c r="F328" i="86"/>
  <c r="BC327" i="86"/>
  <c r="AZ327" i="86"/>
  <c r="AW327" i="86"/>
  <c r="AT327" i="86"/>
  <c r="AQ327" i="86"/>
  <c r="AN327" i="86"/>
  <c r="AK327" i="86"/>
  <c r="AH327" i="86"/>
  <c r="AE327" i="86"/>
  <c r="AB327" i="86"/>
  <c r="Y327" i="86"/>
  <c r="V327" i="86"/>
  <c r="S327" i="86"/>
  <c r="P327" i="86"/>
  <c r="G327" i="86"/>
  <c r="F327" i="86"/>
  <c r="BC326" i="86"/>
  <c r="AZ326" i="86"/>
  <c r="AW326" i="86"/>
  <c r="AT326" i="86"/>
  <c r="AQ326" i="86"/>
  <c r="AN326" i="86"/>
  <c r="AK326" i="86"/>
  <c r="AH326" i="86"/>
  <c r="AE326" i="86"/>
  <c r="AB326" i="86"/>
  <c r="Y326" i="86"/>
  <c r="V326" i="86"/>
  <c r="S326" i="86"/>
  <c r="P326" i="86"/>
  <c r="G326" i="86"/>
  <c r="F326" i="86"/>
  <c r="BC325" i="86"/>
  <c r="AZ325" i="86"/>
  <c r="AW325" i="86"/>
  <c r="AT325" i="86"/>
  <c r="AQ325" i="86"/>
  <c r="AN325" i="86"/>
  <c r="AK325" i="86"/>
  <c r="AH325" i="86"/>
  <c r="AE325" i="86"/>
  <c r="AB325" i="86"/>
  <c r="Y325" i="86"/>
  <c r="V325" i="86"/>
  <c r="S325" i="86"/>
  <c r="P325" i="86"/>
  <c r="G325" i="86"/>
  <c r="F325" i="86"/>
  <c r="BC324" i="86"/>
  <c r="AZ324" i="86"/>
  <c r="AW324" i="86"/>
  <c r="AT324" i="86"/>
  <c r="AQ324" i="86"/>
  <c r="AN324" i="86"/>
  <c r="AK324" i="86"/>
  <c r="AH324" i="86"/>
  <c r="AE324" i="86"/>
  <c r="AB324" i="86"/>
  <c r="Y324" i="86"/>
  <c r="V324" i="86"/>
  <c r="S324" i="86"/>
  <c r="P324" i="86"/>
  <c r="G324" i="86"/>
  <c r="F324" i="86"/>
  <c r="BC323" i="86"/>
  <c r="AZ323" i="86"/>
  <c r="AW323" i="86"/>
  <c r="AT323" i="86"/>
  <c r="AQ323" i="86"/>
  <c r="AN323" i="86"/>
  <c r="AK323" i="86"/>
  <c r="AH323" i="86"/>
  <c r="AE323" i="86"/>
  <c r="AB323" i="86"/>
  <c r="Y323" i="86"/>
  <c r="V323" i="86"/>
  <c r="S323" i="86"/>
  <c r="P323" i="86"/>
  <c r="G323" i="86"/>
  <c r="F323" i="86"/>
  <c r="BC322" i="86"/>
  <c r="AZ322" i="86"/>
  <c r="AW322" i="86"/>
  <c r="AT322" i="86"/>
  <c r="AQ322" i="86"/>
  <c r="AN322" i="86"/>
  <c r="AK322" i="86"/>
  <c r="AH322" i="86"/>
  <c r="AE322" i="86"/>
  <c r="AB322" i="86"/>
  <c r="Y322" i="86"/>
  <c r="V322" i="86"/>
  <c r="S322" i="86"/>
  <c r="P322" i="86"/>
  <c r="G322" i="86"/>
  <c r="F322" i="86"/>
  <c r="BC321" i="86"/>
  <c r="AZ321" i="86"/>
  <c r="AW321" i="86"/>
  <c r="AT321" i="86"/>
  <c r="AQ321" i="86"/>
  <c r="AN321" i="86"/>
  <c r="AK321" i="86"/>
  <c r="AH321" i="86"/>
  <c r="AE321" i="86"/>
  <c r="AB321" i="86"/>
  <c r="Y321" i="86"/>
  <c r="V321" i="86"/>
  <c r="S321" i="86"/>
  <c r="P321" i="86"/>
  <c r="G321" i="86"/>
  <c r="F321" i="86"/>
  <c r="BC320" i="86"/>
  <c r="AZ320" i="86"/>
  <c r="AW320" i="86"/>
  <c r="AT320" i="86"/>
  <c r="AQ320" i="86"/>
  <c r="AN320" i="86"/>
  <c r="AK320" i="86"/>
  <c r="AH320" i="86"/>
  <c r="AE320" i="86"/>
  <c r="AB320" i="86"/>
  <c r="Y320" i="86"/>
  <c r="V320" i="86"/>
  <c r="S320" i="86"/>
  <c r="P320" i="86"/>
  <c r="G320" i="86"/>
  <c r="F320" i="86"/>
  <c r="BC319" i="86"/>
  <c r="AZ319" i="86"/>
  <c r="AW319" i="86"/>
  <c r="AT319" i="86"/>
  <c r="AQ319" i="86"/>
  <c r="AN319" i="86"/>
  <c r="AK319" i="86"/>
  <c r="AH319" i="86"/>
  <c r="AE319" i="86"/>
  <c r="AB319" i="86"/>
  <c r="Y319" i="86"/>
  <c r="V319" i="86"/>
  <c r="S319" i="86"/>
  <c r="P319" i="86"/>
  <c r="G319" i="86"/>
  <c r="F319" i="86"/>
  <c r="BC318" i="86"/>
  <c r="AZ318" i="86"/>
  <c r="AW318" i="86"/>
  <c r="AT318" i="86"/>
  <c r="AQ318" i="86"/>
  <c r="AN318" i="86"/>
  <c r="AK318" i="86"/>
  <c r="AH318" i="86"/>
  <c r="AE318" i="86"/>
  <c r="AB318" i="86"/>
  <c r="Y318" i="86"/>
  <c r="V318" i="86"/>
  <c r="S318" i="86"/>
  <c r="P318" i="86"/>
  <c r="G318" i="86"/>
  <c r="F318" i="86"/>
  <c r="BC317" i="86"/>
  <c r="AZ317" i="86"/>
  <c r="AW317" i="86"/>
  <c r="AT317" i="86"/>
  <c r="AQ317" i="86"/>
  <c r="AN317" i="86"/>
  <c r="AK317" i="86"/>
  <c r="AH317" i="86"/>
  <c r="AE317" i="86"/>
  <c r="AB317" i="86"/>
  <c r="Y317" i="86"/>
  <c r="V317" i="86"/>
  <c r="S317" i="86"/>
  <c r="P317" i="86"/>
  <c r="G317" i="86"/>
  <c r="F317" i="86"/>
  <c r="BC316" i="86"/>
  <c r="AZ316" i="86"/>
  <c r="AW316" i="86"/>
  <c r="AT316" i="86"/>
  <c r="AQ316" i="86"/>
  <c r="AN316" i="86"/>
  <c r="AK316" i="86"/>
  <c r="AH316" i="86"/>
  <c r="AE316" i="86"/>
  <c r="AB316" i="86"/>
  <c r="Y316" i="86"/>
  <c r="V316" i="86"/>
  <c r="S316" i="86"/>
  <c r="P316" i="86"/>
  <c r="G316" i="86"/>
  <c r="F316" i="86"/>
  <c r="BC315" i="86"/>
  <c r="AZ315" i="86"/>
  <c r="AW315" i="86"/>
  <c r="AT315" i="86"/>
  <c r="AQ315" i="86"/>
  <c r="AN315" i="86"/>
  <c r="AK315" i="86"/>
  <c r="AH315" i="86"/>
  <c r="AE315" i="86"/>
  <c r="AB315" i="86"/>
  <c r="Y315" i="86"/>
  <c r="V315" i="86"/>
  <c r="S315" i="86"/>
  <c r="P315" i="86"/>
  <c r="G315" i="86"/>
  <c r="F315" i="86"/>
  <c r="BC314" i="86"/>
  <c r="AZ314" i="86"/>
  <c r="AW314" i="86"/>
  <c r="AT314" i="86"/>
  <c r="AQ314" i="86"/>
  <c r="AN314" i="86"/>
  <c r="AK314" i="86"/>
  <c r="AH314" i="86"/>
  <c r="AE314" i="86"/>
  <c r="AB314" i="86"/>
  <c r="Y314" i="86"/>
  <c r="V314" i="86"/>
  <c r="S314" i="86"/>
  <c r="P314" i="86"/>
  <c r="G314" i="86"/>
  <c r="F314" i="86"/>
  <c r="BC313" i="86"/>
  <c r="AZ313" i="86"/>
  <c r="AW313" i="86"/>
  <c r="AT313" i="86"/>
  <c r="AQ313" i="86"/>
  <c r="AN313" i="86"/>
  <c r="AK313" i="86"/>
  <c r="AH313" i="86"/>
  <c r="AE313" i="86"/>
  <c r="AB313" i="86"/>
  <c r="Y313" i="86"/>
  <c r="V313" i="86"/>
  <c r="S313" i="86"/>
  <c r="P313" i="86"/>
  <c r="G313" i="86"/>
  <c r="F313" i="86"/>
  <c r="BC312" i="86"/>
  <c r="AZ312" i="86"/>
  <c r="AW312" i="86"/>
  <c r="AT312" i="86"/>
  <c r="AQ312" i="86"/>
  <c r="AN312" i="86"/>
  <c r="AK312" i="86"/>
  <c r="AH312" i="86"/>
  <c r="AE312" i="86"/>
  <c r="AB312" i="86"/>
  <c r="Y312" i="86"/>
  <c r="V312" i="86"/>
  <c r="S312" i="86"/>
  <c r="P312" i="86"/>
  <c r="G312" i="86"/>
  <c r="F312" i="86"/>
  <c r="BC311" i="86"/>
  <c r="AZ311" i="86"/>
  <c r="AW311" i="86"/>
  <c r="AT311" i="86"/>
  <c r="AQ311" i="86"/>
  <c r="AN311" i="86"/>
  <c r="AK311" i="86"/>
  <c r="AH311" i="86"/>
  <c r="AE311" i="86"/>
  <c r="AB311" i="86"/>
  <c r="Y311" i="86"/>
  <c r="V311" i="86"/>
  <c r="S311" i="86"/>
  <c r="P311" i="86"/>
  <c r="G311" i="86"/>
  <c r="F311" i="86"/>
  <c r="BC310" i="86"/>
  <c r="AZ310" i="86"/>
  <c r="AW310" i="86"/>
  <c r="AT310" i="86"/>
  <c r="AQ310" i="86"/>
  <c r="AN310" i="86"/>
  <c r="AK310" i="86"/>
  <c r="AH310" i="86"/>
  <c r="AE310" i="86"/>
  <c r="AB310" i="86"/>
  <c r="Y310" i="86"/>
  <c r="V310" i="86"/>
  <c r="S310" i="86"/>
  <c r="P310" i="86"/>
  <c r="G310" i="86"/>
  <c r="F310" i="86"/>
  <c r="BC309" i="86"/>
  <c r="AZ309" i="86"/>
  <c r="AW309" i="86"/>
  <c r="AT309" i="86"/>
  <c r="AQ309" i="86"/>
  <c r="AN309" i="86"/>
  <c r="AK309" i="86"/>
  <c r="AH309" i="86"/>
  <c r="AE309" i="86"/>
  <c r="AB309" i="86"/>
  <c r="Y309" i="86"/>
  <c r="V309" i="86"/>
  <c r="S309" i="86"/>
  <c r="P309" i="86"/>
  <c r="G309" i="86"/>
  <c r="F309" i="86"/>
  <c r="BC308" i="86"/>
  <c r="AZ308" i="86"/>
  <c r="AW308" i="86"/>
  <c r="AT308" i="86"/>
  <c r="AQ308" i="86"/>
  <c r="AN308" i="86"/>
  <c r="AK308" i="86"/>
  <c r="AH308" i="86"/>
  <c r="AE308" i="86"/>
  <c r="AB308" i="86"/>
  <c r="Y308" i="86"/>
  <c r="V308" i="86"/>
  <c r="S308" i="86"/>
  <c r="P308" i="86"/>
  <c r="G308" i="86"/>
  <c r="F308" i="86"/>
  <c r="BC307" i="86"/>
  <c r="AZ307" i="86"/>
  <c r="AW307" i="86"/>
  <c r="AT307" i="86"/>
  <c r="AQ307" i="86"/>
  <c r="AN307" i="86"/>
  <c r="AK307" i="86"/>
  <c r="AH307" i="86"/>
  <c r="AE307" i="86"/>
  <c r="AB307" i="86"/>
  <c r="Y307" i="86"/>
  <c r="V307" i="86"/>
  <c r="S307" i="86"/>
  <c r="P307" i="86"/>
  <c r="G307" i="86"/>
  <c r="F307" i="86"/>
  <c r="BC306" i="86"/>
  <c r="AZ306" i="86"/>
  <c r="AW306" i="86"/>
  <c r="AT306" i="86"/>
  <c r="AQ306" i="86"/>
  <c r="AN306" i="86"/>
  <c r="AK306" i="86"/>
  <c r="AH306" i="86"/>
  <c r="AE306" i="86"/>
  <c r="AB306" i="86"/>
  <c r="Y306" i="86"/>
  <c r="V306" i="86"/>
  <c r="S306" i="86"/>
  <c r="P306" i="86"/>
  <c r="G306" i="86"/>
  <c r="F306" i="86"/>
  <c r="BC305" i="86"/>
  <c r="AZ305" i="86"/>
  <c r="AW305" i="86"/>
  <c r="AT305" i="86"/>
  <c r="AQ305" i="86"/>
  <c r="AN305" i="86"/>
  <c r="AK305" i="86"/>
  <c r="AH305" i="86"/>
  <c r="AE305" i="86"/>
  <c r="AB305" i="86"/>
  <c r="Y305" i="86"/>
  <c r="V305" i="86"/>
  <c r="S305" i="86"/>
  <c r="P305" i="86"/>
  <c r="G305" i="86"/>
  <c r="F305" i="86"/>
  <c r="BC304" i="86"/>
  <c r="AZ304" i="86"/>
  <c r="AW304" i="86"/>
  <c r="AT304" i="86"/>
  <c r="AQ304" i="86"/>
  <c r="AN304" i="86"/>
  <c r="AK304" i="86"/>
  <c r="AH304" i="86"/>
  <c r="AE304" i="86"/>
  <c r="AB304" i="86"/>
  <c r="Y304" i="86"/>
  <c r="V304" i="86"/>
  <c r="S304" i="86"/>
  <c r="P304" i="86"/>
  <c r="G304" i="86"/>
  <c r="F304" i="86"/>
  <c r="BC303" i="86"/>
  <c r="AZ303" i="86"/>
  <c r="AW303" i="86"/>
  <c r="AT303" i="86"/>
  <c r="AQ303" i="86"/>
  <c r="AN303" i="86"/>
  <c r="AK303" i="86"/>
  <c r="AH303" i="86"/>
  <c r="AE303" i="86"/>
  <c r="AB303" i="86"/>
  <c r="Y303" i="86"/>
  <c r="V303" i="86"/>
  <c r="S303" i="86"/>
  <c r="P303" i="86"/>
  <c r="G303" i="86"/>
  <c r="F303" i="86"/>
  <c r="BC302" i="86"/>
  <c r="AZ302" i="86"/>
  <c r="AW302" i="86"/>
  <c r="AT302" i="86"/>
  <c r="AQ302" i="86"/>
  <c r="AN302" i="86"/>
  <c r="AK302" i="86"/>
  <c r="AH302" i="86"/>
  <c r="AE302" i="86"/>
  <c r="AB302" i="86"/>
  <c r="Y302" i="86"/>
  <c r="V302" i="86"/>
  <c r="S302" i="86"/>
  <c r="P302" i="86"/>
  <c r="G302" i="86"/>
  <c r="F302" i="86"/>
  <c r="BC301" i="86"/>
  <c r="AZ301" i="86"/>
  <c r="AW301" i="86"/>
  <c r="AT301" i="86"/>
  <c r="AQ301" i="86"/>
  <c r="AN301" i="86"/>
  <c r="AK301" i="86"/>
  <c r="AH301" i="86"/>
  <c r="AE301" i="86"/>
  <c r="AB301" i="86"/>
  <c r="Y301" i="86"/>
  <c r="V301" i="86"/>
  <c r="S301" i="86"/>
  <c r="P301" i="86"/>
  <c r="G301" i="86"/>
  <c r="F301" i="86"/>
  <c r="BC300" i="86"/>
  <c r="AZ300" i="86"/>
  <c r="AW300" i="86"/>
  <c r="AT300" i="86"/>
  <c r="AQ300" i="86"/>
  <c r="AN300" i="86"/>
  <c r="AK300" i="86"/>
  <c r="AH300" i="86"/>
  <c r="AE300" i="86"/>
  <c r="AB300" i="86"/>
  <c r="Y300" i="86"/>
  <c r="V300" i="86"/>
  <c r="S300" i="86"/>
  <c r="P300" i="86"/>
  <c r="G300" i="86"/>
  <c r="F300" i="86"/>
  <c r="BC299" i="86"/>
  <c r="AZ299" i="86"/>
  <c r="AW299" i="86"/>
  <c r="AT299" i="86"/>
  <c r="AQ299" i="86"/>
  <c r="AN299" i="86"/>
  <c r="AK299" i="86"/>
  <c r="AH299" i="86"/>
  <c r="AE299" i="86"/>
  <c r="AB299" i="86"/>
  <c r="Y299" i="86"/>
  <c r="V299" i="86"/>
  <c r="S299" i="86"/>
  <c r="P299" i="86"/>
  <c r="G299" i="86"/>
  <c r="F299" i="86"/>
  <c r="BC298" i="86"/>
  <c r="AZ298" i="86"/>
  <c r="AW298" i="86"/>
  <c r="AT298" i="86"/>
  <c r="AQ298" i="86"/>
  <c r="AN298" i="86"/>
  <c r="AK298" i="86"/>
  <c r="AH298" i="86"/>
  <c r="AE298" i="86"/>
  <c r="AB298" i="86"/>
  <c r="Y298" i="86"/>
  <c r="V298" i="86"/>
  <c r="S298" i="86"/>
  <c r="P298" i="86"/>
  <c r="G298" i="86"/>
  <c r="F298" i="86"/>
  <c r="BC297" i="86"/>
  <c r="AZ297" i="86"/>
  <c r="AW297" i="86"/>
  <c r="AT297" i="86"/>
  <c r="AQ297" i="86"/>
  <c r="AN297" i="86"/>
  <c r="AK297" i="86"/>
  <c r="AH297" i="86"/>
  <c r="AE297" i="86"/>
  <c r="AB297" i="86"/>
  <c r="Y297" i="86"/>
  <c r="V297" i="86"/>
  <c r="S297" i="86"/>
  <c r="P297" i="86"/>
  <c r="G297" i="86"/>
  <c r="F297" i="86"/>
  <c r="BC296" i="86"/>
  <c r="AZ296" i="86"/>
  <c r="AW296" i="86"/>
  <c r="AT296" i="86"/>
  <c r="AQ296" i="86"/>
  <c r="AN296" i="86"/>
  <c r="AK296" i="86"/>
  <c r="AH296" i="86"/>
  <c r="AE296" i="86"/>
  <c r="AB296" i="86"/>
  <c r="Y296" i="86"/>
  <c r="V296" i="86"/>
  <c r="S296" i="86"/>
  <c r="P296" i="86"/>
  <c r="G296" i="86"/>
  <c r="F296" i="86"/>
  <c r="BC295" i="86"/>
  <c r="AZ295" i="86"/>
  <c r="AW295" i="86"/>
  <c r="AT295" i="86"/>
  <c r="AQ295" i="86"/>
  <c r="AN295" i="86"/>
  <c r="AK295" i="86"/>
  <c r="AH295" i="86"/>
  <c r="AE295" i="86"/>
  <c r="AB295" i="86"/>
  <c r="Y295" i="86"/>
  <c r="V295" i="86"/>
  <c r="S295" i="86"/>
  <c r="P295" i="86"/>
  <c r="G295" i="86"/>
  <c r="F295" i="86"/>
  <c r="BC294" i="86"/>
  <c r="AZ294" i="86"/>
  <c r="AW294" i="86"/>
  <c r="AT294" i="86"/>
  <c r="AQ294" i="86"/>
  <c r="AN294" i="86"/>
  <c r="AK294" i="86"/>
  <c r="AH294" i="86"/>
  <c r="AE294" i="86"/>
  <c r="AB294" i="86"/>
  <c r="Y294" i="86"/>
  <c r="V294" i="86"/>
  <c r="S294" i="86"/>
  <c r="P294" i="86"/>
  <c r="G294" i="86"/>
  <c r="F294" i="86"/>
  <c r="BC293" i="86"/>
  <c r="AZ293" i="86"/>
  <c r="AW293" i="86"/>
  <c r="AT293" i="86"/>
  <c r="AQ293" i="86"/>
  <c r="AN293" i="86"/>
  <c r="AK293" i="86"/>
  <c r="AH293" i="86"/>
  <c r="AE293" i="86"/>
  <c r="AB293" i="86"/>
  <c r="Y293" i="86"/>
  <c r="V293" i="86"/>
  <c r="S293" i="86"/>
  <c r="P293" i="86"/>
  <c r="G293" i="86"/>
  <c r="F293" i="86"/>
  <c r="BC292" i="86"/>
  <c r="AZ292" i="86"/>
  <c r="AW292" i="86"/>
  <c r="AT292" i="86"/>
  <c r="AQ292" i="86"/>
  <c r="AN292" i="86"/>
  <c r="AK292" i="86"/>
  <c r="AH292" i="86"/>
  <c r="AE292" i="86"/>
  <c r="AB292" i="86"/>
  <c r="Y292" i="86"/>
  <c r="V292" i="86"/>
  <c r="S292" i="86"/>
  <c r="P292" i="86"/>
  <c r="G292" i="86"/>
  <c r="F292" i="86"/>
  <c r="BC291" i="86"/>
  <c r="AZ291" i="86"/>
  <c r="AW291" i="86"/>
  <c r="AT291" i="86"/>
  <c r="AQ291" i="86"/>
  <c r="AN291" i="86"/>
  <c r="AK291" i="86"/>
  <c r="AH291" i="86"/>
  <c r="AE291" i="86"/>
  <c r="AB291" i="86"/>
  <c r="Y291" i="86"/>
  <c r="V291" i="86"/>
  <c r="S291" i="86"/>
  <c r="P291" i="86"/>
  <c r="G291" i="86"/>
  <c r="F291" i="86"/>
  <c r="BC290" i="86"/>
  <c r="AZ290" i="86"/>
  <c r="AW290" i="86"/>
  <c r="AT290" i="86"/>
  <c r="AQ290" i="86"/>
  <c r="AN290" i="86"/>
  <c r="AK290" i="86"/>
  <c r="AH290" i="86"/>
  <c r="AE290" i="86"/>
  <c r="AB290" i="86"/>
  <c r="Y290" i="86"/>
  <c r="V290" i="86"/>
  <c r="S290" i="86"/>
  <c r="P290" i="86"/>
  <c r="G290" i="86"/>
  <c r="F290" i="86"/>
  <c r="BC289" i="86"/>
  <c r="AZ289" i="86"/>
  <c r="AW289" i="86"/>
  <c r="AT289" i="86"/>
  <c r="AQ289" i="86"/>
  <c r="AN289" i="86"/>
  <c r="AK289" i="86"/>
  <c r="AH289" i="86"/>
  <c r="AE289" i="86"/>
  <c r="AB289" i="86"/>
  <c r="Y289" i="86"/>
  <c r="V289" i="86"/>
  <c r="S289" i="86"/>
  <c r="P289" i="86"/>
  <c r="G289" i="86"/>
  <c r="F289" i="86"/>
  <c r="BC288" i="86"/>
  <c r="AZ288" i="86"/>
  <c r="AW288" i="86"/>
  <c r="AT288" i="86"/>
  <c r="AQ288" i="86"/>
  <c r="AN288" i="86"/>
  <c r="AK288" i="86"/>
  <c r="AH288" i="86"/>
  <c r="AE288" i="86"/>
  <c r="AB288" i="86"/>
  <c r="Y288" i="86"/>
  <c r="V288" i="86"/>
  <c r="S288" i="86"/>
  <c r="P288" i="86"/>
  <c r="G288" i="86"/>
  <c r="F288" i="86"/>
  <c r="BC287" i="86"/>
  <c r="AZ287" i="86"/>
  <c r="AW287" i="86"/>
  <c r="AT287" i="86"/>
  <c r="AQ287" i="86"/>
  <c r="AN287" i="86"/>
  <c r="AK287" i="86"/>
  <c r="AH287" i="86"/>
  <c r="AE287" i="86"/>
  <c r="AB287" i="86"/>
  <c r="Y287" i="86"/>
  <c r="V287" i="86"/>
  <c r="S287" i="86"/>
  <c r="P287" i="86"/>
  <c r="G287" i="86"/>
  <c r="F287" i="86"/>
  <c r="BC286" i="86"/>
  <c r="AZ286" i="86"/>
  <c r="AW286" i="86"/>
  <c r="AT286" i="86"/>
  <c r="AQ286" i="86"/>
  <c r="AN286" i="86"/>
  <c r="AK286" i="86"/>
  <c r="AH286" i="86"/>
  <c r="AE286" i="86"/>
  <c r="AB286" i="86"/>
  <c r="Y286" i="86"/>
  <c r="V286" i="86"/>
  <c r="S286" i="86"/>
  <c r="P286" i="86"/>
  <c r="G286" i="86"/>
  <c r="F286" i="86"/>
  <c r="BC285" i="86"/>
  <c r="AZ285" i="86"/>
  <c r="AW285" i="86"/>
  <c r="AT285" i="86"/>
  <c r="AQ285" i="86"/>
  <c r="AN285" i="86"/>
  <c r="AK285" i="86"/>
  <c r="AH285" i="86"/>
  <c r="AE285" i="86"/>
  <c r="AB285" i="86"/>
  <c r="Y285" i="86"/>
  <c r="V285" i="86"/>
  <c r="S285" i="86"/>
  <c r="P285" i="86"/>
  <c r="G285" i="86"/>
  <c r="F285" i="86"/>
  <c r="BC284" i="86"/>
  <c r="AZ284" i="86"/>
  <c r="AW284" i="86"/>
  <c r="AT284" i="86"/>
  <c r="AQ284" i="86"/>
  <c r="AN284" i="86"/>
  <c r="AK284" i="86"/>
  <c r="AH284" i="86"/>
  <c r="AE284" i="86"/>
  <c r="AB284" i="86"/>
  <c r="Y284" i="86"/>
  <c r="V284" i="86"/>
  <c r="S284" i="86"/>
  <c r="P284" i="86"/>
  <c r="G284" i="86"/>
  <c r="F284" i="86"/>
  <c r="BC283" i="86"/>
  <c r="AZ283" i="86"/>
  <c r="AW283" i="86"/>
  <c r="AT283" i="86"/>
  <c r="AQ283" i="86"/>
  <c r="AN283" i="86"/>
  <c r="AK283" i="86"/>
  <c r="AH283" i="86"/>
  <c r="AE283" i="86"/>
  <c r="AB283" i="86"/>
  <c r="Y283" i="86"/>
  <c r="V283" i="86"/>
  <c r="S283" i="86"/>
  <c r="P283" i="86"/>
  <c r="G283" i="86"/>
  <c r="F283" i="86"/>
  <c r="BC282" i="86"/>
  <c r="AZ282" i="86"/>
  <c r="AW282" i="86"/>
  <c r="AT282" i="86"/>
  <c r="AQ282" i="86"/>
  <c r="AN282" i="86"/>
  <c r="AK282" i="86"/>
  <c r="AH282" i="86"/>
  <c r="AE282" i="86"/>
  <c r="AB282" i="86"/>
  <c r="Y282" i="86"/>
  <c r="V282" i="86"/>
  <c r="S282" i="86"/>
  <c r="P282" i="86"/>
  <c r="G282" i="86"/>
  <c r="F282" i="86"/>
  <c r="BC281" i="86"/>
  <c r="AZ281" i="86"/>
  <c r="AW281" i="86"/>
  <c r="AT281" i="86"/>
  <c r="AQ281" i="86"/>
  <c r="AN281" i="86"/>
  <c r="AK281" i="86"/>
  <c r="AH281" i="86"/>
  <c r="AE281" i="86"/>
  <c r="AB281" i="86"/>
  <c r="Y281" i="86"/>
  <c r="V281" i="86"/>
  <c r="S281" i="86"/>
  <c r="P281" i="86"/>
  <c r="G281" i="86"/>
  <c r="F281" i="86"/>
  <c r="BC280" i="86"/>
  <c r="AZ280" i="86"/>
  <c r="AW280" i="86"/>
  <c r="AT280" i="86"/>
  <c r="AQ280" i="86"/>
  <c r="AN280" i="86"/>
  <c r="AK280" i="86"/>
  <c r="AH280" i="86"/>
  <c r="AE280" i="86"/>
  <c r="AB280" i="86"/>
  <c r="Y280" i="86"/>
  <c r="V280" i="86"/>
  <c r="S280" i="86"/>
  <c r="P280" i="86"/>
  <c r="G280" i="86"/>
  <c r="F280" i="86"/>
  <c r="BC279" i="86"/>
  <c r="AZ279" i="86"/>
  <c r="AW279" i="86"/>
  <c r="AT279" i="86"/>
  <c r="AQ279" i="86"/>
  <c r="AN279" i="86"/>
  <c r="AK279" i="86"/>
  <c r="AH279" i="86"/>
  <c r="AE279" i="86"/>
  <c r="AB279" i="86"/>
  <c r="Y279" i="86"/>
  <c r="V279" i="86"/>
  <c r="S279" i="86"/>
  <c r="P279" i="86"/>
  <c r="G279" i="86"/>
  <c r="F279" i="86"/>
  <c r="BC278" i="86"/>
  <c r="AZ278" i="86"/>
  <c r="AW278" i="86"/>
  <c r="AT278" i="86"/>
  <c r="AQ278" i="86"/>
  <c r="AN278" i="86"/>
  <c r="AK278" i="86"/>
  <c r="AH278" i="86"/>
  <c r="AE278" i="86"/>
  <c r="AB278" i="86"/>
  <c r="Y278" i="86"/>
  <c r="V278" i="86"/>
  <c r="S278" i="86"/>
  <c r="P278" i="86"/>
  <c r="G278" i="86"/>
  <c r="F278" i="86"/>
  <c r="BC277" i="86"/>
  <c r="AZ277" i="86"/>
  <c r="AW277" i="86"/>
  <c r="AT277" i="86"/>
  <c r="AQ277" i="86"/>
  <c r="AN277" i="86"/>
  <c r="AK277" i="86"/>
  <c r="AH277" i="86"/>
  <c r="AE277" i="86"/>
  <c r="AB277" i="86"/>
  <c r="Y277" i="86"/>
  <c r="V277" i="86"/>
  <c r="S277" i="86"/>
  <c r="P277" i="86"/>
  <c r="G277" i="86"/>
  <c r="F277" i="86"/>
  <c r="BC276" i="86"/>
  <c r="AZ276" i="86"/>
  <c r="AW276" i="86"/>
  <c r="AT276" i="86"/>
  <c r="AQ276" i="86"/>
  <c r="AN276" i="86"/>
  <c r="AK276" i="86"/>
  <c r="AH276" i="86"/>
  <c r="AE276" i="86"/>
  <c r="AB276" i="86"/>
  <c r="Y276" i="86"/>
  <c r="V276" i="86"/>
  <c r="S276" i="86"/>
  <c r="P276" i="86"/>
  <c r="G276" i="86"/>
  <c r="F276" i="86"/>
  <c r="BC275" i="86"/>
  <c r="AZ275" i="86"/>
  <c r="AW275" i="86"/>
  <c r="AT275" i="86"/>
  <c r="AQ275" i="86"/>
  <c r="AN275" i="86"/>
  <c r="AK275" i="86"/>
  <c r="AH275" i="86"/>
  <c r="AE275" i="86"/>
  <c r="AB275" i="86"/>
  <c r="Y275" i="86"/>
  <c r="V275" i="86"/>
  <c r="S275" i="86"/>
  <c r="P275" i="86"/>
  <c r="G275" i="86"/>
  <c r="F275" i="86"/>
  <c r="BC274" i="86"/>
  <c r="AZ274" i="86"/>
  <c r="AW274" i="86"/>
  <c r="AT274" i="86"/>
  <c r="AQ274" i="86"/>
  <c r="AN274" i="86"/>
  <c r="AK274" i="86"/>
  <c r="AH274" i="86"/>
  <c r="AE274" i="86"/>
  <c r="AB274" i="86"/>
  <c r="Y274" i="86"/>
  <c r="V274" i="86"/>
  <c r="S274" i="86"/>
  <c r="P274" i="86"/>
  <c r="G274" i="86"/>
  <c r="F274" i="86"/>
  <c r="BC273" i="86"/>
  <c r="AZ273" i="86"/>
  <c r="AW273" i="86"/>
  <c r="AT273" i="86"/>
  <c r="AQ273" i="86"/>
  <c r="AN273" i="86"/>
  <c r="AK273" i="86"/>
  <c r="AH273" i="86"/>
  <c r="AE273" i="86"/>
  <c r="AB273" i="86"/>
  <c r="Y273" i="86"/>
  <c r="V273" i="86"/>
  <c r="S273" i="86"/>
  <c r="P273" i="86"/>
  <c r="G273" i="86"/>
  <c r="F273" i="86"/>
  <c r="BC272" i="86"/>
  <c r="AZ272" i="86"/>
  <c r="AW272" i="86"/>
  <c r="AT272" i="86"/>
  <c r="AQ272" i="86"/>
  <c r="AN272" i="86"/>
  <c r="AK272" i="86"/>
  <c r="AH272" i="86"/>
  <c r="AE272" i="86"/>
  <c r="AB272" i="86"/>
  <c r="Y272" i="86"/>
  <c r="V272" i="86"/>
  <c r="S272" i="86"/>
  <c r="P272" i="86"/>
  <c r="G272" i="86"/>
  <c r="F272" i="86"/>
  <c r="BC271" i="86"/>
  <c r="AZ271" i="86"/>
  <c r="AW271" i="86"/>
  <c r="AT271" i="86"/>
  <c r="AQ271" i="86"/>
  <c r="AN271" i="86"/>
  <c r="AK271" i="86"/>
  <c r="AH271" i="86"/>
  <c r="AE271" i="86"/>
  <c r="AB271" i="86"/>
  <c r="Y271" i="86"/>
  <c r="V271" i="86"/>
  <c r="S271" i="86"/>
  <c r="P271" i="86"/>
  <c r="G271" i="86"/>
  <c r="F271" i="86"/>
  <c r="BC270" i="86"/>
  <c r="AZ270" i="86"/>
  <c r="AW270" i="86"/>
  <c r="AT270" i="86"/>
  <c r="AQ270" i="86"/>
  <c r="AN270" i="86"/>
  <c r="AK270" i="86"/>
  <c r="AH270" i="86"/>
  <c r="AE270" i="86"/>
  <c r="AB270" i="86"/>
  <c r="Y270" i="86"/>
  <c r="V270" i="86"/>
  <c r="S270" i="86"/>
  <c r="P270" i="86"/>
  <c r="G270" i="86"/>
  <c r="F270" i="86"/>
  <c r="BC269" i="86"/>
  <c r="AZ269" i="86"/>
  <c r="AW269" i="86"/>
  <c r="AT269" i="86"/>
  <c r="AQ269" i="86"/>
  <c r="AN269" i="86"/>
  <c r="AK269" i="86"/>
  <c r="AH269" i="86"/>
  <c r="AE269" i="86"/>
  <c r="AB269" i="86"/>
  <c r="Y269" i="86"/>
  <c r="V269" i="86"/>
  <c r="S269" i="86"/>
  <c r="P269" i="86"/>
  <c r="G269" i="86"/>
  <c r="F269" i="86"/>
  <c r="BC268" i="86"/>
  <c r="AZ268" i="86"/>
  <c r="AW268" i="86"/>
  <c r="AT268" i="86"/>
  <c r="AQ268" i="86"/>
  <c r="AN268" i="86"/>
  <c r="AK268" i="86"/>
  <c r="AH268" i="86"/>
  <c r="AE268" i="86"/>
  <c r="AB268" i="86"/>
  <c r="Y268" i="86"/>
  <c r="V268" i="86"/>
  <c r="S268" i="86"/>
  <c r="P268" i="86"/>
  <c r="G268" i="86"/>
  <c r="F268" i="86"/>
  <c r="BC267" i="86"/>
  <c r="AZ267" i="86"/>
  <c r="AW267" i="86"/>
  <c r="AT267" i="86"/>
  <c r="AQ267" i="86"/>
  <c r="AN267" i="86"/>
  <c r="AK267" i="86"/>
  <c r="AH267" i="86"/>
  <c r="AE267" i="86"/>
  <c r="AB267" i="86"/>
  <c r="Y267" i="86"/>
  <c r="V267" i="86"/>
  <c r="S267" i="86"/>
  <c r="P267" i="86"/>
  <c r="G267" i="86"/>
  <c r="F267" i="86"/>
  <c r="BC266" i="86"/>
  <c r="AZ266" i="86"/>
  <c r="AW266" i="86"/>
  <c r="AT266" i="86"/>
  <c r="AQ266" i="86"/>
  <c r="AN266" i="86"/>
  <c r="AK266" i="86"/>
  <c r="AH266" i="86"/>
  <c r="AE266" i="86"/>
  <c r="AB266" i="86"/>
  <c r="Y266" i="86"/>
  <c r="V266" i="86"/>
  <c r="S266" i="86"/>
  <c r="P266" i="86"/>
  <c r="G266" i="86"/>
  <c r="F266" i="86"/>
  <c r="BC265" i="86"/>
  <c r="AZ265" i="86"/>
  <c r="AW265" i="86"/>
  <c r="AT265" i="86"/>
  <c r="AQ265" i="86"/>
  <c r="AN265" i="86"/>
  <c r="AK265" i="86"/>
  <c r="AH265" i="86"/>
  <c r="AE265" i="86"/>
  <c r="AB265" i="86"/>
  <c r="Y265" i="86"/>
  <c r="V265" i="86"/>
  <c r="S265" i="86"/>
  <c r="P265" i="86"/>
  <c r="G265" i="86"/>
  <c r="F265" i="86"/>
  <c r="BC264" i="86"/>
  <c r="AZ264" i="86"/>
  <c r="AW264" i="86"/>
  <c r="AT264" i="86"/>
  <c r="AQ264" i="86"/>
  <c r="AN264" i="86"/>
  <c r="AK264" i="86"/>
  <c r="AH264" i="86"/>
  <c r="AE264" i="86"/>
  <c r="AB264" i="86"/>
  <c r="Y264" i="86"/>
  <c r="V264" i="86"/>
  <c r="S264" i="86"/>
  <c r="P264" i="86"/>
  <c r="G264" i="86"/>
  <c r="F264" i="86"/>
  <c r="BC263" i="86"/>
  <c r="AZ263" i="86"/>
  <c r="AW263" i="86"/>
  <c r="AT263" i="86"/>
  <c r="AQ263" i="86"/>
  <c r="AN263" i="86"/>
  <c r="AK263" i="86"/>
  <c r="AH263" i="86"/>
  <c r="AE263" i="86"/>
  <c r="AB263" i="86"/>
  <c r="Y263" i="86"/>
  <c r="V263" i="86"/>
  <c r="S263" i="86"/>
  <c r="P263" i="86"/>
  <c r="G263" i="86"/>
  <c r="F263" i="86"/>
  <c r="BC262" i="86"/>
  <c r="AZ262" i="86"/>
  <c r="AW262" i="86"/>
  <c r="AT262" i="86"/>
  <c r="AQ262" i="86"/>
  <c r="AN262" i="86"/>
  <c r="AK262" i="86"/>
  <c r="AH262" i="86"/>
  <c r="AE262" i="86"/>
  <c r="AB262" i="86"/>
  <c r="Y262" i="86"/>
  <c r="V262" i="86"/>
  <c r="S262" i="86"/>
  <c r="P262" i="86"/>
  <c r="G262" i="86"/>
  <c r="F262" i="86"/>
  <c r="BC261" i="86"/>
  <c r="AZ261" i="86"/>
  <c r="AW261" i="86"/>
  <c r="AT261" i="86"/>
  <c r="AQ261" i="86"/>
  <c r="AN261" i="86"/>
  <c r="AK261" i="86"/>
  <c r="AH261" i="86"/>
  <c r="AE261" i="86"/>
  <c r="AB261" i="86"/>
  <c r="Y261" i="86"/>
  <c r="V261" i="86"/>
  <c r="S261" i="86"/>
  <c r="P261" i="86"/>
  <c r="G261" i="86"/>
  <c r="F261" i="86"/>
  <c r="BC260" i="86"/>
  <c r="AZ260" i="86"/>
  <c r="AW260" i="86"/>
  <c r="AT260" i="86"/>
  <c r="AQ260" i="86"/>
  <c r="AN260" i="86"/>
  <c r="AK260" i="86"/>
  <c r="AH260" i="86"/>
  <c r="AE260" i="86"/>
  <c r="AB260" i="86"/>
  <c r="Y260" i="86"/>
  <c r="V260" i="86"/>
  <c r="S260" i="86"/>
  <c r="P260" i="86"/>
  <c r="G260" i="86"/>
  <c r="F260" i="86"/>
  <c r="BC259" i="86"/>
  <c r="AZ259" i="86"/>
  <c r="AW259" i="86"/>
  <c r="AT259" i="86"/>
  <c r="AQ259" i="86"/>
  <c r="AN259" i="86"/>
  <c r="AK259" i="86"/>
  <c r="AH259" i="86"/>
  <c r="AE259" i="86"/>
  <c r="AB259" i="86"/>
  <c r="Y259" i="86"/>
  <c r="V259" i="86"/>
  <c r="S259" i="86"/>
  <c r="P259" i="86"/>
  <c r="G259" i="86"/>
  <c r="F259" i="86"/>
  <c r="BC258" i="86"/>
  <c r="AZ258" i="86"/>
  <c r="AW258" i="86"/>
  <c r="AT258" i="86"/>
  <c r="AQ258" i="86"/>
  <c r="AN258" i="86"/>
  <c r="AK258" i="86"/>
  <c r="AH258" i="86"/>
  <c r="AE258" i="86"/>
  <c r="AB258" i="86"/>
  <c r="Y258" i="86"/>
  <c r="V258" i="86"/>
  <c r="S258" i="86"/>
  <c r="P258" i="86"/>
  <c r="G258" i="86"/>
  <c r="F258" i="86"/>
  <c r="BC257" i="86"/>
  <c r="AZ257" i="86"/>
  <c r="AW257" i="86"/>
  <c r="AT257" i="86"/>
  <c r="AQ257" i="86"/>
  <c r="AN257" i="86"/>
  <c r="AK257" i="86"/>
  <c r="AH257" i="86"/>
  <c r="AE257" i="86"/>
  <c r="AB257" i="86"/>
  <c r="Y257" i="86"/>
  <c r="V257" i="86"/>
  <c r="S257" i="86"/>
  <c r="P257" i="86"/>
  <c r="G257" i="86"/>
  <c r="F257" i="86"/>
  <c r="BC256" i="86"/>
  <c r="AZ256" i="86"/>
  <c r="AW256" i="86"/>
  <c r="AT256" i="86"/>
  <c r="AQ256" i="86"/>
  <c r="AN256" i="86"/>
  <c r="AK256" i="86"/>
  <c r="AH256" i="86"/>
  <c r="AE256" i="86"/>
  <c r="AB256" i="86"/>
  <c r="Y256" i="86"/>
  <c r="V256" i="86"/>
  <c r="S256" i="86"/>
  <c r="P256" i="86"/>
  <c r="G256" i="86"/>
  <c r="F256" i="86"/>
  <c r="BC255" i="86"/>
  <c r="AZ255" i="86"/>
  <c r="AW255" i="86"/>
  <c r="AT255" i="86"/>
  <c r="AQ255" i="86"/>
  <c r="AN255" i="86"/>
  <c r="AK255" i="86"/>
  <c r="AH255" i="86"/>
  <c r="AE255" i="86"/>
  <c r="AB255" i="86"/>
  <c r="Y255" i="86"/>
  <c r="V255" i="86"/>
  <c r="S255" i="86"/>
  <c r="P255" i="86"/>
  <c r="G255" i="86"/>
  <c r="F255" i="86"/>
  <c r="BC254" i="86"/>
  <c r="AZ254" i="86"/>
  <c r="AW254" i="86"/>
  <c r="AT254" i="86"/>
  <c r="AQ254" i="86"/>
  <c r="AN254" i="86"/>
  <c r="AK254" i="86"/>
  <c r="AH254" i="86"/>
  <c r="AE254" i="86"/>
  <c r="AB254" i="86"/>
  <c r="Y254" i="86"/>
  <c r="V254" i="86"/>
  <c r="S254" i="86"/>
  <c r="P254" i="86"/>
  <c r="G254" i="86"/>
  <c r="F254" i="86"/>
  <c r="BC253" i="86"/>
  <c r="AZ253" i="86"/>
  <c r="AW253" i="86"/>
  <c r="AT253" i="86"/>
  <c r="AQ253" i="86"/>
  <c r="AN253" i="86"/>
  <c r="AK253" i="86"/>
  <c r="AH253" i="86"/>
  <c r="AE253" i="86"/>
  <c r="AB253" i="86"/>
  <c r="Y253" i="86"/>
  <c r="V253" i="86"/>
  <c r="S253" i="86"/>
  <c r="P253" i="86"/>
  <c r="G253" i="86"/>
  <c r="F253" i="86"/>
  <c r="BC252" i="86"/>
  <c r="AZ252" i="86"/>
  <c r="AW252" i="86"/>
  <c r="AT252" i="86"/>
  <c r="AQ252" i="86"/>
  <c r="AN252" i="86"/>
  <c r="AK252" i="86"/>
  <c r="AH252" i="86"/>
  <c r="AE252" i="86"/>
  <c r="AB252" i="86"/>
  <c r="Y252" i="86"/>
  <c r="V252" i="86"/>
  <c r="S252" i="86"/>
  <c r="P252" i="86"/>
  <c r="G252" i="86"/>
  <c r="F252" i="86"/>
  <c r="BC251" i="86"/>
  <c r="AZ251" i="86"/>
  <c r="AW251" i="86"/>
  <c r="AT251" i="86"/>
  <c r="AQ251" i="86"/>
  <c r="AN251" i="86"/>
  <c r="AK251" i="86"/>
  <c r="AH251" i="86"/>
  <c r="AE251" i="86"/>
  <c r="AB251" i="86"/>
  <c r="Y251" i="86"/>
  <c r="V251" i="86"/>
  <c r="S251" i="86"/>
  <c r="P251" i="86"/>
  <c r="G251" i="86"/>
  <c r="F251" i="86"/>
  <c r="BC250" i="86"/>
  <c r="AZ250" i="86"/>
  <c r="AW250" i="86"/>
  <c r="AT250" i="86"/>
  <c r="AQ250" i="86"/>
  <c r="AN250" i="86"/>
  <c r="AK250" i="86"/>
  <c r="AH250" i="86"/>
  <c r="AE250" i="86"/>
  <c r="AB250" i="86"/>
  <c r="Y250" i="86"/>
  <c r="V250" i="86"/>
  <c r="S250" i="86"/>
  <c r="P250" i="86"/>
  <c r="G250" i="86"/>
  <c r="F250" i="86"/>
  <c r="BC249" i="86"/>
  <c r="AZ249" i="86"/>
  <c r="AW249" i="86"/>
  <c r="AT249" i="86"/>
  <c r="AQ249" i="86"/>
  <c r="AN249" i="86"/>
  <c r="AK249" i="86"/>
  <c r="AH249" i="86"/>
  <c r="AE249" i="86"/>
  <c r="AB249" i="86"/>
  <c r="Y249" i="86"/>
  <c r="V249" i="86"/>
  <c r="S249" i="86"/>
  <c r="P249" i="86"/>
  <c r="G249" i="86"/>
  <c r="F249" i="86"/>
  <c r="BC248" i="86"/>
  <c r="AZ248" i="86"/>
  <c r="AW248" i="86"/>
  <c r="AT248" i="86"/>
  <c r="AQ248" i="86"/>
  <c r="AN248" i="86"/>
  <c r="AK248" i="86"/>
  <c r="AH248" i="86"/>
  <c r="AE248" i="86"/>
  <c r="AB248" i="86"/>
  <c r="Y248" i="86"/>
  <c r="V248" i="86"/>
  <c r="S248" i="86"/>
  <c r="P248" i="86"/>
  <c r="G248" i="86"/>
  <c r="F248" i="86"/>
  <c r="BC247" i="86"/>
  <c r="AZ247" i="86"/>
  <c r="AW247" i="86"/>
  <c r="AT247" i="86"/>
  <c r="AQ247" i="86"/>
  <c r="AN247" i="86"/>
  <c r="AK247" i="86"/>
  <c r="AH247" i="86"/>
  <c r="AE247" i="86"/>
  <c r="AB247" i="86"/>
  <c r="Y247" i="86"/>
  <c r="V247" i="86"/>
  <c r="S247" i="86"/>
  <c r="P247" i="86"/>
  <c r="G247" i="86"/>
  <c r="F247" i="86"/>
  <c r="BC246" i="86"/>
  <c r="AZ246" i="86"/>
  <c r="AW246" i="86"/>
  <c r="AT246" i="86"/>
  <c r="AQ246" i="86"/>
  <c r="AN246" i="86"/>
  <c r="AK246" i="86"/>
  <c r="AH246" i="86"/>
  <c r="AE246" i="86"/>
  <c r="AB246" i="86"/>
  <c r="Y246" i="86"/>
  <c r="V246" i="86"/>
  <c r="S246" i="86"/>
  <c r="P246" i="86"/>
  <c r="G246" i="86"/>
  <c r="F246" i="86"/>
  <c r="BC245" i="86"/>
  <c r="AZ245" i="86"/>
  <c r="AW245" i="86"/>
  <c r="AT245" i="86"/>
  <c r="AQ245" i="86"/>
  <c r="AN245" i="86"/>
  <c r="AK245" i="86"/>
  <c r="AH245" i="86"/>
  <c r="AE245" i="86"/>
  <c r="AB245" i="86"/>
  <c r="Y245" i="86"/>
  <c r="V245" i="86"/>
  <c r="S245" i="86"/>
  <c r="P245" i="86"/>
  <c r="G245" i="86"/>
  <c r="F245" i="86"/>
  <c r="BC244" i="86"/>
  <c r="AZ244" i="86"/>
  <c r="AW244" i="86"/>
  <c r="AT244" i="86"/>
  <c r="AQ244" i="86"/>
  <c r="AN244" i="86"/>
  <c r="AK244" i="86"/>
  <c r="AH244" i="86"/>
  <c r="AE244" i="86"/>
  <c r="AB244" i="86"/>
  <c r="Y244" i="86"/>
  <c r="V244" i="86"/>
  <c r="S244" i="86"/>
  <c r="P244" i="86"/>
  <c r="G244" i="86"/>
  <c r="F244" i="86"/>
  <c r="BC243" i="86"/>
  <c r="AZ243" i="86"/>
  <c r="AW243" i="86"/>
  <c r="AT243" i="86"/>
  <c r="AQ243" i="86"/>
  <c r="AN243" i="86"/>
  <c r="AK243" i="86"/>
  <c r="AH243" i="86"/>
  <c r="AE243" i="86"/>
  <c r="AB243" i="86"/>
  <c r="Y243" i="86"/>
  <c r="V243" i="86"/>
  <c r="S243" i="86"/>
  <c r="P243" i="86"/>
  <c r="G243" i="86"/>
  <c r="F243" i="86"/>
  <c r="BC242" i="86"/>
  <c r="AZ242" i="86"/>
  <c r="AW242" i="86"/>
  <c r="AT242" i="86"/>
  <c r="AQ242" i="86"/>
  <c r="AN242" i="86"/>
  <c r="AK242" i="86"/>
  <c r="AH242" i="86"/>
  <c r="AE242" i="86"/>
  <c r="AB242" i="86"/>
  <c r="Y242" i="86"/>
  <c r="V242" i="86"/>
  <c r="S242" i="86"/>
  <c r="P242" i="86"/>
  <c r="G242" i="86"/>
  <c r="F242" i="86"/>
  <c r="BC241" i="86"/>
  <c r="AZ241" i="86"/>
  <c r="AW241" i="86"/>
  <c r="AT241" i="86"/>
  <c r="AQ241" i="86"/>
  <c r="AN241" i="86"/>
  <c r="AK241" i="86"/>
  <c r="AH241" i="86"/>
  <c r="AE241" i="86"/>
  <c r="AB241" i="86"/>
  <c r="Y241" i="86"/>
  <c r="V241" i="86"/>
  <c r="S241" i="86"/>
  <c r="P241" i="86"/>
  <c r="G241" i="86"/>
  <c r="F241" i="86"/>
  <c r="BC240" i="86"/>
  <c r="AZ240" i="86"/>
  <c r="AW240" i="86"/>
  <c r="AT240" i="86"/>
  <c r="AQ240" i="86"/>
  <c r="AN240" i="86"/>
  <c r="AK240" i="86"/>
  <c r="AH240" i="86"/>
  <c r="AE240" i="86"/>
  <c r="AB240" i="86"/>
  <c r="Y240" i="86"/>
  <c r="V240" i="86"/>
  <c r="S240" i="86"/>
  <c r="P240" i="86"/>
  <c r="G240" i="86"/>
  <c r="F240" i="86"/>
  <c r="BC239" i="86"/>
  <c r="AZ239" i="86"/>
  <c r="AW239" i="86"/>
  <c r="AT239" i="86"/>
  <c r="AQ239" i="86"/>
  <c r="AN239" i="86"/>
  <c r="AK239" i="86"/>
  <c r="AH239" i="86"/>
  <c r="AE239" i="86"/>
  <c r="AB239" i="86"/>
  <c r="Y239" i="86"/>
  <c r="V239" i="86"/>
  <c r="S239" i="86"/>
  <c r="P239" i="86"/>
  <c r="G239" i="86"/>
  <c r="F239" i="86"/>
  <c r="BC238" i="86"/>
  <c r="AZ238" i="86"/>
  <c r="AW238" i="86"/>
  <c r="AT238" i="86"/>
  <c r="AQ238" i="86"/>
  <c r="AN238" i="86"/>
  <c r="AK238" i="86"/>
  <c r="AH238" i="86"/>
  <c r="AE238" i="86"/>
  <c r="AB238" i="86"/>
  <c r="Y238" i="86"/>
  <c r="V238" i="86"/>
  <c r="S238" i="86"/>
  <c r="P238" i="86"/>
  <c r="G238" i="86"/>
  <c r="F238" i="86"/>
  <c r="BC237" i="86"/>
  <c r="AZ237" i="86"/>
  <c r="AW237" i="86"/>
  <c r="AT237" i="86"/>
  <c r="AQ237" i="86"/>
  <c r="AN237" i="86"/>
  <c r="AK237" i="86"/>
  <c r="AH237" i="86"/>
  <c r="AE237" i="86"/>
  <c r="AB237" i="86"/>
  <c r="Y237" i="86"/>
  <c r="V237" i="86"/>
  <c r="S237" i="86"/>
  <c r="P237" i="86"/>
  <c r="G237" i="86"/>
  <c r="F237" i="86"/>
  <c r="BC236" i="86"/>
  <c r="AZ236" i="86"/>
  <c r="AW236" i="86"/>
  <c r="AT236" i="86"/>
  <c r="AQ236" i="86"/>
  <c r="AN236" i="86"/>
  <c r="AK236" i="86"/>
  <c r="AH236" i="86"/>
  <c r="AE236" i="86"/>
  <c r="AB236" i="86"/>
  <c r="Y236" i="86"/>
  <c r="V236" i="86"/>
  <c r="S236" i="86"/>
  <c r="P236" i="86"/>
  <c r="G236" i="86"/>
  <c r="F236" i="86"/>
  <c r="BC235" i="86"/>
  <c r="AZ235" i="86"/>
  <c r="AW235" i="86"/>
  <c r="AT235" i="86"/>
  <c r="AQ235" i="86"/>
  <c r="AN235" i="86"/>
  <c r="AK235" i="86"/>
  <c r="AH235" i="86"/>
  <c r="AE235" i="86"/>
  <c r="AB235" i="86"/>
  <c r="Y235" i="86"/>
  <c r="V235" i="86"/>
  <c r="S235" i="86"/>
  <c r="P235" i="86"/>
  <c r="G235" i="86"/>
  <c r="F235" i="86"/>
  <c r="BC234" i="86"/>
  <c r="AZ234" i="86"/>
  <c r="AW234" i="86"/>
  <c r="AT234" i="86"/>
  <c r="AQ234" i="86"/>
  <c r="AN234" i="86"/>
  <c r="AK234" i="86"/>
  <c r="AH234" i="86"/>
  <c r="AE234" i="86"/>
  <c r="AB234" i="86"/>
  <c r="Y234" i="86"/>
  <c r="V234" i="86"/>
  <c r="S234" i="86"/>
  <c r="P234" i="86"/>
  <c r="G234" i="86"/>
  <c r="F234" i="86"/>
  <c r="BC233" i="86"/>
  <c r="AZ233" i="86"/>
  <c r="AW233" i="86"/>
  <c r="AT233" i="86"/>
  <c r="AQ233" i="86"/>
  <c r="AN233" i="86"/>
  <c r="AK233" i="86"/>
  <c r="AH233" i="86"/>
  <c r="AE233" i="86"/>
  <c r="AB233" i="86"/>
  <c r="Y233" i="86"/>
  <c r="V233" i="86"/>
  <c r="S233" i="86"/>
  <c r="P233" i="86"/>
  <c r="G233" i="86"/>
  <c r="F233" i="86"/>
  <c r="BC232" i="86"/>
  <c r="AZ232" i="86"/>
  <c r="AW232" i="86"/>
  <c r="AT232" i="86"/>
  <c r="AQ232" i="86"/>
  <c r="AN232" i="86"/>
  <c r="AK232" i="86"/>
  <c r="AH232" i="86"/>
  <c r="AE232" i="86"/>
  <c r="AB232" i="86"/>
  <c r="Y232" i="86"/>
  <c r="V232" i="86"/>
  <c r="S232" i="86"/>
  <c r="P232" i="86"/>
  <c r="G232" i="86"/>
  <c r="F232" i="86"/>
  <c r="BC231" i="86"/>
  <c r="AZ231" i="86"/>
  <c r="AW231" i="86"/>
  <c r="AT231" i="86"/>
  <c r="AQ231" i="86"/>
  <c r="AN231" i="86"/>
  <c r="AK231" i="86"/>
  <c r="AH231" i="86"/>
  <c r="AE231" i="86"/>
  <c r="AB231" i="86"/>
  <c r="Y231" i="86"/>
  <c r="V231" i="86"/>
  <c r="S231" i="86"/>
  <c r="P231" i="86"/>
  <c r="G231" i="86"/>
  <c r="F231" i="86"/>
  <c r="BC230" i="86"/>
  <c r="AZ230" i="86"/>
  <c r="AW230" i="86"/>
  <c r="AT230" i="86"/>
  <c r="AQ230" i="86"/>
  <c r="AN230" i="86"/>
  <c r="AK230" i="86"/>
  <c r="AH230" i="86"/>
  <c r="AE230" i="86"/>
  <c r="AB230" i="86"/>
  <c r="Y230" i="86"/>
  <c r="V230" i="86"/>
  <c r="S230" i="86"/>
  <c r="P230" i="86"/>
  <c r="G230" i="86"/>
  <c r="F230" i="86"/>
  <c r="BC229" i="86"/>
  <c r="AZ229" i="86"/>
  <c r="AW229" i="86"/>
  <c r="AT229" i="86"/>
  <c r="AQ229" i="86"/>
  <c r="AN229" i="86"/>
  <c r="AK229" i="86"/>
  <c r="AH229" i="86"/>
  <c r="AE229" i="86"/>
  <c r="AB229" i="86"/>
  <c r="Y229" i="86"/>
  <c r="V229" i="86"/>
  <c r="S229" i="86"/>
  <c r="P229" i="86"/>
  <c r="G229" i="86"/>
  <c r="F229" i="86"/>
  <c r="BC228" i="86"/>
  <c r="AZ228" i="86"/>
  <c r="AW228" i="86"/>
  <c r="AT228" i="86"/>
  <c r="AQ228" i="86"/>
  <c r="AN228" i="86"/>
  <c r="AK228" i="86"/>
  <c r="AH228" i="86"/>
  <c r="AE228" i="86"/>
  <c r="AB228" i="86"/>
  <c r="Y228" i="86"/>
  <c r="V228" i="86"/>
  <c r="S228" i="86"/>
  <c r="P228" i="86"/>
  <c r="G228" i="86"/>
  <c r="F228" i="86"/>
  <c r="BC227" i="86"/>
  <c r="AZ227" i="86"/>
  <c r="AW227" i="86"/>
  <c r="AT227" i="86"/>
  <c r="AQ227" i="86"/>
  <c r="AN227" i="86"/>
  <c r="AK227" i="86"/>
  <c r="AH227" i="86"/>
  <c r="AE227" i="86"/>
  <c r="AB227" i="86"/>
  <c r="Y227" i="86"/>
  <c r="V227" i="86"/>
  <c r="S227" i="86"/>
  <c r="P227" i="86"/>
  <c r="G227" i="86"/>
  <c r="F227" i="86"/>
  <c r="BC226" i="86"/>
  <c r="AZ226" i="86"/>
  <c r="AW226" i="86"/>
  <c r="AT226" i="86"/>
  <c r="AQ226" i="86"/>
  <c r="AN226" i="86"/>
  <c r="AK226" i="86"/>
  <c r="AH226" i="86"/>
  <c r="AE226" i="86"/>
  <c r="AB226" i="86"/>
  <c r="Y226" i="86"/>
  <c r="V226" i="86"/>
  <c r="S226" i="86"/>
  <c r="P226" i="86"/>
  <c r="G226" i="86"/>
  <c r="F226" i="86"/>
  <c r="BC225" i="86"/>
  <c r="AZ225" i="86"/>
  <c r="AW225" i="86"/>
  <c r="AT225" i="86"/>
  <c r="AQ225" i="86"/>
  <c r="AN225" i="86"/>
  <c r="AK225" i="86"/>
  <c r="AH225" i="86"/>
  <c r="AE225" i="86"/>
  <c r="AB225" i="86"/>
  <c r="Y225" i="86"/>
  <c r="V225" i="86"/>
  <c r="S225" i="86"/>
  <c r="P225" i="86"/>
  <c r="G225" i="86"/>
  <c r="F225" i="86"/>
  <c r="BC224" i="86"/>
  <c r="AZ224" i="86"/>
  <c r="AW224" i="86"/>
  <c r="AT224" i="86"/>
  <c r="AQ224" i="86"/>
  <c r="AN224" i="86"/>
  <c r="AK224" i="86"/>
  <c r="AH224" i="86"/>
  <c r="AE224" i="86"/>
  <c r="AB224" i="86"/>
  <c r="Y224" i="86"/>
  <c r="V224" i="86"/>
  <c r="S224" i="86"/>
  <c r="P224" i="86"/>
  <c r="G224" i="86"/>
  <c r="F224" i="86"/>
  <c r="BC223" i="86"/>
  <c r="AZ223" i="86"/>
  <c r="AW223" i="86"/>
  <c r="AT223" i="86"/>
  <c r="AQ223" i="86"/>
  <c r="AN223" i="86"/>
  <c r="AK223" i="86"/>
  <c r="AH223" i="86"/>
  <c r="AE223" i="86"/>
  <c r="AB223" i="86"/>
  <c r="Y223" i="86"/>
  <c r="V223" i="86"/>
  <c r="S223" i="86"/>
  <c r="P223" i="86"/>
  <c r="G223" i="86"/>
  <c r="F223" i="86"/>
  <c r="BC222" i="86"/>
  <c r="AZ222" i="86"/>
  <c r="AW222" i="86"/>
  <c r="AT222" i="86"/>
  <c r="AQ222" i="86"/>
  <c r="AN222" i="86"/>
  <c r="AK222" i="86"/>
  <c r="AH222" i="86"/>
  <c r="AE222" i="86"/>
  <c r="AB222" i="86"/>
  <c r="Y222" i="86"/>
  <c r="V222" i="86"/>
  <c r="S222" i="86"/>
  <c r="P222" i="86"/>
  <c r="G222" i="86"/>
  <c r="F222" i="86"/>
  <c r="BC221" i="86"/>
  <c r="AZ221" i="86"/>
  <c r="AW221" i="86"/>
  <c r="AT221" i="86"/>
  <c r="AQ221" i="86"/>
  <c r="AN221" i="86"/>
  <c r="AK221" i="86"/>
  <c r="AH221" i="86"/>
  <c r="AE221" i="86"/>
  <c r="AB221" i="86"/>
  <c r="Y221" i="86"/>
  <c r="V221" i="86"/>
  <c r="S221" i="86"/>
  <c r="P221" i="86"/>
  <c r="G221" i="86"/>
  <c r="F221" i="86"/>
  <c r="BC220" i="86"/>
  <c r="AZ220" i="86"/>
  <c r="AW220" i="86"/>
  <c r="AT220" i="86"/>
  <c r="AQ220" i="86"/>
  <c r="AN220" i="86"/>
  <c r="AK220" i="86"/>
  <c r="AH220" i="86"/>
  <c r="AE220" i="86"/>
  <c r="AB220" i="86"/>
  <c r="Y220" i="86"/>
  <c r="V220" i="86"/>
  <c r="S220" i="86"/>
  <c r="P220" i="86"/>
  <c r="G220" i="86"/>
  <c r="F220" i="86"/>
  <c r="BC219" i="86"/>
  <c r="AZ219" i="86"/>
  <c r="AW219" i="86"/>
  <c r="AT219" i="86"/>
  <c r="AQ219" i="86"/>
  <c r="AN219" i="86"/>
  <c r="AK219" i="86"/>
  <c r="AH219" i="86"/>
  <c r="AE219" i="86"/>
  <c r="AB219" i="86"/>
  <c r="Y219" i="86"/>
  <c r="V219" i="86"/>
  <c r="S219" i="86"/>
  <c r="P219" i="86"/>
  <c r="G219" i="86"/>
  <c r="F219" i="86"/>
  <c r="BC218" i="86"/>
  <c r="AZ218" i="86"/>
  <c r="AW218" i="86"/>
  <c r="AT218" i="86"/>
  <c r="AQ218" i="86"/>
  <c r="AN218" i="86"/>
  <c r="AK218" i="86"/>
  <c r="AH218" i="86"/>
  <c r="AE218" i="86"/>
  <c r="AB218" i="86"/>
  <c r="Y218" i="86"/>
  <c r="V218" i="86"/>
  <c r="S218" i="86"/>
  <c r="P218" i="86"/>
  <c r="G218" i="86"/>
  <c r="F218" i="86"/>
  <c r="BC217" i="86"/>
  <c r="AZ217" i="86"/>
  <c r="AW217" i="86"/>
  <c r="AT217" i="86"/>
  <c r="AQ217" i="86"/>
  <c r="AN217" i="86"/>
  <c r="AK217" i="86"/>
  <c r="AH217" i="86"/>
  <c r="AE217" i="86"/>
  <c r="AB217" i="86"/>
  <c r="Y217" i="86"/>
  <c r="V217" i="86"/>
  <c r="S217" i="86"/>
  <c r="P217" i="86"/>
  <c r="G217" i="86"/>
  <c r="F217" i="86"/>
  <c r="BC216" i="86"/>
  <c r="AZ216" i="86"/>
  <c r="AW216" i="86"/>
  <c r="AT216" i="86"/>
  <c r="AQ216" i="86"/>
  <c r="AN216" i="86"/>
  <c r="AK216" i="86"/>
  <c r="AH216" i="86"/>
  <c r="AE216" i="86"/>
  <c r="AB216" i="86"/>
  <c r="Y216" i="86"/>
  <c r="V216" i="86"/>
  <c r="S216" i="86"/>
  <c r="P216" i="86"/>
  <c r="G216" i="86"/>
  <c r="F216" i="86"/>
  <c r="BC215" i="86"/>
  <c r="AZ215" i="86"/>
  <c r="AW215" i="86"/>
  <c r="AT215" i="86"/>
  <c r="AQ215" i="86"/>
  <c r="AN215" i="86"/>
  <c r="AK215" i="86"/>
  <c r="AH215" i="86"/>
  <c r="AE215" i="86"/>
  <c r="AB215" i="86"/>
  <c r="Y215" i="86"/>
  <c r="V215" i="86"/>
  <c r="S215" i="86"/>
  <c r="P215" i="86"/>
  <c r="G215" i="86"/>
  <c r="F215" i="86"/>
  <c r="BC214" i="86"/>
  <c r="AZ214" i="86"/>
  <c r="AW214" i="86"/>
  <c r="AT214" i="86"/>
  <c r="AQ214" i="86"/>
  <c r="AN214" i="86"/>
  <c r="AK214" i="86"/>
  <c r="AH214" i="86"/>
  <c r="AE214" i="86"/>
  <c r="AB214" i="86"/>
  <c r="Y214" i="86"/>
  <c r="V214" i="86"/>
  <c r="S214" i="86"/>
  <c r="P214" i="86"/>
  <c r="G214" i="86"/>
  <c r="F214" i="86"/>
  <c r="BC213" i="86"/>
  <c r="AZ213" i="86"/>
  <c r="AW213" i="86"/>
  <c r="AT213" i="86"/>
  <c r="AQ213" i="86"/>
  <c r="AN213" i="86"/>
  <c r="AK213" i="86"/>
  <c r="AH213" i="86"/>
  <c r="AE213" i="86"/>
  <c r="AB213" i="86"/>
  <c r="Y213" i="86"/>
  <c r="V213" i="86"/>
  <c r="S213" i="86"/>
  <c r="P213" i="86"/>
  <c r="G213" i="86"/>
  <c r="F213" i="86"/>
  <c r="BC212" i="86"/>
  <c r="AZ212" i="86"/>
  <c r="AW212" i="86"/>
  <c r="AT212" i="86"/>
  <c r="AQ212" i="86"/>
  <c r="AN212" i="86"/>
  <c r="AK212" i="86"/>
  <c r="AH212" i="86"/>
  <c r="AE212" i="86"/>
  <c r="AB212" i="86"/>
  <c r="Y212" i="86"/>
  <c r="V212" i="86"/>
  <c r="S212" i="86"/>
  <c r="P212" i="86"/>
  <c r="G212" i="86"/>
  <c r="F212" i="86"/>
  <c r="BC211" i="86"/>
  <c r="AZ211" i="86"/>
  <c r="AW211" i="86"/>
  <c r="AT211" i="86"/>
  <c r="AQ211" i="86"/>
  <c r="AN211" i="86"/>
  <c r="AK211" i="86"/>
  <c r="AH211" i="86"/>
  <c r="AE211" i="86"/>
  <c r="AB211" i="86"/>
  <c r="Y211" i="86"/>
  <c r="M211" i="86" s="1"/>
  <c r="V211" i="86"/>
  <c r="S211" i="86"/>
  <c r="P211" i="86"/>
  <c r="G211" i="86"/>
  <c r="F211" i="86"/>
  <c r="BC210" i="86"/>
  <c r="AZ210" i="86"/>
  <c r="AW210" i="86"/>
  <c r="AT210" i="86"/>
  <c r="AQ210" i="86"/>
  <c r="AN210" i="86"/>
  <c r="AK210" i="86"/>
  <c r="AH210" i="86"/>
  <c r="AE210" i="86"/>
  <c r="AB210" i="86"/>
  <c r="Y210" i="86"/>
  <c r="V210" i="86"/>
  <c r="S210" i="86"/>
  <c r="P210" i="86"/>
  <c r="G210" i="86"/>
  <c r="F210" i="86"/>
  <c r="BC209" i="86"/>
  <c r="AZ209" i="86"/>
  <c r="AW209" i="86"/>
  <c r="AT209" i="86"/>
  <c r="AQ209" i="86"/>
  <c r="AN209" i="86"/>
  <c r="AK209" i="86"/>
  <c r="AH209" i="86"/>
  <c r="AE209" i="86"/>
  <c r="AB209" i="86"/>
  <c r="Y209" i="86"/>
  <c r="V209" i="86"/>
  <c r="S209" i="86"/>
  <c r="P209" i="86"/>
  <c r="G209" i="86"/>
  <c r="F209" i="86"/>
  <c r="BC208" i="86"/>
  <c r="AZ208" i="86"/>
  <c r="AW208" i="86"/>
  <c r="AT208" i="86"/>
  <c r="AQ208" i="86"/>
  <c r="AN208" i="86"/>
  <c r="AK208" i="86"/>
  <c r="AH208" i="86"/>
  <c r="AE208" i="86"/>
  <c r="AB208" i="86"/>
  <c r="Y208" i="86"/>
  <c r="V208" i="86"/>
  <c r="S208" i="86"/>
  <c r="P208" i="86"/>
  <c r="G208" i="86"/>
  <c r="F208" i="86"/>
  <c r="BC207" i="86"/>
  <c r="AZ207" i="86"/>
  <c r="AW207" i="86"/>
  <c r="AT207" i="86"/>
  <c r="AQ207" i="86"/>
  <c r="AN207" i="86"/>
  <c r="AK207" i="86"/>
  <c r="AH207" i="86"/>
  <c r="AE207" i="86"/>
  <c r="AB207" i="86"/>
  <c r="Y207" i="86"/>
  <c r="V207" i="86"/>
  <c r="S207" i="86"/>
  <c r="P207" i="86"/>
  <c r="G207" i="86"/>
  <c r="F207" i="86"/>
  <c r="BC206" i="86"/>
  <c r="AZ206" i="86"/>
  <c r="AW206" i="86"/>
  <c r="AT206" i="86"/>
  <c r="AQ206" i="86"/>
  <c r="AN206" i="86"/>
  <c r="AK206" i="86"/>
  <c r="AH206" i="86"/>
  <c r="AE206" i="86"/>
  <c r="AB206" i="86"/>
  <c r="Y206" i="86"/>
  <c r="V206" i="86"/>
  <c r="S206" i="86"/>
  <c r="P206" i="86"/>
  <c r="G206" i="86"/>
  <c r="F206" i="86"/>
  <c r="BC205" i="86"/>
  <c r="AZ205" i="86"/>
  <c r="AW205" i="86"/>
  <c r="AT205" i="86"/>
  <c r="AQ205" i="86"/>
  <c r="AN205" i="86"/>
  <c r="AK205" i="86"/>
  <c r="AH205" i="86"/>
  <c r="AE205" i="86"/>
  <c r="AB205" i="86"/>
  <c r="Y205" i="86"/>
  <c r="V205" i="86"/>
  <c r="S205" i="86"/>
  <c r="P205" i="86"/>
  <c r="G205" i="86"/>
  <c r="F205" i="86"/>
  <c r="BC204" i="86"/>
  <c r="AZ204" i="86"/>
  <c r="AW204" i="86"/>
  <c r="AT204" i="86"/>
  <c r="AQ204" i="86"/>
  <c r="AN204" i="86"/>
  <c r="AK204" i="86"/>
  <c r="AH204" i="86"/>
  <c r="AE204" i="86"/>
  <c r="AB204" i="86"/>
  <c r="Y204" i="86"/>
  <c r="V204" i="86"/>
  <c r="S204" i="86"/>
  <c r="P204" i="86"/>
  <c r="G204" i="86"/>
  <c r="F204" i="86"/>
  <c r="BC203" i="86"/>
  <c r="AZ203" i="86"/>
  <c r="AW203" i="86"/>
  <c r="AT203" i="86"/>
  <c r="AQ203" i="86"/>
  <c r="AN203" i="86"/>
  <c r="AK203" i="86"/>
  <c r="AH203" i="86"/>
  <c r="AE203" i="86"/>
  <c r="AB203" i="86"/>
  <c r="Y203" i="86"/>
  <c r="V203" i="86"/>
  <c r="S203" i="86"/>
  <c r="P203" i="86"/>
  <c r="G203" i="86"/>
  <c r="F203" i="86"/>
  <c r="BC202" i="86"/>
  <c r="AZ202" i="86"/>
  <c r="AW202" i="86"/>
  <c r="AT202" i="86"/>
  <c r="AQ202" i="86"/>
  <c r="AN202" i="86"/>
  <c r="AK202" i="86"/>
  <c r="AH202" i="86"/>
  <c r="AE202" i="86"/>
  <c r="AB202" i="86"/>
  <c r="Y202" i="86"/>
  <c r="V202" i="86"/>
  <c r="S202" i="86"/>
  <c r="P202" i="86"/>
  <c r="G202" i="86"/>
  <c r="F202" i="86"/>
  <c r="BC201" i="86"/>
  <c r="AZ201" i="86"/>
  <c r="AW201" i="86"/>
  <c r="AT201" i="86"/>
  <c r="AQ201" i="86"/>
  <c r="AN201" i="86"/>
  <c r="AK201" i="86"/>
  <c r="AH201" i="86"/>
  <c r="AE201" i="86"/>
  <c r="AB201" i="86"/>
  <c r="Y201" i="86"/>
  <c r="V201" i="86"/>
  <c r="S201" i="86"/>
  <c r="P201" i="86"/>
  <c r="G201" i="86"/>
  <c r="F201" i="86"/>
  <c r="BC200" i="86"/>
  <c r="AZ200" i="86"/>
  <c r="AW200" i="86"/>
  <c r="AT200" i="86"/>
  <c r="AQ200" i="86"/>
  <c r="AN200" i="86"/>
  <c r="AK200" i="86"/>
  <c r="AH200" i="86"/>
  <c r="AE200" i="86"/>
  <c r="AB200" i="86"/>
  <c r="Y200" i="86"/>
  <c r="V200" i="86"/>
  <c r="S200" i="86"/>
  <c r="P200" i="86"/>
  <c r="G200" i="86"/>
  <c r="F200" i="86"/>
  <c r="BC199" i="86"/>
  <c r="AZ199" i="86"/>
  <c r="AW199" i="86"/>
  <c r="AT199" i="86"/>
  <c r="AQ199" i="86"/>
  <c r="AN199" i="86"/>
  <c r="AK199" i="86"/>
  <c r="AH199" i="86"/>
  <c r="AE199" i="86"/>
  <c r="AB199" i="86"/>
  <c r="Y199" i="86"/>
  <c r="V199" i="86"/>
  <c r="S199" i="86"/>
  <c r="P199" i="86"/>
  <c r="G199" i="86"/>
  <c r="F199" i="86"/>
  <c r="BC198" i="86"/>
  <c r="AZ198" i="86"/>
  <c r="AW198" i="86"/>
  <c r="AT198" i="86"/>
  <c r="AQ198" i="86"/>
  <c r="AN198" i="86"/>
  <c r="AK198" i="86"/>
  <c r="AH198" i="86"/>
  <c r="AE198" i="86"/>
  <c r="AB198" i="86"/>
  <c r="Y198" i="86"/>
  <c r="V198" i="86"/>
  <c r="S198" i="86"/>
  <c r="P198" i="86"/>
  <c r="G198" i="86"/>
  <c r="F198" i="86"/>
  <c r="BC197" i="86"/>
  <c r="AZ197" i="86"/>
  <c r="AW197" i="86"/>
  <c r="AT197" i="86"/>
  <c r="AQ197" i="86"/>
  <c r="AN197" i="86"/>
  <c r="AK197" i="86"/>
  <c r="AH197" i="86"/>
  <c r="AE197" i="86"/>
  <c r="AB197" i="86"/>
  <c r="Y197" i="86"/>
  <c r="V197" i="86"/>
  <c r="S197" i="86"/>
  <c r="P197" i="86"/>
  <c r="G197" i="86"/>
  <c r="F197" i="86"/>
  <c r="BC196" i="86"/>
  <c r="AZ196" i="86"/>
  <c r="AW196" i="86"/>
  <c r="AT196" i="86"/>
  <c r="AQ196" i="86"/>
  <c r="AN196" i="86"/>
  <c r="AK196" i="86"/>
  <c r="AH196" i="86"/>
  <c r="AE196" i="86"/>
  <c r="AB196" i="86"/>
  <c r="Y196" i="86"/>
  <c r="V196" i="86"/>
  <c r="S196" i="86"/>
  <c r="P196" i="86"/>
  <c r="G196" i="86"/>
  <c r="F196" i="86"/>
  <c r="BC195" i="86"/>
  <c r="AZ195" i="86"/>
  <c r="AW195" i="86"/>
  <c r="AT195" i="86"/>
  <c r="AQ195" i="86"/>
  <c r="AN195" i="86"/>
  <c r="AK195" i="86"/>
  <c r="AH195" i="86"/>
  <c r="AE195" i="86"/>
  <c r="AB195" i="86"/>
  <c r="Y195" i="86"/>
  <c r="V195" i="86"/>
  <c r="S195" i="86"/>
  <c r="P195" i="86"/>
  <c r="G195" i="86"/>
  <c r="F195" i="86"/>
  <c r="BC194" i="86"/>
  <c r="AZ194" i="86"/>
  <c r="AW194" i="86"/>
  <c r="AT194" i="86"/>
  <c r="AQ194" i="86"/>
  <c r="AN194" i="86"/>
  <c r="AK194" i="86"/>
  <c r="AH194" i="86"/>
  <c r="AE194" i="86"/>
  <c r="AB194" i="86"/>
  <c r="Y194" i="86"/>
  <c r="V194" i="86"/>
  <c r="S194" i="86"/>
  <c r="P194" i="86"/>
  <c r="G194" i="86"/>
  <c r="F194" i="86"/>
  <c r="BC193" i="86"/>
  <c r="AZ193" i="86"/>
  <c r="AW193" i="86"/>
  <c r="AT193" i="86"/>
  <c r="AQ193" i="86"/>
  <c r="AN193" i="86"/>
  <c r="AK193" i="86"/>
  <c r="AH193" i="86"/>
  <c r="AE193" i="86"/>
  <c r="AB193" i="86"/>
  <c r="Y193" i="86"/>
  <c r="V193" i="86"/>
  <c r="S193" i="86"/>
  <c r="P193" i="86"/>
  <c r="G193" i="86"/>
  <c r="F193" i="86"/>
  <c r="BC192" i="86"/>
  <c r="AZ192" i="86"/>
  <c r="AW192" i="86"/>
  <c r="AT192" i="86"/>
  <c r="AQ192" i="86"/>
  <c r="AN192" i="86"/>
  <c r="AK192" i="86"/>
  <c r="AH192" i="86"/>
  <c r="AE192" i="86"/>
  <c r="AB192" i="86"/>
  <c r="Y192" i="86"/>
  <c r="V192" i="86"/>
  <c r="S192" i="86"/>
  <c r="P192" i="86"/>
  <c r="G192" i="86"/>
  <c r="F192" i="86"/>
  <c r="BC191" i="86"/>
  <c r="AZ191" i="86"/>
  <c r="AW191" i="86"/>
  <c r="AT191" i="86"/>
  <c r="AQ191" i="86"/>
  <c r="AN191" i="86"/>
  <c r="AK191" i="86"/>
  <c r="AH191" i="86"/>
  <c r="AE191" i="86"/>
  <c r="AB191" i="86"/>
  <c r="Y191" i="86"/>
  <c r="V191" i="86"/>
  <c r="S191" i="86"/>
  <c r="P191" i="86"/>
  <c r="G191" i="86"/>
  <c r="F191" i="86"/>
  <c r="BC190" i="86"/>
  <c r="AZ190" i="86"/>
  <c r="AW190" i="86"/>
  <c r="AT190" i="86"/>
  <c r="AQ190" i="86"/>
  <c r="AN190" i="86"/>
  <c r="AK190" i="86"/>
  <c r="AH190" i="86"/>
  <c r="AE190" i="86"/>
  <c r="AB190" i="86"/>
  <c r="Y190" i="86"/>
  <c r="V190" i="86"/>
  <c r="S190" i="86"/>
  <c r="P190" i="86"/>
  <c r="G190" i="86"/>
  <c r="F190" i="86"/>
  <c r="BC189" i="86"/>
  <c r="AZ189" i="86"/>
  <c r="AW189" i="86"/>
  <c r="AT189" i="86"/>
  <c r="AQ189" i="86"/>
  <c r="AN189" i="86"/>
  <c r="AK189" i="86"/>
  <c r="AH189" i="86"/>
  <c r="AE189" i="86"/>
  <c r="AB189" i="86"/>
  <c r="Y189" i="86"/>
  <c r="V189" i="86"/>
  <c r="S189" i="86"/>
  <c r="P189" i="86"/>
  <c r="G189" i="86"/>
  <c r="F189" i="86"/>
  <c r="BC188" i="86"/>
  <c r="AZ188" i="86"/>
  <c r="AW188" i="86"/>
  <c r="AT188" i="86"/>
  <c r="AQ188" i="86"/>
  <c r="AN188" i="86"/>
  <c r="AK188" i="86"/>
  <c r="AH188" i="86"/>
  <c r="AE188" i="86"/>
  <c r="AB188" i="86"/>
  <c r="Y188" i="86"/>
  <c r="V188" i="86"/>
  <c r="S188" i="86"/>
  <c r="P188" i="86"/>
  <c r="G188" i="86"/>
  <c r="F188" i="86"/>
  <c r="BC187" i="86"/>
  <c r="AZ187" i="86"/>
  <c r="AW187" i="86"/>
  <c r="AT187" i="86"/>
  <c r="AQ187" i="86"/>
  <c r="AN187" i="86"/>
  <c r="AK187" i="86"/>
  <c r="AH187" i="86"/>
  <c r="AE187" i="86"/>
  <c r="AB187" i="86"/>
  <c r="Y187" i="86"/>
  <c r="V187" i="86"/>
  <c r="S187" i="86"/>
  <c r="P187" i="86"/>
  <c r="G187" i="86"/>
  <c r="F187" i="86"/>
  <c r="BC186" i="86"/>
  <c r="AZ186" i="86"/>
  <c r="AW186" i="86"/>
  <c r="AT186" i="86"/>
  <c r="AQ186" i="86"/>
  <c r="AN186" i="86"/>
  <c r="AK186" i="86"/>
  <c r="AH186" i="86"/>
  <c r="AE186" i="86"/>
  <c r="AB186" i="86"/>
  <c r="Y186" i="86"/>
  <c r="V186" i="86"/>
  <c r="S186" i="86"/>
  <c r="P186" i="86"/>
  <c r="G186" i="86"/>
  <c r="F186" i="86"/>
  <c r="BC185" i="86"/>
  <c r="AZ185" i="86"/>
  <c r="AW185" i="86"/>
  <c r="AT185" i="86"/>
  <c r="AQ185" i="86"/>
  <c r="AN185" i="86"/>
  <c r="AK185" i="86"/>
  <c r="AH185" i="86"/>
  <c r="AE185" i="86"/>
  <c r="AB185" i="86"/>
  <c r="Y185" i="86"/>
  <c r="V185" i="86"/>
  <c r="S185" i="86"/>
  <c r="P185" i="86"/>
  <c r="G185" i="86"/>
  <c r="F185" i="86"/>
  <c r="BC184" i="86"/>
  <c r="AZ184" i="86"/>
  <c r="AW184" i="86"/>
  <c r="AT184" i="86"/>
  <c r="AQ184" i="86"/>
  <c r="AN184" i="86"/>
  <c r="AK184" i="86"/>
  <c r="AH184" i="86"/>
  <c r="AE184" i="86"/>
  <c r="AB184" i="86"/>
  <c r="Y184" i="86"/>
  <c r="V184" i="86"/>
  <c r="S184" i="86"/>
  <c r="P184" i="86"/>
  <c r="G184" i="86"/>
  <c r="F184" i="86"/>
  <c r="BC183" i="86"/>
  <c r="AZ183" i="86"/>
  <c r="AW183" i="86"/>
  <c r="AT183" i="86"/>
  <c r="AQ183" i="86"/>
  <c r="AN183" i="86"/>
  <c r="AK183" i="86"/>
  <c r="AH183" i="86"/>
  <c r="AE183" i="86"/>
  <c r="AB183" i="86"/>
  <c r="Y183" i="86"/>
  <c r="V183" i="86"/>
  <c r="S183" i="86"/>
  <c r="P183" i="86"/>
  <c r="G183" i="86"/>
  <c r="F183" i="86"/>
  <c r="BC182" i="86"/>
  <c r="AZ182" i="86"/>
  <c r="AW182" i="86"/>
  <c r="AT182" i="86"/>
  <c r="AQ182" i="86"/>
  <c r="AN182" i="86"/>
  <c r="AK182" i="86"/>
  <c r="AH182" i="86"/>
  <c r="AE182" i="86"/>
  <c r="AB182" i="86"/>
  <c r="Y182" i="86"/>
  <c r="V182" i="86"/>
  <c r="S182" i="86"/>
  <c r="P182" i="86"/>
  <c r="G182" i="86"/>
  <c r="F182" i="86"/>
  <c r="BC181" i="86"/>
  <c r="AZ181" i="86"/>
  <c r="AW181" i="86"/>
  <c r="AT181" i="86"/>
  <c r="AQ181" i="86"/>
  <c r="AN181" i="86"/>
  <c r="AK181" i="86"/>
  <c r="AH181" i="86"/>
  <c r="AE181" i="86"/>
  <c r="AB181" i="86"/>
  <c r="Y181" i="86"/>
  <c r="V181" i="86"/>
  <c r="S181" i="86"/>
  <c r="P181" i="86"/>
  <c r="G181" i="86"/>
  <c r="F181" i="86"/>
  <c r="BC180" i="86"/>
  <c r="AZ180" i="86"/>
  <c r="AW180" i="86"/>
  <c r="AT180" i="86"/>
  <c r="AQ180" i="86"/>
  <c r="AN180" i="86"/>
  <c r="AK180" i="86"/>
  <c r="AH180" i="86"/>
  <c r="AE180" i="86"/>
  <c r="AB180" i="86"/>
  <c r="Y180" i="86"/>
  <c r="V180" i="86"/>
  <c r="S180" i="86"/>
  <c r="P180" i="86"/>
  <c r="G180" i="86"/>
  <c r="F180" i="86"/>
  <c r="BC179" i="86"/>
  <c r="AZ179" i="86"/>
  <c r="AW179" i="86"/>
  <c r="AT179" i="86"/>
  <c r="AQ179" i="86"/>
  <c r="AN179" i="86"/>
  <c r="AK179" i="86"/>
  <c r="AH179" i="86"/>
  <c r="AE179" i="86"/>
  <c r="AB179" i="86"/>
  <c r="Y179" i="86"/>
  <c r="V179" i="86"/>
  <c r="S179" i="86"/>
  <c r="P179" i="86"/>
  <c r="G179" i="86"/>
  <c r="F179" i="86"/>
  <c r="BC178" i="86"/>
  <c r="AZ178" i="86"/>
  <c r="AW178" i="86"/>
  <c r="AT178" i="86"/>
  <c r="AQ178" i="86"/>
  <c r="AN178" i="86"/>
  <c r="AK178" i="86"/>
  <c r="AH178" i="86"/>
  <c r="AE178" i="86"/>
  <c r="AB178" i="86"/>
  <c r="Y178" i="86"/>
  <c r="V178" i="86"/>
  <c r="S178" i="86"/>
  <c r="P178" i="86"/>
  <c r="G178" i="86"/>
  <c r="F178" i="86"/>
  <c r="BC177" i="86"/>
  <c r="AZ177" i="86"/>
  <c r="AW177" i="86"/>
  <c r="AT177" i="86"/>
  <c r="AQ177" i="86"/>
  <c r="AN177" i="86"/>
  <c r="AK177" i="86"/>
  <c r="AH177" i="86"/>
  <c r="AE177" i="86"/>
  <c r="AB177" i="86"/>
  <c r="Y177" i="86"/>
  <c r="V177" i="86"/>
  <c r="S177" i="86"/>
  <c r="P177" i="86"/>
  <c r="G177" i="86"/>
  <c r="F177" i="86"/>
  <c r="BC176" i="86"/>
  <c r="AZ176" i="86"/>
  <c r="AW176" i="86"/>
  <c r="AT176" i="86"/>
  <c r="AQ176" i="86"/>
  <c r="AN176" i="86"/>
  <c r="AK176" i="86"/>
  <c r="AH176" i="86"/>
  <c r="AE176" i="86"/>
  <c r="AB176" i="86"/>
  <c r="Y176" i="86"/>
  <c r="V176" i="86"/>
  <c r="S176" i="86"/>
  <c r="P176" i="86"/>
  <c r="G176" i="86"/>
  <c r="F176" i="86"/>
  <c r="BC175" i="86"/>
  <c r="AZ175" i="86"/>
  <c r="AW175" i="86"/>
  <c r="AT175" i="86"/>
  <c r="AQ175" i="86"/>
  <c r="AN175" i="86"/>
  <c r="AK175" i="86"/>
  <c r="AH175" i="86"/>
  <c r="AE175" i="86"/>
  <c r="AB175" i="86"/>
  <c r="Y175" i="86"/>
  <c r="V175" i="86"/>
  <c r="S175" i="86"/>
  <c r="P175" i="86"/>
  <c r="G175" i="86"/>
  <c r="F175" i="86"/>
  <c r="BC174" i="86"/>
  <c r="AZ174" i="86"/>
  <c r="AW174" i="86"/>
  <c r="AT174" i="86"/>
  <c r="AQ174" i="86"/>
  <c r="AN174" i="86"/>
  <c r="AK174" i="86"/>
  <c r="AH174" i="86"/>
  <c r="AE174" i="86"/>
  <c r="AB174" i="86"/>
  <c r="Y174" i="86"/>
  <c r="V174" i="86"/>
  <c r="S174" i="86"/>
  <c r="P174" i="86"/>
  <c r="G174" i="86"/>
  <c r="F174" i="86"/>
  <c r="BC173" i="86"/>
  <c r="AZ173" i="86"/>
  <c r="AW173" i="86"/>
  <c r="AT173" i="86"/>
  <c r="AQ173" i="86"/>
  <c r="AN173" i="86"/>
  <c r="AK173" i="86"/>
  <c r="AH173" i="86"/>
  <c r="AE173" i="86"/>
  <c r="AB173" i="86"/>
  <c r="Y173" i="86"/>
  <c r="V173" i="86"/>
  <c r="S173" i="86"/>
  <c r="P173" i="86"/>
  <c r="G173" i="86"/>
  <c r="F173" i="86"/>
  <c r="BC172" i="86"/>
  <c r="AZ172" i="86"/>
  <c r="AW172" i="86"/>
  <c r="AT172" i="86"/>
  <c r="AQ172" i="86"/>
  <c r="AN172" i="86"/>
  <c r="AK172" i="86"/>
  <c r="AH172" i="86"/>
  <c r="AE172" i="86"/>
  <c r="AB172" i="86"/>
  <c r="Y172" i="86"/>
  <c r="V172" i="86"/>
  <c r="S172" i="86"/>
  <c r="P172" i="86"/>
  <c r="G172" i="86"/>
  <c r="F172" i="86"/>
  <c r="BC171" i="86"/>
  <c r="AZ171" i="86"/>
  <c r="AW171" i="86"/>
  <c r="AT171" i="86"/>
  <c r="AQ171" i="86"/>
  <c r="AN171" i="86"/>
  <c r="AK171" i="86"/>
  <c r="AH171" i="86"/>
  <c r="AE171" i="86"/>
  <c r="AB171" i="86"/>
  <c r="Y171" i="86"/>
  <c r="V171" i="86"/>
  <c r="S171" i="86"/>
  <c r="P171" i="86"/>
  <c r="G171" i="86"/>
  <c r="F171" i="86"/>
  <c r="BC170" i="86"/>
  <c r="AZ170" i="86"/>
  <c r="AW170" i="86"/>
  <c r="AT170" i="86"/>
  <c r="AQ170" i="86"/>
  <c r="AN170" i="86"/>
  <c r="AK170" i="86"/>
  <c r="AH170" i="86"/>
  <c r="AE170" i="86"/>
  <c r="AB170" i="86"/>
  <c r="Y170" i="86"/>
  <c r="V170" i="86"/>
  <c r="S170" i="86"/>
  <c r="P170" i="86"/>
  <c r="G170" i="86"/>
  <c r="F170" i="86"/>
  <c r="BC169" i="86"/>
  <c r="AZ169" i="86"/>
  <c r="AW169" i="86"/>
  <c r="AT169" i="86"/>
  <c r="AQ169" i="86"/>
  <c r="AN169" i="86"/>
  <c r="AK169" i="86"/>
  <c r="AH169" i="86"/>
  <c r="AE169" i="86"/>
  <c r="AB169" i="86"/>
  <c r="Y169" i="86"/>
  <c r="V169" i="86"/>
  <c r="S169" i="86"/>
  <c r="P169" i="86"/>
  <c r="G169" i="86"/>
  <c r="F169" i="86"/>
  <c r="BC168" i="86"/>
  <c r="AZ168" i="86"/>
  <c r="AW168" i="86"/>
  <c r="AT168" i="86"/>
  <c r="AQ168" i="86"/>
  <c r="AN168" i="86"/>
  <c r="AK168" i="86"/>
  <c r="AH168" i="86"/>
  <c r="AE168" i="86"/>
  <c r="AB168" i="86"/>
  <c r="Y168" i="86"/>
  <c r="V168" i="86"/>
  <c r="S168" i="86"/>
  <c r="P168" i="86"/>
  <c r="G168" i="86"/>
  <c r="F168" i="86"/>
  <c r="BC167" i="86"/>
  <c r="AZ167" i="86"/>
  <c r="AW167" i="86"/>
  <c r="AT167" i="86"/>
  <c r="AQ167" i="86"/>
  <c r="AN167" i="86"/>
  <c r="AK167" i="86"/>
  <c r="AH167" i="86"/>
  <c r="AE167" i="86"/>
  <c r="AB167" i="86"/>
  <c r="Y167" i="86"/>
  <c r="V167" i="86"/>
  <c r="S167" i="86"/>
  <c r="P167" i="86"/>
  <c r="G167" i="86"/>
  <c r="F167" i="86"/>
  <c r="BC166" i="86"/>
  <c r="AZ166" i="86"/>
  <c r="AW166" i="86"/>
  <c r="AT166" i="86"/>
  <c r="AQ166" i="86"/>
  <c r="AN166" i="86"/>
  <c r="AK166" i="86"/>
  <c r="AH166" i="86"/>
  <c r="AE166" i="86"/>
  <c r="AB166" i="86"/>
  <c r="Y166" i="86"/>
  <c r="V166" i="86"/>
  <c r="S166" i="86"/>
  <c r="P166" i="86"/>
  <c r="G166" i="86"/>
  <c r="F166" i="86"/>
  <c r="BC165" i="86"/>
  <c r="AZ165" i="86"/>
  <c r="AW165" i="86"/>
  <c r="AT165" i="86"/>
  <c r="AQ165" i="86"/>
  <c r="AN165" i="86"/>
  <c r="AK165" i="86"/>
  <c r="AH165" i="86"/>
  <c r="AE165" i="86"/>
  <c r="AB165" i="86"/>
  <c r="Y165" i="86"/>
  <c r="V165" i="86"/>
  <c r="S165" i="86"/>
  <c r="P165" i="86"/>
  <c r="G165" i="86"/>
  <c r="F165" i="86"/>
  <c r="BC164" i="86"/>
  <c r="AZ164" i="86"/>
  <c r="AW164" i="86"/>
  <c r="AT164" i="86"/>
  <c r="AQ164" i="86"/>
  <c r="AN164" i="86"/>
  <c r="AK164" i="86"/>
  <c r="AH164" i="86"/>
  <c r="AE164" i="86"/>
  <c r="AB164" i="86"/>
  <c r="Y164" i="86"/>
  <c r="V164" i="86"/>
  <c r="S164" i="86"/>
  <c r="P164" i="86"/>
  <c r="G164" i="86"/>
  <c r="F164" i="86"/>
  <c r="BC163" i="86"/>
  <c r="AZ163" i="86"/>
  <c r="AW163" i="86"/>
  <c r="AT163" i="86"/>
  <c r="AQ163" i="86"/>
  <c r="AN163" i="86"/>
  <c r="AK163" i="86"/>
  <c r="AH163" i="86"/>
  <c r="AE163" i="86"/>
  <c r="AB163" i="86"/>
  <c r="Y163" i="86"/>
  <c r="V163" i="86"/>
  <c r="S163" i="86"/>
  <c r="P163" i="86"/>
  <c r="G163" i="86"/>
  <c r="F163" i="86"/>
  <c r="BC162" i="86"/>
  <c r="AZ162" i="86"/>
  <c r="AW162" i="86"/>
  <c r="AT162" i="86"/>
  <c r="AQ162" i="86"/>
  <c r="AN162" i="86"/>
  <c r="AK162" i="86"/>
  <c r="AH162" i="86"/>
  <c r="AE162" i="86"/>
  <c r="AB162" i="86"/>
  <c r="Y162" i="86"/>
  <c r="V162" i="86"/>
  <c r="S162" i="86"/>
  <c r="P162" i="86"/>
  <c r="G162" i="86"/>
  <c r="F162" i="86"/>
  <c r="BC161" i="86"/>
  <c r="AZ161" i="86"/>
  <c r="AW161" i="86"/>
  <c r="AT161" i="86"/>
  <c r="AQ161" i="86"/>
  <c r="AN161" i="86"/>
  <c r="AK161" i="86"/>
  <c r="AH161" i="86"/>
  <c r="AE161" i="86"/>
  <c r="AB161" i="86"/>
  <c r="Y161" i="86"/>
  <c r="V161" i="86"/>
  <c r="S161" i="86"/>
  <c r="P161" i="86"/>
  <c r="G161" i="86"/>
  <c r="F161" i="86"/>
  <c r="BC160" i="86"/>
  <c r="AZ160" i="86"/>
  <c r="AW160" i="86"/>
  <c r="AT160" i="86"/>
  <c r="AQ160" i="86"/>
  <c r="AN160" i="86"/>
  <c r="AK160" i="86"/>
  <c r="AH160" i="86"/>
  <c r="AE160" i="86"/>
  <c r="AB160" i="86"/>
  <c r="Y160" i="86"/>
  <c r="V160" i="86"/>
  <c r="S160" i="86"/>
  <c r="P160" i="86"/>
  <c r="G160" i="86"/>
  <c r="F160" i="86"/>
  <c r="BC159" i="86"/>
  <c r="AZ159" i="86"/>
  <c r="AW159" i="86"/>
  <c r="AT159" i="86"/>
  <c r="AQ159" i="86"/>
  <c r="AN159" i="86"/>
  <c r="AK159" i="86"/>
  <c r="AH159" i="86"/>
  <c r="AE159" i="86"/>
  <c r="AB159" i="86"/>
  <c r="Y159" i="86"/>
  <c r="V159" i="86"/>
  <c r="S159" i="86"/>
  <c r="P159" i="86"/>
  <c r="G159" i="86"/>
  <c r="F159" i="86"/>
  <c r="BC158" i="86"/>
  <c r="AZ158" i="86"/>
  <c r="AW158" i="86"/>
  <c r="AT158" i="86"/>
  <c r="AQ158" i="86"/>
  <c r="AN158" i="86"/>
  <c r="AK158" i="86"/>
  <c r="AH158" i="86"/>
  <c r="AE158" i="86"/>
  <c r="AB158" i="86"/>
  <c r="Y158" i="86"/>
  <c r="V158" i="86"/>
  <c r="S158" i="86"/>
  <c r="P158" i="86"/>
  <c r="G158" i="86"/>
  <c r="F158" i="86"/>
  <c r="BC157" i="86"/>
  <c r="AZ157" i="86"/>
  <c r="AW157" i="86"/>
  <c r="AT157" i="86"/>
  <c r="AQ157" i="86"/>
  <c r="AN157" i="86"/>
  <c r="AK157" i="86"/>
  <c r="AH157" i="86"/>
  <c r="AE157" i="86"/>
  <c r="AB157" i="86"/>
  <c r="Y157" i="86"/>
  <c r="V157" i="86"/>
  <c r="S157" i="86"/>
  <c r="P157" i="86"/>
  <c r="G157" i="86"/>
  <c r="F157" i="86"/>
  <c r="BC156" i="86"/>
  <c r="AZ156" i="86"/>
  <c r="AW156" i="86"/>
  <c r="AT156" i="86"/>
  <c r="AQ156" i="86"/>
  <c r="AN156" i="86"/>
  <c r="AK156" i="86"/>
  <c r="AH156" i="86"/>
  <c r="AE156" i="86"/>
  <c r="AB156" i="86"/>
  <c r="Y156" i="86"/>
  <c r="V156" i="86"/>
  <c r="S156" i="86"/>
  <c r="P156" i="86"/>
  <c r="G156" i="86"/>
  <c r="F156" i="86"/>
  <c r="BC155" i="86"/>
  <c r="AZ155" i="86"/>
  <c r="AW155" i="86"/>
  <c r="AT155" i="86"/>
  <c r="AQ155" i="86"/>
  <c r="AN155" i="86"/>
  <c r="AK155" i="86"/>
  <c r="AH155" i="86"/>
  <c r="AE155" i="86"/>
  <c r="AB155" i="86"/>
  <c r="Y155" i="86"/>
  <c r="V155" i="86"/>
  <c r="S155" i="86"/>
  <c r="P155" i="86"/>
  <c r="G155" i="86"/>
  <c r="F155" i="86"/>
  <c r="BC154" i="86"/>
  <c r="AZ154" i="86"/>
  <c r="AW154" i="86"/>
  <c r="AT154" i="86"/>
  <c r="AQ154" i="86"/>
  <c r="AN154" i="86"/>
  <c r="AK154" i="86"/>
  <c r="AH154" i="86"/>
  <c r="AE154" i="86"/>
  <c r="AB154" i="86"/>
  <c r="Y154" i="86"/>
  <c r="V154" i="86"/>
  <c r="S154" i="86"/>
  <c r="P154" i="86"/>
  <c r="G154" i="86"/>
  <c r="F154" i="86"/>
  <c r="BC153" i="86"/>
  <c r="AZ153" i="86"/>
  <c r="AW153" i="86"/>
  <c r="AT153" i="86"/>
  <c r="AQ153" i="86"/>
  <c r="AN153" i="86"/>
  <c r="AK153" i="86"/>
  <c r="AH153" i="86"/>
  <c r="AE153" i="86"/>
  <c r="AB153" i="86"/>
  <c r="Y153" i="86"/>
  <c r="V153" i="86"/>
  <c r="S153" i="86"/>
  <c r="P153" i="86"/>
  <c r="G153" i="86"/>
  <c r="F153" i="86"/>
  <c r="BC152" i="86"/>
  <c r="AZ152" i="86"/>
  <c r="AW152" i="86"/>
  <c r="AT152" i="86"/>
  <c r="AQ152" i="86"/>
  <c r="AN152" i="86"/>
  <c r="AK152" i="86"/>
  <c r="AH152" i="86"/>
  <c r="AE152" i="86"/>
  <c r="AB152" i="86"/>
  <c r="Y152" i="86"/>
  <c r="V152" i="86"/>
  <c r="S152" i="86"/>
  <c r="P152" i="86"/>
  <c r="G152" i="86"/>
  <c r="F152" i="86"/>
  <c r="BC151" i="86"/>
  <c r="AZ151" i="86"/>
  <c r="AW151" i="86"/>
  <c r="AT151" i="86"/>
  <c r="AQ151" i="86"/>
  <c r="AN151" i="86"/>
  <c r="AK151" i="86"/>
  <c r="AH151" i="86"/>
  <c r="AE151" i="86"/>
  <c r="AB151" i="86"/>
  <c r="Y151" i="86"/>
  <c r="V151" i="86"/>
  <c r="S151" i="86"/>
  <c r="P151" i="86"/>
  <c r="G151" i="86"/>
  <c r="F151" i="86"/>
  <c r="BC150" i="86"/>
  <c r="AZ150" i="86"/>
  <c r="AW150" i="86"/>
  <c r="AT150" i="86"/>
  <c r="AQ150" i="86"/>
  <c r="AN150" i="86"/>
  <c r="AK150" i="86"/>
  <c r="AH150" i="86"/>
  <c r="AE150" i="86"/>
  <c r="AB150" i="86"/>
  <c r="Y150" i="86"/>
  <c r="V150" i="86"/>
  <c r="S150" i="86"/>
  <c r="P150" i="86"/>
  <c r="G150" i="86"/>
  <c r="F150" i="86"/>
  <c r="BC149" i="86"/>
  <c r="AZ149" i="86"/>
  <c r="AW149" i="86"/>
  <c r="AT149" i="86"/>
  <c r="AQ149" i="86"/>
  <c r="AN149" i="86"/>
  <c r="AK149" i="86"/>
  <c r="AH149" i="86"/>
  <c r="AE149" i="86"/>
  <c r="AB149" i="86"/>
  <c r="Y149" i="86"/>
  <c r="V149" i="86"/>
  <c r="S149" i="86"/>
  <c r="P149" i="86"/>
  <c r="G149" i="86"/>
  <c r="F149" i="86"/>
  <c r="BC148" i="86"/>
  <c r="AZ148" i="86"/>
  <c r="AW148" i="86"/>
  <c r="AT148" i="86"/>
  <c r="AQ148" i="86"/>
  <c r="AN148" i="86"/>
  <c r="AK148" i="86"/>
  <c r="AH148" i="86"/>
  <c r="AE148" i="86"/>
  <c r="AB148" i="86"/>
  <c r="Y148" i="86"/>
  <c r="V148" i="86"/>
  <c r="S148" i="86"/>
  <c r="P148" i="86"/>
  <c r="G148" i="86"/>
  <c r="F148" i="86"/>
  <c r="BC147" i="86"/>
  <c r="AZ147" i="86"/>
  <c r="AW147" i="86"/>
  <c r="AT147" i="86"/>
  <c r="AQ147" i="86"/>
  <c r="AN147" i="86"/>
  <c r="AK147" i="86"/>
  <c r="AH147" i="86"/>
  <c r="AE147" i="86"/>
  <c r="AB147" i="86"/>
  <c r="Y147" i="86"/>
  <c r="V147" i="86"/>
  <c r="S147" i="86"/>
  <c r="P147" i="86"/>
  <c r="G147" i="86"/>
  <c r="F147" i="86"/>
  <c r="BC146" i="86"/>
  <c r="AZ146" i="86"/>
  <c r="AW146" i="86"/>
  <c r="AT146" i="86"/>
  <c r="AQ146" i="86"/>
  <c r="AN146" i="86"/>
  <c r="AK146" i="86"/>
  <c r="AH146" i="86"/>
  <c r="AE146" i="86"/>
  <c r="AB146" i="86"/>
  <c r="Y146" i="86"/>
  <c r="V146" i="86"/>
  <c r="S146" i="86"/>
  <c r="P146" i="86"/>
  <c r="G146" i="86"/>
  <c r="F146" i="86"/>
  <c r="BC145" i="86"/>
  <c r="AZ145" i="86"/>
  <c r="AW145" i="86"/>
  <c r="AT145" i="86"/>
  <c r="AQ145" i="86"/>
  <c r="AN145" i="86"/>
  <c r="AK145" i="86"/>
  <c r="AH145" i="86"/>
  <c r="AE145" i="86"/>
  <c r="AB145" i="86"/>
  <c r="Y145" i="86"/>
  <c r="V145" i="86"/>
  <c r="S145" i="86"/>
  <c r="P145" i="86"/>
  <c r="G145" i="86"/>
  <c r="F145" i="86"/>
  <c r="BC144" i="86"/>
  <c r="AZ144" i="86"/>
  <c r="AW144" i="86"/>
  <c r="AT144" i="86"/>
  <c r="AQ144" i="86"/>
  <c r="AN144" i="86"/>
  <c r="AK144" i="86"/>
  <c r="AH144" i="86"/>
  <c r="AE144" i="86"/>
  <c r="AB144" i="86"/>
  <c r="Y144" i="86"/>
  <c r="V144" i="86"/>
  <c r="S144" i="86"/>
  <c r="P144" i="86"/>
  <c r="G144" i="86"/>
  <c r="F144" i="86"/>
  <c r="BC143" i="86"/>
  <c r="AZ143" i="86"/>
  <c r="AW143" i="86"/>
  <c r="AT143" i="86"/>
  <c r="AQ143" i="86"/>
  <c r="AN143" i="86"/>
  <c r="AK143" i="86"/>
  <c r="AH143" i="86"/>
  <c r="AE143" i="86"/>
  <c r="AB143" i="86"/>
  <c r="Y143" i="86"/>
  <c r="V143" i="86"/>
  <c r="S143" i="86"/>
  <c r="P143" i="86"/>
  <c r="G143" i="86"/>
  <c r="F143" i="86"/>
  <c r="BC142" i="86"/>
  <c r="AZ142" i="86"/>
  <c r="AW142" i="86"/>
  <c r="AT142" i="86"/>
  <c r="AQ142" i="86"/>
  <c r="AN142" i="86"/>
  <c r="AK142" i="86"/>
  <c r="AH142" i="86"/>
  <c r="AE142" i="86"/>
  <c r="AB142" i="86"/>
  <c r="Y142" i="86"/>
  <c r="V142" i="86"/>
  <c r="S142" i="86"/>
  <c r="P142" i="86"/>
  <c r="G142" i="86"/>
  <c r="F142" i="86"/>
  <c r="BC141" i="86"/>
  <c r="AZ141" i="86"/>
  <c r="AW141" i="86"/>
  <c r="AT141" i="86"/>
  <c r="AQ141" i="86"/>
  <c r="AN141" i="86"/>
  <c r="AK141" i="86"/>
  <c r="AH141" i="86"/>
  <c r="AE141" i="86"/>
  <c r="AB141" i="86"/>
  <c r="Y141" i="86"/>
  <c r="V141" i="86"/>
  <c r="S141" i="86"/>
  <c r="P141" i="86"/>
  <c r="G141" i="86"/>
  <c r="F141" i="86"/>
  <c r="BC140" i="86"/>
  <c r="AZ140" i="86"/>
  <c r="AW140" i="86"/>
  <c r="AT140" i="86"/>
  <c r="AQ140" i="86"/>
  <c r="AN140" i="86"/>
  <c r="AK140" i="86"/>
  <c r="AH140" i="86"/>
  <c r="AE140" i="86"/>
  <c r="AB140" i="86"/>
  <c r="Y140" i="86"/>
  <c r="V140" i="86"/>
  <c r="S140" i="86"/>
  <c r="P140" i="86"/>
  <c r="G140" i="86"/>
  <c r="F140" i="86"/>
  <c r="BC139" i="86"/>
  <c r="AZ139" i="86"/>
  <c r="AW139" i="86"/>
  <c r="AT139" i="86"/>
  <c r="AQ139" i="86"/>
  <c r="AN139" i="86"/>
  <c r="AK139" i="86"/>
  <c r="AH139" i="86"/>
  <c r="AE139" i="86"/>
  <c r="AB139" i="86"/>
  <c r="Y139" i="86"/>
  <c r="V139" i="86"/>
  <c r="S139" i="86"/>
  <c r="P139" i="86"/>
  <c r="G139" i="86"/>
  <c r="F139" i="86"/>
  <c r="BC138" i="86"/>
  <c r="AZ138" i="86"/>
  <c r="AW138" i="86"/>
  <c r="AT138" i="86"/>
  <c r="AQ138" i="86"/>
  <c r="AN138" i="86"/>
  <c r="AK138" i="86"/>
  <c r="AH138" i="86"/>
  <c r="AE138" i="86"/>
  <c r="AB138" i="86"/>
  <c r="Y138" i="86"/>
  <c r="V138" i="86"/>
  <c r="S138" i="86"/>
  <c r="P138" i="86"/>
  <c r="G138" i="86"/>
  <c r="F138" i="86"/>
  <c r="BC137" i="86"/>
  <c r="AZ137" i="86"/>
  <c r="AW137" i="86"/>
  <c r="AT137" i="86"/>
  <c r="AQ137" i="86"/>
  <c r="AN137" i="86"/>
  <c r="AK137" i="86"/>
  <c r="AH137" i="86"/>
  <c r="AE137" i="86"/>
  <c r="AB137" i="86"/>
  <c r="Y137" i="86"/>
  <c r="V137" i="86"/>
  <c r="S137" i="86"/>
  <c r="P137" i="86"/>
  <c r="G137" i="86"/>
  <c r="F137" i="86"/>
  <c r="BC136" i="86"/>
  <c r="AZ136" i="86"/>
  <c r="AW136" i="86"/>
  <c r="AT136" i="86"/>
  <c r="AQ136" i="86"/>
  <c r="AN136" i="86"/>
  <c r="AK136" i="86"/>
  <c r="AH136" i="86"/>
  <c r="AE136" i="86"/>
  <c r="AB136" i="86"/>
  <c r="Y136" i="86"/>
  <c r="V136" i="86"/>
  <c r="S136" i="86"/>
  <c r="P136" i="86"/>
  <c r="G136" i="86"/>
  <c r="F136" i="86"/>
  <c r="BC135" i="86"/>
  <c r="AZ135" i="86"/>
  <c r="AW135" i="86"/>
  <c r="AT135" i="86"/>
  <c r="AQ135" i="86"/>
  <c r="AN135" i="86"/>
  <c r="AK135" i="86"/>
  <c r="AH135" i="86"/>
  <c r="AE135" i="86"/>
  <c r="AB135" i="86"/>
  <c r="Y135" i="86"/>
  <c r="V135" i="86"/>
  <c r="S135" i="86"/>
  <c r="P135" i="86"/>
  <c r="G135" i="86"/>
  <c r="F135" i="86"/>
  <c r="BC134" i="86"/>
  <c r="AZ134" i="86"/>
  <c r="AW134" i="86"/>
  <c r="AT134" i="86"/>
  <c r="AQ134" i="86"/>
  <c r="AN134" i="86"/>
  <c r="AK134" i="86"/>
  <c r="AH134" i="86"/>
  <c r="AE134" i="86"/>
  <c r="AB134" i="86"/>
  <c r="Y134" i="86"/>
  <c r="V134" i="86"/>
  <c r="S134" i="86"/>
  <c r="P134" i="86"/>
  <c r="G134" i="86"/>
  <c r="F134" i="86"/>
  <c r="BC133" i="86"/>
  <c r="AZ133" i="86"/>
  <c r="AW133" i="86"/>
  <c r="AT133" i="86"/>
  <c r="AQ133" i="86"/>
  <c r="AN133" i="86"/>
  <c r="AK133" i="86"/>
  <c r="AH133" i="86"/>
  <c r="AE133" i="86"/>
  <c r="AB133" i="86"/>
  <c r="Y133" i="86"/>
  <c r="V133" i="86"/>
  <c r="S133" i="86"/>
  <c r="P133" i="86"/>
  <c r="G133" i="86"/>
  <c r="F133" i="86"/>
  <c r="BC132" i="86"/>
  <c r="AZ132" i="86"/>
  <c r="AW132" i="86"/>
  <c r="AT132" i="86"/>
  <c r="AQ132" i="86"/>
  <c r="AN132" i="86"/>
  <c r="AK132" i="86"/>
  <c r="AH132" i="86"/>
  <c r="AE132" i="86"/>
  <c r="AB132" i="86"/>
  <c r="Y132" i="86"/>
  <c r="V132" i="86"/>
  <c r="S132" i="86"/>
  <c r="P132" i="86"/>
  <c r="G132" i="86"/>
  <c r="F132" i="86"/>
  <c r="BC131" i="86"/>
  <c r="AZ131" i="86"/>
  <c r="AW131" i="86"/>
  <c r="AT131" i="86"/>
  <c r="AQ131" i="86"/>
  <c r="AN131" i="86"/>
  <c r="AK131" i="86"/>
  <c r="AH131" i="86"/>
  <c r="AE131" i="86"/>
  <c r="AB131" i="86"/>
  <c r="Y131" i="86"/>
  <c r="V131" i="86"/>
  <c r="S131" i="86"/>
  <c r="P131" i="86"/>
  <c r="G131" i="86"/>
  <c r="F131" i="86"/>
  <c r="BC130" i="86"/>
  <c r="AZ130" i="86"/>
  <c r="AW130" i="86"/>
  <c r="AT130" i="86"/>
  <c r="AQ130" i="86"/>
  <c r="AN130" i="86"/>
  <c r="AK130" i="86"/>
  <c r="AH130" i="86"/>
  <c r="AE130" i="86"/>
  <c r="AB130" i="86"/>
  <c r="Y130" i="86"/>
  <c r="V130" i="86"/>
  <c r="S130" i="86"/>
  <c r="P130" i="86"/>
  <c r="G130" i="86"/>
  <c r="F130" i="86"/>
  <c r="BC129" i="86"/>
  <c r="AZ129" i="86"/>
  <c r="AW129" i="86"/>
  <c r="AT129" i="86"/>
  <c r="AQ129" i="86"/>
  <c r="AN129" i="86"/>
  <c r="AK129" i="86"/>
  <c r="AH129" i="86"/>
  <c r="AE129" i="86"/>
  <c r="AB129" i="86"/>
  <c r="Y129" i="86"/>
  <c r="V129" i="86"/>
  <c r="S129" i="86"/>
  <c r="P129" i="86"/>
  <c r="G129" i="86"/>
  <c r="F129" i="86"/>
  <c r="BC128" i="86"/>
  <c r="AZ128" i="86"/>
  <c r="AW128" i="86"/>
  <c r="AT128" i="86"/>
  <c r="AQ128" i="86"/>
  <c r="AN128" i="86"/>
  <c r="AK128" i="86"/>
  <c r="AH128" i="86"/>
  <c r="AE128" i="86"/>
  <c r="AB128" i="86"/>
  <c r="Y128" i="86"/>
  <c r="V128" i="86"/>
  <c r="S128" i="86"/>
  <c r="P128" i="86"/>
  <c r="G128" i="86"/>
  <c r="F128" i="86"/>
  <c r="BC127" i="86"/>
  <c r="AZ127" i="86"/>
  <c r="AW127" i="86"/>
  <c r="AT127" i="86"/>
  <c r="AQ127" i="86"/>
  <c r="AN127" i="86"/>
  <c r="AK127" i="86"/>
  <c r="AH127" i="86"/>
  <c r="AE127" i="86"/>
  <c r="AB127" i="86"/>
  <c r="Y127" i="86"/>
  <c r="V127" i="86"/>
  <c r="S127" i="86"/>
  <c r="P127" i="86"/>
  <c r="G127" i="86"/>
  <c r="F127" i="86"/>
  <c r="BC126" i="86"/>
  <c r="AZ126" i="86"/>
  <c r="AW126" i="86"/>
  <c r="AT126" i="86"/>
  <c r="AQ126" i="86"/>
  <c r="AN126" i="86"/>
  <c r="AK126" i="86"/>
  <c r="AH126" i="86"/>
  <c r="AE126" i="86"/>
  <c r="AB126" i="86"/>
  <c r="Y126" i="86"/>
  <c r="V126" i="86"/>
  <c r="S126" i="86"/>
  <c r="P126" i="86"/>
  <c r="G126" i="86"/>
  <c r="F126" i="86"/>
  <c r="BC125" i="86"/>
  <c r="AZ125" i="86"/>
  <c r="AW125" i="86"/>
  <c r="AT125" i="86"/>
  <c r="AQ125" i="86"/>
  <c r="AN125" i="86"/>
  <c r="AK125" i="86"/>
  <c r="AH125" i="86"/>
  <c r="AE125" i="86"/>
  <c r="AB125" i="86"/>
  <c r="Y125" i="86"/>
  <c r="V125" i="86"/>
  <c r="S125" i="86"/>
  <c r="P125" i="86"/>
  <c r="G125" i="86"/>
  <c r="F125" i="86"/>
  <c r="BC124" i="86"/>
  <c r="AZ124" i="86"/>
  <c r="AW124" i="86"/>
  <c r="AT124" i="86"/>
  <c r="AQ124" i="86"/>
  <c r="AN124" i="86"/>
  <c r="AK124" i="86"/>
  <c r="AH124" i="86"/>
  <c r="AE124" i="86"/>
  <c r="AB124" i="86"/>
  <c r="Y124" i="86"/>
  <c r="V124" i="86"/>
  <c r="S124" i="86"/>
  <c r="P124" i="86"/>
  <c r="G124" i="86"/>
  <c r="F124" i="86"/>
  <c r="BC123" i="86"/>
  <c r="AZ123" i="86"/>
  <c r="AW123" i="86"/>
  <c r="AT123" i="86"/>
  <c r="AQ123" i="86"/>
  <c r="AN123" i="86"/>
  <c r="AK123" i="86"/>
  <c r="AH123" i="86"/>
  <c r="AE123" i="86"/>
  <c r="AB123" i="86"/>
  <c r="Y123" i="86"/>
  <c r="V123" i="86"/>
  <c r="S123" i="86"/>
  <c r="P123" i="86"/>
  <c r="G123" i="86"/>
  <c r="F123" i="86"/>
  <c r="BC122" i="86"/>
  <c r="AZ122" i="86"/>
  <c r="AW122" i="86"/>
  <c r="AT122" i="86"/>
  <c r="AQ122" i="86"/>
  <c r="AN122" i="86"/>
  <c r="AK122" i="86"/>
  <c r="AH122" i="86"/>
  <c r="AE122" i="86"/>
  <c r="AB122" i="86"/>
  <c r="Y122" i="86"/>
  <c r="V122" i="86"/>
  <c r="S122" i="86"/>
  <c r="P122" i="86"/>
  <c r="G122" i="86"/>
  <c r="F122" i="86"/>
  <c r="BC121" i="86"/>
  <c r="AZ121" i="86"/>
  <c r="AW121" i="86"/>
  <c r="AT121" i="86"/>
  <c r="AQ121" i="86"/>
  <c r="AN121" i="86"/>
  <c r="AK121" i="86"/>
  <c r="AH121" i="86"/>
  <c r="AE121" i="86"/>
  <c r="AB121" i="86"/>
  <c r="Y121" i="86"/>
  <c r="V121" i="86"/>
  <c r="S121" i="86"/>
  <c r="P121" i="86"/>
  <c r="G121" i="86"/>
  <c r="F121" i="86"/>
  <c r="BC120" i="86"/>
  <c r="AZ120" i="86"/>
  <c r="AW120" i="86"/>
  <c r="AT120" i="86"/>
  <c r="AQ120" i="86"/>
  <c r="AN120" i="86"/>
  <c r="AK120" i="86"/>
  <c r="AH120" i="86"/>
  <c r="AE120" i="86"/>
  <c r="AB120" i="86"/>
  <c r="Y120" i="86"/>
  <c r="V120" i="86"/>
  <c r="S120" i="86"/>
  <c r="P120" i="86"/>
  <c r="G120" i="86"/>
  <c r="F120" i="86"/>
  <c r="BC119" i="86"/>
  <c r="AZ119" i="86"/>
  <c r="AW119" i="86"/>
  <c r="AT119" i="86"/>
  <c r="AQ119" i="86"/>
  <c r="AN119" i="86"/>
  <c r="AK119" i="86"/>
  <c r="AH119" i="86"/>
  <c r="AE119" i="86"/>
  <c r="AB119" i="86"/>
  <c r="Y119" i="86"/>
  <c r="V119" i="86"/>
  <c r="S119" i="86"/>
  <c r="P119" i="86"/>
  <c r="G119" i="86"/>
  <c r="F119" i="86"/>
  <c r="BC118" i="86"/>
  <c r="AZ118" i="86"/>
  <c r="AW118" i="86"/>
  <c r="AT118" i="86"/>
  <c r="AQ118" i="86"/>
  <c r="AN118" i="86"/>
  <c r="AK118" i="86"/>
  <c r="AH118" i="86"/>
  <c r="AE118" i="86"/>
  <c r="AB118" i="86"/>
  <c r="Y118" i="86"/>
  <c r="V118" i="86"/>
  <c r="S118" i="86"/>
  <c r="P118" i="86"/>
  <c r="G118" i="86"/>
  <c r="F118" i="86"/>
  <c r="BC117" i="86"/>
  <c r="AZ117" i="86"/>
  <c r="AW117" i="86"/>
  <c r="AT117" i="86"/>
  <c r="AQ117" i="86"/>
  <c r="AN117" i="86"/>
  <c r="AK117" i="86"/>
  <c r="AH117" i="86"/>
  <c r="AE117" i="86"/>
  <c r="AB117" i="86"/>
  <c r="Y117" i="86"/>
  <c r="V117" i="86"/>
  <c r="S117" i="86"/>
  <c r="P117" i="86"/>
  <c r="G117" i="86"/>
  <c r="F117" i="86"/>
  <c r="BC116" i="86"/>
  <c r="AZ116" i="86"/>
  <c r="AW116" i="86"/>
  <c r="AT116" i="86"/>
  <c r="AQ116" i="86"/>
  <c r="AN116" i="86"/>
  <c r="AK116" i="86"/>
  <c r="AH116" i="86"/>
  <c r="AE116" i="86"/>
  <c r="AB116" i="86"/>
  <c r="Y116" i="86"/>
  <c r="V116" i="86"/>
  <c r="S116" i="86"/>
  <c r="P116" i="86"/>
  <c r="G116" i="86"/>
  <c r="F116" i="86"/>
  <c r="BC115" i="86"/>
  <c r="AZ115" i="86"/>
  <c r="AW115" i="86"/>
  <c r="AT115" i="86"/>
  <c r="AQ115" i="86"/>
  <c r="AN115" i="86"/>
  <c r="AK115" i="86"/>
  <c r="AH115" i="86"/>
  <c r="AE115" i="86"/>
  <c r="AB115" i="86"/>
  <c r="Y115" i="86"/>
  <c r="V115" i="86"/>
  <c r="S115" i="86"/>
  <c r="P115" i="86"/>
  <c r="G115" i="86"/>
  <c r="F115" i="86"/>
  <c r="BC114" i="86"/>
  <c r="AZ114" i="86"/>
  <c r="AW114" i="86"/>
  <c r="AT114" i="86"/>
  <c r="AQ114" i="86"/>
  <c r="AN114" i="86"/>
  <c r="AK114" i="86"/>
  <c r="AH114" i="86"/>
  <c r="AE114" i="86"/>
  <c r="AB114" i="86"/>
  <c r="Y114" i="86"/>
  <c r="V114" i="86"/>
  <c r="S114" i="86"/>
  <c r="P114" i="86"/>
  <c r="G114" i="86"/>
  <c r="F114" i="86"/>
  <c r="BC113" i="86"/>
  <c r="AZ113" i="86"/>
  <c r="AW113" i="86"/>
  <c r="AT113" i="86"/>
  <c r="AQ113" i="86"/>
  <c r="AN113" i="86"/>
  <c r="AK113" i="86"/>
  <c r="AH113" i="86"/>
  <c r="AE113" i="86"/>
  <c r="AB113" i="86"/>
  <c r="Y113" i="86"/>
  <c r="V113" i="86"/>
  <c r="S113" i="86"/>
  <c r="P113" i="86"/>
  <c r="G113" i="86"/>
  <c r="F113" i="86"/>
  <c r="BC112" i="86"/>
  <c r="AZ112" i="86"/>
  <c r="AW112" i="86"/>
  <c r="AT112" i="86"/>
  <c r="AQ112" i="86"/>
  <c r="AN112" i="86"/>
  <c r="AK112" i="86"/>
  <c r="AH112" i="86"/>
  <c r="AE112" i="86"/>
  <c r="AB112" i="86"/>
  <c r="Y112" i="86"/>
  <c r="V112" i="86"/>
  <c r="S112" i="86"/>
  <c r="P112" i="86"/>
  <c r="G112" i="86"/>
  <c r="F112" i="86"/>
  <c r="BC111" i="86"/>
  <c r="AZ111" i="86"/>
  <c r="AW111" i="86"/>
  <c r="AT111" i="86"/>
  <c r="AQ111" i="86"/>
  <c r="AN111" i="86"/>
  <c r="AK111" i="86"/>
  <c r="AH111" i="86"/>
  <c r="AE111" i="86"/>
  <c r="AB111" i="86"/>
  <c r="Y111" i="86"/>
  <c r="V111" i="86"/>
  <c r="S111" i="86"/>
  <c r="P111" i="86"/>
  <c r="G111" i="86"/>
  <c r="F111" i="86"/>
  <c r="BC110" i="86"/>
  <c r="AZ110" i="86"/>
  <c r="AW110" i="86"/>
  <c r="AT110" i="86"/>
  <c r="AQ110" i="86"/>
  <c r="AN110" i="86"/>
  <c r="AK110" i="86"/>
  <c r="AH110" i="86"/>
  <c r="AE110" i="86"/>
  <c r="AB110" i="86"/>
  <c r="Y110" i="86"/>
  <c r="V110" i="86"/>
  <c r="S110" i="86"/>
  <c r="P110" i="86"/>
  <c r="G110" i="86"/>
  <c r="F110" i="86"/>
  <c r="BC109" i="86"/>
  <c r="AZ109" i="86"/>
  <c r="AW109" i="86"/>
  <c r="AT109" i="86"/>
  <c r="AQ109" i="86"/>
  <c r="AN109" i="86"/>
  <c r="AK109" i="86"/>
  <c r="AH109" i="86"/>
  <c r="AE109" i="86"/>
  <c r="AB109" i="86"/>
  <c r="Y109" i="86"/>
  <c r="V109" i="86"/>
  <c r="S109" i="86"/>
  <c r="P109" i="86"/>
  <c r="G109" i="86"/>
  <c r="F109" i="86"/>
  <c r="BC108" i="86"/>
  <c r="AZ108" i="86"/>
  <c r="AW108" i="86"/>
  <c r="AT108" i="86"/>
  <c r="AQ108" i="86"/>
  <c r="AN108" i="86"/>
  <c r="AK108" i="86"/>
  <c r="AH108" i="86"/>
  <c r="AE108" i="86"/>
  <c r="AB108" i="86"/>
  <c r="Y108" i="86"/>
  <c r="V108" i="86"/>
  <c r="S108" i="86"/>
  <c r="P108" i="86"/>
  <c r="G108" i="86"/>
  <c r="F108" i="86"/>
  <c r="BC107" i="86"/>
  <c r="AZ107" i="86"/>
  <c r="AW107" i="86"/>
  <c r="AT107" i="86"/>
  <c r="AQ107" i="86"/>
  <c r="AN107" i="86"/>
  <c r="AK107" i="86"/>
  <c r="AH107" i="86"/>
  <c r="AE107" i="86"/>
  <c r="AB107" i="86"/>
  <c r="Y107" i="86"/>
  <c r="V107" i="86"/>
  <c r="S107" i="86"/>
  <c r="P107" i="86"/>
  <c r="G107" i="86"/>
  <c r="F107" i="86"/>
  <c r="BC106" i="86"/>
  <c r="AZ106" i="86"/>
  <c r="AW106" i="86"/>
  <c r="AT106" i="86"/>
  <c r="AQ106" i="86"/>
  <c r="AN106" i="86"/>
  <c r="AK106" i="86"/>
  <c r="AH106" i="86"/>
  <c r="AE106" i="86"/>
  <c r="AB106" i="86"/>
  <c r="Y106" i="86"/>
  <c r="V106" i="86"/>
  <c r="S106" i="86"/>
  <c r="P106" i="86"/>
  <c r="G106" i="86"/>
  <c r="F106" i="86"/>
  <c r="BC105" i="86"/>
  <c r="AZ105" i="86"/>
  <c r="AW105" i="86"/>
  <c r="AT105" i="86"/>
  <c r="AQ105" i="86"/>
  <c r="AN105" i="86"/>
  <c r="AK105" i="86"/>
  <c r="AH105" i="86"/>
  <c r="AE105" i="86"/>
  <c r="AB105" i="86"/>
  <c r="Y105" i="86"/>
  <c r="V105" i="86"/>
  <c r="S105" i="86"/>
  <c r="P105" i="86"/>
  <c r="G105" i="86"/>
  <c r="F105" i="86"/>
  <c r="BC104" i="86"/>
  <c r="AZ104" i="86"/>
  <c r="AW104" i="86"/>
  <c r="AT104" i="86"/>
  <c r="AQ104" i="86"/>
  <c r="AN104" i="86"/>
  <c r="AK104" i="86"/>
  <c r="AH104" i="86"/>
  <c r="AE104" i="86"/>
  <c r="AB104" i="86"/>
  <c r="Y104" i="86"/>
  <c r="V104" i="86"/>
  <c r="S104" i="86"/>
  <c r="P104" i="86"/>
  <c r="G104" i="86"/>
  <c r="F104" i="86"/>
  <c r="BC103" i="86"/>
  <c r="AZ103" i="86"/>
  <c r="AW103" i="86"/>
  <c r="AT103" i="86"/>
  <c r="AQ103" i="86"/>
  <c r="AN103" i="86"/>
  <c r="AK103" i="86"/>
  <c r="AH103" i="86"/>
  <c r="AE103" i="86"/>
  <c r="AB103" i="86"/>
  <c r="Y103" i="86"/>
  <c r="V103" i="86"/>
  <c r="S103" i="86"/>
  <c r="P103" i="86"/>
  <c r="G103" i="86"/>
  <c r="F103" i="86"/>
  <c r="BC102" i="86"/>
  <c r="AZ102" i="86"/>
  <c r="AW102" i="86"/>
  <c r="AT102" i="86"/>
  <c r="AQ102" i="86"/>
  <c r="AN102" i="86"/>
  <c r="AK102" i="86"/>
  <c r="AH102" i="86"/>
  <c r="AE102" i="86"/>
  <c r="AB102" i="86"/>
  <c r="Y102" i="86"/>
  <c r="V102" i="86"/>
  <c r="S102" i="86"/>
  <c r="P102" i="86"/>
  <c r="G102" i="86"/>
  <c r="F102" i="86"/>
  <c r="BC101" i="86"/>
  <c r="AZ101" i="86"/>
  <c r="AW101" i="86"/>
  <c r="AT101" i="86"/>
  <c r="AQ101" i="86"/>
  <c r="AN101" i="86"/>
  <c r="AK101" i="86"/>
  <c r="AH101" i="86"/>
  <c r="AE101" i="86"/>
  <c r="AB101" i="86"/>
  <c r="Y101" i="86"/>
  <c r="V101" i="86"/>
  <c r="S101" i="86"/>
  <c r="P101" i="86"/>
  <c r="G101" i="86"/>
  <c r="F101" i="86"/>
  <c r="BC100" i="86"/>
  <c r="AZ100" i="86"/>
  <c r="AW100" i="86"/>
  <c r="AT100" i="86"/>
  <c r="AQ100" i="86"/>
  <c r="AN100" i="86"/>
  <c r="AK100" i="86"/>
  <c r="AH100" i="86"/>
  <c r="AE100" i="86"/>
  <c r="AB100" i="86"/>
  <c r="Y100" i="86"/>
  <c r="V100" i="86"/>
  <c r="S100" i="86"/>
  <c r="P100" i="86"/>
  <c r="G100" i="86"/>
  <c r="F100" i="86"/>
  <c r="BC99" i="86"/>
  <c r="AZ99" i="86"/>
  <c r="AW99" i="86"/>
  <c r="AT99" i="86"/>
  <c r="AQ99" i="86"/>
  <c r="AN99" i="86"/>
  <c r="AK99" i="86"/>
  <c r="AH99" i="86"/>
  <c r="AE99" i="86"/>
  <c r="AB99" i="86"/>
  <c r="Y99" i="86"/>
  <c r="V99" i="86"/>
  <c r="S99" i="86"/>
  <c r="P99" i="86"/>
  <c r="G99" i="86"/>
  <c r="F99" i="86"/>
  <c r="BC98" i="86"/>
  <c r="AZ98" i="86"/>
  <c r="AW98" i="86"/>
  <c r="AT98" i="86"/>
  <c r="AQ98" i="86"/>
  <c r="AN98" i="86"/>
  <c r="AK98" i="86"/>
  <c r="AH98" i="86"/>
  <c r="AE98" i="86"/>
  <c r="AB98" i="86"/>
  <c r="Y98" i="86"/>
  <c r="V98" i="86"/>
  <c r="S98" i="86"/>
  <c r="P98" i="86"/>
  <c r="G98" i="86"/>
  <c r="F98" i="86"/>
  <c r="BC97" i="86"/>
  <c r="AZ97" i="86"/>
  <c r="AW97" i="86"/>
  <c r="AT97" i="86"/>
  <c r="AQ97" i="86"/>
  <c r="AN97" i="86"/>
  <c r="AK97" i="86"/>
  <c r="AH97" i="86"/>
  <c r="AE97" i="86"/>
  <c r="AB97" i="86"/>
  <c r="Y97" i="86"/>
  <c r="V97" i="86"/>
  <c r="S97" i="86"/>
  <c r="P97" i="86"/>
  <c r="G97" i="86"/>
  <c r="F97" i="86"/>
  <c r="BC96" i="86"/>
  <c r="AZ96" i="86"/>
  <c r="AW96" i="86"/>
  <c r="AT96" i="86"/>
  <c r="AQ96" i="86"/>
  <c r="AN96" i="86"/>
  <c r="AK96" i="86"/>
  <c r="AH96" i="86"/>
  <c r="AE96" i="86"/>
  <c r="AB96" i="86"/>
  <c r="Y96" i="86"/>
  <c r="V96" i="86"/>
  <c r="S96" i="86"/>
  <c r="P96" i="86"/>
  <c r="G96" i="86"/>
  <c r="F96" i="86"/>
  <c r="BC95" i="86"/>
  <c r="AZ95" i="86"/>
  <c r="AW95" i="86"/>
  <c r="AT95" i="86"/>
  <c r="AQ95" i="86"/>
  <c r="AN95" i="86"/>
  <c r="AK95" i="86"/>
  <c r="AH95" i="86"/>
  <c r="AE95" i="86"/>
  <c r="AB95" i="86"/>
  <c r="Y95" i="86"/>
  <c r="V95" i="86"/>
  <c r="S95" i="86"/>
  <c r="P95" i="86"/>
  <c r="G95" i="86"/>
  <c r="F95" i="86"/>
  <c r="BC94" i="86"/>
  <c r="AZ94" i="86"/>
  <c r="AW94" i="86"/>
  <c r="AT94" i="86"/>
  <c r="AQ94" i="86"/>
  <c r="AN94" i="86"/>
  <c r="AK94" i="86"/>
  <c r="AH94" i="86"/>
  <c r="AE94" i="86"/>
  <c r="AB94" i="86"/>
  <c r="Y94" i="86"/>
  <c r="V94" i="86"/>
  <c r="S94" i="86"/>
  <c r="P94" i="86"/>
  <c r="G94" i="86"/>
  <c r="F94" i="86"/>
  <c r="BC93" i="86"/>
  <c r="AZ93" i="86"/>
  <c r="AW93" i="86"/>
  <c r="AT93" i="86"/>
  <c r="AQ93" i="86"/>
  <c r="AN93" i="86"/>
  <c r="AK93" i="86"/>
  <c r="AH93" i="86"/>
  <c r="AE93" i="86"/>
  <c r="AB93" i="86"/>
  <c r="Y93" i="86"/>
  <c r="V93" i="86"/>
  <c r="S93" i="86"/>
  <c r="P93" i="86"/>
  <c r="G93" i="86"/>
  <c r="F93" i="86"/>
  <c r="BC92" i="86"/>
  <c r="AZ92" i="86"/>
  <c r="AW92" i="86"/>
  <c r="AT92" i="86"/>
  <c r="AQ92" i="86"/>
  <c r="AN92" i="86"/>
  <c r="AK92" i="86"/>
  <c r="AH92" i="86"/>
  <c r="AE92" i="86"/>
  <c r="AB92" i="86"/>
  <c r="Y92" i="86"/>
  <c r="V92" i="86"/>
  <c r="S92" i="86"/>
  <c r="P92" i="86"/>
  <c r="G92" i="86"/>
  <c r="F92" i="86"/>
  <c r="BC91" i="86"/>
  <c r="AZ91" i="86"/>
  <c r="AW91" i="86"/>
  <c r="AT91" i="86"/>
  <c r="AQ91" i="86"/>
  <c r="AN91" i="86"/>
  <c r="AK91" i="86"/>
  <c r="AH91" i="86"/>
  <c r="AE91" i="86"/>
  <c r="AB91" i="86"/>
  <c r="Y91" i="86"/>
  <c r="V91" i="86"/>
  <c r="S91" i="86"/>
  <c r="P91" i="86"/>
  <c r="G91" i="86"/>
  <c r="F91" i="86"/>
  <c r="BC90" i="86"/>
  <c r="AZ90" i="86"/>
  <c r="AW90" i="86"/>
  <c r="AT90" i="86"/>
  <c r="AQ90" i="86"/>
  <c r="AN90" i="86"/>
  <c r="AK90" i="86"/>
  <c r="AH90" i="86"/>
  <c r="AE90" i="86"/>
  <c r="AB90" i="86"/>
  <c r="Y90" i="86"/>
  <c r="V90" i="86"/>
  <c r="S90" i="86"/>
  <c r="P90" i="86"/>
  <c r="G90" i="86"/>
  <c r="F90" i="86"/>
  <c r="BC89" i="86"/>
  <c r="AZ89" i="86"/>
  <c r="AW89" i="86"/>
  <c r="AT89" i="86"/>
  <c r="AQ89" i="86"/>
  <c r="AN89" i="86"/>
  <c r="AK89" i="86"/>
  <c r="AH89" i="86"/>
  <c r="AE89" i="86"/>
  <c r="AB89" i="86"/>
  <c r="Y89" i="86"/>
  <c r="V89" i="86"/>
  <c r="S89" i="86"/>
  <c r="P89" i="86"/>
  <c r="G89" i="86"/>
  <c r="F89" i="86"/>
  <c r="BC88" i="86"/>
  <c r="AZ88" i="86"/>
  <c r="AW88" i="86"/>
  <c r="AT88" i="86"/>
  <c r="AQ88" i="86"/>
  <c r="AN88" i="86"/>
  <c r="AK88" i="86"/>
  <c r="AH88" i="86"/>
  <c r="AE88" i="86"/>
  <c r="AB88" i="86"/>
  <c r="Y88" i="86"/>
  <c r="V88" i="86"/>
  <c r="S88" i="86"/>
  <c r="P88" i="86"/>
  <c r="G88" i="86"/>
  <c r="F88" i="86"/>
  <c r="BC87" i="86"/>
  <c r="AZ87" i="86"/>
  <c r="AW87" i="86"/>
  <c r="AT87" i="86"/>
  <c r="AQ87" i="86"/>
  <c r="AN87" i="86"/>
  <c r="AK87" i="86"/>
  <c r="AH87" i="86"/>
  <c r="AE87" i="86"/>
  <c r="AB87" i="86"/>
  <c r="Y87" i="86"/>
  <c r="V87" i="86"/>
  <c r="S87" i="86"/>
  <c r="P87" i="86"/>
  <c r="G87" i="86"/>
  <c r="F87" i="86"/>
  <c r="BC86" i="86"/>
  <c r="AZ86" i="86"/>
  <c r="AW86" i="86"/>
  <c r="AT86" i="86"/>
  <c r="AQ86" i="86"/>
  <c r="AN86" i="86"/>
  <c r="AK86" i="86"/>
  <c r="AH86" i="86"/>
  <c r="AE86" i="86"/>
  <c r="AB86" i="86"/>
  <c r="Y86" i="86"/>
  <c r="V86" i="86"/>
  <c r="S86" i="86"/>
  <c r="P86" i="86"/>
  <c r="G86" i="86"/>
  <c r="F86" i="86"/>
  <c r="BC85" i="86"/>
  <c r="AZ85" i="86"/>
  <c r="AW85" i="86"/>
  <c r="AT85" i="86"/>
  <c r="AQ85" i="86"/>
  <c r="AN85" i="86"/>
  <c r="AK85" i="86"/>
  <c r="AH85" i="86"/>
  <c r="AE85" i="86"/>
  <c r="AB85" i="86"/>
  <c r="Y85" i="86"/>
  <c r="V85" i="86"/>
  <c r="S85" i="86"/>
  <c r="P85" i="86"/>
  <c r="G85" i="86"/>
  <c r="F85" i="86"/>
  <c r="BC84" i="86"/>
  <c r="AZ84" i="86"/>
  <c r="AW84" i="86"/>
  <c r="AT84" i="86"/>
  <c r="AQ84" i="86"/>
  <c r="AN84" i="86"/>
  <c r="AK84" i="86"/>
  <c r="AH84" i="86"/>
  <c r="AE84" i="86"/>
  <c r="AB84" i="86"/>
  <c r="Y84" i="86"/>
  <c r="V84" i="86"/>
  <c r="S84" i="86"/>
  <c r="P84" i="86"/>
  <c r="G84" i="86"/>
  <c r="F84" i="86"/>
  <c r="BC83" i="86"/>
  <c r="AZ83" i="86"/>
  <c r="AW83" i="86"/>
  <c r="AT83" i="86"/>
  <c r="AQ83" i="86"/>
  <c r="AN83" i="86"/>
  <c r="AK83" i="86"/>
  <c r="AH83" i="86"/>
  <c r="AE83" i="86"/>
  <c r="AB83" i="86"/>
  <c r="Y83" i="86"/>
  <c r="V83" i="86"/>
  <c r="S83" i="86"/>
  <c r="P83" i="86"/>
  <c r="G83" i="86"/>
  <c r="F83" i="86"/>
  <c r="BC82" i="86"/>
  <c r="AZ82" i="86"/>
  <c r="AW82" i="86"/>
  <c r="AT82" i="86"/>
  <c r="AQ82" i="86"/>
  <c r="AN82" i="86"/>
  <c r="AK82" i="86"/>
  <c r="AH82" i="86"/>
  <c r="AE82" i="86"/>
  <c r="AB82" i="86"/>
  <c r="Y82" i="86"/>
  <c r="V82" i="86"/>
  <c r="S82" i="86"/>
  <c r="P82" i="86"/>
  <c r="G82" i="86"/>
  <c r="F82" i="86"/>
  <c r="BC81" i="86"/>
  <c r="AZ81" i="86"/>
  <c r="AW81" i="86"/>
  <c r="AT81" i="86"/>
  <c r="AQ81" i="86"/>
  <c r="AN81" i="86"/>
  <c r="AK81" i="86"/>
  <c r="AH81" i="86"/>
  <c r="AE81" i="86"/>
  <c r="AB81" i="86"/>
  <c r="Y81" i="86"/>
  <c r="V81" i="86"/>
  <c r="S81" i="86"/>
  <c r="P81" i="86"/>
  <c r="G81" i="86"/>
  <c r="F81" i="86"/>
  <c r="BC80" i="86"/>
  <c r="AZ80" i="86"/>
  <c r="AW80" i="86"/>
  <c r="AT80" i="86"/>
  <c r="AQ80" i="86"/>
  <c r="AN80" i="86"/>
  <c r="AK80" i="86"/>
  <c r="AH80" i="86"/>
  <c r="AE80" i="86"/>
  <c r="AB80" i="86"/>
  <c r="Y80" i="86"/>
  <c r="V80" i="86"/>
  <c r="S80" i="86"/>
  <c r="P80" i="86"/>
  <c r="G80" i="86"/>
  <c r="F80" i="86"/>
  <c r="BC79" i="86"/>
  <c r="AZ79" i="86"/>
  <c r="AW79" i="86"/>
  <c r="AT79" i="86"/>
  <c r="AQ79" i="86"/>
  <c r="AN79" i="86"/>
  <c r="AK79" i="86"/>
  <c r="AH79" i="86"/>
  <c r="AE79" i="86"/>
  <c r="AB79" i="86"/>
  <c r="Y79" i="86"/>
  <c r="V79" i="86"/>
  <c r="S79" i="86"/>
  <c r="P79" i="86"/>
  <c r="G79" i="86"/>
  <c r="F79" i="86"/>
  <c r="BC78" i="86"/>
  <c r="AZ78" i="86"/>
  <c r="AW78" i="86"/>
  <c r="AT78" i="86"/>
  <c r="AQ78" i="86"/>
  <c r="AN78" i="86"/>
  <c r="AK78" i="86"/>
  <c r="AH78" i="86"/>
  <c r="AE78" i="86"/>
  <c r="AB78" i="86"/>
  <c r="Y78" i="86"/>
  <c r="V78" i="86"/>
  <c r="S78" i="86"/>
  <c r="P78" i="86"/>
  <c r="G78" i="86"/>
  <c r="F78" i="86"/>
  <c r="BC77" i="86"/>
  <c r="AZ77" i="86"/>
  <c r="AW77" i="86"/>
  <c r="AT77" i="86"/>
  <c r="AQ77" i="86"/>
  <c r="AN77" i="86"/>
  <c r="AK77" i="86"/>
  <c r="AH77" i="86"/>
  <c r="AE77" i="86"/>
  <c r="AB77" i="86"/>
  <c r="Y77" i="86"/>
  <c r="V77" i="86"/>
  <c r="S77" i="86"/>
  <c r="P77" i="86"/>
  <c r="G77" i="86"/>
  <c r="F77" i="86"/>
  <c r="BC76" i="86"/>
  <c r="AZ76" i="86"/>
  <c r="AW76" i="86"/>
  <c r="AT76" i="86"/>
  <c r="AQ76" i="86"/>
  <c r="AN76" i="86"/>
  <c r="AK76" i="86"/>
  <c r="AH76" i="86"/>
  <c r="AE76" i="86"/>
  <c r="AB76" i="86"/>
  <c r="Y76" i="86"/>
  <c r="V76" i="86"/>
  <c r="S76" i="86"/>
  <c r="P76" i="86"/>
  <c r="G76" i="86"/>
  <c r="F76" i="86"/>
  <c r="BC75" i="86"/>
  <c r="AZ75" i="86"/>
  <c r="AW75" i="86"/>
  <c r="AT75" i="86"/>
  <c r="AQ75" i="86"/>
  <c r="AN75" i="86"/>
  <c r="AK75" i="86"/>
  <c r="AH75" i="86"/>
  <c r="AE75" i="86"/>
  <c r="AB75" i="86"/>
  <c r="Y75" i="86"/>
  <c r="V75" i="86"/>
  <c r="S75" i="86"/>
  <c r="P75" i="86"/>
  <c r="G75" i="86"/>
  <c r="F75" i="86"/>
  <c r="BC74" i="86"/>
  <c r="AZ74" i="86"/>
  <c r="AW74" i="86"/>
  <c r="AT74" i="86"/>
  <c r="AQ74" i="86"/>
  <c r="AN74" i="86"/>
  <c r="AK74" i="86"/>
  <c r="AH74" i="86"/>
  <c r="AE74" i="86"/>
  <c r="AB74" i="86"/>
  <c r="Y74" i="86"/>
  <c r="V74" i="86"/>
  <c r="S74" i="86"/>
  <c r="P74" i="86"/>
  <c r="G74" i="86"/>
  <c r="F74" i="86"/>
  <c r="BC73" i="86"/>
  <c r="AZ73" i="86"/>
  <c r="AW73" i="86"/>
  <c r="AT73" i="86"/>
  <c r="AQ73" i="86"/>
  <c r="AN73" i="86"/>
  <c r="AK73" i="86"/>
  <c r="AH73" i="86"/>
  <c r="AE73" i="86"/>
  <c r="AB73" i="86"/>
  <c r="Y73" i="86"/>
  <c r="V73" i="86"/>
  <c r="S73" i="86"/>
  <c r="P73" i="86"/>
  <c r="G73" i="86"/>
  <c r="F73" i="86"/>
  <c r="BC72" i="86"/>
  <c r="AZ72" i="86"/>
  <c r="AW72" i="86"/>
  <c r="AT72" i="86"/>
  <c r="AQ72" i="86"/>
  <c r="AN72" i="86"/>
  <c r="AK72" i="86"/>
  <c r="AH72" i="86"/>
  <c r="AE72" i="86"/>
  <c r="AB72" i="86"/>
  <c r="Y72" i="86"/>
  <c r="V72" i="86"/>
  <c r="S72" i="86"/>
  <c r="P72" i="86"/>
  <c r="G72" i="86"/>
  <c r="F72" i="86"/>
  <c r="BC71" i="86"/>
  <c r="AZ71" i="86"/>
  <c r="AW71" i="86"/>
  <c r="AT71" i="86"/>
  <c r="AQ71" i="86"/>
  <c r="AN71" i="86"/>
  <c r="AK71" i="86"/>
  <c r="AH71" i="86"/>
  <c r="AE71" i="86"/>
  <c r="AB71" i="86"/>
  <c r="Y71" i="86"/>
  <c r="V71" i="86"/>
  <c r="S71" i="86"/>
  <c r="P71" i="86"/>
  <c r="G71" i="86"/>
  <c r="F71" i="86"/>
  <c r="BC70" i="86"/>
  <c r="AZ70" i="86"/>
  <c r="AW70" i="86"/>
  <c r="AT70" i="86"/>
  <c r="AQ70" i="86"/>
  <c r="AN70" i="86"/>
  <c r="AK70" i="86"/>
  <c r="AH70" i="86"/>
  <c r="AE70" i="86"/>
  <c r="AB70" i="86"/>
  <c r="Y70" i="86"/>
  <c r="V70" i="86"/>
  <c r="S70" i="86"/>
  <c r="P70" i="86"/>
  <c r="G70" i="86"/>
  <c r="F70" i="86"/>
  <c r="BC69" i="86"/>
  <c r="AZ69" i="86"/>
  <c r="AW69" i="86"/>
  <c r="AT69" i="86"/>
  <c r="AQ69" i="86"/>
  <c r="AN69" i="86"/>
  <c r="AK69" i="86"/>
  <c r="AH69" i="86"/>
  <c r="AE69" i="86"/>
  <c r="AB69" i="86"/>
  <c r="Y69" i="86"/>
  <c r="V69" i="86"/>
  <c r="S69" i="86"/>
  <c r="P69" i="86"/>
  <c r="G69" i="86"/>
  <c r="F69" i="86"/>
  <c r="BC68" i="86"/>
  <c r="AZ68" i="86"/>
  <c r="AW68" i="86"/>
  <c r="AT68" i="86"/>
  <c r="AQ68" i="86"/>
  <c r="AN68" i="86"/>
  <c r="AK68" i="86"/>
  <c r="AH68" i="86"/>
  <c r="AE68" i="86"/>
  <c r="AB68" i="86"/>
  <c r="Y68" i="86"/>
  <c r="V68" i="86"/>
  <c r="S68" i="86"/>
  <c r="P68" i="86"/>
  <c r="G68" i="86"/>
  <c r="F68" i="86"/>
  <c r="BC67" i="86"/>
  <c r="AZ67" i="86"/>
  <c r="AW67" i="86"/>
  <c r="AT67" i="86"/>
  <c r="AQ67" i="86"/>
  <c r="AN67" i="86"/>
  <c r="AK67" i="86"/>
  <c r="AH67" i="86"/>
  <c r="AE67" i="86"/>
  <c r="AB67" i="86"/>
  <c r="Y67" i="86"/>
  <c r="V67" i="86"/>
  <c r="S67" i="86"/>
  <c r="P67" i="86"/>
  <c r="G67" i="86"/>
  <c r="F67" i="86"/>
  <c r="BC66" i="86"/>
  <c r="AZ66" i="86"/>
  <c r="AW66" i="86"/>
  <c r="AT66" i="86"/>
  <c r="AQ66" i="86"/>
  <c r="AN66" i="86"/>
  <c r="AK66" i="86"/>
  <c r="AH66" i="86"/>
  <c r="AE66" i="86"/>
  <c r="AB66" i="86"/>
  <c r="Y66" i="86"/>
  <c r="V66" i="86"/>
  <c r="S66" i="86"/>
  <c r="P66" i="86"/>
  <c r="G66" i="86"/>
  <c r="F66" i="86"/>
  <c r="BC65" i="86"/>
  <c r="AZ65" i="86"/>
  <c r="AW65" i="86"/>
  <c r="AT65" i="86"/>
  <c r="AQ65" i="86"/>
  <c r="AN65" i="86"/>
  <c r="AK65" i="86"/>
  <c r="AH65" i="86"/>
  <c r="AE65" i="86"/>
  <c r="AB65" i="86"/>
  <c r="Y65" i="86"/>
  <c r="V65" i="86"/>
  <c r="S65" i="86"/>
  <c r="P65" i="86"/>
  <c r="G65" i="86"/>
  <c r="F65" i="86"/>
  <c r="BC64" i="86"/>
  <c r="AZ64" i="86"/>
  <c r="AW64" i="86"/>
  <c r="AT64" i="86"/>
  <c r="AQ64" i="86"/>
  <c r="AN64" i="86"/>
  <c r="AK64" i="86"/>
  <c r="AH64" i="86"/>
  <c r="AE64" i="86"/>
  <c r="AB64" i="86"/>
  <c r="Y64" i="86"/>
  <c r="V64" i="86"/>
  <c r="S64" i="86"/>
  <c r="P64" i="86"/>
  <c r="G64" i="86"/>
  <c r="F64" i="86"/>
  <c r="BC63" i="86"/>
  <c r="AZ63" i="86"/>
  <c r="AW63" i="86"/>
  <c r="AT63" i="86"/>
  <c r="AQ63" i="86"/>
  <c r="AN63" i="86"/>
  <c r="AK63" i="86"/>
  <c r="AH63" i="86"/>
  <c r="AE63" i="86"/>
  <c r="AB63" i="86"/>
  <c r="Y63" i="86"/>
  <c r="V63" i="86"/>
  <c r="S63" i="86"/>
  <c r="P63" i="86"/>
  <c r="G63" i="86"/>
  <c r="F63" i="86"/>
  <c r="BC62" i="86"/>
  <c r="AZ62" i="86"/>
  <c r="AW62" i="86"/>
  <c r="AT62" i="86"/>
  <c r="AQ62" i="86"/>
  <c r="AN62" i="86"/>
  <c r="AK62" i="86"/>
  <c r="AH62" i="86"/>
  <c r="AE62" i="86"/>
  <c r="AB62" i="86"/>
  <c r="Y62" i="86"/>
  <c r="V62" i="86"/>
  <c r="S62" i="86"/>
  <c r="P62" i="86"/>
  <c r="G62" i="86"/>
  <c r="F62" i="86"/>
  <c r="BC61" i="86"/>
  <c r="AZ61" i="86"/>
  <c r="AW61" i="86"/>
  <c r="AT61" i="86"/>
  <c r="AQ61" i="86"/>
  <c r="AN61" i="86"/>
  <c r="AK61" i="86"/>
  <c r="AH61" i="86"/>
  <c r="AE61" i="86"/>
  <c r="AB61" i="86"/>
  <c r="Y61" i="86"/>
  <c r="V61" i="86"/>
  <c r="S61" i="86"/>
  <c r="P61" i="86"/>
  <c r="G61" i="86"/>
  <c r="F61" i="86"/>
  <c r="BC60" i="86"/>
  <c r="AZ60" i="86"/>
  <c r="AW60" i="86"/>
  <c r="AT60" i="86"/>
  <c r="AQ60" i="86"/>
  <c r="AN60" i="86"/>
  <c r="AK60" i="86"/>
  <c r="AH60" i="86"/>
  <c r="AE60" i="86"/>
  <c r="AB60" i="86"/>
  <c r="Y60" i="86"/>
  <c r="V60" i="86"/>
  <c r="S60" i="86"/>
  <c r="P60" i="86"/>
  <c r="G60" i="86"/>
  <c r="F60" i="86"/>
  <c r="BC59" i="86"/>
  <c r="AZ59" i="86"/>
  <c r="AW59" i="86"/>
  <c r="AT59" i="86"/>
  <c r="AQ59" i="86"/>
  <c r="AN59" i="86"/>
  <c r="AK59" i="86"/>
  <c r="AH59" i="86"/>
  <c r="AE59" i="86"/>
  <c r="AB59" i="86"/>
  <c r="Y59" i="86"/>
  <c r="V59" i="86"/>
  <c r="S59" i="86"/>
  <c r="P59" i="86"/>
  <c r="G59" i="86"/>
  <c r="F59" i="86"/>
  <c r="BC58" i="86"/>
  <c r="AZ58" i="86"/>
  <c r="AW58" i="86"/>
  <c r="AT58" i="86"/>
  <c r="AQ58" i="86"/>
  <c r="AN58" i="86"/>
  <c r="AK58" i="86"/>
  <c r="AH58" i="86"/>
  <c r="AE58" i="86"/>
  <c r="AB58" i="86"/>
  <c r="Y58" i="86"/>
  <c r="V58" i="86"/>
  <c r="S58" i="86"/>
  <c r="P58" i="86"/>
  <c r="G58" i="86"/>
  <c r="F58" i="86"/>
  <c r="BC57" i="86"/>
  <c r="AZ57" i="86"/>
  <c r="AW57" i="86"/>
  <c r="AT57" i="86"/>
  <c r="AQ57" i="86"/>
  <c r="AN57" i="86"/>
  <c r="AK57" i="86"/>
  <c r="AH57" i="86"/>
  <c r="AE57" i="86"/>
  <c r="AB57" i="86"/>
  <c r="Y57" i="86"/>
  <c r="V57" i="86"/>
  <c r="S57" i="86"/>
  <c r="P57" i="86"/>
  <c r="G57" i="86"/>
  <c r="F57" i="86"/>
  <c r="BC56" i="86"/>
  <c r="AZ56" i="86"/>
  <c r="AW56" i="86"/>
  <c r="AT56" i="86"/>
  <c r="AQ56" i="86"/>
  <c r="AN56" i="86"/>
  <c r="AK56" i="86"/>
  <c r="AH56" i="86"/>
  <c r="AE56" i="86"/>
  <c r="AB56" i="86"/>
  <c r="Y56" i="86"/>
  <c r="V56" i="86"/>
  <c r="S56" i="86"/>
  <c r="P56" i="86"/>
  <c r="G56" i="86"/>
  <c r="F56" i="86"/>
  <c r="BC55" i="86"/>
  <c r="AZ55" i="86"/>
  <c r="AW55" i="86"/>
  <c r="AT55" i="86"/>
  <c r="AQ55" i="86"/>
  <c r="AN55" i="86"/>
  <c r="AK55" i="86"/>
  <c r="AH55" i="86"/>
  <c r="AE55" i="86"/>
  <c r="AB55" i="86"/>
  <c r="Y55" i="86"/>
  <c r="V55" i="86"/>
  <c r="S55" i="86"/>
  <c r="P55" i="86"/>
  <c r="G55" i="86"/>
  <c r="F55" i="86"/>
  <c r="BC54" i="86"/>
  <c r="AZ54" i="86"/>
  <c r="AW54" i="86"/>
  <c r="AT54" i="86"/>
  <c r="AQ54" i="86"/>
  <c r="AN54" i="86"/>
  <c r="AK54" i="86"/>
  <c r="AH54" i="86"/>
  <c r="AE54" i="86"/>
  <c r="AB54" i="86"/>
  <c r="Y54" i="86"/>
  <c r="V54" i="86"/>
  <c r="S54" i="86"/>
  <c r="P54" i="86"/>
  <c r="G54" i="86"/>
  <c r="F54" i="86"/>
  <c r="BC53" i="86"/>
  <c r="AZ53" i="86"/>
  <c r="AW53" i="86"/>
  <c r="AT53" i="86"/>
  <c r="AQ53" i="86"/>
  <c r="AN53" i="86"/>
  <c r="AK53" i="86"/>
  <c r="AH53" i="86"/>
  <c r="AE53" i="86"/>
  <c r="AB53" i="86"/>
  <c r="Y53" i="86"/>
  <c r="V53" i="86"/>
  <c r="S53" i="86"/>
  <c r="P53" i="86"/>
  <c r="G53" i="86"/>
  <c r="F53" i="86"/>
  <c r="BC52" i="86"/>
  <c r="AZ52" i="86"/>
  <c r="AW52" i="86"/>
  <c r="AT52" i="86"/>
  <c r="AQ52" i="86"/>
  <c r="AN52" i="86"/>
  <c r="AK52" i="86"/>
  <c r="AH52" i="86"/>
  <c r="AE52" i="86"/>
  <c r="AB52" i="86"/>
  <c r="Y52" i="86"/>
  <c r="V52" i="86"/>
  <c r="S52" i="86"/>
  <c r="P52" i="86"/>
  <c r="G52" i="86"/>
  <c r="F52" i="86"/>
  <c r="BC51" i="86"/>
  <c r="AZ51" i="86"/>
  <c r="AW51" i="86"/>
  <c r="AT51" i="86"/>
  <c r="AQ51" i="86"/>
  <c r="AN51" i="86"/>
  <c r="AK51" i="86"/>
  <c r="AH51" i="86"/>
  <c r="AE51" i="86"/>
  <c r="AB51" i="86"/>
  <c r="Y51" i="86"/>
  <c r="V51" i="86"/>
  <c r="S51" i="86"/>
  <c r="P51" i="86"/>
  <c r="G51" i="86"/>
  <c r="F51" i="86"/>
  <c r="BC50" i="86"/>
  <c r="AZ50" i="86"/>
  <c r="AW50" i="86"/>
  <c r="AT50" i="86"/>
  <c r="AQ50" i="86"/>
  <c r="AN50" i="86"/>
  <c r="AK50" i="86"/>
  <c r="AH50" i="86"/>
  <c r="AE50" i="86"/>
  <c r="AB50" i="86"/>
  <c r="Y50" i="86"/>
  <c r="V50" i="86"/>
  <c r="S50" i="86"/>
  <c r="P50" i="86"/>
  <c r="G50" i="86"/>
  <c r="F50" i="86"/>
  <c r="BC49" i="86"/>
  <c r="AZ49" i="86"/>
  <c r="AW49" i="86"/>
  <c r="AT49" i="86"/>
  <c r="AQ49" i="86"/>
  <c r="AN49" i="86"/>
  <c r="AK49" i="86"/>
  <c r="AH49" i="86"/>
  <c r="AE49" i="86"/>
  <c r="AB49" i="86"/>
  <c r="Y49" i="86"/>
  <c r="V49" i="86"/>
  <c r="S49" i="86"/>
  <c r="P49" i="86"/>
  <c r="G49" i="86"/>
  <c r="F49" i="86"/>
  <c r="BC48" i="86"/>
  <c r="AZ48" i="86"/>
  <c r="AW48" i="86"/>
  <c r="AT48" i="86"/>
  <c r="AQ48" i="86"/>
  <c r="AN48" i="86"/>
  <c r="AK48" i="86"/>
  <c r="AH48" i="86"/>
  <c r="AE48" i="86"/>
  <c r="AB48" i="86"/>
  <c r="Y48" i="86"/>
  <c r="V48" i="86"/>
  <c r="S48" i="86"/>
  <c r="P48" i="86"/>
  <c r="G48" i="86"/>
  <c r="F48" i="86"/>
  <c r="BC47" i="86"/>
  <c r="AZ47" i="86"/>
  <c r="AW47" i="86"/>
  <c r="AT47" i="86"/>
  <c r="AQ47" i="86"/>
  <c r="AN47" i="86"/>
  <c r="AK47" i="86"/>
  <c r="AH47" i="86"/>
  <c r="AE47" i="86"/>
  <c r="AB47" i="86"/>
  <c r="Y47" i="86"/>
  <c r="V47" i="86"/>
  <c r="S47" i="86"/>
  <c r="P47" i="86"/>
  <c r="G47" i="86"/>
  <c r="F47" i="86"/>
  <c r="BC46" i="86"/>
  <c r="AZ46" i="86"/>
  <c r="AW46" i="86"/>
  <c r="AT46" i="86"/>
  <c r="AQ46" i="86"/>
  <c r="AN46" i="86"/>
  <c r="AK46" i="86"/>
  <c r="AH46" i="86"/>
  <c r="AE46" i="86"/>
  <c r="AB46" i="86"/>
  <c r="Y46" i="86"/>
  <c r="V46" i="86"/>
  <c r="S46" i="86"/>
  <c r="P46" i="86"/>
  <c r="G46" i="86"/>
  <c r="F46" i="86"/>
  <c r="BC45" i="86"/>
  <c r="AZ45" i="86"/>
  <c r="AW45" i="86"/>
  <c r="AT45" i="86"/>
  <c r="AQ45" i="86"/>
  <c r="AN45" i="86"/>
  <c r="AK45" i="86"/>
  <c r="AH45" i="86"/>
  <c r="AE45" i="86"/>
  <c r="AB45" i="86"/>
  <c r="Y45" i="86"/>
  <c r="V45" i="86"/>
  <c r="S45" i="86"/>
  <c r="P45" i="86"/>
  <c r="G45" i="86"/>
  <c r="F45" i="86"/>
  <c r="BC44" i="86"/>
  <c r="AZ44" i="86"/>
  <c r="AW44" i="86"/>
  <c r="AT44" i="86"/>
  <c r="AQ44" i="86"/>
  <c r="AN44" i="86"/>
  <c r="AK44" i="86"/>
  <c r="AH44" i="86"/>
  <c r="AE44" i="86"/>
  <c r="AB44" i="86"/>
  <c r="Y44" i="86"/>
  <c r="V44" i="86"/>
  <c r="S44" i="86"/>
  <c r="P44" i="86"/>
  <c r="G44" i="86"/>
  <c r="F44" i="86"/>
  <c r="BC43" i="86"/>
  <c r="AZ43" i="86"/>
  <c r="AW43" i="86"/>
  <c r="AT43" i="86"/>
  <c r="AQ43" i="86"/>
  <c r="AN43" i="86"/>
  <c r="AK43" i="86"/>
  <c r="AH43" i="86"/>
  <c r="AE43" i="86"/>
  <c r="AB43" i="86"/>
  <c r="Y43" i="86"/>
  <c r="V43" i="86"/>
  <c r="S43" i="86"/>
  <c r="P43" i="86"/>
  <c r="G43" i="86"/>
  <c r="F43" i="86"/>
  <c r="BC42" i="86"/>
  <c r="AZ42" i="86"/>
  <c r="AW42" i="86"/>
  <c r="AT42" i="86"/>
  <c r="AQ42" i="86"/>
  <c r="AN42" i="86"/>
  <c r="AK42" i="86"/>
  <c r="AH42" i="86"/>
  <c r="AE42" i="86"/>
  <c r="AB42" i="86"/>
  <c r="Y42" i="86"/>
  <c r="V42" i="86"/>
  <c r="S42" i="86"/>
  <c r="P42" i="86"/>
  <c r="G42" i="86"/>
  <c r="F42" i="86"/>
  <c r="BC41" i="86"/>
  <c r="AZ41" i="86"/>
  <c r="AW41" i="86"/>
  <c r="AT41" i="86"/>
  <c r="AQ41" i="86"/>
  <c r="AN41" i="86"/>
  <c r="AK41" i="86"/>
  <c r="AH41" i="86"/>
  <c r="AE41" i="86"/>
  <c r="AB41" i="86"/>
  <c r="Y41" i="86"/>
  <c r="V41" i="86"/>
  <c r="S41" i="86"/>
  <c r="P41" i="86"/>
  <c r="G41" i="86"/>
  <c r="F41" i="86"/>
  <c r="BC40" i="86"/>
  <c r="AZ40" i="86"/>
  <c r="AW40" i="86"/>
  <c r="AT40" i="86"/>
  <c r="AQ40" i="86"/>
  <c r="AN40" i="86"/>
  <c r="AK40" i="86"/>
  <c r="AH40" i="86"/>
  <c r="AE40" i="86"/>
  <c r="AB40" i="86"/>
  <c r="Y40" i="86"/>
  <c r="V40" i="86"/>
  <c r="S40" i="86"/>
  <c r="P40" i="86"/>
  <c r="G40" i="86"/>
  <c r="F40" i="86"/>
  <c r="BC39" i="86"/>
  <c r="AZ39" i="86"/>
  <c r="AW39" i="86"/>
  <c r="AT39" i="86"/>
  <c r="AQ39" i="86"/>
  <c r="AN39" i="86"/>
  <c r="AK39" i="86"/>
  <c r="AH39" i="86"/>
  <c r="AE39" i="86"/>
  <c r="AB39" i="86"/>
  <c r="Y39" i="86"/>
  <c r="V39" i="86"/>
  <c r="S39" i="86"/>
  <c r="P39" i="86"/>
  <c r="G39" i="86"/>
  <c r="F39" i="86"/>
  <c r="BC38" i="86"/>
  <c r="AZ38" i="86"/>
  <c r="AW38" i="86"/>
  <c r="AT38" i="86"/>
  <c r="AQ38" i="86"/>
  <c r="AN38" i="86"/>
  <c r="AK38" i="86"/>
  <c r="AH38" i="86"/>
  <c r="AE38" i="86"/>
  <c r="AB38" i="86"/>
  <c r="Y38" i="86"/>
  <c r="V38" i="86"/>
  <c r="S38" i="86"/>
  <c r="P38" i="86"/>
  <c r="G38" i="86"/>
  <c r="F38" i="86"/>
  <c r="BC37" i="86"/>
  <c r="AZ37" i="86"/>
  <c r="AW37" i="86"/>
  <c r="AT37" i="86"/>
  <c r="AQ37" i="86"/>
  <c r="AN37" i="86"/>
  <c r="AK37" i="86"/>
  <c r="AH37" i="86"/>
  <c r="AE37" i="86"/>
  <c r="AB37" i="86"/>
  <c r="Y37" i="86"/>
  <c r="V37" i="86"/>
  <c r="S37" i="86"/>
  <c r="P37" i="86"/>
  <c r="G37" i="86"/>
  <c r="F37" i="86"/>
  <c r="BC36" i="86"/>
  <c r="AZ36" i="86"/>
  <c r="AW36" i="86"/>
  <c r="AT36" i="86"/>
  <c r="AQ36" i="86"/>
  <c r="AN36" i="86"/>
  <c r="AK36" i="86"/>
  <c r="AH36" i="86"/>
  <c r="AE36" i="86"/>
  <c r="AB36" i="86"/>
  <c r="Y36" i="86"/>
  <c r="V36" i="86"/>
  <c r="S36" i="86"/>
  <c r="P36" i="86"/>
  <c r="G36" i="86"/>
  <c r="F36" i="86"/>
  <c r="BC35" i="86"/>
  <c r="AZ35" i="86"/>
  <c r="AW35" i="86"/>
  <c r="AT35" i="86"/>
  <c r="AQ35" i="86"/>
  <c r="AN35" i="86"/>
  <c r="AK35" i="86"/>
  <c r="AH35" i="86"/>
  <c r="AE35" i="86"/>
  <c r="AB35" i="86"/>
  <c r="Y35" i="86"/>
  <c r="V35" i="86"/>
  <c r="S35" i="86"/>
  <c r="P35" i="86"/>
  <c r="G35" i="86"/>
  <c r="F35" i="86"/>
  <c r="BC34" i="86"/>
  <c r="AZ34" i="86"/>
  <c r="AW34" i="86"/>
  <c r="AT34" i="86"/>
  <c r="AQ34" i="86"/>
  <c r="AN34" i="86"/>
  <c r="AK34" i="86"/>
  <c r="AH34" i="86"/>
  <c r="AE34" i="86"/>
  <c r="AB34" i="86"/>
  <c r="Y34" i="86"/>
  <c r="V34" i="86"/>
  <c r="S34" i="86"/>
  <c r="P34" i="86"/>
  <c r="G34" i="86"/>
  <c r="F34" i="86"/>
  <c r="BC33" i="86"/>
  <c r="AZ33" i="86"/>
  <c r="AW33" i="86"/>
  <c r="AT33" i="86"/>
  <c r="AQ33" i="86"/>
  <c r="AN33" i="86"/>
  <c r="AK33" i="86"/>
  <c r="AH33" i="86"/>
  <c r="AE33" i="86"/>
  <c r="AB33" i="86"/>
  <c r="Y33" i="86"/>
  <c r="V33" i="86"/>
  <c r="S33" i="86"/>
  <c r="P33" i="86"/>
  <c r="G33" i="86"/>
  <c r="F33" i="86"/>
  <c r="BC32" i="86"/>
  <c r="AZ32" i="86"/>
  <c r="AW32" i="86"/>
  <c r="AT32" i="86"/>
  <c r="AQ32" i="86"/>
  <c r="AN32" i="86"/>
  <c r="AK32" i="86"/>
  <c r="AH32" i="86"/>
  <c r="AE32" i="86"/>
  <c r="AB32" i="86"/>
  <c r="Y32" i="86"/>
  <c r="V32" i="86"/>
  <c r="S32" i="86"/>
  <c r="P32" i="86"/>
  <c r="G32" i="86"/>
  <c r="F32" i="86"/>
  <c r="BC31" i="86"/>
  <c r="AZ31" i="86"/>
  <c r="AW31" i="86"/>
  <c r="AT31" i="86"/>
  <c r="AQ31" i="86"/>
  <c r="AN31" i="86"/>
  <c r="AK31" i="86"/>
  <c r="AH31" i="86"/>
  <c r="AE31" i="86"/>
  <c r="AB31" i="86"/>
  <c r="Y31" i="86"/>
  <c r="V31" i="86"/>
  <c r="S31" i="86"/>
  <c r="P31" i="86"/>
  <c r="G31" i="86"/>
  <c r="F31" i="86"/>
  <c r="BC30" i="86"/>
  <c r="AZ30" i="86"/>
  <c r="AW30" i="86"/>
  <c r="AT30" i="86"/>
  <c r="AQ30" i="86"/>
  <c r="AN30" i="86"/>
  <c r="AK30" i="86"/>
  <c r="AH30" i="86"/>
  <c r="AE30" i="86"/>
  <c r="AB30" i="86"/>
  <c r="Y30" i="86"/>
  <c r="V30" i="86"/>
  <c r="S30" i="86"/>
  <c r="P30" i="86"/>
  <c r="G30" i="86"/>
  <c r="F30" i="86"/>
  <c r="BC29" i="86"/>
  <c r="AZ29" i="86"/>
  <c r="AW29" i="86"/>
  <c r="AT29" i="86"/>
  <c r="AQ29" i="86"/>
  <c r="AN29" i="86"/>
  <c r="AK29" i="86"/>
  <c r="AH29" i="86"/>
  <c r="AE29" i="86"/>
  <c r="AB29" i="86"/>
  <c r="Y29" i="86"/>
  <c r="V29" i="86"/>
  <c r="S29" i="86"/>
  <c r="P29" i="86"/>
  <c r="G29" i="86"/>
  <c r="F29" i="86"/>
  <c r="BC28" i="86"/>
  <c r="AZ28" i="86"/>
  <c r="AW28" i="86"/>
  <c r="AT28" i="86"/>
  <c r="AQ28" i="86"/>
  <c r="AN28" i="86"/>
  <c r="AK28" i="86"/>
  <c r="AH28" i="86"/>
  <c r="AE28" i="86"/>
  <c r="AB28" i="86"/>
  <c r="Y28" i="86"/>
  <c r="V28" i="86"/>
  <c r="S28" i="86"/>
  <c r="P28" i="86"/>
  <c r="G28" i="86"/>
  <c r="F28" i="86"/>
  <c r="BC27" i="86"/>
  <c r="AZ27" i="86"/>
  <c r="AW27" i="86"/>
  <c r="AT27" i="86"/>
  <c r="AQ27" i="86"/>
  <c r="AN27" i="86"/>
  <c r="AK27" i="86"/>
  <c r="AH27" i="86"/>
  <c r="AE27" i="86"/>
  <c r="AB27" i="86"/>
  <c r="Y27" i="86"/>
  <c r="V27" i="86"/>
  <c r="S27" i="86"/>
  <c r="P27" i="86"/>
  <c r="G27" i="86"/>
  <c r="F27" i="86"/>
  <c r="BC26" i="86"/>
  <c r="AZ26" i="86"/>
  <c r="AW26" i="86"/>
  <c r="AT26" i="86"/>
  <c r="AQ26" i="86"/>
  <c r="AN26" i="86"/>
  <c r="AK26" i="86"/>
  <c r="AH26" i="86"/>
  <c r="AE26" i="86"/>
  <c r="AB26" i="86"/>
  <c r="Y26" i="86"/>
  <c r="V26" i="86"/>
  <c r="S26" i="86"/>
  <c r="P26" i="86"/>
  <c r="G26" i="86"/>
  <c r="F26" i="86"/>
  <c r="BC25" i="86"/>
  <c r="AZ25" i="86"/>
  <c r="AW25" i="86"/>
  <c r="AT25" i="86"/>
  <c r="AQ25" i="86"/>
  <c r="AN25" i="86"/>
  <c r="AK25" i="86"/>
  <c r="AH25" i="86"/>
  <c r="AE25" i="86"/>
  <c r="AB25" i="86"/>
  <c r="Y25" i="86"/>
  <c r="V25" i="86"/>
  <c r="S25" i="86"/>
  <c r="P25" i="86"/>
  <c r="G25" i="86"/>
  <c r="F25" i="86"/>
  <c r="BC24" i="86"/>
  <c r="AZ24" i="86"/>
  <c r="AW24" i="86"/>
  <c r="AT24" i="86"/>
  <c r="AQ24" i="86"/>
  <c r="AN24" i="86"/>
  <c r="AK24" i="86"/>
  <c r="AH24" i="86"/>
  <c r="AE24" i="86"/>
  <c r="AB24" i="86"/>
  <c r="Y24" i="86"/>
  <c r="V24" i="86"/>
  <c r="S24" i="86"/>
  <c r="P24" i="86"/>
  <c r="G24" i="86"/>
  <c r="F24" i="86"/>
  <c r="BC23" i="86"/>
  <c r="AZ23" i="86"/>
  <c r="AW23" i="86"/>
  <c r="AT23" i="86"/>
  <c r="AQ23" i="86"/>
  <c r="AN23" i="86"/>
  <c r="AK23" i="86"/>
  <c r="AH23" i="86"/>
  <c r="AE23" i="86"/>
  <c r="AB23" i="86"/>
  <c r="Y23" i="86"/>
  <c r="V23" i="86"/>
  <c r="S23" i="86"/>
  <c r="P23" i="86"/>
  <c r="G23" i="86"/>
  <c r="F23" i="86"/>
  <c r="BC22" i="86"/>
  <c r="AZ22" i="86"/>
  <c r="AW22" i="86"/>
  <c r="AT22" i="86"/>
  <c r="AQ22" i="86"/>
  <c r="AN22" i="86"/>
  <c r="AK22" i="86"/>
  <c r="AH22" i="86"/>
  <c r="AE22" i="86"/>
  <c r="AB22" i="86"/>
  <c r="Y22" i="86"/>
  <c r="V22" i="86"/>
  <c r="S22" i="86"/>
  <c r="P22" i="86"/>
  <c r="G22" i="86"/>
  <c r="F22" i="86"/>
  <c r="BC21" i="86"/>
  <c r="AZ21" i="86"/>
  <c r="AW21" i="86"/>
  <c r="AT21" i="86"/>
  <c r="AQ21" i="86"/>
  <c r="AN21" i="86"/>
  <c r="AK21" i="86"/>
  <c r="AH21" i="86"/>
  <c r="AE21" i="86"/>
  <c r="AB21" i="86"/>
  <c r="Y21" i="86"/>
  <c r="V21" i="86"/>
  <c r="S21" i="86"/>
  <c r="P21" i="86"/>
  <c r="G21" i="86"/>
  <c r="F21" i="86"/>
  <c r="BC20" i="86"/>
  <c r="AZ20" i="86"/>
  <c r="AW20" i="86"/>
  <c r="AT20" i="86"/>
  <c r="AQ20" i="86"/>
  <c r="AN20" i="86"/>
  <c r="AK20" i="86"/>
  <c r="AH20" i="86"/>
  <c r="AE20" i="86"/>
  <c r="AB20" i="86"/>
  <c r="Y20" i="86"/>
  <c r="V20" i="86"/>
  <c r="S20" i="86"/>
  <c r="P20" i="86"/>
  <c r="G20" i="86"/>
  <c r="F20" i="86"/>
  <c r="BC19" i="86"/>
  <c r="AZ19" i="86"/>
  <c r="AW19" i="86"/>
  <c r="AT19" i="86"/>
  <c r="AQ19" i="86"/>
  <c r="AN19" i="86"/>
  <c r="AK19" i="86"/>
  <c r="AH19" i="86"/>
  <c r="AE19" i="86"/>
  <c r="AB19" i="86"/>
  <c r="Y19" i="86"/>
  <c r="V19" i="86"/>
  <c r="S19" i="86"/>
  <c r="P19" i="86"/>
  <c r="G19" i="86"/>
  <c r="F19" i="86"/>
  <c r="BC18" i="86"/>
  <c r="AZ18" i="86"/>
  <c r="AW18" i="86"/>
  <c r="AT18" i="86"/>
  <c r="AQ18" i="86"/>
  <c r="AN18" i="86"/>
  <c r="AK18" i="86"/>
  <c r="AH18" i="86"/>
  <c r="AE18" i="86"/>
  <c r="AB18" i="86"/>
  <c r="Y18" i="86"/>
  <c r="V18" i="86"/>
  <c r="S18" i="86"/>
  <c r="P18" i="86"/>
  <c r="G18" i="86"/>
  <c r="F18" i="86"/>
  <c r="BC17" i="86"/>
  <c r="AZ17" i="86"/>
  <c r="AW17" i="86"/>
  <c r="AT17" i="86"/>
  <c r="AQ17" i="86"/>
  <c r="AN17" i="86"/>
  <c r="AK17" i="86"/>
  <c r="AH17" i="86"/>
  <c r="AE17" i="86"/>
  <c r="AB17" i="86"/>
  <c r="Y17" i="86"/>
  <c r="V17" i="86"/>
  <c r="S17" i="86"/>
  <c r="P17" i="86"/>
  <c r="G17" i="86"/>
  <c r="F17" i="86"/>
  <c r="BC16" i="86"/>
  <c r="AZ16" i="86"/>
  <c r="AW16" i="86"/>
  <c r="AT16" i="86"/>
  <c r="AQ16" i="86"/>
  <c r="AN16" i="86"/>
  <c r="AK16" i="86"/>
  <c r="AH16" i="86"/>
  <c r="AE16" i="86"/>
  <c r="AB16" i="86"/>
  <c r="Y16" i="86"/>
  <c r="V16" i="86"/>
  <c r="S16" i="86"/>
  <c r="P16" i="86"/>
  <c r="G16" i="86"/>
  <c r="F16" i="86"/>
  <c r="BC15" i="86"/>
  <c r="AZ15" i="86"/>
  <c r="AW15" i="86"/>
  <c r="AT15" i="86"/>
  <c r="AQ15" i="86"/>
  <c r="AN15" i="86"/>
  <c r="AK15" i="86"/>
  <c r="AH15" i="86"/>
  <c r="AE15" i="86"/>
  <c r="AB15" i="86"/>
  <c r="Y15" i="86"/>
  <c r="V15" i="86"/>
  <c r="S15" i="86"/>
  <c r="P15" i="86"/>
  <c r="G15" i="86"/>
  <c r="F15" i="86"/>
  <c r="BC14" i="86"/>
  <c r="AZ14" i="86"/>
  <c r="AW14" i="86"/>
  <c r="AT14" i="86"/>
  <c r="AQ14" i="86"/>
  <c r="AN14" i="86"/>
  <c r="AK14" i="86"/>
  <c r="AH14" i="86"/>
  <c r="AE14" i="86"/>
  <c r="AB14" i="86"/>
  <c r="Y14" i="86"/>
  <c r="V14" i="86"/>
  <c r="S14" i="86"/>
  <c r="P14" i="86"/>
  <c r="G14" i="86"/>
  <c r="F14" i="86"/>
  <c r="BC13" i="86"/>
  <c r="AZ13" i="86"/>
  <c r="AW13" i="86"/>
  <c r="AT13" i="86"/>
  <c r="AQ13" i="86"/>
  <c r="AN13" i="86"/>
  <c r="AK13" i="86"/>
  <c r="AH13" i="86"/>
  <c r="AE13" i="86"/>
  <c r="AB13" i="86"/>
  <c r="Y13" i="86"/>
  <c r="V13" i="86"/>
  <c r="S13" i="86"/>
  <c r="P13" i="86"/>
  <c r="G13" i="86"/>
  <c r="F13" i="86"/>
  <c r="BC12" i="86"/>
  <c r="AZ12" i="86"/>
  <c r="AW12" i="86"/>
  <c r="AT12" i="86"/>
  <c r="AQ12" i="86"/>
  <c r="AN12" i="86"/>
  <c r="AK12" i="86"/>
  <c r="AH12" i="86"/>
  <c r="AE12" i="86"/>
  <c r="AB12" i="86"/>
  <c r="Y12" i="86"/>
  <c r="V12" i="86"/>
  <c r="S12" i="86"/>
  <c r="P12" i="86"/>
  <c r="G12" i="86"/>
  <c r="F12" i="86"/>
  <c r="BC11" i="86"/>
  <c r="AZ11" i="86"/>
  <c r="AW11" i="86"/>
  <c r="AT11" i="86"/>
  <c r="AQ11" i="86"/>
  <c r="AN11" i="86"/>
  <c r="AK11" i="86"/>
  <c r="AH11" i="86"/>
  <c r="AE11" i="86"/>
  <c r="AB11" i="86"/>
  <c r="Y11" i="86"/>
  <c r="V11" i="86"/>
  <c r="S11" i="86"/>
  <c r="P11" i="86"/>
  <c r="G11" i="86"/>
  <c r="F11" i="86"/>
  <c r="BC10" i="86"/>
  <c r="AZ10" i="86"/>
  <c r="AW10" i="86"/>
  <c r="AT10" i="86"/>
  <c r="AQ10" i="86"/>
  <c r="AN10" i="86"/>
  <c r="AK10" i="86"/>
  <c r="AH10" i="86"/>
  <c r="AE10" i="86"/>
  <c r="AB10" i="86"/>
  <c r="Y10" i="86"/>
  <c r="V10" i="86"/>
  <c r="S10" i="86"/>
  <c r="P10" i="86"/>
  <c r="G10" i="86"/>
  <c r="F10" i="86"/>
  <c r="BC9" i="86"/>
  <c r="AZ9" i="86"/>
  <c r="AW9" i="86"/>
  <c r="AT9" i="86"/>
  <c r="AQ9" i="86"/>
  <c r="AN9" i="86"/>
  <c r="AK9" i="86"/>
  <c r="AH9" i="86"/>
  <c r="AE9" i="86"/>
  <c r="AB9" i="86"/>
  <c r="Y9" i="86"/>
  <c r="V9" i="86"/>
  <c r="S9" i="86"/>
  <c r="P9" i="86"/>
  <c r="G9" i="86"/>
  <c r="F9" i="86"/>
  <c r="BC8" i="86"/>
  <c r="AZ8" i="86"/>
  <c r="AW8" i="86"/>
  <c r="AT8" i="86"/>
  <c r="AQ8" i="86"/>
  <c r="AN8" i="86"/>
  <c r="AK8" i="86"/>
  <c r="AH8" i="86"/>
  <c r="AE8" i="86"/>
  <c r="AB8" i="86"/>
  <c r="Y8" i="86"/>
  <c r="V8" i="86"/>
  <c r="S8" i="86"/>
  <c r="P8" i="86"/>
  <c r="G8" i="86"/>
  <c r="F8" i="86"/>
  <c r="BC7" i="86"/>
  <c r="AZ7" i="86"/>
  <c r="AW7" i="86"/>
  <c r="AT7" i="86"/>
  <c r="AQ7" i="86"/>
  <c r="AN7" i="86"/>
  <c r="AK7" i="86"/>
  <c r="AH7" i="86"/>
  <c r="AE7" i="86"/>
  <c r="AB7" i="86"/>
  <c r="Y7" i="86"/>
  <c r="V7" i="86"/>
  <c r="S7" i="86"/>
  <c r="P7" i="86"/>
  <c r="G7" i="86"/>
  <c r="F7" i="86"/>
  <c r="BC6" i="86"/>
  <c r="AZ6" i="86"/>
  <c r="AZ2" i="86" s="1"/>
  <c r="AW6" i="86"/>
  <c r="AW2" i="86" s="1"/>
  <c r="AT6" i="86"/>
  <c r="AT2" i="86" s="1"/>
  <c r="AQ6" i="86"/>
  <c r="AN6" i="86"/>
  <c r="AN2" i="86" s="1"/>
  <c r="AK6" i="86"/>
  <c r="AH6" i="86"/>
  <c r="AE6" i="86"/>
  <c r="AB6" i="86"/>
  <c r="Y6" i="86"/>
  <c r="V6" i="86"/>
  <c r="S6" i="86"/>
  <c r="P6" i="86"/>
  <c r="P2" i="86" s="1"/>
  <c r="G6" i="86"/>
  <c r="F6" i="86"/>
  <c r="BC5" i="86"/>
  <c r="AZ5" i="86"/>
  <c r="AW5" i="86"/>
  <c r="AT5" i="86"/>
  <c r="AQ5" i="86"/>
  <c r="AN5" i="86"/>
  <c r="AK5" i="86"/>
  <c r="AH5" i="86"/>
  <c r="AE5" i="86"/>
  <c r="AB5" i="86"/>
  <c r="Y5" i="86"/>
  <c r="V5" i="86"/>
  <c r="S5" i="86"/>
  <c r="P5" i="86"/>
  <c r="BB2" i="86"/>
  <c r="BA2" i="86"/>
  <c r="AY2" i="86"/>
  <c r="AX2" i="86"/>
  <c r="AV2" i="86"/>
  <c r="AU2" i="86"/>
  <c r="AS2" i="86"/>
  <c r="AR2" i="86"/>
  <c r="AP2" i="86"/>
  <c r="AO2" i="86"/>
  <c r="AM2" i="86"/>
  <c r="AL2" i="86"/>
  <c r="AJ2" i="86"/>
  <c r="AI2" i="86"/>
  <c r="AG2" i="86"/>
  <c r="AF2" i="86"/>
  <c r="AD2" i="86"/>
  <c r="AC2" i="86"/>
  <c r="AA2" i="86"/>
  <c r="Z2" i="86"/>
  <c r="X2" i="86"/>
  <c r="W2" i="86"/>
  <c r="U2" i="86"/>
  <c r="T2" i="86"/>
  <c r="R2" i="86"/>
  <c r="Q2" i="86"/>
  <c r="O2" i="86"/>
  <c r="N2" i="86"/>
  <c r="AX704" i="12"/>
  <c r="W704" i="12"/>
  <c r="Q704" i="12"/>
  <c r="N704" i="12"/>
  <c r="K704" i="12"/>
  <c r="F704" i="12"/>
  <c r="G704" i="12"/>
  <c r="T704" i="12"/>
  <c r="Z704" i="12"/>
  <c r="AC704" i="12"/>
  <c r="AF704" i="12"/>
  <c r="AI704" i="12"/>
  <c r="AL704" i="12"/>
  <c r="AO704" i="12"/>
  <c r="AR704" i="12"/>
  <c r="AU704" i="12"/>
  <c r="G703" i="12"/>
  <c r="G702" i="12"/>
  <c r="G701" i="12"/>
  <c r="G700" i="12"/>
  <c r="G699" i="12"/>
  <c r="G698" i="12"/>
  <c r="G697" i="12"/>
  <c r="G696" i="12"/>
  <c r="G695" i="12"/>
  <c r="G694" i="12"/>
  <c r="G693" i="12"/>
  <c r="G692" i="12"/>
  <c r="G691" i="12"/>
  <c r="G690" i="12"/>
  <c r="G689" i="12"/>
  <c r="G688" i="12"/>
  <c r="G687" i="12"/>
  <c r="G686" i="12"/>
  <c r="G685" i="12"/>
  <c r="G684" i="12"/>
  <c r="G683" i="12"/>
  <c r="G682" i="12"/>
  <c r="G681" i="12"/>
  <c r="G680" i="12"/>
  <c r="G679" i="12"/>
  <c r="G678" i="12"/>
  <c r="G677" i="12"/>
  <c r="G676" i="12"/>
  <c r="G675" i="12"/>
  <c r="G674" i="12"/>
  <c r="G673" i="12"/>
  <c r="G672" i="12"/>
  <c r="G671" i="12"/>
  <c r="G670" i="12"/>
  <c r="G669" i="12"/>
  <c r="G668" i="12"/>
  <c r="G667" i="12"/>
  <c r="G666" i="12"/>
  <c r="G665" i="12"/>
  <c r="G664" i="12"/>
  <c r="G663" i="12"/>
  <c r="G662" i="12"/>
  <c r="G661" i="12"/>
  <c r="G660" i="12"/>
  <c r="G659" i="12"/>
  <c r="G658" i="12"/>
  <c r="G657" i="12"/>
  <c r="G656" i="12"/>
  <c r="G655" i="12"/>
  <c r="G654" i="12"/>
  <c r="G653" i="12"/>
  <c r="G652" i="12"/>
  <c r="G651" i="12"/>
  <c r="G650" i="12"/>
  <c r="G649" i="12"/>
  <c r="G648" i="12"/>
  <c r="G647" i="12"/>
  <c r="G646" i="12"/>
  <c r="G645" i="12"/>
  <c r="G644" i="12"/>
  <c r="G643" i="12"/>
  <c r="G642" i="12"/>
  <c r="G641" i="12"/>
  <c r="G640" i="12"/>
  <c r="G639" i="12"/>
  <c r="G638" i="12"/>
  <c r="G637" i="12"/>
  <c r="G636" i="12"/>
  <c r="G635" i="12"/>
  <c r="G634" i="12"/>
  <c r="G633" i="12"/>
  <c r="G632" i="12"/>
  <c r="G631" i="12"/>
  <c r="G630" i="12"/>
  <c r="G629" i="12"/>
  <c r="G628" i="12"/>
  <c r="G627" i="12"/>
  <c r="G626" i="12"/>
  <c r="G625" i="12"/>
  <c r="G624" i="12"/>
  <c r="G623" i="12"/>
  <c r="G622" i="12"/>
  <c r="G621" i="12"/>
  <c r="G620" i="12"/>
  <c r="G619" i="12"/>
  <c r="G618" i="12"/>
  <c r="G617" i="12"/>
  <c r="G616" i="12"/>
  <c r="G615" i="12"/>
  <c r="G614" i="12"/>
  <c r="G613" i="12"/>
  <c r="G612" i="12"/>
  <c r="G611" i="12"/>
  <c r="G610" i="12"/>
  <c r="G609" i="12"/>
  <c r="G608" i="12"/>
  <c r="G607" i="12"/>
  <c r="G606" i="12"/>
  <c r="G605" i="12"/>
  <c r="G604" i="12"/>
  <c r="G603" i="12"/>
  <c r="G602" i="12"/>
  <c r="G601" i="12"/>
  <c r="G600" i="12"/>
  <c r="G599" i="12"/>
  <c r="G598" i="12"/>
  <c r="G597" i="12"/>
  <c r="G596" i="12"/>
  <c r="G595" i="12"/>
  <c r="G594" i="12"/>
  <c r="G593" i="12"/>
  <c r="G592" i="12"/>
  <c r="G591" i="12"/>
  <c r="G590" i="12"/>
  <c r="G589" i="12"/>
  <c r="G588" i="12"/>
  <c r="G587" i="12"/>
  <c r="G586" i="12"/>
  <c r="G585" i="12"/>
  <c r="G584" i="12"/>
  <c r="G583" i="12"/>
  <c r="G582" i="12"/>
  <c r="G581" i="12"/>
  <c r="G580" i="12"/>
  <c r="G579" i="12"/>
  <c r="G578" i="12"/>
  <c r="G577" i="12"/>
  <c r="G576" i="12"/>
  <c r="G575" i="12"/>
  <c r="G574" i="12"/>
  <c r="G573" i="12"/>
  <c r="G572" i="12"/>
  <c r="G571" i="12"/>
  <c r="G570" i="12"/>
  <c r="G569" i="12"/>
  <c r="G568" i="12"/>
  <c r="G567" i="12"/>
  <c r="G566" i="12"/>
  <c r="G565" i="12"/>
  <c r="G564" i="12"/>
  <c r="G563" i="12"/>
  <c r="G562" i="12"/>
  <c r="G561" i="12"/>
  <c r="G560" i="12"/>
  <c r="G559" i="12"/>
  <c r="G558" i="12"/>
  <c r="G557" i="12"/>
  <c r="G556" i="12"/>
  <c r="G555" i="12"/>
  <c r="G554" i="12"/>
  <c r="G553" i="12"/>
  <c r="G552" i="12"/>
  <c r="G551" i="12"/>
  <c r="G550" i="12"/>
  <c r="G549" i="12"/>
  <c r="G548" i="12"/>
  <c r="G547" i="12"/>
  <c r="G546" i="12"/>
  <c r="G545" i="12"/>
  <c r="G544" i="12"/>
  <c r="G543" i="12"/>
  <c r="G542" i="12"/>
  <c r="G541" i="12"/>
  <c r="G540" i="12"/>
  <c r="G539" i="12"/>
  <c r="G538" i="12"/>
  <c r="G537" i="12"/>
  <c r="G536" i="12"/>
  <c r="G535" i="12"/>
  <c r="G534" i="12"/>
  <c r="G533" i="12"/>
  <c r="G532" i="12"/>
  <c r="G531" i="12"/>
  <c r="G530" i="12"/>
  <c r="G529" i="12"/>
  <c r="G528" i="12"/>
  <c r="G527" i="12"/>
  <c r="G526" i="12"/>
  <c r="G525" i="12"/>
  <c r="G524" i="12"/>
  <c r="G523" i="12"/>
  <c r="G522" i="12"/>
  <c r="G521" i="12"/>
  <c r="G520" i="12"/>
  <c r="G519" i="12"/>
  <c r="G518" i="12"/>
  <c r="G517" i="12"/>
  <c r="G516" i="12"/>
  <c r="G515" i="12"/>
  <c r="G514" i="12"/>
  <c r="G513" i="12"/>
  <c r="G512" i="12"/>
  <c r="G511" i="12"/>
  <c r="G510" i="12"/>
  <c r="G509" i="12"/>
  <c r="G508" i="12"/>
  <c r="G507" i="12"/>
  <c r="G506" i="12"/>
  <c r="G505" i="12"/>
  <c r="G504" i="12"/>
  <c r="G503" i="12"/>
  <c r="G502" i="12"/>
  <c r="G501" i="12"/>
  <c r="G500" i="12"/>
  <c r="G499" i="12"/>
  <c r="G498" i="12"/>
  <c r="G497" i="12"/>
  <c r="G496" i="12"/>
  <c r="G495" i="12"/>
  <c r="G494" i="12"/>
  <c r="G493" i="12"/>
  <c r="G492" i="12"/>
  <c r="G491" i="12"/>
  <c r="G490" i="12"/>
  <c r="G489" i="12"/>
  <c r="G488" i="12"/>
  <c r="G487" i="12"/>
  <c r="G486" i="12"/>
  <c r="G485" i="12"/>
  <c r="G484" i="12"/>
  <c r="G483" i="12"/>
  <c r="G482" i="12"/>
  <c r="G481" i="12"/>
  <c r="G480" i="12"/>
  <c r="G479" i="12"/>
  <c r="G478" i="12"/>
  <c r="G477" i="12"/>
  <c r="G476" i="12"/>
  <c r="G475" i="12"/>
  <c r="G474" i="12"/>
  <c r="G473" i="12"/>
  <c r="G472" i="12"/>
  <c r="G471" i="12"/>
  <c r="G470" i="12"/>
  <c r="G469" i="12"/>
  <c r="G468" i="12"/>
  <c r="G467" i="12"/>
  <c r="G466" i="12"/>
  <c r="G465" i="12"/>
  <c r="G464" i="12"/>
  <c r="G463" i="12"/>
  <c r="G462" i="12"/>
  <c r="G461" i="12"/>
  <c r="G460" i="12"/>
  <c r="G459" i="12"/>
  <c r="G458" i="12"/>
  <c r="G457" i="12"/>
  <c r="G456" i="12"/>
  <c r="G455" i="12"/>
  <c r="G454" i="12"/>
  <c r="G453" i="12"/>
  <c r="G452" i="12"/>
  <c r="G451" i="12"/>
  <c r="G450" i="12"/>
  <c r="G449" i="12"/>
  <c r="G448" i="12"/>
  <c r="G447" i="12"/>
  <c r="G446" i="12"/>
  <c r="G445" i="12"/>
  <c r="G444" i="12"/>
  <c r="G443" i="12"/>
  <c r="G442" i="12"/>
  <c r="G441" i="12"/>
  <c r="G440" i="12"/>
  <c r="G439" i="12"/>
  <c r="G438" i="12"/>
  <c r="G437" i="12"/>
  <c r="G436" i="12"/>
  <c r="G435" i="12"/>
  <c r="G434" i="12"/>
  <c r="G433" i="12"/>
  <c r="G432" i="12"/>
  <c r="G431" i="12"/>
  <c r="G430" i="12"/>
  <c r="G429" i="12"/>
  <c r="G428" i="12"/>
  <c r="G427" i="12"/>
  <c r="G426" i="12"/>
  <c r="G425" i="12"/>
  <c r="G424" i="12"/>
  <c r="G423" i="12"/>
  <c r="G422" i="12"/>
  <c r="G421" i="12"/>
  <c r="G420" i="12"/>
  <c r="G419" i="12"/>
  <c r="G418" i="12"/>
  <c r="G417" i="12"/>
  <c r="G416" i="12"/>
  <c r="G415" i="12"/>
  <c r="G414" i="12"/>
  <c r="G413" i="12"/>
  <c r="G412" i="12"/>
  <c r="G411" i="12"/>
  <c r="G410" i="12"/>
  <c r="G409" i="12"/>
  <c r="G408" i="12"/>
  <c r="G407" i="12"/>
  <c r="G406" i="12"/>
  <c r="G405" i="12"/>
  <c r="G404" i="12"/>
  <c r="G403" i="12"/>
  <c r="G402" i="12"/>
  <c r="G401" i="12"/>
  <c r="G400" i="12"/>
  <c r="G399" i="12"/>
  <c r="G398" i="12"/>
  <c r="G397" i="12"/>
  <c r="G396" i="12"/>
  <c r="G395" i="12"/>
  <c r="G394" i="12"/>
  <c r="G393" i="12"/>
  <c r="G392" i="12"/>
  <c r="G391" i="12"/>
  <c r="G390" i="12"/>
  <c r="G389" i="12"/>
  <c r="G388" i="12"/>
  <c r="G387" i="12"/>
  <c r="G386" i="12"/>
  <c r="G385" i="12"/>
  <c r="G384" i="12"/>
  <c r="G383" i="12"/>
  <c r="G382" i="12"/>
  <c r="G381" i="12"/>
  <c r="G380" i="12"/>
  <c r="G379" i="12"/>
  <c r="G378" i="12"/>
  <c r="G377" i="12"/>
  <c r="G376" i="12"/>
  <c r="G375" i="12"/>
  <c r="G374" i="12"/>
  <c r="G373" i="12"/>
  <c r="G372" i="12"/>
  <c r="G371" i="12"/>
  <c r="G370" i="12"/>
  <c r="G369" i="12"/>
  <c r="G368" i="12"/>
  <c r="G367" i="12"/>
  <c r="G366" i="12"/>
  <c r="G365" i="12"/>
  <c r="G364" i="12"/>
  <c r="G363" i="12"/>
  <c r="G362" i="12"/>
  <c r="G361" i="12"/>
  <c r="G360" i="12"/>
  <c r="G359" i="12"/>
  <c r="G358" i="12"/>
  <c r="G357" i="12"/>
  <c r="G356" i="12"/>
  <c r="G355" i="12"/>
  <c r="G354" i="12"/>
  <c r="G353" i="12"/>
  <c r="G352" i="12"/>
  <c r="G351" i="12"/>
  <c r="G350" i="12"/>
  <c r="G349" i="12"/>
  <c r="G348" i="12"/>
  <c r="G347" i="12"/>
  <c r="G346" i="12"/>
  <c r="G345" i="12"/>
  <c r="G344" i="12"/>
  <c r="G343" i="12"/>
  <c r="G342" i="12"/>
  <c r="G341" i="12"/>
  <c r="G340" i="12"/>
  <c r="G339" i="12"/>
  <c r="G338" i="12"/>
  <c r="G337" i="12"/>
  <c r="G336" i="12"/>
  <c r="G335" i="12"/>
  <c r="G334" i="12"/>
  <c r="G333" i="12"/>
  <c r="G332" i="12"/>
  <c r="G331" i="12"/>
  <c r="G330" i="12"/>
  <c r="G329" i="12"/>
  <c r="G328" i="12"/>
  <c r="G327" i="12"/>
  <c r="G326" i="12"/>
  <c r="G325" i="12"/>
  <c r="G324" i="12"/>
  <c r="G323" i="12"/>
  <c r="G322" i="12"/>
  <c r="G321" i="12"/>
  <c r="G320" i="12"/>
  <c r="G319" i="12"/>
  <c r="G318" i="12"/>
  <c r="G317" i="12"/>
  <c r="G316" i="12"/>
  <c r="G315" i="12"/>
  <c r="G314" i="12"/>
  <c r="G313" i="12"/>
  <c r="G312" i="12"/>
  <c r="G311" i="12"/>
  <c r="G310" i="12"/>
  <c r="G309" i="12"/>
  <c r="G308" i="12"/>
  <c r="G307" i="12"/>
  <c r="G306" i="12"/>
  <c r="G305" i="12"/>
  <c r="G304" i="12"/>
  <c r="G303" i="12"/>
  <c r="G302" i="12"/>
  <c r="G301" i="12"/>
  <c r="G300" i="12"/>
  <c r="G299" i="12"/>
  <c r="G298" i="12"/>
  <c r="G297" i="12"/>
  <c r="G296" i="12"/>
  <c r="G295" i="12"/>
  <c r="G294" i="12"/>
  <c r="G293" i="12"/>
  <c r="G292" i="12"/>
  <c r="G291" i="12"/>
  <c r="G290" i="12"/>
  <c r="G289" i="12"/>
  <c r="G288" i="12"/>
  <c r="G287" i="12"/>
  <c r="G286" i="12"/>
  <c r="G285" i="12"/>
  <c r="G284" i="12"/>
  <c r="G283" i="12"/>
  <c r="G282" i="12"/>
  <c r="G281" i="12"/>
  <c r="G280" i="12"/>
  <c r="G279" i="12"/>
  <c r="G278" i="12"/>
  <c r="G277" i="12"/>
  <c r="G276" i="12"/>
  <c r="G275" i="12"/>
  <c r="G274" i="12"/>
  <c r="G273" i="12"/>
  <c r="G272" i="12"/>
  <c r="G271" i="12"/>
  <c r="G270" i="12"/>
  <c r="G269" i="12"/>
  <c r="G268" i="12"/>
  <c r="G267" i="12"/>
  <c r="G266" i="12"/>
  <c r="G265" i="12"/>
  <c r="G264" i="12"/>
  <c r="G263" i="12"/>
  <c r="G262" i="12"/>
  <c r="G261" i="12"/>
  <c r="G260" i="12"/>
  <c r="G259" i="12"/>
  <c r="G258" i="12"/>
  <c r="G257" i="12"/>
  <c r="G256" i="12"/>
  <c r="G255" i="12"/>
  <c r="G254" i="12"/>
  <c r="G253" i="12"/>
  <c r="G252" i="12"/>
  <c r="G251" i="12"/>
  <c r="G250" i="12"/>
  <c r="G249" i="12"/>
  <c r="G248" i="12"/>
  <c r="G247" i="12"/>
  <c r="G246" i="12"/>
  <c r="G245" i="12"/>
  <c r="G244" i="12"/>
  <c r="G243" i="12"/>
  <c r="G242" i="12"/>
  <c r="G241" i="12"/>
  <c r="G240" i="12"/>
  <c r="G239" i="12"/>
  <c r="G238" i="12"/>
  <c r="G237" i="12"/>
  <c r="G236" i="12"/>
  <c r="G235" i="12"/>
  <c r="G234" i="12"/>
  <c r="G233" i="12"/>
  <c r="G232" i="12"/>
  <c r="G231" i="12"/>
  <c r="G230" i="12"/>
  <c r="G229" i="12"/>
  <c r="G228" i="12"/>
  <c r="G227" i="12"/>
  <c r="G226" i="12"/>
  <c r="G225" i="12"/>
  <c r="G224" i="12"/>
  <c r="G223" i="12"/>
  <c r="G222" i="12"/>
  <c r="G221" i="12"/>
  <c r="G220" i="12"/>
  <c r="G219" i="12"/>
  <c r="G218" i="12"/>
  <c r="G217" i="12"/>
  <c r="G216" i="12"/>
  <c r="G215" i="12"/>
  <c r="G214" i="12"/>
  <c r="G213" i="12"/>
  <c r="G212" i="12"/>
  <c r="G211" i="12"/>
  <c r="G210" i="12"/>
  <c r="G209" i="12"/>
  <c r="G208" i="12"/>
  <c r="G207" i="12"/>
  <c r="G206" i="12"/>
  <c r="G205" i="12"/>
  <c r="G204" i="12"/>
  <c r="G203" i="12"/>
  <c r="G202" i="12"/>
  <c r="G201" i="12"/>
  <c r="G200" i="12"/>
  <c r="G199" i="12"/>
  <c r="G198" i="12"/>
  <c r="G197" i="12"/>
  <c r="G196" i="12"/>
  <c r="G195" i="12"/>
  <c r="G194" i="12"/>
  <c r="G193" i="12"/>
  <c r="G192" i="12"/>
  <c r="G191" i="12"/>
  <c r="G190" i="12"/>
  <c r="G189" i="12"/>
  <c r="G188" i="12"/>
  <c r="G187" i="12"/>
  <c r="G186" i="12"/>
  <c r="G185" i="12"/>
  <c r="G184" i="12"/>
  <c r="G183" i="12"/>
  <c r="G182" i="12"/>
  <c r="G181" i="12"/>
  <c r="G180" i="12"/>
  <c r="G179" i="12"/>
  <c r="G178" i="12"/>
  <c r="G177" i="12"/>
  <c r="G176" i="12"/>
  <c r="G175" i="12"/>
  <c r="G174" i="12"/>
  <c r="G173" i="12"/>
  <c r="G172" i="12"/>
  <c r="G171" i="12"/>
  <c r="G170" i="12"/>
  <c r="G169" i="12"/>
  <c r="G168" i="12"/>
  <c r="G167" i="12"/>
  <c r="G166" i="12"/>
  <c r="G165" i="12"/>
  <c r="G164" i="12"/>
  <c r="G163" i="12"/>
  <c r="G162" i="12"/>
  <c r="G161" i="12"/>
  <c r="G160" i="12"/>
  <c r="G159" i="12"/>
  <c r="G158" i="12"/>
  <c r="G157" i="12"/>
  <c r="G156" i="12"/>
  <c r="G155" i="12"/>
  <c r="G154" i="12"/>
  <c r="G153" i="12"/>
  <c r="G152" i="12"/>
  <c r="G151" i="12"/>
  <c r="G150" i="12"/>
  <c r="G149" i="12"/>
  <c r="G148" i="12"/>
  <c r="G147" i="12"/>
  <c r="G146" i="12"/>
  <c r="G145" i="12"/>
  <c r="G144" i="12"/>
  <c r="G143" i="12"/>
  <c r="G142" i="12"/>
  <c r="G141" i="12"/>
  <c r="G140" i="12"/>
  <c r="G139" i="12"/>
  <c r="G138" i="12"/>
  <c r="G137" i="12"/>
  <c r="G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11" i="12"/>
  <c r="G110" i="12"/>
  <c r="G109" i="12"/>
  <c r="G108"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E8" i="82"/>
  <c r="E7" i="8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H14" i="8"/>
  <c r="H15" i="8"/>
  <c r="H16" i="8"/>
  <c r="H9" i="8"/>
  <c r="H4" i="8"/>
  <c r="H5" i="8"/>
  <c r="H6" i="8"/>
  <c r="H7" i="8"/>
  <c r="H8" i="8"/>
  <c r="C6" i="81"/>
  <c r="C7" i="81"/>
  <c r="C8" i="81"/>
  <c r="C9" i="81"/>
  <c r="C10" i="81"/>
  <c r="C11" i="81"/>
  <c r="C12" i="81"/>
  <c r="C13" i="81"/>
  <c r="C14" i="81"/>
  <c r="C15" i="81"/>
  <c r="C16" i="81"/>
  <c r="C17" i="81"/>
  <c r="C18" i="81"/>
  <c r="C19" i="81"/>
  <c r="C20" i="81"/>
  <c r="C21" i="81"/>
  <c r="C22" i="81"/>
  <c r="C23" i="81"/>
  <c r="C24" i="81"/>
  <c r="C25" i="81"/>
  <c r="C26" i="81"/>
  <c r="C27" i="81"/>
  <c r="C28" i="81"/>
  <c r="C29" i="81"/>
  <c r="C30" i="81"/>
  <c r="C31" i="81"/>
  <c r="C32" i="81"/>
  <c r="C33" i="81"/>
  <c r="C34" i="81"/>
  <c r="C35" i="81"/>
  <c r="C36" i="81"/>
  <c r="C37" i="81"/>
  <c r="C38" i="81"/>
  <c r="C39" i="81"/>
  <c r="C40" i="81"/>
  <c r="C41" i="81"/>
  <c r="C42" i="81"/>
  <c r="C43" i="81"/>
  <c r="C44" i="81"/>
  <c r="C45" i="81"/>
  <c r="C46" i="81"/>
  <c r="C47" i="81"/>
  <c r="C48" i="81"/>
  <c r="C49" i="81"/>
  <c r="C50" i="81"/>
  <c r="C51" i="81"/>
  <c r="C52" i="81"/>
  <c r="C53" i="81"/>
  <c r="C54" i="81"/>
  <c r="C55" i="81"/>
  <c r="C56" i="81"/>
  <c r="C57" i="81"/>
  <c r="C58" i="81"/>
  <c r="C59" i="81"/>
  <c r="C60" i="81"/>
  <c r="C61" i="81"/>
  <c r="C62" i="81"/>
  <c r="C63" i="81"/>
  <c r="C64" i="81"/>
  <c r="C65" i="81"/>
  <c r="C66" i="81"/>
  <c r="C67" i="81"/>
  <c r="C68" i="81"/>
  <c r="C69" i="81"/>
  <c r="C70" i="81"/>
  <c r="C71" i="81"/>
  <c r="C72" i="81"/>
  <c r="C73" i="81"/>
  <c r="C74" i="81"/>
  <c r="C75" i="81"/>
  <c r="C76" i="81"/>
  <c r="C77" i="81"/>
  <c r="C78" i="81"/>
  <c r="C79" i="81"/>
  <c r="C80" i="81"/>
  <c r="C81" i="81"/>
  <c r="C82" i="81"/>
  <c r="C83" i="81"/>
  <c r="C84" i="81"/>
  <c r="C85" i="81"/>
  <c r="C86" i="81"/>
  <c r="C87" i="81"/>
  <c r="C88" i="81"/>
  <c r="C89" i="81"/>
  <c r="C90" i="81"/>
  <c r="C91" i="81"/>
  <c r="C92" i="81"/>
  <c r="C93" i="81"/>
  <c r="C94" i="81"/>
  <c r="C95" i="81"/>
  <c r="C96" i="81"/>
  <c r="C97" i="81"/>
  <c r="C98" i="81"/>
  <c r="C99" i="81"/>
  <c r="C100" i="81"/>
  <c r="C101" i="81"/>
  <c r="C102" i="81"/>
  <c r="C103" i="81"/>
  <c r="C104" i="81"/>
  <c r="C105" i="81"/>
  <c r="C106" i="81"/>
  <c r="C107" i="81"/>
  <c r="C108" i="81"/>
  <c r="C109" i="81"/>
  <c r="C110" i="81"/>
  <c r="C111" i="81"/>
  <c r="C112" i="81"/>
  <c r="C113" i="81"/>
  <c r="C114" i="81"/>
  <c r="C115" i="81"/>
  <c r="C116" i="81"/>
  <c r="C117" i="81"/>
  <c r="C118" i="81"/>
  <c r="C119" i="81"/>
  <c r="C120" i="81"/>
  <c r="C121" i="81"/>
  <c r="C122" i="81"/>
  <c r="C123" i="81"/>
  <c r="C124" i="81"/>
  <c r="C125" i="81"/>
  <c r="C126" i="81"/>
  <c r="C127" i="81"/>
  <c r="C128" i="81"/>
  <c r="C129" i="81"/>
  <c r="C130" i="81"/>
  <c r="C131" i="81"/>
  <c r="C132" i="81"/>
  <c r="C133" i="81"/>
  <c r="C134" i="81"/>
  <c r="C135" i="81"/>
  <c r="C136" i="81"/>
  <c r="C137" i="81"/>
  <c r="C138" i="81"/>
  <c r="C139" i="81"/>
  <c r="C140" i="81"/>
  <c r="C141" i="81"/>
  <c r="C142" i="81"/>
  <c r="C143" i="81"/>
  <c r="C144" i="81"/>
  <c r="C145" i="81"/>
  <c r="C146" i="81"/>
  <c r="C147" i="81"/>
  <c r="C148" i="81"/>
  <c r="C149" i="81"/>
  <c r="C150" i="81"/>
  <c r="C151" i="81"/>
  <c r="C152" i="81"/>
  <c r="C153" i="81"/>
  <c r="C154" i="81"/>
  <c r="C155" i="81"/>
  <c r="C156" i="81"/>
  <c r="C157" i="81"/>
  <c r="C158" i="81"/>
  <c r="C159" i="81"/>
  <c r="C160" i="81"/>
  <c r="C161" i="81"/>
  <c r="C162" i="81"/>
  <c r="C163" i="81"/>
  <c r="C164" i="81"/>
  <c r="C165" i="81"/>
  <c r="C166" i="81"/>
  <c r="C167" i="81"/>
  <c r="C168" i="81"/>
  <c r="C169" i="81"/>
  <c r="C170" i="81"/>
  <c r="C171" i="81"/>
  <c r="C172" i="81"/>
  <c r="C173" i="81"/>
  <c r="C174" i="81"/>
  <c r="C175" i="81"/>
  <c r="C176" i="81"/>
  <c r="C177" i="81"/>
  <c r="C178" i="81"/>
  <c r="C179" i="81"/>
  <c r="C180" i="81"/>
  <c r="C181" i="81"/>
  <c r="C182" i="81"/>
  <c r="C183" i="81"/>
  <c r="C184" i="81"/>
  <c r="C185" i="81"/>
  <c r="C186" i="81"/>
  <c r="C187" i="81"/>
  <c r="C188" i="81"/>
  <c r="C189" i="81"/>
  <c r="C190" i="81"/>
  <c r="C191" i="81"/>
  <c r="C192" i="81"/>
  <c r="C193" i="81"/>
  <c r="C194" i="81"/>
  <c r="C195" i="81"/>
  <c r="C196" i="81"/>
  <c r="C197" i="81"/>
  <c r="C198" i="81"/>
  <c r="C199" i="81"/>
  <c r="C200" i="81"/>
  <c r="C201" i="81"/>
  <c r="C202" i="81"/>
  <c r="C203" i="81"/>
  <c r="C204" i="81"/>
  <c r="C205" i="81"/>
  <c r="C206" i="81"/>
  <c r="C207" i="81"/>
  <c r="C208" i="81"/>
  <c r="C209" i="81"/>
  <c r="C210" i="81"/>
  <c r="C211" i="81"/>
  <c r="C212" i="81"/>
  <c r="C213" i="81"/>
  <c r="C214" i="81"/>
  <c r="C215" i="81"/>
  <c r="C216" i="81"/>
  <c r="C217" i="81"/>
  <c r="C218" i="81"/>
  <c r="C219" i="81"/>
  <c r="C220" i="81"/>
  <c r="C221" i="81"/>
  <c r="C222" i="81"/>
  <c r="C223" i="81"/>
  <c r="C224" i="81"/>
  <c r="C225" i="81"/>
  <c r="C226" i="81"/>
  <c r="C227" i="81"/>
  <c r="C228" i="81"/>
  <c r="C229" i="81"/>
  <c r="C230" i="81"/>
  <c r="C231" i="81"/>
  <c r="C232" i="81"/>
  <c r="C233" i="81"/>
  <c r="C234" i="81"/>
  <c r="C235" i="81"/>
  <c r="C236" i="81"/>
  <c r="C237" i="81"/>
  <c r="C238" i="81"/>
  <c r="C239" i="81"/>
  <c r="C240" i="81"/>
  <c r="C241" i="81"/>
  <c r="C242" i="81"/>
  <c r="C243" i="81"/>
  <c r="C244" i="81"/>
  <c r="C245" i="81"/>
  <c r="C246" i="81"/>
  <c r="C247" i="81"/>
  <c r="C248" i="81"/>
  <c r="C249" i="81"/>
  <c r="C250" i="81"/>
  <c r="C251" i="81"/>
  <c r="C252" i="81"/>
  <c r="C253" i="81"/>
  <c r="C254" i="81"/>
  <c r="C255" i="81"/>
  <c r="C256" i="81"/>
  <c r="C257" i="81"/>
  <c r="C258" i="81"/>
  <c r="C259" i="81"/>
  <c r="C260" i="81"/>
  <c r="C261" i="81"/>
  <c r="C262" i="81"/>
  <c r="C263" i="81"/>
  <c r="C264" i="81"/>
  <c r="C265" i="81"/>
  <c r="C266" i="81"/>
  <c r="C267" i="81"/>
  <c r="C268" i="81"/>
  <c r="C269" i="81"/>
  <c r="C270" i="81"/>
  <c r="C271" i="81"/>
  <c r="C272" i="81"/>
  <c r="C273" i="81"/>
  <c r="C274" i="81"/>
  <c r="C275" i="81"/>
  <c r="C276" i="81"/>
  <c r="C277" i="81"/>
  <c r="C278" i="81"/>
  <c r="C279" i="81"/>
  <c r="C280" i="81"/>
  <c r="C281" i="81"/>
  <c r="C282" i="81"/>
  <c r="C283" i="81"/>
  <c r="C284" i="81"/>
  <c r="C285" i="81"/>
  <c r="C286" i="81"/>
  <c r="C287" i="81"/>
  <c r="C288" i="81"/>
  <c r="C289" i="81"/>
  <c r="C290" i="81"/>
  <c r="C291" i="81"/>
  <c r="C292" i="81"/>
  <c r="C293" i="81"/>
  <c r="C294" i="81"/>
  <c r="C295" i="81"/>
  <c r="C296" i="81"/>
  <c r="C297" i="81"/>
  <c r="C298" i="81"/>
  <c r="C299" i="81"/>
  <c r="C300" i="81"/>
  <c r="C301" i="81"/>
  <c r="C302" i="81"/>
  <c r="C303" i="81"/>
  <c r="C304" i="81"/>
  <c r="C305" i="81"/>
  <c r="C306" i="81"/>
  <c r="C307" i="81"/>
  <c r="C308" i="81"/>
  <c r="C309" i="81"/>
  <c r="C310" i="81"/>
  <c r="C311" i="81"/>
  <c r="C312" i="81"/>
  <c r="C313" i="81"/>
  <c r="C314" i="81"/>
  <c r="C315" i="81"/>
  <c r="C316" i="81"/>
  <c r="C317" i="81"/>
  <c r="C318" i="81"/>
  <c r="C319" i="81"/>
  <c r="C320" i="81"/>
  <c r="C321" i="81"/>
  <c r="C322" i="81"/>
  <c r="C323" i="81"/>
  <c r="C324" i="81"/>
  <c r="C325" i="81"/>
  <c r="C326" i="81"/>
  <c r="C327" i="81"/>
  <c r="C328" i="81"/>
  <c r="C329" i="81"/>
  <c r="C330" i="81"/>
  <c r="C331" i="81"/>
  <c r="C332" i="81"/>
  <c r="C333" i="81"/>
  <c r="C334" i="81"/>
  <c r="C335" i="81"/>
  <c r="C336" i="81"/>
  <c r="C337" i="81"/>
  <c r="C338" i="81"/>
  <c r="C339" i="81"/>
  <c r="C340" i="81"/>
  <c r="C341" i="81"/>
  <c r="C342" i="81"/>
  <c r="C343" i="81"/>
  <c r="C344" i="81"/>
  <c r="C345" i="81"/>
  <c r="C346" i="81"/>
  <c r="C347" i="81"/>
  <c r="C348" i="81"/>
  <c r="C349" i="81"/>
  <c r="C350" i="81"/>
  <c r="C351" i="81"/>
  <c r="C352" i="81"/>
  <c r="C353" i="81"/>
  <c r="C354" i="81"/>
  <c r="C355" i="81"/>
  <c r="C356" i="81"/>
  <c r="C357" i="81"/>
  <c r="C358" i="81"/>
  <c r="C359" i="81"/>
  <c r="C360" i="81"/>
  <c r="C361" i="81"/>
  <c r="C362" i="81"/>
  <c r="C363" i="81"/>
  <c r="C364" i="81"/>
  <c r="C365" i="81"/>
  <c r="C366" i="81"/>
  <c r="C367" i="81"/>
  <c r="C368" i="81"/>
  <c r="C369" i="81"/>
  <c r="C370" i="81"/>
  <c r="C371" i="81"/>
  <c r="C372" i="81"/>
  <c r="C373" i="81"/>
  <c r="C374" i="81"/>
  <c r="C375" i="81"/>
  <c r="C376" i="81"/>
  <c r="C377" i="81"/>
  <c r="C378" i="81"/>
  <c r="C379" i="81"/>
  <c r="C380" i="81"/>
  <c r="C381" i="81"/>
  <c r="C382" i="81"/>
  <c r="C383" i="81"/>
  <c r="C384" i="81"/>
  <c r="C385" i="81"/>
  <c r="C386" i="81"/>
  <c r="C387" i="81"/>
  <c r="C388" i="81"/>
  <c r="C389" i="81"/>
  <c r="C390" i="81"/>
  <c r="C391" i="81"/>
  <c r="C392" i="81"/>
  <c r="C393" i="81"/>
  <c r="C394" i="81"/>
  <c r="C395" i="81"/>
  <c r="C396" i="81"/>
  <c r="C397" i="81"/>
  <c r="C398" i="81"/>
  <c r="C399" i="81"/>
  <c r="C400" i="81"/>
  <c r="C401" i="81"/>
  <c r="C402" i="81"/>
  <c r="C403" i="81"/>
  <c r="C404" i="81"/>
  <c r="C405" i="81"/>
  <c r="C406" i="81"/>
  <c r="C407" i="81"/>
  <c r="C408" i="81"/>
  <c r="C409" i="81"/>
  <c r="C410" i="81"/>
  <c r="C411" i="81"/>
  <c r="C412" i="81"/>
  <c r="C413" i="81"/>
  <c r="C414" i="81"/>
  <c r="C415" i="81"/>
  <c r="C416" i="81"/>
  <c r="C417" i="81"/>
  <c r="C418" i="81"/>
  <c r="C419" i="81"/>
  <c r="C420" i="81"/>
  <c r="C421" i="81"/>
  <c r="C422" i="81"/>
  <c r="C423" i="81"/>
  <c r="C424" i="81"/>
  <c r="C425" i="81"/>
  <c r="C426" i="81"/>
  <c r="C427" i="81"/>
  <c r="C428" i="81"/>
  <c r="C429" i="81"/>
  <c r="C430" i="81"/>
  <c r="C431" i="81"/>
  <c r="C432" i="81"/>
  <c r="C433" i="81"/>
  <c r="C434" i="81"/>
  <c r="C435" i="81"/>
  <c r="C436" i="81"/>
  <c r="C437" i="81"/>
  <c r="C438" i="81"/>
  <c r="C439" i="81"/>
  <c r="C440" i="81"/>
  <c r="C441" i="81"/>
  <c r="C442" i="81"/>
  <c r="C443" i="81"/>
  <c r="C444" i="81"/>
  <c r="C445" i="81"/>
  <c r="C446" i="81"/>
  <c r="C447" i="81"/>
  <c r="C448" i="81"/>
  <c r="C449" i="81"/>
  <c r="C450" i="81"/>
  <c r="C451" i="81"/>
  <c r="C452" i="81"/>
  <c r="C453" i="81"/>
  <c r="C454" i="81"/>
  <c r="C455" i="81"/>
  <c r="C456" i="81"/>
  <c r="C457" i="81"/>
  <c r="C458" i="81"/>
  <c r="C459" i="81"/>
  <c r="C460" i="81"/>
  <c r="C461" i="81"/>
  <c r="C462" i="81"/>
  <c r="C463" i="81"/>
  <c r="C464" i="81"/>
  <c r="C465" i="81"/>
  <c r="C466" i="81"/>
  <c r="C467" i="81"/>
  <c r="C468" i="81"/>
  <c r="C469" i="81"/>
  <c r="C470" i="81"/>
  <c r="C471" i="81"/>
  <c r="C472" i="81"/>
  <c r="C473" i="81"/>
  <c r="C474" i="81"/>
  <c r="C475" i="81"/>
  <c r="C476" i="81"/>
  <c r="C477" i="81"/>
  <c r="C478" i="81"/>
  <c r="C479" i="81"/>
  <c r="C480" i="81"/>
  <c r="C481" i="81"/>
  <c r="C482" i="81"/>
  <c r="C483" i="81"/>
  <c r="C484" i="81"/>
  <c r="C485" i="81"/>
  <c r="C486" i="81"/>
  <c r="C487" i="81"/>
  <c r="C488" i="81"/>
  <c r="C489" i="81"/>
  <c r="C490" i="81"/>
  <c r="C491" i="81"/>
  <c r="C492" i="81"/>
  <c r="C493" i="81"/>
  <c r="C494" i="81"/>
  <c r="C495" i="81"/>
  <c r="C496" i="81"/>
  <c r="C497" i="81"/>
  <c r="C498" i="81"/>
  <c r="C499" i="81"/>
  <c r="C500" i="81"/>
  <c r="C501" i="81"/>
  <c r="C502" i="81"/>
  <c r="C503" i="81"/>
  <c r="C504" i="81"/>
  <c r="C505" i="81"/>
  <c r="C506" i="81"/>
  <c r="C507" i="81"/>
  <c r="C508" i="81"/>
  <c r="C509" i="81"/>
  <c r="C510" i="81"/>
  <c r="C511" i="81"/>
  <c r="C512" i="81"/>
  <c r="C513" i="81"/>
  <c r="C514" i="81"/>
  <c r="C515" i="81"/>
  <c r="C516" i="81"/>
  <c r="C517" i="81"/>
  <c r="C518" i="81"/>
  <c r="C519" i="81"/>
  <c r="C520" i="81"/>
  <c r="C521" i="81"/>
  <c r="C522" i="81"/>
  <c r="C523" i="81"/>
  <c r="C524" i="81"/>
  <c r="C525" i="81"/>
  <c r="C526" i="81"/>
  <c r="C527" i="81"/>
  <c r="C528" i="81"/>
  <c r="C529" i="81"/>
  <c r="C530" i="81"/>
  <c r="C531" i="81"/>
  <c r="C532" i="81"/>
  <c r="C533" i="81"/>
  <c r="C534" i="81"/>
  <c r="C535" i="81"/>
  <c r="C536" i="81"/>
  <c r="C537" i="81"/>
  <c r="C538" i="81"/>
  <c r="C539" i="81"/>
  <c r="C540" i="81"/>
  <c r="C541" i="81"/>
  <c r="C542" i="81"/>
  <c r="C543" i="81"/>
  <c r="C544" i="81"/>
  <c r="C545" i="81"/>
  <c r="C546" i="81"/>
  <c r="C547" i="81"/>
  <c r="C548" i="81"/>
  <c r="C549" i="81"/>
  <c r="C550" i="81"/>
  <c r="C551" i="81"/>
  <c r="C552" i="81"/>
  <c r="C553" i="81"/>
  <c r="C554" i="81"/>
  <c r="C555" i="81"/>
  <c r="C556" i="81"/>
  <c r="C557" i="81"/>
  <c r="C558" i="81"/>
  <c r="C559" i="81"/>
  <c r="C560" i="81"/>
  <c r="C561" i="81"/>
  <c r="C562" i="81"/>
  <c r="C563" i="81"/>
  <c r="C564" i="81"/>
  <c r="C565" i="81"/>
  <c r="C566" i="81"/>
  <c r="C567" i="81"/>
  <c r="C568" i="81"/>
  <c r="C569" i="81"/>
  <c r="C570" i="81"/>
  <c r="C571" i="81"/>
  <c r="C572" i="81"/>
  <c r="C573" i="81"/>
  <c r="C574" i="81"/>
  <c r="C575" i="81"/>
  <c r="C576" i="81"/>
  <c r="C577" i="81"/>
  <c r="C578" i="81"/>
  <c r="C579" i="81"/>
  <c r="C580" i="81"/>
  <c r="C581" i="81"/>
  <c r="C582" i="81"/>
  <c r="C583" i="81"/>
  <c r="C584" i="81"/>
  <c r="C585" i="81"/>
  <c r="C586" i="81"/>
  <c r="C587" i="81"/>
  <c r="C588" i="81"/>
  <c r="C589" i="81"/>
  <c r="C590" i="81"/>
  <c r="C591" i="81"/>
  <c r="C592" i="81"/>
  <c r="C593" i="81"/>
  <c r="C594" i="81"/>
  <c r="C595" i="81"/>
  <c r="C596" i="81"/>
  <c r="C597" i="81"/>
  <c r="C598" i="81"/>
  <c r="C599" i="81"/>
  <c r="C600" i="81"/>
  <c r="C601" i="81"/>
  <c r="C602" i="81"/>
  <c r="C603" i="81"/>
  <c r="C604" i="81"/>
  <c r="C605" i="81"/>
  <c r="C606" i="81"/>
  <c r="C607" i="81"/>
  <c r="C608" i="81"/>
  <c r="C609" i="81"/>
  <c r="C610" i="81"/>
  <c r="C611" i="81"/>
  <c r="C612" i="81"/>
  <c r="C613" i="81"/>
  <c r="C614" i="81"/>
  <c r="C615" i="81"/>
  <c r="C616" i="81"/>
  <c r="C617" i="81"/>
  <c r="C618" i="81"/>
  <c r="C619" i="81"/>
  <c r="C620" i="81"/>
  <c r="C621" i="81"/>
  <c r="C622" i="81"/>
  <c r="C623" i="81"/>
  <c r="C624" i="81"/>
  <c r="C625" i="81"/>
  <c r="C626" i="81"/>
  <c r="C627" i="81"/>
  <c r="C628" i="81"/>
  <c r="C629" i="81"/>
  <c r="C630" i="81"/>
  <c r="C631" i="81"/>
  <c r="C632" i="81"/>
  <c r="C633" i="81"/>
  <c r="C634" i="81"/>
  <c r="C635" i="81"/>
  <c r="C636" i="81"/>
  <c r="C637" i="81"/>
  <c r="C638" i="81"/>
  <c r="C639" i="81"/>
  <c r="C640" i="81"/>
  <c r="C641" i="81"/>
  <c r="C642" i="81"/>
  <c r="C643" i="81"/>
  <c r="C644" i="81"/>
  <c r="C645" i="81"/>
  <c r="C646" i="81"/>
  <c r="C647" i="81"/>
  <c r="C648" i="81"/>
  <c r="C649" i="81"/>
  <c r="C650" i="81"/>
  <c r="C651" i="81"/>
  <c r="C652" i="81"/>
  <c r="C653" i="81"/>
  <c r="C654" i="81"/>
  <c r="C655" i="81"/>
  <c r="C656" i="81"/>
  <c r="C657" i="81"/>
  <c r="C658" i="81"/>
  <c r="C659" i="81"/>
  <c r="C660" i="81"/>
  <c r="C661" i="81"/>
  <c r="C662" i="81"/>
  <c r="C663" i="81"/>
  <c r="C664" i="81"/>
  <c r="C665" i="81"/>
  <c r="C666" i="81"/>
  <c r="C667" i="81"/>
  <c r="C668" i="81"/>
  <c r="C669" i="81"/>
  <c r="C670" i="81"/>
  <c r="C671" i="81"/>
  <c r="C672" i="81"/>
  <c r="C673" i="81"/>
  <c r="C674" i="81"/>
  <c r="C675" i="81"/>
  <c r="C676" i="81"/>
  <c r="C677" i="81"/>
  <c r="C678" i="81"/>
  <c r="C679" i="81"/>
  <c r="C680" i="81"/>
  <c r="C681" i="81"/>
  <c r="C682" i="81"/>
  <c r="C683" i="81"/>
  <c r="C684" i="81"/>
  <c r="C685" i="81"/>
  <c r="C686" i="81"/>
  <c r="C687" i="81"/>
  <c r="C688" i="81"/>
  <c r="C689" i="81"/>
  <c r="C690" i="81"/>
  <c r="C691" i="81"/>
  <c r="C692" i="81"/>
  <c r="C693" i="81"/>
  <c r="C694" i="81"/>
  <c r="C695" i="81"/>
  <c r="C696" i="81"/>
  <c r="C697" i="81"/>
  <c r="C698" i="81"/>
  <c r="C699" i="81"/>
  <c r="C700" i="81"/>
  <c r="C701" i="81"/>
  <c r="C702" i="81"/>
  <c r="C703" i="81"/>
  <c r="C704" i="81"/>
  <c r="C705" i="81"/>
  <c r="W6" i="82"/>
  <c r="W7" i="82"/>
  <c r="W8" i="82"/>
  <c r="W9" i="82"/>
  <c r="W10" i="82"/>
  <c r="W11" i="82"/>
  <c r="W12" i="82"/>
  <c r="W13" i="82"/>
  <c r="W14" i="82"/>
  <c r="W15" i="82"/>
  <c r="W16" i="82"/>
  <c r="W17" i="82"/>
  <c r="W18" i="82"/>
  <c r="W19" i="82"/>
  <c r="W20" i="82"/>
  <c r="W21" i="82"/>
  <c r="W22" i="82"/>
  <c r="W23" i="82"/>
  <c r="W24" i="82"/>
  <c r="W25" i="82"/>
  <c r="W26" i="82"/>
  <c r="W27" i="82"/>
  <c r="W28" i="82"/>
  <c r="W29" i="82"/>
  <c r="W30" i="82"/>
  <c r="W31" i="82"/>
  <c r="W32" i="82"/>
  <c r="W33" i="82"/>
  <c r="W34" i="82"/>
  <c r="W35" i="82"/>
  <c r="W36" i="82"/>
  <c r="W37" i="82"/>
  <c r="W38" i="82"/>
  <c r="W39" i="82"/>
  <c r="W40" i="82"/>
  <c r="W41" i="82"/>
  <c r="W42" i="82"/>
  <c r="W43" i="82"/>
  <c r="W44" i="82"/>
  <c r="W45" i="82"/>
  <c r="W46" i="82"/>
  <c r="W47" i="82"/>
  <c r="W48" i="82"/>
  <c r="W49" i="82"/>
  <c r="W50" i="82"/>
  <c r="W51" i="82"/>
  <c r="W52" i="82"/>
  <c r="W53" i="82"/>
  <c r="W54" i="82"/>
  <c r="W55" i="82"/>
  <c r="W56" i="82"/>
  <c r="W57" i="82"/>
  <c r="W58" i="82"/>
  <c r="W59" i="82"/>
  <c r="W60" i="82"/>
  <c r="W61" i="82"/>
  <c r="W62" i="82"/>
  <c r="W63" i="82"/>
  <c r="W64" i="82"/>
  <c r="W65" i="82"/>
  <c r="W66" i="82"/>
  <c r="W67" i="82"/>
  <c r="W68" i="82"/>
  <c r="W69" i="82"/>
  <c r="W70" i="82"/>
  <c r="W71" i="82"/>
  <c r="W72" i="82"/>
  <c r="W73" i="82"/>
  <c r="W74" i="82"/>
  <c r="W75" i="82"/>
  <c r="W76" i="82"/>
  <c r="W77" i="82"/>
  <c r="W78" i="82"/>
  <c r="W79" i="82"/>
  <c r="W80" i="82"/>
  <c r="W81" i="82"/>
  <c r="W82" i="82"/>
  <c r="W83" i="82"/>
  <c r="W84" i="82"/>
  <c r="W85" i="82"/>
  <c r="W86" i="82"/>
  <c r="W87" i="82"/>
  <c r="W88" i="82"/>
  <c r="W89" i="82"/>
  <c r="W90" i="82"/>
  <c r="W91" i="82"/>
  <c r="W92" i="82"/>
  <c r="W93" i="82"/>
  <c r="W94" i="82"/>
  <c r="W95" i="82"/>
  <c r="W96" i="82"/>
  <c r="W97" i="82"/>
  <c r="W98" i="82"/>
  <c r="W99" i="82"/>
  <c r="W100" i="82"/>
  <c r="W101" i="82"/>
  <c r="W102" i="82"/>
  <c r="W103" i="82"/>
  <c r="W104" i="82"/>
  <c r="W105" i="82"/>
  <c r="W106" i="82"/>
  <c r="W107" i="82"/>
  <c r="W108" i="82"/>
  <c r="W109" i="82"/>
  <c r="W110" i="82"/>
  <c r="W111" i="82"/>
  <c r="W112" i="82"/>
  <c r="W113" i="82"/>
  <c r="W114" i="82"/>
  <c r="W115" i="82"/>
  <c r="W116" i="82"/>
  <c r="W117" i="82"/>
  <c r="W118" i="82"/>
  <c r="W119" i="82"/>
  <c r="W120" i="82"/>
  <c r="W121" i="82"/>
  <c r="W122" i="82"/>
  <c r="W123" i="82"/>
  <c r="W124" i="82"/>
  <c r="W125" i="82"/>
  <c r="W126" i="82"/>
  <c r="W127" i="82"/>
  <c r="W128" i="82"/>
  <c r="W129" i="82"/>
  <c r="W130" i="82"/>
  <c r="W131" i="82"/>
  <c r="W132" i="82"/>
  <c r="W133" i="82"/>
  <c r="W134" i="82"/>
  <c r="W135" i="82"/>
  <c r="W136" i="82"/>
  <c r="W137" i="82"/>
  <c r="W138" i="82"/>
  <c r="W139" i="82"/>
  <c r="W140" i="82"/>
  <c r="W141" i="82"/>
  <c r="W142" i="82"/>
  <c r="W143" i="82"/>
  <c r="W144" i="82"/>
  <c r="W145" i="82"/>
  <c r="W146" i="82"/>
  <c r="W147" i="82"/>
  <c r="W148" i="82"/>
  <c r="W149" i="82"/>
  <c r="W150" i="82"/>
  <c r="W151" i="82"/>
  <c r="W152" i="82"/>
  <c r="W153" i="82"/>
  <c r="W154" i="82"/>
  <c r="W155" i="82"/>
  <c r="W156" i="82"/>
  <c r="W157" i="82"/>
  <c r="W158" i="82"/>
  <c r="W159" i="82"/>
  <c r="W160" i="82"/>
  <c r="W161" i="82"/>
  <c r="W162" i="82"/>
  <c r="W163" i="82"/>
  <c r="W164" i="82"/>
  <c r="W165" i="82"/>
  <c r="W166" i="82"/>
  <c r="W167" i="82"/>
  <c r="W168" i="82"/>
  <c r="W169" i="82"/>
  <c r="W170" i="82"/>
  <c r="W171" i="82"/>
  <c r="W172" i="82"/>
  <c r="W173" i="82"/>
  <c r="W174" i="82"/>
  <c r="W175" i="82"/>
  <c r="W176" i="82"/>
  <c r="W177" i="82"/>
  <c r="W178" i="82"/>
  <c r="W179" i="82"/>
  <c r="W180" i="82"/>
  <c r="W181" i="82"/>
  <c r="W182" i="82"/>
  <c r="W183" i="82"/>
  <c r="W184" i="82"/>
  <c r="W185" i="82"/>
  <c r="W186" i="82"/>
  <c r="W187" i="82"/>
  <c r="W188" i="82"/>
  <c r="W189" i="82"/>
  <c r="W190" i="82"/>
  <c r="W191" i="82"/>
  <c r="W192" i="82"/>
  <c r="W193" i="82"/>
  <c r="W194" i="82"/>
  <c r="W195" i="82"/>
  <c r="W196" i="82"/>
  <c r="W197" i="82"/>
  <c r="W198" i="82"/>
  <c r="W199" i="82"/>
  <c r="W200" i="82"/>
  <c r="W201" i="82"/>
  <c r="W202" i="82"/>
  <c r="W203" i="82"/>
  <c r="W204" i="82"/>
  <c r="W205" i="82"/>
  <c r="W206" i="82"/>
  <c r="W207" i="82"/>
  <c r="W208" i="82"/>
  <c r="W209" i="82"/>
  <c r="W210" i="82"/>
  <c r="W211" i="82"/>
  <c r="W212" i="82"/>
  <c r="W213" i="82"/>
  <c r="W214" i="82"/>
  <c r="W215" i="82"/>
  <c r="W216" i="82"/>
  <c r="W217" i="82"/>
  <c r="W218" i="82"/>
  <c r="W219" i="82"/>
  <c r="W220" i="82"/>
  <c r="W221" i="82"/>
  <c r="W222" i="82"/>
  <c r="W223" i="82"/>
  <c r="W224" i="82"/>
  <c r="W225" i="82"/>
  <c r="W226" i="82"/>
  <c r="W227" i="82"/>
  <c r="W228" i="82"/>
  <c r="W229" i="82"/>
  <c r="W230" i="82"/>
  <c r="W231" i="82"/>
  <c r="W232" i="82"/>
  <c r="W233" i="82"/>
  <c r="W234" i="82"/>
  <c r="W235" i="82"/>
  <c r="W236" i="82"/>
  <c r="W237" i="82"/>
  <c r="W238" i="82"/>
  <c r="W239" i="82"/>
  <c r="W240" i="82"/>
  <c r="W241" i="82"/>
  <c r="W242" i="82"/>
  <c r="W243" i="82"/>
  <c r="W244" i="82"/>
  <c r="W245" i="82"/>
  <c r="W246" i="82"/>
  <c r="W247" i="82"/>
  <c r="W248" i="82"/>
  <c r="W249" i="82"/>
  <c r="W250" i="82"/>
  <c r="W251" i="82"/>
  <c r="W252" i="82"/>
  <c r="W253" i="82"/>
  <c r="W254" i="82"/>
  <c r="W255" i="82"/>
  <c r="W256" i="82"/>
  <c r="W257" i="82"/>
  <c r="W258" i="82"/>
  <c r="W259" i="82"/>
  <c r="W260" i="82"/>
  <c r="W261" i="82"/>
  <c r="W262" i="82"/>
  <c r="W263" i="82"/>
  <c r="W264" i="82"/>
  <c r="W265" i="82"/>
  <c r="W266" i="82"/>
  <c r="W267" i="82"/>
  <c r="W268" i="82"/>
  <c r="W269" i="82"/>
  <c r="W270" i="82"/>
  <c r="W271" i="82"/>
  <c r="W272" i="82"/>
  <c r="W273" i="82"/>
  <c r="W274" i="82"/>
  <c r="W275" i="82"/>
  <c r="W276" i="82"/>
  <c r="W277" i="82"/>
  <c r="W278" i="82"/>
  <c r="W279" i="82"/>
  <c r="W280" i="82"/>
  <c r="W281" i="82"/>
  <c r="W282" i="82"/>
  <c r="W283" i="82"/>
  <c r="W284" i="82"/>
  <c r="W285" i="82"/>
  <c r="W286" i="82"/>
  <c r="W287" i="82"/>
  <c r="W288" i="82"/>
  <c r="W289" i="82"/>
  <c r="W290" i="82"/>
  <c r="W291" i="82"/>
  <c r="W292" i="82"/>
  <c r="W293" i="82"/>
  <c r="W294" i="82"/>
  <c r="W295" i="82"/>
  <c r="W296" i="82"/>
  <c r="W297" i="82"/>
  <c r="W298" i="82"/>
  <c r="W299" i="82"/>
  <c r="W300" i="82"/>
  <c r="W301" i="82"/>
  <c r="W302" i="82"/>
  <c r="W303" i="82"/>
  <c r="W304" i="82"/>
  <c r="W305" i="82"/>
  <c r="W306" i="82"/>
  <c r="W307" i="82"/>
  <c r="W308" i="82"/>
  <c r="W309" i="82"/>
  <c r="W310" i="82"/>
  <c r="W311" i="82"/>
  <c r="W312" i="82"/>
  <c r="W313" i="82"/>
  <c r="W314" i="82"/>
  <c r="W315" i="82"/>
  <c r="W316" i="82"/>
  <c r="W317" i="82"/>
  <c r="W318" i="82"/>
  <c r="W319" i="82"/>
  <c r="W320" i="82"/>
  <c r="W321" i="82"/>
  <c r="W322" i="82"/>
  <c r="W323" i="82"/>
  <c r="W324" i="82"/>
  <c r="W325" i="82"/>
  <c r="W326" i="82"/>
  <c r="W327" i="82"/>
  <c r="W328" i="82"/>
  <c r="W329" i="82"/>
  <c r="W330" i="82"/>
  <c r="W331" i="82"/>
  <c r="W332" i="82"/>
  <c r="W333" i="82"/>
  <c r="W334" i="82"/>
  <c r="W335" i="82"/>
  <c r="W336" i="82"/>
  <c r="W337" i="82"/>
  <c r="W338" i="82"/>
  <c r="W339" i="82"/>
  <c r="W340" i="82"/>
  <c r="W341" i="82"/>
  <c r="W342" i="82"/>
  <c r="W343" i="82"/>
  <c r="W344" i="82"/>
  <c r="W345" i="82"/>
  <c r="W346" i="82"/>
  <c r="W347" i="82"/>
  <c r="W348" i="82"/>
  <c r="W349" i="82"/>
  <c r="W350" i="82"/>
  <c r="W351" i="82"/>
  <c r="W352" i="82"/>
  <c r="W353" i="82"/>
  <c r="W354" i="82"/>
  <c r="W355" i="82"/>
  <c r="W356" i="82"/>
  <c r="W357" i="82"/>
  <c r="W358" i="82"/>
  <c r="W359" i="82"/>
  <c r="W360" i="82"/>
  <c r="W361" i="82"/>
  <c r="W362" i="82"/>
  <c r="W363" i="82"/>
  <c r="W364" i="82"/>
  <c r="W365" i="82"/>
  <c r="W366" i="82"/>
  <c r="W367" i="82"/>
  <c r="W368" i="82"/>
  <c r="W369" i="82"/>
  <c r="W370" i="82"/>
  <c r="W371" i="82"/>
  <c r="W372" i="82"/>
  <c r="W373" i="82"/>
  <c r="W374" i="82"/>
  <c r="W375" i="82"/>
  <c r="W376" i="82"/>
  <c r="W377" i="82"/>
  <c r="W378" i="82"/>
  <c r="W379" i="82"/>
  <c r="W380" i="82"/>
  <c r="W381" i="82"/>
  <c r="W382" i="82"/>
  <c r="W383" i="82"/>
  <c r="W384" i="82"/>
  <c r="W385" i="82"/>
  <c r="W386" i="82"/>
  <c r="W387" i="82"/>
  <c r="W388" i="82"/>
  <c r="W389" i="82"/>
  <c r="W390" i="82"/>
  <c r="W391" i="82"/>
  <c r="W392" i="82"/>
  <c r="W393" i="82"/>
  <c r="W394" i="82"/>
  <c r="W395" i="82"/>
  <c r="W396" i="82"/>
  <c r="W397" i="82"/>
  <c r="W398" i="82"/>
  <c r="W399" i="82"/>
  <c r="W400" i="82"/>
  <c r="W401" i="82"/>
  <c r="W402" i="82"/>
  <c r="W403" i="82"/>
  <c r="W404" i="82"/>
  <c r="W405" i="82"/>
  <c r="W406" i="82"/>
  <c r="W407" i="82"/>
  <c r="W408" i="82"/>
  <c r="W409" i="82"/>
  <c r="W410" i="82"/>
  <c r="W411" i="82"/>
  <c r="W412" i="82"/>
  <c r="W413" i="82"/>
  <c r="W414" i="82"/>
  <c r="W415" i="82"/>
  <c r="W416" i="82"/>
  <c r="W417" i="82"/>
  <c r="W418" i="82"/>
  <c r="W419" i="82"/>
  <c r="W420" i="82"/>
  <c r="W421" i="82"/>
  <c r="W422" i="82"/>
  <c r="W423" i="82"/>
  <c r="W424" i="82"/>
  <c r="W425" i="82"/>
  <c r="W426" i="82"/>
  <c r="W427" i="82"/>
  <c r="W428" i="82"/>
  <c r="W429" i="82"/>
  <c r="W430" i="82"/>
  <c r="W431" i="82"/>
  <c r="W432" i="82"/>
  <c r="W433" i="82"/>
  <c r="W434" i="82"/>
  <c r="W435" i="82"/>
  <c r="W436" i="82"/>
  <c r="W437" i="82"/>
  <c r="W438" i="82"/>
  <c r="W439" i="82"/>
  <c r="W440" i="82"/>
  <c r="W441" i="82"/>
  <c r="W442" i="82"/>
  <c r="W443" i="82"/>
  <c r="W444" i="82"/>
  <c r="W445" i="82"/>
  <c r="W446" i="82"/>
  <c r="W447" i="82"/>
  <c r="W448" i="82"/>
  <c r="W449" i="82"/>
  <c r="W450" i="82"/>
  <c r="W451" i="82"/>
  <c r="W452" i="82"/>
  <c r="W453" i="82"/>
  <c r="W454" i="82"/>
  <c r="W455" i="82"/>
  <c r="W456" i="82"/>
  <c r="W457" i="82"/>
  <c r="W458" i="82"/>
  <c r="W459" i="82"/>
  <c r="W460" i="82"/>
  <c r="W461" i="82"/>
  <c r="W462" i="82"/>
  <c r="W463" i="82"/>
  <c r="W464" i="82"/>
  <c r="W465" i="82"/>
  <c r="W466" i="82"/>
  <c r="W467" i="82"/>
  <c r="W468" i="82"/>
  <c r="W469" i="82"/>
  <c r="W470" i="82"/>
  <c r="W471" i="82"/>
  <c r="W472" i="82"/>
  <c r="W473" i="82"/>
  <c r="W474" i="82"/>
  <c r="W475" i="82"/>
  <c r="W476" i="82"/>
  <c r="W477" i="82"/>
  <c r="W478" i="82"/>
  <c r="W479" i="82"/>
  <c r="W480" i="82"/>
  <c r="W481" i="82"/>
  <c r="W482" i="82"/>
  <c r="W483" i="82"/>
  <c r="W484" i="82"/>
  <c r="W485" i="82"/>
  <c r="W486" i="82"/>
  <c r="W487" i="82"/>
  <c r="W488" i="82"/>
  <c r="W489" i="82"/>
  <c r="W490" i="82"/>
  <c r="W491" i="82"/>
  <c r="W492" i="82"/>
  <c r="W493" i="82"/>
  <c r="W494" i="82"/>
  <c r="W495" i="82"/>
  <c r="W496" i="82"/>
  <c r="W497" i="82"/>
  <c r="W498" i="82"/>
  <c r="W499" i="82"/>
  <c r="W500" i="82"/>
  <c r="W501" i="82"/>
  <c r="W502" i="82"/>
  <c r="W503" i="82"/>
  <c r="W504" i="82"/>
  <c r="W505" i="82"/>
  <c r="W506" i="82"/>
  <c r="W507" i="82"/>
  <c r="W508" i="82"/>
  <c r="W509" i="82"/>
  <c r="W510" i="82"/>
  <c r="W511" i="82"/>
  <c r="W512" i="82"/>
  <c r="W513" i="82"/>
  <c r="W514" i="82"/>
  <c r="W515" i="82"/>
  <c r="W516" i="82"/>
  <c r="W517" i="82"/>
  <c r="W518" i="82"/>
  <c r="W519" i="82"/>
  <c r="W520" i="82"/>
  <c r="W521" i="82"/>
  <c r="W522" i="82"/>
  <c r="W523" i="82"/>
  <c r="W524" i="82"/>
  <c r="W525" i="82"/>
  <c r="W526" i="82"/>
  <c r="W527" i="82"/>
  <c r="W528" i="82"/>
  <c r="W529" i="82"/>
  <c r="W530" i="82"/>
  <c r="W531" i="82"/>
  <c r="W532" i="82"/>
  <c r="W533" i="82"/>
  <c r="W534" i="82"/>
  <c r="W535" i="82"/>
  <c r="W536" i="82"/>
  <c r="W537" i="82"/>
  <c r="W538" i="82"/>
  <c r="W539" i="82"/>
  <c r="W540" i="82"/>
  <c r="W541" i="82"/>
  <c r="W542" i="82"/>
  <c r="W543" i="82"/>
  <c r="W544" i="82"/>
  <c r="W545" i="82"/>
  <c r="W546" i="82"/>
  <c r="W547" i="82"/>
  <c r="W548" i="82"/>
  <c r="W549" i="82"/>
  <c r="W550" i="82"/>
  <c r="W551" i="82"/>
  <c r="W552" i="82"/>
  <c r="W553" i="82"/>
  <c r="W554" i="82"/>
  <c r="W555" i="82"/>
  <c r="W556" i="82"/>
  <c r="W557" i="82"/>
  <c r="W558" i="82"/>
  <c r="W559" i="82"/>
  <c r="W560" i="82"/>
  <c r="W561" i="82"/>
  <c r="W562" i="82"/>
  <c r="W563" i="82"/>
  <c r="W564" i="82"/>
  <c r="W565" i="82"/>
  <c r="W566" i="82"/>
  <c r="W567" i="82"/>
  <c r="W568" i="82"/>
  <c r="W569" i="82"/>
  <c r="W570" i="82"/>
  <c r="W571" i="82"/>
  <c r="W572" i="82"/>
  <c r="W573" i="82"/>
  <c r="W574" i="82"/>
  <c r="W575" i="82"/>
  <c r="W576" i="82"/>
  <c r="W577" i="82"/>
  <c r="W578" i="82"/>
  <c r="W579" i="82"/>
  <c r="W580" i="82"/>
  <c r="W581" i="82"/>
  <c r="W582" i="82"/>
  <c r="W583" i="82"/>
  <c r="W584" i="82"/>
  <c r="W585" i="82"/>
  <c r="W586" i="82"/>
  <c r="W587" i="82"/>
  <c r="W588" i="82"/>
  <c r="W589" i="82"/>
  <c r="W590" i="82"/>
  <c r="W591" i="82"/>
  <c r="W592" i="82"/>
  <c r="W593" i="82"/>
  <c r="W594" i="82"/>
  <c r="W595" i="82"/>
  <c r="W596" i="82"/>
  <c r="W597" i="82"/>
  <c r="W598" i="82"/>
  <c r="W599" i="82"/>
  <c r="W600" i="82"/>
  <c r="W601" i="82"/>
  <c r="W602" i="82"/>
  <c r="W603" i="82"/>
  <c r="W604" i="82"/>
  <c r="W605" i="82"/>
  <c r="W606" i="82"/>
  <c r="W607" i="82"/>
  <c r="W608" i="82"/>
  <c r="W609" i="82"/>
  <c r="W610" i="82"/>
  <c r="W611" i="82"/>
  <c r="W612" i="82"/>
  <c r="W613" i="82"/>
  <c r="W614" i="82"/>
  <c r="W615" i="82"/>
  <c r="W616" i="82"/>
  <c r="W617" i="82"/>
  <c r="W618" i="82"/>
  <c r="W619" i="82"/>
  <c r="W620" i="82"/>
  <c r="W621" i="82"/>
  <c r="W622" i="82"/>
  <c r="W623" i="82"/>
  <c r="W624" i="82"/>
  <c r="W625" i="82"/>
  <c r="W626" i="82"/>
  <c r="W627" i="82"/>
  <c r="W628" i="82"/>
  <c r="W629" i="82"/>
  <c r="W630" i="82"/>
  <c r="W631" i="82"/>
  <c r="W632" i="82"/>
  <c r="W633" i="82"/>
  <c r="W634" i="82"/>
  <c r="W635" i="82"/>
  <c r="W636" i="82"/>
  <c r="W637" i="82"/>
  <c r="W638" i="82"/>
  <c r="W639" i="82"/>
  <c r="W640" i="82"/>
  <c r="W641" i="82"/>
  <c r="W642" i="82"/>
  <c r="W643" i="82"/>
  <c r="W644" i="82"/>
  <c r="W645" i="82"/>
  <c r="W646" i="82"/>
  <c r="W647" i="82"/>
  <c r="W648" i="82"/>
  <c r="W649" i="82"/>
  <c r="W650" i="82"/>
  <c r="W651" i="82"/>
  <c r="W652" i="82"/>
  <c r="W653" i="82"/>
  <c r="W654" i="82"/>
  <c r="W655" i="82"/>
  <c r="W656" i="82"/>
  <c r="W657" i="82"/>
  <c r="W658" i="82"/>
  <c r="W659" i="82"/>
  <c r="W660" i="82"/>
  <c r="W661" i="82"/>
  <c r="W662" i="82"/>
  <c r="W663" i="82"/>
  <c r="W664" i="82"/>
  <c r="W665" i="82"/>
  <c r="W666" i="82"/>
  <c r="W667" i="82"/>
  <c r="W668" i="82"/>
  <c r="W669" i="82"/>
  <c r="W670" i="82"/>
  <c r="W671" i="82"/>
  <c r="W672" i="82"/>
  <c r="W673" i="82"/>
  <c r="W674" i="82"/>
  <c r="W675" i="82"/>
  <c r="W676" i="82"/>
  <c r="W677" i="82"/>
  <c r="W678" i="82"/>
  <c r="W679" i="82"/>
  <c r="W680" i="82"/>
  <c r="W681" i="82"/>
  <c r="W682" i="82"/>
  <c r="W683" i="82"/>
  <c r="W684" i="82"/>
  <c r="W685" i="82"/>
  <c r="W686" i="82"/>
  <c r="W687" i="82"/>
  <c r="W688" i="82"/>
  <c r="W689" i="82"/>
  <c r="W690" i="82"/>
  <c r="W691" i="82"/>
  <c r="W692" i="82"/>
  <c r="W693" i="82"/>
  <c r="W694" i="82"/>
  <c r="W695" i="82"/>
  <c r="W696" i="82"/>
  <c r="W697" i="82"/>
  <c r="W698" i="82"/>
  <c r="W699" i="82"/>
  <c r="W700" i="82"/>
  <c r="W701" i="82"/>
  <c r="W702" i="82"/>
  <c r="W703" i="82"/>
  <c r="W704" i="82"/>
  <c r="W705" i="82"/>
  <c r="Q18" i="32"/>
  <c r="Q19" i="32"/>
  <c r="Q20" i="32"/>
  <c r="M9" i="32"/>
  <c r="M10" i="32"/>
  <c r="M11" i="32"/>
  <c r="M12" i="32"/>
  <c r="M13" i="32"/>
  <c r="M14" i="32"/>
  <c r="Q7" i="32"/>
  <c r="Q6" i="32"/>
  <c r="Q8" i="32"/>
  <c r="Q9" i="32"/>
  <c r="H6" i="32"/>
  <c r="H7" i="32"/>
  <c r="H10" i="32"/>
  <c r="H11" i="32"/>
  <c r="H12" i="32"/>
  <c r="G5" i="86"/>
  <c r="G5" i="12"/>
  <c r="S2" i="86"/>
  <c r="L5" i="86"/>
  <c r="F6" i="82"/>
  <c r="F7" i="82"/>
  <c r="F8" i="82"/>
  <c r="F9" i="82"/>
  <c r="F10" i="82"/>
  <c r="F11" i="82"/>
  <c r="F12" i="82"/>
  <c r="F13" i="82"/>
  <c r="F14" i="82"/>
  <c r="F15" i="82"/>
  <c r="F16" i="82"/>
  <c r="F17" i="82"/>
  <c r="F18" i="82"/>
  <c r="F19" i="82"/>
  <c r="F20" i="82"/>
  <c r="F21" i="82"/>
  <c r="F22" i="82"/>
  <c r="F23" i="82"/>
  <c r="F24" i="82"/>
  <c r="F25" i="82"/>
  <c r="F26" i="82"/>
  <c r="F27" i="82"/>
  <c r="F28" i="82"/>
  <c r="F29" i="82"/>
  <c r="F30" i="82"/>
  <c r="F31" i="82"/>
  <c r="F32" i="82"/>
  <c r="F33" i="82"/>
  <c r="F34" i="82"/>
  <c r="F35" i="82"/>
  <c r="F36" i="82"/>
  <c r="F37" i="82"/>
  <c r="F38" i="82"/>
  <c r="F39" i="82"/>
  <c r="F40" i="82"/>
  <c r="F41" i="82"/>
  <c r="F42" i="82"/>
  <c r="F43" i="82"/>
  <c r="F44" i="82"/>
  <c r="F45" i="82"/>
  <c r="F46" i="82"/>
  <c r="F47" i="82"/>
  <c r="F48" i="82"/>
  <c r="F49" i="82"/>
  <c r="F50" i="82"/>
  <c r="F51" i="82"/>
  <c r="F52" i="82"/>
  <c r="F53" i="82"/>
  <c r="F54" i="82"/>
  <c r="F55" i="82"/>
  <c r="F56" i="82"/>
  <c r="F57" i="82"/>
  <c r="F58" i="82"/>
  <c r="F59" i="82"/>
  <c r="F60" i="82"/>
  <c r="F61" i="82"/>
  <c r="F62" i="82"/>
  <c r="F63" i="82"/>
  <c r="F64" i="82"/>
  <c r="F65" i="82"/>
  <c r="F66" i="82"/>
  <c r="F67" i="82"/>
  <c r="F68" i="82"/>
  <c r="F69" i="82"/>
  <c r="F70" i="82"/>
  <c r="F71" i="82"/>
  <c r="F72" i="82"/>
  <c r="F73" i="82"/>
  <c r="F74" i="82"/>
  <c r="F75" i="82"/>
  <c r="F76" i="82"/>
  <c r="F77" i="82"/>
  <c r="F78" i="82"/>
  <c r="F79" i="82"/>
  <c r="F80" i="82"/>
  <c r="F81" i="82"/>
  <c r="F82" i="82"/>
  <c r="F83" i="82"/>
  <c r="F84" i="82"/>
  <c r="F85" i="82"/>
  <c r="F86" i="82"/>
  <c r="F87" i="82"/>
  <c r="F88" i="82"/>
  <c r="F89" i="82"/>
  <c r="F90" i="82"/>
  <c r="F91" i="82"/>
  <c r="F92" i="82"/>
  <c r="F93" i="82"/>
  <c r="F94" i="82"/>
  <c r="F95" i="82"/>
  <c r="F96" i="82"/>
  <c r="F97" i="82"/>
  <c r="F98" i="82"/>
  <c r="F99" i="82"/>
  <c r="F100" i="82"/>
  <c r="F101" i="82"/>
  <c r="F102" i="82"/>
  <c r="F103" i="82"/>
  <c r="F104" i="82"/>
  <c r="F105" i="82"/>
  <c r="F106" i="82"/>
  <c r="F107" i="82"/>
  <c r="F108" i="82"/>
  <c r="F109" i="82"/>
  <c r="F110" i="82"/>
  <c r="F111" i="82"/>
  <c r="F112" i="82"/>
  <c r="F113" i="82"/>
  <c r="F114" i="82"/>
  <c r="F115" i="82"/>
  <c r="F116" i="82"/>
  <c r="F117" i="82"/>
  <c r="F118" i="82"/>
  <c r="F119" i="82"/>
  <c r="F120" i="82"/>
  <c r="F121" i="82"/>
  <c r="F122" i="82"/>
  <c r="F123" i="82"/>
  <c r="F124" i="82"/>
  <c r="F125" i="82"/>
  <c r="F126" i="82"/>
  <c r="F127" i="82"/>
  <c r="F128" i="82"/>
  <c r="F129" i="82"/>
  <c r="F130" i="82"/>
  <c r="F131" i="82"/>
  <c r="F132" i="82"/>
  <c r="F133" i="82"/>
  <c r="F134" i="82"/>
  <c r="F135" i="82"/>
  <c r="F136" i="82"/>
  <c r="F137" i="82"/>
  <c r="F138" i="82"/>
  <c r="F139" i="82"/>
  <c r="F140" i="82"/>
  <c r="F141" i="82"/>
  <c r="F142" i="82"/>
  <c r="F143" i="82"/>
  <c r="F144" i="82"/>
  <c r="F145" i="82"/>
  <c r="F146" i="82"/>
  <c r="F147" i="82"/>
  <c r="F148" i="82"/>
  <c r="F149" i="82"/>
  <c r="F150" i="82"/>
  <c r="F151" i="82"/>
  <c r="F152" i="82"/>
  <c r="F153" i="82"/>
  <c r="F154" i="82"/>
  <c r="F155" i="82"/>
  <c r="F156" i="82"/>
  <c r="F157" i="82"/>
  <c r="F158" i="82"/>
  <c r="F159" i="82"/>
  <c r="F160" i="82"/>
  <c r="F161" i="82"/>
  <c r="F162" i="82"/>
  <c r="F163" i="82"/>
  <c r="F164" i="82"/>
  <c r="F165" i="82"/>
  <c r="F166" i="82"/>
  <c r="F167" i="82"/>
  <c r="F168" i="82"/>
  <c r="F169" i="82"/>
  <c r="F170" i="82"/>
  <c r="F171" i="82"/>
  <c r="F172" i="82"/>
  <c r="F173" i="82"/>
  <c r="F174" i="82"/>
  <c r="F175" i="82"/>
  <c r="F176" i="82"/>
  <c r="F177" i="82"/>
  <c r="F178" i="82"/>
  <c r="F179" i="82"/>
  <c r="F180" i="82"/>
  <c r="F181" i="82"/>
  <c r="F182" i="82"/>
  <c r="F183" i="82"/>
  <c r="F184" i="82"/>
  <c r="F185" i="82"/>
  <c r="F186" i="82"/>
  <c r="F187" i="82"/>
  <c r="F188" i="82"/>
  <c r="F189" i="82"/>
  <c r="F190" i="82"/>
  <c r="F191" i="82"/>
  <c r="F192" i="82"/>
  <c r="F193" i="82"/>
  <c r="F194" i="82"/>
  <c r="F195" i="82"/>
  <c r="F196" i="82"/>
  <c r="F197" i="82"/>
  <c r="F198" i="82"/>
  <c r="F199" i="82"/>
  <c r="F200" i="82"/>
  <c r="F201" i="82"/>
  <c r="F202" i="82"/>
  <c r="F203" i="82"/>
  <c r="F204" i="82"/>
  <c r="F205" i="82"/>
  <c r="F206" i="82"/>
  <c r="F207" i="82"/>
  <c r="F208" i="82"/>
  <c r="F209" i="82"/>
  <c r="F210" i="82"/>
  <c r="F211" i="82"/>
  <c r="F212" i="82"/>
  <c r="F213" i="82"/>
  <c r="F214" i="82"/>
  <c r="F215" i="82"/>
  <c r="F216" i="82"/>
  <c r="F217" i="82"/>
  <c r="F218" i="82"/>
  <c r="F219" i="82"/>
  <c r="F220" i="82"/>
  <c r="F221" i="82"/>
  <c r="F222" i="82"/>
  <c r="F223" i="82"/>
  <c r="F224" i="82"/>
  <c r="F225" i="82"/>
  <c r="F226" i="82"/>
  <c r="F227" i="82"/>
  <c r="F228" i="82"/>
  <c r="F229" i="82"/>
  <c r="F230" i="82"/>
  <c r="F231" i="82"/>
  <c r="F232" i="82"/>
  <c r="F233" i="82"/>
  <c r="F234" i="82"/>
  <c r="F235" i="82"/>
  <c r="F236" i="82"/>
  <c r="F237" i="82"/>
  <c r="F238" i="82"/>
  <c r="F239" i="82"/>
  <c r="F240" i="82"/>
  <c r="F241" i="82"/>
  <c r="F242" i="82"/>
  <c r="F243" i="82"/>
  <c r="F244" i="82"/>
  <c r="F245" i="82"/>
  <c r="F246" i="82"/>
  <c r="F247" i="82"/>
  <c r="F248" i="82"/>
  <c r="F249" i="82"/>
  <c r="F250" i="82"/>
  <c r="F251" i="82"/>
  <c r="F252" i="82"/>
  <c r="F253" i="82"/>
  <c r="F254" i="82"/>
  <c r="F255" i="82"/>
  <c r="F256" i="82"/>
  <c r="F257" i="82"/>
  <c r="F258" i="82"/>
  <c r="F259" i="82"/>
  <c r="F260" i="82"/>
  <c r="F261" i="82"/>
  <c r="F262" i="82"/>
  <c r="F263" i="82"/>
  <c r="F264" i="82"/>
  <c r="F265" i="82"/>
  <c r="F266" i="82"/>
  <c r="F267" i="82"/>
  <c r="F268" i="82"/>
  <c r="F269" i="82"/>
  <c r="F270" i="82"/>
  <c r="F271" i="82"/>
  <c r="F272" i="82"/>
  <c r="F273" i="82"/>
  <c r="F274" i="82"/>
  <c r="F275" i="82"/>
  <c r="F276" i="82"/>
  <c r="F277" i="82"/>
  <c r="F278" i="82"/>
  <c r="F279" i="82"/>
  <c r="F280" i="82"/>
  <c r="F281" i="82"/>
  <c r="F282" i="82"/>
  <c r="F283" i="82"/>
  <c r="F284" i="82"/>
  <c r="F285" i="82"/>
  <c r="F286" i="82"/>
  <c r="F287" i="82"/>
  <c r="F288" i="82"/>
  <c r="F289" i="82"/>
  <c r="F290" i="82"/>
  <c r="F291" i="82"/>
  <c r="F292" i="82"/>
  <c r="F293" i="82"/>
  <c r="F294" i="82"/>
  <c r="F295" i="82"/>
  <c r="F296" i="82"/>
  <c r="F297" i="82"/>
  <c r="F298" i="82"/>
  <c r="F299" i="82"/>
  <c r="F300" i="82"/>
  <c r="F301" i="82"/>
  <c r="F302" i="82"/>
  <c r="F303" i="82"/>
  <c r="F304" i="82"/>
  <c r="F305" i="82"/>
  <c r="F306" i="82"/>
  <c r="F307" i="82"/>
  <c r="F308" i="82"/>
  <c r="F309" i="82"/>
  <c r="F310" i="82"/>
  <c r="F311" i="82"/>
  <c r="F312" i="82"/>
  <c r="F313" i="82"/>
  <c r="F314" i="82"/>
  <c r="F315" i="82"/>
  <c r="F316" i="82"/>
  <c r="F317" i="82"/>
  <c r="F318" i="82"/>
  <c r="F319" i="82"/>
  <c r="F320" i="82"/>
  <c r="F321" i="82"/>
  <c r="F322" i="82"/>
  <c r="F323" i="82"/>
  <c r="F324" i="82"/>
  <c r="F325" i="82"/>
  <c r="F326" i="82"/>
  <c r="F327" i="82"/>
  <c r="F328" i="82"/>
  <c r="F329" i="82"/>
  <c r="F330" i="82"/>
  <c r="F331" i="82"/>
  <c r="F332" i="82"/>
  <c r="F333" i="82"/>
  <c r="F334" i="82"/>
  <c r="F335" i="82"/>
  <c r="F336" i="82"/>
  <c r="F337" i="82"/>
  <c r="F338" i="82"/>
  <c r="F339" i="82"/>
  <c r="F340" i="82"/>
  <c r="F341" i="82"/>
  <c r="F342" i="82"/>
  <c r="F343" i="82"/>
  <c r="F344" i="82"/>
  <c r="F345" i="82"/>
  <c r="F346" i="82"/>
  <c r="F347" i="82"/>
  <c r="F348" i="82"/>
  <c r="F349" i="82"/>
  <c r="F350" i="82"/>
  <c r="F351" i="82"/>
  <c r="F352" i="82"/>
  <c r="F353" i="82"/>
  <c r="F354" i="82"/>
  <c r="F355" i="82"/>
  <c r="F356" i="82"/>
  <c r="F357" i="82"/>
  <c r="F358" i="82"/>
  <c r="F359" i="82"/>
  <c r="F360" i="82"/>
  <c r="F361" i="82"/>
  <c r="F362" i="82"/>
  <c r="F363" i="82"/>
  <c r="F364" i="82"/>
  <c r="F365" i="82"/>
  <c r="F366" i="82"/>
  <c r="F367" i="82"/>
  <c r="F368" i="82"/>
  <c r="F369" i="82"/>
  <c r="F370" i="82"/>
  <c r="F371" i="82"/>
  <c r="F372" i="82"/>
  <c r="F373" i="82"/>
  <c r="F374" i="82"/>
  <c r="F375" i="82"/>
  <c r="F376" i="82"/>
  <c r="F377" i="82"/>
  <c r="F378" i="82"/>
  <c r="F379" i="82"/>
  <c r="F380" i="82"/>
  <c r="F381" i="82"/>
  <c r="F382" i="82"/>
  <c r="F383" i="82"/>
  <c r="F384" i="82"/>
  <c r="F385" i="82"/>
  <c r="F386" i="82"/>
  <c r="F387" i="82"/>
  <c r="F388" i="82"/>
  <c r="F389" i="82"/>
  <c r="F390" i="82"/>
  <c r="F391" i="82"/>
  <c r="F392" i="82"/>
  <c r="F393" i="82"/>
  <c r="F394" i="82"/>
  <c r="F395" i="82"/>
  <c r="F396" i="82"/>
  <c r="F397" i="82"/>
  <c r="F398" i="82"/>
  <c r="F399" i="82"/>
  <c r="F400" i="82"/>
  <c r="F401" i="82"/>
  <c r="F402" i="82"/>
  <c r="F403" i="82"/>
  <c r="F404" i="82"/>
  <c r="F405" i="82"/>
  <c r="F406" i="82"/>
  <c r="F407" i="82"/>
  <c r="F408" i="82"/>
  <c r="F409" i="82"/>
  <c r="F410" i="82"/>
  <c r="F411" i="82"/>
  <c r="F412" i="82"/>
  <c r="F413" i="82"/>
  <c r="F414" i="82"/>
  <c r="F415" i="82"/>
  <c r="F416" i="82"/>
  <c r="F417" i="82"/>
  <c r="F418" i="82"/>
  <c r="F419" i="82"/>
  <c r="F420" i="82"/>
  <c r="F421" i="82"/>
  <c r="F422" i="82"/>
  <c r="F423" i="82"/>
  <c r="F424" i="82"/>
  <c r="F425" i="82"/>
  <c r="F426" i="82"/>
  <c r="F427" i="82"/>
  <c r="F428" i="82"/>
  <c r="F429" i="82"/>
  <c r="F430" i="82"/>
  <c r="F431" i="82"/>
  <c r="F432" i="82"/>
  <c r="F433" i="82"/>
  <c r="F434" i="82"/>
  <c r="F435" i="82"/>
  <c r="F436" i="82"/>
  <c r="F437" i="82"/>
  <c r="F438" i="82"/>
  <c r="F439" i="82"/>
  <c r="F440" i="82"/>
  <c r="F441" i="82"/>
  <c r="F442" i="82"/>
  <c r="F443" i="82"/>
  <c r="F444" i="82"/>
  <c r="F445" i="82"/>
  <c r="F446" i="82"/>
  <c r="F447" i="82"/>
  <c r="F448" i="82"/>
  <c r="F449" i="82"/>
  <c r="F450" i="82"/>
  <c r="F451" i="82"/>
  <c r="F452" i="82"/>
  <c r="F453" i="82"/>
  <c r="F454" i="82"/>
  <c r="F455" i="82"/>
  <c r="F456" i="82"/>
  <c r="F457" i="82"/>
  <c r="F458" i="82"/>
  <c r="F459" i="82"/>
  <c r="F460" i="82"/>
  <c r="F461" i="82"/>
  <c r="F462" i="82"/>
  <c r="F463" i="82"/>
  <c r="F464" i="82"/>
  <c r="F465" i="82"/>
  <c r="F466" i="82"/>
  <c r="F467" i="82"/>
  <c r="F468" i="82"/>
  <c r="F469" i="82"/>
  <c r="F470" i="82"/>
  <c r="F471" i="82"/>
  <c r="F472" i="82"/>
  <c r="F473" i="82"/>
  <c r="F474" i="82"/>
  <c r="F475" i="82"/>
  <c r="F476" i="82"/>
  <c r="F477" i="82"/>
  <c r="F478" i="82"/>
  <c r="F479" i="82"/>
  <c r="F480" i="82"/>
  <c r="F481" i="82"/>
  <c r="F482" i="82"/>
  <c r="F483" i="82"/>
  <c r="F484" i="82"/>
  <c r="F485" i="82"/>
  <c r="F486" i="82"/>
  <c r="F487" i="82"/>
  <c r="F488" i="82"/>
  <c r="F489" i="82"/>
  <c r="F490" i="82"/>
  <c r="F491" i="82"/>
  <c r="F492" i="82"/>
  <c r="F493" i="82"/>
  <c r="F494" i="82"/>
  <c r="F495" i="82"/>
  <c r="F496" i="82"/>
  <c r="F497" i="82"/>
  <c r="F498" i="82"/>
  <c r="F499" i="82"/>
  <c r="F500" i="82"/>
  <c r="F501" i="82"/>
  <c r="F502" i="82"/>
  <c r="F503" i="82"/>
  <c r="F504" i="82"/>
  <c r="F505" i="82"/>
  <c r="F506" i="82"/>
  <c r="F507" i="82"/>
  <c r="F508" i="82"/>
  <c r="F509" i="82"/>
  <c r="F510" i="82"/>
  <c r="F511" i="82"/>
  <c r="F512" i="82"/>
  <c r="F513" i="82"/>
  <c r="F514" i="82"/>
  <c r="F515" i="82"/>
  <c r="F516" i="82"/>
  <c r="F517" i="82"/>
  <c r="F518" i="82"/>
  <c r="F519" i="82"/>
  <c r="F520" i="82"/>
  <c r="F521" i="82"/>
  <c r="F522" i="82"/>
  <c r="F523" i="82"/>
  <c r="F524" i="82"/>
  <c r="F525" i="82"/>
  <c r="F526" i="82"/>
  <c r="F527" i="82"/>
  <c r="F528" i="82"/>
  <c r="F529" i="82"/>
  <c r="F530" i="82"/>
  <c r="F531" i="82"/>
  <c r="F532" i="82"/>
  <c r="F533" i="82"/>
  <c r="F534" i="82"/>
  <c r="F535" i="82"/>
  <c r="F536" i="82"/>
  <c r="F537" i="82"/>
  <c r="F538" i="82"/>
  <c r="F539" i="82"/>
  <c r="F540" i="82"/>
  <c r="F541" i="82"/>
  <c r="F542" i="82"/>
  <c r="F543" i="82"/>
  <c r="F544" i="82"/>
  <c r="F545" i="82"/>
  <c r="F546" i="82"/>
  <c r="F547" i="82"/>
  <c r="F548" i="82"/>
  <c r="F549" i="82"/>
  <c r="F550" i="82"/>
  <c r="F551" i="82"/>
  <c r="F552" i="82"/>
  <c r="F553" i="82"/>
  <c r="F554" i="82"/>
  <c r="F555" i="82"/>
  <c r="F556" i="82"/>
  <c r="F557" i="82"/>
  <c r="F558" i="82"/>
  <c r="F559" i="82"/>
  <c r="F560" i="82"/>
  <c r="F561" i="82"/>
  <c r="F562" i="82"/>
  <c r="F563" i="82"/>
  <c r="F564" i="82"/>
  <c r="F565" i="82"/>
  <c r="F566" i="82"/>
  <c r="F567" i="82"/>
  <c r="F568" i="82"/>
  <c r="F569" i="82"/>
  <c r="F570" i="82"/>
  <c r="F571" i="82"/>
  <c r="F572" i="82"/>
  <c r="F573" i="82"/>
  <c r="F574" i="82"/>
  <c r="F575" i="82"/>
  <c r="F576" i="82"/>
  <c r="F577" i="82"/>
  <c r="F578" i="82"/>
  <c r="F579" i="82"/>
  <c r="F580" i="82"/>
  <c r="F581" i="82"/>
  <c r="F582" i="82"/>
  <c r="F583" i="82"/>
  <c r="F584" i="82"/>
  <c r="F585" i="82"/>
  <c r="F586" i="82"/>
  <c r="F587" i="82"/>
  <c r="F588" i="82"/>
  <c r="F589" i="82"/>
  <c r="F590" i="82"/>
  <c r="F591" i="82"/>
  <c r="F592" i="82"/>
  <c r="F593" i="82"/>
  <c r="F594" i="82"/>
  <c r="F595" i="82"/>
  <c r="F596" i="82"/>
  <c r="F597" i="82"/>
  <c r="F598" i="82"/>
  <c r="F599" i="82"/>
  <c r="F600" i="82"/>
  <c r="F601" i="82"/>
  <c r="F602" i="82"/>
  <c r="F603" i="82"/>
  <c r="F604" i="82"/>
  <c r="F605" i="82"/>
  <c r="F606" i="82"/>
  <c r="F607" i="82"/>
  <c r="F608" i="82"/>
  <c r="F609" i="82"/>
  <c r="F610" i="82"/>
  <c r="F611" i="82"/>
  <c r="F612" i="82"/>
  <c r="F613" i="82"/>
  <c r="F614" i="82"/>
  <c r="F615" i="82"/>
  <c r="F616" i="82"/>
  <c r="F617" i="82"/>
  <c r="F618" i="82"/>
  <c r="F619" i="82"/>
  <c r="F620" i="82"/>
  <c r="F621" i="82"/>
  <c r="F622" i="82"/>
  <c r="F623" i="82"/>
  <c r="F624" i="82"/>
  <c r="F625" i="82"/>
  <c r="F626" i="82"/>
  <c r="F627" i="82"/>
  <c r="F628" i="82"/>
  <c r="F629" i="82"/>
  <c r="F630" i="82"/>
  <c r="F631" i="82"/>
  <c r="F632" i="82"/>
  <c r="F633" i="82"/>
  <c r="F634" i="82"/>
  <c r="F635" i="82"/>
  <c r="F636" i="82"/>
  <c r="F637" i="82"/>
  <c r="F638" i="82"/>
  <c r="F639" i="82"/>
  <c r="F640" i="82"/>
  <c r="F641" i="82"/>
  <c r="F642" i="82"/>
  <c r="F643" i="82"/>
  <c r="F644" i="82"/>
  <c r="F645" i="82"/>
  <c r="F646" i="82"/>
  <c r="F647" i="82"/>
  <c r="F648" i="82"/>
  <c r="F649" i="82"/>
  <c r="F650" i="82"/>
  <c r="F651" i="82"/>
  <c r="F652" i="82"/>
  <c r="F653" i="82"/>
  <c r="F654" i="82"/>
  <c r="F655" i="82"/>
  <c r="F656" i="82"/>
  <c r="F657" i="82"/>
  <c r="F658" i="82"/>
  <c r="F659" i="82"/>
  <c r="F660" i="82"/>
  <c r="F661" i="82"/>
  <c r="F662" i="82"/>
  <c r="F663" i="82"/>
  <c r="F664" i="82"/>
  <c r="F665" i="82"/>
  <c r="F666" i="82"/>
  <c r="F667" i="82"/>
  <c r="F668" i="82"/>
  <c r="F669" i="82"/>
  <c r="F670" i="82"/>
  <c r="F671" i="82"/>
  <c r="F672" i="82"/>
  <c r="F673" i="82"/>
  <c r="F674" i="82"/>
  <c r="F675" i="82"/>
  <c r="F676" i="82"/>
  <c r="F677" i="82"/>
  <c r="F678" i="82"/>
  <c r="F679" i="82"/>
  <c r="F680" i="82"/>
  <c r="F681" i="82"/>
  <c r="F682" i="82"/>
  <c r="F683" i="82"/>
  <c r="F684" i="82"/>
  <c r="F685" i="82"/>
  <c r="F686" i="82"/>
  <c r="F687" i="82"/>
  <c r="F688" i="82"/>
  <c r="F689" i="82"/>
  <c r="F690" i="82"/>
  <c r="F691" i="82"/>
  <c r="F692" i="82"/>
  <c r="F693" i="82"/>
  <c r="F694" i="82"/>
  <c r="F695" i="82"/>
  <c r="F696" i="82"/>
  <c r="F697" i="82"/>
  <c r="F698" i="82"/>
  <c r="F699" i="82"/>
  <c r="F700" i="82"/>
  <c r="F701" i="82"/>
  <c r="F702" i="82"/>
  <c r="F703" i="82"/>
  <c r="F704" i="82"/>
  <c r="F705" i="82"/>
  <c r="E9" i="82"/>
  <c r="E10" i="82"/>
  <c r="E11" i="82"/>
  <c r="E12" i="82"/>
  <c r="E13" i="82"/>
  <c r="E14" i="82"/>
  <c r="E15" i="82"/>
  <c r="E16" i="82"/>
  <c r="E17" i="82"/>
  <c r="E18" i="82"/>
  <c r="E19" i="82"/>
  <c r="E20" i="82"/>
  <c r="E21" i="82"/>
  <c r="E22" i="82"/>
  <c r="E23" i="82"/>
  <c r="E24" i="82"/>
  <c r="E25" i="82"/>
  <c r="E26" i="82"/>
  <c r="E27" i="82"/>
  <c r="E28" i="82"/>
  <c r="E29" i="82"/>
  <c r="E30" i="82"/>
  <c r="E31" i="82"/>
  <c r="E32" i="82"/>
  <c r="E33" i="82"/>
  <c r="E34" i="82"/>
  <c r="E35" i="82"/>
  <c r="E36" i="82"/>
  <c r="E37" i="82"/>
  <c r="E38" i="82"/>
  <c r="E39" i="82"/>
  <c r="E40" i="82"/>
  <c r="E41" i="82"/>
  <c r="E42" i="82"/>
  <c r="E43" i="82"/>
  <c r="E44" i="82"/>
  <c r="E45" i="82"/>
  <c r="E46" i="82"/>
  <c r="E47" i="82"/>
  <c r="E48" i="82"/>
  <c r="E49" i="82"/>
  <c r="E50" i="82"/>
  <c r="E51" i="82"/>
  <c r="E52" i="82"/>
  <c r="E53" i="82"/>
  <c r="E54" i="82"/>
  <c r="E55" i="82"/>
  <c r="E56" i="82"/>
  <c r="E57" i="82"/>
  <c r="E58" i="82"/>
  <c r="E59" i="82"/>
  <c r="E60" i="82"/>
  <c r="E61" i="82"/>
  <c r="E62" i="82"/>
  <c r="E63" i="82"/>
  <c r="E64" i="82"/>
  <c r="E65" i="82"/>
  <c r="E66" i="82"/>
  <c r="E67" i="82"/>
  <c r="E68" i="82"/>
  <c r="E69" i="82"/>
  <c r="E70" i="82"/>
  <c r="E71" i="82"/>
  <c r="E72" i="82"/>
  <c r="E73" i="82"/>
  <c r="E74" i="82"/>
  <c r="E75" i="82"/>
  <c r="E76" i="82"/>
  <c r="E77" i="82"/>
  <c r="E78" i="82"/>
  <c r="E79" i="82"/>
  <c r="E80" i="82"/>
  <c r="E81" i="82"/>
  <c r="E82" i="82"/>
  <c r="E83" i="82"/>
  <c r="E84" i="82"/>
  <c r="E85" i="82"/>
  <c r="E86" i="82"/>
  <c r="E87" i="82"/>
  <c r="E88" i="82"/>
  <c r="E89" i="82"/>
  <c r="E90" i="82"/>
  <c r="E91" i="82"/>
  <c r="E92" i="82"/>
  <c r="E93" i="82"/>
  <c r="E94" i="82"/>
  <c r="E95" i="82"/>
  <c r="E96" i="82"/>
  <c r="E97" i="82"/>
  <c r="E98" i="82"/>
  <c r="E99" i="82"/>
  <c r="E100" i="82"/>
  <c r="E101" i="82"/>
  <c r="E102" i="82"/>
  <c r="E103" i="82"/>
  <c r="E104" i="82"/>
  <c r="E105" i="82"/>
  <c r="E106" i="82"/>
  <c r="E107" i="82"/>
  <c r="E108" i="82"/>
  <c r="E109" i="82"/>
  <c r="E110" i="82"/>
  <c r="E111" i="82"/>
  <c r="E112" i="82"/>
  <c r="E113" i="82"/>
  <c r="E114" i="82"/>
  <c r="E115" i="82"/>
  <c r="E116" i="82"/>
  <c r="E117" i="82"/>
  <c r="E118" i="82"/>
  <c r="E119" i="82"/>
  <c r="E120" i="82"/>
  <c r="E121" i="82"/>
  <c r="E122" i="82"/>
  <c r="E123" i="82"/>
  <c r="E124" i="82"/>
  <c r="E125" i="82"/>
  <c r="E126" i="82"/>
  <c r="E127" i="82"/>
  <c r="E128" i="82"/>
  <c r="E129" i="82"/>
  <c r="E130" i="82"/>
  <c r="E131" i="82"/>
  <c r="E132" i="82"/>
  <c r="E133" i="82"/>
  <c r="E134" i="82"/>
  <c r="E135" i="82"/>
  <c r="E136" i="82"/>
  <c r="E137" i="82"/>
  <c r="E138" i="82"/>
  <c r="E139" i="82"/>
  <c r="E140" i="82"/>
  <c r="E141" i="82"/>
  <c r="E142" i="82"/>
  <c r="E143" i="82"/>
  <c r="E144" i="82"/>
  <c r="E145" i="82"/>
  <c r="E146" i="82"/>
  <c r="E147" i="82"/>
  <c r="E148" i="82"/>
  <c r="E149" i="82"/>
  <c r="E150" i="82"/>
  <c r="E151" i="82"/>
  <c r="E152" i="82"/>
  <c r="E153" i="82"/>
  <c r="E154" i="82"/>
  <c r="E155" i="82"/>
  <c r="E156" i="82"/>
  <c r="E157" i="82"/>
  <c r="E158" i="82"/>
  <c r="E159" i="82"/>
  <c r="E160" i="82"/>
  <c r="E161" i="82"/>
  <c r="E162" i="82"/>
  <c r="E163" i="82"/>
  <c r="E164" i="82"/>
  <c r="E165" i="82"/>
  <c r="E166" i="82"/>
  <c r="E167" i="82"/>
  <c r="E168" i="82"/>
  <c r="E169" i="82"/>
  <c r="E170" i="82"/>
  <c r="E171" i="82"/>
  <c r="E172" i="82"/>
  <c r="E173" i="82"/>
  <c r="E174" i="82"/>
  <c r="E175" i="82"/>
  <c r="E176" i="82"/>
  <c r="E177" i="82"/>
  <c r="E178" i="82"/>
  <c r="E179" i="82"/>
  <c r="E180" i="82"/>
  <c r="E181" i="82"/>
  <c r="E182" i="82"/>
  <c r="E183" i="82"/>
  <c r="E184" i="82"/>
  <c r="E185" i="82"/>
  <c r="E186" i="82"/>
  <c r="E187" i="82"/>
  <c r="E188" i="82"/>
  <c r="E189" i="82"/>
  <c r="E190" i="82"/>
  <c r="E191" i="82"/>
  <c r="E192" i="82"/>
  <c r="E193" i="82"/>
  <c r="E194" i="82"/>
  <c r="E195" i="82"/>
  <c r="E196" i="82"/>
  <c r="E197" i="82"/>
  <c r="E198" i="82"/>
  <c r="E199" i="82"/>
  <c r="E200" i="82"/>
  <c r="E201" i="82"/>
  <c r="E202" i="82"/>
  <c r="E203" i="82"/>
  <c r="E204" i="82"/>
  <c r="E205" i="82"/>
  <c r="E206" i="82"/>
  <c r="E207" i="82"/>
  <c r="E208" i="82"/>
  <c r="E209" i="82"/>
  <c r="E210" i="82"/>
  <c r="E211" i="82"/>
  <c r="E212" i="82"/>
  <c r="E213" i="82"/>
  <c r="E214" i="82"/>
  <c r="E215" i="82"/>
  <c r="E216" i="82"/>
  <c r="E217" i="82"/>
  <c r="E218" i="82"/>
  <c r="E219" i="82"/>
  <c r="E220" i="82"/>
  <c r="E221" i="82"/>
  <c r="E222" i="82"/>
  <c r="E223" i="82"/>
  <c r="E224" i="82"/>
  <c r="E225" i="82"/>
  <c r="E226" i="82"/>
  <c r="E227" i="82"/>
  <c r="E228" i="82"/>
  <c r="E229" i="82"/>
  <c r="E230" i="82"/>
  <c r="E231" i="82"/>
  <c r="E232" i="82"/>
  <c r="E233" i="82"/>
  <c r="E234" i="82"/>
  <c r="E235" i="82"/>
  <c r="E236" i="82"/>
  <c r="E237" i="82"/>
  <c r="E238" i="82"/>
  <c r="E239" i="82"/>
  <c r="E240" i="82"/>
  <c r="E241" i="82"/>
  <c r="E242" i="82"/>
  <c r="E243" i="82"/>
  <c r="E244" i="82"/>
  <c r="E245" i="82"/>
  <c r="E246" i="82"/>
  <c r="E247" i="82"/>
  <c r="E248" i="82"/>
  <c r="E249" i="82"/>
  <c r="E250" i="82"/>
  <c r="E251" i="82"/>
  <c r="E252" i="82"/>
  <c r="E253" i="82"/>
  <c r="E254" i="82"/>
  <c r="E255" i="82"/>
  <c r="E256" i="82"/>
  <c r="E257" i="82"/>
  <c r="E258" i="82"/>
  <c r="E259" i="82"/>
  <c r="E260" i="82"/>
  <c r="E261" i="82"/>
  <c r="E262" i="82"/>
  <c r="E263" i="82"/>
  <c r="E264" i="82"/>
  <c r="E265" i="82"/>
  <c r="E266" i="82"/>
  <c r="E267" i="82"/>
  <c r="E268" i="82"/>
  <c r="E269" i="82"/>
  <c r="E270" i="82"/>
  <c r="E271" i="82"/>
  <c r="E272" i="82"/>
  <c r="E273" i="82"/>
  <c r="E274" i="82"/>
  <c r="E275" i="82"/>
  <c r="E276" i="82"/>
  <c r="E277" i="82"/>
  <c r="E278" i="82"/>
  <c r="E279" i="82"/>
  <c r="E280" i="82"/>
  <c r="E281" i="82"/>
  <c r="E282" i="82"/>
  <c r="E283" i="82"/>
  <c r="E284" i="82"/>
  <c r="E285" i="82"/>
  <c r="E286" i="82"/>
  <c r="E287" i="82"/>
  <c r="E288" i="82"/>
  <c r="E289" i="82"/>
  <c r="E290" i="82"/>
  <c r="E291" i="82"/>
  <c r="E292" i="82"/>
  <c r="E293" i="82"/>
  <c r="E294" i="82"/>
  <c r="E295" i="82"/>
  <c r="E296" i="82"/>
  <c r="E297" i="82"/>
  <c r="E298" i="82"/>
  <c r="E299" i="82"/>
  <c r="E300" i="82"/>
  <c r="E301" i="82"/>
  <c r="E302" i="82"/>
  <c r="E303" i="82"/>
  <c r="E304" i="82"/>
  <c r="E305" i="82"/>
  <c r="E306" i="82"/>
  <c r="E307" i="82"/>
  <c r="E308" i="82"/>
  <c r="E309" i="82"/>
  <c r="E310" i="82"/>
  <c r="E311" i="82"/>
  <c r="E312" i="82"/>
  <c r="E313" i="82"/>
  <c r="E314" i="82"/>
  <c r="E315" i="82"/>
  <c r="E316" i="82"/>
  <c r="E317" i="82"/>
  <c r="E318" i="82"/>
  <c r="E319" i="82"/>
  <c r="E320" i="82"/>
  <c r="E321" i="82"/>
  <c r="E322" i="82"/>
  <c r="E323" i="82"/>
  <c r="E324" i="82"/>
  <c r="E325" i="82"/>
  <c r="E326" i="82"/>
  <c r="E327" i="82"/>
  <c r="E328" i="82"/>
  <c r="E329" i="82"/>
  <c r="E330" i="82"/>
  <c r="E331" i="82"/>
  <c r="E332" i="82"/>
  <c r="E333" i="82"/>
  <c r="E334" i="82"/>
  <c r="E335" i="82"/>
  <c r="E336" i="82"/>
  <c r="E337" i="82"/>
  <c r="E338" i="82"/>
  <c r="E339" i="82"/>
  <c r="E340" i="82"/>
  <c r="E341" i="82"/>
  <c r="E342" i="82"/>
  <c r="E343" i="82"/>
  <c r="E344" i="82"/>
  <c r="E345" i="82"/>
  <c r="E346" i="82"/>
  <c r="E347" i="82"/>
  <c r="E348" i="82"/>
  <c r="E349" i="82"/>
  <c r="E350" i="82"/>
  <c r="E351" i="82"/>
  <c r="E352" i="82"/>
  <c r="E353" i="82"/>
  <c r="E354" i="82"/>
  <c r="E355" i="82"/>
  <c r="E356" i="82"/>
  <c r="E357" i="82"/>
  <c r="E358" i="82"/>
  <c r="E359" i="82"/>
  <c r="E360" i="82"/>
  <c r="E361" i="82"/>
  <c r="E362" i="82"/>
  <c r="E363" i="82"/>
  <c r="E364" i="82"/>
  <c r="E365" i="82"/>
  <c r="E366" i="82"/>
  <c r="E367" i="82"/>
  <c r="E368" i="82"/>
  <c r="E369" i="82"/>
  <c r="E370" i="82"/>
  <c r="E371" i="82"/>
  <c r="E372" i="82"/>
  <c r="E373" i="82"/>
  <c r="E374" i="82"/>
  <c r="E375" i="82"/>
  <c r="E376" i="82"/>
  <c r="E377" i="82"/>
  <c r="E378" i="82"/>
  <c r="E379" i="82"/>
  <c r="E380" i="82"/>
  <c r="E381" i="82"/>
  <c r="E382" i="82"/>
  <c r="E383" i="82"/>
  <c r="E384" i="82"/>
  <c r="E385" i="82"/>
  <c r="E386" i="82"/>
  <c r="E387" i="82"/>
  <c r="E388" i="82"/>
  <c r="E389" i="82"/>
  <c r="E390" i="82"/>
  <c r="E391" i="82"/>
  <c r="E392" i="82"/>
  <c r="E393" i="82"/>
  <c r="E394" i="82"/>
  <c r="E395" i="82"/>
  <c r="E396" i="82"/>
  <c r="E397" i="82"/>
  <c r="E398" i="82"/>
  <c r="E399" i="82"/>
  <c r="E400" i="82"/>
  <c r="E401" i="82"/>
  <c r="E402" i="82"/>
  <c r="E403" i="82"/>
  <c r="E404" i="82"/>
  <c r="E405" i="82"/>
  <c r="E406" i="82"/>
  <c r="E407" i="82"/>
  <c r="E408" i="82"/>
  <c r="E409" i="82"/>
  <c r="E410" i="82"/>
  <c r="E411" i="82"/>
  <c r="E412" i="82"/>
  <c r="E413" i="82"/>
  <c r="E414" i="82"/>
  <c r="E415" i="82"/>
  <c r="E416" i="82"/>
  <c r="E417" i="82"/>
  <c r="E418" i="82"/>
  <c r="E419" i="82"/>
  <c r="E420" i="82"/>
  <c r="E421" i="82"/>
  <c r="E422" i="82"/>
  <c r="E423" i="82"/>
  <c r="E424" i="82"/>
  <c r="E425" i="82"/>
  <c r="E426" i="82"/>
  <c r="E427" i="82"/>
  <c r="E428" i="82"/>
  <c r="E429" i="82"/>
  <c r="E430" i="82"/>
  <c r="E431" i="82"/>
  <c r="E432" i="82"/>
  <c r="E433" i="82"/>
  <c r="E434" i="82"/>
  <c r="E435" i="82"/>
  <c r="E436" i="82"/>
  <c r="E437" i="82"/>
  <c r="E438" i="82"/>
  <c r="E439" i="82"/>
  <c r="E440" i="82"/>
  <c r="E441" i="82"/>
  <c r="E442" i="82"/>
  <c r="E443" i="82"/>
  <c r="E444" i="82"/>
  <c r="E445" i="82"/>
  <c r="E446" i="82"/>
  <c r="E447" i="82"/>
  <c r="E448" i="82"/>
  <c r="E449" i="82"/>
  <c r="E450" i="82"/>
  <c r="E451" i="82"/>
  <c r="E452" i="82"/>
  <c r="E453" i="82"/>
  <c r="E454" i="82"/>
  <c r="E455" i="82"/>
  <c r="E456" i="82"/>
  <c r="E457" i="82"/>
  <c r="E458" i="82"/>
  <c r="E459" i="82"/>
  <c r="E460" i="82"/>
  <c r="E461" i="82"/>
  <c r="E462" i="82"/>
  <c r="E463" i="82"/>
  <c r="E464" i="82"/>
  <c r="E465" i="82"/>
  <c r="E466" i="82"/>
  <c r="E467" i="82"/>
  <c r="E468" i="82"/>
  <c r="E469" i="82"/>
  <c r="E470" i="82"/>
  <c r="E471" i="82"/>
  <c r="E472" i="82"/>
  <c r="E473" i="82"/>
  <c r="E474" i="82"/>
  <c r="E475" i="82"/>
  <c r="E476" i="82"/>
  <c r="E477" i="82"/>
  <c r="E478" i="82"/>
  <c r="E479" i="82"/>
  <c r="E480" i="82"/>
  <c r="E481" i="82"/>
  <c r="E482" i="82"/>
  <c r="E483" i="82"/>
  <c r="E484" i="82"/>
  <c r="E485" i="82"/>
  <c r="E486" i="82"/>
  <c r="E487" i="82"/>
  <c r="E488" i="82"/>
  <c r="E489" i="82"/>
  <c r="E490" i="82"/>
  <c r="E491" i="82"/>
  <c r="E492" i="82"/>
  <c r="E493" i="82"/>
  <c r="E494" i="82"/>
  <c r="E495" i="82"/>
  <c r="E496" i="82"/>
  <c r="E497" i="82"/>
  <c r="E498" i="82"/>
  <c r="E499" i="82"/>
  <c r="E500" i="82"/>
  <c r="E501" i="82"/>
  <c r="E502" i="82"/>
  <c r="E503" i="82"/>
  <c r="E504" i="82"/>
  <c r="E505" i="82"/>
  <c r="E506" i="82"/>
  <c r="E507" i="82"/>
  <c r="E508" i="82"/>
  <c r="E509" i="82"/>
  <c r="E510" i="82"/>
  <c r="E511" i="82"/>
  <c r="E512" i="82"/>
  <c r="E513" i="82"/>
  <c r="E514" i="82"/>
  <c r="E515" i="82"/>
  <c r="E516" i="82"/>
  <c r="E517" i="82"/>
  <c r="E518" i="82"/>
  <c r="E519" i="82"/>
  <c r="E520" i="82"/>
  <c r="E521" i="82"/>
  <c r="E522" i="82"/>
  <c r="E523" i="82"/>
  <c r="E524" i="82"/>
  <c r="E525" i="82"/>
  <c r="E526" i="82"/>
  <c r="E527" i="82"/>
  <c r="E528" i="82"/>
  <c r="E529" i="82"/>
  <c r="E530" i="82"/>
  <c r="E531" i="82"/>
  <c r="E532" i="82"/>
  <c r="E533" i="82"/>
  <c r="E534" i="82"/>
  <c r="E535" i="82"/>
  <c r="E536" i="82"/>
  <c r="E537" i="82"/>
  <c r="E538" i="82"/>
  <c r="E539" i="82"/>
  <c r="E540" i="82"/>
  <c r="E541" i="82"/>
  <c r="E542" i="82"/>
  <c r="E543" i="82"/>
  <c r="E544" i="82"/>
  <c r="E545" i="82"/>
  <c r="E546" i="82"/>
  <c r="E547" i="82"/>
  <c r="E548" i="82"/>
  <c r="E549" i="82"/>
  <c r="E550" i="82"/>
  <c r="E551" i="82"/>
  <c r="E552" i="82"/>
  <c r="E553" i="82"/>
  <c r="E554" i="82"/>
  <c r="E555" i="82"/>
  <c r="E556" i="82"/>
  <c r="E557" i="82"/>
  <c r="E558" i="82"/>
  <c r="E559" i="82"/>
  <c r="E560" i="82"/>
  <c r="E561" i="82"/>
  <c r="E562" i="82"/>
  <c r="E563" i="82"/>
  <c r="E564" i="82"/>
  <c r="E565" i="82"/>
  <c r="E566" i="82"/>
  <c r="E567" i="82"/>
  <c r="E568" i="82"/>
  <c r="E569" i="82"/>
  <c r="E570" i="82"/>
  <c r="E571" i="82"/>
  <c r="E572" i="82"/>
  <c r="E573" i="82"/>
  <c r="E574" i="82"/>
  <c r="E575" i="82"/>
  <c r="E576" i="82"/>
  <c r="E577" i="82"/>
  <c r="E578" i="82"/>
  <c r="E579" i="82"/>
  <c r="E580" i="82"/>
  <c r="E581" i="82"/>
  <c r="E582" i="82"/>
  <c r="E583" i="82"/>
  <c r="E584" i="82"/>
  <c r="E585" i="82"/>
  <c r="E586" i="82"/>
  <c r="E587" i="82"/>
  <c r="E588" i="82"/>
  <c r="E589" i="82"/>
  <c r="E590" i="82"/>
  <c r="E591" i="82"/>
  <c r="E592" i="82"/>
  <c r="E593" i="82"/>
  <c r="E594" i="82"/>
  <c r="E595" i="82"/>
  <c r="E596" i="82"/>
  <c r="E597" i="82"/>
  <c r="E598" i="82"/>
  <c r="E599" i="82"/>
  <c r="E600" i="82"/>
  <c r="E601" i="82"/>
  <c r="E602" i="82"/>
  <c r="E603" i="82"/>
  <c r="E604" i="82"/>
  <c r="E605" i="82"/>
  <c r="E606" i="82"/>
  <c r="E607" i="82"/>
  <c r="E608" i="82"/>
  <c r="E609" i="82"/>
  <c r="E610" i="82"/>
  <c r="E611" i="82"/>
  <c r="E612" i="82"/>
  <c r="E613" i="82"/>
  <c r="E614" i="82"/>
  <c r="E615" i="82"/>
  <c r="E616" i="82"/>
  <c r="E617" i="82"/>
  <c r="E618" i="82"/>
  <c r="E619" i="82"/>
  <c r="E620" i="82"/>
  <c r="E621" i="82"/>
  <c r="E622" i="82"/>
  <c r="E623" i="82"/>
  <c r="E624" i="82"/>
  <c r="E625" i="82"/>
  <c r="E626" i="82"/>
  <c r="E627" i="82"/>
  <c r="E628" i="82"/>
  <c r="E629" i="82"/>
  <c r="E630" i="82"/>
  <c r="E631" i="82"/>
  <c r="E632" i="82"/>
  <c r="E633" i="82"/>
  <c r="E634" i="82"/>
  <c r="E635" i="82"/>
  <c r="E636" i="82"/>
  <c r="E637" i="82"/>
  <c r="E638" i="82"/>
  <c r="E639" i="82"/>
  <c r="E640" i="82"/>
  <c r="E641" i="82"/>
  <c r="E642" i="82"/>
  <c r="E643" i="82"/>
  <c r="E644" i="82"/>
  <c r="E645" i="82"/>
  <c r="E646" i="82"/>
  <c r="E647" i="82"/>
  <c r="E648" i="82"/>
  <c r="E649" i="82"/>
  <c r="E650" i="82"/>
  <c r="E651" i="82"/>
  <c r="E652" i="82"/>
  <c r="E653" i="82"/>
  <c r="E654" i="82"/>
  <c r="E655" i="82"/>
  <c r="E656" i="82"/>
  <c r="E657" i="82"/>
  <c r="E658" i="82"/>
  <c r="E659" i="82"/>
  <c r="E660" i="82"/>
  <c r="E661" i="82"/>
  <c r="E662" i="82"/>
  <c r="E663" i="82"/>
  <c r="E664" i="82"/>
  <c r="E665" i="82"/>
  <c r="E666" i="82"/>
  <c r="E667" i="82"/>
  <c r="E668" i="82"/>
  <c r="E669" i="82"/>
  <c r="E670" i="82"/>
  <c r="E671" i="82"/>
  <c r="E672" i="82"/>
  <c r="E673" i="82"/>
  <c r="E674" i="82"/>
  <c r="E675" i="82"/>
  <c r="E676" i="82"/>
  <c r="E677" i="82"/>
  <c r="E678" i="82"/>
  <c r="E679" i="82"/>
  <c r="E680" i="82"/>
  <c r="E681" i="82"/>
  <c r="E682" i="82"/>
  <c r="E683" i="82"/>
  <c r="E684" i="82"/>
  <c r="E685" i="82"/>
  <c r="E686" i="82"/>
  <c r="E687" i="82"/>
  <c r="E688" i="82"/>
  <c r="E689" i="82"/>
  <c r="E690" i="82"/>
  <c r="E691" i="82"/>
  <c r="E692" i="82"/>
  <c r="E693" i="82"/>
  <c r="E694" i="82"/>
  <c r="E695" i="82"/>
  <c r="E696" i="82"/>
  <c r="E697" i="82"/>
  <c r="E698" i="82"/>
  <c r="E699" i="82"/>
  <c r="E700" i="82"/>
  <c r="E701" i="82"/>
  <c r="E702" i="82"/>
  <c r="E703" i="82"/>
  <c r="E704" i="82"/>
  <c r="E705" i="82"/>
  <c r="D8" i="82"/>
  <c r="D9" i="82"/>
  <c r="D10" i="82"/>
  <c r="D11" i="82"/>
  <c r="D12" i="82"/>
  <c r="D13" i="82"/>
  <c r="D14" i="82"/>
  <c r="D15" i="82"/>
  <c r="D16" i="82"/>
  <c r="D17" i="82"/>
  <c r="D18" i="82"/>
  <c r="D19" i="82"/>
  <c r="D20" i="82"/>
  <c r="D21" i="82"/>
  <c r="D22" i="82"/>
  <c r="D23" i="82"/>
  <c r="D24" i="82"/>
  <c r="D25" i="82"/>
  <c r="D26" i="82"/>
  <c r="D27" i="82"/>
  <c r="D28" i="82"/>
  <c r="D29" i="82"/>
  <c r="D30" i="82"/>
  <c r="D31" i="82"/>
  <c r="D32" i="82"/>
  <c r="D33" i="82"/>
  <c r="D34" i="82"/>
  <c r="D35" i="82"/>
  <c r="D36" i="82"/>
  <c r="D37" i="82"/>
  <c r="D38" i="82"/>
  <c r="D39" i="82"/>
  <c r="D40" i="82"/>
  <c r="D41" i="82"/>
  <c r="D42" i="82"/>
  <c r="D43" i="82"/>
  <c r="D44" i="82"/>
  <c r="D45" i="82"/>
  <c r="D46" i="82"/>
  <c r="D47" i="82"/>
  <c r="D48" i="82"/>
  <c r="D49" i="82"/>
  <c r="D50" i="82"/>
  <c r="D51" i="82"/>
  <c r="D52" i="82"/>
  <c r="D53" i="82"/>
  <c r="D54" i="82"/>
  <c r="D55" i="82"/>
  <c r="D56" i="82"/>
  <c r="D57" i="82"/>
  <c r="D58" i="82"/>
  <c r="D59" i="82"/>
  <c r="D60" i="82"/>
  <c r="D61" i="82"/>
  <c r="D62" i="82"/>
  <c r="D63" i="82"/>
  <c r="D64" i="82"/>
  <c r="D65" i="82"/>
  <c r="D66" i="82"/>
  <c r="D67" i="82"/>
  <c r="D68" i="82"/>
  <c r="D69" i="82"/>
  <c r="D70" i="82"/>
  <c r="D71" i="82"/>
  <c r="D72" i="82"/>
  <c r="D73" i="82"/>
  <c r="D74" i="82"/>
  <c r="D75" i="82"/>
  <c r="D76" i="82"/>
  <c r="D77" i="82"/>
  <c r="D78" i="82"/>
  <c r="D79" i="82"/>
  <c r="D80" i="82"/>
  <c r="D81" i="82"/>
  <c r="D82" i="82"/>
  <c r="D83" i="82"/>
  <c r="D84" i="82"/>
  <c r="D85" i="82"/>
  <c r="D86" i="82"/>
  <c r="D87" i="82"/>
  <c r="D88" i="82"/>
  <c r="D89" i="82"/>
  <c r="D90" i="82"/>
  <c r="D91" i="82"/>
  <c r="D92" i="82"/>
  <c r="D93" i="82"/>
  <c r="D94" i="82"/>
  <c r="D95" i="82"/>
  <c r="D96" i="82"/>
  <c r="D97" i="82"/>
  <c r="D98" i="82"/>
  <c r="D99" i="82"/>
  <c r="D100" i="82"/>
  <c r="D101" i="82"/>
  <c r="D102" i="82"/>
  <c r="D103" i="82"/>
  <c r="D104" i="82"/>
  <c r="D105" i="82"/>
  <c r="D106" i="82"/>
  <c r="D107" i="82"/>
  <c r="D108" i="82"/>
  <c r="D109" i="82"/>
  <c r="D110" i="82"/>
  <c r="D111" i="82"/>
  <c r="D112" i="82"/>
  <c r="D113" i="82"/>
  <c r="D114" i="82"/>
  <c r="D115" i="82"/>
  <c r="D116" i="82"/>
  <c r="D117" i="82"/>
  <c r="D118" i="82"/>
  <c r="D119" i="82"/>
  <c r="D120" i="82"/>
  <c r="D121" i="82"/>
  <c r="D122" i="82"/>
  <c r="D123" i="82"/>
  <c r="D124" i="82"/>
  <c r="D125" i="82"/>
  <c r="D126" i="82"/>
  <c r="D127" i="82"/>
  <c r="D128" i="82"/>
  <c r="D129" i="82"/>
  <c r="D130" i="82"/>
  <c r="D131" i="82"/>
  <c r="D132" i="82"/>
  <c r="D133" i="82"/>
  <c r="D134" i="82"/>
  <c r="D135" i="82"/>
  <c r="D136" i="82"/>
  <c r="D137" i="82"/>
  <c r="D138" i="82"/>
  <c r="D139" i="82"/>
  <c r="D140" i="82"/>
  <c r="D141" i="82"/>
  <c r="D142" i="82"/>
  <c r="D143" i="82"/>
  <c r="D144" i="82"/>
  <c r="D145" i="82"/>
  <c r="D146" i="82"/>
  <c r="D147" i="82"/>
  <c r="D148" i="82"/>
  <c r="D149" i="82"/>
  <c r="D150" i="82"/>
  <c r="D151" i="82"/>
  <c r="D152" i="82"/>
  <c r="D153" i="82"/>
  <c r="D154" i="82"/>
  <c r="D155" i="82"/>
  <c r="D156" i="82"/>
  <c r="D157" i="82"/>
  <c r="D158" i="82"/>
  <c r="D159" i="82"/>
  <c r="D160" i="82"/>
  <c r="D161" i="82"/>
  <c r="D162" i="82"/>
  <c r="D163" i="82"/>
  <c r="D164" i="82"/>
  <c r="D165" i="82"/>
  <c r="D166" i="82"/>
  <c r="D167" i="82"/>
  <c r="D168" i="82"/>
  <c r="D169" i="82"/>
  <c r="D170" i="82"/>
  <c r="D171" i="82"/>
  <c r="D172" i="82"/>
  <c r="D173" i="82"/>
  <c r="D174" i="82"/>
  <c r="D175" i="82"/>
  <c r="D176" i="82"/>
  <c r="D177" i="82"/>
  <c r="D178" i="82"/>
  <c r="D179" i="82"/>
  <c r="D180" i="82"/>
  <c r="D181" i="82"/>
  <c r="D182" i="82"/>
  <c r="D183" i="82"/>
  <c r="D184" i="82"/>
  <c r="D185" i="82"/>
  <c r="D186" i="82"/>
  <c r="D187" i="82"/>
  <c r="D188" i="82"/>
  <c r="D189" i="82"/>
  <c r="D190" i="82"/>
  <c r="D191" i="82"/>
  <c r="D192" i="82"/>
  <c r="D193" i="82"/>
  <c r="D194" i="82"/>
  <c r="D195" i="82"/>
  <c r="D196" i="82"/>
  <c r="D197" i="82"/>
  <c r="D198" i="82"/>
  <c r="D199" i="82"/>
  <c r="D200" i="82"/>
  <c r="D201" i="82"/>
  <c r="D202" i="82"/>
  <c r="D203" i="82"/>
  <c r="D204" i="82"/>
  <c r="D205" i="82"/>
  <c r="D206" i="82"/>
  <c r="D207" i="82"/>
  <c r="D208" i="82"/>
  <c r="D209" i="82"/>
  <c r="D210" i="82"/>
  <c r="D211" i="82"/>
  <c r="D212" i="82"/>
  <c r="D213" i="82"/>
  <c r="D214" i="82"/>
  <c r="D215" i="82"/>
  <c r="D216" i="82"/>
  <c r="D217" i="82"/>
  <c r="D218" i="82"/>
  <c r="D219" i="82"/>
  <c r="D220" i="82"/>
  <c r="D221" i="82"/>
  <c r="D222" i="82"/>
  <c r="D223" i="82"/>
  <c r="D224" i="82"/>
  <c r="D225" i="82"/>
  <c r="D226" i="82"/>
  <c r="D227" i="82"/>
  <c r="D228" i="82"/>
  <c r="D229" i="82"/>
  <c r="D230" i="82"/>
  <c r="D231" i="82"/>
  <c r="D232" i="82"/>
  <c r="D233" i="82"/>
  <c r="D234" i="82"/>
  <c r="D235" i="82"/>
  <c r="D236" i="82"/>
  <c r="D237" i="82"/>
  <c r="D238" i="82"/>
  <c r="D239" i="82"/>
  <c r="D240" i="82"/>
  <c r="D241" i="82"/>
  <c r="D242" i="82"/>
  <c r="D243" i="82"/>
  <c r="D244" i="82"/>
  <c r="D245" i="82"/>
  <c r="D246" i="82"/>
  <c r="D247" i="82"/>
  <c r="D248" i="82"/>
  <c r="D249" i="82"/>
  <c r="D250" i="82"/>
  <c r="D251" i="82"/>
  <c r="D252" i="82"/>
  <c r="D253" i="82"/>
  <c r="D254" i="82"/>
  <c r="D255" i="82"/>
  <c r="D256" i="82"/>
  <c r="D257" i="82"/>
  <c r="D258" i="82"/>
  <c r="D259" i="82"/>
  <c r="D260" i="82"/>
  <c r="D261" i="82"/>
  <c r="D262" i="82"/>
  <c r="D263" i="82"/>
  <c r="D264" i="82"/>
  <c r="D265" i="82"/>
  <c r="D266" i="82"/>
  <c r="D267" i="82"/>
  <c r="D268" i="82"/>
  <c r="D269" i="82"/>
  <c r="D270" i="82"/>
  <c r="D271" i="82"/>
  <c r="D272" i="82"/>
  <c r="D273" i="82"/>
  <c r="D274" i="82"/>
  <c r="D275" i="82"/>
  <c r="D276" i="82"/>
  <c r="D277" i="82"/>
  <c r="D278" i="82"/>
  <c r="D279" i="82"/>
  <c r="D280" i="82"/>
  <c r="D281" i="82"/>
  <c r="D282" i="82"/>
  <c r="D283" i="82"/>
  <c r="D284" i="82"/>
  <c r="D285" i="82"/>
  <c r="D286" i="82"/>
  <c r="D287" i="82"/>
  <c r="D288" i="82"/>
  <c r="D289" i="82"/>
  <c r="D290" i="82"/>
  <c r="D291" i="82"/>
  <c r="D292" i="82"/>
  <c r="D293" i="82"/>
  <c r="D294" i="82"/>
  <c r="D295" i="82"/>
  <c r="D296" i="82"/>
  <c r="D297" i="82"/>
  <c r="D298" i="82"/>
  <c r="D299" i="82"/>
  <c r="D300" i="82"/>
  <c r="D301" i="82"/>
  <c r="D302" i="82"/>
  <c r="D303" i="82"/>
  <c r="D304" i="82"/>
  <c r="D305" i="82"/>
  <c r="D306" i="82"/>
  <c r="D307" i="82"/>
  <c r="D308" i="82"/>
  <c r="D309" i="82"/>
  <c r="D310" i="82"/>
  <c r="D311" i="82"/>
  <c r="D312" i="82"/>
  <c r="D313" i="82"/>
  <c r="D314" i="82"/>
  <c r="D315" i="82"/>
  <c r="D316" i="82"/>
  <c r="D317" i="82"/>
  <c r="D318" i="82"/>
  <c r="D319" i="82"/>
  <c r="D320" i="82"/>
  <c r="D321" i="82"/>
  <c r="D322" i="82"/>
  <c r="D323" i="82"/>
  <c r="D324" i="82"/>
  <c r="D325" i="82"/>
  <c r="D326" i="82"/>
  <c r="D327" i="82"/>
  <c r="D328" i="82"/>
  <c r="D329" i="82"/>
  <c r="D330" i="82"/>
  <c r="D331" i="82"/>
  <c r="D332" i="82"/>
  <c r="D333" i="82"/>
  <c r="D334" i="82"/>
  <c r="D335" i="82"/>
  <c r="D336" i="82"/>
  <c r="D337" i="82"/>
  <c r="D338" i="82"/>
  <c r="D339" i="82"/>
  <c r="D340" i="82"/>
  <c r="D341" i="82"/>
  <c r="D342" i="82"/>
  <c r="D343" i="82"/>
  <c r="D344" i="82"/>
  <c r="D345" i="82"/>
  <c r="D346" i="82"/>
  <c r="D347" i="82"/>
  <c r="D348" i="82"/>
  <c r="D349" i="82"/>
  <c r="D350" i="82"/>
  <c r="D351" i="82"/>
  <c r="D352" i="82"/>
  <c r="D353" i="82"/>
  <c r="D354" i="82"/>
  <c r="D355" i="82"/>
  <c r="D356" i="82"/>
  <c r="D357" i="82"/>
  <c r="D358" i="82"/>
  <c r="D359" i="82"/>
  <c r="D360" i="82"/>
  <c r="D361" i="82"/>
  <c r="D362" i="82"/>
  <c r="D363" i="82"/>
  <c r="D364" i="82"/>
  <c r="D365" i="82"/>
  <c r="D366" i="82"/>
  <c r="D367" i="82"/>
  <c r="D368" i="82"/>
  <c r="D369" i="82"/>
  <c r="D370" i="82"/>
  <c r="D371" i="82"/>
  <c r="D372" i="82"/>
  <c r="D373" i="82"/>
  <c r="D374" i="82"/>
  <c r="D375" i="82"/>
  <c r="D376" i="82"/>
  <c r="D377" i="82"/>
  <c r="D378" i="82"/>
  <c r="D379" i="82"/>
  <c r="D380" i="82"/>
  <c r="D381" i="82"/>
  <c r="D382" i="82"/>
  <c r="D383" i="82"/>
  <c r="D384" i="82"/>
  <c r="D385" i="82"/>
  <c r="D386" i="82"/>
  <c r="D387" i="82"/>
  <c r="D388" i="82"/>
  <c r="D389" i="82"/>
  <c r="D390" i="82"/>
  <c r="D391" i="82"/>
  <c r="D392" i="82"/>
  <c r="D393" i="82"/>
  <c r="D394" i="82"/>
  <c r="D395" i="82"/>
  <c r="D396" i="82"/>
  <c r="D397" i="82"/>
  <c r="D398" i="82"/>
  <c r="D399" i="82"/>
  <c r="D400" i="82"/>
  <c r="D401" i="82"/>
  <c r="D402" i="82"/>
  <c r="D403" i="82"/>
  <c r="D404" i="82"/>
  <c r="D405" i="82"/>
  <c r="D406" i="82"/>
  <c r="D407" i="82"/>
  <c r="D408" i="82"/>
  <c r="D409" i="82"/>
  <c r="D410" i="82"/>
  <c r="D411" i="82"/>
  <c r="D412" i="82"/>
  <c r="D413" i="82"/>
  <c r="D414" i="82"/>
  <c r="D415" i="82"/>
  <c r="D416" i="82"/>
  <c r="D417" i="82"/>
  <c r="D418" i="82"/>
  <c r="D419" i="82"/>
  <c r="D420" i="82"/>
  <c r="D421" i="82"/>
  <c r="D422" i="82"/>
  <c r="D423" i="82"/>
  <c r="D424" i="82"/>
  <c r="D425" i="82"/>
  <c r="D426" i="82"/>
  <c r="D427" i="82"/>
  <c r="D428" i="82"/>
  <c r="D429" i="82"/>
  <c r="D430" i="82"/>
  <c r="D431" i="82"/>
  <c r="D432" i="82"/>
  <c r="D433" i="82"/>
  <c r="D434" i="82"/>
  <c r="D435" i="82"/>
  <c r="D436" i="82"/>
  <c r="D437" i="82"/>
  <c r="D438" i="82"/>
  <c r="D439" i="82"/>
  <c r="D440" i="82"/>
  <c r="D441" i="82"/>
  <c r="D442" i="82"/>
  <c r="D443" i="82"/>
  <c r="D444" i="82"/>
  <c r="D445" i="82"/>
  <c r="D446" i="82"/>
  <c r="D447" i="82"/>
  <c r="D448" i="82"/>
  <c r="D449" i="82"/>
  <c r="D450" i="82"/>
  <c r="D451" i="82"/>
  <c r="D452" i="82"/>
  <c r="D453" i="82"/>
  <c r="D454" i="82"/>
  <c r="D455" i="82"/>
  <c r="D456" i="82"/>
  <c r="D457" i="82"/>
  <c r="D458" i="82"/>
  <c r="D459" i="82"/>
  <c r="D460" i="82"/>
  <c r="D461" i="82"/>
  <c r="D462" i="82"/>
  <c r="D463" i="82"/>
  <c r="D464" i="82"/>
  <c r="D465" i="82"/>
  <c r="D466" i="82"/>
  <c r="D467" i="82"/>
  <c r="D468" i="82"/>
  <c r="D469" i="82"/>
  <c r="D470" i="82"/>
  <c r="D471" i="82"/>
  <c r="D472" i="82"/>
  <c r="D473" i="82"/>
  <c r="D474" i="82"/>
  <c r="D475" i="82"/>
  <c r="D476" i="82"/>
  <c r="D477" i="82"/>
  <c r="D478" i="82"/>
  <c r="D479" i="82"/>
  <c r="D480" i="82"/>
  <c r="D481" i="82"/>
  <c r="D482" i="82"/>
  <c r="D483" i="82"/>
  <c r="D484" i="82"/>
  <c r="D485" i="82"/>
  <c r="D486" i="82"/>
  <c r="D487" i="82"/>
  <c r="D488" i="82"/>
  <c r="D489" i="82"/>
  <c r="D490" i="82"/>
  <c r="D491" i="82"/>
  <c r="D492" i="82"/>
  <c r="D493" i="82"/>
  <c r="D494" i="82"/>
  <c r="D495" i="82"/>
  <c r="D496" i="82"/>
  <c r="D497" i="82"/>
  <c r="D498" i="82"/>
  <c r="D499" i="82"/>
  <c r="D500" i="82"/>
  <c r="D501" i="82"/>
  <c r="D502" i="82"/>
  <c r="D503" i="82"/>
  <c r="D504" i="82"/>
  <c r="D505" i="82"/>
  <c r="D506" i="82"/>
  <c r="D507" i="82"/>
  <c r="D508" i="82"/>
  <c r="D509" i="82"/>
  <c r="D510" i="82"/>
  <c r="D511" i="82"/>
  <c r="D512" i="82"/>
  <c r="D513" i="82"/>
  <c r="D514" i="82"/>
  <c r="D515" i="82"/>
  <c r="D516" i="82"/>
  <c r="D517" i="82"/>
  <c r="D518" i="82"/>
  <c r="D519" i="82"/>
  <c r="D520" i="82"/>
  <c r="D521" i="82"/>
  <c r="D522" i="82"/>
  <c r="D523" i="82"/>
  <c r="D524" i="82"/>
  <c r="D525" i="82"/>
  <c r="D526" i="82"/>
  <c r="D527" i="82"/>
  <c r="D528" i="82"/>
  <c r="D529" i="82"/>
  <c r="D530" i="82"/>
  <c r="D531" i="82"/>
  <c r="D532" i="82"/>
  <c r="D533" i="82"/>
  <c r="D534" i="82"/>
  <c r="D535" i="82"/>
  <c r="D536" i="82"/>
  <c r="D537" i="82"/>
  <c r="D538" i="82"/>
  <c r="D539" i="82"/>
  <c r="D540" i="82"/>
  <c r="D541" i="82"/>
  <c r="D542" i="82"/>
  <c r="D543" i="82"/>
  <c r="D544" i="82"/>
  <c r="D545" i="82"/>
  <c r="D546" i="82"/>
  <c r="D547" i="82"/>
  <c r="D548" i="82"/>
  <c r="D549" i="82"/>
  <c r="D550" i="82"/>
  <c r="D551" i="82"/>
  <c r="D552" i="82"/>
  <c r="D553" i="82"/>
  <c r="D554" i="82"/>
  <c r="D555" i="82"/>
  <c r="D556" i="82"/>
  <c r="D557" i="82"/>
  <c r="D558" i="82"/>
  <c r="D559" i="82"/>
  <c r="D560" i="82"/>
  <c r="D561" i="82"/>
  <c r="D562" i="82"/>
  <c r="D563" i="82"/>
  <c r="D564" i="82"/>
  <c r="D565" i="82"/>
  <c r="D566" i="82"/>
  <c r="D567" i="82"/>
  <c r="D568" i="82"/>
  <c r="D569" i="82"/>
  <c r="D570" i="82"/>
  <c r="D571" i="82"/>
  <c r="D572" i="82"/>
  <c r="D573" i="82"/>
  <c r="D574" i="82"/>
  <c r="D575" i="82"/>
  <c r="D576" i="82"/>
  <c r="D577" i="82"/>
  <c r="D578" i="82"/>
  <c r="D579" i="82"/>
  <c r="D580" i="82"/>
  <c r="D581" i="82"/>
  <c r="D582" i="82"/>
  <c r="D583" i="82"/>
  <c r="D584" i="82"/>
  <c r="D585" i="82"/>
  <c r="D586" i="82"/>
  <c r="D587" i="82"/>
  <c r="D588" i="82"/>
  <c r="D589" i="82"/>
  <c r="D590" i="82"/>
  <c r="D591" i="82"/>
  <c r="D592" i="82"/>
  <c r="D593" i="82"/>
  <c r="D594" i="82"/>
  <c r="D595" i="82"/>
  <c r="D596" i="82"/>
  <c r="D597" i="82"/>
  <c r="D598" i="82"/>
  <c r="D599" i="82"/>
  <c r="D600" i="82"/>
  <c r="D601" i="82"/>
  <c r="D602" i="82"/>
  <c r="D603" i="82"/>
  <c r="D604" i="82"/>
  <c r="D605" i="82"/>
  <c r="D606" i="82"/>
  <c r="D607" i="82"/>
  <c r="D608" i="82"/>
  <c r="D609" i="82"/>
  <c r="D610" i="82"/>
  <c r="D611" i="82"/>
  <c r="D612" i="82"/>
  <c r="D613" i="82"/>
  <c r="D614" i="82"/>
  <c r="D615" i="82"/>
  <c r="D616" i="82"/>
  <c r="D617" i="82"/>
  <c r="D618" i="82"/>
  <c r="D619" i="82"/>
  <c r="D620" i="82"/>
  <c r="D621" i="82"/>
  <c r="D622" i="82"/>
  <c r="D623" i="82"/>
  <c r="D624" i="82"/>
  <c r="D625" i="82"/>
  <c r="D626" i="82"/>
  <c r="D627" i="82"/>
  <c r="D628" i="82"/>
  <c r="D629" i="82"/>
  <c r="D630" i="82"/>
  <c r="D631" i="82"/>
  <c r="D632" i="82"/>
  <c r="D633" i="82"/>
  <c r="D634" i="82"/>
  <c r="D635" i="82"/>
  <c r="D636" i="82"/>
  <c r="D637" i="82"/>
  <c r="D638" i="82"/>
  <c r="D639" i="82"/>
  <c r="D640" i="82"/>
  <c r="D641" i="82"/>
  <c r="D642" i="82"/>
  <c r="D643" i="82"/>
  <c r="D644" i="82"/>
  <c r="D645" i="82"/>
  <c r="D646" i="82"/>
  <c r="D647" i="82"/>
  <c r="D648" i="82"/>
  <c r="D649" i="82"/>
  <c r="D650" i="82"/>
  <c r="D651" i="82"/>
  <c r="D652" i="82"/>
  <c r="D653" i="82"/>
  <c r="D654" i="82"/>
  <c r="D655" i="82"/>
  <c r="D656" i="82"/>
  <c r="D657" i="82"/>
  <c r="D658" i="82"/>
  <c r="D659" i="82"/>
  <c r="D660" i="82"/>
  <c r="D661" i="82"/>
  <c r="D662" i="82"/>
  <c r="D663" i="82"/>
  <c r="D664" i="82"/>
  <c r="D665" i="82"/>
  <c r="D666" i="82"/>
  <c r="D667" i="82"/>
  <c r="D668" i="82"/>
  <c r="D669" i="82"/>
  <c r="D670" i="82"/>
  <c r="D671" i="82"/>
  <c r="D672" i="82"/>
  <c r="D673" i="82"/>
  <c r="D674" i="82"/>
  <c r="D675" i="82"/>
  <c r="D676" i="82"/>
  <c r="D677" i="82"/>
  <c r="D678" i="82"/>
  <c r="D679" i="82"/>
  <c r="D680" i="82"/>
  <c r="D681" i="82"/>
  <c r="D682" i="82"/>
  <c r="D683" i="82"/>
  <c r="D684" i="82"/>
  <c r="D685" i="82"/>
  <c r="D686" i="82"/>
  <c r="D687" i="82"/>
  <c r="D688" i="82"/>
  <c r="D689" i="82"/>
  <c r="D690" i="82"/>
  <c r="D691" i="82"/>
  <c r="D692" i="82"/>
  <c r="D693" i="82"/>
  <c r="D694" i="82"/>
  <c r="D695" i="82"/>
  <c r="D696" i="82"/>
  <c r="D697" i="82"/>
  <c r="D698" i="82"/>
  <c r="D699" i="82"/>
  <c r="D700" i="82"/>
  <c r="D701" i="82"/>
  <c r="D702" i="82"/>
  <c r="D703" i="82"/>
  <c r="D704" i="82"/>
  <c r="D705" i="82"/>
  <c r="AW6" i="81"/>
  <c r="D6" i="82"/>
  <c r="F5" i="86"/>
  <c r="AW7" i="81"/>
  <c r="AW8" i="81"/>
  <c r="AW9" i="81"/>
  <c r="AW10" i="81"/>
  <c r="AW11" i="81"/>
  <c r="AW12" i="81"/>
  <c r="AW13" i="81"/>
  <c r="AW14" i="81"/>
  <c r="AW15" i="81"/>
  <c r="AW16" i="81"/>
  <c r="AW17" i="81"/>
  <c r="AW18" i="81"/>
  <c r="AW19" i="81"/>
  <c r="AW20" i="81"/>
  <c r="AW21" i="81"/>
  <c r="AW22" i="81"/>
  <c r="AW23" i="81"/>
  <c r="AW24" i="81"/>
  <c r="AW25" i="81"/>
  <c r="AW26" i="81"/>
  <c r="AW27" i="81"/>
  <c r="AW28" i="81"/>
  <c r="AW29" i="81"/>
  <c r="AW30" i="81"/>
  <c r="AW31" i="81"/>
  <c r="AW32" i="81"/>
  <c r="AW33" i="81"/>
  <c r="AW34" i="81"/>
  <c r="AW35" i="81"/>
  <c r="AW36" i="81"/>
  <c r="AW37" i="81"/>
  <c r="AW38" i="81"/>
  <c r="AW39" i="81"/>
  <c r="AW40" i="81"/>
  <c r="AW41" i="81"/>
  <c r="AW42" i="81"/>
  <c r="AW43" i="81"/>
  <c r="AW44" i="81"/>
  <c r="AW45" i="81"/>
  <c r="AW46" i="81"/>
  <c r="AW47" i="81"/>
  <c r="AW48" i="81"/>
  <c r="AW49" i="81"/>
  <c r="AW50" i="81"/>
  <c r="AW51" i="81"/>
  <c r="AW52" i="81"/>
  <c r="AW53" i="81"/>
  <c r="AW54" i="81"/>
  <c r="AW55" i="81"/>
  <c r="AW56" i="81"/>
  <c r="AW57" i="81"/>
  <c r="AW58" i="81"/>
  <c r="AW59" i="81"/>
  <c r="AW60" i="81"/>
  <c r="AW61" i="81"/>
  <c r="AW62" i="81"/>
  <c r="AW63" i="81"/>
  <c r="AW64" i="81"/>
  <c r="AW65" i="81"/>
  <c r="AW66" i="81"/>
  <c r="AW67" i="81"/>
  <c r="AW68" i="81"/>
  <c r="AW69" i="81"/>
  <c r="AW70" i="81"/>
  <c r="AW71" i="81"/>
  <c r="AW72" i="81"/>
  <c r="AW73" i="81"/>
  <c r="AW74" i="81"/>
  <c r="AW75" i="81"/>
  <c r="AW76" i="81"/>
  <c r="AW77" i="81"/>
  <c r="AW78" i="81"/>
  <c r="AW79" i="81"/>
  <c r="AW80" i="81"/>
  <c r="AW81" i="81"/>
  <c r="AW82" i="81"/>
  <c r="AW83" i="81"/>
  <c r="AW84" i="81"/>
  <c r="AW85" i="81"/>
  <c r="AW86" i="81"/>
  <c r="AW87" i="81"/>
  <c r="AW88" i="81"/>
  <c r="AW89" i="81"/>
  <c r="AW90" i="81"/>
  <c r="AW91" i="81"/>
  <c r="AW92" i="81"/>
  <c r="AW93" i="81"/>
  <c r="AW94" i="81"/>
  <c r="AW95" i="81"/>
  <c r="AW96" i="81"/>
  <c r="AW97" i="81"/>
  <c r="AW98" i="81"/>
  <c r="AW99" i="81"/>
  <c r="AW100" i="81"/>
  <c r="AW101" i="81"/>
  <c r="AW102" i="81"/>
  <c r="AW103" i="81"/>
  <c r="AW104" i="81"/>
  <c r="AW105" i="81"/>
  <c r="AW106" i="81"/>
  <c r="AW107" i="81"/>
  <c r="AW108" i="81"/>
  <c r="AW109" i="81"/>
  <c r="AW110" i="81"/>
  <c r="AW111" i="81"/>
  <c r="AW112" i="81"/>
  <c r="AW113" i="81"/>
  <c r="AW114" i="81"/>
  <c r="AW115" i="81"/>
  <c r="AW116" i="81"/>
  <c r="AW117" i="81"/>
  <c r="AW118" i="81"/>
  <c r="AW119" i="81"/>
  <c r="AW120" i="81"/>
  <c r="AW121" i="81"/>
  <c r="AW122" i="81"/>
  <c r="AW123" i="81"/>
  <c r="AW124" i="81"/>
  <c r="AW125" i="81"/>
  <c r="AW126" i="81"/>
  <c r="AW127" i="81"/>
  <c r="AW128" i="81"/>
  <c r="AW129" i="81"/>
  <c r="AW130" i="81"/>
  <c r="AW131" i="81"/>
  <c r="AW132" i="81"/>
  <c r="AW133" i="81"/>
  <c r="AW134" i="81"/>
  <c r="AW135" i="81"/>
  <c r="AW136" i="81"/>
  <c r="AW137" i="81"/>
  <c r="AW138" i="81"/>
  <c r="AW139" i="81"/>
  <c r="AW140" i="81"/>
  <c r="AW141" i="81"/>
  <c r="AW142" i="81"/>
  <c r="AW143" i="81"/>
  <c r="AW144" i="81"/>
  <c r="AW145" i="81"/>
  <c r="AW146" i="81"/>
  <c r="AW147" i="81"/>
  <c r="AW148" i="81"/>
  <c r="AW149" i="81"/>
  <c r="AW150" i="81"/>
  <c r="AW151" i="81"/>
  <c r="AW152" i="81"/>
  <c r="AW153" i="81"/>
  <c r="AW154" i="81"/>
  <c r="AW155" i="81"/>
  <c r="AW156" i="81"/>
  <c r="AW157" i="81"/>
  <c r="AW158" i="81"/>
  <c r="AW159" i="81"/>
  <c r="AW160" i="81"/>
  <c r="AW161" i="81"/>
  <c r="AW162" i="81"/>
  <c r="AW163" i="81"/>
  <c r="AW164" i="81"/>
  <c r="AW165" i="81"/>
  <c r="AW166" i="81"/>
  <c r="AW167" i="81"/>
  <c r="AW168" i="81"/>
  <c r="AW169" i="81"/>
  <c r="AW170" i="81"/>
  <c r="AW171" i="81"/>
  <c r="AW172" i="81"/>
  <c r="AW173" i="81"/>
  <c r="AW174" i="81"/>
  <c r="AW175" i="81"/>
  <c r="AW176" i="81"/>
  <c r="AW177" i="81"/>
  <c r="AW178" i="81"/>
  <c r="AW179" i="81"/>
  <c r="AW180" i="81"/>
  <c r="AW181" i="81"/>
  <c r="AW182" i="81"/>
  <c r="AW183" i="81"/>
  <c r="AW184" i="81"/>
  <c r="AW185" i="81"/>
  <c r="AW186" i="81"/>
  <c r="AW187" i="81"/>
  <c r="AW188" i="81"/>
  <c r="AW189" i="81"/>
  <c r="AW190" i="81"/>
  <c r="AW191" i="81"/>
  <c r="AW192" i="81"/>
  <c r="AW193" i="81"/>
  <c r="AW194" i="81"/>
  <c r="AW195" i="81"/>
  <c r="AW196" i="81"/>
  <c r="AW197" i="81"/>
  <c r="AW198" i="81"/>
  <c r="AW199" i="81"/>
  <c r="AW200" i="81"/>
  <c r="AW201" i="81"/>
  <c r="AW202" i="81"/>
  <c r="AW203" i="81"/>
  <c r="AW204" i="81"/>
  <c r="AW205" i="81"/>
  <c r="AW206" i="81"/>
  <c r="AW207" i="81"/>
  <c r="AW208" i="81"/>
  <c r="AW209" i="81"/>
  <c r="AW210" i="81"/>
  <c r="AW211" i="81"/>
  <c r="AW212" i="81"/>
  <c r="AW213" i="81"/>
  <c r="AW214" i="81"/>
  <c r="AW215" i="81"/>
  <c r="AW216" i="81"/>
  <c r="AW217" i="81"/>
  <c r="AW218" i="81"/>
  <c r="AW219" i="81"/>
  <c r="AW220" i="81"/>
  <c r="AW221" i="81"/>
  <c r="AW222" i="81"/>
  <c r="AW223" i="81"/>
  <c r="AW224" i="81"/>
  <c r="AW225" i="81"/>
  <c r="AW226" i="81"/>
  <c r="AW227" i="81"/>
  <c r="AW228" i="81"/>
  <c r="AW229" i="81"/>
  <c r="AW230" i="81"/>
  <c r="AW231" i="81"/>
  <c r="AW232" i="81"/>
  <c r="AW233" i="81"/>
  <c r="AW234" i="81"/>
  <c r="AW235" i="81"/>
  <c r="AW236" i="81"/>
  <c r="AW237" i="81"/>
  <c r="AW238" i="81"/>
  <c r="AW239" i="81"/>
  <c r="AW240" i="81"/>
  <c r="AW241" i="81"/>
  <c r="AW242" i="81"/>
  <c r="AW243" i="81"/>
  <c r="AW244" i="81"/>
  <c r="AW245" i="81"/>
  <c r="AW246" i="81"/>
  <c r="AW247" i="81"/>
  <c r="AW248" i="81"/>
  <c r="AW249" i="81"/>
  <c r="AW250" i="81"/>
  <c r="AW251" i="81"/>
  <c r="AW252" i="81"/>
  <c r="AW253" i="81"/>
  <c r="AW254" i="81"/>
  <c r="AW255" i="81"/>
  <c r="AW256" i="81"/>
  <c r="AW257" i="81"/>
  <c r="AW258" i="81"/>
  <c r="AW259" i="81"/>
  <c r="AW260" i="81"/>
  <c r="AW261" i="81"/>
  <c r="AW262" i="81"/>
  <c r="AW263" i="81"/>
  <c r="AW264" i="81"/>
  <c r="AW265" i="81"/>
  <c r="AW266" i="81"/>
  <c r="AW267" i="81"/>
  <c r="AW268" i="81"/>
  <c r="AW269" i="81"/>
  <c r="AW270" i="81"/>
  <c r="AW271" i="81"/>
  <c r="AW272" i="81"/>
  <c r="AW273" i="81"/>
  <c r="AW274" i="81"/>
  <c r="AW275" i="81"/>
  <c r="AW276" i="81"/>
  <c r="AW277" i="81"/>
  <c r="AW278" i="81"/>
  <c r="AW279" i="81"/>
  <c r="AW280" i="81"/>
  <c r="AW281" i="81"/>
  <c r="AW282" i="81"/>
  <c r="AW283" i="81"/>
  <c r="AW284" i="81"/>
  <c r="AW285" i="81"/>
  <c r="AW286" i="81"/>
  <c r="AW287" i="81"/>
  <c r="AW288" i="81"/>
  <c r="AW289" i="81"/>
  <c r="AW290" i="81"/>
  <c r="AW291" i="81"/>
  <c r="AW292" i="81"/>
  <c r="AW293" i="81"/>
  <c r="AW294" i="81"/>
  <c r="AW295" i="81"/>
  <c r="AW296" i="81"/>
  <c r="AW297" i="81"/>
  <c r="AW298" i="81"/>
  <c r="AW299" i="81"/>
  <c r="AW300" i="81"/>
  <c r="AW301" i="81"/>
  <c r="AW302" i="81"/>
  <c r="AW303" i="81"/>
  <c r="AW304" i="81"/>
  <c r="AW305" i="81"/>
  <c r="AW306" i="81"/>
  <c r="AW307" i="81"/>
  <c r="AW308" i="81"/>
  <c r="AW309" i="81"/>
  <c r="AW310" i="81"/>
  <c r="AW311" i="81"/>
  <c r="AW312" i="81"/>
  <c r="AW313" i="81"/>
  <c r="AW314" i="81"/>
  <c r="AW315" i="81"/>
  <c r="AW316" i="81"/>
  <c r="AW317" i="81"/>
  <c r="AW318" i="81"/>
  <c r="AW319" i="81"/>
  <c r="AW320" i="81"/>
  <c r="AW321" i="81"/>
  <c r="AW322" i="81"/>
  <c r="AW323" i="81"/>
  <c r="AW324" i="81"/>
  <c r="AW325" i="81"/>
  <c r="AW326" i="81"/>
  <c r="AW327" i="81"/>
  <c r="AW328" i="81"/>
  <c r="AW329" i="81"/>
  <c r="AW330" i="81"/>
  <c r="AW331" i="81"/>
  <c r="AW332" i="81"/>
  <c r="AW333" i="81"/>
  <c r="AW334" i="81"/>
  <c r="AW335" i="81"/>
  <c r="AW336" i="81"/>
  <c r="AW337" i="81"/>
  <c r="AW338" i="81"/>
  <c r="AW339" i="81"/>
  <c r="AW340" i="81"/>
  <c r="AW341" i="81"/>
  <c r="AW342" i="81"/>
  <c r="AW343" i="81"/>
  <c r="AW344" i="81"/>
  <c r="AW345" i="81"/>
  <c r="AW346" i="81"/>
  <c r="AW347" i="81"/>
  <c r="AW348" i="81"/>
  <c r="AW349" i="81"/>
  <c r="AW350" i="81"/>
  <c r="AW351" i="81"/>
  <c r="AW352" i="81"/>
  <c r="AW353" i="81"/>
  <c r="AW354" i="81"/>
  <c r="AW355" i="81"/>
  <c r="AW356" i="81"/>
  <c r="AW357" i="81"/>
  <c r="AW358" i="81"/>
  <c r="AW359" i="81"/>
  <c r="AW360" i="81"/>
  <c r="AW361" i="81"/>
  <c r="AW362" i="81"/>
  <c r="AW363" i="81"/>
  <c r="AW364" i="81"/>
  <c r="AW365" i="81"/>
  <c r="AW366" i="81"/>
  <c r="AW367" i="81"/>
  <c r="AW368" i="81"/>
  <c r="AW369" i="81"/>
  <c r="AW370" i="81"/>
  <c r="AW371" i="81"/>
  <c r="AW372" i="81"/>
  <c r="AW373" i="81"/>
  <c r="AW374" i="81"/>
  <c r="AW375" i="81"/>
  <c r="AW376" i="81"/>
  <c r="AW377" i="81"/>
  <c r="AW378" i="81"/>
  <c r="AW379" i="81"/>
  <c r="AW380" i="81"/>
  <c r="AW381" i="81"/>
  <c r="AW382" i="81"/>
  <c r="AW383" i="81"/>
  <c r="AW384" i="81"/>
  <c r="AW385" i="81"/>
  <c r="AW386" i="81"/>
  <c r="AW387" i="81"/>
  <c r="AW388" i="81"/>
  <c r="AW389" i="81"/>
  <c r="AW390" i="81"/>
  <c r="AW391" i="81"/>
  <c r="AW392" i="81"/>
  <c r="AW393" i="81"/>
  <c r="AW394" i="81"/>
  <c r="AW395" i="81"/>
  <c r="AW396" i="81"/>
  <c r="AW397" i="81"/>
  <c r="AW398" i="81"/>
  <c r="AW399" i="81"/>
  <c r="AW400" i="81"/>
  <c r="AW401" i="81"/>
  <c r="AW402" i="81"/>
  <c r="AW403" i="81"/>
  <c r="AW404" i="81"/>
  <c r="AW405" i="81"/>
  <c r="AW406" i="81"/>
  <c r="AW407" i="81"/>
  <c r="AW408" i="81"/>
  <c r="AW409" i="81"/>
  <c r="AW410" i="81"/>
  <c r="AW411" i="81"/>
  <c r="AW412" i="81"/>
  <c r="AW413" i="81"/>
  <c r="AW414" i="81"/>
  <c r="AW415" i="81"/>
  <c r="AW416" i="81"/>
  <c r="AW417" i="81"/>
  <c r="AW418" i="81"/>
  <c r="AW419" i="81"/>
  <c r="AW420" i="81"/>
  <c r="AW421" i="81"/>
  <c r="AW422" i="81"/>
  <c r="AW423" i="81"/>
  <c r="AW424" i="81"/>
  <c r="AW425" i="81"/>
  <c r="AW426" i="81"/>
  <c r="AW427" i="81"/>
  <c r="AW428" i="81"/>
  <c r="AW429" i="81"/>
  <c r="AW430" i="81"/>
  <c r="AW431" i="81"/>
  <c r="AW432" i="81"/>
  <c r="AW433" i="81"/>
  <c r="AW434" i="81"/>
  <c r="AW435" i="81"/>
  <c r="AW436" i="81"/>
  <c r="AW437" i="81"/>
  <c r="AW438" i="81"/>
  <c r="AW439" i="81"/>
  <c r="AW440" i="81"/>
  <c r="AW441" i="81"/>
  <c r="AW442" i="81"/>
  <c r="AW443" i="81"/>
  <c r="AW444" i="81"/>
  <c r="AW445" i="81"/>
  <c r="AW446" i="81"/>
  <c r="AW447" i="81"/>
  <c r="AW448" i="81"/>
  <c r="AW449" i="81"/>
  <c r="AW450" i="81"/>
  <c r="AW451" i="81"/>
  <c r="AW452" i="81"/>
  <c r="AW453" i="81"/>
  <c r="AW454" i="81"/>
  <c r="AW455" i="81"/>
  <c r="AW456" i="81"/>
  <c r="AW457" i="81"/>
  <c r="AW458" i="81"/>
  <c r="AW459" i="81"/>
  <c r="AW460" i="81"/>
  <c r="AW461" i="81"/>
  <c r="AW462" i="81"/>
  <c r="AW463" i="81"/>
  <c r="AW464" i="81"/>
  <c r="AW465" i="81"/>
  <c r="AW466" i="81"/>
  <c r="AW467" i="81"/>
  <c r="AW468" i="81"/>
  <c r="AW469" i="81"/>
  <c r="AW470" i="81"/>
  <c r="AW471" i="81"/>
  <c r="AW472" i="81"/>
  <c r="AW473" i="81"/>
  <c r="AW474" i="81"/>
  <c r="AW475" i="81"/>
  <c r="AW476" i="81"/>
  <c r="AW477" i="81"/>
  <c r="AW478" i="81"/>
  <c r="AW479" i="81"/>
  <c r="AW480" i="81"/>
  <c r="AW481" i="81"/>
  <c r="AW482" i="81"/>
  <c r="AW483" i="81"/>
  <c r="AW484" i="81"/>
  <c r="AW485" i="81"/>
  <c r="AW486" i="81"/>
  <c r="AW487" i="81"/>
  <c r="AW488" i="81"/>
  <c r="AW489" i="81"/>
  <c r="AW490" i="81"/>
  <c r="AW491" i="81"/>
  <c r="AW492" i="81"/>
  <c r="AW493" i="81"/>
  <c r="AW494" i="81"/>
  <c r="AW495" i="81"/>
  <c r="AW496" i="81"/>
  <c r="AW497" i="81"/>
  <c r="AW498" i="81"/>
  <c r="AW499" i="81"/>
  <c r="AW500" i="81"/>
  <c r="AW501" i="81"/>
  <c r="AW502" i="81"/>
  <c r="AW503" i="81"/>
  <c r="AW504" i="81"/>
  <c r="AW505" i="81"/>
  <c r="AW506" i="81"/>
  <c r="AW507" i="81"/>
  <c r="AW508" i="81"/>
  <c r="AW509" i="81"/>
  <c r="AW510" i="81"/>
  <c r="AW511" i="81"/>
  <c r="AW512" i="81"/>
  <c r="AW513" i="81"/>
  <c r="AW514" i="81"/>
  <c r="AW515" i="81"/>
  <c r="AW516" i="81"/>
  <c r="AW517" i="81"/>
  <c r="AW518" i="81"/>
  <c r="AW519" i="81"/>
  <c r="AW520" i="81"/>
  <c r="AW521" i="81"/>
  <c r="AW522" i="81"/>
  <c r="AW523" i="81"/>
  <c r="AW524" i="81"/>
  <c r="AW525" i="81"/>
  <c r="AW526" i="81"/>
  <c r="AW527" i="81"/>
  <c r="AW528" i="81"/>
  <c r="AW529" i="81"/>
  <c r="AW530" i="81"/>
  <c r="AW531" i="81"/>
  <c r="AW532" i="81"/>
  <c r="AW533" i="81"/>
  <c r="AW534" i="81"/>
  <c r="AW535" i="81"/>
  <c r="AW536" i="81"/>
  <c r="AW537" i="81"/>
  <c r="AW538" i="81"/>
  <c r="AW539" i="81"/>
  <c r="AW540" i="81"/>
  <c r="AW541" i="81"/>
  <c r="AW542" i="81"/>
  <c r="AW543" i="81"/>
  <c r="AW544" i="81"/>
  <c r="AW545" i="81"/>
  <c r="AW546" i="81"/>
  <c r="AW547" i="81"/>
  <c r="AW548" i="81"/>
  <c r="AW549" i="81"/>
  <c r="AW550" i="81"/>
  <c r="AW551" i="81"/>
  <c r="AW552" i="81"/>
  <c r="AW553" i="81"/>
  <c r="AW554" i="81"/>
  <c r="AW555" i="81"/>
  <c r="AW556" i="81"/>
  <c r="AW557" i="81"/>
  <c r="AW558" i="81"/>
  <c r="AW559" i="81"/>
  <c r="AW560" i="81"/>
  <c r="AW561" i="81"/>
  <c r="AW562" i="81"/>
  <c r="AW563" i="81"/>
  <c r="AW564" i="81"/>
  <c r="AW565" i="81"/>
  <c r="AW566" i="81"/>
  <c r="AW567" i="81"/>
  <c r="AW568" i="81"/>
  <c r="AW569" i="81"/>
  <c r="AW570" i="81"/>
  <c r="AW571" i="81"/>
  <c r="AW572" i="81"/>
  <c r="AW573" i="81"/>
  <c r="AW574" i="81"/>
  <c r="AW575" i="81"/>
  <c r="AW576" i="81"/>
  <c r="AW577" i="81"/>
  <c r="AW578" i="81"/>
  <c r="AW579" i="81"/>
  <c r="AW580" i="81"/>
  <c r="AW581" i="81"/>
  <c r="AW582" i="81"/>
  <c r="AW583" i="81"/>
  <c r="AW584" i="81"/>
  <c r="AW585" i="81"/>
  <c r="AW586" i="81"/>
  <c r="AW587" i="81"/>
  <c r="AW588" i="81"/>
  <c r="AW589" i="81"/>
  <c r="AW590" i="81"/>
  <c r="AW591" i="81"/>
  <c r="AW592" i="81"/>
  <c r="AW593" i="81"/>
  <c r="AW594" i="81"/>
  <c r="AW595" i="81"/>
  <c r="AW596" i="81"/>
  <c r="AW597" i="81"/>
  <c r="AW598" i="81"/>
  <c r="AW599" i="81"/>
  <c r="AW600" i="81"/>
  <c r="AW601" i="81"/>
  <c r="AW602" i="81"/>
  <c r="AW603" i="81"/>
  <c r="AW604" i="81"/>
  <c r="AW605" i="81"/>
  <c r="AW606" i="81"/>
  <c r="AW607" i="81"/>
  <c r="AW608" i="81"/>
  <c r="AW609" i="81"/>
  <c r="AW610" i="81"/>
  <c r="AW611" i="81"/>
  <c r="AW612" i="81"/>
  <c r="AW613" i="81"/>
  <c r="AW614" i="81"/>
  <c r="AW615" i="81"/>
  <c r="AW616" i="81"/>
  <c r="AW617" i="81"/>
  <c r="AW618" i="81"/>
  <c r="AW619" i="81"/>
  <c r="AW620" i="81"/>
  <c r="AW621" i="81"/>
  <c r="AW622" i="81"/>
  <c r="AW623" i="81"/>
  <c r="AW624" i="81"/>
  <c r="AW625" i="81"/>
  <c r="AW626" i="81"/>
  <c r="AW627" i="81"/>
  <c r="AW628" i="81"/>
  <c r="AW629" i="81"/>
  <c r="AW630" i="81"/>
  <c r="AW631" i="81"/>
  <c r="AW632" i="81"/>
  <c r="AW633" i="81"/>
  <c r="AW634" i="81"/>
  <c r="AW635" i="81"/>
  <c r="AW636" i="81"/>
  <c r="AW637" i="81"/>
  <c r="AW638" i="81"/>
  <c r="AW639" i="81"/>
  <c r="AW640" i="81"/>
  <c r="AW641" i="81"/>
  <c r="AW642" i="81"/>
  <c r="AW643" i="81"/>
  <c r="AW644" i="81"/>
  <c r="AW645" i="81"/>
  <c r="AW646" i="81"/>
  <c r="AW647" i="81"/>
  <c r="AW648" i="81"/>
  <c r="AW649" i="81"/>
  <c r="AW650" i="81"/>
  <c r="AW651" i="81"/>
  <c r="AW652" i="81"/>
  <c r="AW653" i="81"/>
  <c r="AW654" i="81"/>
  <c r="AW655" i="81"/>
  <c r="AW656" i="81"/>
  <c r="AW657" i="81"/>
  <c r="AW658" i="81"/>
  <c r="AW659" i="81"/>
  <c r="AW660" i="81"/>
  <c r="AW661" i="81"/>
  <c r="AW662" i="81"/>
  <c r="AW663" i="81"/>
  <c r="AW664" i="81"/>
  <c r="AW665" i="81"/>
  <c r="AW666" i="81"/>
  <c r="AW667" i="81"/>
  <c r="AW668" i="81"/>
  <c r="AW669" i="81"/>
  <c r="AW670" i="81"/>
  <c r="AW671" i="81"/>
  <c r="AW672" i="81"/>
  <c r="AW673" i="81"/>
  <c r="AW674" i="81"/>
  <c r="AW675" i="81"/>
  <c r="AW676" i="81"/>
  <c r="AW677" i="81"/>
  <c r="AW678" i="81"/>
  <c r="AW679" i="81"/>
  <c r="AW680" i="81"/>
  <c r="AW681" i="81"/>
  <c r="AW682" i="81"/>
  <c r="AW683" i="81"/>
  <c r="AW684" i="81"/>
  <c r="AW685" i="81"/>
  <c r="AW686" i="81"/>
  <c r="AW687" i="81"/>
  <c r="AW688" i="81"/>
  <c r="AW689" i="81"/>
  <c r="AW690" i="81"/>
  <c r="AW691" i="81"/>
  <c r="AW692" i="81"/>
  <c r="AW693" i="81"/>
  <c r="AW694" i="81"/>
  <c r="AW695" i="81"/>
  <c r="AW696" i="81"/>
  <c r="AW697" i="81"/>
  <c r="AW698" i="81"/>
  <c r="AW699" i="81"/>
  <c r="AW700" i="81"/>
  <c r="AW701" i="81"/>
  <c r="AW702" i="81"/>
  <c r="AW703" i="81"/>
  <c r="AW704" i="81"/>
  <c r="AW705" i="81"/>
  <c r="AW2" i="12"/>
  <c r="AT2" i="12"/>
  <c r="AQ2" i="12"/>
  <c r="AN2" i="12"/>
  <c r="AK2" i="12"/>
  <c r="AH2" i="12"/>
  <c r="AE2" i="12"/>
  <c r="AB2" i="12"/>
  <c r="Y2" i="12"/>
  <c r="V2" i="12"/>
  <c r="S2" i="12"/>
  <c r="P2" i="12"/>
  <c r="M2" i="12"/>
  <c r="L2" i="12"/>
  <c r="J2" i="12"/>
  <c r="I2" i="12"/>
  <c r="O2" i="12"/>
  <c r="R2" i="12"/>
  <c r="U2" i="12"/>
  <c r="X2" i="12"/>
  <c r="AA2" i="12"/>
  <c r="AD2" i="12"/>
  <c r="AG2" i="12"/>
  <c r="AJ2" i="12"/>
  <c r="AM2" i="12"/>
  <c r="AP2" i="12"/>
  <c r="AS2" i="12"/>
  <c r="AV2" i="12"/>
  <c r="AX5" i="12"/>
  <c r="AX6" i="12"/>
  <c r="AX7" i="12"/>
  <c r="AX8" i="12"/>
  <c r="AX9" i="12"/>
  <c r="AX10" i="12"/>
  <c r="AX11" i="12"/>
  <c r="AX12" i="12"/>
  <c r="AX13" i="12"/>
  <c r="AX14" i="12"/>
  <c r="AX15" i="12"/>
  <c r="AX16" i="12"/>
  <c r="AX17" i="12"/>
  <c r="AX18" i="12"/>
  <c r="AX19" i="12"/>
  <c r="AX20" i="12"/>
  <c r="AX21" i="12"/>
  <c r="AX22" i="12"/>
  <c r="AX23" i="12"/>
  <c r="AX24" i="12"/>
  <c r="AX25" i="12"/>
  <c r="AX26" i="12"/>
  <c r="AX27" i="12"/>
  <c r="AX28" i="12"/>
  <c r="AX29" i="12"/>
  <c r="AX30" i="12"/>
  <c r="AX31" i="12"/>
  <c r="AX32" i="12"/>
  <c r="AX33" i="12"/>
  <c r="AX34" i="12"/>
  <c r="AX35" i="12"/>
  <c r="AX36" i="12"/>
  <c r="AX37" i="12"/>
  <c r="AX38" i="12"/>
  <c r="AX39" i="12"/>
  <c r="AX40" i="12"/>
  <c r="AX41" i="12"/>
  <c r="AX42" i="12"/>
  <c r="AX43" i="12"/>
  <c r="AX44" i="12"/>
  <c r="AX45" i="12"/>
  <c r="AX46" i="12"/>
  <c r="AX47" i="12"/>
  <c r="AX48" i="12"/>
  <c r="AX49" i="12"/>
  <c r="AX50" i="12"/>
  <c r="AX51" i="12"/>
  <c r="AX52" i="12"/>
  <c r="AX53" i="12"/>
  <c r="AX54" i="12"/>
  <c r="AX55" i="12"/>
  <c r="AX56" i="12"/>
  <c r="AX57" i="12"/>
  <c r="AX58" i="12"/>
  <c r="AX59" i="12"/>
  <c r="AX60" i="12"/>
  <c r="AX61" i="12"/>
  <c r="AX62" i="12"/>
  <c r="AX63" i="12"/>
  <c r="AX64" i="12"/>
  <c r="AX65" i="12"/>
  <c r="AX66" i="12"/>
  <c r="AX67" i="12"/>
  <c r="AX68" i="12"/>
  <c r="AX69" i="12"/>
  <c r="AX70" i="12"/>
  <c r="AX71" i="12"/>
  <c r="AX72" i="12"/>
  <c r="AX73" i="12"/>
  <c r="AX74" i="12"/>
  <c r="AX75" i="12"/>
  <c r="AX76" i="12"/>
  <c r="AX77" i="12"/>
  <c r="AX78" i="12"/>
  <c r="AX79" i="12"/>
  <c r="AX80" i="12"/>
  <c r="AX81" i="12"/>
  <c r="AX82" i="12"/>
  <c r="AX83" i="12"/>
  <c r="AX84" i="12"/>
  <c r="AX85" i="12"/>
  <c r="AX86" i="12"/>
  <c r="AX87" i="12"/>
  <c r="AX88" i="12"/>
  <c r="AX89" i="12"/>
  <c r="AX90" i="12"/>
  <c r="AX91" i="12"/>
  <c r="AX92" i="12"/>
  <c r="AX93" i="12"/>
  <c r="AX94" i="12"/>
  <c r="AX95" i="12"/>
  <c r="AX96" i="12"/>
  <c r="AX97" i="12"/>
  <c r="AX98" i="12"/>
  <c r="AX99" i="12"/>
  <c r="AX100" i="12"/>
  <c r="AX101" i="12"/>
  <c r="AX102" i="12"/>
  <c r="AX103" i="12"/>
  <c r="AX104" i="12"/>
  <c r="AX105" i="12"/>
  <c r="AX106" i="12"/>
  <c r="AX107" i="12"/>
  <c r="AX108" i="12"/>
  <c r="AX109" i="12"/>
  <c r="AX110" i="12"/>
  <c r="AX111" i="12"/>
  <c r="AX112" i="12"/>
  <c r="AX113" i="12"/>
  <c r="AX114" i="12"/>
  <c r="AX115" i="12"/>
  <c r="AX116" i="12"/>
  <c r="AX117" i="12"/>
  <c r="AX118" i="12"/>
  <c r="AX119" i="12"/>
  <c r="AX120" i="12"/>
  <c r="AX121" i="12"/>
  <c r="AX122" i="12"/>
  <c r="AX123" i="12"/>
  <c r="AX124" i="12"/>
  <c r="AX125" i="12"/>
  <c r="AX126" i="12"/>
  <c r="AX127" i="12"/>
  <c r="AX128" i="12"/>
  <c r="AX129" i="12"/>
  <c r="AX130" i="12"/>
  <c r="AX131" i="12"/>
  <c r="AX132" i="12"/>
  <c r="AX133" i="12"/>
  <c r="AX134" i="12"/>
  <c r="AX135" i="12"/>
  <c r="AX136" i="12"/>
  <c r="AX137" i="12"/>
  <c r="AX138" i="12"/>
  <c r="AX139" i="12"/>
  <c r="AX140" i="12"/>
  <c r="AX141" i="12"/>
  <c r="AX142" i="12"/>
  <c r="AX143" i="12"/>
  <c r="AX144" i="12"/>
  <c r="AX145" i="12"/>
  <c r="AX146" i="12"/>
  <c r="AX147" i="12"/>
  <c r="AX148" i="12"/>
  <c r="AX149" i="12"/>
  <c r="AX150" i="12"/>
  <c r="AX151" i="12"/>
  <c r="AX152" i="12"/>
  <c r="AX153" i="12"/>
  <c r="AX154" i="12"/>
  <c r="AX155" i="12"/>
  <c r="AX156" i="12"/>
  <c r="AX157" i="12"/>
  <c r="AX158" i="12"/>
  <c r="AX159" i="12"/>
  <c r="AX160" i="12"/>
  <c r="AX161" i="12"/>
  <c r="AX162" i="12"/>
  <c r="AX163" i="12"/>
  <c r="AX164" i="12"/>
  <c r="AX165" i="12"/>
  <c r="AX166" i="12"/>
  <c r="AX167" i="12"/>
  <c r="AX168" i="12"/>
  <c r="AX169" i="12"/>
  <c r="AX170" i="12"/>
  <c r="AX171" i="12"/>
  <c r="AX172" i="12"/>
  <c r="AX173" i="12"/>
  <c r="AX174" i="12"/>
  <c r="AX175" i="12"/>
  <c r="AX176" i="12"/>
  <c r="AX177" i="12"/>
  <c r="AX178" i="12"/>
  <c r="AX179" i="12"/>
  <c r="AX180" i="12"/>
  <c r="AX181" i="12"/>
  <c r="AX182" i="12"/>
  <c r="AX183" i="12"/>
  <c r="AX184" i="12"/>
  <c r="AX185" i="12"/>
  <c r="AX186" i="12"/>
  <c r="AX187" i="12"/>
  <c r="AX188" i="12"/>
  <c r="AX189" i="12"/>
  <c r="AX190" i="12"/>
  <c r="AX191"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X405" i="12"/>
  <c r="AX406" i="12"/>
  <c r="AX407" i="12"/>
  <c r="AX408" i="12"/>
  <c r="AX409" i="12"/>
  <c r="AX410" i="12"/>
  <c r="AX411" i="12"/>
  <c r="AX412" i="12"/>
  <c r="AX413" i="12"/>
  <c r="AX414" i="12"/>
  <c r="AX415" i="12"/>
  <c r="AX416" i="12"/>
  <c r="AX417" i="12"/>
  <c r="AX418" i="12"/>
  <c r="AX419" i="12"/>
  <c r="AX420" i="12"/>
  <c r="AX421" i="12"/>
  <c r="AX422" i="12"/>
  <c r="AX423" i="12"/>
  <c r="AX424" i="12"/>
  <c r="AX425" i="12"/>
  <c r="AX426" i="12"/>
  <c r="AX427" i="12"/>
  <c r="AX428" i="12"/>
  <c r="AX429" i="12"/>
  <c r="AX430" i="12"/>
  <c r="AX431" i="12"/>
  <c r="AX432" i="12"/>
  <c r="AX433" i="12"/>
  <c r="AX434" i="12"/>
  <c r="AX435" i="12"/>
  <c r="AX436" i="12"/>
  <c r="AX437" i="12"/>
  <c r="AX438" i="12"/>
  <c r="AX439" i="12"/>
  <c r="AX440" i="12"/>
  <c r="AX441" i="12"/>
  <c r="AX442" i="12"/>
  <c r="AX443" i="12"/>
  <c r="AX444" i="12"/>
  <c r="AX445" i="12"/>
  <c r="AX446" i="12"/>
  <c r="AX447" i="12"/>
  <c r="AX448" i="12"/>
  <c r="AX449" i="12"/>
  <c r="AX450" i="12"/>
  <c r="AX451" i="12"/>
  <c r="AX452" i="12"/>
  <c r="AX453" i="12"/>
  <c r="AX454" i="12"/>
  <c r="AX455" i="12"/>
  <c r="AX456" i="12"/>
  <c r="AX457" i="12"/>
  <c r="AX458" i="12"/>
  <c r="AX459" i="12"/>
  <c r="AX460" i="12"/>
  <c r="AX461" i="12"/>
  <c r="AX462" i="12"/>
  <c r="AX463" i="12"/>
  <c r="AX464" i="12"/>
  <c r="AX465" i="12"/>
  <c r="AX466" i="12"/>
  <c r="AX467" i="12"/>
  <c r="AX468" i="12"/>
  <c r="AX469" i="12"/>
  <c r="AX470" i="12"/>
  <c r="AX471" i="12"/>
  <c r="AX472" i="12"/>
  <c r="AX473" i="12"/>
  <c r="AX474" i="12"/>
  <c r="AX475" i="12"/>
  <c r="AX476" i="12"/>
  <c r="AX477" i="12"/>
  <c r="AX478" i="12"/>
  <c r="AX479" i="12"/>
  <c r="AX480" i="12"/>
  <c r="AX481" i="12"/>
  <c r="AX482" i="12"/>
  <c r="AX483" i="12"/>
  <c r="AX484" i="12"/>
  <c r="AX485" i="12"/>
  <c r="AX486" i="12"/>
  <c r="AX487" i="12"/>
  <c r="AX488" i="12"/>
  <c r="AX489" i="12"/>
  <c r="AX490" i="12"/>
  <c r="AX491" i="12"/>
  <c r="AX492" i="12"/>
  <c r="AX493" i="12"/>
  <c r="AX494" i="12"/>
  <c r="AX495" i="12"/>
  <c r="AX496" i="12"/>
  <c r="AX497" i="12"/>
  <c r="AX498" i="12"/>
  <c r="AX499" i="12"/>
  <c r="AX500" i="12"/>
  <c r="AX501" i="12"/>
  <c r="AX502" i="12"/>
  <c r="AX503" i="12"/>
  <c r="AX504" i="12"/>
  <c r="AX505" i="12"/>
  <c r="AX506" i="12"/>
  <c r="AX507" i="12"/>
  <c r="AX508" i="12"/>
  <c r="AX509" i="12"/>
  <c r="AX510" i="12"/>
  <c r="AX511" i="12"/>
  <c r="AX512" i="12"/>
  <c r="AX513" i="12"/>
  <c r="AX514" i="12"/>
  <c r="AX515" i="12"/>
  <c r="AX516" i="12"/>
  <c r="AX517" i="12"/>
  <c r="AX518" i="12"/>
  <c r="AX519" i="12"/>
  <c r="AX520" i="12"/>
  <c r="AX521" i="12"/>
  <c r="AX522" i="12"/>
  <c r="AX523" i="12"/>
  <c r="AX524" i="12"/>
  <c r="AX525" i="12"/>
  <c r="AX526" i="12"/>
  <c r="AX527" i="12"/>
  <c r="AX528" i="12"/>
  <c r="AX529" i="12"/>
  <c r="AX530" i="12"/>
  <c r="AX531" i="12"/>
  <c r="AX532" i="12"/>
  <c r="AX533" i="12"/>
  <c r="AX534" i="12"/>
  <c r="AX535" i="12"/>
  <c r="AX536" i="12"/>
  <c r="AX537" i="12"/>
  <c r="AX538" i="12"/>
  <c r="AX539" i="12"/>
  <c r="AX540" i="12"/>
  <c r="AX541" i="12"/>
  <c r="AX542" i="12"/>
  <c r="AX543" i="12"/>
  <c r="AX544" i="12"/>
  <c r="AX545" i="12"/>
  <c r="AX546" i="12"/>
  <c r="AX547" i="12"/>
  <c r="AX548" i="12"/>
  <c r="AX549" i="12"/>
  <c r="AX550" i="12"/>
  <c r="AX551" i="12"/>
  <c r="AX552" i="12"/>
  <c r="AX553" i="12"/>
  <c r="AX554" i="12"/>
  <c r="AX555" i="12"/>
  <c r="AX556" i="12"/>
  <c r="AX557" i="12"/>
  <c r="AX558" i="12"/>
  <c r="AX559" i="12"/>
  <c r="AX560" i="12"/>
  <c r="AX561" i="12"/>
  <c r="AX562" i="12"/>
  <c r="AX563" i="12"/>
  <c r="AX564" i="12"/>
  <c r="AX565" i="12"/>
  <c r="AX566" i="12"/>
  <c r="AX567" i="12"/>
  <c r="AX568" i="12"/>
  <c r="AX569" i="12"/>
  <c r="AX570" i="12"/>
  <c r="AX571" i="12"/>
  <c r="AX572" i="12"/>
  <c r="AX573" i="12"/>
  <c r="AX574" i="12"/>
  <c r="AX575" i="12"/>
  <c r="AX576" i="12"/>
  <c r="AX577" i="12"/>
  <c r="AX578" i="12"/>
  <c r="AX579" i="12"/>
  <c r="AX580" i="12"/>
  <c r="AX581" i="12"/>
  <c r="AX582" i="12"/>
  <c r="AX583" i="12"/>
  <c r="AX584" i="12"/>
  <c r="AX585" i="12"/>
  <c r="AX586" i="12"/>
  <c r="AX587" i="12"/>
  <c r="AX588" i="12"/>
  <c r="AX589" i="12"/>
  <c r="AX590" i="12"/>
  <c r="AX591" i="12"/>
  <c r="AX592" i="12"/>
  <c r="AX593" i="12"/>
  <c r="AX594" i="12"/>
  <c r="AX595" i="12"/>
  <c r="AX596" i="12"/>
  <c r="AX597" i="12"/>
  <c r="AX598" i="12"/>
  <c r="AX599" i="12"/>
  <c r="AX600" i="12"/>
  <c r="AX601" i="12"/>
  <c r="AX602" i="12"/>
  <c r="AX603" i="12"/>
  <c r="AX604" i="12"/>
  <c r="AX605" i="12"/>
  <c r="AX606" i="12"/>
  <c r="AX607" i="12"/>
  <c r="AX608" i="12"/>
  <c r="AX609" i="12"/>
  <c r="AX610" i="12"/>
  <c r="AX611" i="12"/>
  <c r="AX612" i="12"/>
  <c r="AX613" i="12"/>
  <c r="AX614" i="12"/>
  <c r="AX615" i="12"/>
  <c r="AX616" i="12"/>
  <c r="AX617" i="12"/>
  <c r="AX618" i="12"/>
  <c r="AX619" i="12"/>
  <c r="AX620" i="12"/>
  <c r="AX621" i="12"/>
  <c r="AX622" i="12"/>
  <c r="AX623" i="12"/>
  <c r="AX624" i="12"/>
  <c r="AX625" i="12"/>
  <c r="AX626" i="12"/>
  <c r="AX627" i="12"/>
  <c r="AX628" i="12"/>
  <c r="AX629" i="12"/>
  <c r="AX630" i="12"/>
  <c r="AX631" i="12"/>
  <c r="AX632" i="12"/>
  <c r="AX633" i="12"/>
  <c r="AX634" i="12"/>
  <c r="AX635" i="12"/>
  <c r="AX636" i="12"/>
  <c r="AX637" i="12"/>
  <c r="AX638" i="12"/>
  <c r="AX639" i="12"/>
  <c r="AX640" i="12"/>
  <c r="AX641" i="12"/>
  <c r="AX642" i="12"/>
  <c r="AX643" i="12"/>
  <c r="AX644" i="12"/>
  <c r="AX645" i="12"/>
  <c r="AX646" i="12"/>
  <c r="AX647" i="12"/>
  <c r="AX648" i="12"/>
  <c r="AX649" i="12"/>
  <c r="AX650" i="12"/>
  <c r="AX651" i="12"/>
  <c r="AX652" i="12"/>
  <c r="AX653" i="12"/>
  <c r="AX654" i="12"/>
  <c r="AX655" i="12"/>
  <c r="AX656" i="12"/>
  <c r="AX657" i="12"/>
  <c r="AX658" i="12"/>
  <c r="AX659" i="12"/>
  <c r="AX660" i="12"/>
  <c r="AX661" i="12"/>
  <c r="AX662" i="12"/>
  <c r="AX663" i="12"/>
  <c r="AX664" i="12"/>
  <c r="AX665" i="12"/>
  <c r="AX666" i="12"/>
  <c r="AX667" i="12"/>
  <c r="AX668" i="12"/>
  <c r="AX669" i="12"/>
  <c r="AX670" i="12"/>
  <c r="AX671" i="12"/>
  <c r="AX672" i="12"/>
  <c r="AX673" i="12"/>
  <c r="AX674" i="12"/>
  <c r="AX675" i="12"/>
  <c r="AX676" i="12"/>
  <c r="AX677" i="12"/>
  <c r="AX678" i="12"/>
  <c r="AX679" i="12"/>
  <c r="AX680" i="12"/>
  <c r="AX681" i="12"/>
  <c r="AX682" i="12"/>
  <c r="AX683" i="12"/>
  <c r="AX684" i="12"/>
  <c r="AX685" i="12"/>
  <c r="AX686" i="12"/>
  <c r="AX687" i="12"/>
  <c r="AX688" i="12"/>
  <c r="AX689" i="12"/>
  <c r="AX690" i="12"/>
  <c r="AX691" i="12"/>
  <c r="AX692" i="12"/>
  <c r="AX693" i="12"/>
  <c r="AX694" i="12"/>
  <c r="AX695" i="12"/>
  <c r="AX696" i="12"/>
  <c r="AX697" i="12"/>
  <c r="AX698" i="12"/>
  <c r="AX699" i="12"/>
  <c r="AX700" i="12"/>
  <c r="AX701" i="12"/>
  <c r="AX702" i="12"/>
  <c r="AX703"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192" i="12"/>
  <c r="AU193" i="12"/>
  <c r="AU194" i="12"/>
  <c r="AU195" i="12"/>
  <c r="AU196" i="12"/>
  <c r="AU197" i="12"/>
  <c r="AU198" i="12"/>
  <c r="AU199" i="12"/>
  <c r="AU200" i="12"/>
  <c r="AU201" i="12"/>
  <c r="AU202" i="12"/>
  <c r="AU203" i="12"/>
  <c r="AU204" i="12"/>
  <c r="AU205" i="12"/>
  <c r="AU206" i="12"/>
  <c r="AU207" i="12"/>
  <c r="AU208" i="12"/>
  <c r="AU209" i="12"/>
  <c r="AU210" i="12"/>
  <c r="AU211" i="12"/>
  <c r="AU212" i="12"/>
  <c r="AU213" i="12"/>
  <c r="AU214" i="12"/>
  <c r="AU215" i="12"/>
  <c r="AU216" i="12"/>
  <c r="AU217" i="12"/>
  <c r="AU218" i="12"/>
  <c r="AU219" i="12"/>
  <c r="AU220" i="12"/>
  <c r="AU221" i="12"/>
  <c r="AU222" i="12"/>
  <c r="AU223" i="12"/>
  <c r="AU224" i="12"/>
  <c r="AU225" i="12"/>
  <c r="AU226" i="12"/>
  <c r="AU227" i="12"/>
  <c r="AU228" i="12"/>
  <c r="AU229" i="12"/>
  <c r="AU230" i="12"/>
  <c r="AU231" i="12"/>
  <c r="AU232" i="12"/>
  <c r="AU233" i="12"/>
  <c r="AU234" i="12"/>
  <c r="AU235" i="12"/>
  <c r="AU236" i="12"/>
  <c r="AU237" i="12"/>
  <c r="AU238" i="12"/>
  <c r="AU239" i="12"/>
  <c r="AU240" i="12"/>
  <c r="AU241" i="12"/>
  <c r="AU242" i="12"/>
  <c r="AU243" i="12"/>
  <c r="AU244" i="12"/>
  <c r="AU245" i="12"/>
  <c r="AU246" i="12"/>
  <c r="AU247" i="12"/>
  <c r="AU248" i="12"/>
  <c r="AU249" i="12"/>
  <c r="AU250" i="12"/>
  <c r="AU251" i="12"/>
  <c r="AU252" i="12"/>
  <c r="AU253" i="12"/>
  <c r="AU254" i="12"/>
  <c r="AU255" i="12"/>
  <c r="AU256" i="12"/>
  <c r="AU257" i="12"/>
  <c r="AU258" i="12"/>
  <c r="AU259" i="12"/>
  <c r="AU260" i="12"/>
  <c r="AU261" i="12"/>
  <c r="AU262" i="12"/>
  <c r="AU263" i="12"/>
  <c r="AU264" i="12"/>
  <c r="AU265" i="12"/>
  <c r="AU266" i="12"/>
  <c r="AU267" i="12"/>
  <c r="AU268" i="12"/>
  <c r="AU269" i="12"/>
  <c r="AU270" i="12"/>
  <c r="AU271" i="12"/>
  <c r="AU272" i="12"/>
  <c r="AU273" i="12"/>
  <c r="AU274" i="12"/>
  <c r="AU275" i="12"/>
  <c r="AU276" i="12"/>
  <c r="AU277" i="12"/>
  <c r="AU278" i="12"/>
  <c r="AU279" i="12"/>
  <c r="AU280" i="12"/>
  <c r="AU281" i="12"/>
  <c r="AU282" i="12"/>
  <c r="AU283" i="12"/>
  <c r="AU284" i="12"/>
  <c r="AU285" i="12"/>
  <c r="AU286" i="12"/>
  <c r="AU287" i="12"/>
  <c r="AU288" i="12"/>
  <c r="AU289" i="12"/>
  <c r="AU290" i="12"/>
  <c r="AU291" i="12"/>
  <c r="AU292" i="12"/>
  <c r="AU293" i="12"/>
  <c r="AU294" i="12"/>
  <c r="AU295" i="12"/>
  <c r="AU296" i="12"/>
  <c r="AU297" i="12"/>
  <c r="AU298" i="12"/>
  <c r="AU299" i="12"/>
  <c r="AU300" i="12"/>
  <c r="AU301" i="12"/>
  <c r="AU302" i="12"/>
  <c r="AU303" i="12"/>
  <c r="AU304" i="12"/>
  <c r="AU305" i="12"/>
  <c r="AU306" i="12"/>
  <c r="AU307" i="12"/>
  <c r="AU308" i="12"/>
  <c r="AU309" i="12"/>
  <c r="AU310" i="12"/>
  <c r="AU311" i="12"/>
  <c r="AU312" i="12"/>
  <c r="AU313" i="12"/>
  <c r="AU314" i="12"/>
  <c r="AU315" i="12"/>
  <c r="AU316" i="12"/>
  <c r="AU317" i="12"/>
  <c r="AU318" i="12"/>
  <c r="AU319" i="12"/>
  <c r="AU320" i="12"/>
  <c r="AU321" i="12"/>
  <c r="AU322" i="12"/>
  <c r="AU323" i="12"/>
  <c r="AU324" i="12"/>
  <c r="AU325" i="12"/>
  <c r="AU326" i="12"/>
  <c r="AU327" i="12"/>
  <c r="AU328" i="12"/>
  <c r="AU329" i="12"/>
  <c r="AU330" i="12"/>
  <c r="AU331" i="12"/>
  <c r="AU332" i="12"/>
  <c r="AU333" i="12"/>
  <c r="AU334" i="12"/>
  <c r="AU335" i="12"/>
  <c r="AU336" i="12"/>
  <c r="AU337" i="12"/>
  <c r="AU338" i="12"/>
  <c r="AU339" i="12"/>
  <c r="AU340" i="12"/>
  <c r="AU341" i="12"/>
  <c r="AU342" i="12"/>
  <c r="AU343" i="12"/>
  <c r="AU344" i="12"/>
  <c r="AU345" i="12"/>
  <c r="AU346" i="12"/>
  <c r="AU347" i="12"/>
  <c r="AU348" i="12"/>
  <c r="AU349" i="12"/>
  <c r="AU350" i="12"/>
  <c r="AU351" i="12"/>
  <c r="AU352" i="12"/>
  <c r="AU353" i="12"/>
  <c r="AU354" i="12"/>
  <c r="AU355" i="12"/>
  <c r="AU356" i="12"/>
  <c r="AU357" i="12"/>
  <c r="AU358" i="12"/>
  <c r="AU359" i="12"/>
  <c r="AU360" i="12"/>
  <c r="AU361" i="12"/>
  <c r="AU362" i="12"/>
  <c r="AU363" i="12"/>
  <c r="AU364" i="12"/>
  <c r="AU365" i="12"/>
  <c r="AU366" i="12"/>
  <c r="AU367" i="12"/>
  <c r="AU368" i="12"/>
  <c r="AU369" i="12"/>
  <c r="AU370" i="12"/>
  <c r="AU371" i="12"/>
  <c r="AU372" i="12"/>
  <c r="AU373" i="12"/>
  <c r="AU374" i="12"/>
  <c r="AU375" i="12"/>
  <c r="AU376" i="12"/>
  <c r="AU377" i="12"/>
  <c r="AU378" i="12"/>
  <c r="AU379" i="12"/>
  <c r="AU380" i="12"/>
  <c r="AU381" i="12"/>
  <c r="AU382" i="12"/>
  <c r="AU383" i="12"/>
  <c r="AU384" i="12"/>
  <c r="AU385" i="12"/>
  <c r="AU386" i="12"/>
  <c r="AU387" i="12"/>
  <c r="AU388" i="12"/>
  <c r="AU389" i="12"/>
  <c r="AU390" i="12"/>
  <c r="AU391" i="12"/>
  <c r="AU392" i="12"/>
  <c r="AU393" i="12"/>
  <c r="AU394" i="12"/>
  <c r="AU395" i="12"/>
  <c r="AU396" i="12"/>
  <c r="AU397" i="12"/>
  <c r="AU398" i="12"/>
  <c r="AU399" i="12"/>
  <c r="AU400" i="12"/>
  <c r="AU401" i="12"/>
  <c r="AU402" i="12"/>
  <c r="AU403" i="12"/>
  <c r="AU404" i="12"/>
  <c r="AU405" i="12"/>
  <c r="AU406" i="12"/>
  <c r="AU407" i="12"/>
  <c r="AU408" i="12"/>
  <c r="AU409" i="12"/>
  <c r="AU410" i="12"/>
  <c r="AU411" i="12"/>
  <c r="AU412" i="12"/>
  <c r="AU413" i="12"/>
  <c r="AU414" i="12"/>
  <c r="AU415" i="12"/>
  <c r="AU416" i="12"/>
  <c r="AU417" i="12"/>
  <c r="AU418" i="12"/>
  <c r="AU419" i="12"/>
  <c r="AU420" i="12"/>
  <c r="AU421" i="12"/>
  <c r="AU422" i="12"/>
  <c r="AU423" i="12"/>
  <c r="AU424" i="12"/>
  <c r="AU425" i="12"/>
  <c r="AU426" i="12"/>
  <c r="AU427" i="12"/>
  <c r="AU428" i="12"/>
  <c r="AU429" i="12"/>
  <c r="AU430" i="12"/>
  <c r="AU431" i="12"/>
  <c r="AU432" i="12"/>
  <c r="AU433" i="12"/>
  <c r="AU434" i="12"/>
  <c r="AU435" i="12"/>
  <c r="AU436" i="12"/>
  <c r="AU437" i="12"/>
  <c r="AU438" i="12"/>
  <c r="AU439" i="12"/>
  <c r="AU440" i="12"/>
  <c r="AU441" i="12"/>
  <c r="AU442" i="12"/>
  <c r="AU443" i="12"/>
  <c r="AU444" i="12"/>
  <c r="AU445" i="12"/>
  <c r="AU446" i="12"/>
  <c r="AU447" i="12"/>
  <c r="AU448" i="12"/>
  <c r="AU449" i="12"/>
  <c r="AU450" i="12"/>
  <c r="AU451" i="12"/>
  <c r="AU452" i="12"/>
  <c r="AU453" i="12"/>
  <c r="AU454" i="12"/>
  <c r="AU455" i="12"/>
  <c r="AU456" i="12"/>
  <c r="AU457" i="12"/>
  <c r="AU458" i="12"/>
  <c r="AU459" i="12"/>
  <c r="AU460" i="12"/>
  <c r="AU461" i="12"/>
  <c r="AU462" i="12"/>
  <c r="AU463" i="12"/>
  <c r="AU464" i="12"/>
  <c r="AU465" i="12"/>
  <c r="AU466" i="12"/>
  <c r="AU467" i="12"/>
  <c r="AU468" i="12"/>
  <c r="AU469" i="12"/>
  <c r="AU470" i="12"/>
  <c r="AU471" i="12"/>
  <c r="AU472" i="12"/>
  <c r="AU473" i="12"/>
  <c r="AU474" i="12"/>
  <c r="AU475" i="12"/>
  <c r="AU476" i="12"/>
  <c r="AU477" i="12"/>
  <c r="AU478" i="12"/>
  <c r="AU479" i="12"/>
  <c r="AU480" i="12"/>
  <c r="AU481" i="12"/>
  <c r="AU482" i="12"/>
  <c r="AU483" i="12"/>
  <c r="AU484" i="12"/>
  <c r="AU485" i="12"/>
  <c r="AU486" i="12"/>
  <c r="AU487" i="12"/>
  <c r="AU488" i="12"/>
  <c r="AU489" i="12"/>
  <c r="AU490" i="12"/>
  <c r="AU491" i="12"/>
  <c r="AU492" i="12"/>
  <c r="AU493" i="12"/>
  <c r="AU494" i="12"/>
  <c r="AU495" i="12"/>
  <c r="AU496" i="12"/>
  <c r="AU497" i="12"/>
  <c r="AU498" i="12"/>
  <c r="AU499" i="12"/>
  <c r="AU500" i="12"/>
  <c r="AU501" i="12"/>
  <c r="AU502" i="12"/>
  <c r="AU503" i="12"/>
  <c r="AU504" i="12"/>
  <c r="AU505" i="12"/>
  <c r="AU506" i="12"/>
  <c r="AU507" i="12"/>
  <c r="AU508" i="12"/>
  <c r="AU509" i="12"/>
  <c r="AU510" i="12"/>
  <c r="AU511" i="12"/>
  <c r="AU512" i="12"/>
  <c r="AU513" i="12"/>
  <c r="AU514" i="12"/>
  <c r="AU515" i="12"/>
  <c r="AU516" i="12"/>
  <c r="AU517" i="12"/>
  <c r="AU518" i="12"/>
  <c r="AU519" i="12"/>
  <c r="AU520" i="12"/>
  <c r="AU521" i="12"/>
  <c r="AU522" i="12"/>
  <c r="AU523" i="12"/>
  <c r="AU524" i="12"/>
  <c r="AU525" i="12"/>
  <c r="AU526" i="12"/>
  <c r="AU527" i="12"/>
  <c r="AU528" i="12"/>
  <c r="AU529" i="12"/>
  <c r="AU530" i="12"/>
  <c r="AU531" i="12"/>
  <c r="AU532" i="12"/>
  <c r="AU533" i="12"/>
  <c r="AU534" i="12"/>
  <c r="AU535" i="12"/>
  <c r="AU536" i="12"/>
  <c r="AU537" i="12"/>
  <c r="AU538" i="12"/>
  <c r="AU539" i="12"/>
  <c r="AU540" i="12"/>
  <c r="AU541" i="12"/>
  <c r="AU542" i="12"/>
  <c r="AU543" i="12"/>
  <c r="AU544" i="12"/>
  <c r="AU545" i="12"/>
  <c r="AU546" i="12"/>
  <c r="AU547" i="12"/>
  <c r="AU548" i="12"/>
  <c r="AU549" i="12"/>
  <c r="AU550" i="12"/>
  <c r="AU551" i="12"/>
  <c r="AU552" i="12"/>
  <c r="AU553" i="12"/>
  <c r="AU554" i="12"/>
  <c r="AU555" i="12"/>
  <c r="AU556" i="12"/>
  <c r="AU557" i="12"/>
  <c r="AU558" i="12"/>
  <c r="AU559" i="12"/>
  <c r="AU560" i="12"/>
  <c r="AU561" i="12"/>
  <c r="AU562" i="12"/>
  <c r="AU563" i="12"/>
  <c r="AU564" i="12"/>
  <c r="AU565" i="12"/>
  <c r="AU566" i="12"/>
  <c r="AU567" i="12"/>
  <c r="AU568" i="12"/>
  <c r="AU569" i="12"/>
  <c r="AU570" i="12"/>
  <c r="AU571" i="12"/>
  <c r="AU572" i="12"/>
  <c r="AU573" i="12"/>
  <c r="AU574" i="12"/>
  <c r="AU575" i="12"/>
  <c r="AU576" i="12"/>
  <c r="AU577" i="12"/>
  <c r="AU578" i="12"/>
  <c r="AU579" i="12"/>
  <c r="AU580" i="12"/>
  <c r="AU581" i="12"/>
  <c r="AU582" i="12"/>
  <c r="AU583" i="12"/>
  <c r="AU584" i="12"/>
  <c r="AU585" i="12"/>
  <c r="AU586" i="12"/>
  <c r="AU587" i="12"/>
  <c r="AU588" i="12"/>
  <c r="AU589" i="12"/>
  <c r="AU590" i="12"/>
  <c r="AU591" i="12"/>
  <c r="AU592" i="12"/>
  <c r="AU593" i="12"/>
  <c r="AU594" i="12"/>
  <c r="AU595" i="12"/>
  <c r="AU596" i="12"/>
  <c r="AU597" i="12"/>
  <c r="AU598" i="12"/>
  <c r="AU599" i="12"/>
  <c r="AU600" i="12"/>
  <c r="AU601" i="12"/>
  <c r="AU602" i="12"/>
  <c r="AU603" i="12"/>
  <c r="AU604" i="12"/>
  <c r="AU605" i="12"/>
  <c r="AU606" i="12"/>
  <c r="AU607" i="12"/>
  <c r="AU608" i="12"/>
  <c r="AU609" i="12"/>
  <c r="AU610" i="12"/>
  <c r="AU611" i="12"/>
  <c r="AU612" i="12"/>
  <c r="AU613" i="12"/>
  <c r="AU614" i="12"/>
  <c r="AU615" i="12"/>
  <c r="AU616" i="12"/>
  <c r="AU617" i="12"/>
  <c r="AU618" i="12"/>
  <c r="AU619" i="12"/>
  <c r="AU620" i="12"/>
  <c r="AU621" i="12"/>
  <c r="AU622" i="12"/>
  <c r="AU623" i="12"/>
  <c r="AU624" i="12"/>
  <c r="AU625" i="12"/>
  <c r="AU626" i="12"/>
  <c r="AU627" i="12"/>
  <c r="AU628" i="12"/>
  <c r="AU629" i="12"/>
  <c r="AU630" i="12"/>
  <c r="AU631" i="12"/>
  <c r="AU632" i="12"/>
  <c r="AU633" i="12"/>
  <c r="AU634" i="12"/>
  <c r="AU635" i="12"/>
  <c r="AU636" i="12"/>
  <c r="AU637" i="12"/>
  <c r="AU638" i="12"/>
  <c r="AU639" i="12"/>
  <c r="AU640" i="12"/>
  <c r="AU641" i="12"/>
  <c r="AU642" i="12"/>
  <c r="AU643" i="12"/>
  <c r="AU644" i="12"/>
  <c r="AU645" i="12"/>
  <c r="AU646" i="12"/>
  <c r="AU647" i="12"/>
  <c r="AU648" i="12"/>
  <c r="AU649" i="12"/>
  <c r="AU650" i="12"/>
  <c r="AU651" i="12"/>
  <c r="AU652" i="12"/>
  <c r="AU653" i="12"/>
  <c r="AU654" i="12"/>
  <c r="AU655" i="12"/>
  <c r="AU656" i="12"/>
  <c r="AU657" i="12"/>
  <c r="AU658" i="12"/>
  <c r="AU659" i="12"/>
  <c r="AU660" i="12"/>
  <c r="AU661" i="12"/>
  <c r="AU662" i="12"/>
  <c r="AU663" i="12"/>
  <c r="AU664" i="12"/>
  <c r="AU665" i="12"/>
  <c r="AU666" i="12"/>
  <c r="AU667" i="12"/>
  <c r="AU668" i="12"/>
  <c r="AU669" i="12"/>
  <c r="AU670" i="12"/>
  <c r="AU671" i="12"/>
  <c r="AU672" i="12"/>
  <c r="AU673" i="12"/>
  <c r="AU674" i="12"/>
  <c r="AU675" i="12"/>
  <c r="AU676" i="12"/>
  <c r="AU677" i="12"/>
  <c r="AU678" i="12"/>
  <c r="AU679" i="12"/>
  <c r="AU680" i="12"/>
  <c r="AU681" i="12"/>
  <c r="AU682" i="12"/>
  <c r="AU683" i="12"/>
  <c r="AU684" i="12"/>
  <c r="AU685" i="12"/>
  <c r="AU686" i="12"/>
  <c r="AU687" i="12"/>
  <c r="AU688" i="12"/>
  <c r="AU689" i="12"/>
  <c r="AU690" i="12"/>
  <c r="AU691" i="12"/>
  <c r="AU692" i="12"/>
  <c r="AU693" i="12"/>
  <c r="AU694" i="12"/>
  <c r="AU695" i="12"/>
  <c r="AU696" i="12"/>
  <c r="AU697" i="12"/>
  <c r="AU698" i="12"/>
  <c r="AU699" i="12"/>
  <c r="AU700" i="12"/>
  <c r="AU701" i="12"/>
  <c r="AU702" i="12"/>
  <c r="AU703" i="12"/>
  <c r="AR5" i="12"/>
  <c r="AR6" i="12"/>
  <c r="AR7" i="12"/>
  <c r="AR8" i="12"/>
  <c r="AR9" i="12"/>
  <c r="AR10" i="12"/>
  <c r="AR11" i="12"/>
  <c r="AR12" i="12"/>
  <c r="AR13" i="12"/>
  <c r="AR14" i="12"/>
  <c r="AR15" i="12"/>
  <c r="AR16" i="12"/>
  <c r="AR17" i="12"/>
  <c r="AR18" i="12"/>
  <c r="AR19" i="12"/>
  <c r="AR20" i="12"/>
  <c r="AR21" i="12"/>
  <c r="AR22" i="12"/>
  <c r="AR23" i="12"/>
  <c r="AR24" i="12"/>
  <c r="AR25" i="12"/>
  <c r="AR26" i="12"/>
  <c r="AR27" i="12"/>
  <c r="AR28" i="12"/>
  <c r="AR29" i="12"/>
  <c r="AR30" i="12"/>
  <c r="AR31" i="12"/>
  <c r="AR32" i="12"/>
  <c r="AR33" i="12"/>
  <c r="AR34" i="12"/>
  <c r="AR35" i="12"/>
  <c r="AR36" i="12"/>
  <c r="AR37" i="12"/>
  <c r="AR38" i="12"/>
  <c r="AR39" i="12"/>
  <c r="AR40" i="12"/>
  <c r="AR41" i="12"/>
  <c r="AR42" i="12"/>
  <c r="AR43" i="12"/>
  <c r="AR44" i="12"/>
  <c r="AR45" i="12"/>
  <c r="AR46" i="12"/>
  <c r="AR47" i="12"/>
  <c r="AR48" i="12"/>
  <c r="AR49" i="12"/>
  <c r="AR50" i="12"/>
  <c r="AR51" i="12"/>
  <c r="AR52" i="12"/>
  <c r="AR53" i="12"/>
  <c r="AR54" i="12"/>
  <c r="AR55" i="12"/>
  <c r="AR56" i="12"/>
  <c r="AR57" i="12"/>
  <c r="AR58" i="12"/>
  <c r="AR59" i="12"/>
  <c r="AR60" i="12"/>
  <c r="AR61" i="12"/>
  <c r="AR62" i="12"/>
  <c r="AR63" i="12"/>
  <c r="AR64" i="12"/>
  <c r="AR65" i="12"/>
  <c r="AR66" i="12"/>
  <c r="AR67" i="12"/>
  <c r="AR68" i="12"/>
  <c r="AR69" i="12"/>
  <c r="AR70" i="12"/>
  <c r="AR71" i="12"/>
  <c r="AR72" i="12"/>
  <c r="AR73" i="12"/>
  <c r="AR74" i="12"/>
  <c r="AR75" i="12"/>
  <c r="AR76" i="12"/>
  <c r="AR77" i="12"/>
  <c r="AR78" i="12"/>
  <c r="AR79" i="12"/>
  <c r="AR80" i="12"/>
  <c r="AR81" i="12"/>
  <c r="AR82" i="12"/>
  <c r="AR83" i="12"/>
  <c r="AR84" i="12"/>
  <c r="AR85" i="12"/>
  <c r="AR86" i="12"/>
  <c r="AR87" i="12"/>
  <c r="AR88" i="12"/>
  <c r="AR89" i="12"/>
  <c r="AR90" i="12"/>
  <c r="AR91" i="12"/>
  <c r="AR92" i="12"/>
  <c r="AR93" i="12"/>
  <c r="AR94" i="12"/>
  <c r="AR95" i="12"/>
  <c r="AR96" i="12"/>
  <c r="AR97" i="12"/>
  <c r="AR98" i="12"/>
  <c r="AR99" i="12"/>
  <c r="AR100" i="12"/>
  <c r="AR101" i="12"/>
  <c r="AR102" i="12"/>
  <c r="AR103" i="12"/>
  <c r="AR104" i="12"/>
  <c r="AR105" i="12"/>
  <c r="AR106" i="12"/>
  <c r="AR107" i="12"/>
  <c r="AR108" i="12"/>
  <c r="AR109" i="12"/>
  <c r="AR110" i="12"/>
  <c r="AR111" i="12"/>
  <c r="AR112" i="12"/>
  <c r="AR113" i="12"/>
  <c r="AR114" i="12"/>
  <c r="AR115" i="12"/>
  <c r="AR116" i="12"/>
  <c r="AR117" i="12"/>
  <c r="AR118" i="12"/>
  <c r="AR119" i="12"/>
  <c r="AR120" i="12"/>
  <c r="AR121" i="12"/>
  <c r="AR122" i="12"/>
  <c r="AR123" i="12"/>
  <c r="AR124" i="12"/>
  <c r="AR125" i="12"/>
  <c r="AR126" i="12"/>
  <c r="AR127" i="12"/>
  <c r="AR128" i="12"/>
  <c r="AR129" i="12"/>
  <c r="AR130" i="12"/>
  <c r="AR131" i="12"/>
  <c r="AR132" i="12"/>
  <c r="AR133" i="12"/>
  <c r="AR134" i="12"/>
  <c r="AR135" i="12"/>
  <c r="AR136" i="12"/>
  <c r="AR137" i="12"/>
  <c r="AR138" i="12"/>
  <c r="AR139" i="12"/>
  <c r="AR140" i="12"/>
  <c r="AR141" i="12"/>
  <c r="AR142" i="12"/>
  <c r="AR143" i="12"/>
  <c r="AR144" i="12"/>
  <c r="AR145" i="12"/>
  <c r="AR146" i="12"/>
  <c r="AR147" i="12"/>
  <c r="AR148" i="12"/>
  <c r="AR149" i="12"/>
  <c r="AR150" i="12"/>
  <c r="AR151" i="12"/>
  <c r="AR152" i="12"/>
  <c r="AR153" i="12"/>
  <c r="AR154" i="12"/>
  <c r="AR155" i="12"/>
  <c r="AR156" i="12"/>
  <c r="AR157" i="12"/>
  <c r="AR158" i="12"/>
  <c r="AR159" i="12"/>
  <c r="AR160" i="12"/>
  <c r="AR161" i="12"/>
  <c r="AR162" i="12"/>
  <c r="AR163" i="12"/>
  <c r="AR164" i="12"/>
  <c r="AR165" i="12"/>
  <c r="AR166" i="12"/>
  <c r="AR167" i="12"/>
  <c r="AR168" i="12"/>
  <c r="AR169" i="12"/>
  <c r="AR170" i="12"/>
  <c r="AR171" i="12"/>
  <c r="AR172" i="12"/>
  <c r="AR173" i="12"/>
  <c r="AR174" i="12"/>
  <c r="AR175" i="12"/>
  <c r="AR176" i="12"/>
  <c r="AR177" i="12"/>
  <c r="AR178" i="12"/>
  <c r="AR179" i="12"/>
  <c r="AR180" i="12"/>
  <c r="AR181" i="12"/>
  <c r="AR182" i="12"/>
  <c r="AR183" i="12"/>
  <c r="AR184" i="12"/>
  <c r="AR185" i="12"/>
  <c r="AR186" i="12"/>
  <c r="AR187" i="12"/>
  <c r="AR188" i="12"/>
  <c r="AR189" i="12"/>
  <c r="AR190" i="12"/>
  <c r="AR191"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R405" i="12"/>
  <c r="AR406" i="12"/>
  <c r="AR407" i="12"/>
  <c r="AR408" i="12"/>
  <c r="AR409" i="12"/>
  <c r="AR410" i="12"/>
  <c r="AR411" i="12"/>
  <c r="AR412" i="12"/>
  <c r="AR413" i="12"/>
  <c r="AR414" i="12"/>
  <c r="AR415" i="12"/>
  <c r="AR416" i="12"/>
  <c r="AR417" i="12"/>
  <c r="AR418" i="12"/>
  <c r="AR419" i="12"/>
  <c r="AR420" i="12"/>
  <c r="AR421" i="12"/>
  <c r="AR422" i="12"/>
  <c r="AR423" i="12"/>
  <c r="AR424" i="12"/>
  <c r="AR425" i="12"/>
  <c r="AR426" i="12"/>
  <c r="AR427" i="12"/>
  <c r="AR428" i="12"/>
  <c r="AR429" i="12"/>
  <c r="AR430" i="12"/>
  <c r="AR431" i="12"/>
  <c r="AR432" i="12"/>
  <c r="AR433" i="12"/>
  <c r="AR434" i="12"/>
  <c r="AR435" i="12"/>
  <c r="AR436" i="12"/>
  <c r="AR437" i="12"/>
  <c r="AR438" i="12"/>
  <c r="AR439" i="12"/>
  <c r="AR440" i="12"/>
  <c r="AR441" i="12"/>
  <c r="AR442" i="12"/>
  <c r="AR443" i="12"/>
  <c r="AR444" i="12"/>
  <c r="AR445" i="12"/>
  <c r="AR446" i="12"/>
  <c r="AR447" i="12"/>
  <c r="AR448" i="12"/>
  <c r="AR449" i="12"/>
  <c r="AR450" i="12"/>
  <c r="AR451" i="12"/>
  <c r="AR452" i="12"/>
  <c r="AR453" i="12"/>
  <c r="AR454" i="12"/>
  <c r="AR455" i="12"/>
  <c r="AR456" i="12"/>
  <c r="AR457" i="12"/>
  <c r="AR458" i="12"/>
  <c r="AR459" i="12"/>
  <c r="AR460" i="12"/>
  <c r="AR461" i="12"/>
  <c r="AR462" i="12"/>
  <c r="AR463" i="12"/>
  <c r="AR464" i="12"/>
  <c r="AR465" i="12"/>
  <c r="AR466" i="12"/>
  <c r="AR467" i="12"/>
  <c r="AR468" i="12"/>
  <c r="AR469" i="12"/>
  <c r="AR470" i="12"/>
  <c r="AR471" i="12"/>
  <c r="AR472" i="12"/>
  <c r="AR473" i="12"/>
  <c r="AR474" i="12"/>
  <c r="AR475" i="12"/>
  <c r="AR476" i="12"/>
  <c r="AR477" i="12"/>
  <c r="AR478" i="12"/>
  <c r="AR479" i="12"/>
  <c r="AR480" i="12"/>
  <c r="AR481" i="12"/>
  <c r="AR482" i="12"/>
  <c r="AR483" i="12"/>
  <c r="AR484" i="12"/>
  <c r="AR485" i="12"/>
  <c r="AR486" i="12"/>
  <c r="AR487" i="12"/>
  <c r="AR488" i="12"/>
  <c r="AR489" i="12"/>
  <c r="AR490" i="12"/>
  <c r="AR491" i="12"/>
  <c r="AR492" i="12"/>
  <c r="AR493" i="12"/>
  <c r="AR494" i="12"/>
  <c r="AR495" i="12"/>
  <c r="AR496" i="12"/>
  <c r="AR497" i="12"/>
  <c r="AR498" i="12"/>
  <c r="AR499" i="12"/>
  <c r="AR500" i="12"/>
  <c r="AR501" i="12"/>
  <c r="AR502" i="12"/>
  <c r="AR503" i="12"/>
  <c r="AR504" i="12"/>
  <c r="AR505" i="12"/>
  <c r="AR506" i="12"/>
  <c r="AR507" i="12"/>
  <c r="AR508" i="12"/>
  <c r="AR509" i="12"/>
  <c r="AR510" i="12"/>
  <c r="AR511" i="12"/>
  <c r="AR512" i="12"/>
  <c r="AR513" i="12"/>
  <c r="AR514" i="12"/>
  <c r="AR515" i="12"/>
  <c r="AR516" i="12"/>
  <c r="AR517" i="12"/>
  <c r="AR518" i="12"/>
  <c r="AR519" i="12"/>
  <c r="AR520" i="12"/>
  <c r="AR521" i="12"/>
  <c r="AR522" i="12"/>
  <c r="AR523" i="12"/>
  <c r="AR524" i="12"/>
  <c r="AR525" i="12"/>
  <c r="AR526" i="12"/>
  <c r="AR527" i="12"/>
  <c r="AR528" i="12"/>
  <c r="AR529" i="12"/>
  <c r="AR530" i="12"/>
  <c r="AR531" i="12"/>
  <c r="AR532" i="12"/>
  <c r="AR533" i="12"/>
  <c r="AR534" i="12"/>
  <c r="AR535" i="12"/>
  <c r="AR536" i="12"/>
  <c r="AR537" i="12"/>
  <c r="AR538" i="12"/>
  <c r="AR539" i="12"/>
  <c r="AR540" i="12"/>
  <c r="AR541" i="12"/>
  <c r="AR542" i="12"/>
  <c r="AR543" i="12"/>
  <c r="AR544" i="12"/>
  <c r="AR545" i="12"/>
  <c r="AR546" i="12"/>
  <c r="AR547" i="12"/>
  <c r="AR548" i="12"/>
  <c r="AR549" i="12"/>
  <c r="AR550" i="12"/>
  <c r="AR551" i="12"/>
  <c r="AR552" i="12"/>
  <c r="AR553" i="12"/>
  <c r="AR554" i="12"/>
  <c r="AR555" i="12"/>
  <c r="AR556" i="12"/>
  <c r="AR557" i="12"/>
  <c r="AR558" i="12"/>
  <c r="AR559" i="12"/>
  <c r="AR560" i="12"/>
  <c r="AR561" i="12"/>
  <c r="AR562" i="12"/>
  <c r="AR563" i="12"/>
  <c r="AR564" i="12"/>
  <c r="AR565" i="12"/>
  <c r="AR566" i="12"/>
  <c r="AR567" i="12"/>
  <c r="AR568" i="12"/>
  <c r="AR569" i="12"/>
  <c r="AR570" i="12"/>
  <c r="AR571" i="12"/>
  <c r="AR572" i="12"/>
  <c r="AR573" i="12"/>
  <c r="AR574" i="12"/>
  <c r="AR575" i="12"/>
  <c r="AR576" i="12"/>
  <c r="AR577" i="12"/>
  <c r="AR578" i="12"/>
  <c r="AR579" i="12"/>
  <c r="AR580" i="12"/>
  <c r="AR581" i="12"/>
  <c r="AR582" i="12"/>
  <c r="AR583" i="12"/>
  <c r="AR584" i="12"/>
  <c r="AR585" i="12"/>
  <c r="AR586" i="12"/>
  <c r="AR587" i="12"/>
  <c r="AR588" i="12"/>
  <c r="AR589" i="12"/>
  <c r="AR590" i="12"/>
  <c r="AR591" i="12"/>
  <c r="AR592" i="12"/>
  <c r="AR593" i="12"/>
  <c r="AR594" i="12"/>
  <c r="AR595" i="12"/>
  <c r="AR596" i="12"/>
  <c r="AR597" i="12"/>
  <c r="AR598" i="12"/>
  <c r="AR599" i="12"/>
  <c r="AR600" i="12"/>
  <c r="AR601" i="12"/>
  <c r="AR602" i="12"/>
  <c r="AR603" i="12"/>
  <c r="AR604" i="12"/>
  <c r="AR605" i="12"/>
  <c r="AR606" i="12"/>
  <c r="AR607" i="12"/>
  <c r="AR608" i="12"/>
  <c r="AR609" i="12"/>
  <c r="AR610" i="12"/>
  <c r="AR611" i="12"/>
  <c r="AR612" i="12"/>
  <c r="AR613" i="12"/>
  <c r="AR614" i="12"/>
  <c r="AR615" i="12"/>
  <c r="AR616" i="12"/>
  <c r="AR617" i="12"/>
  <c r="AR618" i="12"/>
  <c r="AR619" i="12"/>
  <c r="AR620" i="12"/>
  <c r="AR621" i="12"/>
  <c r="AR622" i="12"/>
  <c r="AR623" i="12"/>
  <c r="AR624" i="12"/>
  <c r="AR625" i="12"/>
  <c r="AR626" i="12"/>
  <c r="AR627" i="12"/>
  <c r="AR628" i="12"/>
  <c r="AR629" i="12"/>
  <c r="AR630" i="12"/>
  <c r="AR631" i="12"/>
  <c r="AR632" i="12"/>
  <c r="AR633" i="12"/>
  <c r="AR634" i="12"/>
  <c r="AR635" i="12"/>
  <c r="AR636" i="12"/>
  <c r="AR637" i="12"/>
  <c r="AR638" i="12"/>
  <c r="AR639" i="12"/>
  <c r="AR640" i="12"/>
  <c r="AR641" i="12"/>
  <c r="AR642" i="12"/>
  <c r="AR643" i="12"/>
  <c r="AR644" i="12"/>
  <c r="AR645" i="12"/>
  <c r="AR646" i="12"/>
  <c r="AR647" i="12"/>
  <c r="AR648" i="12"/>
  <c r="AR649" i="12"/>
  <c r="AR650" i="12"/>
  <c r="AR651" i="12"/>
  <c r="AR652" i="12"/>
  <c r="AR653" i="12"/>
  <c r="AR654" i="12"/>
  <c r="AR655" i="12"/>
  <c r="AR656" i="12"/>
  <c r="AR657" i="12"/>
  <c r="AR658" i="12"/>
  <c r="AR659" i="12"/>
  <c r="AR660" i="12"/>
  <c r="AR661" i="12"/>
  <c r="AR662" i="12"/>
  <c r="AR663" i="12"/>
  <c r="AR664" i="12"/>
  <c r="AR665" i="12"/>
  <c r="AR666" i="12"/>
  <c r="AR667" i="12"/>
  <c r="AR668" i="12"/>
  <c r="AR669" i="12"/>
  <c r="AR670" i="12"/>
  <c r="AR671" i="12"/>
  <c r="AR672" i="12"/>
  <c r="AR673" i="12"/>
  <c r="AR674" i="12"/>
  <c r="AR675" i="12"/>
  <c r="AR676" i="12"/>
  <c r="AR677" i="12"/>
  <c r="AR678" i="12"/>
  <c r="AR679" i="12"/>
  <c r="AR680" i="12"/>
  <c r="AR681" i="12"/>
  <c r="AR682" i="12"/>
  <c r="AR683" i="12"/>
  <c r="AR684" i="12"/>
  <c r="AR685" i="12"/>
  <c r="AR686" i="12"/>
  <c r="AR687" i="12"/>
  <c r="AR688" i="12"/>
  <c r="AR689" i="12"/>
  <c r="AR690" i="12"/>
  <c r="AR691" i="12"/>
  <c r="AR692" i="12"/>
  <c r="AR693" i="12"/>
  <c r="AR694" i="12"/>
  <c r="AR695" i="12"/>
  <c r="AR696" i="12"/>
  <c r="AR697" i="12"/>
  <c r="AR698" i="12"/>
  <c r="AR699" i="12"/>
  <c r="AR700" i="12"/>
  <c r="AR701" i="12"/>
  <c r="AR702" i="12"/>
  <c r="AR703" i="12"/>
  <c r="AO5" i="12"/>
  <c r="AO6" i="12"/>
  <c r="AO7" i="12"/>
  <c r="AO8" i="12"/>
  <c r="AO9" i="12"/>
  <c r="AO10" i="12"/>
  <c r="AO11" i="12"/>
  <c r="AO12" i="12"/>
  <c r="AO13" i="12"/>
  <c r="AO14" i="12"/>
  <c r="AO15" i="12"/>
  <c r="AO16" i="12"/>
  <c r="AO17" i="12"/>
  <c r="AO18" i="12"/>
  <c r="AO19" i="12"/>
  <c r="AO20" i="12"/>
  <c r="AO21" i="12"/>
  <c r="AO22" i="12"/>
  <c r="AO23" i="12"/>
  <c r="AO24" i="12"/>
  <c r="AO25" i="12"/>
  <c r="AO26" i="12"/>
  <c r="AO27" i="12"/>
  <c r="AO28" i="12"/>
  <c r="AO29" i="12"/>
  <c r="AO30" i="12"/>
  <c r="AO31" i="12"/>
  <c r="AO32" i="12"/>
  <c r="AO33" i="12"/>
  <c r="AO34" i="12"/>
  <c r="AO35" i="12"/>
  <c r="AO36" i="12"/>
  <c r="AO37" i="12"/>
  <c r="AO38" i="12"/>
  <c r="AO39" i="12"/>
  <c r="AO40" i="12"/>
  <c r="AO41" i="12"/>
  <c r="AO42" i="12"/>
  <c r="AO43" i="12"/>
  <c r="AO44" i="12"/>
  <c r="AO45" i="12"/>
  <c r="AO46" i="12"/>
  <c r="AO47" i="12"/>
  <c r="AO48" i="12"/>
  <c r="AO49" i="12"/>
  <c r="AO50" i="12"/>
  <c r="AO51" i="12"/>
  <c r="AO52" i="12"/>
  <c r="AO53" i="12"/>
  <c r="AO54" i="12"/>
  <c r="AO55" i="12"/>
  <c r="AO56" i="12"/>
  <c r="AO57" i="12"/>
  <c r="AO58" i="12"/>
  <c r="AO59" i="12"/>
  <c r="AO60" i="12"/>
  <c r="AO61" i="12"/>
  <c r="AO62" i="12"/>
  <c r="AO63" i="12"/>
  <c r="AO64" i="12"/>
  <c r="AO65" i="12"/>
  <c r="AO66" i="12"/>
  <c r="AO67" i="12"/>
  <c r="AO68" i="12"/>
  <c r="AO69" i="12"/>
  <c r="AO70" i="12"/>
  <c r="AO71" i="12"/>
  <c r="AO72" i="12"/>
  <c r="AO73" i="12"/>
  <c r="AO74" i="12"/>
  <c r="AO75" i="12"/>
  <c r="AO76" i="12"/>
  <c r="AO77" i="12"/>
  <c r="AO78" i="12"/>
  <c r="AO79" i="12"/>
  <c r="AO80" i="12"/>
  <c r="AO81" i="12"/>
  <c r="AO82" i="12"/>
  <c r="AO83" i="12"/>
  <c r="AO84" i="12"/>
  <c r="AO85" i="12"/>
  <c r="AO86" i="12"/>
  <c r="AO87" i="12"/>
  <c r="AO88" i="12"/>
  <c r="AO89" i="12"/>
  <c r="AO90" i="12"/>
  <c r="AO91" i="12"/>
  <c r="AO92" i="12"/>
  <c r="AO93" i="12"/>
  <c r="AO94" i="12"/>
  <c r="AO95" i="12"/>
  <c r="AO96" i="12"/>
  <c r="AO97" i="12"/>
  <c r="AO98" i="12"/>
  <c r="AO99" i="12"/>
  <c r="AO100" i="12"/>
  <c r="AO101" i="12"/>
  <c r="AO102" i="12"/>
  <c r="AO103" i="12"/>
  <c r="AO104" i="12"/>
  <c r="AO105" i="12"/>
  <c r="AO106" i="12"/>
  <c r="AO107" i="12"/>
  <c r="AO108" i="12"/>
  <c r="AO109" i="12"/>
  <c r="AO110" i="12"/>
  <c r="AO111" i="12"/>
  <c r="AO112" i="12"/>
  <c r="AO113" i="12"/>
  <c r="AO114" i="12"/>
  <c r="AO115" i="12"/>
  <c r="AO116" i="12"/>
  <c r="AO117" i="12"/>
  <c r="AO118" i="12"/>
  <c r="AO119" i="12"/>
  <c r="AO120" i="12"/>
  <c r="AO121" i="12"/>
  <c r="AO122" i="12"/>
  <c r="AO123" i="12"/>
  <c r="AO124" i="12"/>
  <c r="AO125" i="12"/>
  <c r="AO126" i="12"/>
  <c r="AO127" i="12"/>
  <c r="AO128" i="12"/>
  <c r="AO129" i="12"/>
  <c r="AO130" i="12"/>
  <c r="AO131" i="12"/>
  <c r="AO132" i="12"/>
  <c r="AO133" i="12"/>
  <c r="AO134" i="12"/>
  <c r="AO135" i="12"/>
  <c r="AO136" i="12"/>
  <c r="AO137" i="12"/>
  <c r="AO138" i="12"/>
  <c r="AO139" i="12"/>
  <c r="AO140" i="12"/>
  <c r="AO141" i="12"/>
  <c r="AO142" i="12"/>
  <c r="AO143" i="12"/>
  <c r="AO144" i="12"/>
  <c r="AO145" i="12"/>
  <c r="AO146" i="12"/>
  <c r="AO147" i="12"/>
  <c r="AO148" i="12"/>
  <c r="AO149" i="12"/>
  <c r="AO150" i="12"/>
  <c r="AO151" i="12"/>
  <c r="AO152" i="12"/>
  <c r="AO153" i="12"/>
  <c r="AO154" i="12"/>
  <c r="AO155" i="12"/>
  <c r="AO156" i="12"/>
  <c r="AO157" i="12"/>
  <c r="AO158" i="12"/>
  <c r="AO159" i="12"/>
  <c r="AO160" i="12"/>
  <c r="AO161" i="12"/>
  <c r="AO162" i="12"/>
  <c r="AO163" i="12"/>
  <c r="AO164" i="12"/>
  <c r="AO165" i="12"/>
  <c r="AO166" i="12"/>
  <c r="AO167" i="12"/>
  <c r="AO168" i="12"/>
  <c r="AO169" i="12"/>
  <c r="AO170" i="12"/>
  <c r="AO171" i="12"/>
  <c r="AO172" i="12"/>
  <c r="AO173" i="12"/>
  <c r="AO174" i="12"/>
  <c r="AO175" i="12"/>
  <c r="AO176" i="12"/>
  <c r="AO177" i="12"/>
  <c r="AO178" i="12"/>
  <c r="AO179" i="12"/>
  <c r="AO180" i="12"/>
  <c r="AO181" i="12"/>
  <c r="AO182" i="12"/>
  <c r="AO183" i="12"/>
  <c r="AO184" i="12"/>
  <c r="AO185" i="12"/>
  <c r="AO186" i="12"/>
  <c r="AO187" i="12"/>
  <c r="AO188" i="12"/>
  <c r="AO189" i="12"/>
  <c r="AO190" i="12"/>
  <c r="AO191" i="12"/>
  <c r="AO192" i="12"/>
  <c r="AO193" i="12"/>
  <c r="AO194" i="12"/>
  <c r="AO195" i="12"/>
  <c r="AO196" i="12"/>
  <c r="AO197" i="12"/>
  <c r="AO198" i="12"/>
  <c r="AO199" i="12"/>
  <c r="AO200" i="12"/>
  <c r="AO201" i="12"/>
  <c r="AO202" i="12"/>
  <c r="AO203" i="12"/>
  <c r="AO204" i="12"/>
  <c r="AO205" i="12"/>
  <c r="AO206" i="12"/>
  <c r="AO207" i="12"/>
  <c r="AO208" i="12"/>
  <c r="AO209" i="12"/>
  <c r="AO210" i="12"/>
  <c r="AO211" i="12"/>
  <c r="AO212" i="12"/>
  <c r="AO213" i="12"/>
  <c r="AO214" i="12"/>
  <c r="AO215" i="12"/>
  <c r="AO216" i="12"/>
  <c r="AO217" i="12"/>
  <c r="AO218" i="12"/>
  <c r="AO219" i="12"/>
  <c r="AO220" i="12"/>
  <c r="AO221" i="12"/>
  <c r="AO222" i="12"/>
  <c r="AO223" i="12"/>
  <c r="AO224" i="12"/>
  <c r="AO225" i="12"/>
  <c r="AO226" i="12"/>
  <c r="AO227" i="12"/>
  <c r="AO228" i="12"/>
  <c r="AO229" i="12"/>
  <c r="AO230" i="12"/>
  <c r="AO231" i="12"/>
  <c r="AO232" i="12"/>
  <c r="AO233" i="12"/>
  <c r="AO234" i="12"/>
  <c r="AO235" i="12"/>
  <c r="AO236" i="12"/>
  <c r="AO237" i="12"/>
  <c r="AO238" i="12"/>
  <c r="AO239" i="12"/>
  <c r="AO240" i="12"/>
  <c r="AO241" i="12"/>
  <c r="AO242" i="12"/>
  <c r="AO243" i="12"/>
  <c r="AO244" i="12"/>
  <c r="AO245" i="12"/>
  <c r="AO246" i="12"/>
  <c r="AO247" i="12"/>
  <c r="AO248" i="12"/>
  <c r="AO249" i="12"/>
  <c r="AO250" i="12"/>
  <c r="AO251" i="12"/>
  <c r="AO252" i="12"/>
  <c r="AO253" i="12"/>
  <c r="AO254" i="12"/>
  <c r="AO255" i="12"/>
  <c r="AO256" i="12"/>
  <c r="AO257" i="12"/>
  <c r="AO258" i="12"/>
  <c r="AO259" i="12"/>
  <c r="AO260" i="12"/>
  <c r="AO261" i="12"/>
  <c r="AO262" i="12"/>
  <c r="AO263" i="12"/>
  <c r="AO264" i="12"/>
  <c r="AO265" i="12"/>
  <c r="AO266" i="12"/>
  <c r="AO267" i="12"/>
  <c r="AO268" i="12"/>
  <c r="AO269" i="12"/>
  <c r="AO270" i="12"/>
  <c r="AO271" i="12"/>
  <c r="AO272" i="12"/>
  <c r="AO273" i="12"/>
  <c r="AO274" i="12"/>
  <c r="AO275" i="12"/>
  <c r="AO276" i="12"/>
  <c r="AO277" i="12"/>
  <c r="AO278" i="12"/>
  <c r="AO279" i="12"/>
  <c r="AO280" i="12"/>
  <c r="AO281" i="12"/>
  <c r="AO282" i="12"/>
  <c r="AO283" i="12"/>
  <c r="AO284" i="12"/>
  <c r="AO285" i="12"/>
  <c r="AO286" i="12"/>
  <c r="AO287" i="12"/>
  <c r="AO288" i="12"/>
  <c r="AO289" i="12"/>
  <c r="AO290" i="12"/>
  <c r="AO291" i="12"/>
  <c r="AO292" i="12"/>
  <c r="AO293" i="12"/>
  <c r="AO294" i="12"/>
  <c r="AO295" i="12"/>
  <c r="AO296" i="12"/>
  <c r="AO297" i="12"/>
  <c r="AO298" i="12"/>
  <c r="AO299" i="12"/>
  <c r="AO300" i="12"/>
  <c r="AO301" i="12"/>
  <c r="AO302" i="12"/>
  <c r="AO303" i="12"/>
  <c r="AO304" i="12"/>
  <c r="AO305" i="12"/>
  <c r="AO306" i="12"/>
  <c r="AO307" i="12"/>
  <c r="AO308" i="12"/>
  <c r="AO309" i="12"/>
  <c r="AO310" i="12"/>
  <c r="AO311" i="12"/>
  <c r="AO312" i="12"/>
  <c r="AO313" i="12"/>
  <c r="AO314" i="12"/>
  <c r="AO315" i="12"/>
  <c r="AO316" i="12"/>
  <c r="AO317" i="12"/>
  <c r="AO318" i="12"/>
  <c r="AO319" i="12"/>
  <c r="AO320" i="12"/>
  <c r="AO321" i="12"/>
  <c r="AO322" i="12"/>
  <c r="AO323" i="12"/>
  <c r="AO324" i="12"/>
  <c r="AO325" i="12"/>
  <c r="AO326" i="12"/>
  <c r="AO327" i="12"/>
  <c r="AO328" i="12"/>
  <c r="AO329" i="12"/>
  <c r="AO330" i="12"/>
  <c r="AO331" i="12"/>
  <c r="AO332" i="12"/>
  <c r="AO333" i="12"/>
  <c r="AO334" i="12"/>
  <c r="AO335" i="12"/>
  <c r="AO336" i="12"/>
  <c r="AO337" i="12"/>
  <c r="AO338" i="12"/>
  <c r="AO339" i="12"/>
  <c r="AO340" i="12"/>
  <c r="AO341" i="12"/>
  <c r="AO342" i="12"/>
  <c r="AO343" i="12"/>
  <c r="AO344" i="12"/>
  <c r="AO345" i="12"/>
  <c r="AO346" i="12"/>
  <c r="AO347" i="12"/>
  <c r="AO348" i="12"/>
  <c r="AO349" i="12"/>
  <c r="AO350" i="12"/>
  <c r="AO351" i="12"/>
  <c r="AO352" i="12"/>
  <c r="AO353" i="12"/>
  <c r="AO354" i="12"/>
  <c r="AO355" i="12"/>
  <c r="AO356" i="12"/>
  <c r="AO357" i="12"/>
  <c r="AO358" i="12"/>
  <c r="AO359" i="12"/>
  <c r="AO360" i="12"/>
  <c r="AO361" i="12"/>
  <c r="AO362" i="12"/>
  <c r="AO363" i="12"/>
  <c r="AO364" i="12"/>
  <c r="AO365" i="12"/>
  <c r="AO366" i="12"/>
  <c r="AO367" i="12"/>
  <c r="AO368" i="12"/>
  <c r="AO369" i="12"/>
  <c r="AO370" i="12"/>
  <c r="AO371" i="12"/>
  <c r="AO372" i="12"/>
  <c r="AO373" i="12"/>
  <c r="AO374" i="12"/>
  <c r="AO375" i="12"/>
  <c r="AO376" i="12"/>
  <c r="AO377" i="12"/>
  <c r="AO378" i="12"/>
  <c r="AO379" i="12"/>
  <c r="AO380" i="12"/>
  <c r="AO381" i="12"/>
  <c r="AO382" i="12"/>
  <c r="AO383" i="12"/>
  <c r="AO384" i="12"/>
  <c r="AO385" i="12"/>
  <c r="AO386" i="12"/>
  <c r="AO387" i="12"/>
  <c r="AO388" i="12"/>
  <c r="AO389" i="12"/>
  <c r="AO390" i="12"/>
  <c r="AO391" i="12"/>
  <c r="AO392" i="12"/>
  <c r="AO393" i="12"/>
  <c r="AO394" i="12"/>
  <c r="AO395" i="12"/>
  <c r="AO396" i="12"/>
  <c r="AO397" i="12"/>
  <c r="AO398" i="12"/>
  <c r="AO399" i="12"/>
  <c r="AO400" i="12"/>
  <c r="AO401" i="12"/>
  <c r="AO402" i="12"/>
  <c r="AO403" i="12"/>
  <c r="AO404" i="12"/>
  <c r="AO405" i="12"/>
  <c r="AO406" i="12"/>
  <c r="AO407" i="12"/>
  <c r="AO408" i="12"/>
  <c r="AO409" i="12"/>
  <c r="AO410" i="12"/>
  <c r="AO411" i="12"/>
  <c r="AO412" i="12"/>
  <c r="AO413" i="12"/>
  <c r="AO414" i="12"/>
  <c r="AO415" i="12"/>
  <c r="AO416" i="12"/>
  <c r="AO417" i="12"/>
  <c r="AO418" i="12"/>
  <c r="AO419" i="12"/>
  <c r="AO420" i="12"/>
  <c r="AO421" i="12"/>
  <c r="AO422" i="12"/>
  <c r="AO423" i="12"/>
  <c r="AO424" i="12"/>
  <c r="AO425" i="12"/>
  <c r="AO426" i="12"/>
  <c r="AO427" i="12"/>
  <c r="AO428" i="12"/>
  <c r="AO429" i="12"/>
  <c r="AO430" i="12"/>
  <c r="AO431" i="12"/>
  <c r="AO432" i="12"/>
  <c r="AO433" i="12"/>
  <c r="AO434" i="12"/>
  <c r="AO435" i="12"/>
  <c r="AO436" i="12"/>
  <c r="AO437" i="12"/>
  <c r="AO438" i="12"/>
  <c r="AO439" i="12"/>
  <c r="AO440" i="12"/>
  <c r="AO441" i="12"/>
  <c r="AO442" i="12"/>
  <c r="AO443" i="12"/>
  <c r="AO444" i="12"/>
  <c r="AO445" i="12"/>
  <c r="AO446" i="12"/>
  <c r="AO447" i="12"/>
  <c r="AO448" i="12"/>
  <c r="AO449" i="12"/>
  <c r="AO450" i="12"/>
  <c r="AO451" i="12"/>
  <c r="AO452" i="12"/>
  <c r="AO453" i="12"/>
  <c r="AO454" i="12"/>
  <c r="AO455" i="12"/>
  <c r="AO456" i="12"/>
  <c r="AO457" i="12"/>
  <c r="AO458" i="12"/>
  <c r="AO459" i="12"/>
  <c r="AO460" i="12"/>
  <c r="AO461" i="12"/>
  <c r="AO462" i="12"/>
  <c r="AO463" i="12"/>
  <c r="AO464" i="12"/>
  <c r="AO465" i="12"/>
  <c r="AO466" i="12"/>
  <c r="AO467" i="12"/>
  <c r="AO468" i="12"/>
  <c r="AO469" i="12"/>
  <c r="AO470" i="12"/>
  <c r="AO471" i="12"/>
  <c r="AO472" i="12"/>
  <c r="AO473" i="12"/>
  <c r="AO474" i="12"/>
  <c r="AO475" i="12"/>
  <c r="AO476" i="12"/>
  <c r="AO477" i="12"/>
  <c r="AO478" i="12"/>
  <c r="AO479" i="12"/>
  <c r="AO480" i="12"/>
  <c r="AO481" i="12"/>
  <c r="AO482" i="12"/>
  <c r="AO483" i="12"/>
  <c r="AO484" i="12"/>
  <c r="AO485" i="12"/>
  <c r="AO486" i="12"/>
  <c r="AO487" i="12"/>
  <c r="AO488" i="12"/>
  <c r="AO489" i="12"/>
  <c r="AO490" i="12"/>
  <c r="AO491" i="12"/>
  <c r="AO492" i="12"/>
  <c r="AO493" i="12"/>
  <c r="AO494" i="12"/>
  <c r="AO495" i="12"/>
  <c r="AO496" i="12"/>
  <c r="AO497" i="12"/>
  <c r="AO498" i="12"/>
  <c r="AO499" i="12"/>
  <c r="AO500" i="12"/>
  <c r="AO501" i="12"/>
  <c r="AO502" i="12"/>
  <c r="AO503" i="12"/>
  <c r="AO504" i="12"/>
  <c r="AO505" i="12"/>
  <c r="AO506" i="12"/>
  <c r="AO507" i="12"/>
  <c r="AO508" i="12"/>
  <c r="AO509" i="12"/>
  <c r="AO510" i="12"/>
  <c r="AO511" i="12"/>
  <c r="AO512" i="12"/>
  <c r="AO513" i="12"/>
  <c r="AO514" i="12"/>
  <c r="AO515" i="12"/>
  <c r="AO516" i="12"/>
  <c r="AO517" i="12"/>
  <c r="AO518" i="12"/>
  <c r="AO519" i="12"/>
  <c r="AO520" i="12"/>
  <c r="AO521" i="12"/>
  <c r="AO522" i="12"/>
  <c r="AO523" i="12"/>
  <c r="AO524" i="12"/>
  <c r="AO525" i="12"/>
  <c r="AO526" i="12"/>
  <c r="AO527" i="12"/>
  <c r="AO528" i="12"/>
  <c r="AO529" i="12"/>
  <c r="AO530" i="12"/>
  <c r="AO531" i="12"/>
  <c r="AO532" i="12"/>
  <c r="AO533" i="12"/>
  <c r="AO534" i="12"/>
  <c r="AO535" i="12"/>
  <c r="AO536" i="12"/>
  <c r="AO537" i="12"/>
  <c r="AO538" i="12"/>
  <c r="AO539" i="12"/>
  <c r="AO540" i="12"/>
  <c r="AO541" i="12"/>
  <c r="AO542" i="12"/>
  <c r="AO543" i="12"/>
  <c r="AO544" i="12"/>
  <c r="AO545" i="12"/>
  <c r="AO546" i="12"/>
  <c r="AO547" i="12"/>
  <c r="AO548" i="12"/>
  <c r="AO549" i="12"/>
  <c r="AO550" i="12"/>
  <c r="AO551" i="12"/>
  <c r="AO552" i="12"/>
  <c r="AO553" i="12"/>
  <c r="AO554" i="12"/>
  <c r="AO555" i="12"/>
  <c r="AO556" i="12"/>
  <c r="AO557" i="12"/>
  <c r="AO558" i="12"/>
  <c r="AO559" i="12"/>
  <c r="AO560" i="12"/>
  <c r="AO561" i="12"/>
  <c r="AO562" i="12"/>
  <c r="AO563" i="12"/>
  <c r="AO564" i="12"/>
  <c r="AO565" i="12"/>
  <c r="AO566" i="12"/>
  <c r="AO567" i="12"/>
  <c r="AO568" i="12"/>
  <c r="AO569" i="12"/>
  <c r="AO570" i="12"/>
  <c r="AO571" i="12"/>
  <c r="AO572" i="12"/>
  <c r="AO573" i="12"/>
  <c r="AO574" i="12"/>
  <c r="AO575" i="12"/>
  <c r="AO576" i="12"/>
  <c r="AO577" i="12"/>
  <c r="AO578" i="12"/>
  <c r="AO579" i="12"/>
  <c r="AO580" i="12"/>
  <c r="AO581" i="12"/>
  <c r="AO582" i="12"/>
  <c r="AO583" i="12"/>
  <c r="AO584" i="12"/>
  <c r="AO585" i="12"/>
  <c r="AO586" i="12"/>
  <c r="AO587" i="12"/>
  <c r="AO588" i="12"/>
  <c r="AO589" i="12"/>
  <c r="AO590" i="12"/>
  <c r="AO591" i="12"/>
  <c r="AO592" i="12"/>
  <c r="AO593" i="12"/>
  <c r="AO594" i="12"/>
  <c r="AO595" i="12"/>
  <c r="AO596" i="12"/>
  <c r="AO597" i="12"/>
  <c r="AO598" i="12"/>
  <c r="AO599" i="12"/>
  <c r="AO600" i="12"/>
  <c r="AO601" i="12"/>
  <c r="AO602" i="12"/>
  <c r="AO603" i="12"/>
  <c r="AO604" i="12"/>
  <c r="AO605" i="12"/>
  <c r="AO606" i="12"/>
  <c r="AO607" i="12"/>
  <c r="AO608" i="12"/>
  <c r="AO609" i="12"/>
  <c r="AO610" i="12"/>
  <c r="AO611" i="12"/>
  <c r="AO612" i="12"/>
  <c r="AO613" i="12"/>
  <c r="AO614" i="12"/>
  <c r="AO615" i="12"/>
  <c r="AO616" i="12"/>
  <c r="AO617" i="12"/>
  <c r="AO618" i="12"/>
  <c r="AO619" i="12"/>
  <c r="AO620" i="12"/>
  <c r="AO621" i="12"/>
  <c r="AO622" i="12"/>
  <c r="AO623" i="12"/>
  <c r="AO624" i="12"/>
  <c r="AO625" i="12"/>
  <c r="AO626" i="12"/>
  <c r="AO627" i="12"/>
  <c r="AO628" i="12"/>
  <c r="AO629" i="12"/>
  <c r="AO630" i="12"/>
  <c r="AO631" i="12"/>
  <c r="AO632" i="12"/>
  <c r="AO633" i="12"/>
  <c r="AO634" i="12"/>
  <c r="AO635" i="12"/>
  <c r="AO636" i="12"/>
  <c r="AO637" i="12"/>
  <c r="AO638" i="12"/>
  <c r="AO639" i="12"/>
  <c r="AO640" i="12"/>
  <c r="AO641" i="12"/>
  <c r="AO642" i="12"/>
  <c r="AO643" i="12"/>
  <c r="AO644" i="12"/>
  <c r="AO645" i="12"/>
  <c r="AO646" i="12"/>
  <c r="AO647" i="12"/>
  <c r="AO648" i="12"/>
  <c r="AO649" i="12"/>
  <c r="AO650" i="12"/>
  <c r="AO651" i="12"/>
  <c r="AO652" i="12"/>
  <c r="AO653" i="12"/>
  <c r="AO654" i="12"/>
  <c r="AO655" i="12"/>
  <c r="AO656" i="12"/>
  <c r="AO657" i="12"/>
  <c r="AO658" i="12"/>
  <c r="AO659" i="12"/>
  <c r="AO660" i="12"/>
  <c r="AO661" i="12"/>
  <c r="AO662" i="12"/>
  <c r="AO663" i="12"/>
  <c r="AO664" i="12"/>
  <c r="AO665" i="12"/>
  <c r="AO666" i="12"/>
  <c r="AO667" i="12"/>
  <c r="AO668" i="12"/>
  <c r="AO669" i="12"/>
  <c r="AO670" i="12"/>
  <c r="AO671" i="12"/>
  <c r="AO672" i="12"/>
  <c r="AO673" i="12"/>
  <c r="AO674" i="12"/>
  <c r="AO675" i="12"/>
  <c r="AO676" i="12"/>
  <c r="AO677" i="12"/>
  <c r="AO678" i="12"/>
  <c r="AO679" i="12"/>
  <c r="AO680" i="12"/>
  <c r="AO681" i="12"/>
  <c r="AO682" i="12"/>
  <c r="AO683" i="12"/>
  <c r="AO684" i="12"/>
  <c r="AO685" i="12"/>
  <c r="AO686" i="12"/>
  <c r="AO687" i="12"/>
  <c r="AO688" i="12"/>
  <c r="AO689" i="12"/>
  <c r="AO690" i="12"/>
  <c r="AO691" i="12"/>
  <c r="AO692" i="12"/>
  <c r="AO693" i="12"/>
  <c r="AO694" i="12"/>
  <c r="AO695" i="12"/>
  <c r="AO696" i="12"/>
  <c r="AO697" i="12"/>
  <c r="AO698" i="12"/>
  <c r="AO699" i="12"/>
  <c r="AO700" i="12"/>
  <c r="AO701" i="12"/>
  <c r="AO702" i="12"/>
  <c r="AO703" i="12"/>
  <c r="AL5" i="12"/>
  <c r="AL6" i="12"/>
  <c r="AL7" i="12"/>
  <c r="AL8" i="12"/>
  <c r="AL9" i="12"/>
  <c r="AL10" i="12"/>
  <c r="AL11" i="12"/>
  <c r="AL12" i="12"/>
  <c r="AL13" i="12"/>
  <c r="AL14" i="12"/>
  <c r="AL15" i="12"/>
  <c r="AL16" i="12"/>
  <c r="AL17" i="12"/>
  <c r="AL18" i="12"/>
  <c r="AL19" i="12"/>
  <c r="AL20" i="12"/>
  <c r="AL21" i="12"/>
  <c r="AL22" i="12"/>
  <c r="AL23" i="12"/>
  <c r="AL24" i="12"/>
  <c r="AL25" i="12"/>
  <c r="AL26" i="12"/>
  <c r="AL27" i="12"/>
  <c r="AL28" i="12"/>
  <c r="AL29" i="12"/>
  <c r="AL30" i="12"/>
  <c r="AL31" i="12"/>
  <c r="AL32" i="12"/>
  <c r="AL33" i="12"/>
  <c r="AL34" i="12"/>
  <c r="AL35" i="12"/>
  <c r="AL36" i="12"/>
  <c r="AL37" i="12"/>
  <c r="AL38" i="12"/>
  <c r="AL39" i="12"/>
  <c r="AL40" i="12"/>
  <c r="AL41" i="12"/>
  <c r="AL42" i="12"/>
  <c r="AL43" i="12"/>
  <c r="AL44" i="12"/>
  <c r="AL45" i="12"/>
  <c r="AL46" i="12"/>
  <c r="AL47" i="12"/>
  <c r="AL48" i="12"/>
  <c r="AL49" i="12"/>
  <c r="AL50" i="12"/>
  <c r="AL51" i="12"/>
  <c r="AL52" i="12"/>
  <c r="AL53" i="12"/>
  <c r="AL54" i="12"/>
  <c r="AL55" i="12"/>
  <c r="AL56" i="12"/>
  <c r="AL57" i="12"/>
  <c r="AL58" i="12"/>
  <c r="AL59" i="12"/>
  <c r="AL60" i="12"/>
  <c r="AL61" i="12"/>
  <c r="AL62" i="12"/>
  <c r="AL63" i="12"/>
  <c r="AL64" i="12"/>
  <c r="AL65" i="12"/>
  <c r="AL66" i="12"/>
  <c r="AL67" i="12"/>
  <c r="AL68" i="12"/>
  <c r="AL69" i="12"/>
  <c r="AL70" i="12"/>
  <c r="AL71" i="12"/>
  <c r="AL72" i="12"/>
  <c r="AL73" i="12"/>
  <c r="AL74" i="12"/>
  <c r="AL75" i="12"/>
  <c r="AL76" i="12"/>
  <c r="AL77" i="12"/>
  <c r="AL78" i="12"/>
  <c r="AL79" i="12"/>
  <c r="AL80" i="12"/>
  <c r="AL81" i="12"/>
  <c r="AL82" i="12"/>
  <c r="AL83" i="12"/>
  <c r="AL84" i="12"/>
  <c r="AL85" i="12"/>
  <c r="AL86" i="12"/>
  <c r="AL87" i="12"/>
  <c r="AL88" i="12"/>
  <c r="AL89" i="12"/>
  <c r="AL90" i="12"/>
  <c r="AL91" i="12"/>
  <c r="AL92" i="12"/>
  <c r="AL93" i="12"/>
  <c r="AL94" i="12"/>
  <c r="AL95" i="12"/>
  <c r="AL96" i="12"/>
  <c r="AL97" i="12"/>
  <c r="AL98" i="12"/>
  <c r="AL99" i="12"/>
  <c r="AL100" i="12"/>
  <c r="AL101" i="12"/>
  <c r="AL102" i="12"/>
  <c r="AL103" i="12"/>
  <c r="AL104" i="12"/>
  <c r="AL105" i="12"/>
  <c r="AL106" i="12"/>
  <c r="AL107" i="12"/>
  <c r="AL108" i="12"/>
  <c r="AL109" i="12"/>
  <c r="AL110" i="12"/>
  <c r="AL111" i="12"/>
  <c r="AL112" i="12"/>
  <c r="AL113" i="12"/>
  <c r="AL114" i="12"/>
  <c r="AL115" i="12"/>
  <c r="AL116" i="12"/>
  <c r="AL117" i="12"/>
  <c r="AL118" i="12"/>
  <c r="AL119" i="12"/>
  <c r="AL120" i="12"/>
  <c r="AL121" i="12"/>
  <c r="AL122" i="12"/>
  <c r="AL123" i="12"/>
  <c r="AL124" i="12"/>
  <c r="AL125" i="12"/>
  <c r="AL126" i="12"/>
  <c r="AL127" i="12"/>
  <c r="AL128" i="12"/>
  <c r="AL129" i="12"/>
  <c r="AL130" i="12"/>
  <c r="AL131" i="12"/>
  <c r="AL132" i="12"/>
  <c r="AL133" i="12"/>
  <c r="AL134" i="12"/>
  <c r="AL135" i="12"/>
  <c r="AL136" i="12"/>
  <c r="AL137" i="12"/>
  <c r="AL138" i="12"/>
  <c r="AL139" i="12"/>
  <c r="AL140" i="12"/>
  <c r="AL141" i="12"/>
  <c r="AL142" i="12"/>
  <c r="AL143" i="12"/>
  <c r="AL144" i="12"/>
  <c r="AL145" i="12"/>
  <c r="AL146" i="12"/>
  <c r="AL147" i="12"/>
  <c r="AL148" i="12"/>
  <c r="AL149" i="12"/>
  <c r="AL150" i="12"/>
  <c r="AL151" i="12"/>
  <c r="AL152" i="12"/>
  <c r="AL153" i="12"/>
  <c r="AL154" i="12"/>
  <c r="AL155" i="12"/>
  <c r="AL156" i="12"/>
  <c r="AL157" i="12"/>
  <c r="AL158" i="12"/>
  <c r="AL159" i="12"/>
  <c r="AL160" i="12"/>
  <c r="AL161" i="12"/>
  <c r="AL162" i="12"/>
  <c r="AL163" i="12"/>
  <c r="AL164" i="12"/>
  <c r="AL165" i="12"/>
  <c r="AL166" i="12"/>
  <c r="AL167" i="12"/>
  <c r="AL168" i="12"/>
  <c r="AL169" i="12"/>
  <c r="AL170" i="12"/>
  <c r="AL171" i="12"/>
  <c r="AL172" i="12"/>
  <c r="AL173" i="12"/>
  <c r="AL174" i="12"/>
  <c r="AL175" i="12"/>
  <c r="AL176" i="12"/>
  <c r="AL177" i="12"/>
  <c r="AL178" i="12"/>
  <c r="AL179" i="12"/>
  <c r="AL180" i="12"/>
  <c r="AL181" i="12"/>
  <c r="AL182" i="12"/>
  <c r="AL183" i="12"/>
  <c r="AL184" i="12"/>
  <c r="AL185" i="12"/>
  <c r="AL186" i="12"/>
  <c r="AL187" i="12"/>
  <c r="AL188" i="12"/>
  <c r="AL189" i="12"/>
  <c r="AL190" i="12"/>
  <c r="AL191" i="12"/>
  <c r="AL192" i="12"/>
  <c r="AL193" i="12"/>
  <c r="AL194" i="12"/>
  <c r="AL195" i="12"/>
  <c r="AL196" i="12"/>
  <c r="AL197" i="12"/>
  <c r="AL198" i="12"/>
  <c r="AL199" i="12"/>
  <c r="AL200" i="12"/>
  <c r="AL201" i="12"/>
  <c r="AL202" i="12"/>
  <c r="AL203" i="12"/>
  <c r="AL204" i="12"/>
  <c r="AL205" i="12"/>
  <c r="AL206" i="12"/>
  <c r="AL207" i="12"/>
  <c r="AL208" i="12"/>
  <c r="AL209" i="12"/>
  <c r="AL210" i="12"/>
  <c r="AL211" i="12"/>
  <c r="AL212" i="12"/>
  <c r="AL213" i="12"/>
  <c r="AL214" i="12"/>
  <c r="AL215" i="12"/>
  <c r="AL216" i="12"/>
  <c r="AL217" i="12"/>
  <c r="AL218" i="12"/>
  <c r="AL219" i="12"/>
  <c r="AL220" i="12"/>
  <c r="AL221" i="12"/>
  <c r="AL222" i="12"/>
  <c r="AL223" i="12"/>
  <c r="AL224" i="12"/>
  <c r="AL225" i="12"/>
  <c r="AL226" i="12"/>
  <c r="AL227" i="12"/>
  <c r="AL228" i="12"/>
  <c r="AL229" i="12"/>
  <c r="AL230" i="12"/>
  <c r="AL231" i="12"/>
  <c r="AL232" i="12"/>
  <c r="AL233" i="12"/>
  <c r="AL234" i="12"/>
  <c r="AL235" i="12"/>
  <c r="AL236" i="12"/>
  <c r="AL237" i="12"/>
  <c r="AL238" i="12"/>
  <c r="AL239" i="12"/>
  <c r="AL240" i="12"/>
  <c r="AL241" i="12"/>
  <c r="AL242" i="12"/>
  <c r="AL243" i="12"/>
  <c r="AL244" i="12"/>
  <c r="AL245" i="12"/>
  <c r="AL246" i="12"/>
  <c r="AL247" i="12"/>
  <c r="AL248" i="12"/>
  <c r="AL249" i="12"/>
  <c r="AL250" i="12"/>
  <c r="AL251" i="12"/>
  <c r="AL252" i="12"/>
  <c r="AL253" i="12"/>
  <c r="AL254" i="12"/>
  <c r="AL255" i="12"/>
  <c r="AL256" i="12"/>
  <c r="AL257" i="12"/>
  <c r="AL258" i="12"/>
  <c r="AL259" i="12"/>
  <c r="AL260" i="12"/>
  <c r="AL261" i="12"/>
  <c r="AL262" i="12"/>
  <c r="AL263" i="12"/>
  <c r="AL264" i="12"/>
  <c r="AL265" i="12"/>
  <c r="AL266" i="12"/>
  <c r="AL267" i="12"/>
  <c r="AL268" i="12"/>
  <c r="AL269" i="12"/>
  <c r="AL270" i="12"/>
  <c r="AL271" i="12"/>
  <c r="AL272" i="12"/>
  <c r="AL273" i="12"/>
  <c r="AL274" i="12"/>
  <c r="AL275" i="12"/>
  <c r="AL276" i="12"/>
  <c r="AL277" i="12"/>
  <c r="AL278" i="12"/>
  <c r="AL279" i="12"/>
  <c r="AL280" i="12"/>
  <c r="AL281" i="12"/>
  <c r="AL282" i="12"/>
  <c r="AL283" i="12"/>
  <c r="AL284" i="12"/>
  <c r="AL285" i="12"/>
  <c r="AL286" i="12"/>
  <c r="AL287" i="12"/>
  <c r="AL288" i="12"/>
  <c r="AL289" i="12"/>
  <c r="AL290" i="12"/>
  <c r="AL291" i="12"/>
  <c r="AL292" i="12"/>
  <c r="AL293" i="12"/>
  <c r="AL294" i="12"/>
  <c r="AL295" i="12"/>
  <c r="AL296" i="12"/>
  <c r="AL297" i="12"/>
  <c r="AL298" i="12"/>
  <c r="AL299" i="12"/>
  <c r="AL300" i="12"/>
  <c r="AL301" i="12"/>
  <c r="AL302" i="12"/>
  <c r="AL303" i="12"/>
  <c r="AL304" i="12"/>
  <c r="AL305" i="12"/>
  <c r="AL306" i="12"/>
  <c r="AL307" i="12"/>
  <c r="AL308" i="12"/>
  <c r="AL309" i="12"/>
  <c r="AL310" i="12"/>
  <c r="AL311" i="12"/>
  <c r="AL312" i="12"/>
  <c r="AL313" i="12"/>
  <c r="AL314" i="12"/>
  <c r="AL315" i="12"/>
  <c r="AL316" i="12"/>
  <c r="AL317" i="12"/>
  <c r="AL318" i="12"/>
  <c r="AL319" i="12"/>
  <c r="AL320" i="12"/>
  <c r="AL321" i="12"/>
  <c r="AL322" i="12"/>
  <c r="AL323" i="12"/>
  <c r="AL324" i="12"/>
  <c r="AL325" i="12"/>
  <c r="AL326" i="12"/>
  <c r="AL327" i="12"/>
  <c r="AL328" i="12"/>
  <c r="AL329" i="12"/>
  <c r="AL330" i="12"/>
  <c r="AL331" i="12"/>
  <c r="AL332" i="12"/>
  <c r="AL333" i="12"/>
  <c r="AL334" i="12"/>
  <c r="AL335" i="12"/>
  <c r="AL336" i="12"/>
  <c r="AL337" i="12"/>
  <c r="AL338" i="12"/>
  <c r="AL339" i="12"/>
  <c r="AL340" i="12"/>
  <c r="AL341" i="12"/>
  <c r="AL342" i="12"/>
  <c r="AL343" i="12"/>
  <c r="AL344" i="12"/>
  <c r="AL345" i="12"/>
  <c r="AL346" i="12"/>
  <c r="AL347" i="12"/>
  <c r="AL348" i="12"/>
  <c r="AL349" i="12"/>
  <c r="AL350" i="12"/>
  <c r="AL351" i="12"/>
  <c r="AL352" i="12"/>
  <c r="AL353" i="12"/>
  <c r="AL354" i="12"/>
  <c r="AL355" i="12"/>
  <c r="AL356" i="12"/>
  <c r="AL357" i="12"/>
  <c r="AL358" i="12"/>
  <c r="AL359" i="12"/>
  <c r="AL360" i="12"/>
  <c r="AL361" i="12"/>
  <c r="AL362" i="12"/>
  <c r="AL363" i="12"/>
  <c r="AL364" i="12"/>
  <c r="AL365" i="12"/>
  <c r="AL366" i="12"/>
  <c r="AL367" i="12"/>
  <c r="AL368" i="12"/>
  <c r="AL369" i="12"/>
  <c r="AL370" i="12"/>
  <c r="AL371" i="12"/>
  <c r="AL372" i="12"/>
  <c r="AL373" i="12"/>
  <c r="AL374" i="12"/>
  <c r="AL375" i="12"/>
  <c r="AL376" i="12"/>
  <c r="AL377" i="12"/>
  <c r="AL378" i="12"/>
  <c r="AL379" i="12"/>
  <c r="AL380" i="12"/>
  <c r="AL381" i="12"/>
  <c r="AL382" i="12"/>
  <c r="AL383" i="12"/>
  <c r="AL384" i="12"/>
  <c r="AL385" i="12"/>
  <c r="AL386" i="12"/>
  <c r="AL387" i="12"/>
  <c r="AL388" i="12"/>
  <c r="AL389" i="12"/>
  <c r="AL390" i="12"/>
  <c r="AL391" i="12"/>
  <c r="AL392" i="12"/>
  <c r="AL393" i="12"/>
  <c r="AL394" i="12"/>
  <c r="AL395" i="12"/>
  <c r="AL396" i="12"/>
  <c r="AL397" i="12"/>
  <c r="AL398" i="12"/>
  <c r="AL399" i="12"/>
  <c r="AL400" i="12"/>
  <c r="AL401" i="12"/>
  <c r="AL402" i="12"/>
  <c r="AL403" i="12"/>
  <c r="AL404" i="12"/>
  <c r="AL405" i="12"/>
  <c r="AL406" i="12"/>
  <c r="AL407" i="12"/>
  <c r="AL408" i="12"/>
  <c r="AL409" i="12"/>
  <c r="AL410" i="12"/>
  <c r="AL411" i="12"/>
  <c r="AL412" i="12"/>
  <c r="AL413" i="12"/>
  <c r="AL414" i="12"/>
  <c r="AL415" i="12"/>
  <c r="AL416" i="12"/>
  <c r="AL417" i="12"/>
  <c r="AL418" i="12"/>
  <c r="AL419" i="12"/>
  <c r="AL420" i="12"/>
  <c r="AL421" i="12"/>
  <c r="AL422" i="12"/>
  <c r="AL423" i="12"/>
  <c r="AL424" i="12"/>
  <c r="AL425" i="12"/>
  <c r="AL426" i="12"/>
  <c r="AL427" i="12"/>
  <c r="AL428" i="12"/>
  <c r="AL429" i="12"/>
  <c r="AL430" i="12"/>
  <c r="AL431" i="12"/>
  <c r="AL432" i="12"/>
  <c r="AL433" i="12"/>
  <c r="AL434" i="12"/>
  <c r="AL435" i="12"/>
  <c r="AL436" i="12"/>
  <c r="AL437" i="12"/>
  <c r="AL438" i="12"/>
  <c r="AL439" i="12"/>
  <c r="AL440" i="12"/>
  <c r="AL441" i="12"/>
  <c r="AL442" i="12"/>
  <c r="AL443" i="12"/>
  <c r="AL444" i="12"/>
  <c r="AL445" i="12"/>
  <c r="AL446" i="12"/>
  <c r="AL447" i="12"/>
  <c r="AL448" i="12"/>
  <c r="AL449" i="12"/>
  <c r="AL450" i="12"/>
  <c r="AL451" i="12"/>
  <c r="AL452" i="12"/>
  <c r="AL453" i="12"/>
  <c r="AL454" i="12"/>
  <c r="AL455" i="12"/>
  <c r="AL456" i="12"/>
  <c r="AL457" i="12"/>
  <c r="AL458" i="12"/>
  <c r="AL459" i="12"/>
  <c r="AL460" i="12"/>
  <c r="AL461" i="12"/>
  <c r="AL462" i="12"/>
  <c r="AL463" i="12"/>
  <c r="AL464" i="12"/>
  <c r="AL465" i="12"/>
  <c r="AL466" i="12"/>
  <c r="AL467" i="12"/>
  <c r="AL468" i="12"/>
  <c r="AL469" i="12"/>
  <c r="AL470" i="12"/>
  <c r="AL471" i="12"/>
  <c r="AL472" i="12"/>
  <c r="AL473" i="12"/>
  <c r="AL474" i="12"/>
  <c r="AL475" i="12"/>
  <c r="AL476" i="12"/>
  <c r="AL477" i="12"/>
  <c r="AL478" i="12"/>
  <c r="AL479" i="12"/>
  <c r="AL480" i="12"/>
  <c r="AL481" i="12"/>
  <c r="AL482" i="12"/>
  <c r="AL483" i="12"/>
  <c r="AL484" i="12"/>
  <c r="AL485" i="12"/>
  <c r="AL486" i="12"/>
  <c r="AL487" i="12"/>
  <c r="AL488" i="12"/>
  <c r="AL489" i="12"/>
  <c r="AL490" i="12"/>
  <c r="AL491" i="12"/>
  <c r="AL492" i="12"/>
  <c r="AL493" i="12"/>
  <c r="AL494" i="12"/>
  <c r="AL495" i="12"/>
  <c r="AL496" i="12"/>
  <c r="AL497" i="12"/>
  <c r="AL498" i="12"/>
  <c r="AL499" i="12"/>
  <c r="AL500" i="12"/>
  <c r="AL501" i="12"/>
  <c r="AL502" i="12"/>
  <c r="AL503" i="12"/>
  <c r="AL504" i="12"/>
  <c r="AL505" i="12"/>
  <c r="AL506" i="12"/>
  <c r="AL507" i="12"/>
  <c r="AL508" i="12"/>
  <c r="AL509" i="12"/>
  <c r="AL510" i="12"/>
  <c r="AL511" i="12"/>
  <c r="AL512" i="12"/>
  <c r="AL513" i="12"/>
  <c r="AL514" i="12"/>
  <c r="AL515" i="12"/>
  <c r="AL516" i="12"/>
  <c r="AL517" i="12"/>
  <c r="AL518" i="12"/>
  <c r="AL519" i="12"/>
  <c r="AL520" i="12"/>
  <c r="AL521" i="12"/>
  <c r="AL522" i="12"/>
  <c r="AL523" i="12"/>
  <c r="AL524" i="12"/>
  <c r="AL525" i="12"/>
  <c r="AL526" i="12"/>
  <c r="AL527" i="12"/>
  <c r="AL528" i="12"/>
  <c r="AL529" i="12"/>
  <c r="AL530" i="12"/>
  <c r="AL531" i="12"/>
  <c r="AL532" i="12"/>
  <c r="AL533" i="12"/>
  <c r="AL534" i="12"/>
  <c r="AL535" i="12"/>
  <c r="AL536" i="12"/>
  <c r="AL537" i="12"/>
  <c r="AL538" i="12"/>
  <c r="AL539" i="12"/>
  <c r="AL540" i="12"/>
  <c r="AL541" i="12"/>
  <c r="AL542" i="12"/>
  <c r="AL543" i="12"/>
  <c r="AL544" i="12"/>
  <c r="AL545" i="12"/>
  <c r="AL546" i="12"/>
  <c r="AL547" i="12"/>
  <c r="AL548" i="12"/>
  <c r="AL549" i="12"/>
  <c r="AL550" i="12"/>
  <c r="AL551" i="12"/>
  <c r="AL552" i="12"/>
  <c r="AL553" i="12"/>
  <c r="AL554" i="12"/>
  <c r="AL555" i="12"/>
  <c r="AL556" i="12"/>
  <c r="AL557" i="12"/>
  <c r="AL558" i="12"/>
  <c r="AL559" i="12"/>
  <c r="AL560" i="12"/>
  <c r="AL561" i="12"/>
  <c r="AL562" i="12"/>
  <c r="AL563" i="12"/>
  <c r="AL564" i="12"/>
  <c r="AL565" i="12"/>
  <c r="AL566" i="12"/>
  <c r="AL567" i="12"/>
  <c r="AL568" i="12"/>
  <c r="AL569" i="12"/>
  <c r="AL570" i="12"/>
  <c r="AL571" i="12"/>
  <c r="AL572" i="12"/>
  <c r="AL573" i="12"/>
  <c r="AL574" i="12"/>
  <c r="AL575" i="12"/>
  <c r="AL576" i="12"/>
  <c r="AL577" i="12"/>
  <c r="AL578" i="12"/>
  <c r="AL579" i="12"/>
  <c r="AL580" i="12"/>
  <c r="AL581" i="12"/>
  <c r="AL582" i="12"/>
  <c r="AL583" i="12"/>
  <c r="AL584" i="12"/>
  <c r="AL585" i="12"/>
  <c r="AL586" i="12"/>
  <c r="AL587" i="12"/>
  <c r="AL588" i="12"/>
  <c r="AL589" i="12"/>
  <c r="AL590" i="12"/>
  <c r="AL591" i="12"/>
  <c r="AL592" i="12"/>
  <c r="AL593" i="12"/>
  <c r="AL594" i="12"/>
  <c r="AL595" i="12"/>
  <c r="AL596" i="12"/>
  <c r="AL597" i="12"/>
  <c r="AL598" i="12"/>
  <c r="AL599" i="12"/>
  <c r="AL600" i="12"/>
  <c r="AL601" i="12"/>
  <c r="AL602" i="12"/>
  <c r="AL603" i="12"/>
  <c r="AL604" i="12"/>
  <c r="AL605" i="12"/>
  <c r="AL606" i="12"/>
  <c r="AL607" i="12"/>
  <c r="AL608" i="12"/>
  <c r="AL609" i="12"/>
  <c r="AL610" i="12"/>
  <c r="AL611" i="12"/>
  <c r="AL612" i="12"/>
  <c r="AL613" i="12"/>
  <c r="AL614" i="12"/>
  <c r="AL615" i="12"/>
  <c r="AL616" i="12"/>
  <c r="AL617" i="12"/>
  <c r="AL618" i="12"/>
  <c r="AL619" i="12"/>
  <c r="AL620" i="12"/>
  <c r="AL621" i="12"/>
  <c r="AL622" i="12"/>
  <c r="AL623" i="12"/>
  <c r="AL624" i="12"/>
  <c r="AL625" i="12"/>
  <c r="AL626" i="12"/>
  <c r="AL627" i="12"/>
  <c r="AL628" i="12"/>
  <c r="AL629" i="12"/>
  <c r="AL630" i="12"/>
  <c r="AL631" i="12"/>
  <c r="AL632" i="12"/>
  <c r="AL633" i="12"/>
  <c r="AL634" i="12"/>
  <c r="AL635" i="12"/>
  <c r="AL636" i="12"/>
  <c r="AL637" i="12"/>
  <c r="AL638" i="12"/>
  <c r="AL639" i="12"/>
  <c r="AL640" i="12"/>
  <c r="AL641" i="12"/>
  <c r="AL642" i="12"/>
  <c r="AL643" i="12"/>
  <c r="AL644" i="12"/>
  <c r="AL645" i="12"/>
  <c r="AL646" i="12"/>
  <c r="AL647" i="12"/>
  <c r="AL648" i="12"/>
  <c r="AL649" i="12"/>
  <c r="AL650" i="12"/>
  <c r="AL651" i="12"/>
  <c r="AL652" i="12"/>
  <c r="AL653" i="12"/>
  <c r="AL654" i="12"/>
  <c r="AL655" i="12"/>
  <c r="AL656" i="12"/>
  <c r="AL657" i="12"/>
  <c r="AL658" i="12"/>
  <c r="AL659" i="12"/>
  <c r="AL660" i="12"/>
  <c r="AL661" i="12"/>
  <c r="AL662" i="12"/>
  <c r="AL663" i="12"/>
  <c r="AL664" i="12"/>
  <c r="AL665" i="12"/>
  <c r="AL666" i="12"/>
  <c r="AL667" i="12"/>
  <c r="AL668" i="12"/>
  <c r="AL669" i="12"/>
  <c r="AL670" i="12"/>
  <c r="AL671" i="12"/>
  <c r="AL672" i="12"/>
  <c r="AL673" i="12"/>
  <c r="AL674" i="12"/>
  <c r="AL675" i="12"/>
  <c r="AL676" i="12"/>
  <c r="AL677" i="12"/>
  <c r="AL678" i="12"/>
  <c r="AL679" i="12"/>
  <c r="AL680" i="12"/>
  <c r="AL681" i="12"/>
  <c r="AL682" i="12"/>
  <c r="AL683" i="12"/>
  <c r="AL684" i="12"/>
  <c r="AL685" i="12"/>
  <c r="AL686" i="12"/>
  <c r="AL687" i="12"/>
  <c r="AL688" i="12"/>
  <c r="AL689" i="12"/>
  <c r="AL690" i="12"/>
  <c r="AL691" i="12"/>
  <c r="AL692" i="12"/>
  <c r="AL693" i="12"/>
  <c r="AL694" i="12"/>
  <c r="AL695" i="12"/>
  <c r="AL696" i="12"/>
  <c r="AL697" i="12"/>
  <c r="AL698" i="12"/>
  <c r="AL699" i="12"/>
  <c r="AL700" i="12"/>
  <c r="AL701" i="12"/>
  <c r="AL702" i="12"/>
  <c r="AL703" i="12"/>
  <c r="AI5" i="12"/>
  <c r="AI6" i="12"/>
  <c r="AI7" i="12"/>
  <c r="AI8" i="12"/>
  <c r="AI9" i="12"/>
  <c r="AI10" i="12"/>
  <c r="AI11" i="12"/>
  <c r="AI12" i="12"/>
  <c r="AI13" i="12"/>
  <c r="AI14" i="12"/>
  <c r="AI15" i="12"/>
  <c r="AI16" i="12"/>
  <c r="AI17" i="12"/>
  <c r="AI18" i="12"/>
  <c r="AI19" i="12"/>
  <c r="AI20" i="12"/>
  <c r="AI21" i="12"/>
  <c r="AI22" i="12"/>
  <c r="AI23" i="12"/>
  <c r="AI24" i="12"/>
  <c r="AI25" i="12"/>
  <c r="AI26" i="12"/>
  <c r="AI27" i="12"/>
  <c r="AI28" i="12"/>
  <c r="AI29" i="12"/>
  <c r="AI30" i="12"/>
  <c r="AI31" i="12"/>
  <c r="AI32" i="12"/>
  <c r="AI33" i="12"/>
  <c r="AI34" i="12"/>
  <c r="AI35" i="12"/>
  <c r="AI36" i="12"/>
  <c r="AI37" i="12"/>
  <c r="AI38" i="12"/>
  <c r="AI39" i="12"/>
  <c r="AI40" i="12"/>
  <c r="AI41" i="12"/>
  <c r="AI42" i="12"/>
  <c r="AI43" i="12"/>
  <c r="AI44" i="12"/>
  <c r="AI45" i="12"/>
  <c r="AI46" i="12"/>
  <c r="AI47" i="12"/>
  <c r="AI48" i="12"/>
  <c r="AI49" i="12"/>
  <c r="AI50" i="12"/>
  <c r="AI51" i="12"/>
  <c r="AI52" i="12"/>
  <c r="AI53" i="12"/>
  <c r="AI54" i="12"/>
  <c r="AI55" i="12"/>
  <c r="AI56" i="12"/>
  <c r="AI57" i="12"/>
  <c r="AI58" i="12"/>
  <c r="AI59" i="12"/>
  <c r="AI60" i="12"/>
  <c r="AI61" i="12"/>
  <c r="AI62" i="12"/>
  <c r="AI63" i="12"/>
  <c r="AI64" i="12"/>
  <c r="AI65" i="12"/>
  <c r="AI66" i="12"/>
  <c r="AI67" i="12"/>
  <c r="AI68" i="12"/>
  <c r="AI69" i="12"/>
  <c r="AI70" i="12"/>
  <c r="AI71" i="12"/>
  <c r="AI72" i="12"/>
  <c r="AI73" i="12"/>
  <c r="AI74" i="12"/>
  <c r="AI75" i="12"/>
  <c r="AI76" i="12"/>
  <c r="AI77" i="12"/>
  <c r="AI78" i="12"/>
  <c r="AI79" i="12"/>
  <c r="AI80" i="12"/>
  <c r="AI81" i="12"/>
  <c r="AI82" i="12"/>
  <c r="AI83" i="12"/>
  <c r="AI84" i="12"/>
  <c r="AI85" i="12"/>
  <c r="AI86" i="12"/>
  <c r="AI87" i="12"/>
  <c r="AI88" i="12"/>
  <c r="AI89" i="12"/>
  <c r="AI90" i="12"/>
  <c r="AI91" i="12"/>
  <c r="AI92" i="12"/>
  <c r="AI93" i="12"/>
  <c r="AI94" i="12"/>
  <c r="AI95" i="12"/>
  <c r="AI96" i="12"/>
  <c r="AI97" i="12"/>
  <c r="AI98" i="12"/>
  <c r="AI99" i="12"/>
  <c r="AI100" i="12"/>
  <c r="AI101" i="12"/>
  <c r="AI102" i="12"/>
  <c r="AI103" i="12"/>
  <c r="AI104" i="12"/>
  <c r="AI105" i="12"/>
  <c r="AI106" i="12"/>
  <c r="AI107" i="12"/>
  <c r="AI108" i="12"/>
  <c r="AI109" i="12"/>
  <c r="AI110" i="12"/>
  <c r="AI111" i="12"/>
  <c r="AI112" i="12"/>
  <c r="AI113" i="12"/>
  <c r="AI114" i="12"/>
  <c r="AI115" i="12"/>
  <c r="AI116" i="12"/>
  <c r="AI117" i="12"/>
  <c r="AI118" i="12"/>
  <c r="AI119" i="12"/>
  <c r="AI120" i="12"/>
  <c r="AI121" i="12"/>
  <c r="AI122" i="12"/>
  <c r="AI123" i="12"/>
  <c r="AI124" i="12"/>
  <c r="AI125" i="12"/>
  <c r="AI126" i="12"/>
  <c r="AI127" i="12"/>
  <c r="AI128" i="12"/>
  <c r="AI129" i="12"/>
  <c r="AI130" i="12"/>
  <c r="AI131" i="12"/>
  <c r="AI132" i="12"/>
  <c r="AI133" i="12"/>
  <c r="AI134" i="12"/>
  <c r="AI135" i="12"/>
  <c r="AI136" i="12"/>
  <c r="AI137" i="12"/>
  <c r="AI138" i="12"/>
  <c r="AI139" i="12"/>
  <c r="AI140" i="12"/>
  <c r="AI141" i="12"/>
  <c r="AI142" i="12"/>
  <c r="AI143" i="12"/>
  <c r="AI144" i="12"/>
  <c r="AI145" i="12"/>
  <c r="AI146" i="12"/>
  <c r="AI147" i="12"/>
  <c r="AI148" i="12"/>
  <c r="AI149" i="12"/>
  <c r="AI150" i="12"/>
  <c r="AI151" i="12"/>
  <c r="AI152" i="12"/>
  <c r="AI153" i="12"/>
  <c r="AI154" i="12"/>
  <c r="AI155" i="12"/>
  <c r="AI156" i="12"/>
  <c r="AI157" i="12"/>
  <c r="AI158" i="12"/>
  <c r="AI159" i="12"/>
  <c r="AI160" i="12"/>
  <c r="AI161" i="12"/>
  <c r="AI162" i="12"/>
  <c r="AI163" i="12"/>
  <c r="AI164" i="12"/>
  <c r="AI165" i="12"/>
  <c r="AI166" i="12"/>
  <c r="AI167" i="12"/>
  <c r="AI168" i="12"/>
  <c r="AI169" i="12"/>
  <c r="AI170" i="12"/>
  <c r="AI171" i="12"/>
  <c r="AI172" i="12"/>
  <c r="AI173" i="12"/>
  <c r="AI174" i="12"/>
  <c r="AI175" i="12"/>
  <c r="AI176" i="12"/>
  <c r="AI177" i="12"/>
  <c r="AI178" i="12"/>
  <c r="AI179" i="12"/>
  <c r="AI180" i="12"/>
  <c r="AI181" i="12"/>
  <c r="AI182" i="12"/>
  <c r="AI183" i="12"/>
  <c r="AI184" i="12"/>
  <c r="AI185" i="12"/>
  <c r="AI186" i="12"/>
  <c r="AI187" i="12"/>
  <c r="AI188" i="12"/>
  <c r="AI189" i="12"/>
  <c r="AI190" i="12"/>
  <c r="AI191"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I405" i="12"/>
  <c r="AI406" i="12"/>
  <c r="AI407" i="12"/>
  <c r="AI408" i="12"/>
  <c r="AI409" i="12"/>
  <c r="AI410" i="12"/>
  <c r="AI411" i="12"/>
  <c r="AI412" i="12"/>
  <c r="AI413" i="12"/>
  <c r="AI414" i="12"/>
  <c r="AI415" i="12"/>
  <c r="AI416" i="12"/>
  <c r="AI417" i="12"/>
  <c r="AI418" i="12"/>
  <c r="AI419" i="12"/>
  <c r="AI420" i="12"/>
  <c r="AI421" i="12"/>
  <c r="AI422" i="12"/>
  <c r="AI423" i="12"/>
  <c r="AI424" i="12"/>
  <c r="AI425" i="12"/>
  <c r="AI426" i="12"/>
  <c r="AI427" i="12"/>
  <c r="AI428" i="12"/>
  <c r="AI429" i="12"/>
  <c r="AI430" i="12"/>
  <c r="AI431" i="12"/>
  <c r="AI432" i="12"/>
  <c r="AI433" i="12"/>
  <c r="AI434" i="12"/>
  <c r="AI435" i="12"/>
  <c r="AI436" i="12"/>
  <c r="AI437" i="12"/>
  <c r="AI438" i="12"/>
  <c r="AI439" i="12"/>
  <c r="AI440" i="12"/>
  <c r="AI441" i="12"/>
  <c r="AI442" i="12"/>
  <c r="AI443" i="12"/>
  <c r="AI444" i="12"/>
  <c r="AI445" i="12"/>
  <c r="AI446" i="12"/>
  <c r="AI447" i="12"/>
  <c r="AI448" i="12"/>
  <c r="AI449" i="12"/>
  <c r="AI450" i="12"/>
  <c r="AI451" i="12"/>
  <c r="AI452" i="12"/>
  <c r="AI453" i="12"/>
  <c r="AI454" i="12"/>
  <c r="AI455" i="12"/>
  <c r="AI456" i="12"/>
  <c r="AI457" i="12"/>
  <c r="AI458" i="12"/>
  <c r="AI459" i="12"/>
  <c r="AI460" i="12"/>
  <c r="AI461" i="12"/>
  <c r="AI462" i="12"/>
  <c r="AI463" i="12"/>
  <c r="AI464" i="12"/>
  <c r="AI465" i="12"/>
  <c r="AI466" i="12"/>
  <c r="AI467" i="12"/>
  <c r="AI468" i="12"/>
  <c r="AI469" i="12"/>
  <c r="AI470" i="12"/>
  <c r="AI471" i="12"/>
  <c r="AI472" i="12"/>
  <c r="AI473" i="12"/>
  <c r="AI474" i="12"/>
  <c r="AI475" i="12"/>
  <c r="AI476" i="12"/>
  <c r="AI477" i="12"/>
  <c r="AI478" i="12"/>
  <c r="AI479" i="12"/>
  <c r="AI480" i="12"/>
  <c r="AI481" i="12"/>
  <c r="AI482" i="12"/>
  <c r="AI483" i="12"/>
  <c r="AI484" i="12"/>
  <c r="AI485" i="12"/>
  <c r="AI486" i="12"/>
  <c r="AI487" i="12"/>
  <c r="AI488" i="12"/>
  <c r="AI489" i="12"/>
  <c r="AI490" i="12"/>
  <c r="AI491" i="12"/>
  <c r="AI492" i="12"/>
  <c r="AI493" i="12"/>
  <c r="AI494" i="12"/>
  <c r="AI495" i="12"/>
  <c r="AI496" i="12"/>
  <c r="AI497" i="12"/>
  <c r="AI498" i="12"/>
  <c r="AI499" i="12"/>
  <c r="AI500" i="12"/>
  <c r="AI501" i="12"/>
  <c r="AI502" i="12"/>
  <c r="AI503" i="12"/>
  <c r="AI504" i="12"/>
  <c r="AI505" i="12"/>
  <c r="AI506" i="12"/>
  <c r="AI507" i="12"/>
  <c r="AI508" i="12"/>
  <c r="AI509" i="12"/>
  <c r="AI510" i="12"/>
  <c r="AI511" i="12"/>
  <c r="AI512" i="12"/>
  <c r="AI513" i="12"/>
  <c r="AI514" i="12"/>
  <c r="AI515" i="12"/>
  <c r="AI516" i="12"/>
  <c r="AI517" i="12"/>
  <c r="AI518" i="12"/>
  <c r="AI519" i="12"/>
  <c r="AI520" i="12"/>
  <c r="AI521" i="12"/>
  <c r="AI522" i="12"/>
  <c r="AI523" i="12"/>
  <c r="AI524" i="12"/>
  <c r="AI525" i="12"/>
  <c r="AI526" i="12"/>
  <c r="AI527" i="12"/>
  <c r="AI528" i="12"/>
  <c r="AI529" i="12"/>
  <c r="AI530" i="12"/>
  <c r="AI531" i="12"/>
  <c r="AI532" i="12"/>
  <c r="AI533" i="12"/>
  <c r="AI534" i="12"/>
  <c r="AI535" i="12"/>
  <c r="AI536" i="12"/>
  <c r="AI537" i="12"/>
  <c r="AI538" i="12"/>
  <c r="AI539" i="12"/>
  <c r="AI540" i="12"/>
  <c r="AI541" i="12"/>
  <c r="AI542" i="12"/>
  <c r="AI543" i="12"/>
  <c r="AI544" i="12"/>
  <c r="AI545" i="12"/>
  <c r="AI546" i="12"/>
  <c r="AI547" i="12"/>
  <c r="AI548" i="12"/>
  <c r="AI549" i="12"/>
  <c r="AI550" i="12"/>
  <c r="AI551" i="12"/>
  <c r="AI552" i="12"/>
  <c r="AI553" i="12"/>
  <c r="AI554" i="12"/>
  <c r="AI555" i="12"/>
  <c r="AI556" i="12"/>
  <c r="AI557" i="12"/>
  <c r="AI558" i="12"/>
  <c r="AI559" i="12"/>
  <c r="AI560" i="12"/>
  <c r="AI561" i="12"/>
  <c r="AI562" i="12"/>
  <c r="AI563" i="12"/>
  <c r="AI564" i="12"/>
  <c r="AI565" i="12"/>
  <c r="AI566" i="12"/>
  <c r="AI567" i="12"/>
  <c r="AI568" i="12"/>
  <c r="AI569" i="12"/>
  <c r="AI570" i="12"/>
  <c r="AI571" i="12"/>
  <c r="AI572" i="12"/>
  <c r="AI573" i="12"/>
  <c r="AI574" i="12"/>
  <c r="AI575" i="12"/>
  <c r="AI576" i="12"/>
  <c r="AI577" i="12"/>
  <c r="AI578" i="12"/>
  <c r="AI579" i="12"/>
  <c r="AI580" i="12"/>
  <c r="AI581" i="12"/>
  <c r="AI582" i="12"/>
  <c r="AI583" i="12"/>
  <c r="AI584" i="12"/>
  <c r="AI585" i="12"/>
  <c r="AI586" i="12"/>
  <c r="AI587" i="12"/>
  <c r="AI588" i="12"/>
  <c r="AI589" i="12"/>
  <c r="AI590" i="12"/>
  <c r="AI591" i="12"/>
  <c r="AI592" i="12"/>
  <c r="AI593" i="12"/>
  <c r="AI594" i="12"/>
  <c r="AI595" i="12"/>
  <c r="AI596" i="12"/>
  <c r="AI597" i="12"/>
  <c r="AI598" i="12"/>
  <c r="AI599" i="12"/>
  <c r="AI600" i="12"/>
  <c r="AI601" i="12"/>
  <c r="AI602" i="12"/>
  <c r="AI603" i="12"/>
  <c r="AI604" i="12"/>
  <c r="AI605" i="12"/>
  <c r="AI606" i="12"/>
  <c r="AI607" i="12"/>
  <c r="AI608" i="12"/>
  <c r="AI609" i="12"/>
  <c r="AI610" i="12"/>
  <c r="AI611" i="12"/>
  <c r="AI612" i="12"/>
  <c r="AI613" i="12"/>
  <c r="AI614" i="12"/>
  <c r="AI615" i="12"/>
  <c r="AI616" i="12"/>
  <c r="AI617" i="12"/>
  <c r="AI618" i="12"/>
  <c r="AI619" i="12"/>
  <c r="AI620" i="12"/>
  <c r="AI621" i="12"/>
  <c r="AI622" i="12"/>
  <c r="AI623" i="12"/>
  <c r="AI624" i="12"/>
  <c r="AI625" i="12"/>
  <c r="AI626" i="12"/>
  <c r="AI627" i="12"/>
  <c r="AI628" i="12"/>
  <c r="AI629" i="12"/>
  <c r="AI630" i="12"/>
  <c r="AI631" i="12"/>
  <c r="AI632" i="12"/>
  <c r="AI633" i="12"/>
  <c r="AI634" i="12"/>
  <c r="AI635" i="12"/>
  <c r="AI636" i="12"/>
  <c r="AI637" i="12"/>
  <c r="AI638" i="12"/>
  <c r="AI639" i="12"/>
  <c r="AI640" i="12"/>
  <c r="AI641" i="12"/>
  <c r="AI642" i="12"/>
  <c r="AI643" i="12"/>
  <c r="AI644" i="12"/>
  <c r="AI645" i="12"/>
  <c r="AI646" i="12"/>
  <c r="AI647" i="12"/>
  <c r="AI648" i="12"/>
  <c r="AI649" i="12"/>
  <c r="AI650" i="12"/>
  <c r="AI651" i="12"/>
  <c r="AI652" i="12"/>
  <c r="AI653" i="12"/>
  <c r="AI654" i="12"/>
  <c r="AI655" i="12"/>
  <c r="AI656" i="12"/>
  <c r="AI657" i="12"/>
  <c r="AI658" i="12"/>
  <c r="AI659" i="12"/>
  <c r="AI660" i="12"/>
  <c r="AI661" i="12"/>
  <c r="AI662" i="12"/>
  <c r="AI663" i="12"/>
  <c r="AI664" i="12"/>
  <c r="AI665" i="12"/>
  <c r="AI666" i="12"/>
  <c r="AI667" i="12"/>
  <c r="AI668" i="12"/>
  <c r="AI669" i="12"/>
  <c r="AI670" i="12"/>
  <c r="AI671" i="12"/>
  <c r="AI672" i="12"/>
  <c r="AI673" i="12"/>
  <c r="AI674" i="12"/>
  <c r="AI675" i="12"/>
  <c r="AI676" i="12"/>
  <c r="AI677" i="12"/>
  <c r="AI678" i="12"/>
  <c r="AI679" i="12"/>
  <c r="AI680" i="12"/>
  <c r="AI681" i="12"/>
  <c r="AI682" i="12"/>
  <c r="AI683" i="12"/>
  <c r="AI684" i="12"/>
  <c r="AI685" i="12"/>
  <c r="AI686" i="12"/>
  <c r="AI687" i="12"/>
  <c r="AI688" i="12"/>
  <c r="AI689" i="12"/>
  <c r="AI690" i="12"/>
  <c r="AI691" i="12"/>
  <c r="AI692" i="12"/>
  <c r="AI693" i="12"/>
  <c r="AI694" i="12"/>
  <c r="AI695" i="12"/>
  <c r="AI696" i="12"/>
  <c r="AI697" i="12"/>
  <c r="AI698" i="12"/>
  <c r="AI699" i="12"/>
  <c r="AI700" i="12"/>
  <c r="AI701" i="12"/>
  <c r="AI702" i="12"/>
  <c r="AI703"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192" i="12"/>
  <c r="AF193" i="12"/>
  <c r="AF194" i="12"/>
  <c r="AF195" i="12"/>
  <c r="AF196" i="12"/>
  <c r="AF197" i="12"/>
  <c r="AF198" i="12"/>
  <c r="AF199" i="12"/>
  <c r="AF200" i="12"/>
  <c r="AF201" i="12"/>
  <c r="AF202" i="12"/>
  <c r="AF203" i="12"/>
  <c r="AF204" i="12"/>
  <c r="AF205" i="12"/>
  <c r="AF206" i="12"/>
  <c r="AF207" i="12"/>
  <c r="AF208" i="12"/>
  <c r="AF209" i="12"/>
  <c r="AF210" i="12"/>
  <c r="AF211" i="12"/>
  <c r="AF212" i="12"/>
  <c r="AF213" i="12"/>
  <c r="AF214" i="12"/>
  <c r="AF215" i="12"/>
  <c r="AF216" i="12"/>
  <c r="AF217" i="12"/>
  <c r="AF218" i="12"/>
  <c r="AF219" i="12"/>
  <c r="AF220" i="12"/>
  <c r="AF221" i="12"/>
  <c r="AF222" i="12"/>
  <c r="AF223" i="12"/>
  <c r="AF224" i="12"/>
  <c r="AF225" i="12"/>
  <c r="AF226" i="12"/>
  <c r="AF227" i="12"/>
  <c r="AF228" i="12"/>
  <c r="AF229" i="12"/>
  <c r="AF230" i="12"/>
  <c r="AF231" i="12"/>
  <c r="AF232" i="12"/>
  <c r="AF233" i="12"/>
  <c r="AF234" i="12"/>
  <c r="AF235" i="12"/>
  <c r="AF236" i="12"/>
  <c r="AF237" i="12"/>
  <c r="AF238" i="12"/>
  <c r="AF239" i="12"/>
  <c r="AF240" i="12"/>
  <c r="AF241" i="12"/>
  <c r="AF242" i="12"/>
  <c r="AF243" i="12"/>
  <c r="AF244" i="12"/>
  <c r="AF245" i="12"/>
  <c r="AF246" i="12"/>
  <c r="AF247" i="12"/>
  <c r="AF248" i="12"/>
  <c r="AF249" i="12"/>
  <c r="AF250" i="12"/>
  <c r="AF251" i="12"/>
  <c r="AF252" i="12"/>
  <c r="AF253" i="12"/>
  <c r="AF254" i="12"/>
  <c r="AF255" i="12"/>
  <c r="AF256" i="12"/>
  <c r="AF257" i="12"/>
  <c r="AF258" i="12"/>
  <c r="AF259" i="12"/>
  <c r="AF260" i="12"/>
  <c r="AF261" i="12"/>
  <c r="AF262" i="12"/>
  <c r="AF263" i="12"/>
  <c r="AF264" i="12"/>
  <c r="AF265" i="12"/>
  <c r="AF266" i="12"/>
  <c r="AF267" i="12"/>
  <c r="AF268" i="12"/>
  <c r="AF269" i="12"/>
  <c r="AF270" i="12"/>
  <c r="AF271" i="12"/>
  <c r="AF272" i="12"/>
  <c r="AF273" i="12"/>
  <c r="AF274" i="12"/>
  <c r="AF275" i="12"/>
  <c r="AF276" i="12"/>
  <c r="AF277" i="12"/>
  <c r="AF278" i="12"/>
  <c r="AF279" i="12"/>
  <c r="AF280" i="12"/>
  <c r="AF281" i="12"/>
  <c r="AF282" i="12"/>
  <c r="AF283" i="12"/>
  <c r="AF284" i="12"/>
  <c r="AF285" i="12"/>
  <c r="AF286" i="12"/>
  <c r="AF287" i="12"/>
  <c r="AF288" i="12"/>
  <c r="AF289" i="12"/>
  <c r="AF290" i="12"/>
  <c r="AF291" i="12"/>
  <c r="AF292" i="12"/>
  <c r="AF293" i="12"/>
  <c r="AF294" i="12"/>
  <c r="AF295" i="12"/>
  <c r="AF296" i="12"/>
  <c r="AF297" i="12"/>
  <c r="AF298" i="12"/>
  <c r="AF299" i="12"/>
  <c r="AF300" i="12"/>
  <c r="AF301" i="12"/>
  <c r="AF302" i="12"/>
  <c r="AF303" i="12"/>
  <c r="AF304" i="12"/>
  <c r="AF305" i="12"/>
  <c r="AF306" i="12"/>
  <c r="AF307" i="12"/>
  <c r="AF308" i="12"/>
  <c r="AF309" i="12"/>
  <c r="AF310" i="12"/>
  <c r="AF311" i="12"/>
  <c r="AF312" i="12"/>
  <c r="AF313" i="12"/>
  <c r="AF314" i="12"/>
  <c r="AF315" i="12"/>
  <c r="AF316" i="12"/>
  <c r="AF317" i="12"/>
  <c r="AF318" i="12"/>
  <c r="AF319" i="12"/>
  <c r="AF320" i="12"/>
  <c r="AF321" i="12"/>
  <c r="AF322" i="12"/>
  <c r="AF323" i="12"/>
  <c r="AF324" i="12"/>
  <c r="AF325" i="12"/>
  <c r="AF326" i="12"/>
  <c r="AF327" i="12"/>
  <c r="AF328" i="12"/>
  <c r="AF329" i="12"/>
  <c r="AF330" i="12"/>
  <c r="AF331" i="12"/>
  <c r="AF332" i="12"/>
  <c r="AF333" i="12"/>
  <c r="AF334" i="12"/>
  <c r="AF335" i="12"/>
  <c r="AF336" i="12"/>
  <c r="AF337" i="12"/>
  <c r="AF338" i="12"/>
  <c r="AF339" i="12"/>
  <c r="AF340" i="12"/>
  <c r="AF341" i="12"/>
  <c r="AF342" i="12"/>
  <c r="AF343" i="12"/>
  <c r="AF344" i="12"/>
  <c r="AF345" i="12"/>
  <c r="AF346" i="12"/>
  <c r="AF347" i="12"/>
  <c r="AF348" i="12"/>
  <c r="AF349" i="12"/>
  <c r="AF350" i="12"/>
  <c r="AF351" i="12"/>
  <c r="AF352" i="12"/>
  <c r="AF353" i="12"/>
  <c r="AF354" i="12"/>
  <c r="AF355" i="12"/>
  <c r="AF356" i="12"/>
  <c r="AF357" i="12"/>
  <c r="AF358" i="12"/>
  <c r="AF359" i="12"/>
  <c r="AF360" i="12"/>
  <c r="AF361" i="12"/>
  <c r="AF362" i="12"/>
  <c r="AF363" i="12"/>
  <c r="AF364" i="12"/>
  <c r="AF365" i="12"/>
  <c r="AF366" i="12"/>
  <c r="AF367" i="12"/>
  <c r="AF368" i="12"/>
  <c r="AF369" i="12"/>
  <c r="AF370" i="12"/>
  <c r="AF371" i="12"/>
  <c r="AF372" i="12"/>
  <c r="AF373" i="12"/>
  <c r="AF374" i="12"/>
  <c r="AF375" i="12"/>
  <c r="AF376" i="12"/>
  <c r="AF377" i="12"/>
  <c r="AF378" i="12"/>
  <c r="AF379" i="12"/>
  <c r="AF380" i="12"/>
  <c r="AF381" i="12"/>
  <c r="AF382" i="12"/>
  <c r="AF383" i="12"/>
  <c r="AF384" i="12"/>
  <c r="AF385" i="12"/>
  <c r="AF386" i="12"/>
  <c r="AF387" i="12"/>
  <c r="AF388" i="12"/>
  <c r="AF389" i="12"/>
  <c r="AF390" i="12"/>
  <c r="AF391" i="12"/>
  <c r="AF392" i="12"/>
  <c r="AF393" i="12"/>
  <c r="AF394" i="12"/>
  <c r="AF395" i="12"/>
  <c r="AF396" i="12"/>
  <c r="AF397" i="12"/>
  <c r="AF398" i="12"/>
  <c r="AF399" i="12"/>
  <c r="AF400" i="12"/>
  <c r="AF401" i="12"/>
  <c r="AF402" i="12"/>
  <c r="AF403" i="12"/>
  <c r="AF404" i="12"/>
  <c r="AF405" i="12"/>
  <c r="AF406" i="12"/>
  <c r="AF407" i="12"/>
  <c r="AF408" i="12"/>
  <c r="AF409" i="12"/>
  <c r="AF410" i="12"/>
  <c r="AF411" i="12"/>
  <c r="AF412" i="12"/>
  <c r="AF413" i="12"/>
  <c r="AF414" i="12"/>
  <c r="AF415" i="12"/>
  <c r="AF416" i="12"/>
  <c r="AF417" i="12"/>
  <c r="AF418" i="12"/>
  <c r="AF419" i="12"/>
  <c r="AF420" i="12"/>
  <c r="AF421" i="12"/>
  <c r="AF422" i="12"/>
  <c r="AF423" i="12"/>
  <c r="AF424" i="12"/>
  <c r="AF425" i="12"/>
  <c r="AF426" i="12"/>
  <c r="AF427" i="12"/>
  <c r="AF428" i="12"/>
  <c r="AF429" i="12"/>
  <c r="AF430" i="12"/>
  <c r="AF431" i="12"/>
  <c r="AF432" i="12"/>
  <c r="AF433" i="12"/>
  <c r="AF434" i="12"/>
  <c r="AF435" i="12"/>
  <c r="AF436" i="12"/>
  <c r="AF437" i="12"/>
  <c r="AF438" i="12"/>
  <c r="AF439" i="12"/>
  <c r="AF440" i="12"/>
  <c r="AF441" i="12"/>
  <c r="AF442" i="12"/>
  <c r="AF443" i="12"/>
  <c r="AF444" i="12"/>
  <c r="AF445" i="12"/>
  <c r="AF446" i="12"/>
  <c r="AF447" i="12"/>
  <c r="AF448" i="12"/>
  <c r="AF449" i="12"/>
  <c r="AF450" i="12"/>
  <c r="AF451" i="12"/>
  <c r="AF452" i="12"/>
  <c r="AF453" i="12"/>
  <c r="AF454" i="12"/>
  <c r="AF455" i="12"/>
  <c r="AF456" i="12"/>
  <c r="AF457" i="12"/>
  <c r="AF458" i="12"/>
  <c r="AF459" i="12"/>
  <c r="AF460" i="12"/>
  <c r="AF461" i="12"/>
  <c r="AF462" i="12"/>
  <c r="AF463" i="12"/>
  <c r="AF464" i="12"/>
  <c r="AF465" i="12"/>
  <c r="AF466" i="12"/>
  <c r="AF467" i="12"/>
  <c r="AF468" i="12"/>
  <c r="AF469" i="12"/>
  <c r="AF470" i="12"/>
  <c r="AF471" i="12"/>
  <c r="AF472" i="12"/>
  <c r="AF473" i="12"/>
  <c r="AF474" i="12"/>
  <c r="AF475" i="12"/>
  <c r="AF476" i="12"/>
  <c r="AF477" i="12"/>
  <c r="AF478" i="12"/>
  <c r="AF479" i="12"/>
  <c r="AF480" i="12"/>
  <c r="AF481" i="12"/>
  <c r="AF482" i="12"/>
  <c r="AF483" i="12"/>
  <c r="AF484" i="12"/>
  <c r="AF485" i="12"/>
  <c r="AF486" i="12"/>
  <c r="AF487" i="12"/>
  <c r="AF488" i="12"/>
  <c r="AF489" i="12"/>
  <c r="AF490" i="12"/>
  <c r="AF491" i="12"/>
  <c r="AF492" i="12"/>
  <c r="AF493" i="12"/>
  <c r="AF494" i="12"/>
  <c r="AF495" i="12"/>
  <c r="AF496" i="12"/>
  <c r="AF497" i="12"/>
  <c r="AF498" i="12"/>
  <c r="AF499" i="12"/>
  <c r="AF500" i="12"/>
  <c r="AF501" i="12"/>
  <c r="AF502" i="12"/>
  <c r="AF503" i="12"/>
  <c r="AF504" i="12"/>
  <c r="AF505" i="12"/>
  <c r="AF506" i="12"/>
  <c r="AF507" i="12"/>
  <c r="AF508" i="12"/>
  <c r="AF509" i="12"/>
  <c r="AF510" i="12"/>
  <c r="AF511" i="12"/>
  <c r="AF512" i="12"/>
  <c r="AF513" i="12"/>
  <c r="AF514" i="12"/>
  <c r="AF515" i="12"/>
  <c r="AF516" i="12"/>
  <c r="AF517" i="12"/>
  <c r="AF518" i="12"/>
  <c r="AF519" i="12"/>
  <c r="AF520" i="12"/>
  <c r="AF521" i="12"/>
  <c r="AF522" i="12"/>
  <c r="AF523" i="12"/>
  <c r="AF524" i="12"/>
  <c r="AF525" i="12"/>
  <c r="AF526" i="12"/>
  <c r="AF527" i="12"/>
  <c r="AF528" i="12"/>
  <c r="AF529" i="12"/>
  <c r="AF530" i="12"/>
  <c r="AF531" i="12"/>
  <c r="AF532" i="12"/>
  <c r="AF533" i="12"/>
  <c r="AF534" i="12"/>
  <c r="AF535" i="12"/>
  <c r="AF536" i="12"/>
  <c r="AF537" i="12"/>
  <c r="AF538" i="12"/>
  <c r="AF539" i="12"/>
  <c r="AF540" i="12"/>
  <c r="AF541" i="12"/>
  <c r="AF542" i="12"/>
  <c r="AF543" i="12"/>
  <c r="AF544" i="12"/>
  <c r="AF545" i="12"/>
  <c r="AF546" i="12"/>
  <c r="AF547" i="12"/>
  <c r="AF548" i="12"/>
  <c r="AF549" i="12"/>
  <c r="AF550" i="12"/>
  <c r="AF551" i="12"/>
  <c r="AF552" i="12"/>
  <c r="AF553" i="12"/>
  <c r="AF554" i="12"/>
  <c r="AF555" i="12"/>
  <c r="AF556" i="12"/>
  <c r="AF557" i="12"/>
  <c r="AF558" i="12"/>
  <c r="AF559" i="12"/>
  <c r="AF560" i="12"/>
  <c r="AF561" i="12"/>
  <c r="AF562" i="12"/>
  <c r="AF563" i="12"/>
  <c r="AF564" i="12"/>
  <c r="AF565" i="12"/>
  <c r="AF566" i="12"/>
  <c r="AF567" i="12"/>
  <c r="AF568" i="12"/>
  <c r="AF569" i="12"/>
  <c r="AF570" i="12"/>
  <c r="AF571" i="12"/>
  <c r="AF572" i="12"/>
  <c r="AF573" i="12"/>
  <c r="AF574" i="12"/>
  <c r="AF575" i="12"/>
  <c r="AF576" i="12"/>
  <c r="AF577" i="12"/>
  <c r="AF578" i="12"/>
  <c r="AF579" i="12"/>
  <c r="AF580" i="12"/>
  <c r="AF581" i="12"/>
  <c r="AF582" i="12"/>
  <c r="AF583" i="12"/>
  <c r="AF584" i="12"/>
  <c r="AF585" i="12"/>
  <c r="AF586" i="12"/>
  <c r="AF587" i="12"/>
  <c r="AF588" i="12"/>
  <c r="AF589" i="12"/>
  <c r="AF590" i="12"/>
  <c r="AF591" i="12"/>
  <c r="AF592" i="12"/>
  <c r="AF593" i="12"/>
  <c r="AF594" i="12"/>
  <c r="AF595" i="12"/>
  <c r="AF596" i="12"/>
  <c r="AF597" i="12"/>
  <c r="AF598" i="12"/>
  <c r="AF599" i="12"/>
  <c r="AF600" i="12"/>
  <c r="AF601" i="12"/>
  <c r="AF602" i="12"/>
  <c r="AF603" i="12"/>
  <c r="AF604" i="12"/>
  <c r="AF605" i="12"/>
  <c r="AF606" i="12"/>
  <c r="AF607" i="12"/>
  <c r="AF608" i="12"/>
  <c r="AF609" i="12"/>
  <c r="AF610" i="12"/>
  <c r="AF611" i="12"/>
  <c r="AF612" i="12"/>
  <c r="AF613" i="12"/>
  <c r="AF614" i="12"/>
  <c r="AF615" i="12"/>
  <c r="AF616" i="12"/>
  <c r="AF617" i="12"/>
  <c r="AF618" i="12"/>
  <c r="AF619" i="12"/>
  <c r="AF620" i="12"/>
  <c r="AF621" i="12"/>
  <c r="AF622" i="12"/>
  <c r="AF623" i="12"/>
  <c r="AF624" i="12"/>
  <c r="AF625" i="12"/>
  <c r="AF626" i="12"/>
  <c r="AF627" i="12"/>
  <c r="AF628" i="12"/>
  <c r="AF629" i="12"/>
  <c r="AF630" i="12"/>
  <c r="AF631" i="12"/>
  <c r="AF632" i="12"/>
  <c r="AF633" i="12"/>
  <c r="AF634" i="12"/>
  <c r="AF635" i="12"/>
  <c r="AF636" i="12"/>
  <c r="AF637" i="12"/>
  <c r="AF638" i="12"/>
  <c r="AF639" i="12"/>
  <c r="AF640" i="12"/>
  <c r="AF641" i="12"/>
  <c r="AF642" i="12"/>
  <c r="AF643" i="12"/>
  <c r="AF644" i="12"/>
  <c r="AF645" i="12"/>
  <c r="AF646" i="12"/>
  <c r="AF647" i="12"/>
  <c r="AF648" i="12"/>
  <c r="AF649" i="12"/>
  <c r="AF650" i="12"/>
  <c r="AF651" i="12"/>
  <c r="AF652" i="12"/>
  <c r="AF653" i="12"/>
  <c r="AF654" i="12"/>
  <c r="AF655" i="12"/>
  <c r="AF656" i="12"/>
  <c r="AF657" i="12"/>
  <c r="AF658" i="12"/>
  <c r="AF659" i="12"/>
  <c r="AF660" i="12"/>
  <c r="AF661" i="12"/>
  <c r="AF662" i="12"/>
  <c r="AF663" i="12"/>
  <c r="AF664" i="12"/>
  <c r="AF665" i="12"/>
  <c r="AF666" i="12"/>
  <c r="AF667" i="12"/>
  <c r="AF668" i="12"/>
  <c r="AF669" i="12"/>
  <c r="AF670" i="12"/>
  <c r="AF671" i="12"/>
  <c r="AF672" i="12"/>
  <c r="AF673" i="12"/>
  <c r="AF674" i="12"/>
  <c r="AF675" i="12"/>
  <c r="AF676" i="12"/>
  <c r="AF677" i="12"/>
  <c r="AF678" i="12"/>
  <c r="AF679" i="12"/>
  <c r="AF680" i="12"/>
  <c r="AF681" i="12"/>
  <c r="AF682" i="12"/>
  <c r="AF683" i="12"/>
  <c r="AF684" i="12"/>
  <c r="AF685" i="12"/>
  <c r="AF686" i="12"/>
  <c r="AF687" i="12"/>
  <c r="AF688" i="12"/>
  <c r="AF689" i="12"/>
  <c r="AF690" i="12"/>
  <c r="AF691" i="12"/>
  <c r="AF692" i="12"/>
  <c r="AF693" i="12"/>
  <c r="AF694" i="12"/>
  <c r="AF695" i="12"/>
  <c r="AF696" i="12"/>
  <c r="AF697" i="12"/>
  <c r="AF698" i="12"/>
  <c r="AF699" i="12"/>
  <c r="AF700" i="12"/>
  <c r="AF701" i="12"/>
  <c r="AF702" i="12"/>
  <c r="AF703" i="12"/>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C405" i="12"/>
  <c r="AC406" i="12"/>
  <c r="AC407" i="12"/>
  <c r="AC408" i="12"/>
  <c r="AC409" i="12"/>
  <c r="AC410" i="12"/>
  <c r="AC411" i="12"/>
  <c r="AC412" i="12"/>
  <c r="AC413" i="12"/>
  <c r="AC414" i="12"/>
  <c r="AC415" i="12"/>
  <c r="AC416" i="12"/>
  <c r="AC417" i="12"/>
  <c r="AC418" i="12"/>
  <c r="AC419" i="12"/>
  <c r="AC420" i="12"/>
  <c r="AC421" i="12"/>
  <c r="AC422" i="12"/>
  <c r="AC423" i="12"/>
  <c r="AC424" i="12"/>
  <c r="AC425" i="12"/>
  <c r="AC426" i="12"/>
  <c r="AC427" i="12"/>
  <c r="AC428" i="12"/>
  <c r="AC429" i="12"/>
  <c r="AC430" i="12"/>
  <c r="AC431" i="12"/>
  <c r="AC432" i="12"/>
  <c r="AC433" i="12"/>
  <c r="AC434" i="12"/>
  <c r="AC435" i="12"/>
  <c r="AC436" i="12"/>
  <c r="AC437" i="12"/>
  <c r="AC438" i="12"/>
  <c r="AC439" i="12"/>
  <c r="AC440" i="12"/>
  <c r="AC441" i="12"/>
  <c r="AC442" i="12"/>
  <c r="AC443" i="12"/>
  <c r="AC444" i="12"/>
  <c r="AC445" i="12"/>
  <c r="AC446" i="12"/>
  <c r="AC447" i="12"/>
  <c r="AC448" i="12"/>
  <c r="AC449" i="12"/>
  <c r="AC450" i="12"/>
  <c r="AC451" i="12"/>
  <c r="AC452" i="12"/>
  <c r="AC453" i="12"/>
  <c r="AC454" i="12"/>
  <c r="AC455" i="12"/>
  <c r="AC456" i="12"/>
  <c r="AC457" i="12"/>
  <c r="AC458" i="12"/>
  <c r="AC459" i="12"/>
  <c r="AC460" i="12"/>
  <c r="AC461" i="12"/>
  <c r="AC462" i="12"/>
  <c r="AC463" i="12"/>
  <c r="AC464" i="12"/>
  <c r="AC465" i="12"/>
  <c r="AC466" i="12"/>
  <c r="AC467" i="12"/>
  <c r="AC468" i="12"/>
  <c r="AC469" i="12"/>
  <c r="AC470" i="12"/>
  <c r="AC471" i="12"/>
  <c r="AC472" i="12"/>
  <c r="AC473" i="12"/>
  <c r="AC474" i="12"/>
  <c r="AC475" i="12"/>
  <c r="AC476" i="12"/>
  <c r="AC477" i="12"/>
  <c r="AC478" i="12"/>
  <c r="AC479" i="12"/>
  <c r="AC480" i="12"/>
  <c r="AC481" i="12"/>
  <c r="AC482" i="12"/>
  <c r="AC483" i="12"/>
  <c r="AC484" i="12"/>
  <c r="AC485" i="12"/>
  <c r="AC486" i="12"/>
  <c r="AC487" i="12"/>
  <c r="AC488" i="12"/>
  <c r="AC489" i="12"/>
  <c r="AC490" i="12"/>
  <c r="AC491" i="12"/>
  <c r="AC492" i="12"/>
  <c r="AC493" i="12"/>
  <c r="AC494" i="12"/>
  <c r="AC495" i="12"/>
  <c r="AC496" i="12"/>
  <c r="AC497" i="12"/>
  <c r="AC498" i="12"/>
  <c r="AC499" i="12"/>
  <c r="AC500" i="12"/>
  <c r="AC501" i="12"/>
  <c r="AC502" i="12"/>
  <c r="AC503" i="12"/>
  <c r="AC504" i="12"/>
  <c r="AC505" i="12"/>
  <c r="AC506" i="12"/>
  <c r="AC507" i="12"/>
  <c r="AC508" i="12"/>
  <c r="AC509" i="12"/>
  <c r="AC510" i="12"/>
  <c r="AC511" i="12"/>
  <c r="AC512" i="12"/>
  <c r="AC513" i="12"/>
  <c r="AC514" i="12"/>
  <c r="AC515" i="12"/>
  <c r="AC516" i="12"/>
  <c r="AC517" i="12"/>
  <c r="AC518" i="12"/>
  <c r="AC519" i="12"/>
  <c r="AC520" i="12"/>
  <c r="AC521" i="12"/>
  <c r="AC522" i="12"/>
  <c r="AC523" i="12"/>
  <c r="AC524" i="12"/>
  <c r="AC525" i="12"/>
  <c r="AC526" i="12"/>
  <c r="AC527" i="12"/>
  <c r="AC528" i="12"/>
  <c r="AC529" i="12"/>
  <c r="AC530" i="12"/>
  <c r="AC531" i="12"/>
  <c r="AC532" i="12"/>
  <c r="AC533" i="12"/>
  <c r="AC534" i="12"/>
  <c r="AC535" i="12"/>
  <c r="AC536" i="12"/>
  <c r="AC537" i="12"/>
  <c r="AC538" i="12"/>
  <c r="AC539" i="12"/>
  <c r="AC540" i="12"/>
  <c r="AC541" i="12"/>
  <c r="AC542" i="12"/>
  <c r="AC543" i="12"/>
  <c r="AC544" i="12"/>
  <c r="AC545" i="12"/>
  <c r="AC546" i="12"/>
  <c r="AC547" i="12"/>
  <c r="AC548" i="12"/>
  <c r="AC549" i="12"/>
  <c r="AC550" i="12"/>
  <c r="AC551" i="12"/>
  <c r="AC552" i="12"/>
  <c r="AC553" i="12"/>
  <c r="AC554" i="12"/>
  <c r="AC555" i="12"/>
  <c r="AC556" i="12"/>
  <c r="AC557" i="12"/>
  <c r="AC558" i="12"/>
  <c r="AC559" i="12"/>
  <c r="AC560" i="12"/>
  <c r="AC561" i="12"/>
  <c r="AC562" i="12"/>
  <c r="AC563" i="12"/>
  <c r="AC564" i="12"/>
  <c r="AC565" i="12"/>
  <c r="AC566" i="12"/>
  <c r="AC567" i="12"/>
  <c r="AC568" i="12"/>
  <c r="AC569" i="12"/>
  <c r="AC570" i="12"/>
  <c r="AC571" i="12"/>
  <c r="AC572" i="12"/>
  <c r="AC573" i="12"/>
  <c r="AC574" i="12"/>
  <c r="AC575" i="12"/>
  <c r="AC576" i="12"/>
  <c r="AC577" i="12"/>
  <c r="AC578" i="12"/>
  <c r="AC579" i="12"/>
  <c r="AC580" i="12"/>
  <c r="AC581" i="12"/>
  <c r="AC582" i="12"/>
  <c r="AC583" i="12"/>
  <c r="AC584" i="12"/>
  <c r="AC585" i="12"/>
  <c r="AC586" i="12"/>
  <c r="AC587" i="12"/>
  <c r="AC588" i="12"/>
  <c r="AC589" i="12"/>
  <c r="AC590" i="12"/>
  <c r="AC591" i="12"/>
  <c r="AC592" i="12"/>
  <c r="AC593" i="12"/>
  <c r="AC594" i="12"/>
  <c r="AC595" i="12"/>
  <c r="AC596" i="12"/>
  <c r="AC597" i="12"/>
  <c r="AC598" i="12"/>
  <c r="AC599" i="12"/>
  <c r="AC600" i="12"/>
  <c r="AC601" i="12"/>
  <c r="AC602" i="12"/>
  <c r="AC603" i="12"/>
  <c r="AC604" i="12"/>
  <c r="AC605" i="12"/>
  <c r="AC606" i="12"/>
  <c r="AC607" i="12"/>
  <c r="AC608" i="12"/>
  <c r="AC609" i="12"/>
  <c r="AC610" i="12"/>
  <c r="AC611" i="12"/>
  <c r="AC612" i="12"/>
  <c r="AC613" i="12"/>
  <c r="AC614" i="12"/>
  <c r="AC615" i="12"/>
  <c r="AC616" i="12"/>
  <c r="AC617" i="12"/>
  <c r="AC618" i="12"/>
  <c r="AC619" i="12"/>
  <c r="AC620" i="12"/>
  <c r="AC621" i="12"/>
  <c r="AC622" i="12"/>
  <c r="AC623" i="12"/>
  <c r="AC624" i="12"/>
  <c r="AC625" i="12"/>
  <c r="AC626" i="12"/>
  <c r="AC627" i="12"/>
  <c r="AC628" i="12"/>
  <c r="AC629" i="12"/>
  <c r="AC630" i="12"/>
  <c r="AC631" i="12"/>
  <c r="AC632" i="12"/>
  <c r="AC633" i="12"/>
  <c r="AC634" i="12"/>
  <c r="AC635" i="12"/>
  <c r="AC636" i="12"/>
  <c r="AC637" i="12"/>
  <c r="AC638" i="12"/>
  <c r="AC639" i="12"/>
  <c r="AC640" i="12"/>
  <c r="AC641" i="12"/>
  <c r="AC642" i="12"/>
  <c r="AC643" i="12"/>
  <c r="AC644" i="12"/>
  <c r="AC645" i="12"/>
  <c r="AC646" i="12"/>
  <c r="AC647" i="12"/>
  <c r="AC648" i="12"/>
  <c r="AC649" i="12"/>
  <c r="AC650" i="12"/>
  <c r="AC651" i="12"/>
  <c r="AC652" i="12"/>
  <c r="AC653" i="12"/>
  <c r="AC654" i="12"/>
  <c r="AC655" i="12"/>
  <c r="AC656" i="12"/>
  <c r="AC657" i="12"/>
  <c r="AC658" i="12"/>
  <c r="AC659" i="12"/>
  <c r="AC660" i="12"/>
  <c r="AC661" i="12"/>
  <c r="AC662" i="12"/>
  <c r="AC663" i="12"/>
  <c r="AC664" i="12"/>
  <c r="AC665" i="12"/>
  <c r="AC666" i="12"/>
  <c r="AC667" i="12"/>
  <c r="AC668" i="12"/>
  <c r="AC669" i="12"/>
  <c r="AC670" i="12"/>
  <c r="AC671" i="12"/>
  <c r="AC672" i="12"/>
  <c r="AC673" i="12"/>
  <c r="AC674" i="12"/>
  <c r="AC675" i="12"/>
  <c r="AC676" i="12"/>
  <c r="AC677" i="12"/>
  <c r="AC678" i="12"/>
  <c r="AC679" i="12"/>
  <c r="AC680" i="12"/>
  <c r="AC681" i="12"/>
  <c r="AC682" i="12"/>
  <c r="AC683" i="12"/>
  <c r="AC684" i="12"/>
  <c r="AC685" i="12"/>
  <c r="AC686" i="12"/>
  <c r="AC687" i="12"/>
  <c r="AC688" i="12"/>
  <c r="AC689" i="12"/>
  <c r="AC690" i="12"/>
  <c r="AC691" i="12"/>
  <c r="AC692" i="12"/>
  <c r="AC693" i="12"/>
  <c r="AC694" i="12"/>
  <c r="AC695" i="12"/>
  <c r="AC696" i="12"/>
  <c r="AC697" i="12"/>
  <c r="AC698" i="12"/>
  <c r="AC699" i="12"/>
  <c r="AC700" i="12"/>
  <c r="AC701" i="12"/>
  <c r="AC702" i="12"/>
  <c r="AC703"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Z150" i="12"/>
  <c r="Z151" i="12"/>
  <c r="Z152" i="12"/>
  <c r="Z153" i="12"/>
  <c r="Z154" i="12"/>
  <c r="Z155" i="12"/>
  <c r="Z156" i="12"/>
  <c r="Z157" i="12"/>
  <c r="Z158" i="12"/>
  <c r="Z159" i="12"/>
  <c r="Z160" i="12"/>
  <c r="Z161" i="12"/>
  <c r="Z162" i="12"/>
  <c r="Z163" i="12"/>
  <c r="Z164" i="12"/>
  <c r="Z165" i="12"/>
  <c r="Z166" i="12"/>
  <c r="Z167" i="12"/>
  <c r="Z168" i="12"/>
  <c r="Z169" i="12"/>
  <c r="Z170" i="12"/>
  <c r="Z171" i="12"/>
  <c r="Z172" i="12"/>
  <c r="Z173" i="12"/>
  <c r="Z174" i="12"/>
  <c r="Z175" i="12"/>
  <c r="Z176" i="12"/>
  <c r="Z177" i="12"/>
  <c r="Z178" i="12"/>
  <c r="Z179" i="12"/>
  <c r="Z180" i="12"/>
  <c r="Z181" i="12"/>
  <c r="Z182" i="12"/>
  <c r="Z183" i="12"/>
  <c r="Z184" i="12"/>
  <c r="Z185" i="12"/>
  <c r="Z186" i="12"/>
  <c r="Z187" i="12"/>
  <c r="Z188" i="12"/>
  <c r="Z189" i="12"/>
  <c r="Z190" i="12"/>
  <c r="Z191" i="12"/>
  <c r="Z192" i="12"/>
  <c r="Z193" i="12"/>
  <c r="Z194" i="12"/>
  <c r="Z195" i="12"/>
  <c r="Z196" i="12"/>
  <c r="Z197" i="12"/>
  <c r="Z198" i="12"/>
  <c r="Z199" i="12"/>
  <c r="Z200" i="12"/>
  <c r="Z201" i="12"/>
  <c r="Z202" i="12"/>
  <c r="Z203" i="12"/>
  <c r="Z204" i="12"/>
  <c r="Z205" i="12"/>
  <c r="Z206" i="12"/>
  <c r="Z207" i="12"/>
  <c r="Z208" i="12"/>
  <c r="Z209" i="12"/>
  <c r="Z210" i="12"/>
  <c r="Z211" i="12"/>
  <c r="Z212" i="12"/>
  <c r="Z213" i="12"/>
  <c r="Z214" i="12"/>
  <c r="Z215" i="12"/>
  <c r="Z216" i="12"/>
  <c r="Z217" i="12"/>
  <c r="Z218" i="12"/>
  <c r="Z219" i="12"/>
  <c r="Z220" i="12"/>
  <c r="Z221" i="12"/>
  <c r="Z222" i="12"/>
  <c r="Z223" i="12"/>
  <c r="Z224" i="12"/>
  <c r="Z225" i="12"/>
  <c r="Z226" i="12"/>
  <c r="Z227" i="12"/>
  <c r="Z228" i="12"/>
  <c r="Z229" i="12"/>
  <c r="Z230" i="12"/>
  <c r="Z231" i="12"/>
  <c r="Z232" i="12"/>
  <c r="Z233" i="12"/>
  <c r="Z234" i="12"/>
  <c r="Z235" i="12"/>
  <c r="Z236" i="12"/>
  <c r="Z237" i="12"/>
  <c r="Z238" i="12"/>
  <c r="Z239" i="12"/>
  <c r="Z240" i="12"/>
  <c r="Z241" i="12"/>
  <c r="Z242" i="12"/>
  <c r="Z243" i="12"/>
  <c r="Z244" i="12"/>
  <c r="Z245" i="12"/>
  <c r="Z246" i="12"/>
  <c r="Z247" i="12"/>
  <c r="Z248" i="12"/>
  <c r="Z249" i="12"/>
  <c r="Z250" i="12"/>
  <c r="Z251" i="12"/>
  <c r="Z252" i="12"/>
  <c r="Z253" i="12"/>
  <c r="Z254" i="12"/>
  <c r="Z255" i="12"/>
  <c r="Z256" i="12"/>
  <c r="Z257" i="12"/>
  <c r="Z258" i="12"/>
  <c r="Z259" i="12"/>
  <c r="Z260" i="12"/>
  <c r="Z261" i="12"/>
  <c r="Z262" i="12"/>
  <c r="Z263" i="12"/>
  <c r="Z264" i="12"/>
  <c r="Z265" i="12"/>
  <c r="Z266" i="12"/>
  <c r="Z267" i="12"/>
  <c r="Z268" i="12"/>
  <c r="Z269" i="12"/>
  <c r="Z270" i="12"/>
  <c r="Z271" i="12"/>
  <c r="Z272" i="12"/>
  <c r="Z273" i="12"/>
  <c r="Z274" i="12"/>
  <c r="Z275" i="12"/>
  <c r="Z276" i="12"/>
  <c r="Z277" i="12"/>
  <c r="Z278" i="12"/>
  <c r="Z279" i="12"/>
  <c r="Z280" i="12"/>
  <c r="Z281" i="12"/>
  <c r="Z282" i="12"/>
  <c r="Z283" i="12"/>
  <c r="Z284" i="12"/>
  <c r="Z285" i="12"/>
  <c r="Z286" i="12"/>
  <c r="Z287" i="12"/>
  <c r="Z288" i="12"/>
  <c r="Z289" i="12"/>
  <c r="Z290" i="12"/>
  <c r="Z291" i="12"/>
  <c r="Z292" i="12"/>
  <c r="Z293" i="12"/>
  <c r="Z294" i="12"/>
  <c r="Z295" i="12"/>
  <c r="Z296" i="12"/>
  <c r="Z297" i="12"/>
  <c r="Z298" i="12"/>
  <c r="Z299" i="12"/>
  <c r="Z300" i="12"/>
  <c r="Z301" i="12"/>
  <c r="Z302" i="12"/>
  <c r="Z303" i="12"/>
  <c r="Z304" i="12"/>
  <c r="Z305" i="12"/>
  <c r="Z306" i="12"/>
  <c r="Z307" i="12"/>
  <c r="Z308" i="12"/>
  <c r="Z309" i="12"/>
  <c r="Z310" i="12"/>
  <c r="Z311" i="12"/>
  <c r="Z312" i="12"/>
  <c r="Z313" i="12"/>
  <c r="Z314" i="12"/>
  <c r="Z315" i="12"/>
  <c r="Z316" i="12"/>
  <c r="Z317" i="12"/>
  <c r="Z318" i="12"/>
  <c r="Z319" i="12"/>
  <c r="Z320" i="12"/>
  <c r="Z321" i="12"/>
  <c r="Z322" i="12"/>
  <c r="Z323" i="12"/>
  <c r="Z324" i="12"/>
  <c r="Z325" i="12"/>
  <c r="Z326" i="12"/>
  <c r="Z327" i="12"/>
  <c r="Z328" i="12"/>
  <c r="Z329" i="12"/>
  <c r="Z330" i="12"/>
  <c r="Z331" i="12"/>
  <c r="Z332" i="12"/>
  <c r="Z333" i="12"/>
  <c r="Z334" i="12"/>
  <c r="Z335" i="12"/>
  <c r="Z336" i="12"/>
  <c r="Z337" i="12"/>
  <c r="Z338" i="12"/>
  <c r="Z339" i="12"/>
  <c r="Z340" i="12"/>
  <c r="Z341" i="12"/>
  <c r="Z342" i="12"/>
  <c r="Z343" i="12"/>
  <c r="Z344" i="12"/>
  <c r="Z345" i="12"/>
  <c r="Z346" i="12"/>
  <c r="Z347" i="12"/>
  <c r="Z348" i="12"/>
  <c r="Z349" i="12"/>
  <c r="Z350" i="12"/>
  <c r="Z351" i="12"/>
  <c r="Z352" i="12"/>
  <c r="Z353" i="12"/>
  <c r="Z354" i="12"/>
  <c r="Z355" i="12"/>
  <c r="Z356" i="12"/>
  <c r="Z357" i="12"/>
  <c r="Z358" i="12"/>
  <c r="Z359" i="12"/>
  <c r="Z360" i="12"/>
  <c r="Z361" i="12"/>
  <c r="Z362" i="12"/>
  <c r="Z363" i="12"/>
  <c r="Z364" i="12"/>
  <c r="Z365" i="12"/>
  <c r="Z366" i="12"/>
  <c r="Z367" i="12"/>
  <c r="Z368" i="12"/>
  <c r="Z369" i="12"/>
  <c r="Z370" i="12"/>
  <c r="Z371" i="12"/>
  <c r="Z372" i="12"/>
  <c r="Z373" i="12"/>
  <c r="Z374" i="12"/>
  <c r="Z375" i="12"/>
  <c r="Z376" i="12"/>
  <c r="Z377" i="12"/>
  <c r="Z378" i="12"/>
  <c r="Z379" i="12"/>
  <c r="Z380" i="12"/>
  <c r="Z381" i="12"/>
  <c r="Z382" i="12"/>
  <c r="Z383" i="12"/>
  <c r="Z384" i="12"/>
  <c r="Z385" i="12"/>
  <c r="Z386" i="12"/>
  <c r="Z387" i="12"/>
  <c r="Z388" i="12"/>
  <c r="Z389" i="12"/>
  <c r="Z390" i="12"/>
  <c r="Z391" i="12"/>
  <c r="Z392" i="12"/>
  <c r="Z393" i="12"/>
  <c r="Z394" i="12"/>
  <c r="Z395" i="12"/>
  <c r="Z396" i="12"/>
  <c r="Z397" i="12"/>
  <c r="Z398" i="12"/>
  <c r="Z399" i="12"/>
  <c r="Z400" i="12"/>
  <c r="Z401" i="12"/>
  <c r="Z402" i="12"/>
  <c r="Z403" i="12"/>
  <c r="Z404" i="12"/>
  <c r="Z405" i="12"/>
  <c r="Z406" i="12"/>
  <c r="Z407" i="12"/>
  <c r="Z408" i="12"/>
  <c r="Z409" i="12"/>
  <c r="Z410" i="12"/>
  <c r="Z411" i="12"/>
  <c r="Z412" i="12"/>
  <c r="Z413" i="12"/>
  <c r="Z414" i="12"/>
  <c r="Z415" i="12"/>
  <c r="Z416" i="12"/>
  <c r="Z417" i="12"/>
  <c r="Z418" i="12"/>
  <c r="Z419" i="12"/>
  <c r="Z420" i="12"/>
  <c r="Z421" i="12"/>
  <c r="Z422" i="12"/>
  <c r="Z423" i="12"/>
  <c r="Z424" i="12"/>
  <c r="Z425" i="12"/>
  <c r="Z426" i="12"/>
  <c r="Z427" i="12"/>
  <c r="Z428" i="12"/>
  <c r="Z429" i="12"/>
  <c r="Z430" i="12"/>
  <c r="Z431" i="12"/>
  <c r="Z432" i="12"/>
  <c r="Z433" i="12"/>
  <c r="Z434" i="12"/>
  <c r="Z435" i="12"/>
  <c r="Z436" i="12"/>
  <c r="Z437" i="12"/>
  <c r="Z438" i="12"/>
  <c r="Z439" i="12"/>
  <c r="Z440" i="12"/>
  <c r="Z441" i="12"/>
  <c r="Z442" i="12"/>
  <c r="Z443" i="12"/>
  <c r="Z444" i="12"/>
  <c r="Z445" i="12"/>
  <c r="Z446" i="12"/>
  <c r="Z447" i="12"/>
  <c r="Z448" i="12"/>
  <c r="Z449" i="12"/>
  <c r="Z450" i="12"/>
  <c r="Z451" i="12"/>
  <c r="Z452" i="12"/>
  <c r="Z453" i="12"/>
  <c r="Z454" i="12"/>
  <c r="Z455" i="12"/>
  <c r="Z456" i="12"/>
  <c r="Z457" i="12"/>
  <c r="Z458" i="12"/>
  <c r="Z459" i="12"/>
  <c r="Z460" i="12"/>
  <c r="Z461" i="12"/>
  <c r="Z462" i="12"/>
  <c r="Z463" i="12"/>
  <c r="Z464" i="12"/>
  <c r="Z465" i="12"/>
  <c r="Z466" i="12"/>
  <c r="Z467" i="12"/>
  <c r="Z468" i="12"/>
  <c r="Z469" i="12"/>
  <c r="Z470" i="12"/>
  <c r="Z471" i="12"/>
  <c r="Z472" i="12"/>
  <c r="Z473" i="12"/>
  <c r="Z474" i="12"/>
  <c r="Z475" i="12"/>
  <c r="Z476" i="12"/>
  <c r="Z477" i="12"/>
  <c r="Z478" i="12"/>
  <c r="Z479" i="12"/>
  <c r="Z480" i="12"/>
  <c r="Z481" i="12"/>
  <c r="Z482" i="12"/>
  <c r="Z483" i="12"/>
  <c r="Z484" i="12"/>
  <c r="Z485" i="12"/>
  <c r="Z486" i="12"/>
  <c r="Z487" i="12"/>
  <c r="Z488" i="12"/>
  <c r="Z489" i="12"/>
  <c r="Z490" i="12"/>
  <c r="Z491" i="12"/>
  <c r="Z492" i="12"/>
  <c r="Z493" i="12"/>
  <c r="Z494" i="12"/>
  <c r="Z495" i="12"/>
  <c r="Z496" i="12"/>
  <c r="Z497" i="12"/>
  <c r="Z498" i="12"/>
  <c r="Z499" i="12"/>
  <c r="Z500" i="12"/>
  <c r="Z501" i="12"/>
  <c r="Z502" i="12"/>
  <c r="Z503" i="12"/>
  <c r="Z504" i="12"/>
  <c r="Z505" i="12"/>
  <c r="Z506" i="12"/>
  <c r="Z507" i="12"/>
  <c r="Z508" i="12"/>
  <c r="Z509" i="12"/>
  <c r="Z510" i="12"/>
  <c r="Z511" i="12"/>
  <c r="Z512" i="12"/>
  <c r="Z513" i="12"/>
  <c r="Z514" i="12"/>
  <c r="Z515" i="12"/>
  <c r="Z516" i="12"/>
  <c r="Z517" i="12"/>
  <c r="Z518" i="12"/>
  <c r="Z519" i="12"/>
  <c r="Z520" i="12"/>
  <c r="Z521" i="12"/>
  <c r="Z522" i="12"/>
  <c r="Z523" i="12"/>
  <c r="Z524" i="12"/>
  <c r="Z525" i="12"/>
  <c r="Z526" i="12"/>
  <c r="Z527" i="12"/>
  <c r="Z528" i="12"/>
  <c r="Z529" i="12"/>
  <c r="Z530" i="12"/>
  <c r="Z531" i="12"/>
  <c r="Z532" i="12"/>
  <c r="Z533" i="12"/>
  <c r="Z534" i="12"/>
  <c r="Z535" i="12"/>
  <c r="Z536" i="12"/>
  <c r="Z537" i="12"/>
  <c r="Z538" i="12"/>
  <c r="Z539" i="12"/>
  <c r="Z540" i="12"/>
  <c r="Z541" i="12"/>
  <c r="Z542" i="12"/>
  <c r="Z543" i="12"/>
  <c r="Z544" i="12"/>
  <c r="Z545" i="12"/>
  <c r="Z546" i="12"/>
  <c r="Z547" i="12"/>
  <c r="Z548" i="12"/>
  <c r="Z549" i="12"/>
  <c r="Z550" i="12"/>
  <c r="Z551" i="12"/>
  <c r="Z552" i="12"/>
  <c r="Z553" i="12"/>
  <c r="Z554" i="12"/>
  <c r="Z555" i="12"/>
  <c r="Z556" i="12"/>
  <c r="Z557" i="12"/>
  <c r="Z558" i="12"/>
  <c r="Z559" i="12"/>
  <c r="Z560" i="12"/>
  <c r="Z561" i="12"/>
  <c r="Z562" i="12"/>
  <c r="Z563" i="12"/>
  <c r="Z564" i="12"/>
  <c r="Z565" i="12"/>
  <c r="Z566" i="12"/>
  <c r="Z567" i="12"/>
  <c r="Z568" i="12"/>
  <c r="Z569" i="12"/>
  <c r="Z570" i="12"/>
  <c r="Z571" i="12"/>
  <c r="Z572" i="12"/>
  <c r="Z573" i="12"/>
  <c r="Z574" i="12"/>
  <c r="Z575" i="12"/>
  <c r="Z576" i="12"/>
  <c r="Z577" i="12"/>
  <c r="Z578" i="12"/>
  <c r="Z579" i="12"/>
  <c r="Z580" i="12"/>
  <c r="Z581" i="12"/>
  <c r="Z582" i="12"/>
  <c r="Z583" i="12"/>
  <c r="Z584" i="12"/>
  <c r="Z585" i="12"/>
  <c r="Z586" i="12"/>
  <c r="Z587" i="12"/>
  <c r="Z588" i="12"/>
  <c r="Z589" i="12"/>
  <c r="Z590" i="12"/>
  <c r="Z591" i="12"/>
  <c r="Z592" i="12"/>
  <c r="Z593" i="12"/>
  <c r="Z594" i="12"/>
  <c r="Z595" i="12"/>
  <c r="Z596" i="12"/>
  <c r="Z597" i="12"/>
  <c r="Z598" i="12"/>
  <c r="Z599" i="12"/>
  <c r="Z600" i="12"/>
  <c r="Z601" i="12"/>
  <c r="Z602" i="12"/>
  <c r="Z603" i="12"/>
  <c r="Z604" i="12"/>
  <c r="Z605" i="12"/>
  <c r="Z606" i="12"/>
  <c r="Z607" i="12"/>
  <c r="Z608" i="12"/>
  <c r="Z609" i="12"/>
  <c r="Z610" i="12"/>
  <c r="Z611" i="12"/>
  <c r="Z612" i="12"/>
  <c r="Z613" i="12"/>
  <c r="Z614" i="12"/>
  <c r="Z615" i="12"/>
  <c r="Z616" i="12"/>
  <c r="Z617" i="12"/>
  <c r="Z618" i="12"/>
  <c r="Z619" i="12"/>
  <c r="Z620" i="12"/>
  <c r="Z621" i="12"/>
  <c r="Z622" i="12"/>
  <c r="Z623" i="12"/>
  <c r="Z624" i="12"/>
  <c r="Z625" i="12"/>
  <c r="Z626" i="12"/>
  <c r="Z627" i="12"/>
  <c r="Z628" i="12"/>
  <c r="Z629" i="12"/>
  <c r="Z630" i="12"/>
  <c r="Z631" i="12"/>
  <c r="Z632" i="12"/>
  <c r="Z633" i="12"/>
  <c r="Z634" i="12"/>
  <c r="Z635" i="12"/>
  <c r="Z636" i="12"/>
  <c r="Z637" i="12"/>
  <c r="Z638" i="12"/>
  <c r="Z639" i="12"/>
  <c r="Z640" i="12"/>
  <c r="Z641" i="12"/>
  <c r="Z642" i="12"/>
  <c r="Z643" i="12"/>
  <c r="Z644" i="12"/>
  <c r="Z645" i="12"/>
  <c r="Z646" i="12"/>
  <c r="Z647" i="12"/>
  <c r="Z648" i="12"/>
  <c r="Z649" i="12"/>
  <c r="Z650" i="12"/>
  <c r="Z651" i="12"/>
  <c r="Z652" i="12"/>
  <c r="Z653" i="12"/>
  <c r="Z654" i="12"/>
  <c r="Z655" i="12"/>
  <c r="Z656" i="12"/>
  <c r="Z657" i="12"/>
  <c r="Z658" i="12"/>
  <c r="Z659" i="12"/>
  <c r="Z660" i="12"/>
  <c r="Z661" i="12"/>
  <c r="Z662" i="12"/>
  <c r="Z663" i="12"/>
  <c r="Z664" i="12"/>
  <c r="Z665" i="12"/>
  <c r="Z666" i="12"/>
  <c r="Z667" i="12"/>
  <c r="Z668" i="12"/>
  <c r="Z669" i="12"/>
  <c r="Z670" i="12"/>
  <c r="Z671" i="12"/>
  <c r="Z672" i="12"/>
  <c r="Z673" i="12"/>
  <c r="Z674" i="12"/>
  <c r="Z675" i="12"/>
  <c r="Z676" i="12"/>
  <c r="Z677" i="12"/>
  <c r="Z678" i="12"/>
  <c r="Z679" i="12"/>
  <c r="Z680" i="12"/>
  <c r="Z681" i="12"/>
  <c r="Z682" i="12"/>
  <c r="Z683" i="12"/>
  <c r="Z684" i="12"/>
  <c r="Z685" i="12"/>
  <c r="Z686" i="12"/>
  <c r="Z687" i="12"/>
  <c r="Z688" i="12"/>
  <c r="Z689" i="12"/>
  <c r="Z690" i="12"/>
  <c r="Z691" i="12"/>
  <c r="Z692" i="12"/>
  <c r="Z693" i="12"/>
  <c r="Z694" i="12"/>
  <c r="Z695" i="12"/>
  <c r="Z696" i="12"/>
  <c r="Z697" i="12"/>
  <c r="Z698" i="12"/>
  <c r="Z699" i="12"/>
  <c r="Z700" i="12"/>
  <c r="Z701" i="12"/>
  <c r="Z702" i="12"/>
  <c r="Z703" i="12"/>
  <c r="W5" i="12"/>
  <c r="W6" i="12"/>
  <c r="W7" i="12"/>
  <c r="W8" i="12"/>
  <c r="W9" i="12"/>
  <c r="W10" i="12"/>
  <c r="W11" i="12"/>
  <c r="W12" i="12"/>
  <c r="W13"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192" i="12"/>
  <c r="W193" i="12"/>
  <c r="W194" i="12"/>
  <c r="W195" i="12"/>
  <c r="W196" i="12"/>
  <c r="W197" i="12"/>
  <c r="W198" i="12"/>
  <c r="W199" i="12"/>
  <c r="W200" i="12"/>
  <c r="W201" i="12"/>
  <c r="W202" i="12"/>
  <c r="W203" i="12"/>
  <c r="W204" i="12"/>
  <c r="W205" i="12"/>
  <c r="W206" i="12"/>
  <c r="W207" i="12"/>
  <c r="W208" i="12"/>
  <c r="W209" i="12"/>
  <c r="W210" i="12"/>
  <c r="W211" i="12"/>
  <c r="W212" i="12"/>
  <c r="W213" i="12"/>
  <c r="W214" i="12"/>
  <c r="W215" i="12"/>
  <c r="W216" i="12"/>
  <c r="W217" i="12"/>
  <c r="W218" i="12"/>
  <c r="W219" i="12"/>
  <c r="W220" i="12"/>
  <c r="W221" i="12"/>
  <c r="W222" i="12"/>
  <c r="W223" i="12"/>
  <c r="W224" i="12"/>
  <c r="W225" i="12"/>
  <c r="W226" i="12"/>
  <c r="W227" i="12"/>
  <c r="W228" i="12"/>
  <c r="W229" i="12"/>
  <c r="W230" i="12"/>
  <c r="W231" i="12"/>
  <c r="W232" i="12"/>
  <c r="W233" i="12"/>
  <c r="W234" i="12"/>
  <c r="W235" i="12"/>
  <c r="W236" i="12"/>
  <c r="W237" i="12"/>
  <c r="W238" i="12"/>
  <c r="W239" i="12"/>
  <c r="W240" i="12"/>
  <c r="W241" i="12"/>
  <c r="W242" i="12"/>
  <c r="W243" i="12"/>
  <c r="W244" i="12"/>
  <c r="W245" i="12"/>
  <c r="W246" i="12"/>
  <c r="W247" i="12"/>
  <c r="W248" i="12"/>
  <c r="W249" i="12"/>
  <c r="W250" i="12"/>
  <c r="W251" i="12"/>
  <c r="W252" i="12"/>
  <c r="W253" i="12"/>
  <c r="W254" i="12"/>
  <c r="W255" i="12"/>
  <c r="W256" i="12"/>
  <c r="W257" i="12"/>
  <c r="W258" i="12"/>
  <c r="W259" i="12"/>
  <c r="W260" i="12"/>
  <c r="W261" i="12"/>
  <c r="W262" i="12"/>
  <c r="W263" i="12"/>
  <c r="W264" i="12"/>
  <c r="W265" i="12"/>
  <c r="W266" i="12"/>
  <c r="W267" i="12"/>
  <c r="W268" i="12"/>
  <c r="W269" i="12"/>
  <c r="W270" i="12"/>
  <c r="W271" i="12"/>
  <c r="W272" i="12"/>
  <c r="W273" i="12"/>
  <c r="W274" i="12"/>
  <c r="W275" i="12"/>
  <c r="W276" i="12"/>
  <c r="W277" i="12"/>
  <c r="W278" i="12"/>
  <c r="W279" i="12"/>
  <c r="W280" i="12"/>
  <c r="W281" i="12"/>
  <c r="W282" i="12"/>
  <c r="W283" i="12"/>
  <c r="W284" i="12"/>
  <c r="W285" i="12"/>
  <c r="W286" i="12"/>
  <c r="W287" i="12"/>
  <c r="W288" i="12"/>
  <c r="W289" i="12"/>
  <c r="W290" i="12"/>
  <c r="W291" i="12"/>
  <c r="W292" i="12"/>
  <c r="W293" i="12"/>
  <c r="W294" i="12"/>
  <c r="W295" i="12"/>
  <c r="W296" i="12"/>
  <c r="W297" i="12"/>
  <c r="W298" i="12"/>
  <c r="W299" i="12"/>
  <c r="W300" i="12"/>
  <c r="W301" i="12"/>
  <c r="W302" i="12"/>
  <c r="W303" i="12"/>
  <c r="W304" i="12"/>
  <c r="W305" i="12"/>
  <c r="W306" i="12"/>
  <c r="W307" i="12"/>
  <c r="W308" i="12"/>
  <c r="W309" i="12"/>
  <c r="W310" i="12"/>
  <c r="W311" i="12"/>
  <c r="W312" i="12"/>
  <c r="W313" i="12"/>
  <c r="W314" i="12"/>
  <c r="W315" i="12"/>
  <c r="W316" i="12"/>
  <c r="W317" i="12"/>
  <c r="W318" i="12"/>
  <c r="W319" i="12"/>
  <c r="W320" i="12"/>
  <c r="W321" i="12"/>
  <c r="W322" i="12"/>
  <c r="W323" i="12"/>
  <c r="W324" i="12"/>
  <c r="W325" i="12"/>
  <c r="W326" i="12"/>
  <c r="W327" i="12"/>
  <c r="W328" i="12"/>
  <c r="W329" i="12"/>
  <c r="W330" i="12"/>
  <c r="W331" i="12"/>
  <c r="W332" i="12"/>
  <c r="W333" i="12"/>
  <c r="W334" i="12"/>
  <c r="W335" i="12"/>
  <c r="W336" i="12"/>
  <c r="W337" i="12"/>
  <c r="W338" i="12"/>
  <c r="W339" i="12"/>
  <c r="W340" i="12"/>
  <c r="W341" i="12"/>
  <c r="W342" i="12"/>
  <c r="W343" i="12"/>
  <c r="W344" i="12"/>
  <c r="W345" i="12"/>
  <c r="W346" i="12"/>
  <c r="W347" i="12"/>
  <c r="W348" i="12"/>
  <c r="W349" i="12"/>
  <c r="W350" i="12"/>
  <c r="W351" i="12"/>
  <c r="W352" i="12"/>
  <c r="W353" i="12"/>
  <c r="W354" i="12"/>
  <c r="W355" i="12"/>
  <c r="W356" i="12"/>
  <c r="W357" i="12"/>
  <c r="W358" i="12"/>
  <c r="W359" i="12"/>
  <c r="W360" i="12"/>
  <c r="W361" i="12"/>
  <c r="W362" i="12"/>
  <c r="W363" i="12"/>
  <c r="W364" i="12"/>
  <c r="W365" i="12"/>
  <c r="W366" i="12"/>
  <c r="W367" i="12"/>
  <c r="W368" i="12"/>
  <c r="W369" i="12"/>
  <c r="W370" i="12"/>
  <c r="W371" i="12"/>
  <c r="W372" i="12"/>
  <c r="W373" i="12"/>
  <c r="W374" i="12"/>
  <c r="W375" i="12"/>
  <c r="W376" i="12"/>
  <c r="W377" i="12"/>
  <c r="W378" i="12"/>
  <c r="W379" i="12"/>
  <c r="W380" i="12"/>
  <c r="W381" i="12"/>
  <c r="W382" i="12"/>
  <c r="W383" i="12"/>
  <c r="W384" i="12"/>
  <c r="W385" i="12"/>
  <c r="W386" i="12"/>
  <c r="W387" i="12"/>
  <c r="W388" i="12"/>
  <c r="W389" i="12"/>
  <c r="W390" i="12"/>
  <c r="W391" i="12"/>
  <c r="W392" i="12"/>
  <c r="W393" i="12"/>
  <c r="W394" i="12"/>
  <c r="W395" i="12"/>
  <c r="W396" i="12"/>
  <c r="W397" i="12"/>
  <c r="W398" i="12"/>
  <c r="W399" i="12"/>
  <c r="W400" i="12"/>
  <c r="W401" i="12"/>
  <c r="W402" i="12"/>
  <c r="W403" i="12"/>
  <c r="W404" i="12"/>
  <c r="W405" i="12"/>
  <c r="W406" i="12"/>
  <c r="W407" i="12"/>
  <c r="W408" i="12"/>
  <c r="W409" i="12"/>
  <c r="W410" i="12"/>
  <c r="W411" i="12"/>
  <c r="W412" i="12"/>
  <c r="W413" i="12"/>
  <c r="W414" i="12"/>
  <c r="W415" i="12"/>
  <c r="W416" i="12"/>
  <c r="W417" i="12"/>
  <c r="W418" i="12"/>
  <c r="W419" i="12"/>
  <c r="W420" i="12"/>
  <c r="W421" i="12"/>
  <c r="W422" i="12"/>
  <c r="W423" i="12"/>
  <c r="W424" i="12"/>
  <c r="W425" i="12"/>
  <c r="W426" i="12"/>
  <c r="W427" i="12"/>
  <c r="W428" i="12"/>
  <c r="W429" i="12"/>
  <c r="W430" i="12"/>
  <c r="W431" i="12"/>
  <c r="W432" i="12"/>
  <c r="W433" i="12"/>
  <c r="W434" i="12"/>
  <c r="W435" i="12"/>
  <c r="W436" i="12"/>
  <c r="W437" i="12"/>
  <c r="W438" i="12"/>
  <c r="W439" i="12"/>
  <c r="W440" i="12"/>
  <c r="W441" i="12"/>
  <c r="W442" i="12"/>
  <c r="W443" i="12"/>
  <c r="W444" i="12"/>
  <c r="W445" i="12"/>
  <c r="W446" i="12"/>
  <c r="W447" i="12"/>
  <c r="W448" i="12"/>
  <c r="W449" i="12"/>
  <c r="W450" i="12"/>
  <c r="W451" i="12"/>
  <c r="W452" i="12"/>
  <c r="W453" i="12"/>
  <c r="W454" i="12"/>
  <c r="W455" i="12"/>
  <c r="W456" i="12"/>
  <c r="W457" i="12"/>
  <c r="W458" i="12"/>
  <c r="W459" i="12"/>
  <c r="W460" i="12"/>
  <c r="W461" i="12"/>
  <c r="W462" i="12"/>
  <c r="W463" i="12"/>
  <c r="W464" i="12"/>
  <c r="W465" i="12"/>
  <c r="W466" i="12"/>
  <c r="W467" i="12"/>
  <c r="W468" i="12"/>
  <c r="W469" i="12"/>
  <c r="W470" i="12"/>
  <c r="W471" i="12"/>
  <c r="W472" i="12"/>
  <c r="W473" i="12"/>
  <c r="W474" i="12"/>
  <c r="W475" i="12"/>
  <c r="W476" i="12"/>
  <c r="W477" i="12"/>
  <c r="W478" i="12"/>
  <c r="W479" i="12"/>
  <c r="W480" i="12"/>
  <c r="W481" i="12"/>
  <c r="W482" i="12"/>
  <c r="W483" i="12"/>
  <c r="W484" i="12"/>
  <c r="W485" i="12"/>
  <c r="W486" i="12"/>
  <c r="W487" i="12"/>
  <c r="W488" i="12"/>
  <c r="W489" i="12"/>
  <c r="W490" i="12"/>
  <c r="W491" i="12"/>
  <c r="W492" i="12"/>
  <c r="W493" i="12"/>
  <c r="W494" i="12"/>
  <c r="W495" i="12"/>
  <c r="W496" i="12"/>
  <c r="W497" i="12"/>
  <c r="W498" i="12"/>
  <c r="W499" i="12"/>
  <c r="W500" i="12"/>
  <c r="W501" i="12"/>
  <c r="W502" i="12"/>
  <c r="W503" i="12"/>
  <c r="W504" i="12"/>
  <c r="W505" i="12"/>
  <c r="W506" i="12"/>
  <c r="W507" i="12"/>
  <c r="W508" i="12"/>
  <c r="W509" i="12"/>
  <c r="W510" i="12"/>
  <c r="W511" i="12"/>
  <c r="W512" i="12"/>
  <c r="W513" i="12"/>
  <c r="W514" i="12"/>
  <c r="W515" i="12"/>
  <c r="W516" i="12"/>
  <c r="W517" i="12"/>
  <c r="W518" i="12"/>
  <c r="W519" i="12"/>
  <c r="W520" i="12"/>
  <c r="W521" i="12"/>
  <c r="W522" i="12"/>
  <c r="W523" i="12"/>
  <c r="W524" i="12"/>
  <c r="W525" i="12"/>
  <c r="W526" i="12"/>
  <c r="W527" i="12"/>
  <c r="W528" i="12"/>
  <c r="W529" i="12"/>
  <c r="W530" i="12"/>
  <c r="W531" i="12"/>
  <c r="W532" i="12"/>
  <c r="W533" i="12"/>
  <c r="W534" i="12"/>
  <c r="W535" i="12"/>
  <c r="W536" i="12"/>
  <c r="W537" i="12"/>
  <c r="W538" i="12"/>
  <c r="W539" i="12"/>
  <c r="W540" i="12"/>
  <c r="W541" i="12"/>
  <c r="W542" i="12"/>
  <c r="W543" i="12"/>
  <c r="W544" i="12"/>
  <c r="W545" i="12"/>
  <c r="W546" i="12"/>
  <c r="W547" i="12"/>
  <c r="W548" i="12"/>
  <c r="W549" i="12"/>
  <c r="W550" i="12"/>
  <c r="W551" i="12"/>
  <c r="W552" i="12"/>
  <c r="W553" i="12"/>
  <c r="W554" i="12"/>
  <c r="W555" i="12"/>
  <c r="W556" i="12"/>
  <c r="W557" i="12"/>
  <c r="W558" i="12"/>
  <c r="W559" i="12"/>
  <c r="W560" i="12"/>
  <c r="W561" i="12"/>
  <c r="W562" i="12"/>
  <c r="W563" i="12"/>
  <c r="W564" i="12"/>
  <c r="W565" i="12"/>
  <c r="W566" i="12"/>
  <c r="W567" i="12"/>
  <c r="W568" i="12"/>
  <c r="W569" i="12"/>
  <c r="W570" i="12"/>
  <c r="W571" i="12"/>
  <c r="W572" i="12"/>
  <c r="W573" i="12"/>
  <c r="W574" i="12"/>
  <c r="W575" i="12"/>
  <c r="W576" i="12"/>
  <c r="W577" i="12"/>
  <c r="W578" i="12"/>
  <c r="W579" i="12"/>
  <c r="W580" i="12"/>
  <c r="W581" i="12"/>
  <c r="W582" i="12"/>
  <c r="W583" i="12"/>
  <c r="W584" i="12"/>
  <c r="W585" i="12"/>
  <c r="W586" i="12"/>
  <c r="W587" i="12"/>
  <c r="W588" i="12"/>
  <c r="W589" i="12"/>
  <c r="W590" i="12"/>
  <c r="W591" i="12"/>
  <c r="W592" i="12"/>
  <c r="W593" i="12"/>
  <c r="W594" i="12"/>
  <c r="W595" i="12"/>
  <c r="W596" i="12"/>
  <c r="W597" i="12"/>
  <c r="W598" i="12"/>
  <c r="W599" i="12"/>
  <c r="W600" i="12"/>
  <c r="W601" i="12"/>
  <c r="W602" i="12"/>
  <c r="W603" i="12"/>
  <c r="W604" i="12"/>
  <c r="W605" i="12"/>
  <c r="W606" i="12"/>
  <c r="W607" i="12"/>
  <c r="W608" i="12"/>
  <c r="W609" i="12"/>
  <c r="W610" i="12"/>
  <c r="W611" i="12"/>
  <c r="W612" i="12"/>
  <c r="W613" i="12"/>
  <c r="W614" i="12"/>
  <c r="W615" i="12"/>
  <c r="W616" i="12"/>
  <c r="W617" i="12"/>
  <c r="W618" i="12"/>
  <c r="W619" i="12"/>
  <c r="W620" i="12"/>
  <c r="W621" i="12"/>
  <c r="W622" i="12"/>
  <c r="W623" i="12"/>
  <c r="W624" i="12"/>
  <c r="W625" i="12"/>
  <c r="W626" i="12"/>
  <c r="W627" i="12"/>
  <c r="W628" i="12"/>
  <c r="W629" i="12"/>
  <c r="W630" i="12"/>
  <c r="W631" i="12"/>
  <c r="W632" i="12"/>
  <c r="W633" i="12"/>
  <c r="W634" i="12"/>
  <c r="W635" i="12"/>
  <c r="W636" i="12"/>
  <c r="W637" i="12"/>
  <c r="W638" i="12"/>
  <c r="W639" i="12"/>
  <c r="W640" i="12"/>
  <c r="W641" i="12"/>
  <c r="W642" i="12"/>
  <c r="W643" i="12"/>
  <c r="W644" i="12"/>
  <c r="W645" i="12"/>
  <c r="W646" i="12"/>
  <c r="W647" i="12"/>
  <c r="W648" i="12"/>
  <c r="W649" i="12"/>
  <c r="W650" i="12"/>
  <c r="W651" i="12"/>
  <c r="W652" i="12"/>
  <c r="W653" i="12"/>
  <c r="W654" i="12"/>
  <c r="W655" i="12"/>
  <c r="W656" i="12"/>
  <c r="W657" i="12"/>
  <c r="W658" i="12"/>
  <c r="W659" i="12"/>
  <c r="W660" i="12"/>
  <c r="W661" i="12"/>
  <c r="W662" i="12"/>
  <c r="W663" i="12"/>
  <c r="W664" i="12"/>
  <c r="W665" i="12"/>
  <c r="W666" i="12"/>
  <c r="W667" i="12"/>
  <c r="W668" i="12"/>
  <c r="W669" i="12"/>
  <c r="W670" i="12"/>
  <c r="W671" i="12"/>
  <c r="W672" i="12"/>
  <c r="W673" i="12"/>
  <c r="W674" i="12"/>
  <c r="W675" i="12"/>
  <c r="W676" i="12"/>
  <c r="W677" i="12"/>
  <c r="W678" i="12"/>
  <c r="W679" i="12"/>
  <c r="W680" i="12"/>
  <c r="W681" i="12"/>
  <c r="W682" i="12"/>
  <c r="W683" i="12"/>
  <c r="W684" i="12"/>
  <c r="W685" i="12"/>
  <c r="W686" i="12"/>
  <c r="W687" i="12"/>
  <c r="W688" i="12"/>
  <c r="W689" i="12"/>
  <c r="W690" i="12"/>
  <c r="W691" i="12"/>
  <c r="W692" i="12"/>
  <c r="W693" i="12"/>
  <c r="W694" i="12"/>
  <c r="W695" i="12"/>
  <c r="W696" i="12"/>
  <c r="W697" i="12"/>
  <c r="W698" i="12"/>
  <c r="W699" i="12"/>
  <c r="W700" i="12"/>
  <c r="W701" i="12"/>
  <c r="W702" i="12"/>
  <c r="W703" i="12"/>
  <c r="T5" i="12"/>
  <c r="T6" i="12"/>
  <c r="T7" i="12"/>
  <c r="T8" i="12"/>
  <c r="T9" i="12"/>
  <c r="T10" i="12"/>
  <c r="T11" i="12"/>
  <c r="T12" i="12"/>
  <c r="T13" i="12"/>
  <c r="T14" i="12"/>
  <c r="T15" i="12"/>
  <c r="T16" i="12"/>
  <c r="T17" i="12"/>
  <c r="T18" i="12"/>
  <c r="T19" i="12"/>
  <c r="T20" i="12"/>
  <c r="T21" i="12"/>
  <c r="T22" i="12"/>
  <c r="T23" i="12"/>
  <c r="T24" i="12"/>
  <c r="T25" i="12"/>
  <c r="T26" i="12"/>
  <c r="T27" i="12"/>
  <c r="T28" i="12"/>
  <c r="T29" i="12"/>
  <c r="T30" i="12"/>
  <c r="T31" i="12"/>
  <c r="T32" i="12"/>
  <c r="T33" i="12"/>
  <c r="T34" i="12"/>
  <c r="T35" i="12"/>
  <c r="T36" i="12"/>
  <c r="T37" i="12"/>
  <c r="T38" i="12"/>
  <c r="T39" i="12"/>
  <c r="T40" i="12"/>
  <c r="T41" i="12"/>
  <c r="T42" i="12"/>
  <c r="T43" i="12"/>
  <c r="T44" i="12"/>
  <c r="T45" i="12"/>
  <c r="T46" i="12"/>
  <c r="T47"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T405" i="12"/>
  <c r="T406" i="12"/>
  <c r="T407" i="12"/>
  <c r="T408" i="12"/>
  <c r="T409" i="12"/>
  <c r="T410" i="12"/>
  <c r="T411" i="12"/>
  <c r="T412" i="12"/>
  <c r="T413" i="12"/>
  <c r="T414" i="12"/>
  <c r="T415" i="12"/>
  <c r="T416" i="12"/>
  <c r="T417" i="12"/>
  <c r="T418" i="12"/>
  <c r="T419" i="12"/>
  <c r="T420" i="12"/>
  <c r="T421" i="12"/>
  <c r="T422" i="12"/>
  <c r="T423" i="12"/>
  <c r="T424" i="12"/>
  <c r="T425" i="12"/>
  <c r="T426" i="12"/>
  <c r="T427" i="12"/>
  <c r="T428" i="12"/>
  <c r="T429" i="12"/>
  <c r="T430" i="12"/>
  <c r="T431" i="12"/>
  <c r="T432" i="12"/>
  <c r="T433" i="12"/>
  <c r="T434" i="12"/>
  <c r="T435" i="12"/>
  <c r="T436" i="12"/>
  <c r="T437" i="12"/>
  <c r="T438" i="12"/>
  <c r="T439" i="12"/>
  <c r="T440" i="12"/>
  <c r="T441" i="12"/>
  <c r="T442" i="12"/>
  <c r="T443" i="12"/>
  <c r="T444" i="12"/>
  <c r="T445" i="12"/>
  <c r="T446" i="12"/>
  <c r="T447" i="12"/>
  <c r="T448" i="12"/>
  <c r="T449" i="12"/>
  <c r="T450" i="12"/>
  <c r="T451" i="12"/>
  <c r="T452" i="12"/>
  <c r="T453" i="12"/>
  <c r="T454" i="12"/>
  <c r="T455" i="12"/>
  <c r="T456" i="12"/>
  <c r="T457" i="12"/>
  <c r="T458" i="12"/>
  <c r="T459" i="12"/>
  <c r="T460" i="12"/>
  <c r="T461" i="12"/>
  <c r="T462" i="12"/>
  <c r="T463" i="12"/>
  <c r="T464" i="12"/>
  <c r="T465" i="12"/>
  <c r="T466" i="12"/>
  <c r="T467" i="12"/>
  <c r="T468" i="12"/>
  <c r="T469" i="12"/>
  <c r="T470" i="12"/>
  <c r="T471" i="12"/>
  <c r="T472" i="12"/>
  <c r="T473" i="12"/>
  <c r="T474" i="12"/>
  <c r="T475" i="12"/>
  <c r="T476" i="12"/>
  <c r="T477" i="12"/>
  <c r="T478" i="12"/>
  <c r="T479" i="12"/>
  <c r="T480" i="12"/>
  <c r="T481" i="12"/>
  <c r="T482" i="12"/>
  <c r="T483" i="12"/>
  <c r="T484" i="12"/>
  <c r="T485" i="12"/>
  <c r="T486" i="12"/>
  <c r="T487" i="12"/>
  <c r="T488" i="12"/>
  <c r="T489" i="12"/>
  <c r="T490" i="12"/>
  <c r="T491" i="12"/>
  <c r="T492" i="12"/>
  <c r="T493" i="12"/>
  <c r="T494" i="12"/>
  <c r="T495" i="12"/>
  <c r="T496" i="12"/>
  <c r="T497" i="12"/>
  <c r="T498" i="12"/>
  <c r="T499" i="12"/>
  <c r="T500" i="12"/>
  <c r="T501" i="12"/>
  <c r="T502" i="12"/>
  <c r="T503" i="12"/>
  <c r="T504" i="12"/>
  <c r="T505" i="12"/>
  <c r="T506" i="12"/>
  <c r="T507" i="12"/>
  <c r="T508" i="12"/>
  <c r="T509" i="12"/>
  <c r="T510" i="12"/>
  <c r="T511" i="12"/>
  <c r="T512" i="12"/>
  <c r="T513" i="12"/>
  <c r="T514" i="12"/>
  <c r="T515" i="12"/>
  <c r="T516" i="12"/>
  <c r="T517" i="12"/>
  <c r="T518" i="12"/>
  <c r="T519" i="12"/>
  <c r="T520" i="12"/>
  <c r="T521" i="12"/>
  <c r="T522" i="12"/>
  <c r="T523" i="12"/>
  <c r="T524" i="12"/>
  <c r="T525" i="12"/>
  <c r="T526" i="12"/>
  <c r="T527" i="12"/>
  <c r="T528" i="12"/>
  <c r="T529" i="12"/>
  <c r="T530" i="12"/>
  <c r="T531" i="12"/>
  <c r="T532" i="12"/>
  <c r="T533" i="12"/>
  <c r="T534" i="12"/>
  <c r="T535" i="12"/>
  <c r="T536" i="12"/>
  <c r="T537" i="12"/>
  <c r="T538" i="12"/>
  <c r="T539" i="12"/>
  <c r="T540" i="12"/>
  <c r="T541" i="12"/>
  <c r="T542" i="12"/>
  <c r="T543" i="12"/>
  <c r="T544" i="12"/>
  <c r="T545" i="12"/>
  <c r="T546" i="12"/>
  <c r="T547" i="12"/>
  <c r="T548" i="12"/>
  <c r="T549" i="12"/>
  <c r="T550" i="12"/>
  <c r="T551" i="12"/>
  <c r="T552" i="12"/>
  <c r="T553" i="12"/>
  <c r="T554" i="12"/>
  <c r="T555" i="12"/>
  <c r="T556" i="12"/>
  <c r="T557" i="12"/>
  <c r="T558" i="12"/>
  <c r="T559" i="12"/>
  <c r="T560" i="12"/>
  <c r="T561" i="12"/>
  <c r="T562" i="12"/>
  <c r="T563" i="12"/>
  <c r="T564" i="12"/>
  <c r="T565" i="12"/>
  <c r="T566" i="12"/>
  <c r="T567" i="12"/>
  <c r="T568" i="12"/>
  <c r="T569" i="12"/>
  <c r="T570" i="12"/>
  <c r="T571" i="12"/>
  <c r="T572" i="12"/>
  <c r="T573" i="12"/>
  <c r="T574" i="12"/>
  <c r="T575" i="12"/>
  <c r="T576" i="12"/>
  <c r="T577" i="12"/>
  <c r="T578" i="12"/>
  <c r="T579" i="12"/>
  <c r="T580" i="12"/>
  <c r="T581" i="12"/>
  <c r="T582" i="12"/>
  <c r="T583" i="12"/>
  <c r="T584" i="12"/>
  <c r="T585" i="12"/>
  <c r="T586" i="12"/>
  <c r="T587" i="12"/>
  <c r="T588" i="12"/>
  <c r="T589" i="12"/>
  <c r="T590" i="12"/>
  <c r="T591" i="12"/>
  <c r="T592" i="12"/>
  <c r="T593" i="12"/>
  <c r="T594" i="12"/>
  <c r="T595" i="12"/>
  <c r="T596" i="12"/>
  <c r="T597" i="12"/>
  <c r="T598" i="12"/>
  <c r="T599" i="12"/>
  <c r="T600" i="12"/>
  <c r="T601" i="12"/>
  <c r="T602" i="12"/>
  <c r="T603" i="12"/>
  <c r="T604" i="12"/>
  <c r="T605" i="12"/>
  <c r="T606" i="12"/>
  <c r="T607" i="12"/>
  <c r="T608" i="12"/>
  <c r="T609" i="12"/>
  <c r="T610" i="12"/>
  <c r="T611" i="12"/>
  <c r="T612" i="12"/>
  <c r="T613" i="12"/>
  <c r="T614" i="12"/>
  <c r="T615" i="12"/>
  <c r="T616" i="12"/>
  <c r="T617" i="12"/>
  <c r="T618" i="12"/>
  <c r="T619" i="12"/>
  <c r="T620" i="12"/>
  <c r="T621" i="12"/>
  <c r="T622" i="12"/>
  <c r="T623" i="12"/>
  <c r="T624" i="12"/>
  <c r="T625" i="12"/>
  <c r="T626" i="12"/>
  <c r="T627" i="12"/>
  <c r="T628" i="12"/>
  <c r="T629" i="12"/>
  <c r="T630" i="12"/>
  <c r="T631" i="12"/>
  <c r="T632" i="12"/>
  <c r="T633" i="12"/>
  <c r="T634" i="12"/>
  <c r="T635" i="12"/>
  <c r="T636" i="12"/>
  <c r="T637" i="12"/>
  <c r="T638" i="12"/>
  <c r="T639" i="12"/>
  <c r="T640" i="12"/>
  <c r="T641" i="12"/>
  <c r="T642" i="12"/>
  <c r="T643" i="12"/>
  <c r="T644" i="12"/>
  <c r="T645" i="12"/>
  <c r="T646" i="12"/>
  <c r="T647" i="12"/>
  <c r="T648" i="12"/>
  <c r="T649" i="12"/>
  <c r="T650" i="12"/>
  <c r="T651" i="12"/>
  <c r="T652" i="12"/>
  <c r="T653" i="12"/>
  <c r="T654" i="12"/>
  <c r="T655" i="12"/>
  <c r="T656" i="12"/>
  <c r="T657" i="12"/>
  <c r="T658" i="12"/>
  <c r="T659" i="12"/>
  <c r="T660" i="12"/>
  <c r="T661" i="12"/>
  <c r="T662" i="12"/>
  <c r="T663" i="12"/>
  <c r="T664" i="12"/>
  <c r="T665" i="12"/>
  <c r="T666" i="12"/>
  <c r="T667" i="12"/>
  <c r="T668" i="12"/>
  <c r="T669" i="12"/>
  <c r="T670" i="12"/>
  <c r="T671" i="12"/>
  <c r="T672" i="12"/>
  <c r="T673" i="12"/>
  <c r="T674" i="12"/>
  <c r="T675" i="12"/>
  <c r="T676" i="12"/>
  <c r="T677" i="12"/>
  <c r="T678" i="12"/>
  <c r="T679" i="12"/>
  <c r="T680" i="12"/>
  <c r="T681" i="12"/>
  <c r="T682" i="12"/>
  <c r="T683" i="12"/>
  <c r="T684" i="12"/>
  <c r="T685" i="12"/>
  <c r="T686" i="12"/>
  <c r="T687" i="12"/>
  <c r="T688" i="12"/>
  <c r="T689" i="12"/>
  <c r="T690" i="12"/>
  <c r="T691" i="12"/>
  <c r="T692" i="12"/>
  <c r="T693" i="12"/>
  <c r="T694" i="12"/>
  <c r="T695" i="12"/>
  <c r="T696" i="12"/>
  <c r="T697" i="12"/>
  <c r="T698" i="12"/>
  <c r="T699" i="12"/>
  <c r="T700" i="12"/>
  <c r="T701" i="12"/>
  <c r="T702" i="12"/>
  <c r="T703"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1"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Q14" i="32"/>
  <c r="Q13" i="32"/>
  <c r="Q12" i="32"/>
  <c r="F5" i="12"/>
  <c r="D7" i="82"/>
  <c r="M12" i="10"/>
  <c r="M13" i="10"/>
  <c r="M14" i="10"/>
  <c r="M15" i="10"/>
  <c r="M16" i="10"/>
  <c r="M7" i="10"/>
  <c r="M8" i="10"/>
  <c r="M9" i="10"/>
  <c r="M10" i="10"/>
  <c r="M11" i="10"/>
  <c r="M4" i="10"/>
  <c r="M5" i="10"/>
  <c r="M6" i="10"/>
  <c r="M3" i="10"/>
  <c r="V2" i="86" l="1"/>
  <c r="H265" i="12"/>
  <c r="AY265" i="12" s="1"/>
  <c r="H319" i="12"/>
  <c r="AY319" i="12" s="1"/>
  <c r="H287" i="12"/>
  <c r="AY287" i="12" s="1"/>
  <c r="H255" i="12"/>
  <c r="AY255" i="12" s="1"/>
  <c r="H223" i="12"/>
  <c r="AY223" i="12" s="1"/>
  <c r="H191" i="12"/>
  <c r="AY191" i="12" s="1"/>
  <c r="H666" i="12"/>
  <c r="AY666" i="12" s="1"/>
  <c r="H570" i="12"/>
  <c r="AY570" i="12" s="1"/>
  <c r="H506" i="12"/>
  <c r="AY506" i="12" s="1"/>
  <c r="H410" i="12"/>
  <c r="AY410" i="12" s="1"/>
  <c r="H314" i="12"/>
  <c r="AY314" i="12" s="1"/>
  <c r="H26" i="12"/>
  <c r="AY26" i="12" s="1"/>
  <c r="H702" i="12"/>
  <c r="AY702" i="12" s="1"/>
  <c r="H574" i="12"/>
  <c r="AY574" i="12" s="1"/>
  <c r="H542" i="12"/>
  <c r="AY542" i="12" s="1"/>
  <c r="H414" i="12"/>
  <c r="AY414" i="12" s="1"/>
  <c r="H222" i="12"/>
  <c r="AY222" i="12" s="1"/>
  <c r="H126" i="12"/>
  <c r="AY126" i="12" s="1"/>
  <c r="H30" i="12"/>
  <c r="AY30" i="12" s="1"/>
  <c r="H121" i="12"/>
  <c r="AY121" i="12" s="1"/>
  <c r="H692" i="12"/>
  <c r="AY692" i="12" s="1"/>
  <c r="H628" i="12"/>
  <c r="AY628" i="12" s="1"/>
  <c r="H596" i="12"/>
  <c r="AY596" i="12" s="1"/>
  <c r="H573" i="12"/>
  <c r="AY573" i="12" s="1"/>
  <c r="M9" i="86"/>
  <c r="M15" i="86"/>
  <c r="M27" i="86"/>
  <c r="M31" i="86"/>
  <c r="M35" i="86"/>
  <c r="M37" i="86"/>
  <c r="M41" i="86"/>
  <c r="M45" i="86"/>
  <c r="M47" i="86"/>
  <c r="M55" i="86"/>
  <c r="M57" i="86"/>
  <c r="M59" i="86"/>
  <c r="M63" i="86"/>
  <c r="M67" i="86"/>
  <c r="M69" i="86"/>
  <c r="M71" i="86"/>
  <c r="M73" i="86"/>
  <c r="M77" i="86"/>
  <c r="M79" i="86"/>
  <c r="M81" i="86"/>
  <c r="M83" i="86"/>
  <c r="M85" i="86"/>
  <c r="M87" i="86"/>
  <c r="M89" i="86"/>
  <c r="M91" i="86"/>
  <c r="M95" i="86"/>
  <c r="M99" i="86"/>
  <c r="M101" i="86"/>
  <c r="M103" i="86"/>
  <c r="M107" i="86"/>
  <c r="M109" i="86"/>
  <c r="M111" i="86"/>
  <c r="M113" i="86"/>
  <c r="M115" i="86"/>
  <c r="M117" i="86"/>
  <c r="M119" i="86"/>
  <c r="M121" i="86"/>
  <c r="M123" i="86"/>
  <c r="M125" i="86"/>
  <c r="M127" i="86"/>
  <c r="M129" i="86"/>
  <c r="M131" i="86"/>
  <c r="M133" i="86"/>
  <c r="M135" i="86"/>
  <c r="M137" i="86"/>
  <c r="M139" i="86"/>
  <c r="M141" i="86"/>
  <c r="M143" i="86"/>
  <c r="M145" i="86"/>
  <c r="M147" i="86"/>
  <c r="M149" i="86"/>
  <c r="M151" i="86"/>
  <c r="M153" i="86"/>
  <c r="M155" i="86"/>
  <c r="M157" i="86"/>
  <c r="M159" i="86"/>
  <c r="M161" i="86"/>
  <c r="M163" i="86"/>
  <c r="M165" i="86"/>
  <c r="M167" i="86"/>
  <c r="M169" i="86"/>
  <c r="M171" i="86"/>
  <c r="M177" i="86"/>
  <c r="M179" i="86"/>
  <c r="M183" i="86"/>
  <c r="M185" i="86"/>
  <c r="M187" i="86"/>
  <c r="M189" i="86"/>
  <c r="M199" i="86"/>
  <c r="M201" i="86"/>
  <c r="M203" i="86"/>
  <c r="M205" i="86"/>
  <c r="M207" i="86"/>
  <c r="M217" i="86"/>
  <c r="M221" i="86"/>
  <c r="M223" i="86"/>
  <c r="M225" i="86"/>
  <c r="M227" i="86"/>
  <c r="M233" i="86"/>
  <c r="M235" i="86"/>
  <c r="M237" i="86"/>
  <c r="M239" i="86"/>
  <c r="M243" i="86"/>
  <c r="M245" i="86"/>
  <c r="M247" i="86"/>
  <c r="M249" i="86"/>
  <c r="H284" i="12"/>
  <c r="AY284" i="12" s="1"/>
  <c r="H215" i="12"/>
  <c r="AY215" i="12" s="1"/>
  <c r="H690" i="12"/>
  <c r="AY690" i="12" s="1"/>
  <c r="H469" i="12"/>
  <c r="AY469" i="12" s="1"/>
  <c r="H341" i="12"/>
  <c r="AY341" i="12" s="1"/>
  <c r="H245" i="12"/>
  <c r="AY245" i="12" s="1"/>
  <c r="H181" i="12"/>
  <c r="AY181" i="12" s="1"/>
  <c r="H149" i="12"/>
  <c r="AY149" i="12" s="1"/>
  <c r="H85" i="12"/>
  <c r="AY85" i="12" s="1"/>
  <c r="H16" i="12"/>
  <c r="AY16" i="12" s="1"/>
  <c r="H422" i="12"/>
  <c r="AY422" i="12" s="1"/>
  <c r="H463" i="12"/>
  <c r="AY463" i="12" s="1"/>
  <c r="H119" i="12"/>
  <c r="AY119" i="12" s="1"/>
  <c r="Y2" i="86"/>
  <c r="H658" i="12"/>
  <c r="AY658" i="12" s="1"/>
  <c r="M251" i="86"/>
  <c r="M253" i="86"/>
  <c r="M255" i="86"/>
  <c r="M257" i="86"/>
  <c r="M259" i="86"/>
  <c r="M263" i="86"/>
  <c r="M265" i="86"/>
  <c r="M267" i="86"/>
  <c r="M271" i="86"/>
  <c r="M273" i="86"/>
  <c r="M275" i="86"/>
  <c r="M277" i="86"/>
  <c r="M279" i="86"/>
  <c r="M281" i="86"/>
  <c r="M283" i="86"/>
  <c r="M285" i="86"/>
  <c r="M287" i="86"/>
  <c r="M289" i="86"/>
  <c r="M291" i="86"/>
  <c r="M295" i="86"/>
  <c r="M299" i="86"/>
  <c r="M301" i="86"/>
  <c r="M303" i="86"/>
  <c r="M305" i="86"/>
  <c r="M307" i="86"/>
  <c r="M309" i="86"/>
  <c r="M317" i="86"/>
  <c r="M319" i="86"/>
  <c r="M321" i="86"/>
  <c r="M327" i="86"/>
  <c r="M329" i="86"/>
  <c r="M331" i="86"/>
  <c r="M333" i="86"/>
  <c r="M343" i="86"/>
  <c r="M345" i="86"/>
  <c r="M355" i="86"/>
  <c r="M357" i="86"/>
  <c r="M359" i="86"/>
  <c r="M363" i="86"/>
  <c r="M365" i="86"/>
  <c r="M367" i="86"/>
  <c r="M369" i="86"/>
  <c r="M371" i="86"/>
  <c r="M375" i="86"/>
  <c r="M377" i="86"/>
  <c r="M379" i="86"/>
  <c r="M381" i="86"/>
  <c r="M383" i="86"/>
  <c r="M385" i="86"/>
  <c r="M387" i="86"/>
  <c r="M389" i="86"/>
  <c r="M393" i="86"/>
  <c r="M395" i="86"/>
  <c r="M397" i="86"/>
  <c r="M399" i="86"/>
  <c r="M401" i="86"/>
  <c r="M403" i="86"/>
  <c r="M405" i="86"/>
  <c r="M407" i="86"/>
  <c r="M411" i="86"/>
  <c r="M413" i="86"/>
  <c r="M415" i="86"/>
  <c r="M417" i="86"/>
  <c r="M419" i="86"/>
  <c r="M421" i="86"/>
  <c r="M427" i="86"/>
  <c r="M429" i="86"/>
  <c r="M431" i="86"/>
  <c r="M433" i="86"/>
  <c r="M435" i="86"/>
  <c r="M437" i="86"/>
  <c r="M441" i="86"/>
  <c r="M443" i="86"/>
  <c r="M445" i="86"/>
  <c r="M447" i="86"/>
  <c r="M449" i="86"/>
  <c r="M451" i="86"/>
  <c r="M453" i="86"/>
  <c r="M455" i="86"/>
  <c r="M463" i="86"/>
  <c r="M465" i="86"/>
  <c r="M467" i="86"/>
  <c r="M469" i="86"/>
  <c r="M471" i="86"/>
  <c r="M473" i="86"/>
  <c r="M14" i="86"/>
  <c r="M50" i="86"/>
  <c r="M80" i="86"/>
  <c r="M108" i="86"/>
  <c r="M136" i="86"/>
  <c r="M166" i="86"/>
  <c r="M186" i="86"/>
  <c r="M214" i="86"/>
  <c r="M240" i="86"/>
  <c r="M276" i="86"/>
  <c r="M304" i="86"/>
  <c r="M342" i="86"/>
  <c r="M364" i="86"/>
  <c r="M392" i="86"/>
  <c r="M416" i="86"/>
  <c r="M440" i="86"/>
  <c r="M462" i="86"/>
  <c r="M476" i="86"/>
  <c r="M492" i="86"/>
  <c r="M508" i="86"/>
  <c r="M518" i="86"/>
  <c r="M538" i="86"/>
  <c r="M554" i="86"/>
  <c r="M568" i="86"/>
  <c r="M584" i="86"/>
  <c r="M596" i="86"/>
  <c r="M608" i="86"/>
  <c r="M622" i="86"/>
  <c r="M638" i="86"/>
  <c r="M650" i="86"/>
  <c r="M662" i="86"/>
  <c r="M670" i="86"/>
  <c r="M680" i="86"/>
  <c r="M686" i="86"/>
  <c r="M692" i="86"/>
  <c r="M702" i="86"/>
  <c r="H603" i="12"/>
  <c r="AY603" i="12" s="1"/>
  <c r="H475" i="12"/>
  <c r="AY475" i="12" s="1"/>
  <c r="H347" i="12"/>
  <c r="AY347" i="12" s="1"/>
  <c r="H187" i="12"/>
  <c r="AY187" i="12" s="1"/>
  <c r="H59" i="12"/>
  <c r="AY59" i="12" s="1"/>
  <c r="H630" i="12"/>
  <c r="AY630" i="12" s="1"/>
  <c r="H502" i="12"/>
  <c r="AY502" i="12" s="1"/>
  <c r="H406" i="12"/>
  <c r="AY406" i="12" s="1"/>
  <c r="H310" i="12"/>
  <c r="AY310" i="12" s="1"/>
  <c r="H278" i="12"/>
  <c r="AY278" i="12" s="1"/>
  <c r="H246" i="12"/>
  <c r="AY246" i="12" s="1"/>
  <c r="H214" i="12"/>
  <c r="AY214" i="12" s="1"/>
  <c r="M46" i="86"/>
  <c r="M78" i="86"/>
  <c r="M104" i="86"/>
  <c r="M126" i="86"/>
  <c r="M160" i="86"/>
  <c r="M188" i="86"/>
  <c r="M220" i="86"/>
  <c r="M244" i="86"/>
  <c r="M272" i="86"/>
  <c r="M300" i="86"/>
  <c r="M334" i="86"/>
  <c r="M358" i="86"/>
  <c r="M384" i="86"/>
  <c r="M418" i="86"/>
  <c r="M500" i="86"/>
  <c r="H571" i="12"/>
  <c r="AY571" i="12" s="1"/>
  <c r="H411" i="12"/>
  <c r="AY411" i="12" s="1"/>
  <c r="H251" i="12"/>
  <c r="AY251" i="12" s="1"/>
  <c r="H91" i="12"/>
  <c r="AY91" i="12" s="1"/>
  <c r="H598" i="12"/>
  <c r="AY598" i="12" s="1"/>
  <c r="H342" i="12"/>
  <c r="AY342" i="12" s="1"/>
  <c r="H218" i="12"/>
  <c r="AY218" i="12" s="1"/>
  <c r="M16" i="86"/>
  <c r="M48" i="86"/>
  <c r="M74" i="86"/>
  <c r="M100" i="86"/>
  <c r="M134" i="86"/>
  <c r="M168" i="86"/>
  <c r="M196" i="86"/>
  <c r="M222" i="86"/>
  <c r="M242" i="86"/>
  <c r="M274" i="86"/>
  <c r="M306" i="86"/>
  <c r="M344" i="86"/>
  <c r="M368" i="86"/>
  <c r="M390" i="86"/>
  <c r="M408" i="86"/>
  <c r="M434" i="86"/>
  <c r="M448" i="86"/>
  <c r="M466" i="86"/>
  <c r="M486" i="86"/>
  <c r="M510" i="86"/>
  <c r="M526" i="86"/>
  <c r="M544" i="86"/>
  <c r="M560" i="86"/>
  <c r="M570" i="86"/>
  <c r="M586" i="86"/>
  <c r="M598" i="86"/>
  <c r="M610" i="86"/>
  <c r="M624" i="86"/>
  <c r="M636" i="86"/>
  <c r="M648" i="86"/>
  <c r="M658" i="86"/>
  <c r="M668" i="86"/>
  <c r="M676" i="86"/>
  <c r="M684" i="86"/>
  <c r="M694" i="86"/>
  <c r="H699" i="12"/>
  <c r="AY699" i="12" s="1"/>
  <c r="H539" i="12"/>
  <c r="AY539" i="12" s="1"/>
  <c r="H379" i="12"/>
  <c r="AY379" i="12" s="1"/>
  <c r="H219" i="12"/>
  <c r="AY219" i="12" s="1"/>
  <c r="H27" i="12"/>
  <c r="AY27" i="12" s="1"/>
  <c r="H470" i="12"/>
  <c r="AY470" i="12" s="1"/>
  <c r="H697" i="12"/>
  <c r="AY697" i="12" s="1"/>
  <c r="H409" i="12"/>
  <c r="AY409" i="12" s="1"/>
  <c r="H180" i="12"/>
  <c r="AY180" i="12" s="1"/>
  <c r="M12" i="86"/>
  <c r="M42" i="86"/>
  <c r="M76" i="86"/>
  <c r="M106" i="86"/>
  <c r="M128" i="86"/>
  <c r="M156" i="86"/>
  <c r="M184" i="86"/>
  <c r="M210" i="86"/>
  <c r="M238" i="86"/>
  <c r="M270" i="86"/>
  <c r="M302" i="86"/>
  <c r="M338" i="86"/>
  <c r="M360" i="86"/>
  <c r="M386" i="86"/>
  <c r="M410" i="86"/>
  <c r="M442" i="86"/>
  <c r="M470" i="86"/>
  <c r="M502" i="86"/>
  <c r="M534" i="86"/>
  <c r="M566" i="86"/>
  <c r="M630" i="86"/>
  <c r="H635" i="12"/>
  <c r="AY635" i="12" s="1"/>
  <c r="H507" i="12"/>
  <c r="AY507" i="12" s="1"/>
  <c r="H315" i="12"/>
  <c r="AY315" i="12" s="1"/>
  <c r="H155" i="12"/>
  <c r="AY155" i="12" s="1"/>
  <c r="H662" i="12"/>
  <c r="AY662" i="12" s="1"/>
  <c r="H374" i="12"/>
  <c r="AY374" i="12" s="1"/>
  <c r="H441" i="12"/>
  <c r="AY441" i="12" s="1"/>
  <c r="H185" i="12"/>
  <c r="AY185" i="12" s="1"/>
  <c r="H88" i="12"/>
  <c r="AY88" i="12" s="1"/>
  <c r="M10" i="86"/>
  <c r="M40" i="86"/>
  <c r="M70" i="86"/>
  <c r="M102" i="86"/>
  <c r="M132" i="86"/>
  <c r="M164" i="86"/>
  <c r="M194" i="86"/>
  <c r="M218" i="86"/>
  <c r="M236" i="86"/>
  <c r="M268" i="86"/>
  <c r="M298" i="86"/>
  <c r="M336" i="86"/>
  <c r="M366" i="86"/>
  <c r="M394" i="86"/>
  <c r="M414" i="86"/>
  <c r="M438" i="86"/>
  <c r="M450" i="86"/>
  <c r="M464" i="86"/>
  <c r="M490" i="86"/>
  <c r="M516" i="86"/>
  <c r="M536" i="86"/>
  <c r="M552" i="86"/>
  <c r="M564" i="86"/>
  <c r="M578" i="86"/>
  <c r="M592" i="86"/>
  <c r="M600" i="86"/>
  <c r="M612" i="86"/>
  <c r="M620" i="86"/>
  <c r="M634" i="86"/>
  <c r="M642" i="86"/>
  <c r="M654" i="86"/>
  <c r="M666" i="86"/>
  <c r="M674" i="86"/>
  <c r="M682" i="86"/>
  <c r="M690" i="86"/>
  <c r="M698" i="86"/>
  <c r="M700" i="86"/>
  <c r="H667" i="12"/>
  <c r="AY667" i="12" s="1"/>
  <c r="H443" i="12"/>
  <c r="AY443" i="12" s="1"/>
  <c r="H283" i="12"/>
  <c r="AY283" i="12" s="1"/>
  <c r="H123" i="12"/>
  <c r="AY123" i="12" s="1"/>
  <c r="H694" i="12"/>
  <c r="AY694" i="12" s="1"/>
  <c r="H438" i="12"/>
  <c r="AY438" i="12" s="1"/>
  <c r="H473" i="12"/>
  <c r="AY473" i="12" s="1"/>
  <c r="H217" i="12"/>
  <c r="AY217" i="12" s="1"/>
  <c r="M6" i="86"/>
  <c r="M38" i="86"/>
  <c r="M68" i="86"/>
  <c r="M98" i="86"/>
  <c r="M130" i="86"/>
  <c r="M162" i="86"/>
  <c r="M190" i="86"/>
  <c r="M216" i="86"/>
  <c r="M246" i="86"/>
  <c r="M278" i="86"/>
  <c r="M308" i="86"/>
  <c r="M340" i="86"/>
  <c r="M362" i="86"/>
  <c r="M388" i="86"/>
  <c r="M412" i="86"/>
  <c r="M436" i="86"/>
  <c r="M452" i="86"/>
  <c r="M468" i="86"/>
  <c r="M488" i="86"/>
  <c r="M512" i="86"/>
  <c r="M528" i="86"/>
  <c r="M542" i="86"/>
  <c r="M562" i="86"/>
  <c r="M576" i="86"/>
  <c r="M594" i="86"/>
  <c r="M602" i="86"/>
  <c r="M618" i="86"/>
  <c r="M628" i="86"/>
  <c r="M640" i="86"/>
  <c r="M652" i="86"/>
  <c r="M664" i="86"/>
  <c r="M672" i="86"/>
  <c r="M678" i="86"/>
  <c r="M688" i="86"/>
  <c r="M696" i="86"/>
  <c r="M704" i="86"/>
  <c r="AH2" i="86"/>
  <c r="M34" i="86"/>
  <c r="M64" i="86"/>
  <c r="M94" i="86"/>
  <c r="M124" i="86"/>
  <c r="M154" i="86"/>
  <c r="M176" i="86"/>
  <c r="M200" i="86"/>
  <c r="M226" i="86"/>
  <c r="M256" i="86"/>
  <c r="M296" i="86"/>
  <c r="M330" i="86"/>
  <c r="M356" i="86"/>
  <c r="M380" i="86"/>
  <c r="M402" i="86"/>
  <c r="M428" i="86"/>
  <c r="M456" i="86"/>
  <c r="M480" i="86"/>
  <c r="M506" i="86"/>
  <c r="M532" i="86"/>
  <c r="M556" i="86"/>
  <c r="M588" i="86"/>
  <c r="M626" i="86"/>
  <c r="M22" i="86"/>
  <c r="M44" i="86"/>
  <c r="M62" i="86"/>
  <c r="M90" i="86"/>
  <c r="M110" i="86"/>
  <c r="M140" i="86"/>
  <c r="M174" i="86"/>
  <c r="M198" i="86"/>
  <c r="M224" i="86"/>
  <c r="M254" i="86"/>
  <c r="M288" i="86"/>
  <c r="M314" i="86"/>
  <c r="M350" i="86"/>
  <c r="M372" i="86"/>
  <c r="M398" i="86"/>
  <c r="M420" i="86"/>
  <c r="M444" i="86"/>
  <c r="M474" i="86"/>
  <c r="M498" i="86"/>
  <c r="M530" i="86"/>
  <c r="M558" i="86"/>
  <c r="M590" i="86"/>
  <c r="M632" i="86"/>
  <c r="M26" i="86"/>
  <c r="M54" i="86"/>
  <c r="M82" i="86"/>
  <c r="M118" i="86"/>
  <c r="M150" i="86"/>
  <c r="M178" i="86"/>
  <c r="M202" i="86"/>
  <c r="M230" i="86"/>
  <c r="M260" i="86"/>
  <c r="M292" i="86"/>
  <c r="M322" i="86"/>
  <c r="M354" i="86"/>
  <c r="M378" i="86"/>
  <c r="M406" i="86"/>
  <c r="M430" i="86"/>
  <c r="M460" i="86"/>
  <c r="M484" i="86"/>
  <c r="M514" i="86"/>
  <c r="M540" i="86"/>
  <c r="M574" i="86"/>
  <c r="M604" i="86"/>
  <c r="M644" i="86"/>
  <c r="H499" i="12"/>
  <c r="AY499" i="12" s="1"/>
  <c r="H307" i="12"/>
  <c r="AY307" i="12" s="1"/>
  <c r="M30" i="86"/>
  <c r="M56" i="86"/>
  <c r="M86" i="86"/>
  <c r="M120" i="86"/>
  <c r="M152" i="86"/>
  <c r="M180" i="86"/>
  <c r="M208" i="86"/>
  <c r="M228" i="86"/>
  <c r="M252" i="86"/>
  <c r="M286" i="86"/>
  <c r="M312" i="86"/>
  <c r="M348" i="86"/>
  <c r="M370" i="86"/>
  <c r="M396" i="86"/>
  <c r="M424" i="86"/>
  <c r="M454" i="86"/>
  <c r="M482" i="86"/>
  <c r="M504" i="86"/>
  <c r="M524" i="86"/>
  <c r="M550" i="86"/>
  <c r="M580" i="86"/>
  <c r="M614" i="86"/>
  <c r="M656" i="86"/>
  <c r="M28" i="86"/>
  <c r="M58" i="86"/>
  <c r="M88" i="86"/>
  <c r="M116" i="86"/>
  <c r="M146" i="86"/>
  <c r="M172" i="86"/>
  <c r="M206" i="86"/>
  <c r="M234" i="86"/>
  <c r="M258" i="86"/>
  <c r="M290" i="86"/>
  <c r="M320" i="86"/>
  <c r="M346" i="86"/>
  <c r="M374" i="86"/>
  <c r="M400" i="86"/>
  <c r="M422" i="86"/>
  <c r="M446" i="86"/>
  <c r="M472" i="86"/>
  <c r="M494" i="86"/>
  <c r="M522" i="86"/>
  <c r="M546" i="86"/>
  <c r="M572" i="86"/>
  <c r="M606" i="86"/>
  <c r="M646" i="86"/>
  <c r="H108" i="12"/>
  <c r="AY108" i="12" s="1"/>
  <c r="M93" i="86"/>
  <c r="M24" i="86"/>
  <c r="M60" i="86"/>
  <c r="M92" i="86"/>
  <c r="M112" i="86"/>
  <c r="M138" i="86"/>
  <c r="M170" i="86"/>
  <c r="M204" i="86"/>
  <c r="M232" i="86"/>
  <c r="M262" i="86"/>
  <c r="M294" i="86"/>
  <c r="M324" i="86"/>
  <c r="M352" i="86"/>
  <c r="M382" i="86"/>
  <c r="M404" i="86"/>
  <c r="M432" i="86"/>
  <c r="M458" i="86"/>
  <c r="M478" i="86"/>
  <c r="M496" i="86"/>
  <c r="M520" i="86"/>
  <c r="M548" i="86"/>
  <c r="M582" i="86"/>
  <c r="M616" i="86"/>
  <c r="M660" i="86"/>
  <c r="M105" i="86"/>
  <c r="M52" i="86"/>
  <c r="M84" i="86"/>
  <c r="M114" i="86"/>
  <c r="M148" i="86"/>
  <c r="M182" i="86"/>
  <c r="M212" i="86"/>
  <c r="M250" i="86"/>
  <c r="M310" i="86"/>
  <c r="M426" i="86"/>
  <c r="M173" i="86"/>
  <c r="M181" i="86"/>
  <c r="M193" i="86"/>
  <c r="M197" i="86"/>
  <c r="M209" i="86"/>
  <c r="M215" i="86"/>
  <c r="M229" i="86"/>
  <c r="M241" i="86"/>
  <c r="M261" i="86"/>
  <c r="M269" i="86"/>
  <c r="M293" i="86"/>
  <c r="M313" i="86"/>
  <c r="M325" i="86"/>
  <c r="M341" i="86"/>
  <c r="M347" i="86"/>
  <c r="M349" i="86"/>
  <c r="M351" i="86"/>
  <c r="M353" i="86"/>
  <c r="M361" i="86"/>
  <c r="M391" i="86"/>
  <c r="M423" i="86"/>
  <c r="M425" i="86"/>
  <c r="M439" i="86"/>
  <c r="M457" i="86"/>
  <c r="M461" i="86"/>
  <c r="M36" i="86"/>
  <c r="M66" i="86"/>
  <c r="M96" i="86"/>
  <c r="M122" i="86"/>
  <c r="M158" i="86"/>
  <c r="M192" i="86"/>
  <c r="M248" i="86"/>
  <c r="M376" i="86"/>
  <c r="M43" i="86"/>
  <c r="M191" i="86"/>
  <c r="M195" i="86"/>
  <c r="M213" i="86"/>
  <c r="M219" i="86"/>
  <c r="M231" i="86"/>
  <c r="M297" i="86"/>
  <c r="M311" i="86"/>
  <c r="M315" i="86"/>
  <c r="M323" i="86"/>
  <c r="M339" i="86"/>
  <c r="AB2" i="86"/>
  <c r="M280" i="86"/>
  <c r="M282" i="86"/>
  <c r="M316" i="86"/>
  <c r="M328" i="86"/>
  <c r="M326" i="86"/>
  <c r="M284" i="86"/>
  <c r="M264" i="86"/>
  <c r="M266" i="86"/>
  <c r="M332" i="86"/>
  <c r="M318" i="86"/>
  <c r="H257" i="12"/>
  <c r="AY257" i="12" s="1"/>
  <c r="H540" i="12"/>
  <c r="AY540" i="12" s="1"/>
  <c r="H72" i="12"/>
  <c r="AY72" i="12" s="1"/>
  <c r="H675" i="12"/>
  <c r="AY675" i="12" s="1"/>
  <c r="H254" i="12"/>
  <c r="AY254" i="12" s="1"/>
  <c r="H564" i="12"/>
  <c r="AY564" i="12" s="1"/>
  <c r="M144" i="86"/>
  <c r="H608" i="12"/>
  <c r="AY608" i="12" s="1"/>
  <c r="H145" i="12"/>
  <c r="AY145" i="12" s="1"/>
  <c r="M142" i="86"/>
  <c r="H693" i="12"/>
  <c r="AY693" i="12" s="1"/>
  <c r="H661" i="12"/>
  <c r="AY661" i="12" s="1"/>
  <c r="H629" i="12"/>
  <c r="AY629" i="12" s="1"/>
  <c r="H597" i="12"/>
  <c r="AY597" i="12" s="1"/>
  <c r="H565" i="12"/>
  <c r="AY565" i="12" s="1"/>
  <c r="H533" i="12"/>
  <c r="AY533" i="12" s="1"/>
  <c r="H501" i="12"/>
  <c r="AY501" i="12" s="1"/>
  <c r="H437" i="12"/>
  <c r="AY437" i="12" s="1"/>
  <c r="H373" i="12"/>
  <c r="AY373" i="12" s="1"/>
  <c r="H277" i="12"/>
  <c r="AY277" i="12" s="1"/>
  <c r="H213" i="12"/>
  <c r="AY213" i="12" s="1"/>
  <c r="H117" i="12"/>
  <c r="AY117" i="12" s="1"/>
  <c r="H53" i="12"/>
  <c r="AY53" i="12" s="1"/>
  <c r="H21" i="12"/>
  <c r="AY21" i="12" s="1"/>
  <c r="H560" i="12"/>
  <c r="AY560" i="12" s="1"/>
  <c r="H395" i="12"/>
  <c r="AY395" i="12" s="1"/>
  <c r="H372" i="12"/>
  <c r="AY372" i="12" s="1"/>
  <c r="H686" i="12"/>
  <c r="AY686" i="12" s="1"/>
  <c r="H681" i="12"/>
  <c r="AY681" i="12" s="1"/>
  <c r="H329" i="12"/>
  <c r="AY329" i="12" s="1"/>
  <c r="H73" i="12"/>
  <c r="AY73" i="12" s="1"/>
  <c r="H653" i="12"/>
  <c r="AY653" i="12" s="1"/>
  <c r="H182" i="12"/>
  <c r="AY182" i="12" s="1"/>
  <c r="H150" i="12"/>
  <c r="AY150" i="12" s="1"/>
  <c r="H118" i="12"/>
  <c r="AY118" i="12" s="1"/>
  <c r="H86" i="12"/>
  <c r="AY86" i="12" s="1"/>
  <c r="H54" i="12"/>
  <c r="AY54" i="12" s="1"/>
  <c r="H657" i="12"/>
  <c r="AY657" i="12" s="1"/>
  <c r="H625" i="12"/>
  <c r="AY625" i="12" s="1"/>
  <c r="H593" i="12"/>
  <c r="AY593" i="12" s="1"/>
  <c r="H561" i="12"/>
  <c r="AY561" i="12" s="1"/>
  <c r="H529" i="12"/>
  <c r="AY529" i="12" s="1"/>
  <c r="H497" i="12"/>
  <c r="AY497" i="12" s="1"/>
  <c r="H465" i="12"/>
  <c r="AY465" i="12" s="1"/>
  <c r="H433" i="12"/>
  <c r="AY433" i="12" s="1"/>
  <c r="H401" i="12"/>
  <c r="AY401" i="12" s="1"/>
  <c r="H369" i="12"/>
  <c r="AY369" i="12" s="1"/>
  <c r="H337" i="12"/>
  <c r="AY337" i="12" s="1"/>
  <c r="H305" i="12"/>
  <c r="AY305" i="12" s="1"/>
  <c r="H273" i="12"/>
  <c r="AY273" i="12" s="1"/>
  <c r="H241" i="12"/>
  <c r="AY241" i="12" s="1"/>
  <c r="H209" i="12"/>
  <c r="AY209" i="12" s="1"/>
  <c r="H177" i="12"/>
  <c r="AY177" i="12" s="1"/>
  <c r="H113" i="12"/>
  <c r="AY113" i="12" s="1"/>
  <c r="H81" i="12"/>
  <c r="AY81" i="12" s="1"/>
  <c r="H49" i="12"/>
  <c r="AY49" i="12" s="1"/>
  <c r="H17" i="12"/>
  <c r="AY17" i="12" s="1"/>
  <c r="H684" i="12"/>
  <c r="AY684" i="12" s="1"/>
  <c r="H652" i="12"/>
  <c r="AY652" i="12" s="1"/>
  <c r="H620" i="12"/>
  <c r="AY620" i="12" s="1"/>
  <c r="H588" i="12"/>
  <c r="AY588" i="12" s="1"/>
  <c r="H556" i="12"/>
  <c r="AY556" i="12" s="1"/>
  <c r="H524" i="12"/>
  <c r="AY524" i="12" s="1"/>
  <c r="H492" i="12"/>
  <c r="AY492" i="12" s="1"/>
  <c r="H460" i="12"/>
  <c r="AY460" i="12" s="1"/>
  <c r="H428" i="12"/>
  <c r="AY428" i="12" s="1"/>
  <c r="H396" i="12"/>
  <c r="AY396" i="12" s="1"/>
  <c r="H364" i="12"/>
  <c r="AY364" i="12" s="1"/>
  <c r="H332" i="12"/>
  <c r="AY332" i="12" s="1"/>
  <c r="H300" i="12"/>
  <c r="AY300" i="12" s="1"/>
  <c r="H268" i="12"/>
  <c r="AY268" i="12" s="1"/>
  <c r="H236" i="12"/>
  <c r="AY236" i="12" s="1"/>
  <c r="H204" i="12"/>
  <c r="AY204" i="12" s="1"/>
  <c r="H172" i="12"/>
  <c r="AY172" i="12" s="1"/>
  <c r="H140" i="12"/>
  <c r="AY140" i="12" s="1"/>
  <c r="H76" i="12"/>
  <c r="AY76" i="12" s="1"/>
  <c r="H44" i="12"/>
  <c r="AY44" i="12" s="1"/>
  <c r="H679" i="12"/>
  <c r="AY679" i="12" s="1"/>
  <c r="H647" i="12"/>
  <c r="AY647" i="12" s="1"/>
  <c r="H615" i="12"/>
  <c r="AY615" i="12" s="1"/>
  <c r="H583" i="12"/>
  <c r="AY583" i="12" s="1"/>
  <c r="H519" i="12"/>
  <c r="AY519" i="12" s="1"/>
  <c r="H487" i="12"/>
  <c r="AY487" i="12" s="1"/>
  <c r="H455" i="12"/>
  <c r="AY455" i="12" s="1"/>
  <c r="H423" i="12"/>
  <c r="AY423" i="12" s="1"/>
  <c r="H391" i="12"/>
  <c r="AY391" i="12" s="1"/>
  <c r="H359" i="12"/>
  <c r="AY359" i="12" s="1"/>
  <c r="H327" i="12"/>
  <c r="AY327" i="12" s="1"/>
  <c r="H295" i="12"/>
  <c r="AY295" i="12" s="1"/>
  <c r="H263" i="12"/>
  <c r="AY263" i="12" s="1"/>
  <c r="H231" i="12"/>
  <c r="AY231" i="12" s="1"/>
  <c r="H199" i="12"/>
  <c r="AY199" i="12" s="1"/>
  <c r="H167" i="12"/>
  <c r="AY167" i="12" s="1"/>
  <c r="H135" i="12"/>
  <c r="AY135" i="12" s="1"/>
  <c r="H103" i="12"/>
  <c r="AY103" i="12" s="1"/>
  <c r="H71" i="12"/>
  <c r="AY71" i="12" s="1"/>
  <c r="H39" i="12"/>
  <c r="AY39" i="12" s="1"/>
  <c r="H674" i="12"/>
  <c r="AY674" i="12" s="1"/>
  <c r="H642" i="12"/>
  <c r="AY642" i="12" s="1"/>
  <c r="H578" i="12"/>
  <c r="AY578" i="12" s="1"/>
  <c r="H546" i="12"/>
  <c r="AY546" i="12" s="1"/>
  <c r="H514" i="12"/>
  <c r="AY514" i="12" s="1"/>
  <c r="H482" i="12"/>
  <c r="AY482" i="12" s="1"/>
  <c r="H450" i="12"/>
  <c r="AY450" i="12" s="1"/>
  <c r="H386" i="12"/>
  <c r="AY386" i="12" s="1"/>
  <c r="H354" i="12"/>
  <c r="AY354" i="12" s="1"/>
  <c r="H322" i="12"/>
  <c r="AY322" i="12" s="1"/>
  <c r="H290" i="12"/>
  <c r="AY290" i="12" s="1"/>
  <c r="H258" i="12"/>
  <c r="AY258" i="12" s="1"/>
  <c r="H226" i="12"/>
  <c r="AY226" i="12" s="1"/>
  <c r="H194" i="12"/>
  <c r="AY194" i="12" s="1"/>
  <c r="H130" i="12"/>
  <c r="AY130" i="12" s="1"/>
  <c r="H66" i="12"/>
  <c r="AY66" i="12" s="1"/>
  <c r="H34" i="12"/>
  <c r="AY34" i="12" s="1"/>
  <c r="H602" i="12"/>
  <c r="AY602" i="12" s="1"/>
  <c r="H538" i="12"/>
  <c r="AY538" i="12" s="1"/>
  <c r="H378" i="12"/>
  <c r="AY378" i="12" s="1"/>
  <c r="H186" i="12"/>
  <c r="AY186" i="12" s="1"/>
  <c r="H58" i="12"/>
  <c r="AY58" i="12" s="1"/>
  <c r="H148" i="12"/>
  <c r="AY148" i="12" s="1"/>
  <c r="H116" i="12"/>
  <c r="AY116" i="12" s="1"/>
  <c r="H52" i="12"/>
  <c r="AY52" i="12" s="1"/>
  <c r="H138" i="12"/>
  <c r="AY138" i="12" s="1"/>
  <c r="H106" i="12"/>
  <c r="AY106" i="12" s="1"/>
  <c r="H74" i="12"/>
  <c r="AY74" i="12" s="1"/>
  <c r="H261" i="12"/>
  <c r="AY261" i="12" s="1"/>
  <c r="H311" i="12"/>
  <c r="AY311" i="12" s="1"/>
  <c r="H566" i="12"/>
  <c r="AY566" i="12" s="1"/>
  <c r="H534" i="12"/>
  <c r="AY534" i="12" s="1"/>
  <c r="H22" i="12"/>
  <c r="AY22" i="12" s="1"/>
  <c r="M175" i="86"/>
  <c r="H660" i="12"/>
  <c r="AY660" i="12" s="1"/>
  <c r="H84" i="12"/>
  <c r="AY84" i="12" s="1"/>
  <c r="H622" i="12"/>
  <c r="AY622" i="12" s="1"/>
  <c r="H526" i="12"/>
  <c r="AY526" i="12" s="1"/>
  <c r="H174" i="12"/>
  <c r="AY174" i="12" s="1"/>
  <c r="H142" i="12"/>
  <c r="AY142" i="12" s="1"/>
  <c r="H553" i="12"/>
  <c r="AY553" i="12" s="1"/>
  <c r="H489" i="12"/>
  <c r="AY489" i="12" s="1"/>
  <c r="H361" i="12"/>
  <c r="AY361" i="12" s="1"/>
  <c r="H297" i="12"/>
  <c r="AY297" i="12" s="1"/>
  <c r="H201" i="12"/>
  <c r="AY201" i="12" s="1"/>
  <c r="H548" i="12"/>
  <c r="AY548" i="12" s="1"/>
  <c r="H516" i="12"/>
  <c r="AY516" i="12" s="1"/>
  <c r="H484" i="12"/>
  <c r="AY484" i="12" s="1"/>
  <c r="H452" i="12"/>
  <c r="AY452" i="12" s="1"/>
  <c r="H228" i="12"/>
  <c r="AY228" i="12" s="1"/>
  <c r="H36" i="12"/>
  <c r="AY36" i="12" s="1"/>
  <c r="H689" i="12"/>
  <c r="AY689" i="12" s="1"/>
  <c r="H551" i="12"/>
  <c r="AY551" i="12" s="1"/>
  <c r="H522" i="12"/>
  <c r="AY522" i="12" s="1"/>
  <c r="H678" i="12"/>
  <c r="AY678" i="12" s="1"/>
  <c r="H420" i="12"/>
  <c r="AY420" i="12" s="1"/>
  <c r="H611" i="12"/>
  <c r="AY611" i="12" s="1"/>
  <c r="H451" i="12"/>
  <c r="AY451" i="12" s="1"/>
  <c r="H291" i="12"/>
  <c r="AY291" i="12" s="1"/>
  <c r="H259" i="12"/>
  <c r="AY259" i="12" s="1"/>
  <c r="H67" i="12"/>
  <c r="AY67" i="12" s="1"/>
  <c r="H610" i="12"/>
  <c r="AY610" i="12" s="1"/>
  <c r="H418" i="12"/>
  <c r="AY418" i="12" s="1"/>
  <c r="H162" i="12"/>
  <c r="AY162" i="12" s="1"/>
  <c r="H98" i="12"/>
  <c r="AY98" i="12" s="1"/>
  <c r="M475" i="86"/>
  <c r="M481" i="86"/>
  <c r="M483" i="86"/>
  <c r="M485" i="86"/>
  <c r="M487" i="86"/>
  <c r="M489" i="86"/>
  <c r="M491" i="86"/>
  <c r="M493" i="86"/>
  <c r="M495" i="86"/>
  <c r="M497" i="86"/>
  <c r="M499" i="86"/>
  <c r="M503" i="86"/>
  <c r="M505" i="86"/>
  <c r="M507" i="86"/>
  <c r="M509" i="86"/>
  <c r="M513" i="86"/>
  <c r="M517" i="86"/>
  <c r="M519" i="86"/>
  <c r="M521" i="86"/>
  <c r="M525" i="86"/>
  <c r="M527" i="86"/>
  <c r="M529" i="86"/>
  <c r="M531" i="86"/>
  <c r="M533" i="86"/>
  <c r="M535" i="86"/>
  <c r="M537" i="86"/>
  <c r="M539" i="86"/>
  <c r="M541" i="86"/>
  <c r="M543" i="86"/>
  <c r="M545" i="86"/>
  <c r="M547" i="86"/>
  <c r="M549" i="86"/>
  <c r="M551" i="86"/>
  <c r="M555" i="86"/>
  <c r="M557" i="86"/>
  <c r="M559" i="86"/>
  <c r="M561" i="86"/>
  <c r="M563" i="86"/>
  <c r="M567" i="86"/>
  <c r="M569" i="86"/>
  <c r="M571" i="86"/>
  <c r="M573" i="86"/>
  <c r="M577" i="86"/>
  <c r="M579" i="86"/>
  <c r="M581" i="86"/>
  <c r="M583" i="86"/>
  <c r="M585" i="86"/>
  <c r="M587" i="86"/>
  <c r="M589" i="86"/>
  <c r="M591" i="86"/>
  <c r="M597" i="86"/>
  <c r="M599" i="86"/>
  <c r="M601" i="86"/>
  <c r="M603" i="86"/>
  <c r="M605" i="86"/>
  <c r="M607" i="86"/>
  <c r="M609" i="86"/>
  <c r="M613" i="86"/>
  <c r="M615" i="86"/>
  <c r="M617" i="86"/>
  <c r="M621" i="86"/>
  <c r="M623" i="86"/>
  <c r="M625" i="86"/>
  <c r="M631" i="86"/>
  <c r="M633" i="86"/>
  <c r="M635" i="86"/>
  <c r="M637" i="86"/>
  <c r="M641" i="86"/>
  <c r="M643" i="86"/>
  <c r="M645" i="86"/>
  <c r="M651" i="86"/>
  <c r="M657" i="86"/>
  <c r="M661" i="86"/>
  <c r="M663" i="86"/>
  <c r="M665" i="86"/>
  <c r="M671" i="86"/>
  <c r="M675" i="86"/>
  <c r="M677" i="86"/>
  <c r="M679" i="86"/>
  <c r="M681" i="86"/>
  <c r="M683" i="86"/>
  <c r="M693" i="86"/>
  <c r="M699" i="86"/>
  <c r="M701" i="86"/>
  <c r="M703" i="86"/>
  <c r="H349" i="12"/>
  <c r="AY349" i="12" s="1"/>
  <c r="M8" i="86"/>
  <c r="M18" i="86"/>
  <c r="M20" i="86"/>
  <c r="M32" i="86"/>
  <c r="M72" i="86"/>
  <c r="H704" i="12"/>
  <c r="AY704" i="12" s="1"/>
  <c r="AQ2" i="86"/>
  <c r="H253" i="12"/>
  <c r="AY253" i="12" s="1"/>
  <c r="H366" i="12"/>
  <c r="AY366" i="12" s="1"/>
  <c r="H270" i="12"/>
  <c r="AY270" i="12" s="1"/>
  <c r="H238" i="12"/>
  <c r="AY238" i="12" s="1"/>
  <c r="H206" i="12"/>
  <c r="AY206" i="12" s="1"/>
  <c r="H110" i="12"/>
  <c r="AY110" i="12" s="1"/>
  <c r="H78" i="12"/>
  <c r="AY78" i="12" s="1"/>
  <c r="H46" i="12"/>
  <c r="AY46" i="12" s="1"/>
  <c r="H649" i="12"/>
  <c r="AY649" i="12" s="1"/>
  <c r="H617" i="12"/>
  <c r="AY617" i="12" s="1"/>
  <c r="H585" i="12"/>
  <c r="AY585" i="12" s="1"/>
  <c r="H521" i="12"/>
  <c r="AY521" i="12" s="1"/>
  <c r="H457" i="12"/>
  <c r="AY457" i="12" s="1"/>
  <c r="H425" i="12"/>
  <c r="AY425" i="12" s="1"/>
  <c r="H393" i="12"/>
  <c r="AY393" i="12" s="1"/>
  <c r="H233" i="12"/>
  <c r="AY233" i="12" s="1"/>
  <c r="H41" i="12"/>
  <c r="AY41" i="12" s="1"/>
  <c r="H676" i="12"/>
  <c r="AY676" i="12" s="1"/>
  <c r="H644" i="12"/>
  <c r="AY644" i="12" s="1"/>
  <c r="H612" i="12"/>
  <c r="AY612" i="12" s="1"/>
  <c r="H580" i="12"/>
  <c r="AY580" i="12" s="1"/>
  <c r="H388" i="12"/>
  <c r="AY388" i="12" s="1"/>
  <c r="H356" i="12"/>
  <c r="AY356" i="12" s="1"/>
  <c r="H324" i="12"/>
  <c r="AY324" i="12" s="1"/>
  <c r="H292" i="12"/>
  <c r="AY292" i="12" s="1"/>
  <c r="H260" i="12"/>
  <c r="AY260" i="12" s="1"/>
  <c r="H196" i="12"/>
  <c r="AY196" i="12" s="1"/>
  <c r="H164" i="12"/>
  <c r="AY164" i="12" s="1"/>
  <c r="H132" i="12"/>
  <c r="AY132" i="12" s="1"/>
  <c r="H100" i="12"/>
  <c r="AY100" i="12" s="1"/>
  <c r="H68" i="12"/>
  <c r="AY68" i="12" s="1"/>
  <c r="H703" i="12"/>
  <c r="AY703" i="12" s="1"/>
  <c r="H671" i="12"/>
  <c r="AY671" i="12" s="1"/>
  <c r="H639" i="12"/>
  <c r="AY639" i="12" s="1"/>
  <c r="H607" i="12"/>
  <c r="AY607" i="12" s="1"/>
  <c r="H575" i="12"/>
  <c r="AY575" i="12" s="1"/>
  <c r="H543" i="12"/>
  <c r="AY543" i="12" s="1"/>
  <c r="H511" i="12"/>
  <c r="AY511" i="12" s="1"/>
  <c r="H479" i="12"/>
  <c r="AY479" i="12" s="1"/>
  <c r="H447" i="12"/>
  <c r="AY447" i="12" s="1"/>
  <c r="H415" i="12"/>
  <c r="AY415" i="12" s="1"/>
  <c r="H383" i="12"/>
  <c r="AY383" i="12" s="1"/>
  <c r="H351" i="12"/>
  <c r="AY351" i="12" s="1"/>
  <c r="H159" i="12"/>
  <c r="AY159" i="12" s="1"/>
  <c r="H127" i="12"/>
  <c r="AY127" i="12" s="1"/>
  <c r="H95" i="12"/>
  <c r="AY95" i="12" s="1"/>
  <c r="H63" i="12"/>
  <c r="AY63" i="12" s="1"/>
  <c r="H31" i="12"/>
  <c r="AY31" i="12" s="1"/>
  <c r="H698" i="12"/>
  <c r="AY698" i="12" s="1"/>
  <c r="H634" i="12"/>
  <c r="AY634" i="12" s="1"/>
  <c r="H474" i="12"/>
  <c r="AY474" i="12" s="1"/>
  <c r="H442" i="12"/>
  <c r="AY442" i="12" s="1"/>
  <c r="H346" i="12"/>
  <c r="AY346" i="12" s="1"/>
  <c r="H282" i="12"/>
  <c r="AY282" i="12" s="1"/>
  <c r="H250" i="12"/>
  <c r="AY250" i="12" s="1"/>
  <c r="H154" i="12"/>
  <c r="AY154" i="12" s="1"/>
  <c r="H122" i="12"/>
  <c r="AY122" i="12" s="1"/>
  <c r="H90" i="12"/>
  <c r="AY90" i="12" s="1"/>
  <c r="H509" i="12"/>
  <c r="AY509" i="12" s="1"/>
  <c r="H93" i="12"/>
  <c r="AY93" i="12" s="1"/>
  <c r="H536" i="12"/>
  <c r="AY536" i="12" s="1"/>
  <c r="H280" i="12"/>
  <c r="AY280" i="12" s="1"/>
  <c r="H24" i="12"/>
  <c r="AY24" i="12" s="1"/>
  <c r="H83" i="12"/>
  <c r="AY83" i="12" s="1"/>
  <c r="H669" i="12"/>
  <c r="AY669" i="12" s="1"/>
  <c r="H445" i="12"/>
  <c r="AY445" i="12" s="1"/>
  <c r="H29" i="12"/>
  <c r="AY29" i="12" s="1"/>
  <c r="H472" i="12"/>
  <c r="AY472" i="12" s="1"/>
  <c r="H248" i="12"/>
  <c r="AY248" i="12" s="1"/>
  <c r="H56" i="12"/>
  <c r="AY56" i="12" s="1"/>
  <c r="H179" i="12"/>
  <c r="AY179" i="12" s="1"/>
  <c r="H590" i="12"/>
  <c r="AY590" i="12" s="1"/>
  <c r="H105" i="12"/>
  <c r="AY105" i="12" s="1"/>
  <c r="H605" i="12"/>
  <c r="AY605" i="12" s="1"/>
  <c r="H413" i="12"/>
  <c r="AY413" i="12" s="1"/>
  <c r="H696" i="12"/>
  <c r="AY696" i="12" s="1"/>
  <c r="H440" i="12"/>
  <c r="AY440" i="12" s="1"/>
  <c r="H184" i="12"/>
  <c r="AY184" i="12" s="1"/>
  <c r="H627" i="12"/>
  <c r="AY627" i="12" s="1"/>
  <c r="H339" i="12"/>
  <c r="AY339" i="12" s="1"/>
  <c r="H275" i="12"/>
  <c r="AY275" i="12" s="1"/>
  <c r="H115" i="12"/>
  <c r="AY115" i="12" s="1"/>
  <c r="H701" i="12"/>
  <c r="AY701" i="12" s="1"/>
  <c r="H477" i="12"/>
  <c r="AY477" i="12" s="1"/>
  <c r="H61" i="12"/>
  <c r="AY61" i="12" s="1"/>
  <c r="H504" i="12"/>
  <c r="AY504" i="12" s="1"/>
  <c r="H312" i="12"/>
  <c r="AY312" i="12" s="1"/>
  <c r="H152" i="12"/>
  <c r="AY152" i="12" s="1"/>
  <c r="H691" i="12"/>
  <c r="AY691" i="12" s="1"/>
  <c r="H243" i="12"/>
  <c r="AY243" i="12" s="1"/>
  <c r="H169" i="12"/>
  <c r="AY169" i="12" s="1"/>
  <c r="H405" i="12"/>
  <c r="AY405" i="12" s="1"/>
  <c r="H309" i="12"/>
  <c r="AY309" i="12" s="1"/>
  <c r="H221" i="12"/>
  <c r="AY221" i="12" s="1"/>
  <c r="H632" i="12"/>
  <c r="AY632" i="12" s="1"/>
  <c r="H408" i="12"/>
  <c r="AY408" i="12" s="1"/>
  <c r="H216" i="12"/>
  <c r="AY216" i="12" s="1"/>
  <c r="H120" i="12"/>
  <c r="AY120" i="12" s="1"/>
  <c r="H211" i="12"/>
  <c r="AY211" i="12" s="1"/>
  <c r="H558" i="12"/>
  <c r="AY558" i="12" s="1"/>
  <c r="H137" i="12"/>
  <c r="AY137" i="12" s="1"/>
  <c r="H317" i="12"/>
  <c r="AY317" i="12" s="1"/>
  <c r="H462" i="12"/>
  <c r="AY462" i="12" s="1"/>
  <c r="M5" i="86"/>
  <c r="AE2" i="86"/>
  <c r="H494" i="12"/>
  <c r="AY494" i="12" s="1"/>
  <c r="H688" i="12"/>
  <c r="AY688" i="12" s="1"/>
  <c r="H400" i="12"/>
  <c r="AY400" i="12" s="1"/>
  <c r="H144" i="12"/>
  <c r="AY144" i="12" s="1"/>
  <c r="H363" i="12"/>
  <c r="AY363" i="12" s="1"/>
  <c r="H107" i="12"/>
  <c r="AY107" i="12" s="1"/>
  <c r="H646" i="12"/>
  <c r="AY646" i="12" s="1"/>
  <c r="H550" i="12"/>
  <c r="AY550" i="12" s="1"/>
  <c r="H454" i="12"/>
  <c r="AY454" i="12" s="1"/>
  <c r="H358" i="12"/>
  <c r="AY358" i="12" s="1"/>
  <c r="H326" i="12"/>
  <c r="AY326" i="12" s="1"/>
  <c r="H294" i="12"/>
  <c r="AY294" i="12" s="1"/>
  <c r="H198" i="12"/>
  <c r="AY198" i="12" s="1"/>
  <c r="H38" i="12"/>
  <c r="AY38" i="12" s="1"/>
  <c r="H6" i="12"/>
  <c r="AY6" i="12" s="1"/>
  <c r="H673" i="12"/>
  <c r="AY673" i="12" s="1"/>
  <c r="H641" i="12"/>
  <c r="AY641" i="12" s="1"/>
  <c r="H609" i="12"/>
  <c r="AY609" i="12" s="1"/>
  <c r="H577" i="12"/>
  <c r="AY577" i="12" s="1"/>
  <c r="H545" i="12"/>
  <c r="AY545" i="12" s="1"/>
  <c r="H481" i="12"/>
  <c r="AY481" i="12" s="1"/>
  <c r="H417" i="12"/>
  <c r="AY417" i="12" s="1"/>
  <c r="H385" i="12"/>
  <c r="AY385" i="12" s="1"/>
  <c r="H353" i="12"/>
  <c r="AY353" i="12" s="1"/>
  <c r="H289" i="12"/>
  <c r="AY289" i="12" s="1"/>
  <c r="H225" i="12"/>
  <c r="AY225" i="12" s="1"/>
  <c r="H193" i="12"/>
  <c r="AY193" i="12" s="1"/>
  <c r="H161" i="12"/>
  <c r="AY161" i="12" s="1"/>
  <c r="H129" i="12"/>
  <c r="AY129" i="12" s="1"/>
  <c r="H97" i="12"/>
  <c r="AY97" i="12" s="1"/>
  <c r="H65" i="12"/>
  <c r="AY65" i="12" s="1"/>
  <c r="H33" i="12"/>
  <c r="AY33" i="12" s="1"/>
  <c r="H700" i="12"/>
  <c r="AY700" i="12" s="1"/>
  <c r="H668" i="12"/>
  <c r="AY668" i="12" s="1"/>
  <c r="H636" i="12"/>
  <c r="AY636" i="12" s="1"/>
  <c r="H604" i="12"/>
  <c r="AY604" i="12" s="1"/>
  <c r="H572" i="12"/>
  <c r="AY572" i="12" s="1"/>
  <c r="H508" i="12"/>
  <c r="AY508" i="12" s="1"/>
  <c r="H476" i="12"/>
  <c r="AY476" i="12" s="1"/>
  <c r="H444" i="12"/>
  <c r="AY444" i="12" s="1"/>
  <c r="AK2" i="86"/>
  <c r="H638" i="12"/>
  <c r="AY638" i="12" s="1"/>
  <c r="H381" i="12"/>
  <c r="AY381" i="12" s="1"/>
  <c r="H654" i="12"/>
  <c r="AY654" i="12" s="1"/>
  <c r="H464" i="12"/>
  <c r="AY464" i="12" s="1"/>
  <c r="H208" i="12"/>
  <c r="AY208" i="12" s="1"/>
  <c r="H683" i="12"/>
  <c r="AY683" i="12" s="1"/>
  <c r="H459" i="12"/>
  <c r="AY459" i="12" s="1"/>
  <c r="H331" i="12"/>
  <c r="AY331" i="12" s="1"/>
  <c r="H43" i="12"/>
  <c r="AY43" i="12" s="1"/>
  <c r="H582" i="12"/>
  <c r="AY582" i="12" s="1"/>
  <c r="H486" i="12"/>
  <c r="AY486" i="12" s="1"/>
  <c r="H449" i="12"/>
  <c r="AY449" i="12" s="1"/>
  <c r="H655" i="12"/>
  <c r="AY655" i="12" s="1"/>
  <c r="H591" i="12"/>
  <c r="AY591" i="12" s="1"/>
  <c r="H527" i="12"/>
  <c r="AY527" i="12" s="1"/>
  <c r="H399" i="12"/>
  <c r="AY399" i="12" s="1"/>
  <c r="H335" i="12"/>
  <c r="AY335" i="12" s="1"/>
  <c r="H271" i="12"/>
  <c r="AY271" i="12" s="1"/>
  <c r="H207" i="12"/>
  <c r="AY207" i="12" s="1"/>
  <c r="H143" i="12"/>
  <c r="AY143" i="12" s="1"/>
  <c r="H79" i="12"/>
  <c r="AY79" i="12" s="1"/>
  <c r="H650" i="12"/>
  <c r="AY650" i="12" s="1"/>
  <c r="H586" i="12"/>
  <c r="AY586" i="12" s="1"/>
  <c r="H458" i="12"/>
  <c r="AY458" i="12" s="1"/>
  <c r="H394" i="12"/>
  <c r="AY394" i="12" s="1"/>
  <c r="H330" i="12"/>
  <c r="AY330" i="12" s="1"/>
  <c r="H266" i="12"/>
  <c r="AY266" i="12" s="1"/>
  <c r="H202" i="12"/>
  <c r="AY202" i="12" s="1"/>
  <c r="H170" i="12"/>
  <c r="AY170" i="12" s="1"/>
  <c r="H42" i="12"/>
  <c r="AY42" i="12" s="1"/>
  <c r="H10" i="12"/>
  <c r="AY10" i="12" s="1"/>
  <c r="H677" i="12"/>
  <c r="AY677" i="12" s="1"/>
  <c r="H581" i="12"/>
  <c r="AY581" i="12" s="1"/>
  <c r="H549" i="12"/>
  <c r="AY549" i="12" s="1"/>
  <c r="H485" i="12"/>
  <c r="AY485" i="12" s="1"/>
  <c r="H453" i="12"/>
  <c r="AY453" i="12" s="1"/>
  <c r="H421" i="12"/>
  <c r="AY421" i="12" s="1"/>
  <c r="H389" i="12"/>
  <c r="AY389" i="12" s="1"/>
  <c r="H357" i="12"/>
  <c r="AY357" i="12" s="1"/>
  <c r="H325" i="12"/>
  <c r="AY325" i="12" s="1"/>
  <c r="H293" i="12"/>
  <c r="AY293" i="12" s="1"/>
  <c r="H229" i="12"/>
  <c r="AY229" i="12" s="1"/>
  <c r="H197" i="12"/>
  <c r="AY197" i="12" s="1"/>
  <c r="H165" i="12"/>
  <c r="AY165" i="12" s="1"/>
  <c r="H133" i="12"/>
  <c r="AY133" i="12" s="1"/>
  <c r="H101" i="12"/>
  <c r="AY101" i="12" s="1"/>
  <c r="H69" i="12"/>
  <c r="AY69" i="12" s="1"/>
  <c r="H37" i="12"/>
  <c r="AY37" i="12" s="1"/>
  <c r="H640" i="12"/>
  <c r="AY640" i="12" s="1"/>
  <c r="H544" i="12"/>
  <c r="AY544" i="12" s="1"/>
  <c r="H512" i="12"/>
  <c r="AY512" i="12" s="1"/>
  <c r="H448" i="12"/>
  <c r="AY448" i="12" s="1"/>
  <c r="H416" i="12"/>
  <c r="AY416" i="12" s="1"/>
  <c r="H384" i="12"/>
  <c r="AY384" i="12" s="1"/>
  <c r="H352" i="12"/>
  <c r="AY352" i="12" s="1"/>
  <c r="H320" i="12"/>
  <c r="AY320" i="12" s="1"/>
  <c r="H288" i="12"/>
  <c r="AY288" i="12" s="1"/>
  <c r="H256" i="12"/>
  <c r="AY256" i="12" s="1"/>
  <c r="H224" i="12"/>
  <c r="AY224" i="12" s="1"/>
  <c r="H192" i="12"/>
  <c r="AY192" i="12" s="1"/>
  <c r="H160" i="12"/>
  <c r="AY160" i="12" s="1"/>
  <c r="H128" i="12"/>
  <c r="AY128" i="12" s="1"/>
  <c r="H96" i="12"/>
  <c r="AY96" i="12" s="1"/>
  <c r="H64" i="12"/>
  <c r="AY64" i="12" s="1"/>
  <c r="H32" i="12"/>
  <c r="AY32" i="12" s="1"/>
  <c r="H189" i="12"/>
  <c r="AY189" i="12" s="1"/>
  <c r="H336" i="12"/>
  <c r="AY336" i="12" s="1"/>
  <c r="H48" i="12"/>
  <c r="AY48" i="12" s="1"/>
  <c r="H427" i="12"/>
  <c r="AY427" i="12" s="1"/>
  <c r="H299" i="12"/>
  <c r="AY299" i="12" s="1"/>
  <c r="H11" i="12"/>
  <c r="AY11" i="12" s="1"/>
  <c r="H614" i="12"/>
  <c r="AY614" i="12" s="1"/>
  <c r="H518" i="12"/>
  <c r="AY518" i="12" s="1"/>
  <c r="H390" i="12"/>
  <c r="AY390" i="12" s="1"/>
  <c r="H513" i="12"/>
  <c r="AY513" i="12" s="1"/>
  <c r="H687" i="12"/>
  <c r="AY687" i="12" s="1"/>
  <c r="H623" i="12"/>
  <c r="AY623" i="12" s="1"/>
  <c r="H559" i="12"/>
  <c r="AY559" i="12" s="1"/>
  <c r="H495" i="12"/>
  <c r="AY495" i="12" s="1"/>
  <c r="H431" i="12"/>
  <c r="AY431" i="12" s="1"/>
  <c r="H367" i="12"/>
  <c r="AY367" i="12" s="1"/>
  <c r="H303" i="12"/>
  <c r="AY303" i="12" s="1"/>
  <c r="H239" i="12"/>
  <c r="AY239" i="12" s="1"/>
  <c r="H175" i="12"/>
  <c r="AY175" i="12" s="1"/>
  <c r="H111" i="12"/>
  <c r="AY111" i="12" s="1"/>
  <c r="H47" i="12"/>
  <c r="AY47" i="12" s="1"/>
  <c r="H682" i="12"/>
  <c r="AY682" i="12" s="1"/>
  <c r="H618" i="12"/>
  <c r="AY618" i="12" s="1"/>
  <c r="H554" i="12"/>
  <c r="AY554" i="12" s="1"/>
  <c r="H490" i="12"/>
  <c r="AY490" i="12" s="1"/>
  <c r="H426" i="12"/>
  <c r="AY426" i="12" s="1"/>
  <c r="H362" i="12"/>
  <c r="AY362" i="12" s="1"/>
  <c r="H298" i="12"/>
  <c r="AY298" i="12" s="1"/>
  <c r="H234" i="12"/>
  <c r="AY234" i="12" s="1"/>
  <c r="H645" i="12"/>
  <c r="AY645" i="12" s="1"/>
  <c r="H541" i="12"/>
  <c r="AY541" i="12" s="1"/>
  <c r="H432" i="12"/>
  <c r="AY432" i="12" s="1"/>
  <c r="H112" i="12"/>
  <c r="AY112" i="12" s="1"/>
  <c r="H555" i="12"/>
  <c r="AY555" i="12" s="1"/>
  <c r="H235" i="12"/>
  <c r="AY235" i="12" s="1"/>
  <c r="H134" i="12"/>
  <c r="AY134" i="12" s="1"/>
  <c r="H664" i="12"/>
  <c r="AY664" i="12" s="1"/>
  <c r="H398" i="12"/>
  <c r="AY398" i="12" s="1"/>
  <c r="H496" i="12"/>
  <c r="AY496" i="12" s="1"/>
  <c r="H240" i="12"/>
  <c r="AY240" i="12" s="1"/>
  <c r="H651" i="12"/>
  <c r="AY651" i="12" s="1"/>
  <c r="H139" i="12"/>
  <c r="AY139" i="12" s="1"/>
  <c r="H262" i="12"/>
  <c r="AY262" i="12" s="1"/>
  <c r="AU2" i="12"/>
  <c r="H600" i="12"/>
  <c r="AY600" i="12" s="1"/>
  <c r="H302" i="12"/>
  <c r="AY302" i="12" s="1"/>
  <c r="H592" i="12"/>
  <c r="AY592" i="12" s="1"/>
  <c r="H368" i="12"/>
  <c r="AY368" i="12" s="1"/>
  <c r="H80" i="12"/>
  <c r="AY80" i="12" s="1"/>
  <c r="H523" i="12"/>
  <c r="AY523" i="12" s="1"/>
  <c r="H203" i="12"/>
  <c r="AY203" i="12" s="1"/>
  <c r="H102" i="12"/>
  <c r="AY102" i="12" s="1"/>
  <c r="H125" i="12"/>
  <c r="AY125" i="12" s="1"/>
  <c r="H624" i="12"/>
  <c r="AY624" i="12" s="1"/>
  <c r="H304" i="12"/>
  <c r="AY304" i="12" s="1"/>
  <c r="H619" i="12"/>
  <c r="AY619" i="12" s="1"/>
  <c r="H171" i="12"/>
  <c r="AY171" i="12" s="1"/>
  <c r="H166" i="12"/>
  <c r="AY166" i="12" s="1"/>
  <c r="H157" i="12"/>
  <c r="AY157" i="12" s="1"/>
  <c r="H528" i="12"/>
  <c r="AY528" i="12" s="1"/>
  <c r="H272" i="12"/>
  <c r="AY272" i="12" s="1"/>
  <c r="H587" i="12"/>
  <c r="AY587" i="12" s="1"/>
  <c r="H267" i="12"/>
  <c r="AY267" i="12" s="1"/>
  <c r="H70" i="12"/>
  <c r="AY70" i="12" s="1"/>
  <c r="H344" i="12"/>
  <c r="AY344" i="12" s="1"/>
  <c r="H656" i="12"/>
  <c r="AY656" i="12" s="1"/>
  <c r="H176" i="12"/>
  <c r="AY176" i="12" s="1"/>
  <c r="H491" i="12"/>
  <c r="AY491" i="12" s="1"/>
  <c r="H75" i="12"/>
  <c r="AY75" i="12" s="1"/>
  <c r="H230" i="12"/>
  <c r="AY230" i="12" s="1"/>
  <c r="H568" i="12"/>
  <c r="AY568" i="12" s="1"/>
  <c r="H334" i="12"/>
  <c r="AY334" i="12" s="1"/>
  <c r="H376" i="12"/>
  <c r="AY376" i="12" s="1"/>
  <c r="M1" i="10"/>
  <c r="H579" i="12"/>
  <c r="AY579" i="12" s="1"/>
  <c r="H483" i="12"/>
  <c r="AY483" i="12" s="1"/>
  <c r="M7" i="86"/>
  <c r="M11" i="86"/>
  <c r="M13" i="86"/>
  <c r="M17" i="86"/>
  <c r="M19" i="86"/>
  <c r="M21" i="86"/>
  <c r="M23" i="86"/>
  <c r="M25" i="86"/>
  <c r="M29" i="86"/>
  <c r="M33" i="86"/>
  <c r="M39" i="86"/>
  <c r="M49" i="86"/>
  <c r="M51" i="86"/>
  <c r="M53" i="86"/>
  <c r="M61" i="86"/>
  <c r="M65" i="86"/>
  <c r="M97" i="86"/>
  <c r="M75" i="86"/>
  <c r="H412" i="12"/>
  <c r="AY412" i="12" s="1"/>
  <c r="H380" i="12"/>
  <c r="AY380" i="12" s="1"/>
  <c r="H348" i="12"/>
  <c r="AY348" i="12" s="1"/>
  <c r="H316" i="12"/>
  <c r="AY316" i="12" s="1"/>
  <c r="H252" i="12"/>
  <c r="AY252" i="12" s="1"/>
  <c r="H220" i="12"/>
  <c r="AY220" i="12" s="1"/>
  <c r="H188" i="12"/>
  <c r="AY188" i="12" s="1"/>
  <c r="H156" i="12"/>
  <c r="AY156" i="12" s="1"/>
  <c r="H124" i="12"/>
  <c r="AY124" i="12" s="1"/>
  <c r="H92" i="12"/>
  <c r="AY92" i="12" s="1"/>
  <c r="H60" i="12"/>
  <c r="AY60" i="12" s="1"/>
  <c r="H28" i="12"/>
  <c r="AY28" i="12" s="1"/>
  <c r="H695" i="12"/>
  <c r="AY695" i="12" s="1"/>
  <c r="H663" i="12"/>
  <c r="AY663" i="12" s="1"/>
  <c r="H631" i="12"/>
  <c r="AY631" i="12" s="1"/>
  <c r="H599" i="12"/>
  <c r="AY599" i="12" s="1"/>
  <c r="H567" i="12"/>
  <c r="AY567" i="12" s="1"/>
  <c r="H535" i="12"/>
  <c r="AY535" i="12" s="1"/>
  <c r="H503" i="12"/>
  <c r="AY503" i="12" s="1"/>
  <c r="H471" i="12"/>
  <c r="AY471" i="12" s="1"/>
  <c r="H439" i="12"/>
  <c r="AY439" i="12" s="1"/>
  <c r="H407" i="12"/>
  <c r="AY407" i="12" s="1"/>
  <c r="H375" i="12"/>
  <c r="AY375" i="12" s="1"/>
  <c r="H343" i="12"/>
  <c r="AY343" i="12" s="1"/>
  <c r="H279" i="12"/>
  <c r="AY279" i="12" s="1"/>
  <c r="H247" i="12"/>
  <c r="AY247" i="12" s="1"/>
  <c r="H183" i="12"/>
  <c r="AY183" i="12" s="1"/>
  <c r="H151" i="12"/>
  <c r="AY151" i="12" s="1"/>
  <c r="H87" i="12"/>
  <c r="AY87" i="12" s="1"/>
  <c r="H55" i="12"/>
  <c r="AY55" i="12" s="1"/>
  <c r="H23" i="12"/>
  <c r="AY23" i="12" s="1"/>
  <c r="H626" i="12"/>
  <c r="AY626" i="12" s="1"/>
  <c r="H594" i="12"/>
  <c r="AY594" i="12" s="1"/>
  <c r="H562" i="12"/>
  <c r="AY562" i="12" s="1"/>
  <c r="H530" i="12"/>
  <c r="AY530" i="12" s="1"/>
  <c r="H498" i="12"/>
  <c r="AY498" i="12" s="1"/>
  <c r="H466" i="12"/>
  <c r="AY466" i="12" s="1"/>
  <c r="H434" i="12"/>
  <c r="AY434" i="12" s="1"/>
  <c r="H402" i="12"/>
  <c r="AY402" i="12" s="1"/>
  <c r="H370" i="12"/>
  <c r="AY370" i="12" s="1"/>
  <c r="H338" i="12"/>
  <c r="AY338" i="12" s="1"/>
  <c r="H306" i="12"/>
  <c r="AY306" i="12" s="1"/>
  <c r="H274" i="12"/>
  <c r="AY274" i="12" s="1"/>
  <c r="H242" i="12"/>
  <c r="AY242" i="12" s="1"/>
  <c r="H210" i="12"/>
  <c r="AY210" i="12" s="1"/>
  <c r="H178" i="12"/>
  <c r="AY178" i="12" s="1"/>
  <c r="H146" i="12"/>
  <c r="AY146" i="12" s="1"/>
  <c r="H114" i="12"/>
  <c r="AY114" i="12" s="1"/>
  <c r="H82" i="12"/>
  <c r="AY82" i="12" s="1"/>
  <c r="H50" i="12"/>
  <c r="AY50" i="12" s="1"/>
  <c r="H18" i="12"/>
  <c r="AY18" i="12" s="1"/>
  <c r="H685" i="12"/>
  <c r="AY685" i="12" s="1"/>
  <c r="H621" i="12"/>
  <c r="AY621" i="12" s="1"/>
  <c r="H589" i="12"/>
  <c r="AY589" i="12" s="1"/>
  <c r="H557" i="12"/>
  <c r="AY557" i="12" s="1"/>
  <c r="H525" i="12"/>
  <c r="AY525" i="12" s="1"/>
  <c r="H493" i="12"/>
  <c r="AY493" i="12" s="1"/>
  <c r="H461" i="12"/>
  <c r="AY461" i="12" s="1"/>
  <c r="H429" i="12"/>
  <c r="AY429" i="12" s="1"/>
  <c r="H397" i="12"/>
  <c r="AY397" i="12" s="1"/>
  <c r="H365" i="12"/>
  <c r="AY365" i="12" s="1"/>
  <c r="H333" i="12"/>
  <c r="AY333" i="12" s="1"/>
  <c r="H301" i="12"/>
  <c r="AY301" i="12" s="1"/>
  <c r="H269" i="12"/>
  <c r="AY269" i="12" s="1"/>
  <c r="H237" i="12"/>
  <c r="AY237" i="12" s="1"/>
  <c r="H205" i="12"/>
  <c r="AY205" i="12" s="1"/>
  <c r="H173" i="12"/>
  <c r="AY173" i="12" s="1"/>
  <c r="H141" i="12"/>
  <c r="AY141" i="12" s="1"/>
  <c r="H109" i="12"/>
  <c r="AY109" i="12" s="1"/>
  <c r="H77" i="12"/>
  <c r="AY77" i="12" s="1"/>
  <c r="H45" i="12"/>
  <c r="AY45" i="12" s="1"/>
  <c r="H13" i="12"/>
  <c r="AY13" i="12" s="1"/>
  <c r="H680" i="12"/>
  <c r="AY680" i="12" s="1"/>
  <c r="H648" i="12"/>
  <c r="AY648" i="12" s="1"/>
  <c r="H616" i="12"/>
  <c r="AY616" i="12" s="1"/>
  <c r="H584" i="12"/>
  <c r="AY584" i="12" s="1"/>
  <c r="H552" i="12"/>
  <c r="AY552" i="12" s="1"/>
  <c r="H520" i="12"/>
  <c r="AY520" i="12" s="1"/>
  <c r="H488" i="12"/>
  <c r="AY488" i="12" s="1"/>
  <c r="H456" i="12"/>
  <c r="AY456" i="12" s="1"/>
  <c r="H424" i="12"/>
  <c r="AY424" i="12" s="1"/>
  <c r="H392" i="12"/>
  <c r="AY392" i="12" s="1"/>
  <c r="Z2" i="12"/>
  <c r="BC2" i="86"/>
  <c r="H360" i="12"/>
  <c r="AY360" i="12" s="1"/>
  <c r="H328" i="12"/>
  <c r="AY328" i="12" s="1"/>
  <c r="H296" i="12"/>
  <c r="AY296" i="12" s="1"/>
  <c r="H264" i="12"/>
  <c r="AY264" i="12" s="1"/>
  <c r="H232" i="12"/>
  <c r="AY232" i="12" s="1"/>
  <c r="H200" i="12"/>
  <c r="AY200" i="12" s="1"/>
  <c r="H168" i="12"/>
  <c r="AY168" i="12" s="1"/>
  <c r="H136" i="12"/>
  <c r="AY136" i="12" s="1"/>
  <c r="H104" i="12"/>
  <c r="AY104" i="12" s="1"/>
  <c r="H40" i="12"/>
  <c r="AY40" i="12" s="1"/>
  <c r="H8" i="12"/>
  <c r="AY8" i="12" s="1"/>
  <c r="H643" i="12"/>
  <c r="AY643" i="12" s="1"/>
  <c r="H547" i="12"/>
  <c r="AY547" i="12" s="1"/>
  <c r="H515" i="12"/>
  <c r="AY515" i="12" s="1"/>
  <c r="H419" i="12"/>
  <c r="AY419" i="12" s="1"/>
  <c r="H387" i="12"/>
  <c r="AY387" i="12" s="1"/>
  <c r="H355" i="12"/>
  <c r="AY355" i="12" s="1"/>
  <c r="H323" i="12"/>
  <c r="AY323" i="12" s="1"/>
  <c r="H227" i="12"/>
  <c r="AY227" i="12" s="1"/>
  <c r="H195" i="12"/>
  <c r="AY195" i="12" s="1"/>
  <c r="H163" i="12"/>
  <c r="AY163" i="12" s="1"/>
  <c r="H131" i="12"/>
  <c r="AY131" i="12" s="1"/>
  <c r="H99" i="12"/>
  <c r="AY99" i="12" s="1"/>
  <c r="H35" i="12"/>
  <c r="AY35" i="12" s="1"/>
  <c r="H670" i="12"/>
  <c r="AY670" i="12" s="1"/>
  <c r="H606" i="12"/>
  <c r="AY606" i="12" s="1"/>
  <c r="H510" i="12"/>
  <c r="AY510" i="12" s="1"/>
  <c r="H478" i="12"/>
  <c r="AY478" i="12" s="1"/>
  <c r="H446" i="12"/>
  <c r="AY446" i="12" s="1"/>
  <c r="H382" i="12"/>
  <c r="AY382" i="12" s="1"/>
  <c r="H350" i="12"/>
  <c r="AY350" i="12" s="1"/>
  <c r="H318" i="12"/>
  <c r="AY318" i="12" s="1"/>
  <c r="H286" i="12"/>
  <c r="AY286" i="12" s="1"/>
  <c r="H190" i="12"/>
  <c r="AY190" i="12" s="1"/>
  <c r="H158" i="12"/>
  <c r="AY158" i="12" s="1"/>
  <c r="H94" i="12"/>
  <c r="AY94" i="12" s="1"/>
  <c r="H62" i="12"/>
  <c r="AY62" i="12" s="1"/>
  <c r="H665" i="12"/>
  <c r="AY665" i="12" s="1"/>
  <c r="H633" i="12"/>
  <c r="AY633" i="12" s="1"/>
  <c r="H601" i="12"/>
  <c r="AY601" i="12" s="1"/>
  <c r="H569" i="12"/>
  <c r="AY569" i="12" s="1"/>
  <c r="H537" i="12"/>
  <c r="AY537" i="12" s="1"/>
  <c r="H505" i="12"/>
  <c r="AY505" i="12" s="1"/>
  <c r="H377" i="12"/>
  <c r="AY377" i="12" s="1"/>
  <c r="H345" i="12"/>
  <c r="AY345" i="12" s="1"/>
  <c r="H313" i="12"/>
  <c r="AY313" i="12" s="1"/>
  <c r="H281" i="12"/>
  <c r="AY281" i="12" s="1"/>
  <c r="H249" i="12"/>
  <c r="AY249" i="12" s="1"/>
  <c r="H153" i="12"/>
  <c r="AY153" i="12" s="1"/>
  <c r="H89" i="12"/>
  <c r="AY89" i="12" s="1"/>
  <c r="H57" i="12"/>
  <c r="AY57" i="12" s="1"/>
  <c r="H25" i="12"/>
  <c r="AY25" i="12" s="1"/>
  <c r="H532" i="12"/>
  <c r="AY532" i="12" s="1"/>
  <c r="H500" i="12"/>
  <c r="AY500" i="12" s="1"/>
  <c r="H468" i="12"/>
  <c r="AY468" i="12" s="1"/>
  <c r="H436" i="12"/>
  <c r="AY436" i="12" s="1"/>
  <c r="H404" i="12"/>
  <c r="AY404" i="12" s="1"/>
  <c r="H340" i="12"/>
  <c r="AY340" i="12" s="1"/>
  <c r="H308" i="12"/>
  <c r="AY308" i="12" s="1"/>
  <c r="H276" i="12"/>
  <c r="AY276" i="12" s="1"/>
  <c r="H244" i="12"/>
  <c r="AY244" i="12" s="1"/>
  <c r="H212" i="12"/>
  <c r="AY212" i="12" s="1"/>
  <c r="H20" i="12"/>
  <c r="AY20" i="12" s="1"/>
  <c r="H321" i="12"/>
  <c r="AY321" i="12" s="1"/>
  <c r="H672" i="12"/>
  <c r="AY672" i="12" s="1"/>
  <c r="H576" i="12"/>
  <c r="AY576" i="12" s="1"/>
  <c r="H480" i="12"/>
  <c r="AY480" i="12" s="1"/>
  <c r="H637" i="12"/>
  <c r="AY637" i="12" s="1"/>
  <c r="H285" i="12"/>
  <c r="AY285" i="12" s="1"/>
  <c r="AL2" i="12"/>
  <c r="H14" i="12"/>
  <c r="AY14" i="12" s="1"/>
  <c r="AO2" i="12"/>
  <c r="H9" i="12"/>
  <c r="AY9" i="12" s="1"/>
  <c r="AF2" i="12"/>
  <c r="T2" i="12"/>
  <c r="H12" i="12"/>
  <c r="AY12" i="12" s="1"/>
  <c r="W2" i="12"/>
  <c r="H659" i="12"/>
  <c r="AY659" i="12" s="1"/>
  <c r="H595" i="12"/>
  <c r="AY595" i="12" s="1"/>
  <c r="H563" i="12"/>
  <c r="AY563" i="12" s="1"/>
  <c r="H531" i="12"/>
  <c r="AY531" i="12" s="1"/>
  <c r="H467" i="12"/>
  <c r="AY467" i="12" s="1"/>
  <c r="H435" i="12"/>
  <c r="AY435" i="12" s="1"/>
  <c r="H403" i="12"/>
  <c r="AY403" i="12" s="1"/>
  <c r="H371" i="12"/>
  <c r="AY371" i="12" s="1"/>
  <c r="H147" i="12"/>
  <c r="AY147" i="12" s="1"/>
  <c r="H51" i="12"/>
  <c r="AY51" i="12" s="1"/>
  <c r="H19" i="12"/>
  <c r="AY19" i="12" s="1"/>
  <c r="H430" i="12"/>
  <c r="AY430" i="12" s="1"/>
  <c r="H7" i="12"/>
  <c r="AY7" i="12" s="1"/>
  <c r="AC2" i="12"/>
  <c r="AI2" i="12"/>
  <c r="AR2" i="12"/>
  <c r="AX2" i="12"/>
  <c r="Q2" i="12"/>
  <c r="H5" i="12"/>
  <c r="N2" i="12"/>
  <c r="Q17" i="32"/>
  <c r="Q15" i="32"/>
  <c r="Q16" i="32"/>
  <c r="H15" i="12"/>
  <c r="AY15" i="12" s="1"/>
  <c r="K2" i="12"/>
  <c r="H613" i="12"/>
  <c r="AY613" i="12" s="1"/>
  <c r="H517" i="12"/>
  <c r="AY517" i="12" s="1"/>
  <c r="M2" i="86" l="1"/>
  <c r="AY5" i="12"/>
  <c r="H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160-Progress Card" description="Connection to the '160-Progress Card' query in the workbook." type="5" refreshedVersion="8" background="1" saveData="1">
    <dbPr connection="Provider=Microsoft.Mashup.OleDb.1;Data Source=$Workbook$;Location=&quot;160-Progress Card&quot;;Extended Properties=&quot;&quot;" command="SELECT * FROM [160-Progress Card]"/>
  </connection>
  <connection id="2" xr16:uid="{92051326-E32F-4053-B721-7F72E164EE9A}" keepAlive="1" name="Query - 181-UNDP Houses Rehab Applic" description="Connection to the '181-UNDP Houses Rehab Applic' query in the workbook." type="5" refreshedVersion="8" background="1" saveData="1">
    <dbPr connection="Provider=Microsoft.Mashup.OleDb.1;Data Source=$Workbook$;Location=&quot;181-UNDP Houses Rehab Applic&quot;;Extended Properties=&quot;&quot;" command="SELECT * FROM [181-UNDP Houses Rehab Applic]"/>
  </connection>
  <connection id="3" xr16:uid="{00000000-0015-0000-FFFF-FFFF01000000}" keepAlive="1" name="Query - Beneficiaries_List" description="Connection to the 'Beneficiaries_List' query in the workbook." type="5" refreshedVersion="8" background="1" saveData="1">
    <dbPr connection="Provider=Microsoft.Mashup.OleDb.1;Data Source=$Workbook$;Location=Beneficiaries_List;Extended Properties=&quot;&quot;" command="SELECT * FROM [Beneficiaries_List]"/>
  </connection>
  <connection id="4" xr16:uid="{00000000-0015-0000-FFFF-FFFF02000000}" keepAlive="1" name="Query - BOQs" description="Connection to the 'BOQs' query in the workbook." type="5" refreshedVersion="8" background="1" saveData="1">
    <dbPr connection="Provider=Microsoft.Mashup.OleDb.1;Data Source=$Workbook$;Location=BOQs;Extended Properties=&quot;&quot;" command="SELECT * FROM [BOQs]"/>
  </connection>
  <connection id="5" xr16:uid="{6DCC8DC8-13EF-494F-8D48-347BDB97808D}" keepAlive="1" name="Query - BOQs(1)" description="Connection to the 'BOQs' query in the workbook." type="5" refreshedVersion="0" background="1" saveData="1">
    <dbPr connection="Provider=Microsoft.Mashup.OleDb.1;Data Source=$Workbook$;Location=BOQs;Extended Properties=&quot;&quot;" command="SELECT * FROM [BOQs]"/>
  </connection>
  <connection id="6" xr16:uid="{00000000-0015-0000-FFFF-FFFF03000000}" keepAlive="1" name="Query - Money Distribution" description="Connection to the 'Money Distribution' query in the workbook." type="5" refreshedVersion="8" background="1" saveData="1">
    <dbPr connection="Provider=Microsoft.Mashup.OleDb.1;Data Source=$Workbook$;Location=&quot;Money Distribution&quot;;Extended Properties=&quot;&quot;" command="SELECT * FROM [Money Distribution]"/>
  </connection>
  <connection id="7" xr16:uid="{6D7074C3-D999-4CC4-BE5A-859A8BDEE577}" keepAlive="1" name="Query - rehab_main_rep" description="Connection to the 'rehab_main_rep' query in the workbook." type="5" refreshedVersion="8" background="1" saveData="1">
    <dbPr connection="Provider=Microsoft.Mashup.OleDb.1;Data Source=$Workbook$;Location=rehab_main_rep;Extended Properties=&quot;&quot;" command="SELECT * FROM [rehab_main_rep]"/>
  </connection>
  <connection id="8" xr16:uid="{41C614CE-8841-46AA-BDB3-E03363F36E1A}" keepAlive="1" name="Query - rehab_sub_rep" description="Connection to the 'rehab_sub_rep' query in the workbook." type="5" refreshedVersion="8" background="1" saveData="1">
    <dbPr connection="Provider=Microsoft.Mashup.OleDb.1;Data Source=$Workbook$;Location=rehab_sub_rep;Extended Properties=&quot;&quot;" command="SELECT * FROM [rehab_sub_rep]"/>
  </connection>
</connections>
</file>

<file path=xl/sharedStrings.xml><?xml version="1.0" encoding="utf-8"?>
<sst xmlns="http://schemas.openxmlformats.org/spreadsheetml/2006/main" count="13937" uniqueCount="3833">
  <si>
    <t>Unique</t>
  </si>
  <si>
    <t>type</t>
  </si>
  <si>
    <t>ID_Contractor</t>
  </si>
  <si>
    <t>BOQ ID</t>
  </si>
  <si>
    <t>Contractor</t>
  </si>
  <si>
    <t>ItemEN</t>
  </si>
  <si>
    <t>Item_AR</t>
  </si>
  <si>
    <t>ItemEN1</t>
  </si>
  <si>
    <t>Item_AR1</t>
  </si>
  <si>
    <t>Unit</t>
  </si>
  <si>
    <t>Quantities</t>
  </si>
  <si>
    <t>Cost</t>
  </si>
  <si>
    <t>Total</t>
  </si>
  <si>
    <t>Row Labels</t>
  </si>
  <si>
    <t>Sum of Total</t>
  </si>
  <si>
    <t>Rehabilitation</t>
  </si>
  <si>
    <t>C1</t>
  </si>
  <si>
    <t>Site Preparation</t>
  </si>
  <si>
    <t>تحضير الموقع</t>
  </si>
  <si>
    <t>Grand Total</t>
  </si>
  <si>
    <t>أعمال الخرسانة</t>
  </si>
  <si>
    <t>Concrete Works</t>
  </si>
  <si>
    <t>اللياسة والدهان</t>
  </si>
  <si>
    <t>Floor Repairs</t>
  </si>
  <si>
    <t>إصلاح الأرضيات</t>
  </si>
  <si>
    <t>استبدال أو إصلاح الأبواب</t>
  </si>
  <si>
    <t>استبدال أو إصلاح النوافذ</t>
  </si>
  <si>
    <t>تنظيف وإصلاح مداخن التهوية</t>
  </si>
  <si>
    <t>#</t>
  </si>
  <si>
    <t>Code</t>
  </si>
  <si>
    <t>Type</t>
  </si>
  <si>
    <t>Company EN</t>
  </si>
  <si>
    <t xml:space="preserve">Ceiling amount of this contract </t>
  </si>
  <si>
    <t>Data Entry</t>
  </si>
  <si>
    <t>رقم</t>
  </si>
  <si>
    <t>الحالة بالعربية</t>
  </si>
  <si>
    <t>الحالة بالإنجليزية</t>
  </si>
  <si>
    <t>الوصف المختصر</t>
  </si>
  <si>
    <t>Damage</t>
  </si>
  <si>
    <t>كود اللون</t>
  </si>
  <si>
    <t>مصطفى خطاب</t>
  </si>
  <si>
    <t>لا يوجد ضرر أو ضرر طفيف جدًا</t>
  </si>
  <si>
    <t>No or Negligible Damage</t>
  </si>
  <si>
    <t>لا يوجد ضرر إنشائي، المبنى آمن ووظيفي بالكامل</t>
  </si>
  <si>
    <t>🟩 #00B050</t>
  </si>
  <si>
    <t>فادي عموري</t>
  </si>
  <si>
    <t>ضرر خفيف</t>
  </si>
  <si>
    <t>Minor Damage</t>
  </si>
  <si>
    <t>أضرار سطحية في بعض الجدران أو الأبواب أو النوافذ دون تأثير على السلامة</t>
  </si>
  <si>
    <t>🟩 #92D050</t>
  </si>
  <si>
    <t>احمد الصالح</t>
  </si>
  <si>
    <t>ضرر متوسط</t>
  </si>
  <si>
    <t>Moderate Damage</t>
  </si>
  <si>
    <t>أضرار متوسطة في الجدران أو الفتحات؛ الهيكل الإنشائي سليم جزئيًا</t>
  </si>
  <si>
    <t>🟧 #FFC000</t>
  </si>
  <si>
    <t>محمد برهوم</t>
  </si>
  <si>
    <t>ضرر شديد</t>
  </si>
  <si>
    <t>Heavy Damage</t>
  </si>
  <si>
    <t>بعض العناصر الإنشائية تضررت؛ المبنى غير آمن جزئيًا</t>
  </si>
  <si>
    <t>🟠 #ED7D31</t>
  </si>
  <si>
    <t>عبد الرزاق بكور</t>
  </si>
  <si>
    <t>ضرر بالغ</t>
  </si>
  <si>
    <t>Severe Damage</t>
  </si>
  <si>
    <t>أضرار إنشائية واسعة تتطلب إصلاحات كبيرة؛ المبنى غير آمن</t>
  </si>
  <si>
    <t>🟥 #C00000</t>
  </si>
  <si>
    <t>عمر خليفة</t>
  </si>
  <si>
    <t>مهدوم</t>
  </si>
  <si>
    <t>Destroyed</t>
  </si>
  <si>
    <t>انهيار كلي أو شبه كلي للمبنى؛ غير صالح للسكن</t>
  </si>
  <si>
    <t>⬛ #000000</t>
  </si>
  <si>
    <t>عبد القادر سرحان</t>
  </si>
  <si>
    <t>فرزت حميدي</t>
  </si>
  <si>
    <t>احمد عيدي</t>
  </si>
  <si>
    <t>Assessment_Status</t>
  </si>
  <si>
    <t>Activity Name</t>
  </si>
  <si>
    <t>مقبول</t>
  </si>
  <si>
    <t>Accepted</t>
  </si>
  <si>
    <t>تمت الموافقة على الحالة دون شروط إضافية</t>
  </si>
  <si>
    <t>مقبول شرطي</t>
  </si>
  <si>
    <t>Conditionally Accepted</t>
  </si>
  <si>
    <t>الموافقة مشروطة باستكمال أو تصحيح بعض المتطلبات</t>
  </si>
  <si>
    <t>🟨 #FFD966</t>
  </si>
  <si>
    <t>مرفوض</t>
  </si>
  <si>
    <t>Rejected</t>
  </si>
  <si>
    <t>لم تتم الموافقة بسبب عدم استيفاء المعايير أو الأهلية</t>
  </si>
  <si>
    <t>🟥 #FA8697</t>
  </si>
  <si>
    <t>House Status</t>
  </si>
  <si>
    <t>الترميم متوقف بشكل مؤقت</t>
  </si>
  <si>
    <t>Temporarily Suspended</t>
  </si>
  <si>
    <t>🟨 #ED7D31</t>
  </si>
  <si>
    <t>قيد الترميم</t>
  </si>
  <si>
    <t>Under Rehabilitation</t>
  </si>
  <si>
    <t>🟧 #1DB9C3</t>
  </si>
  <si>
    <t>تم الانتهاء من الترميم</t>
  </si>
  <si>
    <t>Rehabilitation Completed</t>
  </si>
  <si>
    <t>القسم الأول: المعلومات الشخصية – مالك المنزل</t>
  </si>
  <si>
    <t>القسم الثاني: عنوان سكن مالك المنزل الحالي وبيانات التواصل</t>
  </si>
  <si>
    <t>القسم الثالث: الحالة الصحية – مالك المنزل</t>
  </si>
  <si>
    <t>القسم الرابع: معلومات أسرة مالك المنزل (القاطنة في نفس المنزل)</t>
  </si>
  <si>
    <t>الرقم التسلسلي</t>
  </si>
  <si>
    <t>كود المستفيد</t>
  </si>
  <si>
    <t>الاسم الأول</t>
  </si>
  <si>
    <t>اسم الأب</t>
  </si>
  <si>
    <t>الكنية</t>
  </si>
  <si>
    <t>اسم الأم</t>
  </si>
  <si>
    <t>الجنس</t>
  </si>
  <si>
    <t>تاريخ الميلاد</t>
  </si>
  <si>
    <t>الحالة الاجتماعية</t>
  </si>
  <si>
    <t>اسم الزوج / الزوجة</t>
  </si>
  <si>
    <t>نوع الهوية</t>
  </si>
  <si>
    <t>نوع هوية أخرى</t>
  </si>
  <si>
    <t>رقم الهوية</t>
  </si>
  <si>
    <t>صورة الهوية الأمامية</t>
  </si>
  <si>
    <t>صورة الهوية الخلفية</t>
  </si>
  <si>
    <t>المحافظة</t>
  </si>
  <si>
    <t>المنطقة</t>
  </si>
  <si>
    <t>الناحية</t>
  </si>
  <si>
    <t>العنوان الكامل</t>
  </si>
  <si>
    <t>رقم الهاتف الرئيسي</t>
  </si>
  <si>
    <t>رقم الهاتف البديل</t>
  </si>
  <si>
    <t>حالة الإعاقة</t>
  </si>
  <si>
    <t>نوع الصعوبة</t>
  </si>
  <si>
    <t>صعوبة التواصل</t>
  </si>
  <si>
    <t>صعوبة البصر</t>
  </si>
  <si>
    <t>صعوبة السمع</t>
  </si>
  <si>
    <t>صعوبة الحركة</t>
  </si>
  <si>
    <t>صعوبة التذكر</t>
  </si>
  <si>
    <t>صعوبة العناية الشخصية</t>
  </si>
  <si>
    <t>وجود أمراض مزمنة</t>
  </si>
  <si>
    <t>نوع المرض</t>
  </si>
  <si>
    <t>ملاحظات صحية</t>
  </si>
  <si>
    <t>نوع معيل الأسرة</t>
  </si>
  <si>
    <t>عدد الأسر</t>
  </si>
  <si>
    <t>إجمالي عدد أفراد الأسرة</t>
  </si>
  <si>
    <t>عدد الرجال فوق 18 سنة</t>
  </si>
  <si>
    <t>عدد النساء فوق 18 سنة</t>
  </si>
  <si>
    <t>عدد الأولاد 12–17 سنة</t>
  </si>
  <si>
    <t>عدد البنات 12–17 سنة</t>
  </si>
  <si>
    <t>عدد الأولاد دون 12 سنة</t>
  </si>
  <si>
    <t>عدد البنات دون 12 سنة</t>
  </si>
  <si>
    <t>عدد النساء المرضعات</t>
  </si>
  <si>
    <t>عدد النساء الحوامل</t>
  </si>
  <si>
    <t>عدد النساء المطلقات</t>
  </si>
  <si>
    <t>عدد النساء الأرامل</t>
  </si>
  <si>
    <t>عدد الأطفال المنفصلين عن ذويهم</t>
  </si>
  <si>
    <t>عدد أفراد الأسرة من ذوي الإعاقة</t>
  </si>
  <si>
    <t>الاسم الثلاثي لمالك المنزل</t>
  </si>
  <si>
    <t>SN</t>
  </si>
  <si>
    <t>Ben Code</t>
  </si>
  <si>
    <t>First Name</t>
  </si>
  <si>
    <t>Father Name</t>
  </si>
  <si>
    <t>Family Name</t>
  </si>
  <si>
    <t>Mother Name</t>
  </si>
  <si>
    <t>Gender</t>
  </si>
  <si>
    <t>Birth Date</t>
  </si>
  <si>
    <t>Marital Status</t>
  </si>
  <si>
    <t>Spouse Name</t>
  </si>
  <si>
    <t>ID Type</t>
  </si>
  <si>
    <t>ID Other</t>
  </si>
  <si>
    <t>ID Number</t>
  </si>
  <si>
    <t>ID Photo Front</t>
  </si>
  <si>
    <t>ID Photo Back</t>
  </si>
  <si>
    <t>Gov</t>
  </si>
  <si>
    <t>District</t>
  </si>
  <si>
    <t>Sub District</t>
  </si>
  <si>
    <t>Full Address</t>
  </si>
  <si>
    <t>Phone Main</t>
  </si>
  <si>
    <t>Phone Alt</t>
  </si>
  <si>
    <t>Disability Status</t>
  </si>
  <si>
    <t>Difficulty type</t>
  </si>
  <si>
    <t>Comm Difficulty</t>
  </si>
  <si>
    <t>Vision Difficulty</t>
  </si>
  <si>
    <t>Hearing Difficulty</t>
  </si>
  <si>
    <t>Mobility Difficulty</t>
  </si>
  <si>
    <t>Memory Difficulty</t>
  </si>
  <si>
    <t>Selfcare Difficulty</t>
  </si>
  <si>
    <t>Chronic Disease</t>
  </si>
  <si>
    <t>Disease Type</t>
  </si>
  <si>
    <t>Health Notes</t>
  </si>
  <si>
    <t>Family breadwinner type</t>
  </si>
  <si>
    <t>Families Count</t>
  </si>
  <si>
    <t>HH Total</t>
  </si>
  <si>
    <t>Men 18Plus</t>
  </si>
  <si>
    <t>Women 18Plus</t>
  </si>
  <si>
    <t>Boys 12 17</t>
  </si>
  <si>
    <t>Girls 12 17</t>
  </si>
  <si>
    <t>Boys U12</t>
  </si>
  <si>
    <t>Girls U12</t>
  </si>
  <si>
    <t>Women Breastfeed</t>
  </si>
  <si>
    <t>Women Pregnant</t>
  </si>
  <si>
    <t>Women Divorced</t>
  </si>
  <si>
    <t>Women Widowed</t>
  </si>
  <si>
    <t>Children Separated</t>
  </si>
  <si>
    <t>HH Disability</t>
  </si>
  <si>
    <t>Owner Full Name</t>
  </si>
  <si>
    <t>القسم الثاني:عنوان المنزل الحالي</t>
  </si>
  <si>
    <t>القسم الثالث:وثائق الملكية</t>
  </si>
  <si>
    <t>القسم الرابع:معلومات المنزل</t>
  </si>
  <si>
    <t>القسم الخامس:التقييم الأولي للمنزل (من قبل المالك)</t>
  </si>
  <si>
    <t>القسم السادس:تقييم المنازل</t>
  </si>
  <si>
    <t>محافظة السكن</t>
  </si>
  <si>
    <t>منطقة السكن</t>
  </si>
  <si>
    <t>ناحية السكن</t>
  </si>
  <si>
    <t>القرية</t>
  </si>
  <si>
    <t>كود القرية</t>
  </si>
  <si>
    <t>عنوان المنزل</t>
  </si>
  <si>
    <t>إحداثيات الموقع (GPS)</t>
  </si>
  <si>
    <t>إثبات الملكية</t>
  </si>
  <si>
    <t>نوع الملكية</t>
  </si>
  <si>
    <t>تاريخ إصدار الوثيقة</t>
  </si>
  <si>
    <t>صورة الوثيقة</t>
  </si>
  <si>
    <t>حالة الإشغال</t>
  </si>
  <si>
    <t>نوع المسكن</t>
  </si>
  <si>
    <t>عدد الغرف</t>
  </si>
  <si>
    <t>رقم الطابق</t>
  </si>
  <si>
    <t>مساحة المسكن</t>
  </si>
  <si>
    <t>كود المنزل</t>
  </si>
  <si>
    <t>الجدران الخارجية</t>
  </si>
  <si>
    <t>الجدران الداخلية</t>
  </si>
  <si>
    <t>وجود سقف</t>
  </si>
  <si>
    <t>الأضرار الهيكلية</t>
  </si>
  <si>
    <t>حالة المرافق</t>
  </si>
  <si>
    <t>الاتصال بشبكة الصرف الصحي</t>
  </si>
  <si>
    <t>وجود طابق تحت الأرض</t>
  </si>
  <si>
    <t>هل يوجد ملحق</t>
  </si>
  <si>
    <t>مستوى الضرر</t>
  </si>
  <si>
    <t>صورة الواجهة</t>
  </si>
  <si>
    <t>صورة الداخل</t>
  </si>
  <si>
    <t>صورة الجدران</t>
  </si>
  <si>
    <t>صورة الأعمدة</t>
  </si>
  <si>
    <t>صورة السقف</t>
  </si>
  <si>
    <t>صورة المطبخ</t>
  </si>
  <si>
    <t>صورة الحمام</t>
  </si>
  <si>
    <t>صورة المرحاض</t>
  </si>
  <si>
    <t>الوصول الآمن</t>
  </si>
  <si>
    <t>أسباب صعوبة الوصول</t>
  </si>
  <si>
    <t>أسباب أخرى</t>
  </si>
  <si>
    <t>طلب آخر</t>
  </si>
  <si>
    <t>ملاحظات عامة</t>
  </si>
  <si>
    <t>وصف الضرر (تقييم النقابة)</t>
  </si>
  <si>
    <t>تاريخ تقييم النقابة</t>
  </si>
  <si>
    <t>كود تقرير النقابة</t>
  </si>
  <si>
    <t>رابط تقرير النقابة</t>
  </si>
  <si>
    <t>السكور الفني (0–100)</t>
  </si>
  <si>
    <t>ملاحظات الفريق الميداني</t>
  </si>
  <si>
    <t>توصية الفريق الميداني</t>
  </si>
  <si>
    <t>تعليق الفريق الميداني</t>
  </si>
  <si>
    <t>تاريخ تقييم الفريق الميداني</t>
  </si>
  <si>
    <t>ملاحظات إدارة المشروع</t>
  </si>
  <si>
    <t>توصية إدارة المشروع</t>
  </si>
  <si>
    <t>تعليق إدارة المشروع</t>
  </si>
  <si>
    <t>تاريخ تقييم إدارة المشروع</t>
  </si>
  <si>
    <t>ملاحظات UNDP</t>
  </si>
  <si>
    <t>توصية UNDP</t>
  </si>
  <si>
    <t>تعليق UNDP</t>
  </si>
  <si>
    <t>تاريخ تقييم UNDP</t>
  </si>
  <si>
    <t>House Gov</t>
  </si>
  <si>
    <t>House District</t>
  </si>
  <si>
    <t>House SubDist</t>
  </si>
  <si>
    <t>House Village</t>
  </si>
  <si>
    <t>admin4Pcode</t>
  </si>
  <si>
    <t>House Address</t>
  </si>
  <si>
    <t>House GPS</t>
  </si>
  <si>
    <t>Ownership Proof</t>
  </si>
  <si>
    <t>Ownership Type</t>
  </si>
  <si>
    <t>Doc IssueDate</t>
  </si>
  <si>
    <t>Doc Photo</t>
  </si>
  <si>
    <t>Occupancy Status</t>
  </si>
  <si>
    <t>House Type</t>
  </si>
  <si>
    <t>Room Count</t>
  </si>
  <si>
    <t>Floor No</t>
  </si>
  <si>
    <t>House Area</t>
  </si>
  <si>
    <t>House Code</t>
  </si>
  <si>
    <t>Walls External</t>
  </si>
  <si>
    <t>Walls Internal</t>
  </si>
  <si>
    <t>Has Roof</t>
  </si>
  <si>
    <t>Struct Damage</t>
  </si>
  <si>
    <t>Facilities Status</t>
  </si>
  <si>
    <t>Sewage Connect</t>
  </si>
  <si>
    <t>Below Ground</t>
  </si>
  <si>
    <t>Is Annex</t>
  </si>
  <si>
    <t>Damage Level</t>
  </si>
  <si>
    <t>Photo Facade</t>
  </si>
  <si>
    <t>Photo Interior</t>
  </si>
  <si>
    <t>Photo Walls</t>
  </si>
  <si>
    <t>Photo Columns</t>
  </si>
  <si>
    <t>Photo Ceiling</t>
  </si>
  <si>
    <t>Photo Kitchen</t>
  </si>
  <si>
    <t>Photo Bathroom</t>
  </si>
  <si>
    <t>Photo Toilet</t>
  </si>
  <si>
    <t>Safe Access</t>
  </si>
  <si>
    <t>Access Reasons</t>
  </si>
  <si>
    <t>Access Other</t>
  </si>
  <si>
    <t>Other Request</t>
  </si>
  <si>
    <t>General Notes</t>
  </si>
  <si>
    <t>Damage Description Syndicate</t>
  </si>
  <si>
    <t>Assessment Date Syndicate</t>
  </si>
  <si>
    <t>Syndicate Report Code</t>
  </si>
  <si>
    <t>Syndicate Report Link</t>
  </si>
  <si>
    <t>Technical Score</t>
  </si>
  <si>
    <t>FieldTeam Notes</t>
  </si>
  <si>
    <t>FieldTeam Recommendation</t>
  </si>
  <si>
    <t>FieldTeam Comment</t>
  </si>
  <si>
    <t>FieldTeam Assessment Date</t>
  </si>
  <si>
    <t>ProjectMgmt Notes</t>
  </si>
  <si>
    <t>ProjectMgmt Recommendation</t>
  </si>
  <si>
    <t>ProjectMgmt Comment</t>
  </si>
  <si>
    <t>ProjectMgmt Assessment Date</t>
  </si>
  <si>
    <t>UNDP Notes</t>
  </si>
  <si>
    <t>UNDP Recommendation</t>
  </si>
  <si>
    <t>UNDP Comment</t>
  </si>
  <si>
    <t>UNDP Assessment Date</t>
  </si>
  <si>
    <t>القسم الأول: المعلومات الأساسية</t>
  </si>
  <si>
    <t>الإجمالي الكلي</t>
  </si>
  <si>
    <t xml:space="preserve">القسم الثاني: التكاليف والكميات التقديرية </t>
  </si>
  <si>
    <t>القسم الثالث: التوصيات واتخاذ القرار</t>
  </si>
  <si>
    <t>اسم مسجل البيانات</t>
  </si>
  <si>
    <t>التاريخ</t>
  </si>
  <si>
    <t>إجمالي التكلفة</t>
  </si>
  <si>
    <t>صورة الوضع الحالي تحضير الموقع</t>
  </si>
  <si>
    <t>تكلفة تحضير الموقع</t>
  </si>
  <si>
    <t>إزالة وهدم المنشآت الخطرة أو المتضررة</t>
  </si>
  <si>
    <t>صورة الوضع الحالي إزالة وهدم المنشآت الخطرة أو المتضررة</t>
  </si>
  <si>
    <t>تكلفة إزالة وهدم المنشآت الخطرة أو المتضررة</t>
  </si>
  <si>
    <t>صورة الوضع الحالي أعمال الخرسانة</t>
  </si>
  <si>
    <t>تكلفة أعمال الخرسانة</t>
  </si>
  <si>
    <t>إغلاق الفتحات الخارجية جدران ونوافذ</t>
  </si>
  <si>
    <t>صورة الوضع الحالي إغلاق الفتحات الخارجية جدران ونوافذ</t>
  </si>
  <si>
    <t>تكلفة إغلاق الفتحات الخارجية جدران ونوافذ</t>
  </si>
  <si>
    <t>صورة الوضع الحالي اللياسة والدهان</t>
  </si>
  <si>
    <t>تكلفة اللياسة والدهان</t>
  </si>
  <si>
    <t>صورة الوضع الحالي إصلاح الأرضيات</t>
  </si>
  <si>
    <t>تكلفة إصلاح الأرضيات</t>
  </si>
  <si>
    <t>صورة الوضع الحالي استبدال أو إصلاح الأبواب</t>
  </si>
  <si>
    <t>تكلفة استبدال أو إصلاح الأبواب</t>
  </si>
  <si>
    <t>صورة الوضع الحالي استبدال أو إصلاح النوافذ</t>
  </si>
  <si>
    <t>تكلفة استبدال أو إصلاح النوافذ</t>
  </si>
  <si>
    <t>تأهيل الحمام والمرافق</t>
  </si>
  <si>
    <t>صورة الوضع الحالي تأهيل الحمام والمرافق</t>
  </si>
  <si>
    <t>تكلفة تأهيل الحمام والمرافق</t>
  </si>
  <si>
    <t>تركيب البلاط في مناطق الصرف والنظافة</t>
  </si>
  <si>
    <t>صورة الوضع الحالي تركيب البلاط في مناطق الصرف والنظافة</t>
  </si>
  <si>
    <t>تكلفة تركيب البلاط في مناطق الصرف والنظافة</t>
  </si>
  <si>
    <t>إصلاح التمديدات الكهربائية والإنارة</t>
  </si>
  <si>
    <t>صورة الوضع الحالي إصلاح التمديدات الكهربائية والإنارة</t>
  </si>
  <si>
    <t>تكلفة إصلاح التمديدات الكهربائية والإنارة</t>
  </si>
  <si>
    <t>عزل السطح وإصلاح تسرب المياه</t>
  </si>
  <si>
    <t>صورة الوضع الحالي عزل السطح وإصلاح تسرب المياه</t>
  </si>
  <si>
    <t>تكلفة عزل السطح وإصلاح تسرب المياه</t>
  </si>
  <si>
    <t>صورة الوضع الحالي تنظيف وإصلاح مداخن التهوية</t>
  </si>
  <si>
    <t>تكلفة تنظيف وإصلاح مداخن التهوية</t>
  </si>
  <si>
    <t>تجهيزات تسهيل الوصول</t>
  </si>
  <si>
    <t>صورة الوضع الحالي تجهيزات تسهيل الوصول</t>
  </si>
  <si>
    <t>تكلفة تجهيزات تسهيل الوصول</t>
  </si>
  <si>
    <t>إجمالي التكلفة التقديرية الى متوسط التكلفة التقديرية</t>
  </si>
  <si>
    <t>ترتيب أولوية قبول المنزل (بناء على التكلفة)</t>
  </si>
  <si>
    <t>ملاحظات ادارة المشروع</t>
  </si>
  <si>
    <t>توصية ادارة المشروع</t>
  </si>
  <si>
    <t>تعليق ادارة المشروع</t>
  </si>
  <si>
    <t>Data Enumerator</t>
  </si>
  <si>
    <t>Date</t>
  </si>
  <si>
    <t>Total cost</t>
  </si>
  <si>
    <t>Current Situation Photo Site Preparation</t>
  </si>
  <si>
    <t>Site Preparation Cost</t>
  </si>
  <si>
    <t>Demolition Removal Unsafe Structures</t>
  </si>
  <si>
    <t>Current Situation Photo Demolition Removal Unsafe Structures</t>
  </si>
  <si>
    <t>Demolition Removal Unsafe Structures Cost</t>
  </si>
  <si>
    <t>Current Situation Photo Concrete Works</t>
  </si>
  <si>
    <t>Concrete Works Cost</t>
  </si>
  <si>
    <t>Closure External Openings Walls Windows</t>
  </si>
  <si>
    <t>Current Situation Photo Closure External Openings Walls Windows</t>
  </si>
  <si>
    <t>Closure External Openings Walls Windows Cost</t>
  </si>
  <si>
    <t>Plastering Painting</t>
  </si>
  <si>
    <t>Current Situation Photo Plastering Painting</t>
  </si>
  <si>
    <t>Plastering Painting Cost</t>
  </si>
  <si>
    <t>Current Situation Photo Floor Repairs</t>
  </si>
  <si>
    <t>Floor Repairs Cost</t>
  </si>
  <si>
    <t>Doors Replacement Repair</t>
  </si>
  <si>
    <t>Current Situation Photo Doors Replacement Repair</t>
  </si>
  <si>
    <t>Doors Replacement Repair Cost</t>
  </si>
  <si>
    <t>Windows Replacement Repair</t>
  </si>
  <si>
    <t>Current Situation Photo Windows Replacement Repair</t>
  </si>
  <si>
    <t>Windows Replacement Repair Cost</t>
  </si>
  <si>
    <t>Bathroom Rehabilitation</t>
  </si>
  <si>
    <t>Current Situation Photo Bathroom Rehabilitation</t>
  </si>
  <si>
    <t>Bathroom Rehabilitation Cost</t>
  </si>
  <si>
    <t>Ceramic Tile Works WASH</t>
  </si>
  <si>
    <t>Current Situation Photo Ceramic Tile Works WASH</t>
  </si>
  <si>
    <t>Ceramic Tile Works WASH Cost</t>
  </si>
  <si>
    <t>Electrical Repairs Lighting</t>
  </si>
  <si>
    <t>Current Situation Photo Electrical Repairs Lighting</t>
  </si>
  <si>
    <t>Electrical Repairs Lighting Cost</t>
  </si>
  <si>
    <t>Roof Insulation Leak Sealing</t>
  </si>
  <si>
    <t>Current Situation Photo Roof Insulation Leak Sealing</t>
  </si>
  <si>
    <t>Roof Insulation Leak Sealing Cost</t>
  </si>
  <si>
    <t>Chimney Duct Cleaning Repair</t>
  </si>
  <si>
    <t>Current Situation Photo Chimney Duct Cleaning Repair</t>
  </si>
  <si>
    <t>Chimney Duct Cleaning Repair Cost</t>
  </si>
  <si>
    <t>Accessibility Adaptations</t>
  </si>
  <si>
    <t>Current Situation Photo Accessibility Adaptations</t>
  </si>
  <si>
    <t>Accessibility Adaptations Cost</t>
  </si>
  <si>
    <t>Total estimated cost to average estimated cost</t>
  </si>
  <si>
    <t>House Priority Order Based on Cost</t>
  </si>
  <si>
    <t>Project Mgmt Notes</t>
  </si>
  <si>
    <t>Project Mgmt Recommendation</t>
  </si>
  <si>
    <t>Project Mgmt Comment</t>
  </si>
  <si>
    <t>Project Mgmt Date</t>
  </si>
  <si>
    <t>UNDP Date</t>
  </si>
  <si>
    <t xml:space="preserve">القسم الثاني: التكاليف والكميات الفعلية </t>
  </si>
  <si>
    <t>القسم الثالث: الإنهاء</t>
  </si>
  <si>
    <t>تاريخ اسناد الاعمال للمقاول</t>
  </si>
  <si>
    <t>تاريخ الاستلام النهائي المتفق عليه (بموجب أمر الشراء)</t>
  </si>
  <si>
    <t>تاريخ بدء الترميم</t>
  </si>
  <si>
    <t>حالة المنزل</t>
  </si>
  <si>
    <t>نسبة الانجاز</t>
  </si>
  <si>
    <t>إجمالي التكلفة الفعلية</t>
  </si>
  <si>
    <t>تاريخ الانتهاء الفعلي (بموجب الجي ار ان)</t>
  </si>
  <si>
    <t>شهادة انتهاء الاعمال</t>
  </si>
  <si>
    <t>ملاحظات</t>
  </si>
  <si>
    <t>Work Assignment Date</t>
  </si>
  <si>
    <t>Final Agreed Completion Date</t>
  </si>
  <si>
    <t>Rehabilitation Start Date</t>
  </si>
  <si>
    <t>Completion Percentage</t>
  </si>
  <si>
    <t xml:space="preserve"> Notes</t>
  </si>
  <si>
    <t>🏠 Beneficiary Information</t>
  </si>
  <si>
    <t>🧱 House Assessment</t>
  </si>
  <si>
    <t>🏘️</t>
  </si>
  <si>
    <t>Total Beneficiary</t>
  </si>
  <si>
    <t>Total House</t>
  </si>
  <si>
    <t>🏠</t>
  </si>
  <si>
    <t>⚙️</t>
  </si>
  <si>
    <t>Male</t>
  </si>
  <si>
    <t>🏙️</t>
  </si>
  <si>
    <t>Location</t>
  </si>
  <si>
    <t>✅</t>
  </si>
  <si>
    <t xml:space="preserve">Ownership Proof </t>
  </si>
  <si>
    <t xml:space="preserve"> Yes</t>
  </si>
  <si>
    <t>📊</t>
  </si>
  <si>
    <t>🧵</t>
  </si>
  <si>
    <t>Female</t>
  </si>
  <si>
    <t>❌</t>
  </si>
  <si>
    <t xml:space="preserve"> NO</t>
  </si>
  <si>
    <t>👔</t>
  </si>
  <si>
    <t>🌆</t>
  </si>
  <si>
    <t>Detached House</t>
  </si>
  <si>
    <t>🧕</t>
  </si>
  <si>
    <t>🟩</t>
  </si>
  <si>
    <t>🏢</t>
  </si>
  <si>
    <t>Apartment</t>
  </si>
  <si>
    <t>🎒</t>
  </si>
  <si>
    <t>♿</t>
  </si>
  <si>
    <t>Disability</t>
  </si>
  <si>
    <t>🟢</t>
  </si>
  <si>
    <t>🏚️</t>
  </si>
  <si>
    <t>Annex</t>
  </si>
  <si>
    <t>🎀</t>
  </si>
  <si>
    <t>🧩</t>
  </si>
  <si>
    <t>HH-Child</t>
  </si>
  <si>
    <t>🟧</t>
  </si>
  <si>
    <t>🏗️</t>
  </si>
  <si>
    <t>Basement</t>
  </si>
  <si>
    <t>🏡</t>
  </si>
  <si>
    <t>HH-Woman</t>
  </si>
  <si>
    <t>🟠</t>
  </si>
  <si>
    <t>🧸</t>
  </si>
  <si>
    <t>⏳</t>
  </si>
  <si>
    <t>HH-Elderly man (60+)</t>
  </si>
  <si>
    <t>🟥</t>
  </si>
  <si>
    <t>🟨</t>
  </si>
  <si>
    <t>🍼</t>
  </si>
  <si>
    <t>💔</t>
  </si>
  <si>
    <t>⬛</t>
  </si>
  <si>
    <t>🌿</t>
  </si>
  <si>
    <t>🕊️</t>
  </si>
  <si>
    <t>🚸</t>
  </si>
  <si>
    <t>🧱</t>
  </si>
  <si>
    <t>_index</t>
  </si>
  <si>
    <t>تاريخ الارسال</t>
  </si>
  <si>
    <t>اسم الأم كما هو مذكور في الهوية</t>
  </si>
  <si>
    <t>تاريخ الميلاد كما هو مذكور في الهوية</t>
  </si>
  <si>
    <t>الاسم الثلاثي للزوج أو الزوجة (إن وجد)</t>
  </si>
  <si>
    <t>نوع الوثيقة الشخصية</t>
  </si>
  <si>
    <t>يرجى تحديد نوع الوثيقة في حال اختيار “أخرى”</t>
  </si>
  <si>
    <t>رقم الوثيقة الشخصية (الرقم الوطني)</t>
  </si>
  <si>
    <t>صورة الوثيقة الشخصية (الوجه الأول)</t>
  </si>
  <si>
    <t>صورة الوثيقة الشخصية (الوجه الأول)_URL</t>
  </si>
  <si>
    <t>صورة الوثيقة الشخصية (الوجه الثاني)</t>
  </si>
  <si>
    <t>صورة الوثيقة الشخصية (الوجه الثاني)_URL</t>
  </si>
  <si>
    <t>العنوان التفصيلي لمكان السكن الحالي</t>
  </si>
  <si>
    <t>رقم الهاتف الرئيسي (واتساب إن أمكن)</t>
  </si>
  <si>
    <t>رقم هاتف بديل (إضافي)</t>
  </si>
  <si>
    <t>هل مالك المنزل من الأشخاص ذوي الإعاقة؟</t>
  </si>
  <si>
    <t>يرجى تحديد نوع الإعاقة (في حال الإجابة بنعم)</t>
  </si>
  <si>
    <t>يرجى تحديد نوع الإعاقة (في حال الإجابة بنعم)/باستخدام اللغة المعتادة ، هل تجد صعوبة في التواصل ، على سبيل المثال الفهم على الناس أو أن يفهمك الناس؟</t>
  </si>
  <si>
    <t>يرجى تحديد نوع الإعاقة (في حال الإجابة بنعم)/هل تجد صعوبة في الرؤية حتى لو كنت ترتدي نظارة؟</t>
  </si>
  <si>
    <t>يرجى تحديد نوع الإعاقة (في حال الإجابة بنعم)/هل لديك صعوبة في السمع ، حتى لو كنت تستخدم المعينات السمعية؟</t>
  </si>
  <si>
    <t>يرجى تحديد نوع الإعاقة (في حال الإجابة بنعم)/هل تجد صعوبة في المشي أو صعود السلم؟</t>
  </si>
  <si>
    <t>يرجى تحديد نوع الإعاقة (في حال الإجابة بنعم)/هل تجد صعوبة في التذكر أو التركيز؟</t>
  </si>
  <si>
    <t>يرجى تحديد نوع الإعاقة (في حال الإجابة بنعم)/هل لديك صعوبة في الرعاية الذاتية ، مثل غسل الملابس أو ارتداء الملابس؟</t>
  </si>
  <si>
    <t>درجة الصعوبة في التواصل مع الآخرين</t>
  </si>
  <si>
    <t>درجة الصعوبة في الرؤية</t>
  </si>
  <si>
    <t>درجة الصعوبة في السمع</t>
  </si>
  <si>
    <t>درجة الصعوبة في الحركة</t>
  </si>
  <si>
    <t>درجة الصعوبة في التركيز أو التذكر</t>
  </si>
  <si>
    <t>درجة الصعوبة في الرعاية الذاتية</t>
  </si>
  <si>
    <t>هل تعاني من أمراض مزمنة؟</t>
  </si>
  <si>
    <t>يرجى تحديد نوع أو أنواع الأمراض المزمنة</t>
  </si>
  <si>
    <t>يرجى تحديد نوع أو أنواع الأمراض المزمنة/سكري</t>
  </si>
  <si>
    <t>يرجى تحديد نوع أو أنواع الأمراض المزمنة/قلب</t>
  </si>
  <si>
    <t>يرجى تحديد نوع أو أنواع الأمراض المزمنة/صرع</t>
  </si>
  <si>
    <t>يرجى تحديد نوع أو أنواع الأمراض المزمنة/روماتيزم</t>
  </si>
  <si>
    <t>يرجى تحديد نوع أو أنواع الأمراض المزمنة/اخرى</t>
  </si>
  <si>
    <t>ملاحظات إضافية تتعلق بالحالة الصحية (إن وجدت)</t>
  </si>
  <si>
    <t>عدد العائلات المقيمة في نفس المنزل</t>
  </si>
  <si>
    <t>عدد أفراد الأسرة (بما فيهم مالك المنزل)</t>
  </si>
  <si>
    <t>&lt;span style="background-color:#CD6155; color:white"&gt; تفاصيل أفراد الاسرة &lt;/span&gt;</t>
  </si>
  <si>
    <t>عدد الرجال (العمر أكبر من 18 سنة)</t>
  </si>
  <si>
    <t>عدد النساء (العمر أكبر من 18 سنة)</t>
  </si>
  <si>
    <t>عدد الشباب الذكور (من 12 إلى 17 سنة)</t>
  </si>
  <si>
    <t>عدد الفتيات الإناث (من 12 إلى 17 سنة)</t>
  </si>
  <si>
    <t>عدد الأطفال الذكور (دون سن 12 سنة)</t>
  </si>
  <si>
    <t>عدد الأطفال الإناث (دون سن 12 سنة)</t>
  </si>
  <si>
    <t>عدد أفراد الأسرة من كبار السن (60 سنة فأكثر)</t>
  </si>
  <si>
    <t>ما هو مصدر الدخل الرئيسي للأسرة؟</t>
  </si>
  <si>
    <t>عدد الأفراد العاملين في الأسرة</t>
  </si>
  <si>
    <t>ما هي حالة إقامتك في المنطقة؟</t>
  </si>
  <si>
    <t>عنوان المنزل الكامل</t>
  </si>
  <si>
    <t>_إحداثيات الموقع الجغرافي للمنزل (GPS)_latitude</t>
  </si>
  <si>
    <t>_إحداثيات الموقع الجغرافي للمنزل (GPS)_longitude</t>
  </si>
  <si>
    <t>حالة الاقامة في المنزل</t>
  </si>
  <si>
    <t>هل لديك وثيقة اثبات ملكية حديث؟</t>
  </si>
  <si>
    <t>نوع وثيقة الملكية</t>
  </si>
  <si>
    <t>تاريخ إصدار وثيقة الملكية</t>
  </si>
  <si>
    <t>صورة وثيقة الملكية</t>
  </si>
  <si>
    <t>صورة وثيقة الملكية_URL</t>
  </si>
  <si>
    <t>نوع المنزل</t>
  </si>
  <si>
    <t>عدد الغرف (بما فيها الصالون)</t>
  </si>
  <si>
    <t>رقم الطابق الذي يقع فيه المنزل</t>
  </si>
  <si>
    <t>مساحة المنزل بالمتر المربع</t>
  </si>
  <si>
    <t>هل يملك المنزل أو الشقة جدرانًا خارجية سليمة ولا يحتاج إلى أعمال بناء (بلوك) خارجية؟</t>
  </si>
  <si>
    <t>هل يملك المنزل أو الشقة جدرانًا داخلية مكتملة ولا يحتاج إلى أعمال بناء (بلوك) داخلية؟</t>
  </si>
  <si>
    <t>هل يملك المنزل أو الشقة سقفًا وسلالم (أدراج) سليمة؟</t>
  </si>
  <si>
    <t>هل توجد أية أضرار إنشائية في المنزل أو الشقة؟</t>
  </si>
  <si>
    <t>هل المرافق (المياه والصرف) عاملة أم مجرد بناء؟</t>
  </si>
  <si>
    <t>هل المنزل موصول بنظام صرف صحي أو حفرة فنية؟</t>
  </si>
  <si>
    <t>هل مستوى المنزل أخفض من مستوى الأرض (قبو)؟</t>
  </si>
  <si>
    <t>هل المنزل عبارة عن ملحق؟</t>
  </si>
  <si>
    <t>وصف حالة الضرر من وجهة نظرك كمالك للمنزل</t>
  </si>
  <si>
    <t>صورة الواجهة الأمامية للمنزل</t>
  </si>
  <si>
    <t>صورة الواجهة الأمامية للمنزل_URL</t>
  </si>
  <si>
    <t>صورة للمنزل من الداخل</t>
  </si>
  <si>
    <t>صورة للمنزل من الداخل_URL</t>
  </si>
  <si>
    <t>صورة توضح حالة الجدران</t>
  </si>
  <si>
    <t>صورة توضح حالة الجدران_URL</t>
  </si>
  <si>
    <t>صورة توضح حالة الأعمدة</t>
  </si>
  <si>
    <t>صورة توضح حالة الأعمدة_URL</t>
  </si>
  <si>
    <t>صورة توضح حالة السقف</t>
  </si>
  <si>
    <t>صورة توضح حالة السقف_URL</t>
  </si>
  <si>
    <t>صورة توضح حالة المرافق (المطبخ)</t>
  </si>
  <si>
    <t>صورة توضح حالة المرافق (المطبخ)_URL</t>
  </si>
  <si>
    <t>صورة توضح حالة المرافق (الحمام)</t>
  </si>
  <si>
    <t>صورة توضح حالة المرافق (الحمام)_URL</t>
  </si>
  <si>
    <t>صورة توضح حالة المرافق (التواليت)</t>
  </si>
  <si>
    <t>صورة توضح حالة المرافق (التواليت)_URL</t>
  </si>
  <si>
    <t>هل يتوفر وصول آمن إلى المنزل؟</t>
  </si>
  <si>
    <t>في حال عدم توفر الوصول الآمن، يرجى توضيح الأسباب</t>
  </si>
  <si>
    <t>في حال عدم توفر الوصول الآمن، يرجى توضيح الأسباب/مخلفات حرب (ألغام، ذخائر غير منفجرة)</t>
  </si>
  <si>
    <t>في حال عدم توفر الوصول الآمن، يرجى توضيح الأسباب/نزاع ملكية أو خلاف قانوني</t>
  </si>
  <si>
    <t>في حال عدم توفر الوصول الآمن، يرجى توضيح الأسباب/طريق مسدود بالأنقاض أو الركام</t>
  </si>
  <si>
    <t>في حال عدم توفر الوصول الآمن، يرجى توضيح الأسباب/انهيار مبانٍ مجاورة تعيق الوصول</t>
  </si>
  <si>
    <t>في حال عدم توفر الوصول الآمن، يرجى توضيح الأسباب/مبانٍ غير مستقرة أو مهددة بالانهيار في الطريق</t>
  </si>
  <si>
    <t>في حال عدم توفر الوصول الآمن، يرجى توضيح الأسباب/منطقة عسكرية أو مغلقة</t>
  </si>
  <si>
    <t>في حال عدم توفر الوصول الآمن، يرجى توضيح الأسباب/عائق طبيعي (سيول، مجرى مائي، انهيار أرضي)</t>
  </si>
  <si>
    <t>في حال عدم توفر الوصول الآمن، يرجى توضيح الأسباب/سوء حالة الطرق أو انعدام الجسور</t>
  </si>
  <si>
    <t>في حال عدم توفر الوصول الآمن، يرجى توضيح الأسباب/مخاطر أمنية أو نشاط مسلح قريب</t>
  </si>
  <si>
    <t>في حال عدم توفر الوصول الآمن، يرجى توضيح الأسباب/غير ذلك يرجى تحديده</t>
  </si>
  <si>
    <t>يرجى تحديد سبب آخر إن وجد</t>
  </si>
  <si>
    <t>هل لدى مالك المنزل طلبات استفادة أخرى ضمن مشاريع مشابهة؟</t>
  </si>
  <si>
    <t>ملاحظات إضافية أو تعليقات عامة (اختياري)</t>
  </si>
  <si>
    <t>ياسر</t>
  </si>
  <si>
    <t>محمد</t>
  </si>
  <si>
    <t>سليمان</t>
  </si>
  <si>
    <t>وفيقة</t>
  </si>
  <si>
    <t>ذكر</t>
  </si>
  <si>
    <t>متزوج/ة</t>
  </si>
  <si>
    <t>ملكة علي الحلاق</t>
  </si>
  <si>
    <t>أخرى</t>
  </si>
  <si>
    <t>هوية مجلس محلي</t>
  </si>
  <si>
    <t>1764584951184.jpg</t>
  </si>
  <si>
    <t>https://eu.kobotoolbox.org/api/v2/assets/asidN676GwD9kVUoocseLY/data/728635896/attachments/attXRYWahxJjPsnEvDBEh7Qf/</t>
  </si>
  <si>
    <t>1764584967477.jpg</t>
  </si>
  <si>
    <t>https://eu.kobotoolbox.org/api/v2/assets/asidN676GwD9kVUoocseLY/data/728635896/attachments/att9RS86EenKmMKhqMHcVCec/</t>
  </si>
  <si>
    <t>ريف دمشق</t>
  </si>
  <si>
    <t>مركز ريف دمشق</t>
  </si>
  <si>
    <t>عربين</t>
  </si>
  <si>
    <t>حي المزرعة قرب مدرسة المازن</t>
  </si>
  <si>
    <t>لا</t>
  </si>
  <si>
    <t>غير ذلك</t>
  </si>
  <si>
    <t>عائد من النزوح الداخلي</t>
  </si>
  <si>
    <t>زملكا</t>
  </si>
  <si>
    <t>حي المزرعة قرب المدرسة</t>
  </si>
  <si>
    <t>مهجّر عائد</t>
  </si>
  <si>
    <t>منزل مستقل</t>
  </si>
  <si>
    <t>نعم</t>
  </si>
  <si>
    <t>تعمل</t>
  </si>
  <si>
    <t>1764586172363.jpg</t>
  </si>
  <si>
    <t>https://eu.kobotoolbox.org/api/v2/assets/asidN676GwD9kVUoocseLY/data/728635896/attachments/attPUxtSBwhonzhfD7eYsD9e/</t>
  </si>
  <si>
    <t>1764586219989.jpg</t>
  </si>
  <si>
    <t>https://eu.kobotoolbox.org/api/v2/assets/asidN676GwD9kVUoocseLY/data/728635896/attachments/attouVW64h6hB2UjtU3poxdV/</t>
  </si>
  <si>
    <t>1764586266797.jpg</t>
  </si>
  <si>
    <t>https://eu.kobotoolbox.org/api/v2/assets/asidN676GwD9kVUoocseLY/data/728635896/attachments/attrWLdNJyfhjpLtFL4vKXei/</t>
  </si>
  <si>
    <t>1764586423687.jpg</t>
  </si>
  <si>
    <t>https://eu.kobotoolbox.org/api/v2/assets/asidN676GwD9kVUoocseLY/data/728635896/attachments/attPah2tSYfVNpQWKhJ7z5A3/</t>
  </si>
  <si>
    <t>1764586301492.jpg</t>
  </si>
  <si>
    <t>https://eu.kobotoolbox.org/api/v2/assets/asidN676GwD9kVUoocseLY/data/728635896/attachments/att3RRPqS8RXh8BVJX4mU6va/</t>
  </si>
  <si>
    <t>1764586321473.jpg</t>
  </si>
  <si>
    <t>https://eu.kobotoolbox.org/api/v2/assets/asidN676GwD9kVUoocseLY/data/728635896/attachments/attrrpWMnsHdaszsvUR8u7Sk/</t>
  </si>
  <si>
    <t>1764586346872.jpg</t>
  </si>
  <si>
    <t>https://eu.kobotoolbox.org/api/v2/assets/asidN676GwD9kVUoocseLY/data/728635896/attachments/attmefK9GQtZEthGeaYTnWYr/</t>
  </si>
  <si>
    <t>1764586369281.jpg</t>
  </si>
  <si>
    <t>https://eu.kobotoolbox.org/api/v2/assets/asidN676GwD9kVUoocseLY/data/728635896/attachments/attH5bjgheX27o4xaL4uhNr9/</t>
  </si>
  <si>
    <t>المساعدة ما امكن مع تزكية من المختار</t>
  </si>
  <si>
    <t>مهند</t>
  </si>
  <si>
    <t>محمد جمال</t>
  </si>
  <si>
    <t>كنهوش</t>
  </si>
  <si>
    <t>منى</t>
  </si>
  <si>
    <t>مرفت محمد ازرق</t>
  </si>
  <si>
    <t>إخراج قيد</t>
  </si>
  <si>
    <t>1764589194191.jpg</t>
  </si>
  <si>
    <t>https://eu.kobotoolbox.org/api/v2/assets/asidN676GwD9kVUoocseLY/data/728635942/attachments/attjWKQC4TPStVCop7nPg7zb/</t>
  </si>
  <si>
    <t>1764589260084.jpg</t>
  </si>
  <si>
    <t>https://eu.kobotoolbox.org/api/v2/assets/asidN676GwD9kVUoocseLY/data/728635942/attachments/attWEWQDN8mnXTvSgyBMpEpd/</t>
  </si>
  <si>
    <t>حي المزرعة قرب مسجد التوفبق</t>
  </si>
  <si>
    <t>سكري</t>
  </si>
  <si>
    <t>عمل حكومي</t>
  </si>
  <si>
    <t>عائد من اللجوء الخارجي</t>
  </si>
  <si>
    <t>حي المزرعة قرب مسجد التوفيق</t>
  </si>
  <si>
    <t>مالك</t>
  </si>
  <si>
    <t>عقد بيع/شراء (كاتب عدل)</t>
  </si>
  <si>
    <t>1764589689210.jpg</t>
  </si>
  <si>
    <t>https://eu.kobotoolbox.org/api/v2/assets/asidN676GwD9kVUoocseLY/data/728635942/attachments/att54dQpNVHuPbewD3RTmQTq/</t>
  </si>
  <si>
    <t>شقة طابقية</t>
  </si>
  <si>
    <t>لا تعمل</t>
  </si>
  <si>
    <t>1764589934698.jpg</t>
  </si>
  <si>
    <t>https://eu.kobotoolbox.org/api/v2/assets/asidN676GwD9kVUoocseLY/data/728635942/attachments/attUCJCH7MtPAMqmVhwHTssU/</t>
  </si>
  <si>
    <t>1764589972392.jpg</t>
  </si>
  <si>
    <t>https://eu.kobotoolbox.org/api/v2/assets/asidN676GwD9kVUoocseLY/data/728635942/attachments/att43wnah4CBwkRYYRfEKPtF/</t>
  </si>
  <si>
    <t>1764590000177.jpg</t>
  </si>
  <si>
    <t>https://eu.kobotoolbox.org/api/v2/assets/asidN676GwD9kVUoocseLY/data/728635942/attachments/attud4btVN6ccEPaWFVgqDc2/</t>
  </si>
  <si>
    <t>1764590026001.jpg</t>
  </si>
  <si>
    <t>https://eu.kobotoolbox.org/api/v2/assets/asidN676GwD9kVUoocseLY/data/728635942/attachments/attDTtFhZtbdj6GSrmH6ooJh/</t>
  </si>
  <si>
    <t>1764590046586.jpg</t>
  </si>
  <si>
    <t>https://eu.kobotoolbox.org/api/v2/assets/asidN676GwD9kVUoocseLY/data/728635942/attachments/attmjR89r64qDpXTtDXHUkAn/</t>
  </si>
  <si>
    <t>1764590072667.jpg</t>
  </si>
  <si>
    <t>https://eu.kobotoolbox.org/api/v2/assets/asidN676GwD9kVUoocseLY/data/728635942/attachments/atteJdzcz95JJVEHXpeQNMkC/</t>
  </si>
  <si>
    <t>1764590092245.jpg</t>
  </si>
  <si>
    <t>https://eu.kobotoolbox.org/api/v2/assets/asidN676GwD9kVUoocseLY/data/728635942/attachments/attzEgRyj6YB9ad8w76hqTy7/</t>
  </si>
  <si>
    <t>1764590120870.jpg</t>
  </si>
  <si>
    <t>https://eu.kobotoolbox.org/api/v2/assets/asidN676GwD9kVUoocseLY/data/728635942/attachments/attxW5N2qsQAG3edRhzjEP3h/</t>
  </si>
  <si>
    <t>المساعدة ما امكن بتزكية المختار وعضو مكتب تنفيذي</t>
  </si>
  <si>
    <t xml:space="preserve">ميساء </t>
  </si>
  <si>
    <t xml:space="preserve">مصطفى </t>
  </si>
  <si>
    <t>نوح</t>
  </si>
  <si>
    <t>عائده رحمه</t>
  </si>
  <si>
    <t>أنثى</t>
  </si>
  <si>
    <t>أرمل/أرملة</t>
  </si>
  <si>
    <t>هوية شخصية</t>
  </si>
  <si>
    <t>1764587150632.jpg</t>
  </si>
  <si>
    <t>https://eu.kobotoolbox.org/api/v2/assets/asidN676GwD9kVUoocseLY/data/728642897/attachments/attgDm3sLUrnwWdwFUWmmQ65/</t>
  </si>
  <si>
    <t>1764587160497.jpg</t>
  </si>
  <si>
    <t>https://eu.kobotoolbox.org/api/v2/assets/asidN676GwD9kVUoocseLY/data/728642897/attachments/attwBFyvUhe9czM8wNFHaBST/</t>
  </si>
  <si>
    <t>زملكا المزرعة خلف بيت اب اركيلة</t>
  </si>
  <si>
    <t>اخرى</t>
  </si>
  <si>
    <t xml:space="preserve">مرض الغدة </t>
  </si>
  <si>
    <t>مساعدات إنسانية فقط</t>
  </si>
  <si>
    <t xml:space="preserve">زملكا المزرعة خلف بيت ابو اركيلة </t>
  </si>
  <si>
    <t>طابو</t>
  </si>
  <si>
    <t>1764587882902.jpg</t>
  </si>
  <si>
    <t>https://eu.kobotoolbox.org/api/v2/assets/asidN676GwD9kVUoocseLY/data/728642897/attachments/attwfze2F6abNcieBgpKDp5W/</t>
  </si>
  <si>
    <t>1764587931729.jpg</t>
  </si>
  <si>
    <t>https://eu.kobotoolbox.org/api/v2/assets/asidN676GwD9kVUoocseLY/data/728642897/attachments/atticqeCCFnAsEFwUgLMDw6L/</t>
  </si>
  <si>
    <t>1764587953768.jpg</t>
  </si>
  <si>
    <t>https://eu.kobotoolbox.org/api/v2/assets/asidN676GwD9kVUoocseLY/data/728642897/attachments/attJWHFkQRxMnKj8k7paeCkw/</t>
  </si>
  <si>
    <t>1764587961845.jpg</t>
  </si>
  <si>
    <t>https://eu.kobotoolbox.org/api/v2/assets/asidN676GwD9kVUoocseLY/data/728642897/attachments/attXiAtJvhLtAi6rUnmujWU4/</t>
  </si>
  <si>
    <t>1764587991502.jpg</t>
  </si>
  <si>
    <t>https://eu.kobotoolbox.org/api/v2/assets/asidN676GwD9kVUoocseLY/data/728642897/attachments/attz2amiULvQaFYrk9m67Vqe/</t>
  </si>
  <si>
    <t>1764587974382.jpg</t>
  </si>
  <si>
    <t>https://eu.kobotoolbox.org/api/v2/assets/asidN676GwD9kVUoocseLY/data/728642897/attachments/attTZLtBA3fz85sJfBpeHCPu/</t>
  </si>
  <si>
    <t>1764588071632.jpg</t>
  </si>
  <si>
    <t>https://eu.kobotoolbox.org/api/v2/assets/asidN676GwD9kVUoocseLY/data/728642897/attachments/attjiypVByqnRSAAdZcqqfsw/</t>
  </si>
  <si>
    <t>1764588036003.jpg</t>
  </si>
  <si>
    <t>https://eu.kobotoolbox.org/api/v2/assets/asidN676GwD9kVUoocseLY/data/728642897/attachments/attVyeC3aWvXC89j3kHJC9xY/</t>
  </si>
  <si>
    <t>1764588049231.jpg</t>
  </si>
  <si>
    <t>https://eu.kobotoolbox.org/api/v2/assets/asidN676GwD9kVUoocseLY/data/728642897/attachments/attB7dffXfpgpUtSr6PTWTfn/</t>
  </si>
  <si>
    <t xml:space="preserve">محمد محروس </t>
  </si>
  <si>
    <t>محمد نادر</t>
  </si>
  <si>
    <t xml:space="preserve">الزيبق </t>
  </si>
  <si>
    <t xml:space="preserve">حميده دياني </t>
  </si>
  <si>
    <t xml:space="preserve">سناء خالد السمان </t>
  </si>
  <si>
    <t>1764588440238.jpg</t>
  </si>
  <si>
    <t>https://eu.kobotoolbox.org/api/v2/assets/asidN676GwD9kVUoocseLY/data/728642983/attachments/attk2kbWbxV4SXf29UwujiVf/</t>
  </si>
  <si>
    <t>1764588449538.jpg</t>
  </si>
  <si>
    <t>https://eu.kobotoolbox.org/api/v2/assets/asidN676GwD9kVUoocseLY/data/728642983/attachments/attqQSnyb2zos5NFjqRQMAt2/</t>
  </si>
  <si>
    <t>زملكا المزرعة جانب جامع التوفيق</t>
  </si>
  <si>
    <t>قلب</t>
  </si>
  <si>
    <t>منزل يعيله رجل كبير بالسن (فوق 60 سنة)</t>
  </si>
  <si>
    <t>لا يوجد مصدر دخل</t>
  </si>
  <si>
    <t>مقيم ولم أنزح</t>
  </si>
  <si>
    <t>زملكا المزرعة جنب جامع التوفيق</t>
  </si>
  <si>
    <t>حكم محكمة</t>
  </si>
  <si>
    <t>1764588791108.jpg</t>
  </si>
  <si>
    <t>https://eu.kobotoolbox.org/api/v2/assets/asidN676GwD9kVUoocseLY/data/728642983/attachments/attRo4CviAYuUKZQqWtsmvom/</t>
  </si>
  <si>
    <t>1764588853548.jpg</t>
  </si>
  <si>
    <t>https://eu.kobotoolbox.org/api/v2/assets/asidN676GwD9kVUoocseLY/data/728642983/attachments/att92dFkXmvTTjFokkBrTVQd/</t>
  </si>
  <si>
    <t>1764588865251.jpg</t>
  </si>
  <si>
    <t>https://eu.kobotoolbox.org/api/v2/assets/asidN676GwD9kVUoocseLY/data/728642983/attachments/atti7S9bQvAgQjBBfubcFwmk/</t>
  </si>
  <si>
    <t>1764588872898.jpg</t>
  </si>
  <si>
    <t>https://eu.kobotoolbox.org/api/v2/assets/asidN676GwD9kVUoocseLY/data/728642983/attachments/attjdiJYVf6TSdTGw4NBNvo5/</t>
  </si>
  <si>
    <t>1764588884152.jpg</t>
  </si>
  <si>
    <t>https://eu.kobotoolbox.org/api/v2/assets/asidN676GwD9kVUoocseLY/data/728642983/attachments/attKgPYY7edJoh2W7M4fETHj/</t>
  </si>
  <si>
    <t>1764588891273.jpg</t>
  </si>
  <si>
    <t>https://eu.kobotoolbox.org/api/v2/assets/asidN676GwD9kVUoocseLY/data/728642983/attachments/attGjXksUGU4qL8E5qmJeytU/</t>
  </si>
  <si>
    <t>1764588904267.jpg</t>
  </si>
  <si>
    <t>https://eu.kobotoolbox.org/api/v2/assets/asidN676GwD9kVUoocseLY/data/728642983/attachments/attUjxMJoBLkhq2sBYDGNu3K/</t>
  </si>
  <si>
    <t>1764588913919.jpg</t>
  </si>
  <si>
    <t>https://eu.kobotoolbox.org/api/v2/assets/asidN676GwD9kVUoocseLY/data/728642983/attachments/attELGbZMBqcX5kmVxDf8vV6/</t>
  </si>
  <si>
    <t>1764588922778.jpg</t>
  </si>
  <si>
    <t>https://eu.kobotoolbox.org/api/v2/assets/asidN676GwD9kVUoocseLY/data/728642983/attachments/attQHXMV4tQ5jis8JXsCaaF2/</t>
  </si>
  <si>
    <t xml:space="preserve">ضياء </t>
  </si>
  <si>
    <t>حسن</t>
  </si>
  <si>
    <t>الزو</t>
  </si>
  <si>
    <t>نجاح الزو</t>
  </si>
  <si>
    <t>ندى زياد الزو</t>
  </si>
  <si>
    <t>1764660224122.jpg</t>
  </si>
  <si>
    <t>https://eu.kobotoolbox.org/api/v2/assets/asidN676GwD9kVUoocseLY/data/728688491/attachments/attWQGX3F56wDyFoRM7s7pD6/</t>
  </si>
  <si>
    <t>1764660258205.jpg</t>
  </si>
  <si>
    <t>https://eu.kobotoolbox.org/api/v2/assets/asidN676GwD9kVUoocseLY/data/728688491/attachments/attPrwDAF4JHsRsaYCPHx8VH/</t>
  </si>
  <si>
    <t>زملكا خلف المقسم بناء ابو عاطف الدحلة</t>
  </si>
  <si>
    <t>اخرى سكري</t>
  </si>
  <si>
    <t xml:space="preserve">ديسك رقبة </t>
  </si>
  <si>
    <t>أعمال حرة</t>
  </si>
  <si>
    <t>خلف المقسم بناء ابو عاطف دحلة</t>
  </si>
  <si>
    <t>1764660574436.jpg</t>
  </si>
  <si>
    <t>https://eu.kobotoolbox.org/api/v2/assets/asidN676GwD9kVUoocseLY/data/728688491/attachments/attVDNoKrsKaoSFJ5CH3haTF/</t>
  </si>
  <si>
    <t>1764660597148.jpg</t>
  </si>
  <si>
    <t>https://eu.kobotoolbox.org/api/v2/assets/asidN676GwD9kVUoocseLY/data/728688491/attachments/attkkG93ofKvNW93cpNm7TS9/</t>
  </si>
  <si>
    <t>1764660603207.jpg</t>
  </si>
  <si>
    <t>https://eu.kobotoolbox.org/api/v2/assets/asidN676GwD9kVUoocseLY/data/728688491/attachments/attc3p4XrioyaFuAQatzbMTS/</t>
  </si>
  <si>
    <t>1764660615764.jpg</t>
  </si>
  <si>
    <t>https://eu.kobotoolbox.org/api/v2/assets/asidN676GwD9kVUoocseLY/data/728688491/attachments/attyiwPGoE9XLRhTg8LfwMTx/</t>
  </si>
  <si>
    <t>1764660627271.jpg</t>
  </si>
  <si>
    <t>https://eu.kobotoolbox.org/api/v2/assets/asidN676GwD9kVUoocseLY/data/728688491/attachments/att4P9asKiujCKF5TxGvLQmS/</t>
  </si>
  <si>
    <t>1764660646788.jpg</t>
  </si>
  <si>
    <t>https://eu.kobotoolbox.org/api/v2/assets/asidN676GwD9kVUoocseLY/data/728688491/attachments/att5wrihDbUy3CucTYru7FUu/</t>
  </si>
  <si>
    <t>1764660656327.jpg</t>
  </si>
  <si>
    <t>https://eu.kobotoolbox.org/api/v2/assets/asidN676GwD9kVUoocseLY/data/728688491/attachments/attSYP2Lp3hpgUqDvCSoeUvE/</t>
  </si>
  <si>
    <t>1764660664226.jpg</t>
  </si>
  <si>
    <t>https://eu.kobotoolbox.org/api/v2/assets/asidN676GwD9kVUoocseLY/data/728688491/attachments/atttD6bYX6izFn7z5u29XMQY/</t>
  </si>
  <si>
    <t xml:space="preserve">لا يوجد </t>
  </si>
  <si>
    <t xml:space="preserve">عفاف </t>
  </si>
  <si>
    <t>علي</t>
  </si>
  <si>
    <t xml:space="preserve">مكاوي </t>
  </si>
  <si>
    <t>الفات العجلاني</t>
  </si>
  <si>
    <t>مطلق/مطلقة</t>
  </si>
  <si>
    <t>1764662158773.jpg</t>
  </si>
  <si>
    <t>https://eu.kobotoolbox.org/api/v2/assets/asidN676GwD9kVUoocseLY/data/728690320/attachments/atta9bYcu8moGLRFpnPkdNk8/</t>
  </si>
  <si>
    <t>1764662183725.jpg</t>
  </si>
  <si>
    <t>https://eu.kobotoolbox.org/api/v2/assets/asidN676GwD9kVUoocseLY/data/728690320/attachments/attqQrJnMa8EYZMwaHcAvDrp/</t>
  </si>
  <si>
    <t>شرق جامع الحمزة مبنى الزغلول</t>
  </si>
  <si>
    <t>منزل يعيله إمراة</t>
  </si>
  <si>
    <t>جامع الحمزة مبنى الزغلول</t>
  </si>
  <si>
    <t>1764662358995.jpg</t>
  </si>
  <si>
    <t>https://eu.kobotoolbox.org/api/v2/assets/asidN676GwD9kVUoocseLY/data/728690320/attachments/attbA93PFAvvixqsNy2mZq7V/</t>
  </si>
  <si>
    <t>1764662431728.jpg</t>
  </si>
  <si>
    <t>https://eu.kobotoolbox.org/api/v2/assets/asidN676GwD9kVUoocseLY/data/728690320/attachments/attHrS8U24tLTZcirnc4QiWc/</t>
  </si>
  <si>
    <t>1764662446002.jpg</t>
  </si>
  <si>
    <t>https://eu.kobotoolbox.org/api/v2/assets/asidN676GwD9kVUoocseLY/data/728690320/attachments/attAuCSEyzipCAE6X93Xj6Jk/</t>
  </si>
  <si>
    <t>1764662454642.jpg</t>
  </si>
  <si>
    <t>https://eu.kobotoolbox.org/api/v2/assets/asidN676GwD9kVUoocseLY/data/728690320/attachments/atth33AXyMTnAW3JGQCEcqPv/</t>
  </si>
  <si>
    <t>1764662468993.jpg</t>
  </si>
  <si>
    <t>https://eu.kobotoolbox.org/api/v2/assets/asidN676GwD9kVUoocseLY/data/728690320/attachments/att8zhWPXvmGknHX6xCKZnEf/</t>
  </si>
  <si>
    <t>1764662477313.jpg</t>
  </si>
  <si>
    <t>https://eu.kobotoolbox.org/api/v2/assets/asidN676GwD9kVUoocseLY/data/728690320/attachments/attaMtSevbzPNByxapKg6RGr/</t>
  </si>
  <si>
    <t>1764662489292.jpg</t>
  </si>
  <si>
    <t>https://eu.kobotoolbox.org/api/v2/assets/asidN676GwD9kVUoocseLY/data/728690320/attachments/attmSXqb6XaPPoAZXhzc4Pdm/</t>
  </si>
  <si>
    <t>1764662508328.jpg</t>
  </si>
  <si>
    <t>https://eu.kobotoolbox.org/api/v2/assets/asidN676GwD9kVUoocseLY/data/728690320/attachments/att22PUuGodJYzytM3Z3Utm2/</t>
  </si>
  <si>
    <t>1764662502465.jpg</t>
  </si>
  <si>
    <t>https://eu.kobotoolbox.org/api/v2/assets/asidN676GwD9kVUoocseLY/data/728690320/attachments/atthafuxjHgrnTGqKGWwbX4r/</t>
  </si>
  <si>
    <t xml:space="preserve">البناء بحاجة الي أبواب شبابيك دهان سيراميك الأرضيات وكهرباء وإزالة أنقاض </t>
  </si>
  <si>
    <t>فايز</t>
  </si>
  <si>
    <t xml:space="preserve">بدوي </t>
  </si>
  <si>
    <t xml:space="preserve">الشيخ </t>
  </si>
  <si>
    <t>خديجة أحمد دلال</t>
  </si>
  <si>
    <t xml:space="preserve">ناديا أحمد عميري </t>
  </si>
  <si>
    <t>1764666388789.jpg</t>
  </si>
  <si>
    <t>https://eu.kobotoolbox.org/api/v2/assets/asidN676GwD9kVUoocseLY/data/728725963/attachments/attv8WUM6h4YsxjG4WtmeiyK/</t>
  </si>
  <si>
    <t>1764666398657.jpg</t>
  </si>
  <si>
    <t>https://eu.kobotoolbox.org/api/v2/assets/asidN676GwD9kVUoocseLY/data/728725963/attachments/attaCMsicvxaM9c9DV8AjDJc/</t>
  </si>
  <si>
    <t xml:space="preserve">خلف المقسم أرض البستان </t>
  </si>
  <si>
    <t>1764666753028.jpg</t>
  </si>
  <si>
    <t>https://eu.kobotoolbox.org/api/v2/assets/asidN676GwD9kVUoocseLY/data/728725963/attachments/attqLhBZJSbvpXacZ5qpzwm3/</t>
  </si>
  <si>
    <t>1764666762236.jpg</t>
  </si>
  <si>
    <t>https://eu.kobotoolbox.org/api/v2/assets/asidN676GwD9kVUoocseLY/data/728725963/attachments/att4fQzTFAgneyabJ2knLpPw/</t>
  </si>
  <si>
    <t>1764666769453.jpg</t>
  </si>
  <si>
    <t>https://eu.kobotoolbox.org/api/v2/assets/asidN676GwD9kVUoocseLY/data/728725963/attachments/att8JmuEfoC4qTQs7yrB7rr8/</t>
  </si>
  <si>
    <t>1764666784677.jpg</t>
  </si>
  <si>
    <t>https://eu.kobotoolbox.org/api/v2/assets/asidN676GwD9kVUoocseLY/data/728725963/attachments/attpeaFeAHyNXf8Z82TP9RMG/</t>
  </si>
  <si>
    <t>1764666791531.jpg</t>
  </si>
  <si>
    <t>https://eu.kobotoolbox.org/api/v2/assets/asidN676GwD9kVUoocseLY/data/728725963/attachments/attJ3vpwpBhKEFVX83zf6eq4/</t>
  </si>
  <si>
    <t>1764666811744.jpg</t>
  </si>
  <si>
    <t>https://eu.kobotoolbox.org/api/v2/assets/asidN676GwD9kVUoocseLY/data/728725963/attachments/atte3gNNiyeabieVzYE4jnvZ/</t>
  </si>
  <si>
    <t>1764666850721.jpg</t>
  </si>
  <si>
    <t>https://eu.kobotoolbox.org/api/v2/assets/asidN676GwD9kVUoocseLY/data/728725963/attachments/attzMqAZHrAoyuBgjWacWbVV/</t>
  </si>
  <si>
    <t>1764666824441.jpg</t>
  </si>
  <si>
    <t>https://eu.kobotoolbox.org/api/v2/assets/asidN676GwD9kVUoocseLY/data/728725963/attachments/attLVbJpgDu9ByQzg26C7hNx/</t>
  </si>
  <si>
    <t>البيت بحاجة 3m^3 يبيتون عيار 350
والمطبخ دون سقف
رقم المنزل 239</t>
  </si>
  <si>
    <t xml:space="preserve">محمد عطا </t>
  </si>
  <si>
    <t xml:space="preserve">زيادة </t>
  </si>
  <si>
    <t>مؤمنة عرفة</t>
  </si>
  <si>
    <t>ايمان محي الدين الزو</t>
  </si>
  <si>
    <t>1764670192259.jpg</t>
  </si>
  <si>
    <t>https://eu.kobotoolbox.org/api/v2/assets/asidN676GwD9kVUoocseLY/data/728755166/attachments/att8iyy2ccV8D73xbTgMKVy2/</t>
  </si>
  <si>
    <t>1764670205628.jpg</t>
  </si>
  <si>
    <t>https://eu.kobotoolbox.org/api/v2/assets/asidN676GwD9kVUoocseLY/data/728755166/attachments/attbizEH75pHikPkhGcYcJX5/</t>
  </si>
  <si>
    <t>خلف المقسم بناء ابو بشار الزو</t>
  </si>
  <si>
    <t>باستخدام اللغة المعتادة ، هل تجد صعوبة في التواصل ، على سبيل المثال الفهم على الناس أو أن يفهمك الناس؟</t>
  </si>
  <si>
    <t>لا اعلم</t>
  </si>
  <si>
    <t>1764670613891.jpg</t>
  </si>
  <si>
    <t>https://eu.kobotoolbox.org/api/v2/assets/asidN676GwD9kVUoocseLY/data/728755166/attachments/attbJEmdNbhZs4JLuDWYaruC/</t>
  </si>
  <si>
    <t>1764670681989.jpg</t>
  </si>
  <si>
    <t>https://eu.kobotoolbox.org/api/v2/assets/asidN676GwD9kVUoocseLY/data/728755166/attachments/attSjZwnc4YBBDe2CJY42fRa/</t>
  </si>
  <si>
    <t>1764670691388.jpg</t>
  </si>
  <si>
    <t>https://eu.kobotoolbox.org/api/v2/assets/asidN676GwD9kVUoocseLY/data/728755166/attachments/attMN2MCv8XtjTy9WY7kodBM/</t>
  </si>
  <si>
    <t>1764670698839.jpg</t>
  </si>
  <si>
    <t>https://eu.kobotoolbox.org/api/v2/assets/asidN676GwD9kVUoocseLY/data/728755166/attachments/att2Myfv7PdZG6NmngajWVQw/</t>
  </si>
  <si>
    <t>1764670706527.jpg</t>
  </si>
  <si>
    <t>https://eu.kobotoolbox.org/api/v2/assets/asidN676GwD9kVUoocseLY/data/728755166/attachments/attSyvgVqqaK8bc7tVLwNgak/</t>
  </si>
  <si>
    <t>1764670714370.jpg</t>
  </si>
  <si>
    <t>https://eu.kobotoolbox.org/api/v2/assets/asidN676GwD9kVUoocseLY/data/728755166/attachments/attbmVPtApgHWrSNPuFfs8gX/</t>
  </si>
  <si>
    <t>1764670724583.jpg</t>
  </si>
  <si>
    <t>https://eu.kobotoolbox.org/api/v2/assets/asidN676GwD9kVUoocseLY/data/728755166/attachments/attNmpgDmt6RRwFUbJDM4piU/</t>
  </si>
  <si>
    <t>1764670731967.jpg</t>
  </si>
  <si>
    <t>https://eu.kobotoolbox.org/api/v2/assets/asidN676GwD9kVUoocseLY/data/728755166/attachments/attRpXb2WiNH4kjDTuPa8MjC/</t>
  </si>
  <si>
    <t>1764670740722.jpg</t>
  </si>
  <si>
    <t>https://eu.kobotoolbox.org/api/v2/assets/asidN676GwD9kVUoocseLY/data/728755166/attachments/attzpMRuJekT5Ly5rgqmJpn4/</t>
  </si>
  <si>
    <t xml:space="preserve"> 178
</t>
  </si>
  <si>
    <t xml:space="preserve">علاء الدين </t>
  </si>
  <si>
    <t xml:space="preserve">محمد علي </t>
  </si>
  <si>
    <t xml:space="preserve">نبيهة الشيخ </t>
  </si>
  <si>
    <t xml:space="preserve">نورة الطحان </t>
  </si>
  <si>
    <t>1764673503402.jpg</t>
  </si>
  <si>
    <t>https://eu.kobotoolbox.org/api/v2/assets/asidN676GwD9kVUoocseLY/data/728808254/attachments/att8W3DJwxmaNycGFxxD83s7/</t>
  </si>
  <si>
    <t>1764673515163.jpg</t>
  </si>
  <si>
    <t>https://eu.kobotoolbox.org/api/v2/assets/asidN676GwD9kVUoocseLY/data/728808254/attachments/attyqNsPzo5hjbq8VnSJPDhq/</t>
  </si>
  <si>
    <t xml:space="preserve">ساحة زملكا </t>
  </si>
  <si>
    <t>رخصة بناء</t>
  </si>
  <si>
    <t>1764673750460.jpg</t>
  </si>
  <si>
    <t>https://eu.kobotoolbox.org/api/v2/assets/asidN676GwD9kVUoocseLY/data/728808254/attachments/attf5Qid2wjqtpiNFDEEEQ5B/</t>
  </si>
  <si>
    <t>لا يوجد ضرر</t>
  </si>
  <si>
    <t>1764673796501.jpg</t>
  </si>
  <si>
    <t>https://eu.kobotoolbox.org/api/v2/assets/asidN676GwD9kVUoocseLY/data/728808254/attachments/attdijCn6nHfz3iJjwuDVbcD/</t>
  </si>
  <si>
    <t>1764673808759.jpg</t>
  </si>
  <si>
    <t>https://eu.kobotoolbox.org/api/v2/assets/asidN676GwD9kVUoocseLY/data/728808254/attachments/attTv5stifX2JvQnPbSp7MVN/</t>
  </si>
  <si>
    <t>1764673817442.jpg</t>
  </si>
  <si>
    <t>https://eu.kobotoolbox.org/api/v2/assets/asidN676GwD9kVUoocseLY/data/728808254/attachments/attTP3rH4XCpexg7j4uJS5E5/</t>
  </si>
  <si>
    <t>1764673829486.jpg</t>
  </si>
  <si>
    <t>https://eu.kobotoolbox.org/api/v2/assets/asidN676GwD9kVUoocseLY/data/728808254/attachments/attvApCUsYY6tQMPtr6kC6qT/</t>
  </si>
  <si>
    <t>1764673839905.jpg</t>
  </si>
  <si>
    <t>https://eu.kobotoolbox.org/api/v2/assets/asidN676GwD9kVUoocseLY/data/728808254/attachments/attNpmfyaJ8jVhWFcpEPNPd9/</t>
  </si>
  <si>
    <t>1764673847713.jpg</t>
  </si>
  <si>
    <t>https://eu.kobotoolbox.org/api/v2/assets/asidN676GwD9kVUoocseLY/data/728808254/attachments/attW9JXQGpeZSLokqsVwcmfL/</t>
  </si>
  <si>
    <t>1764673860005.jpg</t>
  </si>
  <si>
    <t>https://eu.kobotoolbox.org/api/v2/assets/asidN676GwD9kVUoocseLY/data/728808254/attachments/att4Xz542wd5wc6TsSRdUXag/</t>
  </si>
  <si>
    <t>1764673869116.jpg</t>
  </si>
  <si>
    <t>https://eu.kobotoolbox.org/api/v2/assets/asidN676GwD9kVUoocseLY/data/728808254/attachments/att2XZ3XFDC2GrBzrhhYBtnq/</t>
  </si>
  <si>
    <t>238</t>
  </si>
  <si>
    <t xml:space="preserve">عبد الرزاق </t>
  </si>
  <si>
    <t xml:space="preserve">صبحي </t>
  </si>
  <si>
    <t xml:space="preserve">زمزم </t>
  </si>
  <si>
    <t>أمينة زيدان</t>
  </si>
  <si>
    <t>عائشة عبد الرحمن الدباس</t>
  </si>
  <si>
    <t>1764674939208.jpg</t>
  </si>
  <si>
    <t>https://eu.kobotoolbox.org/api/v2/assets/asidN676GwD9kVUoocseLY/data/728816194/attachments/attwK4sgrTzTRuWYgps24TCb/</t>
  </si>
  <si>
    <t>1764674949299.jpg</t>
  </si>
  <si>
    <t>https://eu.kobotoolbox.org/api/v2/assets/asidN676GwD9kVUoocseLY/data/728816194/attachments/attM74Rs99WFjtjM9ak3ezVk/</t>
  </si>
  <si>
    <t xml:space="preserve">محاريب خلف جامع الحسن بناء زمزم </t>
  </si>
  <si>
    <t xml:space="preserve">محيريب خلف جامع الحسن بناء زمزم </t>
  </si>
  <si>
    <t>بيان قيد عقاري</t>
  </si>
  <si>
    <t>1764675162952.jpg</t>
  </si>
  <si>
    <t>https://eu.kobotoolbox.org/api/v2/assets/asidN676GwD9kVUoocseLY/data/728816194/attachments/attJPhTLBMxkEADCsQDvFNsG/</t>
  </si>
  <si>
    <t>1764675221125.jpg</t>
  </si>
  <si>
    <t>https://eu.kobotoolbox.org/api/v2/assets/asidN676GwD9kVUoocseLY/data/728816194/attachments/attsbGbLKqBncXE32fMbeHD3/</t>
  </si>
  <si>
    <t>1764675229027.jpg</t>
  </si>
  <si>
    <t>https://eu.kobotoolbox.org/api/v2/assets/asidN676GwD9kVUoocseLY/data/728816194/attachments/attaJEesUWSJPxbeBXwZ8yxB/</t>
  </si>
  <si>
    <t>1764675240203.jpg</t>
  </si>
  <si>
    <t>https://eu.kobotoolbox.org/api/v2/assets/asidN676GwD9kVUoocseLY/data/728816194/attachments/attqeGwhukjsY4WnRP6ZYXXZ/</t>
  </si>
  <si>
    <t>1764675250366.jpg</t>
  </si>
  <si>
    <t>https://eu.kobotoolbox.org/api/v2/assets/asidN676GwD9kVUoocseLY/data/728816194/attachments/attBCryj3jgavPfq6tUpnhrJ/</t>
  </si>
  <si>
    <t>1764675257379.jpg</t>
  </si>
  <si>
    <t>https://eu.kobotoolbox.org/api/v2/assets/asidN676GwD9kVUoocseLY/data/728816194/attachments/atthVoHRQMLMyLR82pSJB46n/</t>
  </si>
  <si>
    <t>1764675304071.jpg</t>
  </si>
  <si>
    <t>https://eu.kobotoolbox.org/api/v2/assets/asidN676GwD9kVUoocseLY/data/728816194/attachments/atthWPjQQQpurfKtiusa8z8c/</t>
  </si>
  <si>
    <t>1764675267085.jpg</t>
  </si>
  <si>
    <t>https://eu.kobotoolbox.org/api/v2/assets/asidN676GwD9kVUoocseLY/data/728816194/attachments/attYQnvVnUmMzfWUnaeBSDYc/</t>
  </si>
  <si>
    <t>1764675290593.jpg</t>
  </si>
  <si>
    <t>https://eu.kobotoolbox.org/api/v2/assets/asidN676GwD9kVUoocseLY/data/728816194/attachments/att8jPxrpszPyXwcnXdKwM8E/</t>
  </si>
  <si>
    <t>8</t>
  </si>
  <si>
    <t>اياد</t>
  </si>
  <si>
    <t xml:space="preserve">محمود </t>
  </si>
  <si>
    <t xml:space="preserve">محي الدين </t>
  </si>
  <si>
    <t>فايزه محي الدين</t>
  </si>
  <si>
    <t>وفاء ابراهيم شيبان</t>
  </si>
  <si>
    <t>1764659849024.jpg</t>
  </si>
  <si>
    <t>https://eu.kobotoolbox.org/api/v2/assets/asidN676GwD9kVUoocseLY/data/728850665/attachments/attUecpBnZniQFEnLn9cb3ux/</t>
  </si>
  <si>
    <t>1764659893073.jpg</t>
  </si>
  <si>
    <t>https://eu.kobotoolbox.org/api/v2/assets/asidN676GwD9kVUoocseLY/data/728850665/attachments/attkrAoy5pVT3JdvYa7XogjM/</t>
  </si>
  <si>
    <t>زملكا جانب الساحة قريب من معهد القيصر</t>
  </si>
  <si>
    <t>نازح حالياً</t>
  </si>
  <si>
    <t>زملكا حارة الشوام جانب جامع رضوان</t>
  </si>
  <si>
    <t>1764660166214.jpg</t>
  </si>
  <si>
    <t>https://eu.kobotoolbox.org/api/v2/assets/asidN676GwD9kVUoocseLY/data/728850665/attachments/att9hRXhXvrPvpTsVNpcaP77/</t>
  </si>
  <si>
    <t>1764660284866.jpg</t>
  </si>
  <si>
    <t>https://eu.kobotoolbox.org/api/v2/assets/asidN676GwD9kVUoocseLY/data/728850665/attachments/attbwojQG55TQZY7yS39iNCf/</t>
  </si>
  <si>
    <t>1764660298471.jpg</t>
  </si>
  <si>
    <t>https://eu.kobotoolbox.org/api/v2/assets/asidN676GwD9kVUoocseLY/data/728850665/attachments/att2VGbxfp9BoLovEK3ijhLB/</t>
  </si>
  <si>
    <t>1764660310733.jpg</t>
  </si>
  <si>
    <t>https://eu.kobotoolbox.org/api/v2/assets/asidN676GwD9kVUoocseLY/data/728850665/attachments/attdiTYBvrSt53XtXyyAwX2V/</t>
  </si>
  <si>
    <t>1764660322309.jpg</t>
  </si>
  <si>
    <t>https://eu.kobotoolbox.org/api/v2/assets/asidN676GwD9kVUoocseLY/data/728850665/attachments/attmzsJk3noq7ufAr2VNCL2J/</t>
  </si>
  <si>
    <t>1764660329108.jpg</t>
  </si>
  <si>
    <t>https://eu.kobotoolbox.org/api/v2/assets/asidN676GwD9kVUoocseLY/data/728850665/attachments/attqBJJxuF7CDA4j9pfvxXFX/</t>
  </si>
  <si>
    <t>1764660338947.jpg</t>
  </si>
  <si>
    <t>https://eu.kobotoolbox.org/api/v2/assets/asidN676GwD9kVUoocseLY/data/728850665/attachments/attNrrfDTztMWspLWabk4W3i/</t>
  </si>
  <si>
    <t>1764660347859.jpg</t>
  </si>
  <si>
    <t>https://eu.kobotoolbox.org/api/v2/assets/asidN676GwD9kVUoocseLY/data/728850665/attachments/attHQYhmA6GAPGC3EH4e6bNE/</t>
  </si>
  <si>
    <t>1764660357576.jpg</t>
  </si>
  <si>
    <t>https://eu.kobotoolbox.org/api/v2/assets/asidN676GwD9kVUoocseLY/data/728850665/attachments/attV5z2c6NDXGBnzuXYF2Gji/</t>
  </si>
  <si>
    <t>محمدزين</t>
  </si>
  <si>
    <t>غسان</t>
  </si>
  <si>
    <t xml:space="preserve">زين الدين </t>
  </si>
  <si>
    <t>عبله غنوم</t>
  </si>
  <si>
    <t>فتحية عامر الصعيدي</t>
  </si>
  <si>
    <t>1764661638900.jpg</t>
  </si>
  <si>
    <t>https://eu.kobotoolbox.org/api/v2/assets/asidN676GwD9kVUoocseLY/data/728851444/attachments/attekkAJBnJZ9MiwJ9NQY5ps/</t>
  </si>
  <si>
    <t>1764661655191.jpg</t>
  </si>
  <si>
    <t>https://eu.kobotoolbox.org/api/v2/assets/asidN676GwD9kVUoocseLY/data/728851444/attachments/attJbWvCh6QCrJfwsR4cLNXf/</t>
  </si>
  <si>
    <t xml:space="preserve">زملكا خلف الثانوية جنب مولدة شيحا </t>
  </si>
  <si>
    <t>زملكا خلف ثانوية جانب مولدة شيحا</t>
  </si>
  <si>
    <t>1764661865849.jpg</t>
  </si>
  <si>
    <t>https://eu.kobotoolbox.org/api/v2/assets/asidN676GwD9kVUoocseLY/data/728851444/attachments/attAYK4ZquCfYpDavJYgDzjS/</t>
  </si>
  <si>
    <t>1764661917300.jpg</t>
  </si>
  <si>
    <t>https://eu.kobotoolbox.org/api/v2/assets/asidN676GwD9kVUoocseLY/data/728851444/attachments/attm9AgkSrz3S2GJrbqhEEMU/</t>
  </si>
  <si>
    <t>1764661930087.jpg</t>
  </si>
  <si>
    <t>https://eu.kobotoolbox.org/api/v2/assets/asidN676GwD9kVUoocseLY/data/728851444/attachments/attFkHZCTuEsW7u5kP6kCp6j/</t>
  </si>
  <si>
    <t>1764661938627.jpg</t>
  </si>
  <si>
    <t>https://eu.kobotoolbox.org/api/v2/assets/asidN676GwD9kVUoocseLY/data/728851444/attachments/attd5a4xPP3LErWotorVg9zv/</t>
  </si>
  <si>
    <t>1764661945835.jpg</t>
  </si>
  <si>
    <t>https://eu.kobotoolbox.org/api/v2/assets/asidN676GwD9kVUoocseLY/data/728851444/attachments/attMjvya3a3b7BKmQgwyNBpj/</t>
  </si>
  <si>
    <t>1764661957262.jpg</t>
  </si>
  <si>
    <t>https://eu.kobotoolbox.org/api/v2/assets/asidN676GwD9kVUoocseLY/data/728851444/attachments/attv57f99T8soCNX3GYcxBSg/</t>
  </si>
  <si>
    <t>1764661972780.jpg</t>
  </si>
  <si>
    <t>https://eu.kobotoolbox.org/api/v2/assets/asidN676GwD9kVUoocseLY/data/728851444/attachments/attK26oVCZSfu4srjXMSTXr8/</t>
  </si>
  <si>
    <t>1764661984691.jpg</t>
  </si>
  <si>
    <t>https://eu.kobotoolbox.org/api/v2/assets/asidN676GwD9kVUoocseLY/data/728851444/attachments/att3cBgRFYSFhifFjS8puSqG/</t>
  </si>
  <si>
    <t>1764661993292.jpg</t>
  </si>
  <si>
    <t>https://eu.kobotoolbox.org/api/v2/assets/asidN676GwD9kVUoocseLY/data/728851444/attachments/attWCq8evtRGvHp3JKSEe8rv/</t>
  </si>
  <si>
    <t xml:space="preserve">ماهر </t>
  </si>
  <si>
    <t xml:space="preserve">فيصل </t>
  </si>
  <si>
    <t xml:space="preserve">الغوش </t>
  </si>
  <si>
    <t xml:space="preserve">فاطمة الجزار </t>
  </si>
  <si>
    <t xml:space="preserve">هبة محمد علي قاسم </t>
  </si>
  <si>
    <t>1764664601925.jpg</t>
  </si>
  <si>
    <t>https://eu.kobotoolbox.org/api/v2/assets/asidN676GwD9kVUoocseLY/data/728851842/attachments/att7oGBgJvQym9PoyYfWDeGV/</t>
  </si>
  <si>
    <t>1764664615016.jpg</t>
  </si>
  <si>
    <t>https://eu.kobotoolbox.org/api/v2/assets/asidN676GwD9kVUoocseLY/data/728851842/attachments/attw6vSnTg57tAXADAgyuwKS/</t>
  </si>
  <si>
    <t xml:space="preserve">زملكا امام معمل النشا </t>
  </si>
  <si>
    <t xml:space="preserve">زملكا خلف المعلوماتية </t>
  </si>
  <si>
    <t>1764664932434.jpg</t>
  </si>
  <si>
    <t>https://eu.kobotoolbox.org/api/v2/assets/asidN676GwD9kVUoocseLY/data/728851842/attachments/atthcBUbZHrcmExatJ86arWG/</t>
  </si>
  <si>
    <t>1764665005804.jpg</t>
  </si>
  <si>
    <t>https://eu.kobotoolbox.org/api/v2/assets/asidN676GwD9kVUoocseLY/data/728851842/attachments/attXJMWccnJKZNAa8a6gBrPZ/</t>
  </si>
  <si>
    <t>1764665020335.jpg</t>
  </si>
  <si>
    <t>https://eu.kobotoolbox.org/api/v2/assets/asidN676GwD9kVUoocseLY/data/728851842/attachments/attjfWo2YBtMdnnFPNX8F7aU/</t>
  </si>
  <si>
    <t>1764665029163.jpg</t>
  </si>
  <si>
    <t>https://eu.kobotoolbox.org/api/v2/assets/asidN676GwD9kVUoocseLY/data/728851842/attachments/attPrw6Zb4HRCowrPMqDevhF/</t>
  </si>
  <si>
    <t>1764665037309.jpg</t>
  </si>
  <si>
    <t>https://eu.kobotoolbox.org/api/v2/assets/asidN676GwD9kVUoocseLY/data/728851842/attachments/attzWUqZn5erWtYw7794AaFb/</t>
  </si>
  <si>
    <t>1764665056610.jpg</t>
  </si>
  <si>
    <t>https://eu.kobotoolbox.org/api/v2/assets/asidN676GwD9kVUoocseLY/data/728851842/attachments/att8QNPignDSpD62ZNXQ3ixk/</t>
  </si>
  <si>
    <t>1764665082206.jpg</t>
  </si>
  <si>
    <t>https://eu.kobotoolbox.org/api/v2/assets/asidN676GwD9kVUoocseLY/data/728851842/attachments/attcNm4gyd8CeZr9fxtnbZhf/</t>
  </si>
  <si>
    <t>1764665090984.jpg</t>
  </si>
  <si>
    <t>https://eu.kobotoolbox.org/api/v2/assets/asidN676GwD9kVUoocseLY/data/728851842/attachments/attBZ5SyzpH5YQmt2j7Fq6SY/</t>
  </si>
  <si>
    <t>1764665096392.jpg</t>
  </si>
  <si>
    <t>https://eu.kobotoolbox.org/api/v2/assets/asidN676GwD9kVUoocseLY/data/728851842/attachments/attutV6vUmsXFbuiaLAFwXd3/</t>
  </si>
  <si>
    <t>المنافع في المنزل مهدومة بصاروخ يحتاج لإعادة بناء المنافع وتغيير السقف المتضرر</t>
  </si>
  <si>
    <t xml:space="preserve">محمدحسان </t>
  </si>
  <si>
    <t>بدرالدين</t>
  </si>
  <si>
    <t xml:space="preserve">النداف </t>
  </si>
  <si>
    <t xml:space="preserve">هدى الملا </t>
  </si>
  <si>
    <t xml:space="preserve">نور عبد المعين العطري </t>
  </si>
  <si>
    <t>1764665912325.jpg</t>
  </si>
  <si>
    <t>https://eu.kobotoolbox.org/api/v2/assets/asidN676GwD9kVUoocseLY/data/728852816/attachments/att5rof5JY48BeEpqgQ4MyB6/</t>
  </si>
  <si>
    <t>1764665921200.jpg</t>
  </si>
  <si>
    <t>https://eu.kobotoolbox.org/api/v2/assets/asidN676GwD9kVUoocseLY/data/728852816/attachments/attmNDXHvNrTxguAcnNTHLou/</t>
  </si>
  <si>
    <t xml:space="preserve">زملكا ناح الحديقة </t>
  </si>
  <si>
    <t>زملكا حارة شيحا</t>
  </si>
  <si>
    <t>1764666135311.jpg</t>
  </si>
  <si>
    <t>https://eu.kobotoolbox.org/api/v2/assets/asidN676GwD9kVUoocseLY/data/728852816/attachments/atttujz3t93eTYSMZHf6x48N/</t>
  </si>
  <si>
    <t>1764666237296.jpg</t>
  </si>
  <si>
    <t>https://eu.kobotoolbox.org/api/v2/assets/asidN676GwD9kVUoocseLY/data/728852816/attachments/attXqp8kVEFonyGD8BEXVQze/</t>
  </si>
  <si>
    <t>1764666246124.jpg</t>
  </si>
  <si>
    <t>https://eu.kobotoolbox.org/api/v2/assets/asidN676GwD9kVUoocseLY/data/728852816/attachments/atteM4arPWmiweY5qZgKMnSm/</t>
  </si>
  <si>
    <t>1764666254441.jpg</t>
  </si>
  <si>
    <t>https://eu.kobotoolbox.org/api/v2/assets/asidN676GwD9kVUoocseLY/data/728852816/attachments/attCafdAyYa44mUX9XnTVdyb/</t>
  </si>
  <si>
    <t>1764666276818.jpg</t>
  </si>
  <si>
    <t>https://eu.kobotoolbox.org/api/v2/assets/asidN676GwD9kVUoocseLY/data/728852816/attachments/attyHFMfNqgDFcDKazDVmbNo/</t>
  </si>
  <si>
    <t>1764666291442.jpg</t>
  </si>
  <si>
    <t>https://eu.kobotoolbox.org/api/v2/assets/asidN676GwD9kVUoocseLY/data/728852816/attachments/attFPru5Jxf6ydQYaoomy6e4/</t>
  </si>
  <si>
    <t>1764666306113.jpg</t>
  </si>
  <si>
    <t>https://eu.kobotoolbox.org/api/v2/assets/asidN676GwD9kVUoocseLY/data/728852816/attachments/attcV9KXBAnF2t3JXb2HeAG4/</t>
  </si>
  <si>
    <t>1764666313276.jpg</t>
  </si>
  <si>
    <t>https://eu.kobotoolbox.org/api/v2/assets/asidN676GwD9kVUoocseLY/data/728852816/attachments/attkt63otCrwNYk3jEyUsatS/</t>
  </si>
  <si>
    <t>1764666319404.jpg</t>
  </si>
  <si>
    <t>https://eu.kobotoolbox.org/api/v2/assets/asidN676GwD9kVUoocseLY/data/728852816/attachments/attftKasTpowyem87Y9Zff6w/</t>
  </si>
  <si>
    <t xml:space="preserve">حسام الدين </t>
  </si>
  <si>
    <t xml:space="preserve">بدر الدين </t>
  </si>
  <si>
    <t>النداف</t>
  </si>
  <si>
    <t xml:space="preserve">مروة ضياء الحسين </t>
  </si>
  <si>
    <t>1764666792738.jpg</t>
  </si>
  <si>
    <t>https://eu.kobotoolbox.org/api/v2/assets/asidN676GwD9kVUoocseLY/data/728853169/attachments/atteTEGdwqjYwdEGbTF6c8M4/</t>
  </si>
  <si>
    <t>1764666805440.jpg</t>
  </si>
  <si>
    <t>https://eu.kobotoolbox.org/api/v2/assets/asidN676GwD9kVUoocseLY/data/728853169/attachments/attWzB2yJhkUMdELX2Sbeeom/</t>
  </si>
  <si>
    <t xml:space="preserve">زملكا حارة شيحا </t>
  </si>
  <si>
    <t>1764667014342.jpg</t>
  </si>
  <si>
    <t>https://eu.kobotoolbox.org/api/v2/assets/asidN676GwD9kVUoocseLY/data/728853169/attachments/attU5HtAeoEfRGWZWdbfevJo/</t>
  </si>
  <si>
    <t>1764667063296.jpg</t>
  </si>
  <si>
    <t>https://eu.kobotoolbox.org/api/v2/assets/asidN676GwD9kVUoocseLY/data/728853169/attachments/attxVP26o7o8YTxKwNJKWhbX/</t>
  </si>
  <si>
    <t>1764667071731.jpg</t>
  </si>
  <si>
    <t>https://eu.kobotoolbox.org/api/v2/assets/asidN676GwD9kVUoocseLY/data/728853169/attachments/att5gXvYCzK8T5NTQH2KJNrd/</t>
  </si>
  <si>
    <t>1764667079049.jpg</t>
  </si>
  <si>
    <t>https://eu.kobotoolbox.org/api/v2/assets/asidN676GwD9kVUoocseLY/data/728853169/attachments/attKo7fZ3UNE9ZKzEmkQDa7X/</t>
  </si>
  <si>
    <t>1764667085675.jpg</t>
  </si>
  <si>
    <t>https://eu.kobotoolbox.org/api/v2/assets/asidN676GwD9kVUoocseLY/data/728853169/attachments/attDqMX8z959P8B3pPLmXYhA/</t>
  </si>
  <si>
    <t>1764667092118.jpg</t>
  </si>
  <si>
    <t>https://eu.kobotoolbox.org/api/v2/assets/asidN676GwD9kVUoocseLY/data/728853169/attachments/attCF39ZdS2mC7PgGTbQrYva/</t>
  </si>
  <si>
    <t>1764667104879.jpg</t>
  </si>
  <si>
    <t>https://eu.kobotoolbox.org/api/v2/assets/asidN676GwD9kVUoocseLY/data/728853169/attachments/attLNjQMHBMwUNescigdUmE5/</t>
  </si>
  <si>
    <t>1764667113508.jpg</t>
  </si>
  <si>
    <t>https://eu.kobotoolbox.org/api/v2/assets/asidN676GwD9kVUoocseLY/data/728853169/attachments/attCqhFpobgj8i2URZfy5uBd/</t>
  </si>
  <si>
    <t>1764667128654.jpg</t>
  </si>
  <si>
    <t>https://eu.kobotoolbox.org/api/v2/assets/asidN676GwD9kVUoocseLY/data/728853169/attachments/attg2JMyjyAUgpuftM85QM5x/</t>
  </si>
  <si>
    <t xml:space="preserve">عبد الحكيم </t>
  </si>
  <si>
    <t>زكريا</t>
  </si>
  <si>
    <t>هرموش</t>
  </si>
  <si>
    <t>رحمة خضرو</t>
  </si>
  <si>
    <t xml:space="preserve">مها ابراهيم مندو </t>
  </si>
  <si>
    <t>1764667689651.jpg</t>
  </si>
  <si>
    <t>https://eu.kobotoolbox.org/api/v2/assets/asidN676GwD9kVUoocseLY/data/728853359/attachments/attdmjxSj4BfgPeVqufwdwa6/</t>
  </si>
  <si>
    <t>1764667698169.jpg</t>
  </si>
  <si>
    <t>https://eu.kobotoolbox.org/api/v2/assets/asidN676GwD9kVUoocseLY/data/728853359/attachments/attgShSqRNW9pNDLgpJsJsf6/</t>
  </si>
  <si>
    <t xml:space="preserve">مديرية المرور </t>
  </si>
  <si>
    <t xml:space="preserve">زملكا حارة شيحا جنب بناء كوكش </t>
  </si>
  <si>
    <t>1764667998981.jpg</t>
  </si>
  <si>
    <t>https://eu.kobotoolbox.org/api/v2/assets/asidN676GwD9kVUoocseLY/data/728853359/attachments/attn4HNPyPPDTocvY3Factv9/</t>
  </si>
  <si>
    <t>1764668007705.jpg</t>
  </si>
  <si>
    <t>https://eu.kobotoolbox.org/api/v2/assets/asidN676GwD9kVUoocseLY/data/728853359/attachments/attjVfUven6Wdic2ja4EmqXb/</t>
  </si>
  <si>
    <t>1764668018581.jpg</t>
  </si>
  <si>
    <t>https://eu.kobotoolbox.org/api/v2/assets/asidN676GwD9kVUoocseLY/data/728853359/attachments/attGSLgArFbLBbfb3dN8wZwy/</t>
  </si>
  <si>
    <t>1764668026146.jpg</t>
  </si>
  <si>
    <t>https://eu.kobotoolbox.org/api/v2/assets/asidN676GwD9kVUoocseLY/data/728853359/attachments/attcbSDs24yYBFphfkh6TMat/</t>
  </si>
  <si>
    <t>1764668034550.jpg</t>
  </si>
  <si>
    <t>https://eu.kobotoolbox.org/api/v2/assets/asidN676GwD9kVUoocseLY/data/728853359/attachments/att4kxgMd4MJZpG5t98qH9Do/</t>
  </si>
  <si>
    <t>1764668046924.jpg</t>
  </si>
  <si>
    <t>https://eu.kobotoolbox.org/api/v2/assets/asidN676GwD9kVUoocseLY/data/728853359/attachments/attd7ecf7Sx78FVwj8Sq42jW/</t>
  </si>
  <si>
    <t>1764668054407.jpg</t>
  </si>
  <si>
    <t>https://eu.kobotoolbox.org/api/v2/assets/asidN676GwD9kVUoocseLY/data/728853359/attachments/attom3vzdkWot6snundw8fth/</t>
  </si>
  <si>
    <t>1764668074278.jpg</t>
  </si>
  <si>
    <t>https://eu.kobotoolbox.org/api/v2/assets/asidN676GwD9kVUoocseLY/data/728853359/attachments/attgXCiThFoYTHbsPa7ZYMqM/</t>
  </si>
  <si>
    <t xml:space="preserve">173
البيت بحاجة والشخص محتاج جدا </t>
  </si>
  <si>
    <t xml:space="preserve">اسماء </t>
  </si>
  <si>
    <t xml:space="preserve">هرموش </t>
  </si>
  <si>
    <t xml:space="preserve">بدريه عطايا </t>
  </si>
  <si>
    <t>1764668879608.jpg</t>
  </si>
  <si>
    <t>https://eu.kobotoolbox.org/api/v2/assets/asidN676GwD9kVUoocseLY/data/728853996/attachments/attkageG3QxSfkfpod9VCQUD/</t>
  </si>
  <si>
    <t>1764668889833.jpg</t>
  </si>
  <si>
    <t>https://eu.kobotoolbox.org/api/v2/assets/asidN676GwD9kVUoocseLY/data/728853996/attachments/attGx7DyE5Nngj492kY5tt3e/</t>
  </si>
  <si>
    <t>زملكا حارة شيحا جانب بيت اب فهد</t>
  </si>
  <si>
    <t>زملكا حارة الشيحا</t>
  </si>
  <si>
    <t>1764669345445.jpg</t>
  </si>
  <si>
    <t>https://eu.kobotoolbox.org/api/v2/assets/asidN676GwD9kVUoocseLY/data/728853996/attachments/attxmL8PtznXxrp9DrL4vf8C/</t>
  </si>
  <si>
    <t>1764669353865.jpg</t>
  </si>
  <si>
    <t>https://eu.kobotoolbox.org/api/v2/assets/asidN676GwD9kVUoocseLY/data/728853996/attachments/attsYcDYSitnhrxLV7cueSuS/</t>
  </si>
  <si>
    <t>1764669362626.jpg</t>
  </si>
  <si>
    <t>https://eu.kobotoolbox.org/api/v2/assets/asidN676GwD9kVUoocseLY/data/728853996/attachments/attKiBJRdXpxrvv9rczZHR4w/</t>
  </si>
  <si>
    <t>1764669490397.jpg</t>
  </si>
  <si>
    <t>https://eu.kobotoolbox.org/api/v2/assets/asidN676GwD9kVUoocseLY/data/728853996/attachments/attnuuvaS2WNaU9akocTXqCY/</t>
  </si>
  <si>
    <t>1764669532702.jpg</t>
  </si>
  <si>
    <t>https://eu.kobotoolbox.org/api/v2/assets/asidN676GwD9kVUoocseLY/data/728853996/attachments/attG9Xjk56GNGSpxVkiYkkes/</t>
  </si>
  <si>
    <t>1764669541402.jpg</t>
  </si>
  <si>
    <t>https://eu.kobotoolbox.org/api/v2/assets/asidN676GwD9kVUoocseLY/data/728853996/attachments/attWeHakChmGDnDrhs7vrARh/</t>
  </si>
  <si>
    <t>1764669555682.jpg</t>
  </si>
  <si>
    <t>https://eu.kobotoolbox.org/api/v2/assets/asidN676GwD9kVUoocseLY/data/728853996/attachments/atthaj3so3uZNtbPWdqXCgAW/</t>
  </si>
  <si>
    <t>1764669561810.jpg</t>
  </si>
  <si>
    <t>https://eu.kobotoolbox.org/api/v2/assets/asidN676GwD9kVUoocseLY/data/728853996/attachments/attNNWifAaV4QXgAjwwgpjDA/</t>
  </si>
  <si>
    <t xml:space="preserve">الرقم التسلسلي 289 
المنزل بحاجة هذه الاعمال بشدة بسبب عدم وجود رجل في المنزل </t>
  </si>
  <si>
    <t xml:space="preserve">احمد </t>
  </si>
  <si>
    <t>موفق</t>
  </si>
  <si>
    <t>الدمشقي</t>
  </si>
  <si>
    <t xml:space="preserve">أميره السحار </t>
  </si>
  <si>
    <t>هبة عبدالله ثابت</t>
  </si>
  <si>
    <t>1764670936149.jpg</t>
  </si>
  <si>
    <t>https://eu.kobotoolbox.org/api/v2/assets/asidN676GwD9kVUoocseLY/data/728854563/attachments/att5iqmaZmj9cpmBMrRNSP5e/</t>
  </si>
  <si>
    <t>1764670943113.jpg</t>
  </si>
  <si>
    <t>https://eu.kobotoolbox.org/api/v2/assets/asidN676GwD9kVUoocseLY/data/728854563/attachments/att9bsjZGdsYuCwUbkBtAQuD/</t>
  </si>
  <si>
    <t xml:space="preserve">زملكا حارة الشوام مواجه كازية النور </t>
  </si>
  <si>
    <t>عمل خاص</t>
  </si>
  <si>
    <t>1764671126415.jpg</t>
  </si>
  <si>
    <t>https://eu.kobotoolbox.org/api/v2/assets/asidN676GwD9kVUoocseLY/data/728854563/attachments/attRzExxCFKDQ9obCKUMvzSP/</t>
  </si>
  <si>
    <t>1764671134107.jpg</t>
  </si>
  <si>
    <t>https://eu.kobotoolbox.org/api/v2/assets/asidN676GwD9kVUoocseLY/data/728854563/attachments/attpCZFw6ZLG8GQD2DspLgKY/</t>
  </si>
  <si>
    <t>1764671140705.jpg</t>
  </si>
  <si>
    <t>https://eu.kobotoolbox.org/api/v2/assets/asidN676GwD9kVUoocseLY/data/728854563/attachments/attJQj3ivWuj2r2uhMfaoWvM/</t>
  </si>
  <si>
    <t>1764671149473.jpg</t>
  </si>
  <si>
    <t>https://eu.kobotoolbox.org/api/v2/assets/asidN676GwD9kVUoocseLY/data/728854563/attachments/attnEsvtdBtub2cRJDcfcrid/</t>
  </si>
  <si>
    <t>1764671156068.jpg</t>
  </si>
  <si>
    <t>https://eu.kobotoolbox.org/api/v2/assets/asidN676GwD9kVUoocseLY/data/728854563/attachments/attDeYJjG55jxU4j9e6HHjyj/</t>
  </si>
  <si>
    <t>1764671174992.jpg</t>
  </si>
  <si>
    <t>https://eu.kobotoolbox.org/api/v2/assets/asidN676GwD9kVUoocseLY/data/728854563/attachments/attjow3PdZEAc7dYtf7uwQPM/</t>
  </si>
  <si>
    <t>1764671186374.jpg</t>
  </si>
  <si>
    <t>https://eu.kobotoolbox.org/api/v2/assets/asidN676GwD9kVUoocseLY/data/728854563/attachments/attxPaXQVMcwo9soAkTozPej/</t>
  </si>
  <si>
    <t>1764671192857.jpg</t>
  </si>
  <si>
    <t>https://eu.kobotoolbox.org/api/v2/assets/asidN676GwD9kVUoocseLY/data/728854563/attachments/attRcEP5oXH5LcDjjbPXB39k/</t>
  </si>
  <si>
    <t>الرقم التسلسلي 176</t>
  </si>
  <si>
    <t>فاروق</t>
  </si>
  <si>
    <t xml:space="preserve">عبد الحليم </t>
  </si>
  <si>
    <t xml:space="preserve">الملا </t>
  </si>
  <si>
    <t xml:space="preserve">نجلاء الملا </t>
  </si>
  <si>
    <t xml:space="preserve">هالا شهاب الدين الملا </t>
  </si>
  <si>
    <t>1764676554919.jpg</t>
  </si>
  <si>
    <t>https://eu.kobotoolbox.org/api/v2/assets/asidN676GwD9kVUoocseLY/data/728854773/attachments/attSiFtzjwCSw7JmpmWMgfmq/</t>
  </si>
  <si>
    <t>1764676564795.jpg</t>
  </si>
  <si>
    <t>https://eu.kobotoolbox.org/api/v2/assets/asidN676GwD9kVUoocseLY/data/728854773/attachments/attbjKfDk9R2CmCa4CK8FrqV/</t>
  </si>
  <si>
    <t xml:space="preserve">المحاريب جامع الحسن </t>
  </si>
  <si>
    <t xml:space="preserve">محاريب خلف جامع الحسن </t>
  </si>
  <si>
    <t>1764677018863.jpg</t>
  </si>
  <si>
    <t>https://eu.kobotoolbox.org/api/v2/assets/asidN676GwD9kVUoocseLY/data/728854773/attachments/attzJhLycjNA9tbKWn2umE4V/</t>
  </si>
  <si>
    <t>1764677049963.jpg</t>
  </si>
  <si>
    <t>https://eu.kobotoolbox.org/api/v2/assets/asidN676GwD9kVUoocseLY/data/728854773/attachments/attp62pxnAbddHzXEofdZYbB/</t>
  </si>
  <si>
    <t>1764677067269.jpg</t>
  </si>
  <si>
    <t>https://eu.kobotoolbox.org/api/v2/assets/asidN676GwD9kVUoocseLY/data/728854773/attachments/att5aA5HohPYkMALQExFxciN/</t>
  </si>
  <si>
    <t>1764677078868.jpg</t>
  </si>
  <si>
    <t>https://eu.kobotoolbox.org/api/v2/assets/asidN676GwD9kVUoocseLY/data/728854773/attachments/att9E2BAhdncR9y9yJkUWdnd/</t>
  </si>
  <si>
    <t>1764677100100.jpg</t>
  </si>
  <si>
    <t>https://eu.kobotoolbox.org/api/v2/assets/asidN676GwD9kVUoocseLY/data/728854773/attachments/attQ5aAuXsctxEMfUneRp87n/</t>
  </si>
  <si>
    <t>1764677110848.jpg</t>
  </si>
  <si>
    <t>https://eu.kobotoolbox.org/api/v2/assets/asidN676GwD9kVUoocseLY/data/728854773/attachments/attXkrX4cDg4boQDR9riss4w/</t>
  </si>
  <si>
    <t>1764677118844.jpg</t>
  </si>
  <si>
    <t>https://eu.kobotoolbox.org/api/v2/assets/asidN676GwD9kVUoocseLY/data/728854773/attachments/attFTqEB5yEYSuwZNMcnCxS6/</t>
  </si>
  <si>
    <t>1764677128702.jpg</t>
  </si>
  <si>
    <t>https://eu.kobotoolbox.org/api/v2/assets/asidN676GwD9kVUoocseLY/data/728854773/attachments/attjNmN9fHWziRy2mUy3UWo7/</t>
  </si>
  <si>
    <t>1764677140223.jpg</t>
  </si>
  <si>
    <t>https://eu.kobotoolbox.org/api/v2/assets/asidN676GwD9kVUoocseLY/data/728854773/attachments/attHqhM9VNV4ijZ5SVZzFFBZ/</t>
  </si>
  <si>
    <t xml:space="preserve"> أعمال خرسانة 7m^3
122</t>
  </si>
  <si>
    <t xml:space="preserve">صفاء </t>
  </si>
  <si>
    <t>عبد الفتاح</t>
  </si>
  <si>
    <t>كرنبه</t>
  </si>
  <si>
    <t xml:space="preserve">وجيها الشيخ </t>
  </si>
  <si>
    <t>أعزب/عزباء</t>
  </si>
  <si>
    <t>1764672197415.jpg</t>
  </si>
  <si>
    <t>https://eu.kobotoolbox.org/api/v2/assets/asidN676GwD9kVUoocseLY/data/728855073/attachments/attJE6JV4tffyTaBeoqxSeSh/</t>
  </si>
  <si>
    <t>1764672206920.jpg</t>
  </si>
  <si>
    <t>https://eu.kobotoolbox.org/api/v2/assets/asidN676GwD9kVUoocseLY/data/728855073/attachments/att3vEDin5gwghXzjkqFCixg/</t>
  </si>
  <si>
    <t xml:space="preserve">زملكا حارة الشوام خلف كازية النور </t>
  </si>
  <si>
    <t>1764672484463.jpg</t>
  </si>
  <si>
    <t>https://eu.kobotoolbox.org/api/v2/assets/asidN676GwD9kVUoocseLY/data/728855073/attachments/attBmkpxEMJjruJSa9LCBKvK/</t>
  </si>
  <si>
    <t>1764672492717.jpg</t>
  </si>
  <si>
    <t>https://eu.kobotoolbox.org/api/v2/assets/asidN676GwD9kVUoocseLY/data/728855073/attachments/attVqmhny867mS3EANrAZBS3/</t>
  </si>
  <si>
    <t>1764672502603.jpg</t>
  </si>
  <si>
    <t>https://eu.kobotoolbox.org/api/v2/assets/asidN676GwD9kVUoocseLY/data/728855073/attachments/attEi4AaTxG6wzMLcvKd5Ws4/</t>
  </si>
  <si>
    <t>1764672510453.jpg</t>
  </si>
  <si>
    <t>https://eu.kobotoolbox.org/api/v2/assets/asidN676GwD9kVUoocseLY/data/728855073/attachments/attV2jau6r9sDNVdtzfexsPJ/</t>
  </si>
  <si>
    <t>1764672517785.jpg</t>
  </si>
  <si>
    <t>https://eu.kobotoolbox.org/api/v2/assets/asidN676GwD9kVUoocseLY/data/728855073/attachments/att5zF73L5UXYhqsX5E9Vchz/</t>
  </si>
  <si>
    <t>1764672529389.jpg</t>
  </si>
  <si>
    <t>https://eu.kobotoolbox.org/api/v2/assets/asidN676GwD9kVUoocseLY/data/728855073/attachments/attYjZhkwRfazg86sexAxpLd/</t>
  </si>
  <si>
    <t>1764672540035.jpg</t>
  </si>
  <si>
    <t>https://eu.kobotoolbox.org/api/v2/assets/asidN676GwD9kVUoocseLY/data/728855073/attachments/att59iGogM4aiKwgP84K2hC9/</t>
  </si>
  <si>
    <t>1764672546225.jpg</t>
  </si>
  <si>
    <t>https://eu.kobotoolbox.org/api/v2/assets/asidN676GwD9kVUoocseLY/data/728855073/attachments/attH36z44XGjYARxRUfVrfDN/</t>
  </si>
  <si>
    <t>الرقم التسلسلي 175</t>
  </si>
  <si>
    <t>محمد مأمون</t>
  </si>
  <si>
    <t>محمود</t>
  </si>
  <si>
    <t xml:space="preserve">عثمان </t>
  </si>
  <si>
    <t>بديعة خليفة</t>
  </si>
  <si>
    <t>ليال محمد خير الغوص</t>
  </si>
  <si>
    <t>1764673627769.jpg</t>
  </si>
  <si>
    <t>https://eu.kobotoolbox.org/api/v2/assets/asidN676GwD9kVUoocseLY/data/728855174/attachments/attwi8Sk96A92NnYXnFEPVsU/</t>
  </si>
  <si>
    <t>1764673636932.jpg</t>
  </si>
  <si>
    <t>https://eu.kobotoolbox.org/api/v2/assets/asidN676GwD9kVUoocseLY/data/728855174/attachments/attJQcY5t4bhvD3VP5gp2cGh/</t>
  </si>
  <si>
    <t>زملكا عند نادي الببيلي</t>
  </si>
  <si>
    <t>زملكا يمين الجسر</t>
  </si>
  <si>
    <t>1764673979407.jpg</t>
  </si>
  <si>
    <t>https://eu.kobotoolbox.org/api/v2/assets/asidN676GwD9kVUoocseLY/data/728855174/attachments/attM7YF3GMcnQx7xJKHn2tTP/</t>
  </si>
  <si>
    <t>1764673865161.jpg</t>
  </si>
  <si>
    <t>https://eu.kobotoolbox.org/api/v2/assets/asidN676GwD9kVUoocseLY/data/728855174/attachments/att9td3vQDDNbT6UEcbqcdwT/</t>
  </si>
  <si>
    <t>1764673874049.jpg</t>
  </si>
  <si>
    <t>https://eu.kobotoolbox.org/api/v2/assets/asidN676GwD9kVUoocseLY/data/728855174/attachments/attfKsTZ7oy4PZ2mwkpUgxQs/</t>
  </si>
  <si>
    <t>1764673882107.jpg</t>
  </si>
  <si>
    <t>https://eu.kobotoolbox.org/api/v2/assets/asidN676GwD9kVUoocseLY/data/728855174/attachments/attmf8pKu4L63aXfxSsqUXze/</t>
  </si>
  <si>
    <t>1764673891657.jpg</t>
  </si>
  <si>
    <t>https://eu.kobotoolbox.org/api/v2/assets/asidN676GwD9kVUoocseLY/data/728855174/attachments/att8BRztZW63jHWtvTK6bLFe/</t>
  </si>
  <si>
    <t>1764673898135.jpg</t>
  </si>
  <si>
    <t>https://eu.kobotoolbox.org/api/v2/assets/asidN676GwD9kVUoocseLY/data/728855174/attachments/attywYDUjmCWRRgZj7UduGKb/</t>
  </si>
  <si>
    <t>1764673928482.jpg</t>
  </si>
  <si>
    <t>https://eu.kobotoolbox.org/api/v2/assets/asidN676GwD9kVUoocseLY/data/728855174/attachments/attDpGpQx5fJyJAy4SwwBbtF/</t>
  </si>
  <si>
    <t>1764673936390.jpg</t>
  </si>
  <si>
    <t>https://eu.kobotoolbox.org/api/v2/assets/asidN676GwD9kVUoocseLY/data/728855174/attachments/attxoPFYtFbdmCMJ3xRYjJVf/</t>
  </si>
  <si>
    <t>1764673942565.jpg</t>
  </si>
  <si>
    <t>https://eu.kobotoolbox.org/api/v2/assets/asidN676GwD9kVUoocseLY/data/728855174/attachments/attuZbdxCkZEhJjt7Zj24Ngf/</t>
  </si>
  <si>
    <t xml:space="preserve">الرقم التسلسلي 56 </t>
  </si>
  <si>
    <t xml:space="preserve">سمير </t>
  </si>
  <si>
    <t xml:space="preserve">افتكار باكير </t>
  </si>
  <si>
    <t xml:space="preserve">راما رياض باكير </t>
  </si>
  <si>
    <t>1764674501071.jpg</t>
  </si>
  <si>
    <t>https://eu.kobotoolbox.org/api/v2/assets/asidN676GwD9kVUoocseLY/data/728855450/attachments/attrEfb5spDXJHP6NRKihYQy/</t>
  </si>
  <si>
    <t>1764674508656.jpg</t>
  </si>
  <si>
    <t>https://eu.kobotoolbox.org/api/v2/assets/asidN676GwD9kVUoocseLY/data/728855450/attachments/attQHbgF4iepZ47yi2SGAd8M/</t>
  </si>
  <si>
    <t xml:space="preserve">زملكا موقف جوبر </t>
  </si>
  <si>
    <t xml:space="preserve">زملكا على يمين الجسر </t>
  </si>
  <si>
    <t>1764674673417.jpg</t>
  </si>
  <si>
    <t>https://eu.kobotoolbox.org/api/v2/assets/asidN676GwD9kVUoocseLY/data/728855450/attachments/attvb8LdJzjTro2x6kw448Z5/</t>
  </si>
  <si>
    <t>1764674681608.jpg</t>
  </si>
  <si>
    <t>https://eu.kobotoolbox.org/api/v2/assets/asidN676GwD9kVUoocseLY/data/728855450/attachments/attA5fLUXhmGbyzkS9GggcDQ/</t>
  </si>
  <si>
    <t>1764674690930.jpg</t>
  </si>
  <si>
    <t>https://eu.kobotoolbox.org/api/v2/assets/asidN676GwD9kVUoocseLY/data/728855450/attachments/attpthLJhTTUN3TuEQemogoB/</t>
  </si>
  <si>
    <t>1764674749589.jpg</t>
  </si>
  <si>
    <t>https://eu.kobotoolbox.org/api/v2/assets/asidN676GwD9kVUoocseLY/data/728855450/attachments/attQyFB4jHQzaxs9nXoGjuoa/</t>
  </si>
  <si>
    <t>1764674697708.jpg</t>
  </si>
  <si>
    <t>https://eu.kobotoolbox.org/api/v2/assets/asidN676GwD9kVUoocseLY/data/728855450/attachments/attiBresVFem8Urv8vcMMRfw/</t>
  </si>
  <si>
    <t>1764674709529.jpg</t>
  </si>
  <si>
    <t>https://eu.kobotoolbox.org/api/v2/assets/asidN676GwD9kVUoocseLY/data/728855450/attachments/attwcBNdPqw9jxapRDkpPHsa/</t>
  </si>
  <si>
    <t>1764674716074.jpg</t>
  </si>
  <si>
    <t>https://eu.kobotoolbox.org/api/v2/assets/asidN676GwD9kVUoocseLY/data/728855450/attachments/attmA6F3uuSErmbZKdeZ4fhv/</t>
  </si>
  <si>
    <t>1764674720771.jpg</t>
  </si>
  <si>
    <t>https://eu.kobotoolbox.org/api/v2/assets/asidN676GwD9kVUoocseLY/data/728855450/attachments/att25u5HJ9tvNBGSJeNkioJe/</t>
  </si>
  <si>
    <t xml:space="preserve">رقم تسلسلي 55 
سيقوم بتزويد المجلس المحلي بورقة الطابو </t>
  </si>
  <si>
    <t xml:space="preserve">نسيبة </t>
  </si>
  <si>
    <t xml:space="preserve">بديعة خليفة </t>
  </si>
  <si>
    <t>فاتح الخولي</t>
  </si>
  <si>
    <t>1764675341823.jpg</t>
  </si>
  <si>
    <t>https://eu.kobotoolbox.org/api/v2/assets/asidN676GwD9kVUoocseLY/data/728855588/attachments/attKTR4eHw4maUNjcm7oNcn7/</t>
  </si>
  <si>
    <t>1764675349623.jpg</t>
  </si>
  <si>
    <t>https://eu.kobotoolbox.org/api/v2/assets/asidN676GwD9kVUoocseLY/data/728855588/attachments/attZ8PBTxRFxdJ7QimXD2aKB/</t>
  </si>
  <si>
    <t xml:space="preserve">زملكا خلف جامع رضوان بناء الشيخ </t>
  </si>
  <si>
    <t xml:space="preserve">زملكا يمين الجسر </t>
  </si>
  <si>
    <t>1764675573605.jpg</t>
  </si>
  <si>
    <t>https://eu.kobotoolbox.org/api/v2/assets/asidN676GwD9kVUoocseLY/data/728855588/attachments/atttCJXUGTcHrsaWUaRv4NhQ/</t>
  </si>
  <si>
    <t>1764675580181.jpg</t>
  </si>
  <si>
    <t>https://eu.kobotoolbox.org/api/v2/assets/asidN676GwD9kVUoocseLY/data/728855588/attachments/attqc46q36k9XuFLUSzRa4eL/</t>
  </si>
  <si>
    <t>1764675594698.jpg</t>
  </si>
  <si>
    <t>https://eu.kobotoolbox.org/api/v2/assets/asidN676GwD9kVUoocseLY/data/728855588/attachments/atthLxHzsuLSq4EuJSdjeFMf/</t>
  </si>
  <si>
    <t>1764675600683.jpg</t>
  </si>
  <si>
    <t>https://eu.kobotoolbox.org/api/v2/assets/asidN676GwD9kVUoocseLY/data/728855588/attachments/attGW2ztehteY3LB239rpsc6/</t>
  </si>
  <si>
    <t>1764675608365.jpg</t>
  </si>
  <si>
    <t>https://eu.kobotoolbox.org/api/v2/assets/asidN676GwD9kVUoocseLY/data/728855588/attachments/attjdkWZ4gbCoPhwsbeYFbVY/</t>
  </si>
  <si>
    <t>1764675619875.jpg</t>
  </si>
  <si>
    <t>https://eu.kobotoolbox.org/api/v2/assets/asidN676GwD9kVUoocseLY/data/728855588/attachments/attmBn2h276NqJkmcuivnMG2/</t>
  </si>
  <si>
    <t>1764675627879.jpg</t>
  </si>
  <si>
    <t>https://eu.kobotoolbox.org/api/v2/assets/asidN676GwD9kVUoocseLY/data/728855588/attachments/att4KfdEGtA99stZFkUds6eg/</t>
  </si>
  <si>
    <t>1764675634135.jpg</t>
  </si>
  <si>
    <t>https://eu.kobotoolbox.org/api/v2/assets/asidN676GwD9kVUoocseLY/data/728855588/attachments/attTtmvYu7nsfHLTsDSJrhfg/</t>
  </si>
  <si>
    <t xml:space="preserve">رقم تسلسلي 53 
سيتم تقديم اوراق الثبوتية للادارة المحلية </t>
  </si>
  <si>
    <t>مامون</t>
  </si>
  <si>
    <t>موسى</t>
  </si>
  <si>
    <t>حياة</t>
  </si>
  <si>
    <t>سهام احمد بدوي الزيبق</t>
  </si>
  <si>
    <t>دفتر عائلة</t>
  </si>
  <si>
    <t>1764675721270.jpg</t>
  </si>
  <si>
    <t>https://eu.kobotoolbox.org/api/v2/assets/asidN676GwD9kVUoocseLY/data/729029899/attachments/attHzFX74EfpSC8rDVvPhLBy/</t>
  </si>
  <si>
    <t>1764675756641.jpg</t>
  </si>
  <si>
    <t>https://eu.kobotoolbox.org/api/v2/assets/asidN676GwD9kVUoocseLY/data/729029899/attachments/attz7RafHadWNwfM4fDZTb6M/</t>
  </si>
  <si>
    <t>الحمام</t>
  </si>
  <si>
    <t>1764676294947.jpg</t>
  </si>
  <si>
    <t>https://eu.kobotoolbox.org/api/v2/assets/asidN676GwD9kVUoocseLY/data/729029899/attachments/att2qthHqQcZekaG7ZFWtpz6/</t>
  </si>
  <si>
    <t>1764676310375.jpg</t>
  </si>
  <si>
    <t>https://eu.kobotoolbox.org/api/v2/assets/asidN676GwD9kVUoocseLY/data/729029899/attachments/attnXsriqouDm3KwgRvcBenm/</t>
  </si>
  <si>
    <t>1764676326985.jpg</t>
  </si>
  <si>
    <t>https://eu.kobotoolbox.org/api/v2/assets/asidN676GwD9kVUoocseLY/data/729029899/attachments/attcCVqcMx9r9eWkpw3SQYeE/</t>
  </si>
  <si>
    <t>1764676342582.jpg</t>
  </si>
  <si>
    <t>https://eu.kobotoolbox.org/api/v2/assets/asidN676GwD9kVUoocseLY/data/729029899/attachments/attqVTEE5tCi3gSYXkhLdSgo/</t>
  </si>
  <si>
    <t>1764676355431.jpg</t>
  </si>
  <si>
    <t>https://eu.kobotoolbox.org/api/v2/assets/asidN676GwD9kVUoocseLY/data/729029899/attachments/attYxemFNVtuqvvT2nxUL2AE/</t>
  </si>
  <si>
    <t>1764676389100.jpg</t>
  </si>
  <si>
    <t>https://eu.kobotoolbox.org/api/v2/assets/asidN676GwD9kVUoocseLY/data/729029899/attachments/attRJLhkTittC2t3ALebemzg/</t>
  </si>
  <si>
    <t>1764676443199.jpg</t>
  </si>
  <si>
    <t>https://eu.kobotoolbox.org/api/v2/assets/asidN676GwD9kVUoocseLY/data/729029899/attachments/attS2VRWVXxDdb2bZopAYj76/</t>
  </si>
  <si>
    <t>1764676482173.jpg</t>
  </si>
  <si>
    <t>https://eu.kobotoolbox.org/api/v2/assets/asidN676GwD9kVUoocseLY/data/729029899/attachments/attpgmZGrmhw6w3nGxJEG8dz/</t>
  </si>
  <si>
    <t>تم تزكيته من المجلس البلدي والمحلي</t>
  </si>
  <si>
    <t>طراد</t>
  </si>
  <si>
    <t>حسين</t>
  </si>
  <si>
    <t>فاطمة</t>
  </si>
  <si>
    <t>غنية نواف عمر</t>
  </si>
  <si>
    <t>1764663742158.jpg</t>
  </si>
  <si>
    <t>https://eu.kobotoolbox.org/api/v2/assets/asidN676GwD9kVUoocseLY/data/729030093/attachments/attE3GnSY2nZ9gid8itcqs3u/</t>
  </si>
  <si>
    <t>1764663755256.jpg</t>
  </si>
  <si>
    <t>https://eu.kobotoolbox.org/api/v2/assets/asidN676GwD9kVUoocseLY/data/729030093/attachments/attQ6PhjA7XVsQc88dJqgc96/</t>
  </si>
  <si>
    <t>المزرعة</t>
  </si>
  <si>
    <t>1764664450838.jpg</t>
  </si>
  <si>
    <t>https://eu.kobotoolbox.org/api/v2/assets/asidN676GwD9kVUoocseLY/data/729030093/attachments/attTGxY5sBN7sBvoHS3uRL5r/</t>
  </si>
  <si>
    <t>1764664465625.jpg</t>
  </si>
  <si>
    <t>https://eu.kobotoolbox.org/api/v2/assets/asidN676GwD9kVUoocseLY/data/729030093/attachments/attAuQewUdBhbVB9KmQc64zR/</t>
  </si>
  <si>
    <t>1764664491576.jpg</t>
  </si>
  <si>
    <t>https://eu.kobotoolbox.org/api/v2/assets/asidN676GwD9kVUoocseLY/data/729030093/attachments/attTmxP9xTjTpZNFjm6NkxUi/</t>
  </si>
  <si>
    <t>1764664517755.jpg</t>
  </si>
  <si>
    <t>https://eu.kobotoolbox.org/api/v2/assets/asidN676GwD9kVUoocseLY/data/729030093/attachments/attJSMkAAHiQVyBWUM5vMqoJ/</t>
  </si>
  <si>
    <t>1764664547215.jpg</t>
  </si>
  <si>
    <t>https://eu.kobotoolbox.org/api/v2/assets/asidN676GwD9kVUoocseLY/data/729030093/attachments/attmL9QQCQCJU7pF5HHdkqjv/</t>
  </si>
  <si>
    <t>1764664574885.jpg</t>
  </si>
  <si>
    <t>https://eu.kobotoolbox.org/api/v2/assets/asidN676GwD9kVUoocseLY/data/729030093/attachments/atttniguofKJnxckrdTNgV7w/</t>
  </si>
  <si>
    <t>1764664591215.jpg</t>
  </si>
  <si>
    <t>https://eu.kobotoolbox.org/api/v2/assets/asidN676GwD9kVUoocseLY/data/729030093/attachments/att5V5Ce8ddhZDyH95iiSbbL/</t>
  </si>
  <si>
    <t>1764664620913.jpg</t>
  </si>
  <si>
    <t>https://eu.kobotoolbox.org/api/v2/assets/asidN676GwD9kVUoocseLY/data/729030093/attachments/attC2D7QAiaaJkoLQVbb7oKx/</t>
  </si>
  <si>
    <t>148</t>
  </si>
  <si>
    <t>عدنان</t>
  </si>
  <si>
    <t>العلبي</t>
  </si>
  <si>
    <t>قمر</t>
  </si>
  <si>
    <t>عائدة اسماعيل زيتون</t>
  </si>
  <si>
    <t>1764673215283.jpg</t>
  </si>
  <si>
    <t>https://eu.kobotoolbox.org/api/v2/assets/asidN676GwD9kVUoocseLY/data/729030312/attachments/attDVEjPkD4asqLQV68h7pod/</t>
  </si>
  <si>
    <t>1764673248830.jpg</t>
  </si>
  <si>
    <t>https://eu.kobotoolbox.org/api/v2/assets/asidN676GwD9kVUoocseLY/data/729030312/attachments/attFrCUqxuoyMafMhtwRduS6/</t>
  </si>
  <si>
    <t>حي المزرعة شارع الحمام</t>
  </si>
  <si>
    <t>مزرعة</t>
  </si>
  <si>
    <t>1764673923765.jpg</t>
  </si>
  <si>
    <t>https://eu.kobotoolbox.org/api/v2/assets/asidN676GwD9kVUoocseLY/data/729030312/attachments/attzgSiwn9fEyHYxXK6GUrhg/</t>
  </si>
  <si>
    <t>1764673936601.jpg</t>
  </si>
  <si>
    <t>https://eu.kobotoolbox.org/api/v2/assets/asidN676GwD9kVUoocseLY/data/729030312/attachments/attBLw5RNDToKQV4RfFUmPXb/</t>
  </si>
  <si>
    <t>1764673956617.jpg</t>
  </si>
  <si>
    <t>https://eu.kobotoolbox.org/api/v2/assets/asidN676GwD9kVUoocseLY/data/729030312/attachments/attge3k9Fv886mxggjRx2Sf5/</t>
  </si>
  <si>
    <t>1764673983654.jpg</t>
  </si>
  <si>
    <t>https://eu.kobotoolbox.org/api/v2/assets/asidN676GwD9kVUoocseLY/data/729030312/attachments/attnSC8ppY2ccLGDeUx9Jh3Z/</t>
  </si>
  <si>
    <t>1764673997203.jpg</t>
  </si>
  <si>
    <t>https://eu.kobotoolbox.org/api/v2/assets/asidN676GwD9kVUoocseLY/data/729030312/attachments/att2pHZDUjy8VkN5y6uC2Q9J/</t>
  </si>
  <si>
    <t>1764674050453.jpg</t>
  </si>
  <si>
    <t>https://eu.kobotoolbox.org/api/v2/assets/asidN676GwD9kVUoocseLY/data/729030312/attachments/attLT5uXPyMSWvxeuygVbFmz/</t>
  </si>
  <si>
    <t>1764674070270.jpg</t>
  </si>
  <si>
    <t>https://eu.kobotoolbox.org/api/v2/assets/asidN676GwD9kVUoocseLY/data/729030312/attachments/attsHEpnUbEJHRSmcgQS3BeY/</t>
  </si>
  <si>
    <t>1764674093934.jpg</t>
  </si>
  <si>
    <t>https://eu.kobotoolbox.org/api/v2/assets/asidN676GwD9kVUoocseLY/data/729030312/attachments/attqiRpVPAozwDNGHYQuDjdg/</t>
  </si>
  <si>
    <t>155</t>
  </si>
  <si>
    <t>عبد الغني</t>
  </si>
  <si>
    <t>خالد</t>
  </si>
  <si>
    <t>فايزة بدوي نوح</t>
  </si>
  <si>
    <t>1764666117370.jpg</t>
  </si>
  <si>
    <t>https://eu.kobotoolbox.org/api/v2/assets/asidN676GwD9kVUoocseLY/data/729038332/attachments/attegRMdVThjkPZC7keH4fxu/</t>
  </si>
  <si>
    <t>1764666129921.jpg</t>
  </si>
  <si>
    <t>https://eu.kobotoolbox.org/api/v2/assets/asidN676GwD9kVUoocseLY/data/729038332/attachments/attryDKKTqTiBpsuuytWJmFY/</t>
  </si>
  <si>
    <t>مزرعة آخر شارع الحمام</t>
  </si>
  <si>
    <t>1764666738371.jpg</t>
  </si>
  <si>
    <t>https://eu.kobotoolbox.org/api/v2/assets/asidN676GwD9kVUoocseLY/data/729038332/attachments/attGqzUWuQ8Hmrm4UvwgomAn/</t>
  </si>
  <si>
    <t>1764666985766.jpg</t>
  </si>
  <si>
    <t>https://eu.kobotoolbox.org/api/v2/assets/asidN676GwD9kVUoocseLY/data/729038332/attachments/att9dZ2RFCe6re5Z5U7cUT2J/</t>
  </si>
  <si>
    <t>1764666998598.jpg</t>
  </si>
  <si>
    <t>https://eu.kobotoolbox.org/api/v2/assets/asidN676GwD9kVUoocseLY/data/729038332/attachments/attBtRS9sdfAqSPowvsryYBM/</t>
  </si>
  <si>
    <t>1764667013731.jpg</t>
  </si>
  <si>
    <t>https://eu.kobotoolbox.org/api/v2/assets/asidN676GwD9kVUoocseLY/data/729038332/attachments/attQQreaHCd7scvyoYL8aAEK/</t>
  </si>
  <si>
    <t>1764667025390.jpg</t>
  </si>
  <si>
    <t>https://eu.kobotoolbox.org/api/v2/assets/asidN676GwD9kVUoocseLY/data/729038332/attachments/att8huKwPFkbev7p8LJraduY/</t>
  </si>
  <si>
    <t>1764667041916.jpg</t>
  </si>
  <si>
    <t>https://eu.kobotoolbox.org/api/v2/assets/asidN676GwD9kVUoocseLY/data/729038332/attachments/attXfm9HoGyuCimayKe3HtsF/</t>
  </si>
  <si>
    <t>1764667054412.jpg</t>
  </si>
  <si>
    <t>https://eu.kobotoolbox.org/api/v2/assets/asidN676GwD9kVUoocseLY/data/729038332/attachments/attsFkQVedazuBwNhmV6bYxU/</t>
  </si>
  <si>
    <t>1764667061689.jpg</t>
  </si>
  <si>
    <t>https://eu.kobotoolbox.org/api/v2/assets/asidN676GwD9kVUoocseLY/data/729038332/attachments/att3MMEvXYtLDGc93ZALVw7D/</t>
  </si>
  <si>
    <t>256</t>
  </si>
  <si>
    <t>مصطفى</t>
  </si>
  <si>
    <t>نور محمود الحمصي</t>
  </si>
  <si>
    <t>1764670461045.jpg</t>
  </si>
  <si>
    <t>https://eu.kobotoolbox.org/api/v2/assets/asidN676GwD9kVUoocseLY/data/729047968/attachments/attoR3KsWKfwhEUZBbQCUw8X/</t>
  </si>
  <si>
    <t>1764670472142.jpg</t>
  </si>
  <si>
    <t>https://eu.kobotoolbox.org/api/v2/assets/asidN676GwD9kVUoocseLY/data/729047968/attachments/att64RB3P4ttuVLJGJv7FLKM/</t>
  </si>
  <si>
    <t>مزرعة حارة الحمام</t>
  </si>
  <si>
    <t>1764670965313.jpg</t>
  </si>
  <si>
    <t>https://eu.kobotoolbox.org/api/v2/assets/asidN676GwD9kVUoocseLY/data/729047968/attachments/att6knGrpVvR8PMFy8CAPrBr/</t>
  </si>
  <si>
    <t>1764670991148.jpg</t>
  </si>
  <si>
    <t>https://eu.kobotoolbox.org/api/v2/assets/asidN676GwD9kVUoocseLY/data/729047968/attachments/atttYWfmcsZFgG9gw8mAASc4/</t>
  </si>
  <si>
    <t>1764671011869.jpg</t>
  </si>
  <si>
    <t>https://eu.kobotoolbox.org/api/v2/assets/asidN676GwD9kVUoocseLY/data/729047968/attachments/attzXAnN2gTn3nec2uCEGTrL/</t>
  </si>
  <si>
    <t>1764671034332.jpg</t>
  </si>
  <si>
    <t>https://eu.kobotoolbox.org/api/v2/assets/asidN676GwD9kVUoocseLY/data/729047968/attachments/attcVx4vfYnuJotqRZVjsSgv/</t>
  </si>
  <si>
    <t>1764671060662.jpg</t>
  </si>
  <si>
    <t>https://eu.kobotoolbox.org/api/v2/assets/asidN676GwD9kVUoocseLY/data/729047968/attachments/attaYgCTFsxp3mHGVWYojR67/</t>
  </si>
  <si>
    <t>1764671074653.jpg</t>
  </si>
  <si>
    <t>https://eu.kobotoolbox.org/api/v2/assets/asidN676GwD9kVUoocseLY/data/729047968/attachments/attVb4BEh3zkYVSno28DpeNi/</t>
  </si>
  <si>
    <t>1764671089407.jpg</t>
  </si>
  <si>
    <t>https://eu.kobotoolbox.org/api/v2/assets/asidN676GwD9kVUoocseLY/data/729047968/attachments/attQS85yZko5DAaLM7i53NFr/</t>
  </si>
  <si>
    <t>1764671102707.jpg</t>
  </si>
  <si>
    <t>https://eu.kobotoolbox.org/api/v2/assets/asidN676GwD9kVUoocseLY/data/729047968/attachments/attWRzifRTDacdm3XMVZhtrZ/</t>
  </si>
  <si>
    <t>154</t>
  </si>
  <si>
    <t>ماهر</t>
  </si>
  <si>
    <t>صباح</t>
  </si>
  <si>
    <t>نور ريحان</t>
  </si>
  <si>
    <t>1764748237289.jpg</t>
  </si>
  <si>
    <t>https://eu.kobotoolbox.org/api/v2/assets/asidN676GwD9kVUoocseLY/data/729092173/attachments/attbVfa5Mop9b4F65vH8meGz/</t>
  </si>
  <si>
    <t>1764748311563.jpg</t>
  </si>
  <si>
    <t>https://eu.kobotoolbox.org/api/v2/assets/asidN676GwD9kVUoocseLY/data/729092173/attachments/attmh6na2Trt9DZEvdSMfUqr/</t>
  </si>
  <si>
    <t>مزرعة شارع الحمام</t>
  </si>
  <si>
    <t>شارع الحمام</t>
  </si>
  <si>
    <t>1764748798085.jpg</t>
  </si>
  <si>
    <t>https://eu.kobotoolbox.org/api/v2/assets/asidN676GwD9kVUoocseLY/data/729092173/attachments/attALgJy3PiHaS4a3K5snumd/</t>
  </si>
  <si>
    <t>1764748811152.jpg</t>
  </si>
  <si>
    <t>https://eu.kobotoolbox.org/api/v2/assets/asidN676GwD9kVUoocseLY/data/729092173/attachments/attccoxVPJRnjHn5X7kxEbmE/</t>
  </si>
  <si>
    <t>1764748824188.jpg</t>
  </si>
  <si>
    <t>https://eu.kobotoolbox.org/api/v2/assets/asidN676GwD9kVUoocseLY/data/729092173/attachments/attDZho36KJNBCDNVNdTiHGQ/</t>
  </si>
  <si>
    <t>1764748852808.jpg</t>
  </si>
  <si>
    <t>https://eu.kobotoolbox.org/api/v2/assets/asidN676GwD9kVUoocseLY/data/729092173/attachments/attLmKH57RUMuqeM4p8Pihe8/</t>
  </si>
  <si>
    <t>1764748866719.jpg</t>
  </si>
  <si>
    <t>https://eu.kobotoolbox.org/api/v2/assets/asidN676GwD9kVUoocseLY/data/729092173/attachments/attXD6Q5mo4MaYbJAsKPhqb2/</t>
  </si>
  <si>
    <t>1764748896911.jpg</t>
  </si>
  <si>
    <t>https://eu.kobotoolbox.org/api/v2/assets/asidN676GwD9kVUoocseLY/data/729092173/attachments/attcV9kqRUrfAaajCupuaEXM/</t>
  </si>
  <si>
    <t>1764748930755.jpg</t>
  </si>
  <si>
    <t>https://eu.kobotoolbox.org/api/v2/assets/asidN676GwD9kVUoocseLY/data/729092173/attachments/attzmjcL4zJBrn4pN7rdoh4M/</t>
  </si>
  <si>
    <t>1764748952303.jpg</t>
  </si>
  <si>
    <t>https://eu.kobotoolbox.org/api/v2/assets/asidN676GwD9kVUoocseLY/data/729092173/attachments/att3zxJwLZ5qiACgGkQket8T/</t>
  </si>
  <si>
    <t>259</t>
  </si>
  <si>
    <t>بدوي</t>
  </si>
  <si>
    <t>سحر</t>
  </si>
  <si>
    <t>هدية مامون ادريس</t>
  </si>
  <si>
    <t>1764750098985.jpg</t>
  </si>
  <si>
    <t>https://eu.kobotoolbox.org/api/v2/assets/asidN676GwD9kVUoocseLY/data/729093801/attachments/attbDD3aUinq9hULhcCooALD/</t>
  </si>
  <si>
    <t>1764750134012.jpg</t>
  </si>
  <si>
    <t>https://eu.kobotoolbox.org/api/v2/assets/asidN676GwD9kVUoocseLY/data/729093801/attachments/attp4zngC25RUQXXyr9C4mAw/</t>
  </si>
  <si>
    <t>1764750564834.jpg</t>
  </si>
  <si>
    <t>https://eu.kobotoolbox.org/api/v2/assets/asidN676GwD9kVUoocseLY/data/729093801/attachments/attMyHGmxh3QjdGA7vJbTyvm/</t>
  </si>
  <si>
    <t>1764750581196.jpg</t>
  </si>
  <si>
    <t>https://eu.kobotoolbox.org/api/v2/assets/asidN676GwD9kVUoocseLY/data/729093801/attachments/attdVvSyEeLbKxCkMszGLcuG/</t>
  </si>
  <si>
    <t>1764750595781.jpg</t>
  </si>
  <si>
    <t>https://eu.kobotoolbox.org/api/v2/assets/asidN676GwD9kVUoocseLY/data/729093801/attachments/attJdKtsoSrufSzyYU5vvkmf/</t>
  </si>
  <si>
    <t>1764750614015.jpg</t>
  </si>
  <si>
    <t>https://eu.kobotoolbox.org/api/v2/assets/asidN676GwD9kVUoocseLY/data/729093801/attachments/attxd9cBSfVjmpeCrs2syKZS/</t>
  </si>
  <si>
    <t>1764750630221.jpg</t>
  </si>
  <si>
    <t>https://eu.kobotoolbox.org/api/v2/assets/asidN676GwD9kVUoocseLY/data/729093801/attachments/att6xiSs2ipnKJNHD2kdLtnD/</t>
  </si>
  <si>
    <t>1764750652175.jpg</t>
  </si>
  <si>
    <t>https://eu.kobotoolbox.org/api/v2/assets/asidN676GwD9kVUoocseLY/data/729093801/attachments/attJGHp37cwAhLPvVH2eTygR/</t>
  </si>
  <si>
    <t>1764750678604.jpg</t>
  </si>
  <si>
    <t>https://eu.kobotoolbox.org/api/v2/assets/asidN676GwD9kVUoocseLY/data/729093801/attachments/attbMzS3By4NciLfqy74JB5p/</t>
  </si>
  <si>
    <t>1764750693494.jpg</t>
  </si>
  <si>
    <t>https://eu.kobotoolbox.org/api/v2/assets/asidN676GwD9kVUoocseLY/data/729093801/attachments/attykEnHc4exiyMbVJViofCj/</t>
  </si>
  <si>
    <t>42</t>
  </si>
  <si>
    <t>نعيم</t>
  </si>
  <si>
    <t>محمد صبحي</t>
  </si>
  <si>
    <t>قشيط</t>
  </si>
  <si>
    <t>أمية شريفي</t>
  </si>
  <si>
    <t>راما عبدالحميد قشيط</t>
  </si>
  <si>
    <t>1764750308146.jpg</t>
  </si>
  <si>
    <t>https://eu.kobotoolbox.org/api/v2/assets/asidN676GwD9kVUoocseLY/data/729124582/attachments/atto2CcJpjaSLmpNgwoctChv/</t>
  </si>
  <si>
    <t>1764750321300.jpg</t>
  </si>
  <si>
    <t>https://eu.kobotoolbox.org/api/v2/assets/asidN676GwD9kVUoocseLY/data/729124582/attachments/att9Zok2UYUefPzw88VtCSUd/</t>
  </si>
  <si>
    <t>إدلب</t>
  </si>
  <si>
    <t>معرة النعمان</t>
  </si>
  <si>
    <t>مركز معرة النعمان</t>
  </si>
  <si>
    <t>الحارة الشرقية ،جانب جامع الحسين</t>
  </si>
  <si>
    <t>ربو</t>
  </si>
  <si>
    <t>معرة النعمان ،الحارة الشرقية ،جانب جامع الحسين</t>
  </si>
  <si>
    <t>1764750570104.jpg</t>
  </si>
  <si>
    <t>https://eu.kobotoolbox.org/api/v2/assets/asidN676GwD9kVUoocseLY/data/729124582/attachments/att7xTW2z5sEoGZ92VRFqgLK/</t>
  </si>
  <si>
    <t>1764750578031.jpg</t>
  </si>
  <si>
    <t>https://eu.kobotoolbox.org/api/v2/assets/asidN676GwD9kVUoocseLY/data/729124582/attachments/attcJKRs8n5QVQzvrAA3qd5B/</t>
  </si>
  <si>
    <t>1764750591825.jpg</t>
  </si>
  <si>
    <t>https://eu.kobotoolbox.org/api/v2/assets/asidN676GwD9kVUoocseLY/data/729124582/attachments/attdxfduoZwzgmkuiMRfdrbj/</t>
  </si>
  <si>
    <t>1764750639806.jpg</t>
  </si>
  <si>
    <t>https://eu.kobotoolbox.org/api/v2/assets/asidN676GwD9kVUoocseLY/data/729124582/attachments/attaErJ6Bd96JQ2ueZrjEZmB/</t>
  </si>
  <si>
    <t>1764750598334.jpg</t>
  </si>
  <si>
    <t>https://eu.kobotoolbox.org/api/v2/assets/asidN676GwD9kVUoocseLY/data/729124582/attachments/attWgmqVoHU5damFz6kGNKYT/</t>
  </si>
  <si>
    <t>1764750654166.jpg</t>
  </si>
  <si>
    <t>https://eu.kobotoolbox.org/api/v2/assets/asidN676GwD9kVUoocseLY/data/729124582/attachments/attw7VZxtMZuigdbWXJmSFaz/</t>
  </si>
  <si>
    <t>1764750606454.jpg</t>
  </si>
  <si>
    <t>https://eu.kobotoolbox.org/api/v2/assets/asidN676GwD9kVUoocseLY/data/729124582/attachments/attqgBBatDQRCF2HzKkBdNS9/</t>
  </si>
  <si>
    <t>1764750617142.jpg</t>
  </si>
  <si>
    <t>https://eu.kobotoolbox.org/api/v2/assets/asidN676GwD9kVUoocseLY/data/729124582/attachments/attxYDDbnDWUccprkjBJhSUC/</t>
  </si>
  <si>
    <t xml:space="preserve">باسم </t>
  </si>
  <si>
    <t>عبدالرزاق</t>
  </si>
  <si>
    <t>السعيد</t>
  </si>
  <si>
    <t>أمون قشيط</t>
  </si>
  <si>
    <t>فرح محمد قشيط</t>
  </si>
  <si>
    <t>بيان عائلي</t>
  </si>
  <si>
    <t>1764751454630.jpg</t>
  </si>
  <si>
    <t>https://eu.kobotoolbox.org/api/v2/assets/asidN676GwD9kVUoocseLY/data/729127190/attachments/attHAUzeLPvhobpcd3BpqPny/</t>
  </si>
  <si>
    <t>1764751490657.jpg</t>
  </si>
  <si>
    <t>https://eu.kobotoolbox.org/api/v2/assets/asidN676GwD9kVUoocseLY/data/729127190/attachments/atteJLgEoBq65qbLy88smdgJ/</t>
  </si>
  <si>
    <t>معرة النعمان ، الحارة الشرقية ، غرب جامع القشيط 100متر</t>
  </si>
  <si>
    <t>إدلب ،معرة النعمان ،الحارة الشرقية ،غرب جامع القشيط 100متر</t>
  </si>
  <si>
    <t>1764752153105.jpg</t>
  </si>
  <si>
    <t>https://eu.kobotoolbox.org/api/v2/assets/asidN676GwD9kVUoocseLY/data/729127190/attachments/attNkhdWMmLUKjMrhN8Unwqf/</t>
  </si>
  <si>
    <t>1764752169247.jpg</t>
  </si>
  <si>
    <t>https://eu.kobotoolbox.org/api/v2/assets/asidN676GwD9kVUoocseLY/data/729127190/attachments/attiPwSyS4Zifj6W9ZqHgNav/</t>
  </si>
  <si>
    <t>1764752184760.jpg</t>
  </si>
  <si>
    <t>https://eu.kobotoolbox.org/api/v2/assets/asidN676GwD9kVUoocseLY/data/729127190/attachments/attTtzCkxC9qefcbv4BM6eSC/</t>
  </si>
  <si>
    <t>1764752207674.jpg</t>
  </si>
  <si>
    <t>https://eu.kobotoolbox.org/api/v2/assets/asidN676GwD9kVUoocseLY/data/729127190/attachments/attZ7zhmoWVxaZH5NkmkNgoG/</t>
  </si>
  <si>
    <t>1764752222533.jpg</t>
  </si>
  <si>
    <t>https://eu.kobotoolbox.org/api/v2/assets/asidN676GwD9kVUoocseLY/data/729127190/attachments/attgiCp6SXTfMSVUAKSmjbgH/</t>
  </si>
  <si>
    <t>1764752263605.jpg</t>
  </si>
  <si>
    <t>https://eu.kobotoolbox.org/api/v2/assets/asidN676GwD9kVUoocseLY/data/729127190/attachments/attWrLT8vsEEKKoruAQUr5io/</t>
  </si>
  <si>
    <t>1764752284764.jpg</t>
  </si>
  <si>
    <t>https://eu.kobotoolbox.org/api/v2/assets/asidN676GwD9kVUoocseLY/data/729127190/attachments/attBfERCsrcqrpdM4NupnDLA/</t>
  </si>
  <si>
    <t>1764752297686.jpg</t>
  </si>
  <si>
    <t>https://eu.kobotoolbox.org/api/v2/assets/asidN676GwD9kVUoocseLY/data/729127190/attachments/atto365nLpB5xeSwfSR4kjXv/</t>
  </si>
  <si>
    <t>لايوجد</t>
  </si>
  <si>
    <t>إبراهيم</t>
  </si>
  <si>
    <t>العدل</t>
  </si>
  <si>
    <t>أحلام اليوسف</t>
  </si>
  <si>
    <t>غزل أحمد ملليشو</t>
  </si>
  <si>
    <t>1764754578526.jpg</t>
  </si>
  <si>
    <t>https://eu.kobotoolbox.org/api/v2/assets/asidN676GwD9kVUoocseLY/data/729127430/attachments/attoNJHFHrdQRnn3vD9BPHoU/</t>
  </si>
  <si>
    <t>1764754590143.jpg</t>
  </si>
  <si>
    <t>https://eu.kobotoolbox.org/api/v2/assets/asidN676GwD9kVUoocseLY/data/729127430/attachments/att9jiQrfuFieaS7XELR9miU/</t>
  </si>
  <si>
    <t>مركز معرة النعمان ،الحارة الشرقية جانب جامع الحسين</t>
  </si>
  <si>
    <t>إلتهاب كبد B</t>
  </si>
  <si>
    <t>1764755043463.jpg</t>
  </si>
  <si>
    <t>https://eu.kobotoolbox.org/api/v2/assets/asidN676GwD9kVUoocseLY/data/729127430/attachments/attW3ReTkG4WLpEZQh6RpYYc/</t>
  </si>
  <si>
    <t>1764755063229.jpg</t>
  </si>
  <si>
    <t>https://eu.kobotoolbox.org/api/v2/assets/asidN676GwD9kVUoocseLY/data/729127430/attachments/attkHLLdziqiMgXENv8qP3ve/</t>
  </si>
  <si>
    <t>1764755081316.jpg</t>
  </si>
  <si>
    <t>https://eu.kobotoolbox.org/api/v2/assets/asidN676GwD9kVUoocseLY/data/729127430/attachments/attqfN9ofpTfVjXQnU8N3cJH/</t>
  </si>
  <si>
    <t>1764755093307.jpg</t>
  </si>
  <si>
    <t>https://eu.kobotoolbox.org/api/v2/assets/asidN676GwD9kVUoocseLY/data/729127430/attachments/attoA9kux6wDoomE7RnveMMz/</t>
  </si>
  <si>
    <t>1764755106265.jpg</t>
  </si>
  <si>
    <t>https://eu.kobotoolbox.org/api/v2/assets/asidN676GwD9kVUoocseLY/data/729127430/attachments/attMTMFtyjkYmqDL3e7TxmjN/</t>
  </si>
  <si>
    <t>1764755130212.jpg</t>
  </si>
  <si>
    <t>https://eu.kobotoolbox.org/api/v2/assets/asidN676GwD9kVUoocseLY/data/729127430/attachments/attz4cVb54Q47ckA7kRtjPoL/</t>
  </si>
  <si>
    <t>1764755177197.jpg</t>
  </si>
  <si>
    <t>https://eu.kobotoolbox.org/api/v2/assets/asidN676GwD9kVUoocseLY/data/729127430/attachments/attoqwPKwYjDuiPbpkHPphd9/</t>
  </si>
  <si>
    <t>1764755186243.jpg</t>
  </si>
  <si>
    <t>https://eu.kobotoolbox.org/api/v2/assets/asidN676GwD9kVUoocseLY/data/729127430/attachments/attNeQGqhmheEDizGKDmKuio/</t>
  </si>
  <si>
    <t>عمر</t>
  </si>
  <si>
    <t>نور ياسين البزرة</t>
  </si>
  <si>
    <t>مجلس محلي</t>
  </si>
  <si>
    <t>1764751561627.jpg</t>
  </si>
  <si>
    <t>https://eu.kobotoolbox.org/api/v2/assets/asidN676GwD9kVUoocseLY/data/729131660/attachments/att7hXkyWWBnLooJVt5FsonJ/</t>
  </si>
  <si>
    <t>1764751583531.jpg</t>
  </si>
  <si>
    <t>https://eu.kobotoolbox.org/api/v2/assets/asidN676GwD9kVUoocseLY/data/729131660/attachments/attoQdWod7YwMh8Xogm2vELt/</t>
  </si>
  <si>
    <t>مزرعة شارح الحمام</t>
  </si>
  <si>
    <t>1764752054251.jpg</t>
  </si>
  <si>
    <t>https://eu.kobotoolbox.org/api/v2/assets/asidN676GwD9kVUoocseLY/data/729131660/attachments/attYSZtzKMnzBGVaxtPxMZTW/</t>
  </si>
  <si>
    <t>1764752073493.jpg</t>
  </si>
  <si>
    <t>https://eu.kobotoolbox.org/api/v2/assets/asidN676GwD9kVUoocseLY/data/729131660/attachments/attsx7PwHwes5BRMDmScGk2e/</t>
  </si>
  <si>
    <t>1764752091144.jpg</t>
  </si>
  <si>
    <t>https://eu.kobotoolbox.org/api/v2/assets/asidN676GwD9kVUoocseLY/data/729131660/attachments/attaBYFwZABJDpKQFjJSsBR5/</t>
  </si>
  <si>
    <t>1764752119050.jpg</t>
  </si>
  <si>
    <t>https://eu.kobotoolbox.org/api/v2/assets/asidN676GwD9kVUoocseLY/data/729131660/attachments/attSrUn2zXfm7eAZpNWZ6oaB/</t>
  </si>
  <si>
    <t>1764752129576.jpg</t>
  </si>
  <si>
    <t>https://eu.kobotoolbox.org/api/v2/assets/asidN676GwD9kVUoocseLY/data/729131660/attachments/attFr4iHt4Soit3CWngYDsjB/</t>
  </si>
  <si>
    <t>1764752151345.jpg</t>
  </si>
  <si>
    <t>https://eu.kobotoolbox.org/api/v2/assets/asidN676GwD9kVUoocseLY/data/729131660/attachments/attopGKXxD7c97CYE9XAiRVV/</t>
  </si>
  <si>
    <t>1764752178732.jpg</t>
  </si>
  <si>
    <t>https://eu.kobotoolbox.org/api/v2/assets/asidN676GwD9kVUoocseLY/data/729131660/attachments/attupB4yy7NFnMMnsi7GNm2h/</t>
  </si>
  <si>
    <t>1764752201183.jpg</t>
  </si>
  <si>
    <t>https://eu.kobotoolbox.org/api/v2/assets/asidN676GwD9kVUoocseLY/data/729131660/attachments/attQHDaTKXJsmE3CpFdWCrEf/</t>
  </si>
  <si>
    <t>88</t>
  </si>
  <si>
    <t>عبد الرحمن</t>
  </si>
  <si>
    <t>1764752915438.jpg</t>
  </si>
  <si>
    <t>https://eu.kobotoolbox.org/api/v2/assets/asidN676GwD9kVUoocseLY/data/729140372/attachments/attYPHxXgTBDvVUr437SWsbk/</t>
  </si>
  <si>
    <t>1764752931406.jpg</t>
  </si>
  <si>
    <t>https://eu.kobotoolbox.org/api/v2/assets/asidN676GwD9kVUoocseLY/data/729140372/attachments/attarMJSQP2TGyS3TY35Gcnn/</t>
  </si>
  <si>
    <t>1764753438099.jpg</t>
  </si>
  <si>
    <t>https://eu.kobotoolbox.org/api/v2/assets/asidN676GwD9kVUoocseLY/data/729140372/attachments/attQu6P9Qzupwoee6JqmzkPa/</t>
  </si>
  <si>
    <t>1764753460127.jpg</t>
  </si>
  <si>
    <t>https://eu.kobotoolbox.org/api/v2/assets/asidN676GwD9kVUoocseLY/data/729140372/attachments/attErRg4XnBNp7W7wQaiWPwm/</t>
  </si>
  <si>
    <t>1764753471576.jpg</t>
  </si>
  <si>
    <t>https://eu.kobotoolbox.org/api/v2/assets/asidN676GwD9kVUoocseLY/data/729140372/attachments/att5zY8WUTQ74emRsfjnMJ4t/</t>
  </si>
  <si>
    <t>1764753497564.jpg</t>
  </si>
  <si>
    <t>https://eu.kobotoolbox.org/api/v2/assets/asidN676GwD9kVUoocseLY/data/729140372/attachments/attLYFbgGhcuWNG42NdyDjjh/</t>
  </si>
  <si>
    <t>1764753519625.jpg</t>
  </si>
  <si>
    <t>https://eu.kobotoolbox.org/api/v2/assets/asidN676GwD9kVUoocseLY/data/729140372/attachments/attarmGwL8mGpKBztwf4pH4D/</t>
  </si>
  <si>
    <t>1764753542769.jpg</t>
  </si>
  <si>
    <t>https://eu.kobotoolbox.org/api/v2/assets/asidN676GwD9kVUoocseLY/data/729140372/attachments/attqUbSsnYKyxcQiGbfuquSY/</t>
  </si>
  <si>
    <t>1764753563907.jpg</t>
  </si>
  <si>
    <t>https://eu.kobotoolbox.org/api/v2/assets/asidN676GwD9kVUoocseLY/data/729140372/attachments/att8KGT5wHAwtckJMJegYXXt/</t>
  </si>
  <si>
    <t>1764753575573.jpg</t>
  </si>
  <si>
    <t>https://eu.kobotoolbox.org/api/v2/assets/asidN676GwD9kVUoocseLY/data/729140372/attachments/attuZmLdVq8GPYGagC8679zJ/</t>
  </si>
  <si>
    <t>41</t>
  </si>
  <si>
    <t>زهير</t>
  </si>
  <si>
    <t>الزيبق</t>
  </si>
  <si>
    <t>نعمة دياتي</t>
  </si>
  <si>
    <t>هيفاء حسن شحادة</t>
  </si>
  <si>
    <t>1764755554307.jpg</t>
  </si>
  <si>
    <t>https://eu.kobotoolbox.org/api/v2/assets/asidN676GwD9kVUoocseLY/data/729141169/attachments/attSwqrieJRDXzYpPQusohQq/</t>
  </si>
  <si>
    <t>1764755571920.jpg</t>
  </si>
  <si>
    <t>https://eu.kobotoolbox.org/api/v2/assets/asidN676GwD9kVUoocseLY/data/729141169/attachments/attN4zmKhTqT7E9fvDLMSpNK/</t>
  </si>
  <si>
    <t>المزرعة شارع الحمام</t>
  </si>
  <si>
    <t>1764756018515.jpg</t>
  </si>
  <si>
    <t>https://eu.kobotoolbox.org/api/v2/assets/asidN676GwD9kVUoocseLY/data/729141169/attachments/attP3yGVTrVrWsbD8WPncBbC/</t>
  </si>
  <si>
    <t>1764756036924.jpg</t>
  </si>
  <si>
    <t>https://eu.kobotoolbox.org/api/v2/assets/asidN676GwD9kVUoocseLY/data/729141169/attachments/attvU7vSvnAfPptUpxSTNh6X/</t>
  </si>
  <si>
    <t>1764756053251.jpg</t>
  </si>
  <si>
    <t>https://eu.kobotoolbox.org/api/v2/assets/asidN676GwD9kVUoocseLY/data/729141169/attachments/att9sgEZEFktu8x7Hzz9Ee3F/</t>
  </si>
  <si>
    <t>1764756065023.jpg</t>
  </si>
  <si>
    <t>https://eu.kobotoolbox.org/api/v2/assets/asidN676GwD9kVUoocseLY/data/729141169/attachments/att92otKCzgdVyyXTmbvCtRD/</t>
  </si>
  <si>
    <t>1764756142797.jpg</t>
  </si>
  <si>
    <t>https://eu.kobotoolbox.org/api/v2/assets/asidN676GwD9kVUoocseLY/data/729141169/attachments/atteErKXhAgdHnTsjMuEv4fP/</t>
  </si>
  <si>
    <t>1764756177517.jpg</t>
  </si>
  <si>
    <t>https://eu.kobotoolbox.org/api/v2/assets/asidN676GwD9kVUoocseLY/data/729141169/attachments/att2jcdaPLpwzjThacaHK25r/</t>
  </si>
  <si>
    <t>1764756201416.jpg</t>
  </si>
  <si>
    <t>https://eu.kobotoolbox.org/api/v2/assets/asidN676GwD9kVUoocseLY/data/729141169/attachments/attyG7kcMnBTeXuNaDsXnjUc/</t>
  </si>
  <si>
    <t>1764756216733.jpg</t>
  </si>
  <si>
    <t>https://eu.kobotoolbox.org/api/v2/assets/asidN676GwD9kVUoocseLY/data/729141169/attachments/attvFgC2HwYtVtVCj6iZjWzh/</t>
  </si>
  <si>
    <t>59</t>
  </si>
  <si>
    <t>سالم</t>
  </si>
  <si>
    <t>العربيني</t>
  </si>
  <si>
    <t>خديجة عبده الدباس</t>
  </si>
  <si>
    <t>1764758166475.jpg</t>
  </si>
  <si>
    <t>https://eu.kobotoolbox.org/api/v2/assets/asidN676GwD9kVUoocseLY/data/729168770/attachments/attzXCyegSEYiyaKfhaF9qoe/</t>
  </si>
  <si>
    <t>1764758127737.jpg</t>
  </si>
  <si>
    <t>https://eu.kobotoolbox.org/api/v2/assets/asidN676GwD9kVUoocseLY/data/729168770/attachments/attKjNvHLG3CPJuJ5z3uaeGA/</t>
  </si>
  <si>
    <t>المزرعة قرب مسجد التوفيق</t>
  </si>
  <si>
    <t>1764758710775.jpg</t>
  </si>
  <si>
    <t>https://eu.kobotoolbox.org/api/v2/assets/asidN676GwD9kVUoocseLY/data/729168770/attachments/attQFRLrc9CqnaDbCALNvjGV/</t>
  </si>
  <si>
    <t>1764758728416.jpg</t>
  </si>
  <si>
    <t>https://eu.kobotoolbox.org/api/v2/assets/asidN676GwD9kVUoocseLY/data/729168770/attachments/atthzEtzeanmLgDjWQzFpNSs/</t>
  </si>
  <si>
    <t>1764758743157.jpg</t>
  </si>
  <si>
    <t>https://eu.kobotoolbox.org/api/v2/assets/asidN676GwD9kVUoocseLY/data/729168770/attachments/attCvcwNUP7fwYVP6Xrom7RG/</t>
  </si>
  <si>
    <t>1764758763264.jpg</t>
  </si>
  <si>
    <t>https://eu.kobotoolbox.org/api/v2/assets/asidN676GwD9kVUoocseLY/data/729168770/attachments/attMdxAqubsrd5tqLgU6SCzK/</t>
  </si>
  <si>
    <t>1764758780917.jpg</t>
  </si>
  <si>
    <t>https://eu.kobotoolbox.org/api/v2/assets/asidN676GwD9kVUoocseLY/data/729168770/attachments/attmHoi6xURcuzR2c6vscAVq/</t>
  </si>
  <si>
    <t>1764758836427.jpg</t>
  </si>
  <si>
    <t>https://eu.kobotoolbox.org/api/v2/assets/asidN676GwD9kVUoocseLY/data/729168770/attachments/attKM7jJQ4trTCtZ7vNjkVEX/</t>
  </si>
  <si>
    <t>1764758855608.jpg</t>
  </si>
  <si>
    <t>https://eu.kobotoolbox.org/api/v2/assets/asidN676GwD9kVUoocseLY/data/729168770/attachments/attSm46sbMzzu8c9yzfTaMZ3/</t>
  </si>
  <si>
    <t>1764758886940.jpg</t>
  </si>
  <si>
    <t>https://eu.kobotoolbox.org/api/v2/assets/asidN676GwD9kVUoocseLY/data/729168770/attachments/atty3QPfiXXzaVi3E6HKyuDq/</t>
  </si>
  <si>
    <t>286</t>
  </si>
  <si>
    <t>زياد</t>
  </si>
  <si>
    <t>رشا حسين مصطفى</t>
  </si>
  <si>
    <t>1764751367861.jpg</t>
  </si>
  <si>
    <t>https://eu.kobotoolbox.org/api/v2/assets/asidN676GwD9kVUoocseLY/data/729172261/attachments/attBxviaPCyeHj8pG2KHuzdw/</t>
  </si>
  <si>
    <t>1764751383958.jpg</t>
  </si>
  <si>
    <t>https://eu.kobotoolbox.org/api/v2/assets/asidN676GwD9kVUoocseLY/data/729172261/attachments/att4SKuQF9d6eu9KLfHRQ3JB/</t>
  </si>
  <si>
    <t>الحي الشرقي جانب جامع الحسين 
D03-331</t>
  </si>
  <si>
    <t>1764751634225.jpg</t>
  </si>
  <si>
    <t>https://eu.kobotoolbox.org/api/v2/assets/asidN676GwD9kVUoocseLY/data/729172261/attachments/attKfgVnLnRD2U7RycDZpcFv/</t>
  </si>
  <si>
    <t>1764751720271.jpg</t>
  </si>
  <si>
    <t>https://eu.kobotoolbox.org/api/v2/assets/asidN676GwD9kVUoocseLY/data/729172261/attachments/attHh79Y2eqLz9ShTckrpnYm/</t>
  </si>
  <si>
    <t>1764751738856.jpg</t>
  </si>
  <si>
    <t>https://eu.kobotoolbox.org/api/v2/assets/asidN676GwD9kVUoocseLY/data/729172261/attachments/attpQvUmCtQBwMZXRpPGssuv/</t>
  </si>
  <si>
    <t>1764751747692.jpg</t>
  </si>
  <si>
    <t>https://eu.kobotoolbox.org/api/v2/assets/asidN676GwD9kVUoocseLY/data/729172261/attachments/attZYugPUKyoqcsC3ieLEDor/</t>
  </si>
  <si>
    <t>1764751756997.jpg</t>
  </si>
  <si>
    <t>https://eu.kobotoolbox.org/api/v2/assets/asidN676GwD9kVUoocseLY/data/729172261/attachments/attGF5JucieEjo82W9EANTS8/</t>
  </si>
  <si>
    <t>1764751770047.jpg</t>
  </si>
  <si>
    <t>https://eu.kobotoolbox.org/api/v2/assets/asidN676GwD9kVUoocseLY/data/729172261/attachments/attKPot2T3Q9iAT4bpd3yFN6/</t>
  </si>
  <si>
    <t>1764751830263.jpg</t>
  </si>
  <si>
    <t>https://eu.kobotoolbox.org/api/v2/assets/asidN676GwD9kVUoocseLY/data/729172261/attachments/attcKanJiUVggoFmc3qSVXAG/</t>
  </si>
  <si>
    <t>1764751845698.jpg</t>
  </si>
  <si>
    <t>https://eu.kobotoolbox.org/api/v2/assets/asidN676GwD9kVUoocseLY/data/729172261/attachments/attfnKtyMaRiYqrnW85RDgPK/</t>
  </si>
  <si>
    <t>1764752028929.jpg</t>
  </si>
  <si>
    <t>https://eu.kobotoolbox.org/api/v2/assets/asidN676GwD9kVUoocseLY/data/729172261/attachments/attGCFZUPe49rbxcAeaR9QFT/</t>
  </si>
  <si>
    <t>احمد</t>
  </si>
  <si>
    <t>نذير</t>
  </si>
  <si>
    <t>غرة</t>
  </si>
  <si>
    <t>منى احمد دباس</t>
  </si>
  <si>
    <t>بيان كاظم شمس</t>
  </si>
  <si>
    <t>1764761832373.jpg</t>
  </si>
  <si>
    <t>https://eu.kobotoolbox.org/api/v2/assets/asidN676GwD9kVUoocseLY/data/729174157/attachments/attFFwmd9WAFMKgxbi6TNxCv/</t>
  </si>
  <si>
    <t>1764761857171.jpg</t>
  </si>
  <si>
    <t>https://eu.kobotoolbox.org/api/v2/assets/asidN676GwD9kVUoocseLY/data/729174157/attachments/attJAUnjzWp9ALzGJQBvVXQR/</t>
  </si>
  <si>
    <t>مزرعة قرب مسجد التوفيق</t>
  </si>
  <si>
    <t>1764762324295.jpg</t>
  </si>
  <si>
    <t>https://eu.kobotoolbox.org/api/v2/assets/asidN676GwD9kVUoocseLY/data/729174157/attachments/attDQYc9aZ8hvhEcfco6BRTh/</t>
  </si>
  <si>
    <t>1764762336964.jpg</t>
  </si>
  <si>
    <t>https://eu.kobotoolbox.org/api/v2/assets/asidN676GwD9kVUoocseLY/data/729174157/attachments/attdwwMdfSeZaXn3BvktfXiG/</t>
  </si>
  <si>
    <t>1764762374203.jpg</t>
  </si>
  <si>
    <t>https://eu.kobotoolbox.org/api/v2/assets/asidN676GwD9kVUoocseLY/data/729174157/attachments/attHNj45tpZkQg4EpHjoqK6R/</t>
  </si>
  <si>
    <t>1764762390860.jpg</t>
  </si>
  <si>
    <t>https://eu.kobotoolbox.org/api/v2/assets/asidN676GwD9kVUoocseLY/data/729174157/attachments/attrct2aEdWFrpX8p3WjcsJQ/</t>
  </si>
  <si>
    <t>1764762401641.jpg</t>
  </si>
  <si>
    <t>https://eu.kobotoolbox.org/api/v2/assets/asidN676GwD9kVUoocseLY/data/729174157/attachments/attLvbojWrV75z2otjosZYj8/</t>
  </si>
  <si>
    <t>1764762413190.jpg</t>
  </si>
  <si>
    <t>https://eu.kobotoolbox.org/api/v2/assets/asidN676GwD9kVUoocseLY/data/729174157/attachments/attA9J6JZ7d38LRf3uTki2zW/</t>
  </si>
  <si>
    <t>1764762432345.jpg</t>
  </si>
  <si>
    <t>https://eu.kobotoolbox.org/api/v2/assets/asidN676GwD9kVUoocseLY/data/729174157/attachments/attTpybFwvFRHJsLkbiN3vPp/</t>
  </si>
  <si>
    <t>1764762444822.jpg</t>
  </si>
  <si>
    <t>https://eu.kobotoolbox.org/api/v2/assets/asidN676GwD9kVUoocseLY/data/729174157/attachments/attYQm8nHGaMeKX7eosHccne/</t>
  </si>
  <si>
    <t>99</t>
  </si>
  <si>
    <t>ايمان</t>
  </si>
  <si>
    <t>هشام</t>
  </si>
  <si>
    <t>ادريس</t>
  </si>
  <si>
    <t>صباح الشيخ</t>
  </si>
  <si>
    <t>1764755750916.jpg</t>
  </si>
  <si>
    <t>https://eu.kobotoolbox.org/api/v2/assets/asidN676GwD9kVUoocseLY/data/729176523/attachments/attD28LmXSJNVv6r4HwzVsZi/</t>
  </si>
  <si>
    <t>1764756048942.jpg</t>
  </si>
  <si>
    <t>https://eu.kobotoolbox.org/api/v2/assets/asidN676GwD9kVUoocseLY/data/729176523/attachments/attcytcBPryYgzuPG6Wy8Unp/</t>
  </si>
  <si>
    <t>زملكا-  ساحة الحافظ</t>
  </si>
  <si>
    <t>زملكا-المحتريق-جانب جامع الحسن</t>
  </si>
  <si>
    <t>1764756281300.jpg</t>
  </si>
  <si>
    <t>https://eu.kobotoolbox.org/api/v2/assets/asidN676GwD9kVUoocseLY/data/729176523/attachments/attFEtCoSbNYUWyMfUqGA9XW/</t>
  </si>
  <si>
    <t>1764756509049.jpg</t>
  </si>
  <si>
    <t>https://eu.kobotoolbox.org/api/v2/assets/asidN676GwD9kVUoocseLY/data/729176523/attachments/attwXd9F7cfnSnqWAmskBkK4/</t>
  </si>
  <si>
    <t>1764756517518.jpg</t>
  </si>
  <si>
    <t>https://eu.kobotoolbox.org/api/v2/assets/asidN676GwD9kVUoocseLY/data/729176523/attachments/attVqVzsamD4rtYrBCWNkPgY/</t>
  </si>
  <si>
    <t>1764756529174.jpg</t>
  </si>
  <si>
    <t>https://eu.kobotoolbox.org/api/v2/assets/asidN676GwD9kVUoocseLY/data/729176523/attachments/attJ62yk4FcDFg8E3QPc8DaK/</t>
  </si>
  <si>
    <t>1764756612000.jpg</t>
  </si>
  <si>
    <t>https://eu.kobotoolbox.org/api/v2/assets/asidN676GwD9kVUoocseLY/data/729176523/attachments/attN5fpVkpXojUeP7KmTXuEF/</t>
  </si>
  <si>
    <t>1764756633058.jpg</t>
  </si>
  <si>
    <t>https://eu.kobotoolbox.org/api/v2/assets/asidN676GwD9kVUoocseLY/data/729176523/attachments/attfNrTG5W9sHTR44nonqBUx/</t>
  </si>
  <si>
    <t>1764756652899.jpg</t>
  </si>
  <si>
    <t>https://eu.kobotoolbox.org/api/v2/assets/asidN676GwD9kVUoocseLY/data/729176523/attachments/att4PvprbEccUErjehFVT2b4/</t>
  </si>
  <si>
    <t>1764756673213.jpg</t>
  </si>
  <si>
    <t>https://eu.kobotoolbox.org/api/v2/assets/asidN676GwD9kVUoocseLY/data/729176523/attachments/attWJ8sFif6nWAxxbk5fWm9z/</t>
  </si>
  <si>
    <t>1764756690115.jpg</t>
  </si>
  <si>
    <t>https://eu.kobotoolbox.org/api/v2/assets/asidN676GwD9kVUoocseLY/data/729176523/attachments/attwDJAgcxsZnUNQARCoVe4X/</t>
  </si>
  <si>
    <t>الرقم التسلسلي 30</t>
  </si>
  <si>
    <t xml:space="preserve">زياد </t>
  </si>
  <si>
    <t xml:space="preserve">محمد </t>
  </si>
  <si>
    <t xml:space="preserve">هيكل </t>
  </si>
  <si>
    <t xml:space="preserve">عربيه ادريس </t>
  </si>
  <si>
    <t xml:space="preserve">نعيمه محمود دباس </t>
  </si>
  <si>
    <t>1764755695853.jpg</t>
  </si>
  <si>
    <t>https://eu.kobotoolbox.org/api/v2/assets/asidN676GwD9kVUoocseLY/data/729184274/attachments/attuPrhCLHdWRt3VnoUeNUmi/</t>
  </si>
  <si>
    <t>1764755729306.jpg</t>
  </si>
  <si>
    <t>https://eu.kobotoolbox.org/api/v2/assets/asidN676GwD9kVUoocseLY/data/729184274/attachments/attN6FTjWMEH2Mn3BWzeXBpX/</t>
  </si>
  <si>
    <t xml:space="preserve">الجسر النصبة </t>
  </si>
  <si>
    <t>قلب سكري</t>
  </si>
  <si>
    <t xml:space="preserve">جسر النصبة </t>
  </si>
  <si>
    <t>1764755961107.jpg</t>
  </si>
  <si>
    <t>https://eu.kobotoolbox.org/api/v2/assets/asidN676GwD9kVUoocseLY/data/729184274/attachments/attRWBeWiFu5WgXSDJSEkWYZ/</t>
  </si>
  <si>
    <t>1764756022972.jpg</t>
  </si>
  <si>
    <t>https://eu.kobotoolbox.org/api/v2/assets/asidN676GwD9kVUoocseLY/data/729184274/attachments/attzeC5qzbZt4Tv64BjRqfHf/</t>
  </si>
  <si>
    <t>1764756045560.jpg</t>
  </si>
  <si>
    <t>https://eu.kobotoolbox.org/api/v2/assets/asidN676GwD9kVUoocseLY/data/729184274/attachments/att6WqvuxwSPqMxkMjFK3QFT/</t>
  </si>
  <si>
    <t>1764756058777.jpg</t>
  </si>
  <si>
    <t>https://eu.kobotoolbox.org/api/v2/assets/asidN676GwD9kVUoocseLY/data/729184274/attachments/attZoJK324UkCXLgzBcw9xZf/</t>
  </si>
  <si>
    <t>1764756067971.jpg</t>
  </si>
  <si>
    <t>https://eu.kobotoolbox.org/api/v2/assets/asidN676GwD9kVUoocseLY/data/729184274/attachments/attvviAnupuiGcsT4yYazBDA/</t>
  </si>
  <si>
    <t>1764756077824.jpg</t>
  </si>
  <si>
    <t>https://eu.kobotoolbox.org/api/v2/assets/asidN676GwD9kVUoocseLY/data/729184274/attachments/attnsZmGSae85s22tzijP3vV/</t>
  </si>
  <si>
    <t>1764756088211.jpg</t>
  </si>
  <si>
    <t>https://eu.kobotoolbox.org/api/v2/assets/asidN676GwD9kVUoocseLY/data/729184274/attachments/attqC4RqCFHU3SGCuPctFddc/</t>
  </si>
  <si>
    <t>1764756111509.jpg</t>
  </si>
  <si>
    <t>https://eu.kobotoolbox.org/api/v2/assets/asidN676GwD9kVUoocseLY/data/729184274/attachments/attHpvYa9DJQ93KSsAUn7zAi/</t>
  </si>
  <si>
    <t>1764756121783.jpg</t>
  </si>
  <si>
    <t>https://eu.kobotoolbox.org/api/v2/assets/asidN676GwD9kVUoocseLY/data/729184274/attachments/atteEXMyJ2vvf5BrtEbuUC3g/</t>
  </si>
  <si>
    <t>يبيتون مسلح 2.5 m^3
257</t>
  </si>
  <si>
    <t xml:space="preserve">فراس </t>
  </si>
  <si>
    <t xml:space="preserve">جمال الدين </t>
  </si>
  <si>
    <t>شمس</t>
  </si>
  <si>
    <t>فاطمة الدباس</t>
  </si>
  <si>
    <t>غرام محمد الباشا</t>
  </si>
  <si>
    <t>1764760286970.jpg</t>
  </si>
  <si>
    <t>https://eu.kobotoolbox.org/api/v2/assets/asidN676GwD9kVUoocseLY/data/729191973/attachments/atttkjpy54whfmZNQ4dkDKtB/</t>
  </si>
  <si>
    <t>1764760298294.jpg</t>
  </si>
  <si>
    <t>https://eu.kobotoolbox.org/api/v2/assets/asidN676GwD9kVUoocseLY/data/729191973/attachments/attUDctc7xfyMs8cfDYcHxgg/</t>
  </si>
  <si>
    <t xml:space="preserve">حارة صالة ليالي </t>
  </si>
  <si>
    <t>سكري روماتيزم</t>
  </si>
  <si>
    <t>1764760638441.jpg</t>
  </si>
  <si>
    <t>https://eu.kobotoolbox.org/api/v2/assets/asidN676GwD9kVUoocseLY/data/729191973/attachments/att4Q4u8UbhPzVKJWt6ZskX3/</t>
  </si>
  <si>
    <t>1764760685666.jpg</t>
  </si>
  <si>
    <t>https://eu.kobotoolbox.org/api/v2/assets/asidN676GwD9kVUoocseLY/data/729191973/attachments/attWgosnFp8gJLToCj44aw7D/</t>
  </si>
  <si>
    <t>1764760689921.jpg</t>
  </si>
  <si>
    <t>https://eu.kobotoolbox.org/api/v2/assets/asidN676GwD9kVUoocseLY/data/729191973/attachments/attW92RYBcbJVpRhCsjfnPHm/</t>
  </si>
  <si>
    <t>1764760695621.jpg</t>
  </si>
  <si>
    <t>https://eu.kobotoolbox.org/api/v2/assets/asidN676GwD9kVUoocseLY/data/729191973/attachments/attWsnv3LkD2utneJyKeWRip/</t>
  </si>
  <si>
    <t>1764760701972.jpg</t>
  </si>
  <si>
    <t>https://eu.kobotoolbox.org/api/v2/assets/asidN676GwD9kVUoocseLY/data/729191973/attachments/att5EPTNea5KmtWVnG6sVFdu/</t>
  </si>
  <si>
    <t>1764760707866.jpg</t>
  </si>
  <si>
    <t>https://eu.kobotoolbox.org/api/v2/assets/asidN676GwD9kVUoocseLY/data/729191973/attachments/attjzBG97soGM4MbTLpjxbv5/</t>
  </si>
  <si>
    <t>1764760754792.jpg</t>
  </si>
  <si>
    <t>https://eu.kobotoolbox.org/api/v2/assets/asidN676GwD9kVUoocseLY/data/729191973/attachments/attAgCgLExj8qz3dVN2fQRBV/</t>
  </si>
  <si>
    <t>1764760763432.jpg</t>
  </si>
  <si>
    <t>https://eu.kobotoolbox.org/api/v2/assets/asidN676GwD9kVUoocseLY/data/729191973/attachments/attBQtgsDAbftbdUXt7k6zm4/</t>
  </si>
  <si>
    <t>1764760775807.jpg</t>
  </si>
  <si>
    <t>https://eu.kobotoolbox.org/api/v2/assets/asidN676GwD9kVUoocseLY/data/729191973/attachments/attr6T3Fra6yH6TkqZee7VW9/</t>
  </si>
  <si>
    <t>34</t>
  </si>
  <si>
    <t>بشار</t>
  </si>
  <si>
    <t>الغوش</t>
  </si>
  <si>
    <t>امنة الضبع</t>
  </si>
  <si>
    <t>خديجة عبد العزيز البقاعي</t>
  </si>
  <si>
    <t>هوية من عفرين</t>
  </si>
  <si>
    <t>1764747666976.jpg</t>
  </si>
  <si>
    <t>https://eu.kobotoolbox.org/api/v2/assets/asidN676GwD9kVUoocseLY/data/729192337/attachments/attPugCEXGQZeZ7GWt2hg2bh/</t>
  </si>
  <si>
    <t>1764747677148.jpg</t>
  </si>
  <si>
    <t>https://eu.kobotoolbox.org/api/v2/assets/asidN676GwD9kVUoocseLY/data/729192337/attachments/atteXoyUB2eBcLLaScQLSrEU/</t>
  </si>
  <si>
    <t>ساحة زملكا بناء ابو عبدو الطيب</t>
  </si>
  <si>
    <t>1764761265137.jpg</t>
  </si>
  <si>
    <t>https://eu.kobotoolbox.org/api/v2/assets/asidN676GwD9kVUoocseLY/data/729192337/attachments/attFUFqJMyAQALCKJzzLzXBA/</t>
  </si>
  <si>
    <t>1764748090384.jpg</t>
  </si>
  <si>
    <t>https://eu.kobotoolbox.org/api/v2/assets/asidN676GwD9kVUoocseLY/data/729192337/attachments/attJgsZF9ygjxaoWjDJQ8aQx/</t>
  </si>
  <si>
    <t>1764748103247.jpg</t>
  </si>
  <si>
    <t>https://eu.kobotoolbox.org/api/v2/assets/asidN676GwD9kVUoocseLY/data/729192337/attachments/attXwdGZ5t7wUQiNhdosp9Jd/</t>
  </si>
  <si>
    <t>1764748109519.jpg</t>
  </si>
  <si>
    <t>https://eu.kobotoolbox.org/api/v2/assets/asidN676GwD9kVUoocseLY/data/729192337/attachments/attNWHZti2Mk8rb688vTq5En/</t>
  </si>
  <si>
    <t>1764748117743.jpg</t>
  </si>
  <si>
    <t>https://eu.kobotoolbox.org/api/v2/assets/asidN676GwD9kVUoocseLY/data/729192337/attachments/attec2apyvPwD2sYBFjDuJ5A/</t>
  </si>
  <si>
    <t>1764748124167.jpg</t>
  </si>
  <si>
    <t>https://eu.kobotoolbox.org/api/v2/assets/asidN676GwD9kVUoocseLY/data/729192337/attachments/att8TYWitU7aKiyFKiLxAYF6/</t>
  </si>
  <si>
    <t>1764748135058.jpg</t>
  </si>
  <si>
    <t>https://eu.kobotoolbox.org/api/v2/assets/asidN676GwD9kVUoocseLY/data/729192337/attachments/att7dgFKexEsjMBL6FB2m4xu/</t>
  </si>
  <si>
    <t>1764748143883.jpg</t>
  </si>
  <si>
    <t>https://eu.kobotoolbox.org/api/v2/assets/asidN676GwD9kVUoocseLY/data/729192337/attachments/attZotBACUJsx949DBRaS3sA/</t>
  </si>
  <si>
    <t>1764748151665.jpg</t>
  </si>
  <si>
    <t>https://eu.kobotoolbox.org/api/v2/assets/asidN676GwD9kVUoocseLY/data/729192337/attachments/attvhk2cxD9aEZTSXsHR8hA4/</t>
  </si>
  <si>
    <t>الرقم الوطني دون صفر في البداية 
29</t>
  </si>
  <si>
    <t xml:space="preserve">خالد </t>
  </si>
  <si>
    <t xml:space="preserve">فاطمة الشيخ </t>
  </si>
  <si>
    <t>1764761691270.jpg</t>
  </si>
  <si>
    <t>https://eu.kobotoolbox.org/api/v2/assets/asidN676GwD9kVUoocseLY/data/729192607/attachments/attuvwTxQBKyWE9KJxwJpTQC/</t>
  </si>
  <si>
    <t>1764761703112.jpg</t>
  </si>
  <si>
    <t>https://eu.kobotoolbox.org/api/v2/assets/asidN676GwD9kVUoocseLY/data/729192607/attachments/attUzDmiTxgvenG6TFWs43ZL/</t>
  </si>
  <si>
    <t>موقف الرضوان بناء ابو سعيد الحبو</t>
  </si>
  <si>
    <t>1764761967004.jpg</t>
  </si>
  <si>
    <t>https://eu.kobotoolbox.org/api/v2/assets/asidN676GwD9kVUoocseLY/data/729192607/attachments/attuLXa9oSRVoHPVykG8tSjw/</t>
  </si>
  <si>
    <t>1764762012184.jpg</t>
  </si>
  <si>
    <t>https://eu.kobotoolbox.org/api/v2/assets/asidN676GwD9kVUoocseLY/data/729192607/attachments/att63sTftern8NUVnsHobepV/</t>
  </si>
  <si>
    <t>1764762019019.jpg</t>
  </si>
  <si>
    <t>https://eu.kobotoolbox.org/api/v2/assets/asidN676GwD9kVUoocseLY/data/729192607/attachments/attpHU9e3MqBAW9QCDB9TpLE/</t>
  </si>
  <si>
    <t>1764762026842.jpg</t>
  </si>
  <si>
    <t>https://eu.kobotoolbox.org/api/v2/assets/asidN676GwD9kVUoocseLY/data/729192607/attachments/attWnEQkqSc7dxzo2hRmr5bw/</t>
  </si>
  <si>
    <t>1764762043308.jpg</t>
  </si>
  <si>
    <t>https://eu.kobotoolbox.org/api/v2/assets/asidN676GwD9kVUoocseLY/data/729192607/attachments/att8hkYAPyKY2jToQXXGByR3/</t>
  </si>
  <si>
    <t>1764762049868.jpg</t>
  </si>
  <si>
    <t>https://eu.kobotoolbox.org/api/v2/assets/asidN676GwD9kVUoocseLY/data/729192607/attachments/att5JzbJbfneWqAKAhu6tGfQ/</t>
  </si>
  <si>
    <t>1764762072235.jpg</t>
  </si>
  <si>
    <t>https://eu.kobotoolbox.org/api/v2/assets/asidN676GwD9kVUoocseLY/data/729192607/attachments/att96tqk7ituSFCzFUgo7yw9/</t>
  </si>
  <si>
    <t>1764762080443.jpg</t>
  </si>
  <si>
    <t>https://eu.kobotoolbox.org/api/v2/assets/asidN676GwD9kVUoocseLY/data/729192607/attachments/attKhzkyscrNF7cnKTQgaSqN/</t>
  </si>
  <si>
    <t>1764762085231.jpg</t>
  </si>
  <si>
    <t>https://eu.kobotoolbox.org/api/v2/assets/asidN676GwD9kVUoocseLY/data/729192607/attachments/attAuZt3s3Ja2eEjvuM39UBr/</t>
  </si>
  <si>
    <t xml:space="preserve">38 </t>
  </si>
  <si>
    <t>عثمان</t>
  </si>
  <si>
    <t>عائده الكباري</t>
  </si>
  <si>
    <t>نور مساعد كباره</t>
  </si>
  <si>
    <t>1764758429707.jpg</t>
  </si>
  <si>
    <t>https://eu.kobotoolbox.org/api/v2/assets/asidN676GwD9kVUoocseLY/data/729193055/attachments/att4MrLraPCbqNh2vYfHNY74/</t>
  </si>
  <si>
    <t>1764758437155.jpg</t>
  </si>
  <si>
    <t>https://eu.kobotoolbox.org/api/v2/assets/asidN676GwD9kVUoocseLY/data/729193055/attachments/attmo7oau9a6qSoEquQnvrrB/</t>
  </si>
  <si>
    <t>حارة اللواء غالب صالة زنوبيا</t>
  </si>
  <si>
    <t>كتاب بلدية</t>
  </si>
  <si>
    <t>1764763805634.jpg</t>
  </si>
  <si>
    <t>https://eu.kobotoolbox.org/api/v2/assets/asidN676GwD9kVUoocseLY/data/729193055/attachments/attwaDju9owcqgccNTfhShit/</t>
  </si>
  <si>
    <t>1764758719481.jpg</t>
  </si>
  <si>
    <t>https://eu.kobotoolbox.org/api/v2/assets/asidN676GwD9kVUoocseLY/data/729193055/attachments/att8Rox3FGgc7iNNwyStwLgA/</t>
  </si>
  <si>
    <t>1764758728704.jpg</t>
  </si>
  <si>
    <t>https://eu.kobotoolbox.org/api/v2/assets/asidN676GwD9kVUoocseLY/data/729193055/attachments/attsx3CKAcrj8P5g8dMyB6hX/</t>
  </si>
  <si>
    <t>1764758734934.jpg</t>
  </si>
  <si>
    <t>https://eu.kobotoolbox.org/api/v2/assets/asidN676GwD9kVUoocseLY/data/729193055/attachments/attvyvMyac3U76b2gzi5kziZ/</t>
  </si>
  <si>
    <t>1764758741323.jpg</t>
  </si>
  <si>
    <t>https://eu.kobotoolbox.org/api/v2/assets/asidN676GwD9kVUoocseLY/data/729193055/attachments/attXCiKAXdKrqfbcQxRHJp9b/</t>
  </si>
  <si>
    <t>1764758747130.jpg</t>
  </si>
  <si>
    <t>https://eu.kobotoolbox.org/api/v2/assets/asidN676GwD9kVUoocseLY/data/729193055/attachments/attFDRJ6UjNzc4r4vfZfcF4c/</t>
  </si>
  <si>
    <t>1764758761342.jpg</t>
  </si>
  <si>
    <t>https://eu.kobotoolbox.org/api/v2/assets/asidN676GwD9kVUoocseLY/data/729193055/attachments/attuN5MW4sVNKDJLpkgV9X7i/</t>
  </si>
  <si>
    <t>1764758769306.jpg</t>
  </si>
  <si>
    <t>https://eu.kobotoolbox.org/api/v2/assets/asidN676GwD9kVUoocseLY/data/729193055/attachments/attU4P2m9ixs6Han5xg9gbF4/</t>
  </si>
  <si>
    <t>1764758775594.jpg</t>
  </si>
  <si>
    <t>https://eu.kobotoolbox.org/api/v2/assets/asidN676GwD9kVUoocseLY/data/729193055/attachments/attVnLbbF6uffqrx3EAPhBQi/</t>
  </si>
  <si>
    <t>232</t>
  </si>
  <si>
    <t>عيد</t>
  </si>
  <si>
    <t>فاطمة العربيني</t>
  </si>
  <si>
    <t>منيرة العربيني</t>
  </si>
  <si>
    <t>1764664985578.jpg</t>
  </si>
  <si>
    <t>https://eu.kobotoolbox.org/api/v2/assets/asidN676GwD9kVUoocseLY/data/729193669/attachments/attzjf63PfZnbbJ65HueKgCh/</t>
  </si>
  <si>
    <t>1764664997904.jpg</t>
  </si>
  <si>
    <t>https://eu.kobotoolbox.org/api/v2/assets/asidN676GwD9kVUoocseLY/data/729193669/attachments/att9B2MXNsGEziLcQNUGhzJV/</t>
  </si>
  <si>
    <t>بعد جامع حمزة ب ١٠٠ متر</t>
  </si>
  <si>
    <t>1764763985475.jpg</t>
  </si>
  <si>
    <t>https://eu.kobotoolbox.org/api/v2/assets/asidN676GwD9kVUoocseLY/data/729193669/attachments/att6WkVN99q2nbn6KvfXBemV/</t>
  </si>
  <si>
    <t>1764664495059.jpg</t>
  </si>
  <si>
    <t>https://eu.kobotoolbox.org/api/v2/assets/asidN676GwD9kVUoocseLY/data/729193669/attachments/attoqdzruMDDW3VR9zQuNYEo/</t>
  </si>
  <si>
    <t>1764664504755.jpg</t>
  </si>
  <si>
    <t>https://eu.kobotoolbox.org/api/v2/assets/asidN676GwD9kVUoocseLY/data/729193669/attachments/attG6k7TkvFLRnU7CoeKaPap/</t>
  </si>
  <si>
    <t>1764664511987.jpg</t>
  </si>
  <si>
    <t>https://eu.kobotoolbox.org/api/v2/assets/asidN676GwD9kVUoocseLY/data/729193669/attachments/att9ZxewE6JADfEoDceGju4K/</t>
  </si>
  <si>
    <t>1764664520198.jpg</t>
  </si>
  <si>
    <t>https://eu.kobotoolbox.org/api/v2/assets/asidN676GwD9kVUoocseLY/data/729193669/attachments/attutL8gXn6femaPPp2334YZ/</t>
  </si>
  <si>
    <t>1764664529182.jpg</t>
  </si>
  <si>
    <t>https://eu.kobotoolbox.org/api/v2/assets/asidN676GwD9kVUoocseLY/data/729193669/attachments/attnfnGkd6sfh76h3ztTxeGb/</t>
  </si>
  <si>
    <t>1764664537147.jpg</t>
  </si>
  <si>
    <t>https://eu.kobotoolbox.org/api/v2/assets/asidN676GwD9kVUoocseLY/data/729193669/attachments/att6nximkdjVaamjD4M2J2SA/</t>
  </si>
  <si>
    <t>1764664554896.jpg</t>
  </si>
  <si>
    <t>https://eu.kobotoolbox.org/api/v2/assets/asidN676GwD9kVUoocseLY/data/729193669/attachments/attRSV9zvf8ZoZu2mfmKs8z5/</t>
  </si>
  <si>
    <t>1764664563219.jpg</t>
  </si>
  <si>
    <t>https://eu.kobotoolbox.org/api/v2/assets/asidN676GwD9kVUoocseLY/data/729193669/attachments/attNvSPm3nLPPDCM8nLeSt96/</t>
  </si>
  <si>
    <t>47</t>
  </si>
  <si>
    <t>سلام</t>
  </si>
  <si>
    <t>الدسوقي</t>
  </si>
  <si>
    <t>فايزة شعبان</t>
  </si>
  <si>
    <t>هنادي دياب الطير</t>
  </si>
  <si>
    <t>1764751315531.jpg</t>
  </si>
  <si>
    <t>https://eu.kobotoolbox.org/api/v2/assets/asidN676GwD9kVUoocseLY/data/729193985/attachments/attwxp4jjDMX6TLmEQtpFqvV/</t>
  </si>
  <si>
    <t>1764751324403.jpg</t>
  </si>
  <si>
    <t>https://eu.kobotoolbox.org/api/v2/assets/asidN676GwD9kVUoocseLY/data/729193985/attachments/att8UkzRM2a6Qn6zMGaBEav8/</t>
  </si>
  <si>
    <t>حارة الاشراف نزلة الاتحاد</t>
  </si>
  <si>
    <t>غسيل كلى</t>
  </si>
  <si>
    <t>1764763638422.jpg</t>
  </si>
  <si>
    <t>https://eu.kobotoolbox.org/api/v2/assets/asidN676GwD9kVUoocseLY/data/729193985/attachments/atttGV5G4r8MvBf2f6a9vgPk/</t>
  </si>
  <si>
    <t>1764751548811.jpg</t>
  </si>
  <si>
    <t>https://eu.kobotoolbox.org/api/v2/assets/asidN676GwD9kVUoocseLY/data/729193985/attachments/attcTjL8oNMDvAEkUk29riEh/</t>
  </si>
  <si>
    <t>1764751556227.jpg</t>
  </si>
  <si>
    <t>https://eu.kobotoolbox.org/api/v2/assets/asidN676GwD9kVUoocseLY/data/729193985/attachments/attRxpa3C8TonLSSAYDnN6o6/</t>
  </si>
  <si>
    <t>1764751565757.jpg</t>
  </si>
  <si>
    <t>https://eu.kobotoolbox.org/api/v2/assets/asidN676GwD9kVUoocseLY/data/729193985/attachments/attj9XBA3CM2sMe8itUyavAC/</t>
  </si>
  <si>
    <t>1764751587142.jpg</t>
  </si>
  <si>
    <t>https://eu.kobotoolbox.org/api/v2/assets/asidN676GwD9kVUoocseLY/data/729193985/attachments/attLtc7qGuzgZQMB3MeyNrSm/</t>
  </si>
  <si>
    <t>1764751593698.jpg</t>
  </si>
  <si>
    <t>https://eu.kobotoolbox.org/api/v2/assets/asidN676GwD9kVUoocseLY/data/729193985/attachments/attDJkXa2XVtoHmg4hmEARSt/</t>
  </si>
  <si>
    <t>1764751610572.jpg</t>
  </si>
  <si>
    <t>https://eu.kobotoolbox.org/api/v2/assets/asidN676GwD9kVUoocseLY/data/729193985/attachments/attG5kwXfhF8JqYhNMQ8xB5P/</t>
  </si>
  <si>
    <t>1764751617964.jpg</t>
  </si>
  <si>
    <t>https://eu.kobotoolbox.org/api/v2/assets/asidN676GwD9kVUoocseLY/data/729193985/attachments/attxjBUg5e2fD9u6GsVNfTfT/</t>
  </si>
  <si>
    <t>1764751624486.jpg</t>
  </si>
  <si>
    <t>https://eu.kobotoolbox.org/api/v2/assets/asidN676GwD9kVUoocseLY/data/729193985/attachments/att925bVyYW55a8kZ9z85KF9/</t>
  </si>
  <si>
    <t>25</t>
  </si>
  <si>
    <t xml:space="preserve">ياسر </t>
  </si>
  <si>
    <t xml:space="preserve">دياب </t>
  </si>
  <si>
    <t xml:space="preserve">الدباس </t>
  </si>
  <si>
    <t>هند الغوش</t>
  </si>
  <si>
    <t>1764749016921.jpg</t>
  </si>
  <si>
    <t>https://eu.kobotoolbox.org/api/v2/assets/asidN676GwD9kVUoocseLY/data/729309644/attachments/att9Cr37aDXr4ugUt9En7siH/</t>
  </si>
  <si>
    <t>1764749026487.jpg</t>
  </si>
  <si>
    <t>https://eu.kobotoolbox.org/api/v2/assets/asidN676GwD9kVUoocseLY/data/729309644/attachments/attehQ9jztyD4ZFMB22z4NqK/</t>
  </si>
  <si>
    <t>التل</t>
  </si>
  <si>
    <t>مركز التل</t>
  </si>
  <si>
    <t xml:space="preserve">التل وادي حنونة جانب البريد </t>
  </si>
  <si>
    <t>زملكا حارة المحاريق خلف معمل القزاز</t>
  </si>
  <si>
    <t>1764749305823.jpg</t>
  </si>
  <si>
    <t>https://eu.kobotoolbox.org/api/v2/assets/asidN676GwD9kVUoocseLY/data/729309644/attachments/attdcabEuTcnSx42RBbXzUnp/</t>
  </si>
  <si>
    <t>1764749457551.jpg</t>
  </si>
  <si>
    <t>https://eu.kobotoolbox.org/api/v2/assets/asidN676GwD9kVUoocseLY/data/729309644/attachments/att5uJqyd2K4JAWDPjPfEq53/</t>
  </si>
  <si>
    <t>1764749489322.jpg</t>
  </si>
  <si>
    <t>https://eu.kobotoolbox.org/api/v2/assets/asidN676GwD9kVUoocseLY/data/729309644/attachments/attjsiRTeq9KCmVmx6Pha8VF/</t>
  </si>
  <si>
    <t>1764749510851.jpg</t>
  </si>
  <si>
    <t>https://eu.kobotoolbox.org/api/v2/assets/asidN676GwD9kVUoocseLY/data/729309644/attachments/attzkrz7J2THCgGgd4BsrYF3/</t>
  </si>
  <si>
    <t>1764749521438.jpg</t>
  </si>
  <si>
    <t>https://eu.kobotoolbox.org/api/v2/assets/asidN676GwD9kVUoocseLY/data/729309644/attachments/attUc3JSpajJmDQsnq4BX2fN/</t>
  </si>
  <si>
    <t>1764749535076.jpg</t>
  </si>
  <si>
    <t>https://eu.kobotoolbox.org/api/v2/assets/asidN676GwD9kVUoocseLY/data/729309644/attachments/attvgS7He4ZY3nR9NzRgVL8P/</t>
  </si>
  <si>
    <t>1764749564543.jpg</t>
  </si>
  <si>
    <t>https://eu.kobotoolbox.org/api/v2/assets/asidN676GwD9kVUoocseLY/data/729309644/attachments/attYvNTCgXziBXXaVX5SH9Fo/</t>
  </si>
  <si>
    <t>1764749573166.jpg</t>
  </si>
  <si>
    <t>https://eu.kobotoolbox.org/api/v2/assets/asidN676GwD9kVUoocseLY/data/729309644/attachments/attiTtXerjXQ8TdyQFsdGNSQ/</t>
  </si>
  <si>
    <t>1764749580712.jpg</t>
  </si>
  <si>
    <t>https://eu.kobotoolbox.org/api/v2/assets/asidN676GwD9kVUoocseLY/data/729309644/attachments/attyY4EYSHCyTspQTwuoC3Hf/</t>
  </si>
  <si>
    <t xml:space="preserve">الرقم التسلسي 125 </t>
  </si>
  <si>
    <t>احمداديب</t>
  </si>
  <si>
    <t>عبدالرحمن</t>
  </si>
  <si>
    <t>الدباس</t>
  </si>
  <si>
    <t>قمر الدباس</t>
  </si>
  <si>
    <t>ملك مصطفى الدباس</t>
  </si>
  <si>
    <t>1764747477936.jpg</t>
  </si>
  <si>
    <t>https://eu.kobotoolbox.org/api/v2/assets/asidN676GwD9kVUoocseLY/data/729309774/attachments/atthyLh5cqM2wMxhn8m2bzkn/</t>
  </si>
  <si>
    <t>1764747484938.jpg</t>
  </si>
  <si>
    <t>https://eu.kobotoolbox.org/api/v2/assets/asidN676GwD9kVUoocseLY/data/729309774/attachments/attiv3rBDkSYqqxueCALojvC/</t>
  </si>
  <si>
    <t>زملكا المحاريق خلف معمل الزجاج</t>
  </si>
  <si>
    <t>مشاكل بالاعصاب</t>
  </si>
  <si>
    <t>1764748433235.jpg</t>
  </si>
  <si>
    <t>https://eu.kobotoolbox.org/api/v2/assets/asidN676GwD9kVUoocseLY/data/729309774/attachments/attkWDRCXprydrb4NvApJJzp/</t>
  </si>
  <si>
    <t>1764748104892.jpg</t>
  </si>
  <si>
    <t>https://eu.kobotoolbox.org/api/v2/assets/asidN676GwD9kVUoocseLY/data/729309774/attachments/attvo2AJ6uzpF42x3TEmRKXF/</t>
  </si>
  <si>
    <t>1764748118286.jpg</t>
  </si>
  <si>
    <t>https://eu.kobotoolbox.org/api/v2/assets/asidN676GwD9kVUoocseLY/data/729309774/attachments/att7v3V2uBdrUEuxL86zWYgB/</t>
  </si>
  <si>
    <t>1764748139530.jpg</t>
  </si>
  <si>
    <t>https://eu.kobotoolbox.org/api/v2/assets/asidN676GwD9kVUoocseLY/data/729309774/attachments/attYoyiGALjvMMVeQzJ9BdVu/</t>
  </si>
  <si>
    <t>1764748155531.jpg</t>
  </si>
  <si>
    <t>https://eu.kobotoolbox.org/api/v2/assets/asidN676GwD9kVUoocseLY/data/729309774/attachments/attiGyUzJdB4JG9HwB6vNqb5/</t>
  </si>
  <si>
    <t>1764748215070.jpg</t>
  </si>
  <si>
    <t>https://eu.kobotoolbox.org/api/v2/assets/asidN676GwD9kVUoocseLY/data/729309774/attachments/attyXzEg53y5PRjpE3Dg7cPY/</t>
  </si>
  <si>
    <t>1764748293313.jpg</t>
  </si>
  <si>
    <t>https://eu.kobotoolbox.org/api/v2/assets/asidN676GwD9kVUoocseLY/data/729309774/attachments/attNYhWc4cbTNFNqNo6Zxeq9/</t>
  </si>
  <si>
    <t>1764748322114.jpg</t>
  </si>
  <si>
    <t>https://eu.kobotoolbox.org/api/v2/assets/asidN676GwD9kVUoocseLY/data/729309774/attachments/att6xMnmVjqmmXawubcdzFVh/</t>
  </si>
  <si>
    <t>1764748345955.jpg</t>
  </si>
  <si>
    <t>https://eu.kobotoolbox.org/api/v2/assets/asidN676GwD9kVUoocseLY/data/729309774/attachments/attHg2id8pkg3hRcPTwDjw7f/</t>
  </si>
  <si>
    <t>الرقم التسلسلي 224</t>
  </si>
  <si>
    <t xml:space="preserve">عبدالرحمن </t>
  </si>
  <si>
    <t>بسينة ناصر شمس</t>
  </si>
  <si>
    <t>1764750435402.jpg</t>
  </si>
  <si>
    <t>https://eu.kobotoolbox.org/api/v2/assets/asidN676GwD9kVUoocseLY/data/729309812/attachments/att9s8rBSNcLqMgygqkhbhzb/</t>
  </si>
  <si>
    <t>1764750449744.jpg</t>
  </si>
  <si>
    <t>https://eu.kobotoolbox.org/api/v2/assets/asidN676GwD9kVUoocseLY/data/729309812/attachments/attwVShi8PJChwM5VScYGNGX/</t>
  </si>
  <si>
    <t xml:space="preserve">زملكا شارع الخضر بناء ابو مرعي </t>
  </si>
  <si>
    <t>زملكا حي المحارق خلف معمل القزاز</t>
  </si>
  <si>
    <t>1764750685862.jpg</t>
  </si>
  <si>
    <t>https://eu.kobotoolbox.org/api/v2/assets/asidN676GwD9kVUoocseLY/data/729309812/attachments/atthr3HhSfDTYchc59oP2ayg/</t>
  </si>
  <si>
    <t>1764750785496.jpg</t>
  </si>
  <si>
    <t>https://eu.kobotoolbox.org/api/v2/assets/asidN676GwD9kVUoocseLY/data/729309812/attachments/attXe4YE8ZkyDeUFsbkTFavm/</t>
  </si>
  <si>
    <t>1764750796198.jpg</t>
  </si>
  <si>
    <t>https://eu.kobotoolbox.org/api/v2/assets/asidN676GwD9kVUoocseLY/data/729309812/attachments/attTrmwKA8Aqn7dkHYDPMFxn/</t>
  </si>
  <si>
    <t>1764750819641.jpg</t>
  </si>
  <si>
    <t>https://eu.kobotoolbox.org/api/v2/assets/asidN676GwD9kVUoocseLY/data/729309812/attachments/attEwzaaTcVPwaXfSasN5W6t/</t>
  </si>
  <si>
    <t>1764750831513.jpg</t>
  </si>
  <si>
    <t>https://eu.kobotoolbox.org/api/v2/assets/asidN676GwD9kVUoocseLY/data/729309812/attachments/attWJ2hVpcLxQvo5EBXMBnXW/</t>
  </si>
  <si>
    <t>1764750839286.jpg</t>
  </si>
  <si>
    <t>https://eu.kobotoolbox.org/api/v2/assets/asidN676GwD9kVUoocseLY/data/729309812/attachments/attTLAiTXHEVjniVyXfu9bnV/</t>
  </si>
  <si>
    <t>1764750852464.jpg</t>
  </si>
  <si>
    <t>https://eu.kobotoolbox.org/api/v2/assets/asidN676GwD9kVUoocseLY/data/729309812/attachments/attBvDoaWoQHipRhKp9ASJ9K/</t>
  </si>
  <si>
    <t>1764750860159.jpg</t>
  </si>
  <si>
    <t>https://eu.kobotoolbox.org/api/v2/assets/asidN676GwD9kVUoocseLY/data/729309812/attachments/attvWYGfHBPBEUZ5RyVQjFpq/</t>
  </si>
  <si>
    <t>1764750866217.jpg</t>
  </si>
  <si>
    <t>https://eu.kobotoolbox.org/api/v2/assets/asidN676GwD9kVUoocseLY/data/729309812/attachments/attVFpNaTf6J5fhNfjyQiCGW/</t>
  </si>
  <si>
    <t>الرقم التسلسلي 222</t>
  </si>
  <si>
    <t xml:space="preserve">حسنا </t>
  </si>
  <si>
    <t xml:space="preserve">حسين </t>
  </si>
  <si>
    <t xml:space="preserve">صفصف </t>
  </si>
  <si>
    <t xml:space="preserve">غالية المصري </t>
  </si>
  <si>
    <t>1764751546042.jpg</t>
  </si>
  <si>
    <t>https://eu.kobotoolbox.org/api/v2/assets/asidN676GwD9kVUoocseLY/data/729309852/attachments/att5pUUXmPSHo68VeDWCmWWW/</t>
  </si>
  <si>
    <t>1764751557911.jpg</t>
  </si>
  <si>
    <t>https://eu.kobotoolbox.org/api/v2/assets/asidN676GwD9kVUoocseLY/data/729309852/attachments/attfgXEb3Tu9xiCXrqtiiCqP/</t>
  </si>
  <si>
    <t>زملكا حارة المحاريق جانب منشرة اب اديب</t>
  </si>
  <si>
    <t xml:space="preserve">زملكا حارة المحاريق جانب منشرة اب اديب </t>
  </si>
  <si>
    <t>1764751862653.jpg</t>
  </si>
  <si>
    <t>https://eu.kobotoolbox.org/api/v2/assets/asidN676GwD9kVUoocseLY/data/729309852/attachments/attRwD4u7QZkHyeLimH4D9Vz/</t>
  </si>
  <si>
    <t>1764751926309.jpg</t>
  </si>
  <si>
    <t>https://eu.kobotoolbox.org/api/v2/assets/asidN676GwD9kVUoocseLY/data/729309852/attachments/attNJHELA5MDfChrhjgYWrqW/</t>
  </si>
  <si>
    <t>1764751939424.jpg</t>
  </si>
  <si>
    <t>https://eu.kobotoolbox.org/api/v2/assets/asidN676GwD9kVUoocseLY/data/729309852/attachments/attq269a4GcGzJKPF5kXLmTp/</t>
  </si>
  <si>
    <t>1764751946915.jpg</t>
  </si>
  <si>
    <t>https://eu.kobotoolbox.org/api/v2/assets/asidN676GwD9kVUoocseLY/data/729309852/attachments/attWPvji2UfshD7C7amzwjyt/</t>
  </si>
  <si>
    <t>1764751958182.jpg</t>
  </si>
  <si>
    <t>https://eu.kobotoolbox.org/api/v2/assets/asidN676GwD9kVUoocseLY/data/729309852/attachments/att2X2V7VCMRqCdPv9TNNQ33/</t>
  </si>
  <si>
    <t>1764751965473.jpg</t>
  </si>
  <si>
    <t>https://eu.kobotoolbox.org/api/v2/assets/asidN676GwD9kVUoocseLY/data/729309852/attachments/attvqpWZm7RxfTosnsT9KMdQ/</t>
  </si>
  <si>
    <t>1764752001909.jpg</t>
  </si>
  <si>
    <t>https://eu.kobotoolbox.org/api/v2/assets/asidN676GwD9kVUoocseLY/data/729309852/attachments/attQJzhzwbUDJVyjFSPHbdBt/</t>
  </si>
  <si>
    <t>1764752025009.jpg</t>
  </si>
  <si>
    <t>https://eu.kobotoolbox.org/api/v2/assets/asidN676GwD9kVUoocseLY/data/729309852/attachments/att8q6m3BWw5LystMDFwYYQQ/</t>
  </si>
  <si>
    <t>1764752033317.jpg</t>
  </si>
  <si>
    <t>https://eu.kobotoolbox.org/api/v2/assets/asidN676GwD9kVUoocseLY/data/729309852/attachments/atta2bkmi9ocMNjnzL6rTUBi/</t>
  </si>
  <si>
    <t>الرقم التسلسلي 189</t>
  </si>
  <si>
    <t>رياض</t>
  </si>
  <si>
    <t>دباس</t>
  </si>
  <si>
    <t>صباح الدباس</t>
  </si>
  <si>
    <t>امل حكمت العطري</t>
  </si>
  <si>
    <t>1764752928501.jpg</t>
  </si>
  <si>
    <t>https://eu.kobotoolbox.org/api/v2/assets/asidN676GwD9kVUoocseLY/data/729309876/attachments/attgSejvcBtCNGpGhQ5RPYgY/</t>
  </si>
  <si>
    <t>1764752942941.jpg</t>
  </si>
  <si>
    <t>https://eu.kobotoolbox.org/api/v2/assets/asidN676GwD9kVUoocseLY/data/729309876/attachments/att6QWAbnDy7KwCkDWXhqEcD/</t>
  </si>
  <si>
    <t>زملكا حي المحاريق جانب معمل القزاز</t>
  </si>
  <si>
    <t>زملكا حارة المحاريق جانب جامع الحسن</t>
  </si>
  <si>
    <t>1764753230248.jpg</t>
  </si>
  <si>
    <t>https://eu.kobotoolbox.org/api/v2/assets/asidN676GwD9kVUoocseLY/data/729309876/attachments/attoYMtss6SsEuZjW2bCxMpg/</t>
  </si>
  <si>
    <t>1764753353387.jpg</t>
  </si>
  <si>
    <t>https://eu.kobotoolbox.org/api/v2/assets/asidN676GwD9kVUoocseLY/data/729309876/attachments/attuNYNrWNNFgbQxrMVeFVMt/</t>
  </si>
  <si>
    <t>1764753279332.jpg</t>
  </si>
  <si>
    <t>https://eu.kobotoolbox.org/api/v2/assets/asidN676GwD9kVUoocseLY/data/729309876/attachments/attREHfAS4FytH3eHmx4mqBa/</t>
  </si>
  <si>
    <t>1764753296218.jpg</t>
  </si>
  <si>
    <t>https://eu.kobotoolbox.org/api/v2/assets/asidN676GwD9kVUoocseLY/data/729309876/attachments/attUtPwL22BUi6AtZ6WVzE8t/</t>
  </si>
  <si>
    <t>1764753302200.jpg</t>
  </si>
  <si>
    <t>https://eu.kobotoolbox.org/api/v2/assets/asidN676GwD9kVUoocseLY/data/729309876/attachments/attKN9sXgL4ZwEjbbzj9zM4v/</t>
  </si>
  <si>
    <t>1764753318900.jpg</t>
  </si>
  <si>
    <t>https://eu.kobotoolbox.org/api/v2/assets/asidN676GwD9kVUoocseLY/data/729309876/attachments/attMJcN9kwMnHVELsdTsgXNH/</t>
  </si>
  <si>
    <t>1764753327356.jpg</t>
  </si>
  <si>
    <t>https://eu.kobotoolbox.org/api/v2/assets/asidN676GwD9kVUoocseLY/data/729309876/attachments/att8nBxN4j9rUhogXgsp2SK4/</t>
  </si>
  <si>
    <t>1764753335310.jpg</t>
  </si>
  <si>
    <t>https://eu.kobotoolbox.org/api/v2/assets/asidN676GwD9kVUoocseLY/data/729309876/attachments/attDxz26qNebFCdp78p7mXcX/</t>
  </si>
  <si>
    <t>1764753342566.jpg</t>
  </si>
  <si>
    <t>https://eu.kobotoolbox.org/api/v2/assets/asidN676GwD9kVUoocseLY/data/729309876/attachments/attPLfum8ccE84a2wPNZrFTy/</t>
  </si>
  <si>
    <t>الرقم التسلسلي 57</t>
  </si>
  <si>
    <t xml:space="preserve">رياض </t>
  </si>
  <si>
    <t>صبحي</t>
  </si>
  <si>
    <t>فضيلة دواره</t>
  </si>
  <si>
    <t xml:space="preserve">صباح محمود دباس </t>
  </si>
  <si>
    <t>1764754014401.jpg</t>
  </si>
  <si>
    <t>https://eu.kobotoolbox.org/api/v2/assets/asidN676GwD9kVUoocseLY/data/729309934/attachments/attTBwWGo598uVggqNxN6uZL/</t>
  </si>
  <si>
    <t>1764754022305.jpg</t>
  </si>
  <si>
    <t>https://eu.kobotoolbox.org/api/v2/assets/asidN676GwD9kVUoocseLY/data/729309934/attachments/attfXrXdEKb3nyJvPdnPHZBT/</t>
  </si>
  <si>
    <t>1764754284516.jpg</t>
  </si>
  <si>
    <t>https://eu.kobotoolbox.org/api/v2/assets/asidN676GwD9kVUoocseLY/data/729309934/attachments/attG2anNe4wRKSjkFvHaN53Y/</t>
  </si>
  <si>
    <t>1764754406678.jpg</t>
  </si>
  <si>
    <t>https://eu.kobotoolbox.org/api/v2/assets/asidN676GwD9kVUoocseLY/data/729309934/attachments/atteW5KuYjnEgVGT9TMS6eDY/</t>
  </si>
  <si>
    <t>1764754326391.jpg</t>
  </si>
  <si>
    <t>https://eu.kobotoolbox.org/api/v2/assets/asidN676GwD9kVUoocseLY/data/729309934/attachments/attS69wsy5pgV4ihGCpnUzrh/</t>
  </si>
  <si>
    <t>1764754334846.jpg</t>
  </si>
  <si>
    <t>https://eu.kobotoolbox.org/api/v2/assets/asidN676GwD9kVUoocseLY/data/729309934/attachments/attGRSzQo8ZwpQBec3LsQ9Fe/</t>
  </si>
  <si>
    <t>1764754343924.jpg</t>
  </si>
  <si>
    <t>https://eu.kobotoolbox.org/api/v2/assets/asidN676GwD9kVUoocseLY/data/729309934/attachments/att4WvA2k7rdLkNHgMXkjUPT/</t>
  </si>
  <si>
    <t>1764754356935.jpg</t>
  </si>
  <si>
    <t>https://eu.kobotoolbox.org/api/v2/assets/asidN676GwD9kVUoocseLY/data/729309934/attachments/attrVAeisy9Q7JE8hweYfb7h/</t>
  </si>
  <si>
    <t>1764754375483.jpg</t>
  </si>
  <si>
    <t>https://eu.kobotoolbox.org/api/v2/assets/asidN676GwD9kVUoocseLY/data/729309934/attachments/atteWqN9vbZzv8Qwyk4bke9j/</t>
  </si>
  <si>
    <t>1764754388409.jpg</t>
  </si>
  <si>
    <t>https://eu.kobotoolbox.org/api/v2/assets/asidN676GwD9kVUoocseLY/data/729309934/attachments/attUgBBFpJHNKqdMbEg2QrNv/</t>
  </si>
  <si>
    <t>1764754397852.jpg</t>
  </si>
  <si>
    <t>https://eu.kobotoolbox.org/api/v2/assets/asidN676GwD9kVUoocseLY/data/729309934/attachments/attKER7BWmJ9Az3T7Gtnj3Sv/</t>
  </si>
  <si>
    <t>الرقم التسلسلي 228</t>
  </si>
  <si>
    <t>شادي</t>
  </si>
  <si>
    <t>محمد ياسين</t>
  </si>
  <si>
    <t>حلو</t>
  </si>
  <si>
    <t>سميره فتينه</t>
  </si>
  <si>
    <t>حياة فايز طواشي</t>
  </si>
  <si>
    <t>1764757343692.jpg</t>
  </si>
  <si>
    <t>https://eu.kobotoolbox.org/api/v2/assets/asidN676GwD9kVUoocseLY/data/729309954/attachments/attjjr9B4B9xzvjG5vGMMMQW/</t>
  </si>
  <si>
    <t>1764757352153.jpg</t>
  </si>
  <si>
    <t>https://eu.kobotoolbox.org/api/v2/assets/asidN676GwD9kVUoocseLY/data/729309954/attachments/att6nTnHjJa5fypsXZncHXWb/</t>
  </si>
  <si>
    <t>زملكا حي المحاريق</t>
  </si>
  <si>
    <t>1764757581393.jpg</t>
  </si>
  <si>
    <t>https://eu.kobotoolbox.org/api/v2/assets/asidN676GwD9kVUoocseLY/data/729309954/attachments/attpBxpDU4oPJZ6o8tBcHMSd/</t>
  </si>
  <si>
    <t>1764757659475.jpg</t>
  </si>
  <si>
    <t>https://eu.kobotoolbox.org/api/v2/assets/asidN676GwD9kVUoocseLY/data/729309954/attachments/atthDSPz5h9z6pnFcwx4Pvp4/</t>
  </si>
  <si>
    <t>1764757667697.jpg</t>
  </si>
  <si>
    <t>https://eu.kobotoolbox.org/api/v2/assets/asidN676GwD9kVUoocseLY/data/729309954/attachments/att7kjMHfnGpGwEN2i5tJpbh/</t>
  </si>
  <si>
    <t>1764757687076.jpg</t>
  </si>
  <si>
    <t>https://eu.kobotoolbox.org/api/v2/assets/asidN676GwD9kVUoocseLY/data/729309954/attachments/atthwQKrCZcVXEgH9ohdMdxi/</t>
  </si>
  <si>
    <t>1764757700555.jpg</t>
  </si>
  <si>
    <t>https://eu.kobotoolbox.org/api/v2/assets/asidN676GwD9kVUoocseLY/data/729309954/attachments/attyCj9iCsyVFBxc8FMeRCZV/</t>
  </si>
  <si>
    <t>1764757708663.jpg</t>
  </si>
  <si>
    <t>https://eu.kobotoolbox.org/api/v2/assets/asidN676GwD9kVUoocseLY/data/729309954/attachments/attmor5SLoJbAp5ikV4YkCbR/</t>
  </si>
  <si>
    <t>1764757722879.jpg</t>
  </si>
  <si>
    <t>https://eu.kobotoolbox.org/api/v2/assets/asidN676GwD9kVUoocseLY/data/729309954/attachments/attL7SpUeviJqRUvKad2zPux/</t>
  </si>
  <si>
    <t>1764757739703.jpg</t>
  </si>
  <si>
    <t>https://eu.kobotoolbox.org/api/v2/assets/asidN676GwD9kVUoocseLY/data/729309954/attachments/attXFeZ4GvKHmfhyaBUukmN9/</t>
  </si>
  <si>
    <t>1764757746153.jpg</t>
  </si>
  <si>
    <t>https://eu.kobotoolbox.org/api/v2/assets/asidN676GwD9kVUoocseLY/data/729309954/attachments/att2kVpvP7SN9eL4ZbmAQxRH/</t>
  </si>
  <si>
    <t>الرقم التسلسلي 127</t>
  </si>
  <si>
    <t>اسامه</t>
  </si>
  <si>
    <t>نعمان</t>
  </si>
  <si>
    <t>وحيده سليمان</t>
  </si>
  <si>
    <t>زبيدة مسلم شكير</t>
  </si>
  <si>
    <t>1764758727613.jpg</t>
  </si>
  <si>
    <t>https://eu.kobotoolbox.org/api/v2/assets/asidN676GwD9kVUoocseLY/data/729312164/attachments/attjwTtUMKvt9LBL8AArNEp3/</t>
  </si>
  <si>
    <t>1764758744896.jpg</t>
  </si>
  <si>
    <t>https://eu.kobotoolbox.org/api/v2/assets/asidN676GwD9kVUoocseLY/data/729312164/attachments/attmpMsSPQotKxvGEscHvwVx/</t>
  </si>
  <si>
    <t>زملكا حارة المحاريق جانب معمل الرخام</t>
  </si>
  <si>
    <t>سكري قلب</t>
  </si>
  <si>
    <t>زملكا حارة المحاريق جانب معمل البلاط</t>
  </si>
  <si>
    <t>1764759055871.jpg</t>
  </si>
  <si>
    <t>https://eu.kobotoolbox.org/api/v2/assets/asidN676GwD9kVUoocseLY/data/729312164/attachments/att8ito6YmubX9eqHkG9SHnu/</t>
  </si>
  <si>
    <t>1764759584012.jpg</t>
  </si>
  <si>
    <t>https://eu.kobotoolbox.org/api/v2/assets/asidN676GwD9kVUoocseLY/data/729312164/attachments/attzb4xnEDgcp8TLpdrHhBen/</t>
  </si>
  <si>
    <t>1764759161462.jpg</t>
  </si>
  <si>
    <t>https://eu.kobotoolbox.org/api/v2/assets/asidN676GwD9kVUoocseLY/data/729312164/attachments/attBjX3uHxJ3ZkEtCLaQskVc/</t>
  </si>
  <si>
    <t>1764759169699.jpg</t>
  </si>
  <si>
    <t>https://eu.kobotoolbox.org/api/v2/assets/asidN676GwD9kVUoocseLY/data/729312164/attachments/attBSjbweScsLc8Q28PT4mTS/</t>
  </si>
  <si>
    <t>1764759181948.jpg</t>
  </si>
  <si>
    <t>https://eu.kobotoolbox.org/api/v2/assets/asidN676GwD9kVUoocseLY/data/729312164/attachments/attXoxECCdBeWEo5DynAn3Td/</t>
  </si>
  <si>
    <t>1764759189708.jpg</t>
  </si>
  <si>
    <t>https://eu.kobotoolbox.org/api/v2/assets/asidN676GwD9kVUoocseLY/data/729312164/attachments/attzk9atgNddTqK8rHDLu5c9/</t>
  </si>
  <si>
    <t>1764759200968.jpg</t>
  </si>
  <si>
    <t>https://eu.kobotoolbox.org/api/v2/assets/asidN676GwD9kVUoocseLY/data/729312164/attachments/attpeNAHGx7Y2E7vg4Yaxpj2/</t>
  </si>
  <si>
    <t>1764759224479.jpg</t>
  </si>
  <si>
    <t>https://eu.kobotoolbox.org/api/v2/assets/asidN676GwD9kVUoocseLY/data/729312164/attachments/att2vYE2bp8KAxCMs96VrTjY/</t>
  </si>
  <si>
    <t>1764759233352.jpg</t>
  </si>
  <si>
    <t>https://eu.kobotoolbox.org/api/v2/assets/asidN676GwD9kVUoocseLY/data/729312164/attachments/attdyNVofVaeQ5PZpiG6wvTL/</t>
  </si>
  <si>
    <t>الرقم التسلسلي 46</t>
  </si>
  <si>
    <t>كوكش</t>
  </si>
  <si>
    <t>عائشه الدحلا</t>
  </si>
  <si>
    <t>1764760161922.jpg</t>
  </si>
  <si>
    <t>https://eu.kobotoolbox.org/api/v2/assets/asidN676GwD9kVUoocseLY/data/729312631/attachments/attztS5TUgrWXFnEYh8SzEBp/</t>
  </si>
  <si>
    <t>1764760172081.jpg</t>
  </si>
  <si>
    <t>https://eu.kobotoolbox.org/api/v2/assets/asidN676GwD9kVUoocseLY/data/729312631/attachments/attYuridattqGgatpDYVyWgZ/</t>
  </si>
  <si>
    <t>زملكا الساحة</t>
  </si>
  <si>
    <t>زملكا حارة المحاريق</t>
  </si>
  <si>
    <t>1764760536450.jpg</t>
  </si>
  <si>
    <t>https://eu.kobotoolbox.org/api/v2/assets/asidN676GwD9kVUoocseLY/data/729312631/attachments/att82YpXHdiRGgPDamzmTKug/</t>
  </si>
  <si>
    <t>1764760553189.jpg</t>
  </si>
  <si>
    <t>https://eu.kobotoolbox.org/api/v2/assets/asidN676GwD9kVUoocseLY/data/729312631/attachments/attfHR4kBq49c4MPVcfzv8P3/</t>
  </si>
  <si>
    <t>1764760559518.jpg</t>
  </si>
  <si>
    <t>https://eu.kobotoolbox.org/api/v2/assets/asidN676GwD9kVUoocseLY/data/729312631/attachments/attkg4muYQYVYj5UuBkpmTgQ/</t>
  </si>
  <si>
    <t>1764760566746.jpg</t>
  </si>
  <si>
    <t>https://eu.kobotoolbox.org/api/v2/assets/asidN676GwD9kVUoocseLY/data/729312631/attachments/attSJhxpLyZL75c27YjMuZzp/</t>
  </si>
  <si>
    <t>1764760572445.jpg</t>
  </si>
  <si>
    <t>https://eu.kobotoolbox.org/api/v2/assets/asidN676GwD9kVUoocseLY/data/729312631/attachments/attVoUNgcxvGNaZfC9PW9wCa/</t>
  </si>
  <si>
    <t>1764760589314.jpg</t>
  </si>
  <si>
    <t>https://eu.kobotoolbox.org/api/v2/assets/asidN676GwD9kVUoocseLY/data/729312631/attachments/attauDzEPuErMaL7QcZbeCzN/</t>
  </si>
  <si>
    <t>1764760601228.jpg</t>
  </si>
  <si>
    <t>https://eu.kobotoolbox.org/api/v2/assets/asidN676GwD9kVUoocseLY/data/729312631/attachments/attUPWk3VkEzaoMTYCWoEgm6/</t>
  </si>
  <si>
    <t>1764760607748.jpg</t>
  </si>
  <si>
    <t>https://eu.kobotoolbox.org/api/v2/assets/asidN676GwD9kVUoocseLY/data/729312631/attachments/attQmQZV2U7LctQJDTy9emkt/</t>
  </si>
  <si>
    <t xml:space="preserve">الرقم التسلسلي 96 
سيقوم بتقديم الاوراق الثبوتية للبلدية </t>
  </si>
  <si>
    <t>محمد حسام</t>
  </si>
  <si>
    <t>احسان الدين</t>
  </si>
  <si>
    <t>مسره السعدي</t>
  </si>
  <si>
    <t>هدايات مصطفى الخطيب</t>
  </si>
  <si>
    <t>1764761476062.jpg</t>
  </si>
  <si>
    <t>https://eu.kobotoolbox.org/api/v2/assets/asidN676GwD9kVUoocseLY/data/729314568/attachments/att2qCWFnCCco8AaZD762Erp/</t>
  </si>
  <si>
    <t>1764761505401.jpg</t>
  </si>
  <si>
    <t>https://eu.kobotoolbox.org/api/v2/assets/asidN676GwD9kVUoocseLY/data/729314568/attachments/attGutBW7fxAbBdVSoFjsm3B/</t>
  </si>
  <si>
    <t>زملكا اول حزة</t>
  </si>
  <si>
    <t>بتر بأصابع القدم نتيجة اصابة حربية</t>
  </si>
  <si>
    <t>زملكا مقابل جامع الحسن</t>
  </si>
  <si>
    <t>1764761756667.jpg</t>
  </si>
  <si>
    <t>https://eu.kobotoolbox.org/api/v2/assets/asidN676GwD9kVUoocseLY/data/729314568/attachments/attxVVkWEgPmt5Rvy4mLT96r/</t>
  </si>
  <si>
    <t>1764761813617.jpg</t>
  </si>
  <si>
    <t>https://eu.kobotoolbox.org/api/v2/assets/asidN676GwD9kVUoocseLY/data/729314568/attachments/attu7qgZkkatg3exSkSkfuEY/</t>
  </si>
  <si>
    <t>1764761829284.jpg</t>
  </si>
  <si>
    <t>https://eu.kobotoolbox.org/api/v2/assets/asidN676GwD9kVUoocseLY/data/729314568/attachments/attxR7yo8hK5EC22GC9uRyfT/</t>
  </si>
  <si>
    <t>1764761842122.jpg</t>
  </si>
  <si>
    <t>https://eu.kobotoolbox.org/api/v2/assets/asidN676GwD9kVUoocseLY/data/729314568/attachments/att5vVWu63hBqEYvNCXgYvTA/</t>
  </si>
  <si>
    <t>1764761849904.jpg</t>
  </si>
  <si>
    <t>https://eu.kobotoolbox.org/api/v2/assets/asidN676GwD9kVUoocseLY/data/729314568/attachments/att8tDtnMRgYbxJWqr9SFr4u/</t>
  </si>
  <si>
    <t>1764761857709.jpg</t>
  </si>
  <si>
    <t>https://eu.kobotoolbox.org/api/v2/assets/asidN676GwD9kVUoocseLY/data/729314568/attachments/attAo7mPT9m86Y87nUb5JqcC/</t>
  </si>
  <si>
    <t>1764761869174.jpg</t>
  </si>
  <si>
    <t>https://eu.kobotoolbox.org/api/v2/assets/asidN676GwD9kVUoocseLY/data/729314568/attachments/attRCsp76SaLVnyNh2DXVgDf/</t>
  </si>
  <si>
    <t>1764761881573.jpg</t>
  </si>
  <si>
    <t>https://eu.kobotoolbox.org/api/v2/assets/asidN676GwD9kVUoocseLY/data/729314568/attachments/attJXU4b64ySfqXW4shPfQCr/</t>
  </si>
  <si>
    <t>1764761888078.jpg</t>
  </si>
  <si>
    <t>https://eu.kobotoolbox.org/api/v2/assets/asidN676GwD9kVUoocseLY/data/729314568/attachments/attNxnh2NYzoe88596ndFJ9y/</t>
  </si>
  <si>
    <t>الرقم التسلسلي 193</t>
  </si>
  <si>
    <t xml:space="preserve">لمى </t>
  </si>
  <si>
    <t xml:space="preserve">بسام </t>
  </si>
  <si>
    <t>غاده نوح</t>
  </si>
  <si>
    <t>1764762410271.jpg</t>
  </si>
  <si>
    <t>https://eu.kobotoolbox.org/api/v2/assets/asidN676GwD9kVUoocseLY/data/729314991/attachments/attnjQYm2Hk3YSR4PoAR6ea6/</t>
  </si>
  <si>
    <t>1764762425164.jpg</t>
  </si>
  <si>
    <t>https://eu.kobotoolbox.org/api/v2/assets/asidN676GwD9kVUoocseLY/data/729314991/attachments/attyLFWWzzXmE5P5Crx6RL5v/</t>
  </si>
  <si>
    <t>حارة المحاريق بيت والدها</t>
  </si>
  <si>
    <t>1764762686493.jpg</t>
  </si>
  <si>
    <t>https://eu.kobotoolbox.org/api/v2/assets/asidN676GwD9kVUoocseLY/data/729314991/attachments/attmNRRaZcojD9aEx76bqpJi/</t>
  </si>
  <si>
    <t>1764762744158.jpg</t>
  </si>
  <si>
    <t>https://eu.kobotoolbox.org/api/v2/assets/asidN676GwD9kVUoocseLY/data/729314991/attachments/attJMo7NTkMtMrpMS4myiZLe/</t>
  </si>
  <si>
    <t>1764762754435.jpg</t>
  </si>
  <si>
    <t>https://eu.kobotoolbox.org/api/v2/assets/asidN676GwD9kVUoocseLY/data/729314991/attachments/attkEzuFuyH5NmVj9SCTRhMM/</t>
  </si>
  <si>
    <t>1764762767799.jpg</t>
  </si>
  <si>
    <t>https://eu.kobotoolbox.org/api/v2/assets/asidN676GwD9kVUoocseLY/data/729314991/attachments/attdCcaKkv5xAGvRMFYYBB7b/</t>
  </si>
  <si>
    <t>1764762774608.jpg</t>
  </si>
  <si>
    <t>https://eu.kobotoolbox.org/api/v2/assets/asidN676GwD9kVUoocseLY/data/729314991/attachments/atthsTRPYt9xZhaPwha3jEjc/</t>
  </si>
  <si>
    <t>1764762784850.jpg</t>
  </si>
  <si>
    <t>https://eu.kobotoolbox.org/api/v2/assets/asidN676GwD9kVUoocseLY/data/729314991/attachments/attAgmozpvKXTCi85yQSUWn6/</t>
  </si>
  <si>
    <t>1764762794755.jpg</t>
  </si>
  <si>
    <t>https://eu.kobotoolbox.org/api/v2/assets/asidN676GwD9kVUoocseLY/data/729314991/attachments/attPgxhXdcoLmzRZUFYWUm7e/</t>
  </si>
  <si>
    <t>1764762802980.jpg</t>
  </si>
  <si>
    <t>https://eu.kobotoolbox.org/api/v2/assets/asidN676GwD9kVUoocseLY/data/729314991/attachments/att9XTyR8WLuQyPLuEAWNPbj/</t>
  </si>
  <si>
    <t>1764762809557.jpg</t>
  </si>
  <si>
    <t>https://eu.kobotoolbox.org/api/v2/assets/asidN676GwD9kVUoocseLY/data/729314991/attachments/atthcnKkUD7RtE7VGBgXGaTh/</t>
  </si>
  <si>
    <t xml:space="preserve">الرقم التسلسلي 264
العقد بأسم الزوج والزوج متوفي </t>
  </si>
  <si>
    <t>أحمد</t>
  </si>
  <si>
    <t>عائدة</t>
  </si>
  <si>
    <t>زينب محمود سكرية</t>
  </si>
  <si>
    <t>1764672021097.jpg</t>
  </si>
  <si>
    <t>https://eu.kobotoolbox.org/api/v2/assets/asidN676GwD9kVUoocseLY/data/729389630/attachments/attcEMzEwnBdbX8gbrkCwpQt/</t>
  </si>
  <si>
    <t>1764672031595.jpg</t>
  </si>
  <si>
    <t>https://eu.kobotoolbox.org/api/v2/assets/asidN676GwD9kVUoocseLY/data/729389630/attachments/attMQEC464FK2wPBy6gJc487/</t>
  </si>
  <si>
    <t>مزرعة  حارة الحمام</t>
  </si>
  <si>
    <t>1764672384003.jpg</t>
  </si>
  <si>
    <t>https://eu.kobotoolbox.org/api/v2/assets/asidN676GwD9kVUoocseLY/data/729389630/attachments/att8CDcG7JhaUUbWb84NA8Qb/</t>
  </si>
  <si>
    <t>1764672410483.jpg</t>
  </si>
  <si>
    <t>https://eu.kobotoolbox.org/api/v2/assets/asidN676GwD9kVUoocseLY/data/729389630/attachments/attAxAzpRY6oxPoxKRJ8zCfE/</t>
  </si>
  <si>
    <t>1764672427537.jpg</t>
  </si>
  <si>
    <t>https://eu.kobotoolbox.org/api/v2/assets/asidN676GwD9kVUoocseLY/data/729389630/attachments/atttZnoZmXCyHb2qKeUZggjZ/</t>
  </si>
  <si>
    <t>1764672457276.jpg</t>
  </si>
  <si>
    <t>https://eu.kobotoolbox.org/api/v2/assets/asidN676GwD9kVUoocseLY/data/729389630/attachments/attUEAD7hWmByPTDpE95rxym/</t>
  </si>
  <si>
    <t>1764672464554.jpg</t>
  </si>
  <si>
    <t>https://eu.kobotoolbox.org/api/v2/assets/asidN676GwD9kVUoocseLY/data/729389630/attachments/attFjeiEnTVZiHba3FDgQJMZ/</t>
  </si>
  <si>
    <t>1764672495762.jpg</t>
  </si>
  <si>
    <t>https://eu.kobotoolbox.org/api/v2/assets/asidN676GwD9kVUoocseLY/data/729389630/attachments/attxveVKq3MXWzzzmoa9U3ZD/</t>
  </si>
  <si>
    <t>1764672530691.jpg</t>
  </si>
  <si>
    <t>https://eu.kobotoolbox.org/api/v2/assets/asidN676GwD9kVUoocseLY/data/729389630/attachments/attjEij8euhQzvU2B4kutMCZ/</t>
  </si>
  <si>
    <t>1764672544315.jpg</t>
  </si>
  <si>
    <t>https://eu.kobotoolbox.org/api/v2/assets/asidN676GwD9kVUoocseLY/data/729389630/attachments/attkvWYQkiiziCUUmJLjbDyt/</t>
  </si>
  <si>
    <t>156</t>
  </si>
  <si>
    <t>إياد</t>
  </si>
  <si>
    <t>فلاك الشيخ</t>
  </si>
  <si>
    <t>ريم محمد سالم الحلو</t>
  </si>
  <si>
    <t>1764675612591.jpg</t>
  </si>
  <si>
    <t>https://eu.kobotoolbox.org/api/v2/assets/asidN676GwD9kVUoocseLY/data/729389907/attachments/attGgckhwuP3KwwuuCXdE4pD/</t>
  </si>
  <si>
    <t>1764675631145.jpg</t>
  </si>
  <si>
    <t>https://eu.kobotoolbox.org/api/v2/assets/asidN676GwD9kVUoocseLY/data/729389907/attachments/attFGpH8ASxZMySpVoWd8ep9/</t>
  </si>
  <si>
    <t>حارة الحمام بناء النداف</t>
  </si>
  <si>
    <t>حارة الحمام  بناء النداف</t>
  </si>
  <si>
    <t>1764676551406.jpg</t>
  </si>
  <si>
    <t>https://eu.kobotoolbox.org/api/v2/assets/asidN676GwD9kVUoocseLY/data/729389907/attachments/attcyDMv7J5HBosRNKCkmnRM/</t>
  </si>
  <si>
    <t>1764676667833.jpg</t>
  </si>
  <si>
    <t>https://eu.kobotoolbox.org/api/v2/assets/asidN676GwD9kVUoocseLY/data/729389907/attachments/attMgAeUmAH3V3WvL5sghQMD/</t>
  </si>
  <si>
    <t>1764676111035.jpg</t>
  </si>
  <si>
    <t>https://eu.kobotoolbox.org/api/v2/assets/asidN676GwD9kVUoocseLY/data/729389907/attachments/attvqNeS9DTtNBg9U7vLjPWU/</t>
  </si>
  <si>
    <t>1764676125112.jpg</t>
  </si>
  <si>
    <t>https://eu.kobotoolbox.org/api/v2/assets/asidN676GwD9kVUoocseLY/data/729389907/attachments/attADr3CBTftB723uEbgei34/</t>
  </si>
  <si>
    <t>1764676159427.jpg</t>
  </si>
  <si>
    <t>https://eu.kobotoolbox.org/api/v2/assets/asidN676GwD9kVUoocseLY/data/729389907/attachments/attKPzDhwYUkdkGaWdoLYNnk/</t>
  </si>
  <si>
    <t>1764676196370.jpg</t>
  </si>
  <si>
    <t>https://eu.kobotoolbox.org/api/v2/assets/asidN676GwD9kVUoocseLY/data/729389907/attachments/attJ5nSjmKKdK8a4R3dBwrZX/</t>
  </si>
  <si>
    <t>1764676705661.jpg</t>
  </si>
  <si>
    <t>https://eu.kobotoolbox.org/api/v2/assets/asidN676GwD9kVUoocseLY/data/729389907/attachments/attbkgeNLotYweJ2xx5ivmfe/</t>
  </si>
  <si>
    <t>1764676213541.jpg</t>
  </si>
  <si>
    <t>https://eu.kobotoolbox.org/api/v2/assets/asidN676GwD9kVUoocseLY/data/729389907/attachments/att9dDxeeKt4nrmSbDwr2eke/</t>
  </si>
  <si>
    <t>1764676228602.jpg</t>
  </si>
  <si>
    <t>https://eu.kobotoolbox.org/api/v2/assets/asidN676GwD9kVUoocseLY/data/729389907/attachments/attu4vNz2HcnunMUvSCxPDog/</t>
  </si>
  <si>
    <t>212</t>
  </si>
  <si>
    <t>مأمون</t>
  </si>
  <si>
    <t>فايزة</t>
  </si>
  <si>
    <t>باسمة عمر الحلاق</t>
  </si>
  <si>
    <t>1764668819386.jpg</t>
  </si>
  <si>
    <t>https://eu.kobotoolbox.org/api/v2/assets/asidN676GwD9kVUoocseLY/data/729390337/attachments/attHXGYogRnKP85YfRjMZ5hm/</t>
  </si>
  <si>
    <t>1764668828284.jpg</t>
  </si>
  <si>
    <t>https://eu.kobotoolbox.org/api/v2/assets/asidN676GwD9kVUoocseLY/data/729390337/attachments/attYBJLKhh8FpFiAjUzk3aoK/</t>
  </si>
  <si>
    <t>مزرعة  آخر طريق الحمام  جانب بيت الدباس</t>
  </si>
  <si>
    <t>مزرعة آخر طريق الحمام</t>
  </si>
  <si>
    <t>1764669297535.jpg</t>
  </si>
  <si>
    <t>https://eu.kobotoolbox.org/api/v2/assets/asidN676GwD9kVUoocseLY/data/729390337/attachments/att5xxksy7zm26nSyoYjnopN/</t>
  </si>
  <si>
    <t>1764669566129.jpg</t>
  </si>
  <si>
    <t>https://eu.kobotoolbox.org/api/v2/assets/asidN676GwD9kVUoocseLY/data/729390337/attachments/attdihihbJaUtdfUmRhn5sUR/</t>
  </si>
  <si>
    <t>1764669746064.jpg</t>
  </si>
  <si>
    <t>https://eu.kobotoolbox.org/api/v2/assets/asidN676GwD9kVUoocseLY/data/729390337/attachments/attSHB6BGvq7MUBokK8swV6p/</t>
  </si>
  <si>
    <t>1764669589832.jpg</t>
  </si>
  <si>
    <t>https://eu.kobotoolbox.org/api/v2/assets/asidN676GwD9kVUoocseLY/data/729390337/attachments/attUWDCJkP5WQcaWSAWePGk6/</t>
  </si>
  <si>
    <t>1764669651480.jpg</t>
  </si>
  <si>
    <t>https://eu.kobotoolbox.org/api/v2/assets/asidN676GwD9kVUoocseLY/data/729390337/attachments/attg66Nt34dftGhjiaoEth3Q/</t>
  </si>
  <si>
    <t>1764669692304.jpg</t>
  </si>
  <si>
    <t>https://eu.kobotoolbox.org/api/v2/assets/asidN676GwD9kVUoocseLY/data/729390337/attachments/attRPm4DcGi96Eg2uBEyMrpz/</t>
  </si>
  <si>
    <t>1764669775766.jpg</t>
  </si>
  <si>
    <t>https://eu.kobotoolbox.org/api/v2/assets/asidN676GwD9kVUoocseLY/data/729390337/attachments/attBbCBzysjkMfthk5whuPD6/</t>
  </si>
  <si>
    <t>1764669721403.jpg</t>
  </si>
  <si>
    <t>https://eu.kobotoolbox.org/api/v2/assets/asidN676GwD9kVUoocseLY/data/729390337/attachments/attV5HPzfv9QbmjaUmBqi2we/</t>
  </si>
  <si>
    <t>1764669799379.jpg</t>
  </si>
  <si>
    <t>https://eu.kobotoolbox.org/api/v2/assets/asidN676GwD9kVUoocseLY/data/729390337/attachments/attdN23Ae9fdnZpSCLEtRUBC/</t>
  </si>
  <si>
    <t>معروف</t>
  </si>
  <si>
    <t>منى أحمد ازرق</t>
  </si>
  <si>
    <t>1764659673519.jpg</t>
  </si>
  <si>
    <t>https://eu.kobotoolbox.org/api/v2/assets/asidN676GwD9kVUoocseLY/data/729390583/attachments/attoEGYVkT9w4E8mihbiyiQM/</t>
  </si>
  <si>
    <t>1764659690083.jpg</t>
  </si>
  <si>
    <t>https://eu.kobotoolbox.org/api/v2/assets/asidN676GwD9kVUoocseLY/data/729390583/attachments/attb42Edwozqop8jeavcnKK2/</t>
  </si>
  <si>
    <t>1764660323246.jpg</t>
  </si>
  <si>
    <t>https://eu.kobotoolbox.org/api/v2/assets/asidN676GwD9kVUoocseLY/data/729390583/attachments/attZHWWSubL5dquedKTxReqC/</t>
  </si>
  <si>
    <t>1764660342559.jpg</t>
  </si>
  <si>
    <t>https://eu.kobotoolbox.org/api/v2/assets/asidN676GwD9kVUoocseLY/data/729390583/attachments/attsoghenvaLBWZgzJ88F93m/</t>
  </si>
  <si>
    <t>1764660389953.jpg</t>
  </si>
  <si>
    <t>https://eu.kobotoolbox.org/api/v2/assets/asidN676GwD9kVUoocseLY/data/729390583/attachments/att5whmQMfupxjzP5p9wBVvA/</t>
  </si>
  <si>
    <t>1764660453912.jpg</t>
  </si>
  <si>
    <t>https://eu.kobotoolbox.org/api/v2/assets/asidN676GwD9kVUoocseLY/data/729390583/attachments/attfzmdFm5vqaYKkqf3jhEVB/</t>
  </si>
  <si>
    <t>1764660481428.jpg</t>
  </si>
  <si>
    <t>https://eu.kobotoolbox.org/api/v2/assets/asidN676GwD9kVUoocseLY/data/729390583/attachments/attEN82xY64qmw6a78aTTYqQ/</t>
  </si>
  <si>
    <t>1764660504394.jpg</t>
  </si>
  <si>
    <t>https://eu.kobotoolbox.org/api/v2/assets/asidN676GwD9kVUoocseLY/data/729390583/attachments/attnL22e6NfDcvarWdhCgQjR/</t>
  </si>
  <si>
    <t>1764660515288.jpg</t>
  </si>
  <si>
    <t>https://eu.kobotoolbox.org/api/v2/assets/asidN676GwD9kVUoocseLY/data/729390583/attachments/att2LfFGGPKq9VCcxUkM4AoQ/</t>
  </si>
  <si>
    <t>1764660529068.jpg</t>
  </si>
  <si>
    <t>https://eu.kobotoolbox.org/api/v2/assets/asidN676GwD9kVUoocseLY/data/729390583/attachments/attkQdydTMft7Btq4pEZUDJa/</t>
  </si>
  <si>
    <t>147</t>
  </si>
  <si>
    <t>الخولي</t>
  </si>
  <si>
    <t>ربيعة أميري</t>
  </si>
  <si>
    <t>أمل أحمد الخولي</t>
  </si>
  <si>
    <t>1764759023097.jpg</t>
  </si>
  <si>
    <t>https://eu.kobotoolbox.org/api/v2/assets/asidN676GwD9kVUoocseLY/data/729393207/attachments/attXT8Fj9u9bQBLCgBVLszaH/</t>
  </si>
  <si>
    <t>1764759036656.jpg</t>
  </si>
  <si>
    <t>https://eu.kobotoolbox.org/api/v2/assets/asidN676GwD9kVUoocseLY/data/729393207/attachments/attzx4i6vK3v6wD6mj3XFeiv/</t>
  </si>
  <si>
    <t>المزرعة مقابل ابو عبيد الهندي</t>
  </si>
  <si>
    <t>المزرعة مقابل أبو عبيدة الهندي</t>
  </si>
  <si>
    <t>1764759395737.jpg</t>
  </si>
  <si>
    <t>https://eu.kobotoolbox.org/api/v2/assets/asidN676GwD9kVUoocseLY/data/729393207/attachments/attAzKLnZqAm4dQr5Tnui4zt/</t>
  </si>
  <si>
    <t>1764759681688.jpg</t>
  </si>
  <si>
    <t>https://eu.kobotoolbox.org/api/v2/assets/asidN676GwD9kVUoocseLY/data/729393207/attachments/atttMw5uG76VfGPkCVuhzRY9/</t>
  </si>
  <si>
    <t>1764759814464.jpg</t>
  </si>
  <si>
    <t>https://eu.kobotoolbox.org/api/v2/assets/asidN676GwD9kVUoocseLY/data/729393207/attachments/att7JYjvw7oL3Y9E5dJqJUXz/</t>
  </si>
  <si>
    <t>1764759699195.jpg</t>
  </si>
  <si>
    <t>https://eu.kobotoolbox.org/api/v2/assets/asidN676GwD9kVUoocseLY/data/729393207/attachments/attEY4JvFGHSQrBg8C3iaGTB/</t>
  </si>
  <si>
    <t>1764759736976.jpg</t>
  </si>
  <si>
    <t>https://eu.kobotoolbox.org/api/v2/assets/asidN676GwD9kVUoocseLY/data/729393207/attachments/attbML49CAxWcx97yGdqMCQa/</t>
  </si>
  <si>
    <t>1764759833042.jpg</t>
  </si>
  <si>
    <t>https://eu.kobotoolbox.org/api/v2/assets/asidN676GwD9kVUoocseLY/data/729393207/attachments/attbtTfTP79JAFMvQTsxUcDC/</t>
  </si>
  <si>
    <t>1764759752963.jpg</t>
  </si>
  <si>
    <t>https://eu.kobotoolbox.org/api/v2/assets/asidN676GwD9kVUoocseLY/data/729393207/attachments/attayvmQeNCLEz4v8XfbMdUS/</t>
  </si>
  <si>
    <t>1764759765863.jpg</t>
  </si>
  <si>
    <t>https://eu.kobotoolbox.org/api/v2/assets/asidN676GwD9kVUoocseLY/data/729393207/attachments/attyMia6WqJMTNqmi2CmHmGV/</t>
  </si>
  <si>
    <t>1764759779606.jpg</t>
  </si>
  <si>
    <t>https://eu.kobotoolbox.org/api/v2/assets/asidN676GwD9kVUoocseLY/data/729393207/attachments/attfhAr4t3MeC8bJPbKGWQva/</t>
  </si>
  <si>
    <t>209</t>
  </si>
  <si>
    <t xml:space="preserve">نذير </t>
  </si>
  <si>
    <t>منى أحمد الدباس</t>
  </si>
  <si>
    <t>1764761409039.jpg</t>
  </si>
  <si>
    <t>https://eu.kobotoolbox.org/api/v2/assets/asidN676GwD9kVUoocseLY/data/729393236/attachments/attC5u9dqmVMswzZPW7frbe6/</t>
  </si>
  <si>
    <t>1764761421119.jpg</t>
  </si>
  <si>
    <t>https://eu.kobotoolbox.org/api/v2/assets/asidN676GwD9kVUoocseLY/data/729393236/attachments/attG8YifeqQxpLJVZabM3uzT/</t>
  </si>
  <si>
    <t>المزرعة  جانب جامع التوفيق</t>
  </si>
  <si>
    <t>مزرعة جانب جامع التوفيق</t>
  </si>
  <si>
    <t>1764761870340.jpg</t>
  </si>
  <si>
    <t>https://eu.kobotoolbox.org/api/v2/assets/asidN676GwD9kVUoocseLY/data/729393236/attachments/atttjhNxwm5AXfayMN6mKKBS/</t>
  </si>
  <si>
    <t>1764762017220.jpg</t>
  </si>
  <si>
    <t>https://eu.kobotoolbox.org/api/v2/assets/asidN676GwD9kVUoocseLY/data/729393236/attachments/attHY8bBvGfNAEhGADB5AbHZ/</t>
  </si>
  <si>
    <t>1764762137429.jpg</t>
  </si>
  <si>
    <t>https://eu.kobotoolbox.org/api/v2/assets/asidN676GwD9kVUoocseLY/data/729393236/attachments/attAaGp3ePp4tj2tBXWbYpSJ/</t>
  </si>
  <si>
    <t>1764762037162.jpg</t>
  </si>
  <si>
    <t>https://eu.kobotoolbox.org/api/v2/assets/asidN676GwD9kVUoocseLY/data/729393236/attachments/attCyMcbuh3oLf6nmRrB6ocj/</t>
  </si>
  <si>
    <t>1764762051612.jpg</t>
  </si>
  <si>
    <t>https://eu.kobotoolbox.org/api/v2/assets/asidN676GwD9kVUoocseLY/data/729393236/attachments/attqMdkYCPbXxqaSNJRjfrZd/</t>
  </si>
  <si>
    <t>1764762063983.jpg</t>
  </si>
  <si>
    <t>https://eu.kobotoolbox.org/api/v2/assets/asidN676GwD9kVUoocseLY/data/729393236/attachments/att7f3dPPDHWWy4PPdQG4yFB/</t>
  </si>
  <si>
    <t>1764762077604.jpg</t>
  </si>
  <si>
    <t>https://eu.kobotoolbox.org/api/v2/assets/asidN676GwD9kVUoocseLY/data/729393236/attachments/att5UCTGMgYdD2cFk27PteFZ/</t>
  </si>
  <si>
    <t>1764762092259.jpg</t>
  </si>
  <si>
    <t>https://eu.kobotoolbox.org/api/v2/assets/asidN676GwD9kVUoocseLY/data/729393236/attachments/attQphwSY87HjPMeVzzPdZ7m/</t>
  </si>
  <si>
    <t>1764762100289.jpg</t>
  </si>
  <si>
    <t>https://eu.kobotoolbox.org/api/v2/assets/asidN676GwD9kVUoocseLY/data/729393236/attachments/attBrGdsajVkSA4sYkkJPTf6/</t>
  </si>
  <si>
    <t>98</t>
  </si>
  <si>
    <t>مريم</t>
  </si>
  <si>
    <t>المصري</t>
  </si>
  <si>
    <t>فلك القضماني</t>
  </si>
  <si>
    <t>ماهر مظهر المزور</t>
  </si>
  <si>
    <t>1764764044110.jpg</t>
  </si>
  <si>
    <t>https://eu.kobotoolbox.org/api/v2/assets/asidN676GwD9kVUoocseLY/data/729393310/attachments/attUNTHRUezCewfz7ZdrLWqG/</t>
  </si>
  <si>
    <t>1764764054123.jpg</t>
  </si>
  <si>
    <t>https://eu.kobotoolbox.org/api/v2/assets/asidN676GwD9kVUoocseLY/data/729393310/attachments/attymVgnK4zXtMJ8BcVHdgCx/</t>
  </si>
  <si>
    <t>مزرعة قرب مدرسة أم مازن</t>
  </si>
  <si>
    <t>1764764497207.jpg</t>
  </si>
  <si>
    <t>https://eu.kobotoolbox.org/api/v2/assets/asidN676GwD9kVUoocseLY/data/729393310/attachments/attT9gNrgRNr4x7YQEeg8Ftf/</t>
  </si>
  <si>
    <t>1764764623848.jpg</t>
  </si>
  <si>
    <t>https://eu.kobotoolbox.org/api/v2/assets/asidN676GwD9kVUoocseLY/data/729393310/attachments/attxok49mp2xMV6duAQyGykf/</t>
  </si>
  <si>
    <t>1764764637871.jpg</t>
  </si>
  <si>
    <t>https://eu.kobotoolbox.org/api/v2/assets/asidN676GwD9kVUoocseLY/data/729393310/attachments/attDqQEPYhXpDdaqoRVECSc3/</t>
  </si>
  <si>
    <t>1764764650017.jpg</t>
  </si>
  <si>
    <t>https://eu.kobotoolbox.org/api/v2/assets/asidN676GwD9kVUoocseLY/data/729393310/attachments/attTCHMQfG9tGfpxBLWBdhck/</t>
  </si>
  <si>
    <t>1764764730496.jpg</t>
  </si>
  <si>
    <t>https://eu.kobotoolbox.org/api/v2/assets/asidN676GwD9kVUoocseLY/data/729393310/attachments/attKefQQz4XFq4DbfSCrwTs9/</t>
  </si>
  <si>
    <t>1764764659109.jpg</t>
  </si>
  <si>
    <t>https://eu.kobotoolbox.org/api/v2/assets/asidN676GwD9kVUoocseLY/data/729393310/attachments/attZqQ9JKraHBi3E8iAdXAQq/</t>
  </si>
  <si>
    <t>1764764674787.jpg</t>
  </si>
  <si>
    <t>https://eu.kobotoolbox.org/api/v2/assets/asidN676GwD9kVUoocseLY/data/729393310/attachments/attRvdSydopw4skMqLGwgJjF/</t>
  </si>
  <si>
    <t>1764764700727.jpg</t>
  </si>
  <si>
    <t>https://eu.kobotoolbox.org/api/v2/assets/asidN676GwD9kVUoocseLY/data/729393310/attachments/attZooGLosZ6npcQzby9sLJk/</t>
  </si>
  <si>
    <t>1764764716987.jpg</t>
  </si>
  <si>
    <t>https://eu.kobotoolbox.org/api/v2/assets/asidN676GwD9kVUoocseLY/data/729393310/attachments/atthvNRYCLhpgc7CETqPy4JB/</t>
  </si>
  <si>
    <t>86 محمد معتز مظهر المزور</t>
  </si>
  <si>
    <t>أماني</t>
  </si>
  <si>
    <t>مياز</t>
  </si>
  <si>
    <t>الزعيم</t>
  </si>
  <si>
    <t>هناء</t>
  </si>
  <si>
    <t>محمد حسن محمد سعيد جيرودي</t>
  </si>
  <si>
    <t>1764754694410.jpg</t>
  </si>
  <si>
    <t>https://eu.kobotoolbox.org/api/v2/assets/asidN676GwD9kVUoocseLY/data/729396379/attachments/att7EwuCmWHdn2hohMVYMxrS/</t>
  </si>
  <si>
    <t>1764754733142.jpg</t>
  </si>
  <si>
    <t>https://eu.kobotoolbox.org/api/v2/assets/asidN676GwD9kVUoocseLY/data/729396379/attachments/att952QJkURdxSxRZcQK9pqH/</t>
  </si>
  <si>
    <t>المزرع جانب مدرسة الآمال الواعدة</t>
  </si>
  <si>
    <t>مزرعة جانب مدرسة الآمال الواعدة</t>
  </si>
  <si>
    <t>1764755265232.jpg</t>
  </si>
  <si>
    <t>https://eu.kobotoolbox.org/api/v2/assets/asidN676GwD9kVUoocseLY/data/729396379/attachments/atteKC4JnMpmY7xwLmWrT6ta/</t>
  </si>
  <si>
    <t>1764755444160.jpg</t>
  </si>
  <si>
    <t>https://eu.kobotoolbox.org/api/v2/assets/asidN676GwD9kVUoocseLY/data/729396379/attachments/att6BqkkS5b9zA9GiaLV4mZG/</t>
  </si>
  <si>
    <t>1764755459250.jpg</t>
  </si>
  <si>
    <t>https://eu.kobotoolbox.org/api/v2/assets/asidN676GwD9kVUoocseLY/data/729396379/attachments/attAEdG9YEqhwS84q2mRDKNW/</t>
  </si>
  <si>
    <t>1764755639978.jpg</t>
  </si>
  <si>
    <t>https://eu.kobotoolbox.org/api/v2/assets/asidN676GwD9kVUoocseLY/data/729396379/attachments/attVZY7XZ3Xf3X9QSUbE877z/</t>
  </si>
  <si>
    <t>1764755524998.jpg</t>
  </si>
  <si>
    <t>https://eu.kobotoolbox.org/api/v2/assets/asidN676GwD9kVUoocseLY/data/729396379/attachments/atteZvxxTXgZckSLJtxX337u/</t>
  </si>
  <si>
    <t>1764755564082.jpg</t>
  </si>
  <si>
    <t>https://eu.kobotoolbox.org/api/v2/assets/asidN676GwD9kVUoocseLY/data/729396379/attachments/attXMbhE8uCQWgjMKb6DxBLF/</t>
  </si>
  <si>
    <t>1764755674326.jpg</t>
  </si>
  <si>
    <t>https://eu.kobotoolbox.org/api/v2/assets/asidN676GwD9kVUoocseLY/data/729396379/attachments/attTMCYchr5hBRiBmvAFhXTa/</t>
  </si>
  <si>
    <t>1764755591833.jpg</t>
  </si>
  <si>
    <t>https://eu.kobotoolbox.org/api/v2/assets/asidN676GwD9kVUoocseLY/data/729396379/attachments/attQgv7o79FfQC4y8jPf8uuZ/</t>
  </si>
  <si>
    <t>1764755613627.jpg</t>
  </si>
  <si>
    <t>https://eu.kobotoolbox.org/api/v2/assets/asidN676GwD9kVUoocseLY/data/729396379/attachments/attoSyGyjHbne89tCZZtiD7m/</t>
  </si>
  <si>
    <t>سور للدرج..عازل للسطح</t>
  </si>
  <si>
    <t>عبد الكريم</t>
  </si>
  <si>
    <t>فتينة</t>
  </si>
  <si>
    <t>نجاح</t>
  </si>
  <si>
    <t>هنادي جمال القشاط</t>
  </si>
  <si>
    <t>1764662014175.jpg</t>
  </si>
  <si>
    <t>https://eu.kobotoolbox.org/api/v2/assets/asidN676GwD9kVUoocseLY/data/729397308/attachments/att4pc9D6GhGspywCwdyA6ba/</t>
  </si>
  <si>
    <t>1764662033585.jpg</t>
  </si>
  <si>
    <t>https://eu.kobotoolbox.org/api/v2/assets/asidN676GwD9kVUoocseLY/data/729397308/attachments/attMiaLntp3ZiFZzDggsJmbN/</t>
  </si>
  <si>
    <t>1764662551952.jpg</t>
  </si>
  <si>
    <t>https://eu.kobotoolbox.org/api/v2/assets/asidN676GwD9kVUoocseLY/data/729397308/attachments/attxBctFCxP4mvbnNmQxj92m/</t>
  </si>
  <si>
    <t>1764662596325.jpg</t>
  </si>
  <si>
    <t>https://eu.kobotoolbox.org/api/v2/assets/asidN676GwD9kVUoocseLY/data/729397308/attachments/attwvw5ssN6AHaAom7Hptk5p/</t>
  </si>
  <si>
    <t>1764662613879.jpg</t>
  </si>
  <si>
    <t>https://eu.kobotoolbox.org/api/v2/assets/asidN676GwD9kVUoocseLY/data/729397308/attachments/attsAia2XmiiQrLnzKGcjiCT/</t>
  </si>
  <si>
    <t>1764662652097.jpg</t>
  </si>
  <si>
    <t>https://eu.kobotoolbox.org/api/v2/assets/asidN676GwD9kVUoocseLY/data/729397308/attachments/att3H7WkV9pHMTuEAyvi5QdJ/</t>
  </si>
  <si>
    <t>1764662675766.jpg</t>
  </si>
  <si>
    <t>https://eu.kobotoolbox.org/api/v2/assets/asidN676GwD9kVUoocseLY/data/729397308/attachments/attT6ekJ9cTzhwjeFYS8FNFW/</t>
  </si>
  <si>
    <t>1764662687797.jpg</t>
  </si>
  <si>
    <t>https://eu.kobotoolbox.org/api/v2/assets/asidN676GwD9kVUoocseLY/data/729397308/attachments/attvf6PpTWb4Hm5skv9iRpAj/</t>
  </si>
  <si>
    <t>1764662703672.jpg</t>
  </si>
  <si>
    <t>https://eu.kobotoolbox.org/api/v2/assets/asidN676GwD9kVUoocseLY/data/729397308/attachments/attktqgP7CfLwixJhnZiQAEv/</t>
  </si>
  <si>
    <t>1764662713593.jpg</t>
  </si>
  <si>
    <t>https://eu.kobotoolbox.org/api/v2/assets/asidN676GwD9kVUoocseLY/data/729397308/attachments/attpY493GpTVPLWDZzvRTAqK/</t>
  </si>
  <si>
    <t>144 تزكية المجلس البلدي</t>
  </si>
  <si>
    <t>محمد محروس</t>
  </si>
  <si>
    <t>حميدة دياتي</t>
  </si>
  <si>
    <t>سناء خالد السمان</t>
  </si>
  <si>
    <t>1764832966963.jpg</t>
  </si>
  <si>
    <t>https://eu.kobotoolbox.org/api/v2/assets/asidN676GwD9kVUoocseLY/data/729418738/attachments/attv5oNzbfnK33GNdiKuCNyb/</t>
  </si>
  <si>
    <t>1764832998550.jpg</t>
  </si>
  <si>
    <t>https://eu.kobotoolbox.org/api/v2/assets/asidN676GwD9kVUoocseLY/data/729418738/attachments/attEfGcemMrjCaPYVxJyZYRU/</t>
  </si>
  <si>
    <t>ملحق</t>
  </si>
  <si>
    <t>1764833360630.jpg</t>
  </si>
  <si>
    <t>https://eu.kobotoolbox.org/api/v2/assets/asidN676GwD9kVUoocseLY/data/729418738/attachments/attxtFS387aVFk5RZ48vRWj7/</t>
  </si>
  <si>
    <t>1764833375061.jpg</t>
  </si>
  <si>
    <t>https://eu.kobotoolbox.org/api/v2/assets/asidN676GwD9kVUoocseLY/data/729418738/attachments/attPzKSZcQsS528FYW2j5z3X/</t>
  </si>
  <si>
    <t>1764833412575.jpg</t>
  </si>
  <si>
    <t>https://eu.kobotoolbox.org/api/v2/assets/asidN676GwD9kVUoocseLY/data/729418738/attachments/attnMzrAHQCaJ7XFJYn9bqG8/</t>
  </si>
  <si>
    <t>1764833424338.jpg</t>
  </si>
  <si>
    <t>https://eu.kobotoolbox.org/api/v2/assets/asidN676GwD9kVUoocseLY/data/729418738/attachments/attRQDxt4suBbibomM8bNmHg/</t>
  </si>
  <si>
    <t>1764833445012.jpg</t>
  </si>
  <si>
    <t>https://eu.kobotoolbox.org/api/v2/assets/asidN676GwD9kVUoocseLY/data/729418738/attachments/attrQCokqvHCBDxdRmBqssQz/</t>
  </si>
  <si>
    <t>1764833466487.jpg</t>
  </si>
  <si>
    <t>https://eu.kobotoolbox.org/api/v2/assets/asidN676GwD9kVUoocseLY/data/729418738/attachments/attaHLqV6yzvTXRQeNKJcMTH/</t>
  </si>
  <si>
    <t>1764833483872.jpg</t>
  </si>
  <si>
    <t>https://eu.kobotoolbox.org/api/v2/assets/asidN676GwD9kVUoocseLY/data/729418738/attachments/attgTCZZmynDN3BLGKAQFszU/</t>
  </si>
  <si>
    <t>1764833504888.jpg</t>
  </si>
  <si>
    <t>https://eu.kobotoolbox.org/api/v2/assets/asidN676GwD9kVUoocseLY/data/729418738/attachments/attZiabeC7DqKN5XZRzycQ2E/</t>
  </si>
  <si>
    <t>284</t>
  </si>
  <si>
    <t>العاصي</t>
  </si>
  <si>
    <t>عليا الشايب</t>
  </si>
  <si>
    <t>منار دوفش</t>
  </si>
  <si>
    <t>1764833486901.jpg</t>
  </si>
  <si>
    <t>https://eu.kobotoolbox.org/api/v2/assets/asidN676GwD9kVUoocseLY/data/729442744/attachments/att3Ec2grqYygVhtFqgpmdb4/</t>
  </si>
  <si>
    <t>1764833498155.jpg</t>
  </si>
  <si>
    <t>https://eu.kobotoolbox.org/api/v2/assets/asidN676GwD9kVUoocseLY/data/729442744/attachments/attW38TdFe5D2PqPzaUyth7y/</t>
  </si>
  <si>
    <t>مزرعة المزرعة جانب جامع التوفيق</t>
  </si>
  <si>
    <t>1764833899863.jpg</t>
  </si>
  <si>
    <t>https://eu.kobotoolbox.org/api/v2/assets/asidN676GwD9kVUoocseLY/data/729442744/attachments/attbrWMViq5vZZvjsetPvfWw/</t>
  </si>
  <si>
    <t>1764833912873.jpg</t>
  </si>
  <si>
    <t>https://eu.kobotoolbox.org/api/v2/assets/asidN676GwD9kVUoocseLY/data/729442744/attachments/attL2zi7UG9bHLgUGLq9byuB/</t>
  </si>
  <si>
    <t>1764834062567.jpg</t>
  </si>
  <si>
    <t>https://eu.kobotoolbox.org/api/v2/assets/asidN676GwD9kVUoocseLY/data/729442744/attachments/att98diweuiqByQyCYdvpX7w/</t>
  </si>
  <si>
    <t>1764834081255.jpg</t>
  </si>
  <si>
    <t>https://eu.kobotoolbox.org/api/v2/assets/asidN676GwD9kVUoocseLY/data/729442744/attachments/attNxKeFkiAicftazdyR4qoE/</t>
  </si>
  <si>
    <t>1764834106924.jpg</t>
  </si>
  <si>
    <t>https://eu.kobotoolbox.org/api/v2/assets/asidN676GwD9kVUoocseLY/data/729442744/attachments/attAQRCCQ8ow22mztgzqa2VW/</t>
  </si>
  <si>
    <t>1764834137817.jpg</t>
  </si>
  <si>
    <t>https://eu.kobotoolbox.org/api/v2/assets/asidN676GwD9kVUoocseLY/data/729442744/attachments/att8BYqyUvpHisANp6MxLGTy/</t>
  </si>
  <si>
    <t>1764834166771.jpg</t>
  </si>
  <si>
    <t>https://eu.kobotoolbox.org/api/v2/assets/asidN676GwD9kVUoocseLY/data/729442744/attachments/atta3JuZuLniLXxjBVNcX7Wi/</t>
  </si>
  <si>
    <t>1764834184098.jpg</t>
  </si>
  <si>
    <t>https://eu.kobotoolbox.org/api/v2/assets/asidN676GwD9kVUoocseLY/data/729442744/attachments/attQbbDzk2o2Nnr43XjByNN8/</t>
  </si>
  <si>
    <t xml:space="preserve">لايوجد أوراق </t>
  </si>
  <si>
    <t>نجوى</t>
  </si>
  <si>
    <t>ابراهيم</t>
  </si>
  <si>
    <t>وداح</t>
  </si>
  <si>
    <t>فريزة</t>
  </si>
  <si>
    <t>جمال الدين دباغ</t>
  </si>
  <si>
    <t>1764836119835.jpg</t>
  </si>
  <si>
    <t>https://eu.kobotoolbox.org/api/v2/assets/asidN676GwD9kVUoocseLY/data/729443634/attachments/attKXaTosbTWjTtCGELwUr6w/</t>
  </si>
  <si>
    <t>1764836141065.jpg</t>
  </si>
  <si>
    <t>https://eu.kobotoolbox.org/api/v2/assets/asidN676GwD9kVUoocseLY/data/729443634/attachments/attZgj5hHsEV3vERVwQdj8AU/</t>
  </si>
  <si>
    <t>1764836594499.jpg</t>
  </si>
  <si>
    <t>https://eu.kobotoolbox.org/api/v2/assets/asidN676GwD9kVUoocseLY/data/729443634/attachments/att2eitXKFerZeYMEycfcbif/</t>
  </si>
  <si>
    <t>1764836616692.jpg</t>
  </si>
  <si>
    <t>https://eu.kobotoolbox.org/api/v2/assets/asidN676GwD9kVUoocseLY/data/729443634/attachments/attxgkrkACDwrckRYfqiDEre/</t>
  </si>
  <si>
    <t>1764836639346.jpg</t>
  </si>
  <si>
    <t>https://eu.kobotoolbox.org/api/v2/assets/asidN676GwD9kVUoocseLY/data/729443634/attachments/attCYukgRNL9usvtqh8hpVx9/</t>
  </si>
  <si>
    <t>1764836651888.jpg</t>
  </si>
  <si>
    <t>https://eu.kobotoolbox.org/api/v2/assets/asidN676GwD9kVUoocseLY/data/729443634/attachments/attNGHCDobVkuDpCsuYvmcTT/</t>
  </si>
  <si>
    <t>1764836749350.jpg</t>
  </si>
  <si>
    <t>https://eu.kobotoolbox.org/api/v2/assets/asidN676GwD9kVUoocseLY/data/729443634/attachments/attVcq9agA4PoYGzotQHuqdy/</t>
  </si>
  <si>
    <t>1764836770359.jpg</t>
  </si>
  <si>
    <t>https://eu.kobotoolbox.org/api/v2/assets/asidN676GwD9kVUoocseLY/data/729443634/attachments/attTFr3EdEPw5MeVmrrsFxva/</t>
  </si>
  <si>
    <t>1764836791385.jpg</t>
  </si>
  <si>
    <t>https://eu.kobotoolbox.org/api/v2/assets/asidN676GwD9kVUoocseLY/data/729443634/attachments/attx9XtwaitWzNYuj4vYQLNq/</t>
  </si>
  <si>
    <t>1764836806150.jpg</t>
  </si>
  <si>
    <t>https://eu.kobotoolbox.org/api/v2/assets/asidN676GwD9kVUoocseLY/data/729443634/attachments/attfSM6VoQTynHVn6fMRqc4S/</t>
  </si>
  <si>
    <t>90 جمال الدين ياسين الدباغ</t>
  </si>
  <si>
    <t>_parent_index</t>
  </si>
  <si>
    <t>البند الرئيسي</t>
  </si>
  <si>
    <t>أعمال الغرف والتشطيبات الخارجية</t>
  </si>
  <si>
    <t>أعمال المطبخ ودورات المياه</t>
  </si>
  <si>
    <t>أعمال الكهرباء</t>
  </si>
  <si>
    <t>أعمال التمديدات الصحية والسباكة</t>
  </si>
  <si>
    <t>تمديدات المياه الحلوة</t>
  </si>
  <si>
    <t>أعمال عزل الأسطح</t>
  </si>
  <si>
    <t>البند الفرعي</t>
  </si>
  <si>
    <t>الكمية</t>
  </si>
  <si>
    <t>صورة توضيحية للبند</t>
  </si>
  <si>
    <t>صورة توضيحية للبند_URL</t>
  </si>
  <si>
    <t>1.2 إزالة الأنقاض</t>
  </si>
  <si>
    <t>1764660771916.jpg</t>
  </si>
  <si>
    <t>https://eu.kobotoolbox.org/api/v2/assets/asidN676GwD9kVUoocseLY/data/728688491/attachments/attbkErYmRSeVRtKMXCtyzGz/</t>
  </si>
  <si>
    <t>1.3 أعمال بناء البلوك</t>
  </si>
  <si>
    <t>1764660816183.jpg</t>
  </si>
  <si>
    <t>https://eu.kobotoolbox.org/api/v2/assets/asidN676GwD9kVUoocseLY/data/728688491/attachments/attNVxNvMhswmmP6XJm852GD/</t>
  </si>
  <si>
    <t>1.4 تصليح الأرضيات بالبيتون بدون قالب (250 كغ/م³)</t>
  </si>
  <si>
    <t>1764660831397.jpg</t>
  </si>
  <si>
    <t>https://eu.kobotoolbox.org/api/v2/assets/asidN676GwD9kVUoocseLY/data/728688491/attachments/attg5D5SARXkBoqLGWWmojPZ/</t>
  </si>
  <si>
    <t>1.6 أعمال الطينة للجدران والأسقف</t>
  </si>
  <si>
    <t>1764660943077.jpg</t>
  </si>
  <si>
    <t>https://eu.kobotoolbox.org/api/v2/assets/asidN676GwD9kVUoocseLY/data/728688491/attachments/attySqbHv87ArR2kAth3aNjc/</t>
  </si>
  <si>
    <t>1.9 تقديم وتركيب منجور خشبي مع الإكسسوارات</t>
  </si>
  <si>
    <t>1764660960911.jpg</t>
  </si>
  <si>
    <t>https://eu.kobotoolbox.org/api/v2/assets/asidN676GwD9kVUoocseLY/data/728688491/attachments/atttTDCF9XFJRfKenaPyYz75/</t>
  </si>
  <si>
    <t>1.11 تقديم وتركيب منجور PVC</t>
  </si>
  <si>
    <t>1764660988402.jpg</t>
  </si>
  <si>
    <t>https://eu.kobotoolbox.org/api/v2/assets/asidN676GwD9kVUoocseLY/data/728688491/attachments/att7J33XxjG3C87gG7EUknoB/</t>
  </si>
  <si>
    <t>1.12 تركيب وزرة رخام للأبواب (سماكة 3 سم)</t>
  </si>
  <si>
    <t>1764661044625.jpg</t>
  </si>
  <si>
    <t>https://eu.kobotoolbox.org/api/v2/assets/asidN676GwD9kVUoocseLY/data/728688491/attachments/atthyxBYeABrNWRQNu3TnoWz/</t>
  </si>
  <si>
    <t>2.1 تركيب خلاط مياه كروم مع قلب نحاسي</t>
  </si>
  <si>
    <t>1764661101124.jpg</t>
  </si>
  <si>
    <t>https://eu.kobotoolbox.org/api/v2/assets/asidN676GwD9kVUoocseLY/data/728688491/attachments/attqvvctWyyJaNfAtaTaEtqs/</t>
  </si>
  <si>
    <t>2.2 تركيب سيراميك للأرضيات</t>
  </si>
  <si>
    <t>1764661113627.jpg</t>
  </si>
  <si>
    <t>https://eu.kobotoolbox.org/api/v2/assets/asidN676GwD9kVUoocseLY/data/728688491/attachments/attRRNCAVHgzFKnUxQEfHsSY/</t>
  </si>
  <si>
    <t>2.4 تركيب مجلى موزاييك (2.2 م) مع وقافيات حجر</t>
  </si>
  <si>
    <t>1764661122961.jpg</t>
  </si>
  <si>
    <t>https://eu.kobotoolbox.org/api/v2/assets/asidN676GwD9kVUoocseLY/data/728688491/attachments/attjxDgDjQqAMKaxUt6vuqms/</t>
  </si>
  <si>
    <t>2.7 تركيب حنفية مياه مفردة مع قلب نحاسي</t>
  </si>
  <si>
    <t>1764661189045.jpg</t>
  </si>
  <si>
    <t>https://eu.kobotoolbox.org/api/v2/assets/asidN676GwD9kVUoocseLY/data/728688491/attachments/att2ZWChseorLodCFVWqCC7N/</t>
  </si>
  <si>
    <t>3.2 أسلاك نحاسية 2 مم²</t>
  </si>
  <si>
    <t>1764661255758.jpg</t>
  </si>
  <si>
    <t>https://eu.kobotoolbox.org/api/v2/assets/asidN676GwD9kVUoocseLY/data/728688491/attachments/attjdvswYqn2JhFmury4enFp/</t>
  </si>
  <si>
    <t>3.3 تركيب مفاتيح إنارة</t>
  </si>
  <si>
    <t>1764661288979.jpg</t>
  </si>
  <si>
    <t>https://eu.kobotoolbox.org/api/v2/assets/asidN676GwD9kVUoocseLY/data/728688491/attachments/atta3FJCzVGrf7dYJn38vztp/</t>
  </si>
  <si>
    <t>3.4 تركيب لمبات LED بيضاء</t>
  </si>
  <si>
    <t>1764661316992.jpg</t>
  </si>
  <si>
    <t>https://eu.kobotoolbox.org/api/v2/assets/asidN676GwD9kVUoocseLY/data/728688491/attachments/attSKQVnqdkT35HdvFXAYrCi/</t>
  </si>
  <si>
    <t>3.5 بطارية سائلة 120 أمبير</t>
  </si>
  <si>
    <t>1764661331927.jpg</t>
  </si>
  <si>
    <t>https://eu.kobotoolbox.org/api/v2/assets/asidN676GwD9kVUoocseLY/data/728688491/attachments/attfmRtoQZ6MfYSA6rSbK8v2/</t>
  </si>
  <si>
    <t>3.6 منظم شحن 20 أمبير / 24 فولت</t>
  </si>
  <si>
    <t>1764661351804.jpg</t>
  </si>
  <si>
    <t>https://eu.kobotoolbox.org/api/v2/assets/asidN676GwD9kVUoocseLY/data/728688491/attachments/attT6Z3FSysirNtvYnaZ3uhp/</t>
  </si>
  <si>
    <t>3.7 أسلاك شمسية نحاسية 6 مم²</t>
  </si>
  <si>
    <t>1764661372383.jpg</t>
  </si>
  <si>
    <t>https://eu.kobotoolbox.org/api/v2/assets/asidN676GwD9kVUoocseLY/data/728688491/attachments/attCQksaoFw8bfGXPDNSvGpa/</t>
  </si>
  <si>
    <t>3.8 لوح طاقة شمسية 300 واط / 24 فولت</t>
  </si>
  <si>
    <t>1764661386030.jpg</t>
  </si>
  <si>
    <t>https://eu.kobotoolbox.org/api/v2/assets/asidN676GwD9kVUoocseLY/data/728688491/attachments/att6k2T6hRc98i49o2QJpL32/</t>
  </si>
  <si>
    <t>4.6 تركيب بالوعة ستانلس ستيل مع غطاء</t>
  </si>
  <si>
    <t>1764661436357.jpg</t>
  </si>
  <si>
    <t>https://eu.kobotoolbox.org/api/v2/assets/asidN676GwD9kVUoocseLY/data/728688491/attachments/attaJJr5g4NFLPVwyR5RJCiv/</t>
  </si>
  <si>
    <t>5.1 تركيب خزان مياه صاج 1000 لتر</t>
  </si>
  <si>
    <t>1764661505556.jpg</t>
  </si>
  <si>
    <t>https://eu.kobotoolbox.org/api/v2/assets/asidN676GwD9kVUoocseLY/data/728688491/attachments/att8cLjSJX9W5h7b5Zp967re/</t>
  </si>
  <si>
    <t>1764662585182.jpg</t>
  </si>
  <si>
    <t>https://eu.kobotoolbox.org/api/v2/assets/asidN676GwD9kVUoocseLY/data/728690320/attachments/attti8JStiWASfsXvTCEFewm/</t>
  </si>
  <si>
    <t>1764662602323.jpg</t>
  </si>
  <si>
    <t>https://eu.kobotoolbox.org/api/v2/assets/asidN676GwD9kVUoocseLY/data/728690320/attachments/attnmQAJtUBS7kyGVPBPAKZQ/</t>
  </si>
  <si>
    <t>1764662613128.jpg</t>
  </si>
  <si>
    <t>https://eu.kobotoolbox.org/api/v2/assets/asidN676GwD9kVUoocseLY/data/728690320/attachments/attFPtKpCEZTS5NR6jN2Z2rk/</t>
  </si>
  <si>
    <t>1764662674951.jpg</t>
  </si>
  <si>
    <t>https://eu.kobotoolbox.org/api/v2/assets/asidN676GwD9kVUoocseLY/data/728690320/attachments/attLq7wxS3cg45kHARikd9oF/</t>
  </si>
  <si>
    <t>2.3 تركيب سيراميك للجدران</t>
  </si>
  <si>
    <t>1764662728094.jpg</t>
  </si>
  <si>
    <t>https://eu.kobotoolbox.org/api/v2/assets/asidN676GwD9kVUoocseLY/data/728690320/attachments/attEgzTefdeddft4R6KLMnBj/</t>
  </si>
  <si>
    <t>1764662766266.jpg</t>
  </si>
  <si>
    <t>https://eu.kobotoolbox.org/api/v2/assets/asidN676GwD9kVUoocseLY/data/728690320/attachments/attsiSv6CigMFAysfqZphsmt/</t>
  </si>
  <si>
    <t>2.5 تركيب مرحاض أرضي (بطة)</t>
  </si>
  <si>
    <t>1764662779048.jpg</t>
  </si>
  <si>
    <t>https://eu.kobotoolbox.org/api/v2/assets/asidN676GwD9kVUoocseLY/data/728690320/attachments/att883TMgE7reMoK5ZsnSmRq/</t>
  </si>
  <si>
    <t>2.9 تركيب أسقف مستعارة</t>
  </si>
  <si>
    <t>1764662803056.jpg</t>
  </si>
  <si>
    <t>https://eu.kobotoolbox.org/api/v2/assets/asidN676GwD9kVUoocseLY/data/728690320/attachments/attTFDksE74B5QGmUhvNDqum/</t>
  </si>
  <si>
    <t>1764662814541.jpg</t>
  </si>
  <si>
    <t>https://eu.kobotoolbox.org/api/v2/assets/asidN676GwD9kVUoocseLY/data/728690320/attachments/attvsVfB8LUYpD7otZe28bFB/</t>
  </si>
  <si>
    <t>1764662838146.jpg</t>
  </si>
  <si>
    <t>https://eu.kobotoolbox.org/api/v2/assets/asidN676GwD9kVUoocseLY/data/728690320/attachments/attpcayGzx9vMbizhYpaCK4W/</t>
  </si>
  <si>
    <t>1764662892169.jpg</t>
  </si>
  <si>
    <t>https://eu.kobotoolbox.org/api/v2/assets/asidN676GwD9kVUoocseLY/data/728690320/attachments/att4B2cenCfjUWpdd26QPWsi/</t>
  </si>
  <si>
    <t>1764662919814.jpg</t>
  </si>
  <si>
    <t>https://eu.kobotoolbox.org/api/v2/assets/asidN676GwD9kVUoocseLY/data/728690320/attachments/attksMNAYMfR8LLnrn3UsENC/</t>
  </si>
  <si>
    <t>1764662933829.jpg</t>
  </si>
  <si>
    <t>https://eu.kobotoolbox.org/api/v2/assets/asidN676GwD9kVUoocseLY/data/728690320/attachments/att3Jaw27grjwHy2DRSjXBvn/</t>
  </si>
  <si>
    <t>1764662963798.jpg</t>
  </si>
  <si>
    <t>https://eu.kobotoolbox.org/api/v2/assets/asidN676GwD9kVUoocseLY/data/728690320/attachments/att3cXuV9sWatGkkvDsvuJam/</t>
  </si>
  <si>
    <t>1764663008253.jpg</t>
  </si>
  <si>
    <t>https://eu.kobotoolbox.org/api/v2/assets/asidN676GwD9kVUoocseLY/data/728690320/attachments/attNJLS3fPSEoZVP4jQkGivf/</t>
  </si>
  <si>
    <t>1764666918329.jpg</t>
  </si>
  <si>
    <t>https://eu.kobotoolbox.org/api/v2/assets/asidN676GwD9kVUoocseLY/data/728725963/attachments/att2dQ3dfPFYpj5qQoJz5rRm/</t>
  </si>
  <si>
    <t>1764666931862.jpg</t>
  </si>
  <si>
    <t>https://eu.kobotoolbox.org/api/v2/assets/asidN676GwD9kVUoocseLY/data/728725963/attachments/attFVvnkDyXKXuMPj7HJgVQm/</t>
  </si>
  <si>
    <t>1764666975874.jpg</t>
  </si>
  <si>
    <t>https://eu.kobotoolbox.org/api/v2/assets/asidN676GwD9kVUoocseLY/data/728725963/attachments/att8TiZR9UCAUR58bF7N5jQ2/</t>
  </si>
  <si>
    <t>1764667000137.jpg</t>
  </si>
  <si>
    <t>https://eu.kobotoolbox.org/api/v2/assets/asidN676GwD9kVUoocseLY/data/728725963/attachments/attY3L7WV6fEEcCsucgbpeTc/</t>
  </si>
  <si>
    <t>1764667018942.jpg</t>
  </si>
  <si>
    <t>https://eu.kobotoolbox.org/api/v2/assets/asidN676GwD9kVUoocseLY/data/728725963/attachments/attZWy7tA7cJhS5sHoo87TNw/</t>
  </si>
  <si>
    <t>1764667046602.jpg</t>
  </si>
  <si>
    <t>https://eu.kobotoolbox.org/api/v2/assets/asidN676GwD9kVUoocseLY/data/728725963/attachments/attZ6EzkCH2sdQpMaxmrDugV/</t>
  </si>
  <si>
    <t>1764667060987.jpg</t>
  </si>
  <si>
    <t>https://eu.kobotoolbox.org/api/v2/assets/asidN676GwD9kVUoocseLY/data/728725963/attachments/attF6KcLh3A93joHF55qWyNU/</t>
  </si>
  <si>
    <t>1764667072261.jpg</t>
  </si>
  <si>
    <t>https://eu.kobotoolbox.org/api/v2/assets/asidN676GwD9kVUoocseLY/data/728725963/attachments/attvLNsFCg2M59bPBViaZ3xo/</t>
  </si>
  <si>
    <t>1764667113104.jpg</t>
  </si>
  <si>
    <t>https://eu.kobotoolbox.org/api/v2/assets/asidN676GwD9kVUoocseLY/data/728725963/attachments/attBBz6DMDgDh9q3RzCz3Fqb/</t>
  </si>
  <si>
    <t>1764667148814.jpg</t>
  </si>
  <si>
    <t>https://eu.kobotoolbox.org/api/v2/assets/asidN676GwD9kVUoocseLY/data/728725963/attachments/attxiQrwtEcgS2FXTB2HFejh/</t>
  </si>
  <si>
    <t>1764667169699.jpg</t>
  </si>
  <si>
    <t>https://eu.kobotoolbox.org/api/v2/assets/asidN676GwD9kVUoocseLY/data/728725963/attachments/att5eEkurGjnH8BzNbYiM6PC/</t>
  </si>
  <si>
    <t>1764667179024.jpg</t>
  </si>
  <si>
    <t>https://eu.kobotoolbox.org/api/v2/assets/asidN676GwD9kVUoocseLY/data/728725963/attachments/attBTAHgzJuDwCqLuj7kStgW/</t>
  </si>
  <si>
    <t>1764670800501.jpg</t>
  </si>
  <si>
    <t>https://eu.kobotoolbox.org/api/v2/assets/asidN676GwD9kVUoocseLY/data/728755166/attachments/attH2y5zq6UsXHpKZX8eutKk/</t>
  </si>
  <si>
    <t>1764670810175.jpg</t>
  </si>
  <si>
    <t>https://eu.kobotoolbox.org/api/v2/assets/asidN676GwD9kVUoocseLY/data/728755166/attachments/attPkaT34sCPk82iM3Z3ppkQ/</t>
  </si>
  <si>
    <t>1764670863180.jpg</t>
  </si>
  <si>
    <t>https://eu.kobotoolbox.org/api/v2/assets/asidN676GwD9kVUoocseLY/data/728755166/attachments/attLDSU97wqvVMN8XWFgDVJa/</t>
  </si>
  <si>
    <t>1764670885993.jpg</t>
  </si>
  <si>
    <t>https://eu.kobotoolbox.org/api/v2/assets/asidN676GwD9kVUoocseLY/data/728755166/attachments/attznFGp4uzqYTZEenBm5ymg/</t>
  </si>
  <si>
    <t>1764670944807.jpg</t>
  </si>
  <si>
    <t>https://eu.kobotoolbox.org/api/v2/assets/asidN676GwD9kVUoocseLY/data/728755166/attachments/attLghGrPjKvU7AoSFJgPyVz/</t>
  </si>
  <si>
    <t>2.8 تركيب مغسلة سيراميك</t>
  </si>
  <si>
    <t>1764670958506.jpg</t>
  </si>
  <si>
    <t>https://eu.kobotoolbox.org/api/v2/assets/asidN676GwD9kVUoocseLY/data/728755166/attachments/att6hse8rjismZiENQTw5Mku/</t>
  </si>
  <si>
    <t>1764670990408.jpg</t>
  </si>
  <si>
    <t>https://eu.kobotoolbox.org/api/v2/assets/asidN676GwD9kVUoocseLY/data/728755166/attachments/attRpP5t4dx4DeyGcy2H2wAx/</t>
  </si>
  <si>
    <t>1764673924043.jpg</t>
  </si>
  <si>
    <t>https://eu.kobotoolbox.org/api/v2/assets/asidN676GwD9kVUoocseLY/data/728808254/attachments/attK4KhJeath8MRKBxPMWE8R/</t>
  </si>
  <si>
    <t>1764673938997.jpg</t>
  </si>
  <si>
    <t>https://eu.kobotoolbox.org/api/v2/assets/asidN676GwD9kVUoocseLY/data/728808254/attachments/attKuhdRENMEHyuw4Do4bYPG/</t>
  </si>
  <si>
    <t>1764673973980.jpg</t>
  </si>
  <si>
    <t>https://eu.kobotoolbox.org/api/v2/assets/asidN676GwD9kVUoocseLY/data/728808254/attachments/attcWMB6fh5dKMyg2MT3MsKB/</t>
  </si>
  <si>
    <t>1764673992140.jpg</t>
  </si>
  <si>
    <t>https://eu.kobotoolbox.org/api/v2/assets/asidN676GwD9kVUoocseLY/data/728808254/attachments/attT3h9RCusgGavi4hunUsAm/</t>
  </si>
  <si>
    <t>1764674012049.jpg</t>
  </si>
  <si>
    <t>https://eu.kobotoolbox.org/api/v2/assets/asidN676GwD9kVUoocseLY/data/728808254/attachments/atto6HCXMYYVk2DN8YGVx3pV/</t>
  </si>
  <si>
    <t>1764674039065.jpg</t>
  </si>
  <si>
    <t>https://eu.kobotoolbox.org/api/v2/assets/asidN676GwD9kVUoocseLY/data/728808254/attachments/att28TVo2Z6HVzXhyfKdu3mh/</t>
  </si>
  <si>
    <t>1764674076351.jpg</t>
  </si>
  <si>
    <t>https://eu.kobotoolbox.org/api/v2/assets/asidN676GwD9kVUoocseLY/data/728808254/attachments/attLAzTXKuToKysgVqCNjr8F/</t>
  </si>
  <si>
    <t>1764674094310.jpg</t>
  </si>
  <si>
    <t>https://eu.kobotoolbox.org/api/v2/assets/asidN676GwD9kVUoocseLY/data/728808254/attachments/attq8dEx4YdmBcngp8ZTQQ7W/</t>
  </si>
  <si>
    <t>1764674115118.jpg</t>
  </si>
  <si>
    <t>https://eu.kobotoolbox.org/api/v2/assets/asidN676GwD9kVUoocseLY/data/728808254/attachments/attdYhw5YJaBmwG3qDX22rMV/</t>
  </si>
  <si>
    <t>1764674224609.jpg</t>
  </si>
  <si>
    <t>https://eu.kobotoolbox.org/api/v2/assets/asidN676GwD9kVUoocseLY/data/728808254/attachments/attnXgGqc69pBvhSzS5yBZJT/</t>
  </si>
  <si>
    <t>1764675374608.jpg</t>
  </si>
  <si>
    <t>https://eu.kobotoolbox.org/api/v2/assets/asidN676GwD9kVUoocseLY/data/728816194/attachments/attxxmmbjRd9hTaUaZyJuSJR/</t>
  </si>
  <si>
    <t>1764675400433.jpg</t>
  </si>
  <si>
    <t>https://eu.kobotoolbox.org/api/v2/assets/asidN676GwD9kVUoocseLY/data/728816194/attachments/attLrLypgoiEUoX7L5a6RJYd/</t>
  </si>
  <si>
    <t>1764675415849.jpg</t>
  </si>
  <si>
    <t>https://eu.kobotoolbox.org/api/v2/assets/asidN676GwD9kVUoocseLY/data/728816194/attachments/attWkEPvFaAm7THRhLkwHogq/</t>
  </si>
  <si>
    <t>1764675466576.jpg</t>
  </si>
  <si>
    <t>https://eu.kobotoolbox.org/api/v2/assets/asidN676GwD9kVUoocseLY/data/728816194/attachments/attDF4VcbUBKQmVdrgMUMbw3/</t>
  </si>
  <si>
    <t>1764675487761.jpg</t>
  </si>
  <si>
    <t>https://eu.kobotoolbox.org/api/v2/assets/asidN676GwD9kVUoocseLY/data/728816194/attachments/attzziwDBLJvwdXndz4HzJHb/</t>
  </si>
  <si>
    <t>1764675510368.jpg</t>
  </si>
  <si>
    <t>https://eu.kobotoolbox.org/api/v2/assets/asidN676GwD9kVUoocseLY/data/728816194/attachments/atto99EZ7uXHzCdXvG5s47gb/</t>
  </si>
  <si>
    <t>1764675548322.jpg</t>
  </si>
  <si>
    <t>https://eu.kobotoolbox.org/api/v2/assets/asidN676GwD9kVUoocseLY/data/728816194/attachments/att3kYWrPThNoFv2KFB4RCBS/</t>
  </si>
  <si>
    <t>1764675561798.jpg</t>
  </si>
  <si>
    <t>https://eu.kobotoolbox.org/api/v2/assets/asidN676GwD9kVUoocseLY/data/728816194/attachments/attQk8uWb2X2cxVTBKxNffZt/</t>
  </si>
  <si>
    <t>1764675572353.jpg</t>
  </si>
  <si>
    <t>https://eu.kobotoolbox.org/api/v2/assets/asidN676GwD9kVUoocseLY/data/728816194/attachments/attzx2uumvw8fCaSsnxM3TWc/</t>
  </si>
  <si>
    <t>1764675582308.jpg</t>
  </si>
  <si>
    <t>https://eu.kobotoolbox.org/api/v2/assets/asidN676GwD9kVUoocseLY/data/728816194/attachments/att86fHkVyLgVikAUgSACTVP/</t>
  </si>
  <si>
    <t>1764675592813.jpg</t>
  </si>
  <si>
    <t>https://eu.kobotoolbox.org/api/v2/assets/asidN676GwD9kVUoocseLY/data/728816194/attachments/attRbLwTebtaFEZqKKFnGCPg/</t>
  </si>
  <si>
    <t>1764675603960.jpg</t>
  </si>
  <si>
    <t>https://eu.kobotoolbox.org/api/v2/assets/asidN676GwD9kVUoocseLY/data/728816194/attachments/atth8eJtymQpBpRECtoYR9K7/</t>
  </si>
  <si>
    <t>1.1 أعمال هدم بسيط بالأدوات اليدوية</t>
  </si>
  <si>
    <t>1764660437199.jpg</t>
  </si>
  <si>
    <t>https://eu.kobotoolbox.org/api/v2/assets/asidN676GwD9kVUoocseLY/data/728850665/attachments/attyBM9asSRgjkAH6mboHqQo/</t>
  </si>
  <si>
    <t>1764660470139.jpg</t>
  </si>
  <si>
    <t>https://eu.kobotoolbox.org/api/v2/assets/asidN676GwD9kVUoocseLY/data/728850665/attachments/attHfTqBeKoavgT6GQdTK5nh/</t>
  </si>
  <si>
    <t>1764660482241.jpg</t>
  </si>
  <si>
    <t>https://eu.kobotoolbox.org/api/v2/assets/asidN676GwD9kVUoocseLY/data/728850665/attachments/attiaiMMDhpiDmj9fEqSgJXU/</t>
  </si>
  <si>
    <t>1.5 تصليح الأسقف بالبيتون مع القالب (350 كغ/م³)</t>
  </si>
  <si>
    <t>1764660506828.jpg</t>
  </si>
  <si>
    <t>https://eu.kobotoolbox.org/api/v2/assets/asidN676GwD9kVUoocseLY/data/728850665/attachments/attdzKbDB8a8E6VULpiD7Lgj/</t>
  </si>
  <si>
    <t>1764660517112.jpg</t>
  </si>
  <si>
    <t>https://eu.kobotoolbox.org/api/v2/assets/asidN676GwD9kVUoocseLY/data/728850665/attachments/attWK5h5ReJQhtEGXNBYkD5y/</t>
  </si>
  <si>
    <t>1.7 صيانة الأبواب والنوافذ الموجودة مع الدهان</t>
  </si>
  <si>
    <t>1764660528603.jpg</t>
  </si>
  <si>
    <t>https://eu.kobotoolbox.org/api/v2/assets/asidN676GwD9kVUoocseLY/data/728850665/attachments/attFUXohtjsksCghBsZkiZh3/</t>
  </si>
  <si>
    <t>1.8 تركيب زجاج عادي أو مجلتن للنوافذ والأبواب</t>
  </si>
  <si>
    <t>1764660540263.jpg</t>
  </si>
  <si>
    <t>https://eu.kobotoolbox.org/api/v2/assets/asidN676GwD9kVUoocseLY/data/728850665/attachments/attH7tNzQT6CrzDRy6bar597/</t>
  </si>
  <si>
    <t>1764660555236.jpg</t>
  </si>
  <si>
    <t>https://eu.kobotoolbox.org/api/v2/assets/asidN676GwD9kVUoocseLY/data/728850665/attachments/attxZsAWpNWNYmAgvqqwvXD3/</t>
  </si>
  <si>
    <t>1.10 تقديم وتركيب منجور معدني مع الزجاج</t>
  </si>
  <si>
    <t>1764660564826.jpg</t>
  </si>
  <si>
    <t>https://eu.kobotoolbox.org/api/v2/assets/asidN676GwD9kVUoocseLY/data/728850665/attachments/attWF8w7mdjMBFiRbx74RG8e/</t>
  </si>
  <si>
    <t>1764660576978.jpg</t>
  </si>
  <si>
    <t>https://eu.kobotoolbox.org/api/v2/assets/asidN676GwD9kVUoocseLY/data/728850665/attachments/attkLtznaUjxQGasi8G4MLvj/</t>
  </si>
  <si>
    <t>1764660588433.jpg</t>
  </si>
  <si>
    <t>https://eu.kobotoolbox.org/api/v2/assets/asidN676GwD9kVUoocseLY/data/728850665/attachments/attWdNfepNrnjQydNdwLzorc/</t>
  </si>
  <si>
    <t>1764660629842.jpg</t>
  </si>
  <si>
    <t>https://eu.kobotoolbox.org/api/v2/assets/asidN676GwD9kVUoocseLY/data/728850665/attachments/attyXcyPo7SK8t6s7ZaK8kkT/</t>
  </si>
  <si>
    <t>1764660643876.jpg</t>
  </si>
  <si>
    <t>https://eu.kobotoolbox.org/api/v2/assets/asidN676GwD9kVUoocseLY/data/728850665/attachments/attrSsBwbTLk2kD63e9B7xDK/</t>
  </si>
  <si>
    <t>1764660656998.jpg</t>
  </si>
  <si>
    <t>https://eu.kobotoolbox.org/api/v2/assets/asidN676GwD9kVUoocseLY/data/728850665/attachments/attFfQSHXzsgM5PnwbDGroE3/</t>
  </si>
  <si>
    <t>1764660673358.jpg</t>
  </si>
  <si>
    <t>https://eu.kobotoolbox.org/api/v2/assets/asidN676GwD9kVUoocseLY/data/728850665/attachments/attgxTa4ou9nysfGq9cuyDpD/</t>
  </si>
  <si>
    <t>1764660688403.jpg</t>
  </si>
  <si>
    <t>https://eu.kobotoolbox.org/api/v2/assets/asidN676GwD9kVUoocseLY/data/728850665/attachments/att67KgygMqPkFRBxkCkdQTS/</t>
  </si>
  <si>
    <t>2.6 تركيب كرسي تواليت</t>
  </si>
  <si>
    <t>1764660696308.jpg</t>
  </si>
  <si>
    <t>https://eu.kobotoolbox.org/api/v2/assets/asidN676GwD9kVUoocseLY/data/728850665/attachments/att6TV276D5p5nAVSJr9aD8a/</t>
  </si>
  <si>
    <t>1764660704708.jpg</t>
  </si>
  <si>
    <t>https://eu.kobotoolbox.org/api/v2/assets/asidN676GwD9kVUoocseLY/data/728850665/attachments/attkhJzqq6dZJPfNobxhrRtF/</t>
  </si>
  <si>
    <t>1764660713595.jpg</t>
  </si>
  <si>
    <t>https://eu.kobotoolbox.org/api/v2/assets/asidN676GwD9kVUoocseLY/data/728850665/attachments/attLi2XbrHiAweTCKoUHfxBx/</t>
  </si>
  <si>
    <t>3.1 تأسيس كهربائي (حفر + أنابيب + علب) بدون أسلاك</t>
  </si>
  <si>
    <t>1764660733364.jpg</t>
  </si>
  <si>
    <t>https://eu.kobotoolbox.org/api/v2/assets/asidN676GwD9kVUoocseLY/data/728850665/attachments/attGVXtjzdowAujwag5vejxB/</t>
  </si>
  <si>
    <t>4.3 تركيب أنابيب صرف صحي 4 إنش</t>
  </si>
  <si>
    <t>1764660786965.jpg</t>
  </si>
  <si>
    <t>https://eu.kobotoolbox.org/api/v2/assets/asidN676GwD9kVUoocseLY/data/728850665/attachments/attFyRG9g6XX7kKAbFrPmXjg/</t>
  </si>
  <si>
    <t>5.2 تركيب خزان مياه صاج 2000 لتر</t>
  </si>
  <si>
    <t>1764660813115.jpg</t>
  </si>
  <si>
    <t>https://eu.kobotoolbox.org/api/v2/assets/asidN676GwD9kVUoocseLY/data/728850665/attachments/atth84AHPnKCKyhwdf2BJeC9/</t>
  </si>
  <si>
    <t>5.5 تركيب أنابيب PPR قطر 1.5 إنش</t>
  </si>
  <si>
    <t>1764660830082.jpg</t>
  </si>
  <si>
    <t>https://eu.kobotoolbox.org/api/v2/assets/asidN676GwD9kVUoocseLY/data/728850665/attachments/atturmHV3mpDbNyutTW6JCsH/</t>
  </si>
  <si>
    <t>6.1 عزل مطاطي (أكريليك) للأسطح</t>
  </si>
  <si>
    <t>1764660857681.jpg</t>
  </si>
  <si>
    <t>https://eu.kobotoolbox.org/api/v2/assets/asidN676GwD9kVUoocseLY/data/728850665/attachments/att39kHR9NffPo3ULUR8dMhw/</t>
  </si>
  <si>
    <t>1764660884115.jpg</t>
  </si>
  <si>
    <t>https://eu.kobotoolbox.org/api/v2/assets/asidN676GwD9kVUoocseLY/data/728850665/attachments/attVhnEQ7pfn5G9oyaLtN5VV/</t>
  </si>
  <si>
    <t>1764662043728.jpg</t>
  </si>
  <si>
    <t>https://eu.kobotoolbox.org/api/v2/assets/asidN676GwD9kVUoocseLY/data/728851444/attachments/attoDmsPjLPdPAD4A4xk9TC6/</t>
  </si>
  <si>
    <t>1764662062115.jpg</t>
  </si>
  <si>
    <t>https://eu.kobotoolbox.org/api/v2/assets/asidN676GwD9kVUoocseLY/data/728851444/attachments/attQt2qKrwpHngxkYStpCZjJ/</t>
  </si>
  <si>
    <t>1764662076494.jpg</t>
  </si>
  <si>
    <t>https://eu.kobotoolbox.org/api/v2/assets/asidN676GwD9kVUoocseLY/data/728851444/attachments/att7JYJUS2JVjrehT4oVTx2W/</t>
  </si>
  <si>
    <t>1764662111426.jpg</t>
  </si>
  <si>
    <t>https://eu.kobotoolbox.org/api/v2/assets/asidN676GwD9kVUoocseLY/data/728851444/attachments/attpdcu6s6J99H7EYLm5xaP9/</t>
  </si>
  <si>
    <t>1764662149664.jpg</t>
  </si>
  <si>
    <t>https://eu.kobotoolbox.org/api/v2/assets/asidN676GwD9kVUoocseLY/data/728851444/attachments/attRJLpU3T4F3tgrUJG59dJj/</t>
  </si>
  <si>
    <t>4.1 حفر جورة فنية (12 م³)</t>
  </si>
  <si>
    <t>1764662182842.jpg</t>
  </si>
  <si>
    <t>https://eu.kobotoolbox.org/api/v2/assets/asidN676GwD9kVUoocseLY/data/728851444/attachments/attsATng6gYBqhqpRiHNR2hV/</t>
  </si>
  <si>
    <t>1764662211368.jpg</t>
  </si>
  <si>
    <t>https://eu.kobotoolbox.org/api/v2/assets/asidN676GwD9kVUoocseLY/data/728851444/attachments/att7VqoA82CQMomD5UcK43oZ/</t>
  </si>
  <si>
    <t>1764665150266.jpg</t>
  </si>
  <si>
    <t>https://eu.kobotoolbox.org/api/v2/assets/asidN676GwD9kVUoocseLY/data/728851842/attachments/attPPQ3kokaRxZNzy8nUoGJ8/</t>
  </si>
  <si>
    <t>1764665162824.jpg</t>
  </si>
  <si>
    <t>https://eu.kobotoolbox.org/api/v2/assets/asidN676GwD9kVUoocseLY/data/728851842/attachments/attE7sgTBkLKqzs4gAApXyUS/</t>
  </si>
  <si>
    <t>1764665183142.jpg</t>
  </si>
  <si>
    <t>https://eu.kobotoolbox.org/api/v2/assets/asidN676GwD9kVUoocseLY/data/728851842/attachments/attoo9GMBgZXHxEgHxpcYkPf/</t>
  </si>
  <si>
    <t>1764665194902.jpg</t>
  </si>
  <si>
    <t>https://eu.kobotoolbox.org/api/v2/assets/asidN676GwD9kVUoocseLY/data/728851842/attachments/attffiXoHgvTnvmDdEXq5YF2/</t>
  </si>
  <si>
    <t>1764665207055.jpg</t>
  </si>
  <si>
    <t>https://eu.kobotoolbox.org/api/v2/assets/asidN676GwD9kVUoocseLY/data/728851842/attachments/attixdNZfiJhP5ue9iqpTiKd/</t>
  </si>
  <si>
    <t>1764665228890.jpg</t>
  </si>
  <si>
    <t>https://eu.kobotoolbox.org/api/v2/assets/asidN676GwD9kVUoocseLY/data/728851842/attachments/attUNX9dBohrGzW9gVrzJ8Yr/</t>
  </si>
  <si>
    <t>1764665247075.jpg</t>
  </si>
  <si>
    <t>https://eu.kobotoolbox.org/api/v2/assets/asidN676GwD9kVUoocseLY/data/728851842/attachments/attv57JiV8NLGoiJnsS8yXYz/</t>
  </si>
  <si>
    <t>1764665280456.jpg</t>
  </si>
  <si>
    <t>https://eu.kobotoolbox.org/api/v2/assets/asidN676GwD9kVUoocseLY/data/728851842/attachments/attik5w7jYAkjywVVMfaCaPm/</t>
  </si>
  <si>
    <t>1764665287815.jpg</t>
  </si>
  <si>
    <t>https://eu.kobotoolbox.org/api/v2/assets/asidN676GwD9kVUoocseLY/data/728851842/attachments/attV7R24VZR2xabggjXWkkrd/</t>
  </si>
  <si>
    <t>1764665295914.jpg</t>
  </si>
  <si>
    <t>https://eu.kobotoolbox.org/api/v2/assets/asidN676GwD9kVUoocseLY/data/728851842/attachments/attiN3Rxd37cXZBsmGQhbdyJ/</t>
  </si>
  <si>
    <t>1764665303406.jpg</t>
  </si>
  <si>
    <t>https://eu.kobotoolbox.org/api/v2/assets/asidN676GwD9kVUoocseLY/data/728851842/attachments/att3ckwh4DjLkSbtCn8it2D5/</t>
  </si>
  <si>
    <t>1764665335266.jpg</t>
  </si>
  <si>
    <t>https://eu.kobotoolbox.org/api/v2/assets/asidN676GwD9kVUoocseLY/data/728851842/attachments/atteWByMLEXRaU9SurYQgUFn/</t>
  </si>
  <si>
    <t>1764665356739.jpg</t>
  </si>
  <si>
    <t>https://eu.kobotoolbox.org/api/v2/assets/asidN676GwD9kVUoocseLY/data/728851842/attachments/attFgU5bRiDAzEF7McBfaZLB/</t>
  </si>
  <si>
    <t>4.2 تركيب أنابيب صرف صحي 2 إنش</t>
  </si>
  <si>
    <t>1764665363726.jpg</t>
  </si>
  <si>
    <t>https://eu.kobotoolbox.org/api/v2/assets/asidN676GwD9kVUoocseLY/data/728851842/attachments/attgG7Yba7TLkYjr3TnTL5vy/</t>
  </si>
  <si>
    <t>1764665371004.jpg</t>
  </si>
  <si>
    <t>https://eu.kobotoolbox.org/api/v2/assets/asidN676GwD9kVUoocseLY/data/728851842/attachments/attJSQ9CczciUqAGwuT6YEKS/</t>
  </si>
  <si>
    <t>1764665402646.jpg</t>
  </si>
  <si>
    <t>https://eu.kobotoolbox.org/api/v2/assets/asidN676GwD9kVUoocseLY/data/728851842/attachments/attCRbHxnWx5TdEMLF5n5FkN/</t>
  </si>
  <si>
    <t>1764665410536.jpg</t>
  </si>
  <si>
    <t>https://eu.kobotoolbox.org/api/v2/assets/asidN676GwD9kVUoocseLY/data/728851842/attachments/attYNeoMGBJbykTQAYjgoQmi/</t>
  </si>
  <si>
    <t>1764665428392.jpg</t>
  </si>
  <si>
    <t>https://eu.kobotoolbox.org/api/v2/assets/asidN676GwD9kVUoocseLY/data/728851842/attachments/attYBzjZP8a7AJQ4Q9AkjAJL/</t>
  </si>
  <si>
    <t>1764666360562.jpg</t>
  </si>
  <si>
    <t>https://eu.kobotoolbox.org/api/v2/assets/asidN676GwD9kVUoocseLY/data/728852816/attachments/attCqSBFwRECa2HzeguxQgxV/</t>
  </si>
  <si>
    <t>1764666374738.jpg</t>
  </si>
  <si>
    <t>https://eu.kobotoolbox.org/api/v2/assets/asidN676GwD9kVUoocseLY/data/728852816/attachments/atttiv6SKFKs7aV4oCHWr4uZ/</t>
  </si>
  <si>
    <t>1764666428070.jpg</t>
  </si>
  <si>
    <t>https://eu.kobotoolbox.org/api/v2/assets/asidN676GwD9kVUoocseLY/data/728852816/attachments/atteHHe6LzJ5XYobfkWfqeDT/</t>
  </si>
  <si>
    <t>1764666436044.jpg</t>
  </si>
  <si>
    <t>https://eu.kobotoolbox.org/api/v2/assets/asidN676GwD9kVUoocseLY/data/728852816/attachments/attt6w7Lcs52mF9xyPvaek8R/</t>
  </si>
  <si>
    <t>1764666443142.jpg</t>
  </si>
  <si>
    <t>https://eu.kobotoolbox.org/api/v2/assets/asidN676GwD9kVUoocseLY/data/728852816/attachments/attwUGz5CthGvV8fQNuTybrd/</t>
  </si>
  <si>
    <t>1764666457574.jpg</t>
  </si>
  <si>
    <t>https://eu.kobotoolbox.org/api/v2/assets/asidN676GwD9kVUoocseLY/data/728852816/attachments/attmVPhtq3mUbPVcsgm4rxXQ/</t>
  </si>
  <si>
    <t>4.5 تنظيف المجاري يدوياً أو ميكانيكياً</t>
  </si>
  <si>
    <t>1764666481145.jpg</t>
  </si>
  <si>
    <t>https://eu.kobotoolbox.org/api/v2/assets/asidN676GwD9kVUoocseLY/data/728852816/attachments/attyxXNRYVdMGNBeHatjsvdn/</t>
  </si>
  <si>
    <t>1764666552679.jpg</t>
  </si>
  <si>
    <t>https://eu.kobotoolbox.org/api/v2/assets/asidN676GwD9kVUoocseLY/data/728852816/attachments/atthoWanTZS2kHaK524MBEfE/</t>
  </si>
  <si>
    <t>1764667224038.jpg</t>
  </si>
  <si>
    <t>https://eu.kobotoolbox.org/api/v2/assets/asidN676GwD9kVUoocseLY/data/728853169/attachments/attTKjYeGkaRVbPXzTJgkjG6/</t>
  </si>
  <si>
    <t>1764667261246.jpg</t>
  </si>
  <si>
    <t>https://eu.kobotoolbox.org/api/v2/assets/asidN676GwD9kVUoocseLY/data/728853169/attachments/attVf7FSpK2Ta5tDfRCiCc6g/</t>
  </si>
  <si>
    <t>1764668119682.jpg</t>
  </si>
  <si>
    <t>https://eu.kobotoolbox.org/api/v2/assets/asidN676GwD9kVUoocseLY/data/728853359/attachments/attkNgPJrajpcdpHYe2nDvAY/</t>
  </si>
  <si>
    <t>1764668131941.jpg</t>
  </si>
  <si>
    <t>https://eu.kobotoolbox.org/api/v2/assets/asidN676GwD9kVUoocseLY/data/728853359/attachments/att7JSCgLfqSfuq8vAsLJyaD/</t>
  </si>
  <si>
    <t>1764668145442.jpg</t>
  </si>
  <si>
    <t>https://eu.kobotoolbox.org/api/v2/assets/asidN676GwD9kVUoocseLY/data/728853359/attachments/att7J2TSGheKyUtDQQbHcDaG/</t>
  </si>
  <si>
    <t>1764668162118.jpg</t>
  </si>
  <si>
    <t>https://eu.kobotoolbox.org/api/v2/assets/asidN676GwD9kVUoocseLY/data/728853359/attachments/att8SXrSDcGzJCsu2TUBtVtK/</t>
  </si>
  <si>
    <t>1764668178732.jpg</t>
  </si>
  <si>
    <t>https://eu.kobotoolbox.org/api/v2/assets/asidN676GwD9kVUoocseLY/data/728853359/attachments/attYQW9ztEt7wksno9dtmLcr/</t>
  </si>
  <si>
    <t>1764668190059.jpg</t>
  </si>
  <si>
    <t>https://eu.kobotoolbox.org/api/v2/assets/asidN676GwD9kVUoocseLY/data/728853359/attachments/attc2YimDviEjArDQnBQpcWT/</t>
  </si>
  <si>
    <t>1764668205155.jpg</t>
  </si>
  <si>
    <t>https://eu.kobotoolbox.org/api/v2/assets/asidN676GwD9kVUoocseLY/data/728853359/attachments/attzVr9745yxHokUVzxxFgNE/</t>
  </si>
  <si>
    <t>1764668238624.jpg</t>
  </si>
  <si>
    <t>https://eu.kobotoolbox.org/api/v2/assets/asidN676GwD9kVUoocseLY/data/728853359/attachments/att2ZYuXebVnSnVhuDCysX2p/</t>
  </si>
  <si>
    <t>1764668248644.jpg</t>
  </si>
  <si>
    <t>https://eu.kobotoolbox.org/api/v2/assets/asidN676GwD9kVUoocseLY/data/728853359/attachments/attXbanZW8HmXtynBYuRmtZn/</t>
  </si>
  <si>
    <t>1764668257964.jpg</t>
  </si>
  <si>
    <t>https://eu.kobotoolbox.org/api/v2/assets/asidN676GwD9kVUoocseLY/data/728853359/attachments/attGjvyprdBzcgha2xqRnNdU/</t>
  </si>
  <si>
    <t>1764668266072.jpg</t>
  </si>
  <si>
    <t>https://eu.kobotoolbox.org/api/v2/assets/asidN676GwD9kVUoocseLY/data/728853359/attachments/attXpr77w5wCyfka92Xzjd8e/</t>
  </si>
  <si>
    <t>1764668275227.jpg</t>
  </si>
  <si>
    <t>https://eu.kobotoolbox.org/api/v2/assets/asidN676GwD9kVUoocseLY/data/728853359/attachments/att5kYWCSqtBvcFHpT8cxmoe/</t>
  </si>
  <si>
    <t>1764668284820.jpg</t>
  </si>
  <si>
    <t>https://eu.kobotoolbox.org/api/v2/assets/asidN676GwD9kVUoocseLY/data/728853359/attachments/attCuNBAHvW6cUmg2z2rd7p3/</t>
  </si>
  <si>
    <t>1764668293421.jpg</t>
  </si>
  <si>
    <t>https://eu.kobotoolbox.org/api/v2/assets/asidN676GwD9kVUoocseLY/data/728853359/attachments/atttJx4VinCg7fhoNVqgmbKx/</t>
  </si>
  <si>
    <t>5.4 تركيب أنابيب PPR قطر 1 إنش</t>
  </si>
  <si>
    <t>1764669601399.jpg</t>
  </si>
  <si>
    <t>https://eu.kobotoolbox.org/api/v2/assets/asidN676GwD9kVUoocseLY/data/728853996/attachments/attR2Zit7dkEZoxsoLSuFQuL/</t>
  </si>
  <si>
    <t>1764669636594.jpg</t>
  </si>
  <si>
    <t>https://eu.kobotoolbox.org/api/v2/assets/asidN676GwD9kVUoocseLY/data/728853996/attachments/attvUkvMLMKfuZswAN8BzSan/</t>
  </si>
  <si>
    <t>1764669648393.jpg</t>
  </si>
  <si>
    <t>https://eu.kobotoolbox.org/api/v2/assets/asidN676GwD9kVUoocseLY/data/728853996/attachments/att9fViRafJgnNQsRpcGuBZB/</t>
  </si>
  <si>
    <t>1764669660945.jpg</t>
  </si>
  <si>
    <t>https://eu.kobotoolbox.org/api/v2/assets/asidN676GwD9kVUoocseLY/data/728853996/attachments/attaY6CHaHu7qxVZSFCWmxPF/</t>
  </si>
  <si>
    <t>1764669694539.jpg</t>
  </si>
  <si>
    <t>https://eu.kobotoolbox.org/api/v2/assets/asidN676GwD9kVUoocseLY/data/728853996/attachments/attcM48cm4DHFTv8ooCYtQMx/</t>
  </si>
  <si>
    <t>1764669704161.jpg</t>
  </si>
  <si>
    <t>https://eu.kobotoolbox.org/api/v2/assets/asidN676GwD9kVUoocseLY/data/728853996/attachments/attHK7cNNPXA4DzzZcaiGnhK/</t>
  </si>
  <si>
    <t>1764669723504.jpg</t>
  </si>
  <si>
    <t>https://eu.kobotoolbox.org/api/v2/assets/asidN676GwD9kVUoocseLY/data/728853996/attachments/att8bACjRxHidYAxvszCP56u/</t>
  </si>
  <si>
    <t>1764671230370.jpg</t>
  </si>
  <si>
    <t>https://eu.kobotoolbox.org/api/v2/assets/asidN676GwD9kVUoocseLY/data/728854563/attachments/attFX5QygzEbKZSsKmLqkCZP/</t>
  </si>
  <si>
    <t>1764671254827.jpg</t>
  </si>
  <si>
    <t>https://eu.kobotoolbox.org/api/v2/assets/asidN676GwD9kVUoocseLY/data/728854563/attachments/attewFT4So2HR8rphsYyPu9p/</t>
  </si>
  <si>
    <t>1764671264069.jpg</t>
  </si>
  <si>
    <t>https://eu.kobotoolbox.org/api/v2/assets/asidN676GwD9kVUoocseLY/data/728854563/attachments/att8FRnWH6nCQzwFJ9xSKpQ9/</t>
  </si>
  <si>
    <t>1764671294077.jpg</t>
  </si>
  <si>
    <t>https://eu.kobotoolbox.org/api/v2/assets/asidN676GwD9kVUoocseLY/data/728854563/attachments/attgV9B3q84MaLemLn7oKqDa/</t>
  </si>
  <si>
    <t>1764671302908.jpg</t>
  </si>
  <si>
    <t>https://eu.kobotoolbox.org/api/v2/assets/asidN676GwD9kVUoocseLY/data/728854563/attachments/attttjNQgWmgEStCJH8TUZwG/</t>
  </si>
  <si>
    <t>1764671312232.jpg</t>
  </si>
  <si>
    <t>https://eu.kobotoolbox.org/api/v2/assets/asidN676GwD9kVUoocseLY/data/728854563/attachments/attNNZtTAUeApdZsYteUEJuE/</t>
  </si>
  <si>
    <t>1764671326221.jpg</t>
  </si>
  <si>
    <t>https://eu.kobotoolbox.org/api/v2/assets/asidN676GwD9kVUoocseLY/data/728854563/attachments/attGWMxqv6h7ZnMVC2Wgk7u4/</t>
  </si>
  <si>
    <t>1764671335852.jpg</t>
  </si>
  <si>
    <t>https://eu.kobotoolbox.org/api/v2/assets/asidN676GwD9kVUoocseLY/data/728854563/attachments/attzvKz5AsBDvQCboJ8fxHEW/</t>
  </si>
  <si>
    <t>1764671346129.jpg</t>
  </si>
  <si>
    <t>https://eu.kobotoolbox.org/api/v2/assets/asidN676GwD9kVUoocseLY/data/728854563/attachments/attH2u9XEvi9cGtQfU8c5BPs/</t>
  </si>
  <si>
    <t>1764677193432.jpg</t>
  </si>
  <si>
    <t>https://eu.kobotoolbox.org/api/v2/assets/asidN676GwD9kVUoocseLY/data/728854773/attachments/attrBB6iCs8HhEfVRoKKQP7Y/</t>
  </si>
  <si>
    <t>1764677216598.jpg</t>
  </si>
  <si>
    <t>https://eu.kobotoolbox.org/api/v2/assets/asidN676GwD9kVUoocseLY/data/728854773/attachments/attaHVEUjfWnWwWvXrosFr7j/</t>
  </si>
  <si>
    <t>1764677266274.jpg</t>
  </si>
  <si>
    <t>https://eu.kobotoolbox.org/api/v2/assets/asidN676GwD9kVUoocseLY/data/728854773/attachments/attW6GziPydF24m6UCZQzsjC/</t>
  </si>
  <si>
    <t>1764677290994.jpg</t>
  </si>
  <si>
    <t>https://eu.kobotoolbox.org/api/v2/assets/asidN676GwD9kVUoocseLY/data/728854773/attachments/attVyGFjTfJ4BdFxQr4AVfXj/</t>
  </si>
  <si>
    <t>1764677338484.jpg</t>
  </si>
  <si>
    <t>https://eu.kobotoolbox.org/api/v2/assets/asidN676GwD9kVUoocseLY/data/728854773/attachments/attKQb3KNZGFGknW6ULagMia/</t>
  </si>
  <si>
    <t>1764677346886.jpg</t>
  </si>
  <si>
    <t>https://eu.kobotoolbox.org/api/v2/assets/asidN676GwD9kVUoocseLY/data/728854773/attachments/attuUNZDno4aW4VhSJmX45kM/</t>
  </si>
  <si>
    <t>1764677359473.jpg</t>
  </si>
  <si>
    <t>https://eu.kobotoolbox.org/api/v2/assets/asidN676GwD9kVUoocseLY/data/728854773/attachments/attusx6eUTzphJmfGHy4ARMx/</t>
  </si>
  <si>
    <t>1764677396416.jpg</t>
  </si>
  <si>
    <t>https://eu.kobotoolbox.org/api/v2/assets/asidN676GwD9kVUoocseLY/data/728854773/attachments/attYyqZv9uYWNbu52Agx8yex/</t>
  </si>
  <si>
    <t>1764677426906.jpg</t>
  </si>
  <si>
    <t>https://eu.kobotoolbox.org/api/v2/assets/asidN676GwD9kVUoocseLY/data/728854773/attachments/attsAifB4DnWLcmAUCuktA6g/</t>
  </si>
  <si>
    <t>1764677469493.jpg</t>
  </si>
  <si>
    <t>https://eu.kobotoolbox.org/api/v2/assets/asidN676GwD9kVUoocseLY/data/728854773/attachments/atth6aELRrQq9hVx3Zyc86A4/</t>
  </si>
  <si>
    <t>1764672602975.jpg</t>
  </si>
  <si>
    <t>https://eu.kobotoolbox.org/api/v2/assets/asidN676GwD9kVUoocseLY/data/728855073/attachments/attuNc7Du4LZNnNioYjDu72o/</t>
  </si>
  <si>
    <t>1764672614280.jpg</t>
  </si>
  <si>
    <t>https://eu.kobotoolbox.org/api/v2/assets/asidN676GwD9kVUoocseLY/data/728855073/attachments/attHdUvKittT27VLWf7xgpus/</t>
  </si>
  <si>
    <t>1764672651580.jpg</t>
  </si>
  <si>
    <t>https://eu.kobotoolbox.org/api/v2/assets/asidN676GwD9kVUoocseLY/data/728855073/attachments/attmZ3qH34yB3TBBHWpYVUUZ/</t>
  </si>
  <si>
    <t>1764672663066.jpg</t>
  </si>
  <si>
    <t>https://eu.kobotoolbox.org/api/v2/assets/asidN676GwD9kVUoocseLY/data/728855073/attachments/att4m3SPkQcR6RKLgwXneQFQ/</t>
  </si>
  <si>
    <t>1764672682058.jpg</t>
  </si>
  <si>
    <t>https://eu.kobotoolbox.org/api/v2/assets/asidN676GwD9kVUoocseLY/data/728855073/attachments/attvuDyrd8hLGHXYKzEo7Hyc/</t>
  </si>
  <si>
    <t>1764674015120.jpg</t>
  </si>
  <si>
    <t>https://eu.kobotoolbox.org/api/v2/assets/asidN676GwD9kVUoocseLY/data/728855174/attachments/attEDZGZVhyXnpZREW8kgYai/</t>
  </si>
  <si>
    <t>1764674034071.jpg</t>
  </si>
  <si>
    <t>https://eu.kobotoolbox.org/api/v2/assets/asidN676GwD9kVUoocseLY/data/728855174/attachments/attVc6PpCbcmz6aKu6gnixfF/</t>
  </si>
  <si>
    <t>1764674046968.jpg</t>
  </si>
  <si>
    <t>https://eu.kobotoolbox.org/api/v2/assets/asidN676GwD9kVUoocseLY/data/728855174/attachments/attxfi49d5tKyY7QQkSyEi9v/</t>
  </si>
  <si>
    <t>1764674061840.jpg</t>
  </si>
  <si>
    <t>https://eu.kobotoolbox.org/api/v2/assets/asidN676GwD9kVUoocseLY/data/728855174/attachments/attYtTcvFUNU696hRAyecMju/</t>
  </si>
  <si>
    <t>1764674098351.jpg</t>
  </si>
  <si>
    <t>https://eu.kobotoolbox.org/api/v2/assets/asidN676GwD9kVUoocseLY/data/728855174/attachments/attV3ia8shQK3MYRZ8A8CJui/</t>
  </si>
  <si>
    <t>1764674108051.jpg</t>
  </si>
  <si>
    <t>https://eu.kobotoolbox.org/api/v2/assets/asidN676GwD9kVUoocseLY/data/728855174/attachments/attYHWJBCKRRWDRgf4mNCGno/</t>
  </si>
  <si>
    <t>1764674116474.jpg</t>
  </si>
  <si>
    <t>https://eu.kobotoolbox.org/api/v2/assets/asidN676GwD9kVUoocseLY/data/728855174/attachments/att8DwvyCVwhwUzVokYJrE5S/</t>
  </si>
  <si>
    <t>1764674123509.jpg</t>
  </si>
  <si>
    <t>https://eu.kobotoolbox.org/api/v2/assets/asidN676GwD9kVUoocseLY/data/728855174/attachments/att2wHdDCRxT8BTodzTujSJ7/</t>
  </si>
  <si>
    <t>1764674132419.jpg</t>
  </si>
  <si>
    <t>https://eu.kobotoolbox.org/api/v2/assets/asidN676GwD9kVUoocseLY/data/728855174/attachments/att4PfENzzdUjZ5XPfFEopWN/</t>
  </si>
  <si>
    <t>1764674140969.jpg</t>
  </si>
  <si>
    <t>https://eu.kobotoolbox.org/api/v2/assets/asidN676GwD9kVUoocseLY/data/728855174/attachments/attFYEdFbvtXDTxTRDQ8VgiM/</t>
  </si>
  <si>
    <t>1764674791467.jpg</t>
  </si>
  <si>
    <t>https://eu.kobotoolbox.org/api/v2/assets/asidN676GwD9kVUoocseLY/data/728855450/attachments/attcW3E2ZiT9MNyuznaU3GPs/</t>
  </si>
  <si>
    <t>1764674804478.jpg</t>
  </si>
  <si>
    <t>https://eu.kobotoolbox.org/api/v2/assets/asidN676GwD9kVUoocseLY/data/728855450/attachments/attbFrnJ9FGFav8xjUJ6HdkZ/</t>
  </si>
  <si>
    <t>1764674817909.jpg</t>
  </si>
  <si>
    <t>https://eu.kobotoolbox.org/api/v2/assets/asidN676GwD9kVUoocseLY/data/728855450/attachments/attZXZ88TQtzeP4L6TsDkYCQ/</t>
  </si>
  <si>
    <t>1764674827188.jpg</t>
  </si>
  <si>
    <t>https://eu.kobotoolbox.org/api/v2/assets/asidN676GwD9kVUoocseLY/data/728855450/attachments/attgBCWuqJEEGTHQXmSBCmis/</t>
  </si>
  <si>
    <t>1764674838612.jpg</t>
  </si>
  <si>
    <t>https://eu.kobotoolbox.org/api/v2/assets/asidN676GwD9kVUoocseLY/data/728855450/attachments/attvi5uY7VqBTRuREzbfQrdW/</t>
  </si>
  <si>
    <t>1764674899606.jpg</t>
  </si>
  <si>
    <t>https://eu.kobotoolbox.org/api/v2/assets/asidN676GwD9kVUoocseLY/data/728855450/attachments/attbBZDWYnQhysNa66GNkfMF/</t>
  </si>
  <si>
    <t>1764674914042.jpg</t>
  </si>
  <si>
    <t>https://eu.kobotoolbox.org/api/v2/assets/asidN676GwD9kVUoocseLY/data/728855450/attachments/attta8jjuxGeMcHMFYYqoCWU/</t>
  </si>
  <si>
    <t>1764674922634.jpg</t>
  </si>
  <si>
    <t>https://eu.kobotoolbox.org/api/v2/assets/asidN676GwD9kVUoocseLY/data/728855450/attachments/att32FTx9xY94DQtCTujFnZo/</t>
  </si>
  <si>
    <t>1764674929762.jpg</t>
  </si>
  <si>
    <t>https://eu.kobotoolbox.org/api/v2/assets/asidN676GwD9kVUoocseLY/data/728855450/attachments/attxC8iffALPYidQt4cbuRdh/</t>
  </si>
  <si>
    <t>1764675677753.jpg</t>
  </si>
  <si>
    <t>https://eu.kobotoolbox.org/api/v2/assets/asidN676GwD9kVUoocseLY/data/728855588/attachments/attdxbzekeX9oZCC87r2PFqn/</t>
  </si>
  <si>
    <t>1764675689483.jpg</t>
  </si>
  <si>
    <t>https://eu.kobotoolbox.org/api/v2/assets/asidN676GwD9kVUoocseLY/data/728855588/attachments/attuTcRwF3uqEKKVuiBhzFTs/</t>
  </si>
  <si>
    <t>1764675700611.jpg</t>
  </si>
  <si>
    <t>https://eu.kobotoolbox.org/api/v2/assets/asidN676GwD9kVUoocseLY/data/728855588/attachments/attdgLnpuj85TNtXNEewaqxw/</t>
  </si>
  <si>
    <t>1764675710033.jpg</t>
  </si>
  <si>
    <t>https://eu.kobotoolbox.org/api/v2/assets/asidN676GwD9kVUoocseLY/data/728855588/attachments/attHzzZdm77aojYc3msbahFJ/</t>
  </si>
  <si>
    <t>5.3 تركيب أنابيب PPR قطر 0.5 إنش</t>
  </si>
  <si>
    <t>1764664801330.jpg</t>
  </si>
  <si>
    <t>https://eu.kobotoolbox.org/api/v2/assets/asidN676GwD9kVUoocseLY/data/729030093/attachments/attsA5PTqPiCQVkU5qVqUEEk/</t>
  </si>
  <si>
    <t>1764664857074.jpg</t>
  </si>
  <si>
    <t>https://eu.kobotoolbox.org/api/v2/assets/asidN676GwD9kVUoocseLY/data/729030093/attachments/attbMHxo3k7AgoKNA7REcReB/</t>
  </si>
  <si>
    <t>1764664896190.jpg</t>
  </si>
  <si>
    <t>https://eu.kobotoolbox.org/api/v2/assets/asidN676GwD9kVUoocseLY/data/729030093/attachments/attwVT9AJo4bhwcbZdynvYG3/</t>
  </si>
  <si>
    <t>1764664984205.jpg</t>
  </si>
  <si>
    <t>https://eu.kobotoolbox.org/api/v2/assets/asidN676GwD9kVUoocseLY/data/729030093/attachments/attv6NgQHXucvyG7MGKp5RKd/</t>
  </si>
  <si>
    <t>1764665032956.jpg</t>
  </si>
  <si>
    <t>https://eu.kobotoolbox.org/api/v2/assets/asidN676GwD9kVUoocseLY/data/729030093/attachments/attdMRH4GLZ6YWksU6inpqGr/</t>
  </si>
  <si>
    <t>1764665057792.jpg</t>
  </si>
  <si>
    <t>https://eu.kobotoolbox.org/api/v2/assets/asidN676GwD9kVUoocseLY/data/729030093/attachments/attoxSNrdUoFrjLdNQCTAGYT/</t>
  </si>
  <si>
    <t>1764665074861.jpg</t>
  </si>
  <si>
    <t>https://eu.kobotoolbox.org/api/v2/assets/asidN676GwD9kVUoocseLY/data/729030093/attachments/attcZX7u3p5KWAdhz2K2aduq/</t>
  </si>
  <si>
    <t>1764665099018.jpg</t>
  </si>
  <si>
    <t>https://eu.kobotoolbox.org/api/v2/assets/asidN676GwD9kVUoocseLY/data/729030093/attachments/att8R37gsvmkMv7jDe64y6eN/</t>
  </si>
  <si>
    <t>1764665123867.jpg</t>
  </si>
  <si>
    <t>https://eu.kobotoolbox.org/api/v2/assets/asidN676GwD9kVUoocseLY/data/729030093/attachments/attUmzQxHtNcdocWP3KHfZtj/</t>
  </si>
  <si>
    <t>1764665177943.jpg</t>
  </si>
  <si>
    <t>https://eu.kobotoolbox.org/api/v2/assets/asidN676GwD9kVUoocseLY/data/729030093/attachments/attzVbvtU48R8XTfXuEhi37j/</t>
  </si>
  <si>
    <t>1764665208181.jpg</t>
  </si>
  <si>
    <t>https://eu.kobotoolbox.org/api/v2/assets/asidN676GwD9kVUoocseLY/data/729030093/attachments/attEXB8zGPwvj6Ue3ZmJg9Pt/</t>
  </si>
  <si>
    <t>1764665235166.jpg</t>
  </si>
  <si>
    <t>https://eu.kobotoolbox.org/api/v2/assets/asidN676GwD9kVUoocseLY/data/729030093/attachments/attCjdtbZM5NXSPq2EGM3bbr/</t>
  </si>
  <si>
    <t>1764665325245.jpg</t>
  </si>
  <si>
    <t>https://eu.kobotoolbox.org/api/v2/assets/asidN676GwD9kVUoocseLY/data/729030093/attachments/attmV65sdHPUboBr4VViuxRt/</t>
  </si>
  <si>
    <t>1764665355131.jpg</t>
  </si>
  <si>
    <t>https://eu.kobotoolbox.org/api/v2/assets/asidN676GwD9kVUoocseLY/data/729030093/attachments/attMcns9iHs3Mrg2ikYvwoLH/</t>
  </si>
  <si>
    <t>1764665413991.jpg</t>
  </si>
  <si>
    <t>https://eu.kobotoolbox.org/api/v2/assets/asidN676GwD9kVUoocseLY/data/729030093/attachments/attCMVRG32yeEqEz7BrAJmEX/</t>
  </si>
  <si>
    <t>1764665432010.jpg</t>
  </si>
  <si>
    <t>https://eu.kobotoolbox.org/api/v2/assets/asidN676GwD9kVUoocseLY/data/729030093/attachments/attFBtdNsx2hSWAs2JwcSDGt/</t>
  </si>
  <si>
    <t>1764665448597.jpg</t>
  </si>
  <si>
    <t>https://eu.kobotoolbox.org/api/v2/assets/asidN676GwD9kVUoocseLY/data/729030093/attachments/attifhRXJD2J3Wep5Jek8oSC/</t>
  </si>
  <si>
    <t>1764665480239.jpg</t>
  </si>
  <si>
    <t>https://eu.kobotoolbox.org/api/v2/assets/asidN676GwD9kVUoocseLY/data/729030093/attachments/attdN2mD6ZxLygy2YU3RwJUL/</t>
  </si>
  <si>
    <t>1764669194633.jpg</t>
  </si>
  <si>
    <t>https://eu.kobotoolbox.org/api/v2/assets/asidN676GwD9kVUoocseLY/data/729030093/attachments/attWuteiv2L9vCJrMB53Czoe/</t>
  </si>
  <si>
    <t>1764669572745.jpg</t>
  </si>
  <si>
    <t>https://eu.kobotoolbox.org/api/v2/assets/asidN676GwD9kVUoocseLY/data/729030093/attachments/attYZfYrTYxnbHqxK6dwDTSU/</t>
  </si>
  <si>
    <t>1764678803574.jpg</t>
  </si>
  <si>
    <t>https://eu.kobotoolbox.org/api/v2/assets/asidN676GwD9kVUoocseLY/data/729030093/attachments/attjCJXvssDdo55ujALihL8H/</t>
  </si>
  <si>
    <t>1764667187820.jpg</t>
  </si>
  <si>
    <t>https://eu.kobotoolbox.org/api/v2/assets/asidN676GwD9kVUoocseLY/data/729038332/attachments/att6XR5S63UWDbv97RxrtDgK/</t>
  </si>
  <si>
    <t>1764668286828.jpg</t>
  </si>
  <si>
    <t>https://eu.kobotoolbox.org/api/v2/assets/asidN676GwD9kVUoocseLY/data/729038332/attachments/attj8ZgPvDV9kjzfuzUQoUYx/</t>
  </si>
  <si>
    <t>1764668301018.jpg</t>
  </si>
  <si>
    <t>https://eu.kobotoolbox.org/api/v2/assets/asidN676GwD9kVUoocseLY/data/729038332/attachments/attgBYfCwZDXUa3s3kpnMWoT/</t>
  </si>
  <si>
    <t>1764668321888.jpg</t>
  </si>
  <si>
    <t>https://eu.kobotoolbox.org/api/v2/assets/asidN676GwD9kVUoocseLY/data/729038332/attachments/attxnZrsWoY7vPa6Wsx3Fe8A/</t>
  </si>
  <si>
    <t>1764668341564.jpg</t>
  </si>
  <si>
    <t>https://eu.kobotoolbox.org/api/v2/assets/asidN676GwD9kVUoocseLY/data/729038332/attachments/attHMNiL8vJZxiEYAh3ivK4c/</t>
  </si>
  <si>
    <t>1764668352839.jpg</t>
  </si>
  <si>
    <t>https://eu.kobotoolbox.org/api/v2/assets/asidN676GwD9kVUoocseLY/data/729038332/attachments/attqazcmYek8JgFQHvF4pB56/</t>
  </si>
  <si>
    <t>1764668385891.jpg</t>
  </si>
  <si>
    <t>https://eu.kobotoolbox.org/api/v2/assets/asidN676GwD9kVUoocseLY/data/729038332/attachments/attVaYDbuf4A6akMyhEsRUsB/</t>
  </si>
  <si>
    <t>1764671155378.jpg</t>
  </si>
  <si>
    <t>https://eu.kobotoolbox.org/api/v2/assets/asidN676GwD9kVUoocseLY/data/729047968/attachments/attD8Js8J6uVatsek9FrzeX2/</t>
  </si>
  <si>
    <t>1764671186645.jpg</t>
  </si>
  <si>
    <t>https://eu.kobotoolbox.org/api/v2/assets/asidN676GwD9kVUoocseLY/data/729047968/attachments/attKfogsdoojsfcfNkQWMGb5/</t>
  </si>
  <si>
    <t>1764671212541.jpg</t>
  </si>
  <si>
    <t>https://eu.kobotoolbox.org/api/v2/assets/asidN676GwD9kVUoocseLY/data/729047968/attachments/attHvv7aDvJaLSSmKdrYyidp/</t>
  </si>
  <si>
    <t>1764671233316.jpg</t>
  </si>
  <si>
    <t>https://eu.kobotoolbox.org/api/v2/assets/asidN676GwD9kVUoocseLY/data/729047968/attachments/attaFASXBH9rJGY7yVAggf5F/</t>
  </si>
  <si>
    <t>1764671251881.jpg</t>
  </si>
  <si>
    <t>https://eu.kobotoolbox.org/api/v2/assets/asidN676GwD9kVUoocseLY/data/729047968/attachments/attEwaDqxFw2vBaZd3xn7xyX/</t>
  </si>
  <si>
    <t>1764671262957.jpg</t>
  </si>
  <si>
    <t>https://eu.kobotoolbox.org/api/v2/assets/asidN676GwD9kVUoocseLY/data/729047968/attachments/attwyh2grru95dDMw8wgUBgX/</t>
  </si>
  <si>
    <t>1764671342006.jpg</t>
  </si>
  <si>
    <t>https://eu.kobotoolbox.org/api/v2/assets/asidN676GwD9kVUoocseLY/data/729047968/attachments/attHcWxyMry7oAEXK9SSVJw8/</t>
  </si>
  <si>
    <t>1764671354593.jpg</t>
  </si>
  <si>
    <t>https://eu.kobotoolbox.org/api/v2/assets/asidN676GwD9kVUoocseLY/data/729047968/attachments/att9mmYCgVBFBVGq4Dysdbbd/</t>
  </si>
  <si>
    <t>1764671387634.jpg</t>
  </si>
  <si>
    <t>https://eu.kobotoolbox.org/api/v2/assets/asidN676GwD9kVUoocseLY/data/729047968/attachments/attArt7NgLTxH5WeaetZD7qZ/</t>
  </si>
  <si>
    <t>1764671503831.jpg</t>
  </si>
  <si>
    <t>https://eu.kobotoolbox.org/api/v2/assets/asidN676GwD9kVUoocseLY/data/729047968/attachments/attsWNW5L7LfKGBAThQ5DN5T/</t>
  </si>
  <si>
    <t>1764671575520.jpg</t>
  </si>
  <si>
    <t>https://eu.kobotoolbox.org/api/v2/assets/asidN676GwD9kVUoocseLY/data/729047968/attachments/att754oY7XU4jDxH7eSNcxtr/</t>
  </si>
  <si>
    <t>1764671594715.jpg</t>
  </si>
  <si>
    <t>https://eu.kobotoolbox.org/api/v2/assets/asidN676GwD9kVUoocseLY/data/729047968/attachments/att2xTsDRxj4x3TL6NDnAZ24/</t>
  </si>
  <si>
    <t>1764671606961.jpg</t>
  </si>
  <si>
    <t>https://eu.kobotoolbox.org/api/v2/assets/asidN676GwD9kVUoocseLY/data/729047968/attachments/atttJaXn4AJSBDQUZXry8Bzh/</t>
  </si>
  <si>
    <t>1764750719454.jpg</t>
  </si>
  <si>
    <t>https://eu.kobotoolbox.org/api/v2/assets/asidN676GwD9kVUoocseLY/data/729124582/attachments/attBnFAcv4GbgGwLA4AXnypr/</t>
  </si>
  <si>
    <t>1764750731096.jpg</t>
  </si>
  <si>
    <t>https://eu.kobotoolbox.org/api/v2/assets/asidN676GwD9kVUoocseLY/data/729124582/attachments/attZrbCofvCRtyqD74Buyhfm/</t>
  </si>
  <si>
    <t>1764750745003.jpg</t>
  </si>
  <si>
    <t>https://eu.kobotoolbox.org/api/v2/assets/asidN676GwD9kVUoocseLY/data/729124582/attachments/attJShbnTaS4reze9pkLgisg/</t>
  </si>
  <si>
    <t>1764752441171.jpg</t>
  </si>
  <si>
    <t>https://eu.kobotoolbox.org/api/v2/assets/asidN676GwD9kVUoocseLY/data/729127190/attachments/att5wNsEP5QUaECPHpPNPpeQ/</t>
  </si>
  <si>
    <t>1764755672443.jpg</t>
  </si>
  <si>
    <t>https://eu.kobotoolbox.org/api/v2/assets/asidN676GwD9kVUoocseLY/data/729127430/attachments/attDJu6WEPDMun4ETYFwLa8C/</t>
  </si>
  <si>
    <t>1764755714227.jpg</t>
  </si>
  <si>
    <t>https://eu.kobotoolbox.org/api/v2/assets/asidN676GwD9kVUoocseLY/data/729127430/attachments/atthYzda4KpZX6yxyFGLXBuM/</t>
  </si>
  <si>
    <t>1764755822664.jpg</t>
  </si>
  <si>
    <t>https://eu.kobotoolbox.org/api/v2/assets/asidN676GwD9kVUoocseLY/data/729127430/attachments/attiRGfsxcqwYTt659o5ZbDj/</t>
  </si>
  <si>
    <t>1764752108368.jpg</t>
  </si>
  <si>
    <t>https://eu.kobotoolbox.org/api/v2/assets/asidN676GwD9kVUoocseLY/data/729172261/attachments/attNVBqVyzKwB75supmr2HTF/</t>
  </si>
  <si>
    <t>1764756743198.jpg</t>
  </si>
  <si>
    <t>https://eu.kobotoolbox.org/api/v2/assets/asidN676GwD9kVUoocseLY/data/729176523/attachments/attgRQQEV9tPr9Pi46YtQgQ3/</t>
  </si>
  <si>
    <t>1764756757700.jpg</t>
  </si>
  <si>
    <t>https://eu.kobotoolbox.org/api/v2/assets/asidN676GwD9kVUoocseLY/data/729176523/attachments/attsXR5io2wu3pai927yPrSs/</t>
  </si>
  <si>
    <t>1764756810695.jpg</t>
  </si>
  <si>
    <t>https://eu.kobotoolbox.org/api/v2/assets/asidN676GwD9kVUoocseLY/data/729176523/attachments/attQRQDBYbu6jyaZHHgR2R4M/</t>
  </si>
  <si>
    <t>1764756822697.jpg</t>
  </si>
  <si>
    <t>https://eu.kobotoolbox.org/api/v2/assets/asidN676GwD9kVUoocseLY/data/729176523/attachments/attKdERAFQXt9f7pFgnv4is4/</t>
  </si>
  <si>
    <t>1764756240294.jpg</t>
  </si>
  <si>
    <t>https://eu.kobotoolbox.org/api/v2/assets/asidN676GwD9kVUoocseLY/data/729184274/attachments/attLozmP79S8dg49zVvhHScF/</t>
  </si>
  <si>
    <t>1764756257119.jpg</t>
  </si>
  <si>
    <t>https://eu.kobotoolbox.org/api/v2/assets/asidN676GwD9kVUoocseLY/data/729184274/attachments/attVs2ooiMuAF5mayCT9tCjx/</t>
  </si>
  <si>
    <t>1764756270985.jpg</t>
  </si>
  <si>
    <t>https://eu.kobotoolbox.org/api/v2/assets/asidN676GwD9kVUoocseLY/data/729184274/attachments/atttUijgUK5A2oNkwMgWtXGb/</t>
  </si>
  <si>
    <t>1764756285311.jpg</t>
  </si>
  <si>
    <t>https://eu.kobotoolbox.org/api/v2/assets/asidN676GwD9kVUoocseLY/data/729184274/attachments/attCUuJZWVDokd9zNhpgDL9z/</t>
  </si>
  <si>
    <t>1764756295206.jpg</t>
  </si>
  <si>
    <t>https://eu.kobotoolbox.org/api/v2/assets/asidN676GwD9kVUoocseLY/data/729184274/attachments/attd65hXKjr2psWfEjVu6sHS/</t>
  </si>
  <si>
    <t>1764756315391.jpg</t>
  </si>
  <si>
    <t>https://eu.kobotoolbox.org/api/v2/assets/asidN676GwD9kVUoocseLY/data/729184274/attachments/attvCyZ6b36X8XfTDhaPvwoX/</t>
  </si>
  <si>
    <t>1764756352961.jpg</t>
  </si>
  <si>
    <t>https://eu.kobotoolbox.org/api/v2/assets/asidN676GwD9kVUoocseLY/data/729184274/attachments/attG9GBzziFaTGNrVv3EGkmg/</t>
  </si>
  <si>
    <t>1764756371520.jpg</t>
  </si>
  <si>
    <t>https://eu.kobotoolbox.org/api/v2/assets/asidN676GwD9kVUoocseLY/data/729184274/attachments/attRBoPWVK9d6NH9xAMF23nK/</t>
  </si>
  <si>
    <t>1764756400452.jpg</t>
  </si>
  <si>
    <t>https://eu.kobotoolbox.org/api/v2/assets/asidN676GwD9kVUoocseLY/data/729184274/attachments/attdoqL5QSJkDu5hZEUGtKe6/</t>
  </si>
  <si>
    <t>1764756464049.jpg</t>
  </si>
  <si>
    <t>https://eu.kobotoolbox.org/api/v2/assets/asidN676GwD9kVUoocseLY/data/729184274/attachments/attA4zwcwMmixUmBeJZx67ys/</t>
  </si>
  <si>
    <t>1764756517209.jpg</t>
  </si>
  <si>
    <t>https://eu.kobotoolbox.org/api/v2/assets/asidN676GwD9kVUoocseLY/data/729184274/attachments/attWePNqr2ViZ3z3CQtr6RFh/</t>
  </si>
  <si>
    <t>1764756532733.jpg</t>
  </si>
  <si>
    <t>https://eu.kobotoolbox.org/api/v2/assets/asidN676GwD9kVUoocseLY/data/729184274/attachments/att6WnBys4uL4YWSHwH6SAdC/</t>
  </si>
  <si>
    <t>1764756596046.jpg</t>
  </si>
  <si>
    <t>https://eu.kobotoolbox.org/api/v2/assets/asidN676GwD9kVUoocseLY/data/729184274/attachments/attywcebWFkFSsrZMd22hezM/</t>
  </si>
  <si>
    <t>1764756623558.jpg</t>
  </si>
  <si>
    <t>https://eu.kobotoolbox.org/api/v2/assets/asidN676GwD9kVUoocseLY/data/729184274/attachments/attpwehXMdKDV6bkaiKo5izu/</t>
  </si>
  <si>
    <t>1764760824208.jpg</t>
  </si>
  <si>
    <t>https://eu.kobotoolbox.org/api/v2/assets/asidN676GwD9kVUoocseLY/data/729191973/attachments/attkCUrSpbEEJ4dfyh9f2c7e/</t>
  </si>
  <si>
    <t>1764760844303.jpg</t>
  </si>
  <si>
    <t>https://eu.kobotoolbox.org/api/v2/assets/asidN676GwD9kVUoocseLY/data/729191973/attachments/attUsjoevSRrxZGkc5B2ktf9/</t>
  </si>
  <si>
    <t>1764760877352.jpg</t>
  </si>
  <si>
    <t>https://eu.kobotoolbox.org/api/v2/assets/asidN676GwD9kVUoocseLY/data/729191973/attachments/atthAZjiLHHjFkK3X2ukL92W/</t>
  </si>
  <si>
    <t>1764760889074.jpg</t>
  </si>
  <si>
    <t>https://eu.kobotoolbox.org/api/v2/assets/asidN676GwD9kVUoocseLY/data/729191973/attachments/attgTY9X6CAb9iVuULa2eJsm/</t>
  </si>
  <si>
    <t>1764760896704.jpg</t>
  </si>
  <si>
    <t>https://eu.kobotoolbox.org/api/v2/assets/asidN676GwD9kVUoocseLY/data/729191973/attachments/attdbZHLStvuTe68vmjGThnJ/</t>
  </si>
  <si>
    <t>1764760914627.jpg</t>
  </si>
  <si>
    <t>https://eu.kobotoolbox.org/api/v2/assets/asidN676GwD9kVUoocseLY/data/729191973/attachments/att52vpwa278DAN6eBqZ7syp/</t>
  </si>
  <si>
    <t>1764760922277.jpg</t>
  </si>
  <si>
    <t>https://eu.kobotoolbox.org/api/v2/assets/asidN676GwD9kVUoocseLY/data/729191973/attachments/attXAaixfxe95puoPcWHCUgN/</t>
  </si>
  <si>
    <t>1764760930461.jpg</t>
  </si>
  <si>
    <t>https://eu.kobotoolbox.org/api/v2/assets/asidN676GwD9kVUoocseLY/data/729191973/attachments/attPGAXcepRuJCYViBFTTszF/</t>
  </si>
  <si>
    <t>1764760937609.jpg</t>
  </si>
  <si>
    <t>https://eu.kobotoolbox.org/api/v2/assets/asidN676GwD9kVUoocseLY/data/729191973/attachments/att3XDQeKbhh6aWo8WRLYaH4/</t>
  </si>
  <si>
    <t>1764760962516.jpg</t>
  </si>
  <si>
    <t>https://eu.kobotoolbox.org/api/v2/assets/asidN676GwD9kVUoocseLY/data/729191973/attachments/attgMMMtL2a7atz5oSiW4ptH/</t>
  </si>
  <si>
    <t>1764760982846.jpg</t>
  </si>
  <si>
    <t>https://eu.kobotoolbox.org/api/v2/assets/asidN676GwD9kVUoocseLY/data/729191973/attachments/attp6uA42VDfjEm7d5EJZLQH/</t>
  </si>
  <si>
    <t>1764760996676.jpg</t>
  </si>
  <si>
    <t>https://eu.kobotoolbox.org/api/v2/assets/asidN676GwD9kVUoocseLY/data/729191973/attachments/attmJkH5TJuGBn9kDxov2oj4/</t>
  </si>
  <si>
    <t>1764761024957.jpg</t>
  </si>
  <si>
    <t>https://eu.kobotoolbox.org/api/v2/assets/asidN676GwD9kVUoocseLY/data/729191973/attachments/attZSVrJcbtoxRw7fspwX8Gf/</t>
  </si>
  <si>
    <t>1764748183185.jpg</t>
  </si>
  <si>
    <t>https://eu.kobotoolbox.org/api/v2/assets/asidN676GwD9kVUoocseLY/data/729192337/attachments/attY4yTpNFvcDNGWaT4PvFSm/</t>
  </si>
  <si>
    <t>1764748196034.jpg</t>
  </si>
  <si>
    <t>https://eu.kobotoolbox.org/api/v2/assets/asidN676GwD9kVUoocseLY/data/729192337/attachments/attrPgm9zweJTRtBGkXRgmHQ/</t>
  </si>
  <si>
    <t>1764748213884.jpg</t>
  </si>
  <si>
    <t>https://eu.kobotoolbox.org/api/v2/assets/asidN676GwD9kVUoocseLY/data/729192337/attachments/atttuTnw7M3EWbbhzskATnjy/</t>
  </si>
  <si>
    <t>1764748251598.jpg</t>
  </si>
  <si>
    <t>https://eu.kobotoolbox.org/api/v2/assets/asidN676GwD9kVUoocseLY/data/729192337/attachments/attQyK9mmAbsDLYJUS7vSyEs/</t>
  </si>
  <si>
    <t>1764748275848.jpg</t>
  </si>
  <si>
    <t>https://eu.kobotoolbox.org/api/v2/assets/asidN676GwD9kVUoocseLY/data/729192337/attachments/att427xKMgHhHyUD34XWk3go/</t>
  </si>
  <si>
    <t>1764748340560.jpg</t>
  </si>
  <si>
    <t>https://eu.kobotoolbox.org/api/v2/assets/asidN676GwD9kVUoocseLY/data/729192337/attachments/attFJjFeWYsUTmyq5DQEAE2s/</t>
  </si>
  <si>
    <t>1764748364920.jpg</t>
  </si>
  <si>
    <t>https://eu.kobotoolbox.org/api/v2/assets/asidN676GwD9kVUoocseLY/data/729192337/attachments/attQNJRj7ZRVwcS553iXRbBP/</t>
  </si>
  <si>
    <t>1764748389603.jpg</t>
  </si>
  <si>
    <t>https://eu.kobotoolbox.org/api/v2/assets/asidN676GwD9kVUoocseLY/data/729192337/attachments/atttM62zgHyaKKKtyUw3wyMR/</t>
  </si>
  <si>
    <t>1764748442028.jpg</t>
  </si>
  <si>
    <t>https://eu.kobotoolbox.org/api/v2/assets/asidN676GwD9kVUoocseLY/data/729192337/attachments/attnaTANsjthy6cdProWdKRe/</t>
  </si>
  <si>
    <t>1764762138205.jpg</t>
  </si>
  <si>
    <t>https://eu.kobotoolbox.org/api/v2/assets/asidN676GwD9kVUoocseLY/data/729192607/attachments/attTuHeCMD3N56Qct89bLzVN/</t>
  </si>
  <si>
    <t>1764762166835.jpg</t>
  </si>
  <si>
    <t>https://eu.kobotoolbox.org/api/v2/assets/asidN676GwD9kVUoocseLY/data/729192607/attachments/atth7xCfdDhUrJ5byfQ95wf2/</t>
  </si>
  <si>
    <t>1764762185542.jpg</t>
  </si>
  <si>
    <t>https://eu.kobotoolbox.org/api/v2/assets/asidN676GwD9kVUoocseLY/data/729192607/attachments/att79DNrkPjuXJpqdbBUBacP/</t>
  </si>
  <si>
    <t>1764762235504.jpg</t>
  </si>
  <si>
    <t>https://eu.kobotoolbox.org/api/v2/assets/asidN676GwD9kVUoocseLY/data/729192607/attachments/attCpWP36mKUX7mWjBdbgjBE/</t>
  </si>
  <si>
    <t>1764762250722.jpg</t>
  </si>
  <si>
    <t>https://eu.kobotoolbox.org/api/v2/assets/asidN676GwD9kVUoocseLY/data/729192607/attachments/attE5CUwMKGiQNktYE4D85n6/</t>
  </si>
  <si>
    <t>1764762258172.jpg</t>
  </si>
  <si>
    <t>https://eu.kobotoolbox.org/api/v2/assets/asidN676GwD9kVUoocseLY/data/729192607/attachments/attK8LF4FUDC2BMtEVmtbQJt/</t>
  </si>
  <si>
    <t>1764762267056.jpg</t>
  </si>
  <si>
    <t>https://eu.kobotoolbox.org/api/v2/assets/asidN676GwD9kVUoocseLY/data/729192607/attachments/attRXrhnkiHfwZbzoHPjHNp5/</t>
  </si>
  <si>
    <t>1764762274156.jpg</t>
  </si>
  <si>
    <t>https://eu.kobotoolbox.org/api/v2/assets/asidN676GwD9kVUoocseLY/data/729192607/attachments/attkg3AqbeMuiXWASuSjLomk/</t>
  </si>
  <si>
    <t>1764762282797.jpg</t>
  </si>
  <si>
    <t>https://eu.kobotoolbox.org/api/v2/assets/asidN676GwD9kVUoocseLY/data/729192607/attachments/attsYwr9cX8qJjmwYKGDJFeo/</t>
  </si>
  <si>
    <t>1764762314423.jpg</t>
  </si>
  <si>
    <t>https://eu.kobotoolbox.org/api/v2/assets/asidN676GwD9kVUoocseLY/data/729192607/attachments/attuC5WA37FNn4nfgLHdzLUG/</t>
  </si>
  <si>
    <t>1764762359131.jpg</t>
  </si>
  <si>
    <t>https://eu.kobotoolbox.org/api/v2/assets/asidN676GwD9kVUoocseLY/data/729192607/attachments/att6CUdAF8FAur2U8wtwVu3y/</t>
  </si>
  <si>
    <t>1764762401693.jpg</t>
  </si>
  <si>
    <t>https://eu.kobotoolbox.org/api/v2/assets/asidN676GwD9kVUoocseLY/data/729192607/attachments/attmkgeZF9dysRtGfdke7rsT/</t>
  </si>
  <si>
    <t>1764762423435.jpg</t>
  </si>
  <si>
    <t>https://eu.kobotoolbox.org/api/v2/assets/asidN676GwD9kVUoocseLY/data/729192607/attachments/attZhiAghhjgsreYj8KaP4sT/</t>
  </si>
  <si>
    <t>1764762435103.jpg</t>
  </si>
  <si>
    <t>https://eu.kobotoolbox.org/api/v2/assets/asidN676GwD9kVUoocseLY/data/729192607/attachments/att2jFYFd9vamBjUC8Sztcqc/</t>
  </si>
  <si>
    <t>1764758837814.jpg</t>
  </si>
  <si>
    <t>https://eu.kobotoolbox.org/api/v2/assets/asidN676GwD9kVUoocseLY/data/729193055/attachments/attRVshgbrZc84cjJuun7vaw/</t>
  </si>
  <si>
    <t>1764758900496.jpg</t>
  </si>
  <si>
    <t>https://eu.kobotoolbox.org/api/v2/assets/asidN676GwD9kVUoocseLY/data/729193055/attachments/attdys4xhovMWtkeEfiShEhe/</t>
  </si>
  <si>
    <t>1764758919907.jpg</t>
  </si>
  <si>
    <t>https://eu.kobotoolbox.org/api/v2/assets/asidN676GwD9kVUoocseLY/data/729193055/attachments/attbASP4xECLbSfvuj5ki3zA/</t>
  </si>
  <si>
    <t>1764758935761.jpg</t>
  </si>
  <si>
    <t>https://eu.kobotoolbox.org/api/v2/assets/asidN676GwD9kVUoocseLY/data/729193055/attachments/att45n2gZYGzmBeqCRXfXc2x/</t>
  </si>
  <si>
    <t>1764758958174.jpg</t>
  </si>
  <si>
    <t>https://eu.kobotoolbox.org/api/v2/assets/asidN676GwD9kVUoocseLY/data/729193055/attachments/attpQpmC8sq4i9MUin3sV35w/</t>
  </si>
  <si>
    <t>1764758987959.jpg</t>
  </si>
  <si>
    <t>https://eu.kobotoolbox.org/api/v2/assets/asidN676GwD9kVUoocseLY/data/729193055/attachments/attEYGKVdG852SAi74tKKrZi/</t>
  </si>
  <si>
    <t>1764758997887.jpg</t>
  </si>
  <si>
    <t>https://eu.kobotoolbox.org/api/v2/assets/asidN676GwD9kVUoocseLY/data/729193055/attachments/att5cL4xjRvaEM9eEnWEivUz/</t>
  </si>
  <si>
    <t>1764759008547.jpg</t>
  </si>
  <si>
    <t>https://eu.kobotoolbox.org/api/v2/assets/asidN676GwD9kVUoocseLY/data/729193055/attachments/atte43xEUP7nKSWz8s7ttjUf/</t>
  </si>
  <si>
    <t>1764759021763.jpg</t>
  </si>
  <si>
    <t>https://eu.kobotoolbox.org/api/v2/assets/asidN676GwD9kVUoocseLY/data/729193055/attachments/attBzd74Tsj8wpqPb6ndGovy/</t>
  </si>
  <si>
    <t>1764759068665.jpg</t>
  </si>
  <si>
    <t>https://eu.kobotoolbox.org/api/v2/assets/asidN676GwD9kVUoocseLY/data/729193055/attachments/attjBXpzF6EafCS4E3M9ifv9/</t>
  </si>
  <si>
    <t>1764759079418.jpg</t>
  </si>
  <si>
    <t>https://eu.kobotoolbox.org/api/v2/assets/asidN676GwD9kVUoocseLY/data/729193055/attachments/atte3rptbhS3LYWRReW2TvKT/</t>
  </si>
  <si>
    <t>1764759099099.jpg</t>
  </si>
  <si>
    <t>https://eu.kobotoolbox.org/api/v2/assets/asidN676GwD9kVUoocseLY/data/729193055/attachments/attq8vGtixHZKH9yiKmMz7WJ/</t>
  </si>
  <si>
    <t>1764759106353.jpg</t>
  </si>
  <si>
    <t>https://eu.kobotoolbox.org/api/v2/assets/asidN676GwD9kVUoocseLY/data/729193055/attachments/attASzhHy7tWH42N9tQtj3fn/</t>
  </si>
  <si>
    <t>1764759116709.jpg</t>
  </si>
  <si>
    <t>https://eu.kobotoolbox.org/api/v2/assets/asidN676GwD9kVUoocseLY/data/729193055/attachments/attttaH7Qs7LVP7qniSPJUrB/</t>
  </si>
  <si>
    <t>1764759126074.jpg</t>
  </si>
  <si>
    <t>https://eu.kobotoolbox.org/api/v2/assets/asidN676GwD9kVUoocseLY/data/729193055/attachments/attFiQ2eMPUGuAxyUegLFb62/</t>
  </si>
  <si>
    <t>1764759135059.jpg</t>
  </si>
  <si>
    <t>https://eu.kobotoolbox.org/api/v2/assets/asidN676GwD9kVUoocseLY/data/729193055/attachments/att6nA3f9YeWfznCn4SknSbz/</t>
  </si>
  <si>
    <t>1764759142685.jpg</t>
  </si>
  <si>
    <t>https://eu.kobotoolbox.org/api/v2/assets/asidN676GwD9kVUoocseLY/data/729193055/attachments/attMRnGvzdzw6u6NYgAA44Jt/</t>
  </si>
  <si>
    <t>1764664645208.jpg</t>
  </si>
  <si>
    <t>https://eu.kobotoolbox.org/api/v2/assets/asidN676GwD9kVUoocseLY/data/729193669/attachments/atto4P64TGAw5ujxRKEQSGvF/</t>
  </si>
  <si>
    <t>1764664667116.jpg</t>
  </si>
  <si>
    <t>https://eu.kobotoolbox.org/api/v2/assets/asidN676GwD9kVUoocseLY/data/729193669/attachments/attU3GFKj4P6QiDPEGYz9BaP/</t>
  </si>
  <si>
    <t>1764664745176.jpg</t>
  </si>
  <si>
    <t>https://eu.kobotoolbox.org/api/v2/assets/asidN676GwD9kVUoocseLY/data/729193669/attachments/attq2KdQ34k5PiWjVyGxAkd8/</t>
  </si>
  <si>
    <t>1764664792618.jpg</t>
  </si>
  <si>
    <t>https://eu.kobotoolbox.org/api/v2/assets/asidN676GwD9kVUoocseLY/data/729193669/attachments/attaoLJF763J7EiyGGmLKvK6/</t>
  </si>
  <si>
    <t>1764751657507.jpg</t>
  </si>
  <si>
    <t>https://eu.kobotoolbox.org/api/v2/assets/asidN676GwD9kVUoocseLY/data/729193985/attachments/attyu7WHyNqPfx5ecs4t22Lu/</t>
  </si>
  <si>
    <t>1764751689644.jpg</t>
  </si>
  <si>
    <t>https://eu.kobotoolbox.org/api/v2/assets/asidN676GwD9kVUoocseLY/data/729193985/attachments/atts6K82s7fywphBwGbrCSAw/</t>
  </si>
  <si>
    <t>1764751701167.jpg</t>
  </si>
  <si>
    <t>https://eu.kobotoolbox.org/api/v2/assets/asidN676GwD9kVUoocseLY/data/729193985/attachments/attK7KLicD2a8fUjy4khtKto/</t>
  </si>
  <si>
    <t>1764751718658.jpg</t>
  </si>
  <si>
    <t>https://eu.kobotoolbox.org/api/v2/assets/asidN676GwD9kVUoocseLY/data/729193985/attachments/attV4fLv9TsfE4bigfrSnzE8/</t>
  </si>
  <si>
    <t>1764751755266.jpg</t>
  </si>
  <si>
    <t>https://eu.kobotoolbox.org/api/v2/assets/asidN676GwD9kVUoocseLY/data/729193985/attachments/atttbwDU43FuLtRCMzxqxqnK/</t>
  </si>
  <si>
    <t>1764749644704.jpg</t>
  </si>
  <si>
    <t>https://eu.kobotoolbox.org/api/v2/assets/asidN676GwD9kVUoocseLY/data/729309644/attachments/attk4Tj72Dbvv8gpd493aiox/</t>
  </si>
  <si>
    <t>1764749658916.jpg</t>
  </si>
  <si>
    <t>https://eu.kobotoolbox.org/api/v2/assets/asidN676GwD9kVUoocseLY/data/729309644/attachments/attzK7LvsbFzusLHmDWXvMcy/</t>
  </si>
  <si>
    <t>1764749671674.jpg</t>
  </si>
  <si>
    <t>https://eu.kobotoolbox.org/api/v2/assets/asidN676GwD9kVUoocseLY/data/729309644/attachments/attmtzREQWS3kVBfVCGiMm4U/</t>
  </si>
  <si>
    <t>1764749695687.jpg</t>
  </si>
  <si>
    <t>https://eu.kobotoolbox.org/api/v2/assets/asidN676GwD9kVUoocseLY/data/729309644/attachments/attpzuLMCcmWEUSBRrQH3WLq/</t>
  </si>
  <si>
    <t>1764749713579.jpg</t>
  </si>
  <si>
    <t>https://eu.kobotoolbox.org/api/v2/assets/asidN676GwD9kVUoocseLY/data/729309644/attachments/attNB4CnbZTutg57pfC2H5kC/</t>
  </si>
  <si>
    <t>1764749743505.jpg</t>
  </si>
  <si>
    <t>https://eu.kobotoolbox.org/api/v2/assets/asidN676GwD9kVUoocseLY/data/729309644/attachments/att7XpCNnTfhAn5GBf8E6D4m/</t>
  </si>
  <si>
    <t>4.4 تركيب أنابيب صرف صحي 6 إنش</t>
  </si>
  <si>
    <t>1764748535268.jpg</t>
  </si>
  <si>
    <t>https://eu.kobotoolbox.org/api/v2/assets/asidN676GwD9kVUoocseLY/data/729309774/attachments/attHbgo3wFFybsurEmAgA9Qs/</t>
  </si>
  <si>
    <t>1764748549304.jpg</t>
  </si>
  <si>
    <t>https://eu.kobotoolbox.org/api/v2/assets/asidN676GwD9kVUoocseLY/data/729309774/attachments/attMc9LnRWRoTuYSwYENqWfT/</t>
  </si>
  <si>
    <t>1764748629295.jpg</t>
  </si>
  <si>
    <t>https://eu.kobotoolbox.org/api/v2/assets/asidN676GwD9kVUoocseLY/data/729309774/attachments/attECznrbBs6yfUjHrhQiVMf/</t>
  </si>
  <si>
    <t>1764748588300.jpg</t>
  </si>
  <si>
    <t>https://eu.kobotoolbox.org/api/v2/assets/asidN676GwD9kVUoocseLY/data/729309774/attachments/attgSTaRBU5BDYCKoCtWtyS2/</t>
  </si>
  <si>
    <t>1764748661170.jpg</t>
  </si>
  <si>
    <t>https://eu.kobotoolbox.org/api/v2/assets/asidN676GwD9kVUoocseLY/data/729309774/attachments/attbWe65EH7jUjwwwQHcpsqF/</t>
  </si>
  <si>
    <t>1764748714333.jpg</t>
  </si>
  <si>
    <t>https://eu.kobotoolbox.org/api/v2/assets/asidN676GwD9kVUoocseLY/data/729309774/attachments/attcWHzsNQQAt9LCnH38QFab/</t>
  </si>
  <si>
    <t>1764748730300.jpg</t>
  </si>
  <si>
    <t>https://eu.kobotoolbox.org/api/v2/assets/asidN676GwD9kVUoocseLY/data/729309774/attachments/att5VJKkyWsfJMm8HAcSoSpf/</t>
  </si>
  <si>
    <t>1764750917578.jpg</t>
  </si>
  <si>
    <t>https://eu.kobotoolbox.org/api/v2/assets/asidN676GwD9kVUoocseLY/data/729309812/attachments/attKrhLFm3TARJvcrVMPAEL3/</t>
  </si>
  <si>
    <t>1764750928708.jpg</t>
  </si>
  <si>
    <t>https://eu.kobotoolbox.org/api/v2/assets/asidN676GwD9kVUoocseLY/data/729309812/attachments/attk9rzFUwvuGmq7QEjjEhkr/</t>
  </si>
  <si>
    <t>1764750938305.jpg</t>
  </si>
  <si>
    <t>https://eu.kobotoolbox.org/api/v2/assets/asidN676GwD9kVUoocseLY/data/729309812/attachments/attaidCcE2Neo3JuBmj4UJdD/</t>
  </si>
  <si>
    <t>1764750950941.jpg</t>
  </si>
  <si>
    <t>https://eu.kobotoolbox.org/api/v2/assets/asidN676GwD9kVUoocseLY/data/729309812/attachments/attDKNkH9xPzpLsUvEAphmnP/</t>
  </si>
  <si>
    <t>1764750965730.jpg</t>
  </si>
  <si>
    <t>https://eu.kobotoolbox.org/api/v2/assets/asidN676GwD9kVUoocseLY/data/729309812/attachments/attTes97BobL3bKMy2yZXo6j/</t>
  </si>
  <si>
    <t>1764752090820.jpg</t>
  </si>
  <si>
    <t>https://eu.kobotoolbox.org/api/v2/assets/asidN676GwD9kVUoocseLY/data/729309852/attachments/att9R2deRMWuSo42uhGyqwQw/</t>
  </si>
  <si>
    <t>1764752100047.jpg</t>
  </si>
  <si>
    <t>https://eu.kobotoolbox.org/api/v2/assets/asidN676GwD9kVUoocseLY/data/729309852/attachments/attXVugUkWkveGiQzzEweLBK/</t>
  </si>
  <si>
    <t>1764752108176.jpg</t>
  </si>
  <si>
    <t>https://eu.kobotoolbox.org/api/v2/assets/asidN676GwD9kVUoocseLY/data/729309852/attachments/attn2LnfTJNtckimJ9nzh4t9/</t>
  </si>
  <si>
    <t>1764752184418.jpg</t>
  </si>
  <si>
    <t>https://eu.kobotoolbox.org/api/v2/assets/asidN676GwD9kVUoocseLY/data/729309852/attachments/attdbF84Sm548ZYy7ny7fYoo/</t>
  </si>
  <si>
    <t>1764753391386.jpg</t>
  </si>
  <si>
    <t>https://eu.kobotoolbox.org/api/v2/assets/asidN676GwD9kVUoocseLY/data/729309876/attachments/attHQjhn4BxsHW96MqzaKvqZ/</t>
  </si>
  <si>
    <t>1764753411995.jpg</t>
  </si>
  <si>
    <t>https://eu.kobotoolbox.org/api/v2/assets/asidN676GwD9kVUoocseLY/data/729309876/attachments/att2s4mBdeqV4pzG8YrTWFTe/</t>
  </si>
  <si>
    <t>1764753422222.jpg</t>
  </si>
  <si>
    <t>https://eu.kobotoolbox.org/api/v2/assets/asidN676GwD9kVUoocseLY/data/729309876/attachments/attVLpBEKHaNS6X7Ckh6EKFi/</t>
  </si>
  <si>
    <t>1764753436207.jpg</t>
  </si>
  <si>
    <t>https://eu.kobotoolbox.org/api/v2/assets/asidN676GwD9kVUoocseLY/data/729309876/attachments/att7X6SrDsfrLAQNxZuMFAni/</t>
  </si>
  <si>
    <t>1764753474173.jpg</t>
  </si>
  <si>
    <t>https://eu.kobotoolbox.org/api/v2/assets/asidN676GwD9kVUoocseLY/data/729309876/attachments/attmnJoaPm2UJoKuzLAyHAPm/</t>
  </si>
  <si>
    <t>1764753485270.jpg</t>
  </si>
  <si>
    <t>https://eu.kobotoolbox.org/api/v2/assets/asidN676GwD9kVUoocseLY/data/729309876/attachments/attsjdbjfiAaoQ2DdRfW926X/</t>
  </si>
  <si>
    <t>1764753493451.jpg</t>
  </si>
  <si>
    <t>https://eu.kobotoolbox.org/api/v2/assets/asidN676GwD9kVUoocseLY/data/729309876/attachments/attAdZRV2KsmHFwAt4ZSNwc4/</t>
  </si>
  <si>
    <t>1764753501103.jpg</t>
  </si>
  <si>
    <t>https://eu.kobotoolbox.org/api/v2/assets/asidN676GwD9kVUoocseLY/data/729309876/attachments/attfMAbQSsvuLwX7zsfrrTVU/</t>
  </si>
  <si>
    <t>1764753509288.jpg</t>
  </si>
  <si>
    <t>https://eu.kobotoolbox.org/api/v2/assets/asidN676GwD9kVUoocseLY/data/729309876/attachments/attQgEJFd7ky7DWnpQJTuNx2/</t>
  </si>
  <si>
    <t>1764754445684.jpg</t>
  </si>
  <si>
    <t>https://eu.kobotoolbox.org/api/v2/assets/asidN676GwD9kVUoocseLY/data/729309934/attachments/attEwqrqsZp6sKRqtt8LvzJt/</t>
  </si>
  <si>
    <t>1764754454912.jpg</t>
  </si>
  <si>
    <t>https://eu.kobotoolbox.org/api/v2/assets/asidN676GwD9kVUoocseLY/data/729309934/attachments/attGfjWd2CLXy4VJwVRraBcu/</t>
  </si>
  <si>
    <t>1764757819724.jpg</t>
  </si>
  <si>
    <t>https://eu.kobotoolbox.org/api/v2/assets/asidN676GwD9kVUoocseLY/data/729309954/attachments/attvaGFk8B7sxFbdtbNeHQ5z/</t>
  </si>
  <si>
    <t>1764757864274.jpg</t>
  </si>
  <si>
    <t>https://eu.kobotoolbox.org/api/v2/assets/asidN676GwD9kVUoocseLY/data/729309954/attachments/attKt4X5qyMdxGFVqDuhHUja/</t>
  </si>
  <si>
    <t>1764757879644.jpg</t>
  </si>
  <si>
    <t>https://eu.kobotoolbox.org/api/v2/assets/asidN676GwD9kVUoocseLY/data/729309954/attachments/att5y2C6ycjVC2YYPMLviAAh/</t>
  </si>
  <si>
    <t>1764757889387.jpg</t>
  </si>
  <si>
    <t>https://eu.kobotoolbox.org/api/v2/assets/asidN676GwD9kVUoocseLY/data/729309954/attachments/attyMQaAwUv3QGC9D7dCeAdZ/</t>
  </si>
  <si>
    <t>1764757902622.jpg</t>
  </si>
  <si>
    <t>https://eu.kobotoolbox.org/api/v2/assets/asidN676GwD9kVUoocseLY/data/729309954/attachments/attHbXEQV8eh5F2qHifwLJf7/</t>
  </si>
  <si>
    <t>1764757935623.jpg</t>
  </si>
  <si>
    <t>https://eu.kobotoolbox.org/api/v2/assets/asidN676GwD9kVUoocseLY/data/729309954/attachments/att6MSC472bGcr9VCwzqnk9F/</t>
  </si>
  <si>
    <t>1764757957845.jpg</t>
  </si>
  <si>
    <t>https://eu.kobotoolbox.org/api/v2/assets/asidN676GwD9kVUoocseLY/data/729309954/attachments/attmDCy9jY3n75jspodDo6yf/</t>
  </si>
  <si>
    <t>1764757966778.jpg</t>
  </si>
  <si>
    <t>https://eu.kobotoolbox.org/api/v2/assets/asidN676GwD9kVUoocseLY/data/729309954/attachments/attbNGVwUCsqkLJmjuPbXCBx/</t>
  </si>
  <si>
    <t>1764757981790.jpg</t>
  </si>
  <si>
    <t>https://eu.kobotoolbox.org/api/v2/assets/asidN676GwD9kVUoocseLY/data/729309954/attachments/attwTVvPqon93XLU7eQuFKnn/</t>
  </si>
  <si>
    <t>1764759294001.jpg</t>
  </si>
  <si>
    <t>https://eu.kobotoolbox.org/api/v2/assets/asidN676GwD9kVUoocseLY/data/729312164/attachments/attC2bZ7a7ftQXJaCKL4euJU/</t>
  </si>
  <si>
    <t>1764759310784.jpg</t>
  </si>
  <si>
    <t>https://eu.kobotoolbox.org/api/v2/assets/asidN676GwD9kVUoocseLY/data/729312164/attachments/att3CZrgHVsAXpkK5VJBMPDW/</t>
  </si>
  <si>
    <t>1764759331282.jpg</t>
  </si>
  <si>
    <t>https://eu.kobotoolbox.org/api/v2/assets/asidN676GwD9kVUoocseLY/data/729312164/attachments/attsKbfsxdztGZa5bz6vgE3g/</t>
  </si>
  <si>
    <t>1764759341026.jpg</t>
  </si>
  <si>
    <t>https://eu.kobotoolbox.org/api/v2/assets/asidN676GwD9kVUoocseLY/data/729312164/attachments/attCed5qAi7yshcTQ5bCqgTL/</t>
  </si>
  <si>
    <t>1764759365043.jpg</t>
  </si>
  <si>
    <t>https://eu.kobotoolbox.org/api/v2/assets/asidN676GwD9kVUoocseLY/data/729312164/attachments/attZNnAk7NeJmeVqmUczFZiT/</t>
  </si>
  <si>
    <t>1764760646673.jpg</t>
  </si>
  <si>
    <t>https://eu.kobotoolbox.org/api/v2/assets/asidN676GwD9kVUoocseLY/data/729312631/attachments/attYcJHtNQ2pdBDg8rEducRD/</t>
  </si>
  <si>
    <t>1764760693921.jpg</t>
  </si>
  <si>
    <t>https://eu.kobotoolbox.org/api/v2/assets/asidN676GwD9kVUoocseLY/data/729312631/attachments/att473X3ovCr5GyUFP2DUQrF/</t>
  </si>
  <si>
    <t>1764760746496.jpg</t>
  </si>
  <si>
    <t>https://eu.kobotoolbox.org/api/v2/assets/asidN676GwD9kVUoocseLY/data/729312631/attachments/attam8ngm8GcHrDfoEVJ8VDv/</t>
  </si>
  <si>
    <t>1764760753146.jpg</t>
  </si>
  <si>
    <t>https://eu.kobotoolbox.org/api/v2/assets/asidN676GwD9kVUoocseLY/data/729312631/attachments/attLiCkyd3T7v4gCgAhj3VYE/</t>
  </si>
  <si>
    <t>1764761928873.jpg</t>
  </si>
  <si>
    <t>https://eu.kobotoolbox.org/api/v2/assets/asidN676GwD9kVUoocseLY/data/729314568/attachments/attVuiyqCtPtmNouPdfU7WuU/</t>
  </si>
  <si>
    <t>1764761938901.jpg</t>
  </si>
  <si>
    <t>https://eu.kobotoolbox.org/api/v2/assets/asidN676GwD9kVUoocseLY/data/729314568/attachments/attZTPbM94PKD7u279yLeHxj/</t>
  </si>
  <si>
    <t>1764761953602.jpg</t>
  </si>
  <si>
    <t>https://eu.kobotoolbox.org/api/v2/assets/asidN676GwD9kVUoocseLY/data/729314568/attachments/attFTjLmragJsNCBBNVu4JtV/</t>
  </si>
  <si>
    <t>1764761975841.jpg</t>
  </si>
  <si>
    <t>https://eu.kobotoolbox.org/api/v2/assets/asidN676GwD9kVUoocseLY/data/729314568/attachments/attfoWiKZsDL2up3yknmbcAG/</t>
  </si>
  <si>
    <t>1764761984755.jpg</t>
  </si>
  <si>
    <t>https://eu.kobotoolbox.org/api/v2/assets/asidN676GwD9kVUoocseLY/data/729314568/attachments/attBu8JQuiu2vmTCWpLkrArA/</t>
  </si>
  <si>
    <t>1764761996884.jpg</t>
  </si>
  <si>
    <t>https://eu.kobotoolbox.org/api/v2/assets/asidN676GwD9kVUoocseLY/data/729314568/attachments/attTPpswN8qHrZBx8eJ9bTW5/</t>
  </si>
  <si>
    <t>1764762020461.jpg</t>
  </si>
  <si>
    <t>https://eu.kobotoolbox.org/api/v2/assets/asidN676GwD9kVUoocseLY/data/729314568/attachments/attDs2MpgUdr5ezeJVZ5a2kS/</t>
  </si>
  <si>
    <t>1764762034133.jpg</t>
  </si>
  <si>
    <t>https://eu.kobotoolbox.org/api/v2/assets/asidN676GwD9kVUoocseLY/data/729314568/attachments/attaFuNAE8FghpyztC8kAp5P/</t>
  </si>
  <si>
    <t>1764762048619.jpg</t>
  </si>
  <si>
    <t>https://eu.kobotoolbox.org/api/v2/assets/asidN676GwD9kVUoocseLY/data/729314568/attachments/attvgeRYXBGNdH3k72i5pzeV/</t>
  </si>
  <si>
    <t>1764762057652.jpg</t>
  </si>
  <si>
    <t>https://eu.kobotoolbox.org/api/v2/assets/asidN676GwD9kVUoocseLY/data/729314568/attachments/attWdNFHFSKbGFtdnEQdcHpP/</t>
  </si>
  <si>
    <t>1764762852037.jpg</t>
  </si>
  <si>
    <t>https://eu.kobotoolbox.org/api/v2/assets/asidN676GwD9kVUoocseLY/data/729314991/attachments/attgAA8UPP4MC8v5VTk8vbK3/</t>
  </si>
  <si>
    <t>1764762863471.jpg</t>
  </si>
  <si>
    <t>https://eu.kobotoolbox.org/api/v2/assets/asidN676GwD9kVUoocseLY/data/729314991/attachments/attejwjoaPLG3jxSkNis9o6N/</t>
  </si>
  <si>
    <t>1764762872481.jpg</t>
  </si>
  <si>
    <t>https://eu.kobotoolbox.org/api/v2/assets/asidN676GwD9kVUoocseLY/data/729314991/attachments/attSxosytw4S9SsAccrM96hT/</t>
  </si>
  <si>
    <t>1764762883585.jpg</t>
  </si>
  <si>
    <t>https://eu.kobotoolbox.org/api/v2/assets/asidN676GwD9kVUoocseLY/data/729314991/attachments/attGLYbekdjYWee7svKXsXV2/</t>
  </si>
  <si>
    <t>1764762892226.jpg</t>
  </si>
  <si>
    <t>https://eu.kobotoolbox.org/api/v2/assets/asidN676GwD9kVUoocseLY/data/729314991/attachments/attwkREgUf398RSxetpDAgi6/</t>
  </si>
  <si>
    <t>1764762935645.jpg</t>
  </si>
  <si>
    <t>https://eu.kobotoolbox.org/api/v2/assets/asidN676GwD9kVUoocseLY/data/729314991/attachments/attbEHSFG3x6ppxFNQhpEz83/</t>
  </si>
  <si>
    <t>1764762947915.jpg</t>
  </si>
  <si>
    <t>https://eu.kobotoolbox.org/api/v2/assets/asidN676GwD9kVUoocseLY/data/729314991/attachments/attpesvGKkKAXr8SaAbjQHVk/</t>
  </si>
  <si>
    <t>1764762955321.jpg</t>
  </si>
  <si>
    <t>https://eu.kobotoolbox.org/api/v2/assets/asidN676GwD9kVUoocseLY/data/729314991/attachments/att3wC2LmjDfeWgFa25SaUV2/</t>
  </si>
  <si>
    <t>1764672713997.jpg</t>
  </si>
  <si>
    <t>https://eu.kobotoolbox.org/api/v2/assets/asidN676GwD9kVUoocseLY/data/729389630/attachments/attLXWY5R6BsTLRbTxAaYzMz/</t>
  </si>
  <si>
    <t>1764676918241.jpg</t>
  </si>
  <si>
    <t>https://eu.kobotoolbox.org/api/v2/assets/asidN676GwD9kVUoocseLY/data/729389907/attachments/attjg79pU6bbDU3ep5LEsLUx/</t>
  </si>
  <si>
    <t>1764676970597.jpg</t>
  </si>
  <si>
    <t>https://eu.kobotoolbox.org/api/v2/assets/asidN676GwD9kVUoocseLY/data/729389907/attachments/attRjfa9JrzFmLn3qdW9fBcg/</t>
  </si>
  <si>
    <t>1764677067583.jpg</t>
  </si>
  <si>
    <t>https://eu.kobotoolbox.org/api/v2/assets/asidN676GwD9kVUoocseLY/data/729389907/attachments/attFEzCcqQX7f6ogY9orpWzf/</t>
  </si>
  <si>
    <t>1764677121741.jpg</t>
  </si>
  <si>
    <t>https://eu.kobotoolbox.org/api/v2/assets/asidN676GwD9kVUoocseLY/data/729389907/attachments/attpUjoqZgT5rJAafP5usUkx/</t>
  </si>
  <si>
    <t>1764677176825.jpg</t>
  </si>
  <si>
    <t>https://eu.kobotoolbox.org/api/v2/assets/asidN676GwD9kVUoocseLY/data/729389907/attachments/att5ZbLXSuYgbio5i6wWQDXa/</t>
  </si>
  <si>
    <t>1764677198254.jpg</t>
  </si>
  <si>
    <t>https://eu.kobotoolbox.org/api/v2/assets/asidN676GwD9kVUoocseLY/data/729389907/attachments/attZPiH66JFgxuLEUUbRJojo/</t>
  </si>
  <si>
    <t>1764677221509.jpg</t>
  </si>
  <si>
    <t>https://eu.kobotoolbox.org/api/v2/assets/asidN676GwD9kVUoocseLY/data/729389907/attachments/attGKaEkGsdZDpJXyfC4Axo7/</t>
  </si>
  <si>
    <t>1764677290133.jpg</t>
  </si>
  <si>
    <t>https://eu.kobotoolbox.org/api/v2/assets/asidN676GwD9kVUoocseLY/data/729389907/attachments/attw33ZtWHoss4PLmXj9gtZM/</t>
  </si>
  <si>
    <t>1764677424869.jpg</t>
  </si>
  <si>
    <t>https://eu.kobotoolbox.org/api/v2/assets/asidN676GwD9kVUoocseLY/data/729389907/attachments/attnERMkVvcu2W87SzkmCfAp/</t>
  </si>
  <si>
    <t>1764677486181.jpg</t>
  </si>
  <si>
    <t>https://eu.kobotoolbox.org/api/v2/assets/asidN676GwD9kVUoocseLY/data/729389907/attachments/attiL3RDhTkKsmczrVom78T4/</t>
  </si>
  <si>
    <t>1764677499020.jpg</t>
  </si>
  <si>
    <t>https://eu.kobotoolbox.org/api/v2/assets/asidN676GwD9kVUoocseLY/data/729389907/attachments/attPLEpqd9YKXNfV6NZ9aRRd/</t>
  </si>
  <si>
    <t>1764677683137.jpg</t>
  </si>
  <si>
    <t>https://eu.kobotoolbox.org/api/v2/assets/asidN676GwD9kVUoocseLY/data/729389907/attachments/attwgXupATcLjLQfUWnySnUP/</t>
  </si>
  <si>
    <t>1764677771907.jpg</t>
  </si>
  <si>
    <t>https://eu.kobotoolbox.org/api/v2/assets/asidN676GwD9kVUoocseLY/data/729389907/attachments/attezoYQZdbL46q8wN6mhz6i/</t>
  </si>
  <si>
    <t>1764677880107.jpg</t>
  </si>
  <si>
    <t>https://eu.kobotoolbox.org/api/v2/assets/asidN676GwD9kVUoocseLY/data/729389907/attachments/attQSrLkFbB9mw8UMi9Frmrg/</t>
  </si>
  <si>
    <t>1764669959111.jpg</t>
  </si>
  <si>
    <t>https://eu.kobotoolbox.org/api/v2/assets/asidN676GwD9kVUoocseLY/data/729390337/attachments/att47tnoQteJyLKxpzZXEzXe/</t>
  </si>
  <si>
    <t>1764669984596.jpg</t>
  </si>
  <si>
    <t>https://eu.kobotoolbox.org/api/v2/assets/asidN676GwD9kVUoocseLY/data/729390337/attachments/attnSRpaxAPXTb2yV5qkZLAR/</t>
  </si>
  <si>
    <t>1764670002082.jpg</t>
  </si>
  <si>
    <t>https://eu.kobotoolbox.org/api/v2/assets/asidN676GwD9kVUoocseLY/data/729390337/attachments/attymyCYkPQFcT2r3jSLFhXG/</t>
  </si>
  <si>
    <t>1764660671729.jpg</t>
  </si>
  <si>
    <t>https://eu.kobotoolbox.org/api/v2/assets/asidN676GwD9kVUoocseLY/data/729390583/attachments/attJarTbtfsfNtZ4y7zYdXnr/</t>
  </si>
  <si>
    <t>1764660694192.jpg</t>
  </si>
  <si>
    <t>https://eu.kobotoolbox.org/api/v2/assets/asidN676GwD9kVUoocseLY/data/729390583/attachments/att555Y3YoQRK8cCGWbk5XNc/</t>
  </si>
  <si>
    <t>1764660743896.jpg</t>
  </si>
  <si>
    <t>https://eu.kobotoolbox.org/api/v2/assets/asidN676GwD9kVUoocseLY/data/729390583/attachments/att4EuJPwXMKvCcQC3R34b9w/</t>
  </si>
  <si>
    <t>1764660762669.jpg</t>
  </si>
  <si>
    <t>https://eu.kobotoolbox.org/api/v2/assets/asidN676GwD9kVUoocseLY/data/729390583/attachments/attvkVipTDwqncW4wJ4dgaUM/</t>
  </si>
  <si>
    <t>1764756180048.jpg</t>
  </si>
  <si>
    <t>https://eu.kobotoolbox.org/api/v2/assets/asidN676GwD9kVUoocseLY/data/729396379/attachments/attPDwvsHi4PePun5HE2JV2e/</t>
  </si>
  <si>
    <t>1764756462348.jpg</t>
  </si>
  <si>
    <t>https://eu.kobotoolbox.org/api/v2/assets/asidN676GwD9kVUoocseLY/data/729396379/attachments/att4VzCZUuJvwUpe82CWxbBc/</t>
  </si>
  <si>
    <t>1764756509829.jpg</t>
  </si>
  <si>
    <t>https://eu.kobotoolbox.org/api/v2/assets/asidN676GwD9kVUoocseLY/data/729396379/attachments/attmYURzkJBPHTogD7qGs8LW/</t>
  </si>
  <si>
    <t>1764756592969.jpg</t>
  </si>
  <si>
    <t>https://eu.kobotoolbox.org/api/v2/assets/asidN676GwD9kVUoocseLY/data/729396379/attachments/attfKW3fgrdm6NztnkdqPsJT/</t>
  </si>
  <si>
    <t>1764756612235.jpg</t>
  </si>
  <si>
    <t>https://eu.kobotoolbox.org/api/v2/assets/asidN676GwD9kVUoocseLY/data/729396379/attachments/attxyZPsLK5pGEp4rBSUF6yx/</t>
  </si>
  <si>
    <t>1764834377464.jpg</t>
  </si>
  <si>
    <t>https://eu.kobotoolbox.org/api/v2/assets/asidN676GwD9kVUoocseLY/data/729442744/attachments/attJSDGzWtqKmeHRXCo8cWrX/</t>
  </si>
  <si>
    <t>1764834427518.jpg</t>
  </si>
  <si>
    <t>https://eu.kobotoolbox.org/api/v2/assets/asidN676GwD9kVUoocseLY/data/729442744/attachments/attnFGAahmtdkarUj2sGVz3s/</t>
  </si>
  <si>
    <t>1764834464272.jpg</t>
  </si>
  <si>
    <t>1764834504850.jpg</t>
  </si>
  <si>
    <t>1764834549441.jpg</t>
  </si>
  <si>
    <t>1764834585198.jpg</t>
  </si>
  <si>
    <t>كود البند الفرعي</t>
  </si>
  <si>
    <t>w1_2</t>
  </si>
  <si>
    <t>w1_3</t>
  </si>
  <si>
    <t>w1_4</t>
  </si>
  <si>
    <t>w1_6</t>
  </si>
  <si>
    <t>w1_9</t>
  </si>
  <si>
    <t>w1_11</t>
  </si>
  <si>
    <t>w1_12</t>
  </si>
  <si>
    <t>w2_1</t>
  </si>
  <si>
    <t>w2_2</t>
  </si>
  <si>
    <t>w2_4</t>
  </si>
  <si>
    <t>w2_7</t>
  </si>
  <si>
    <t>w3_2</t>
  </si>
  <si>
    <t>w3_3</t>
  </si>
  <si>
    <t>w3_4</t>
  </si>
  <si>
    <t>w3_5</t>
  </si>
  <si>
    <t>w3_6</t>
  </si>
  <si>
    <t>w3_7</t>
  </si>
  <si>
    <t>w3_8</t>
  </si>
  <si>
    <t>w4_6</t>
  </si>
  <si>
    <t>w5_1</t>
  </si>
  <si>
    <t>w2_3</t>
  </si>
  <si>
    <t>w2_5</t>
  </si>
  <si>
    <t>w2_9</t>
  </si>
  <si>
    <t>w2_8</t>
  </si>
  <si>
    <t>w1_1</t>
  </si>
  <si>
    <t>w1_5</t>
  </si>
  <si>
    <t>w1_7</t>
  </si>
  <si>
    <t>w1_8</t>
  </si>
  <si>
    <t>w1_10</t>
  </si>
  <si>
    <t>w2_6</t>
  </si>
  <si>
    <t>w3_1</t>
  </si>
  <si>
    <t>w4_3</t>
  </si>
  <si>
    <t>w5_2</t>
  </si>
  <si>
    <t>w5_5</t>
  </si>
  <si>
    <t>w6_1</t>
  </si>
  <si>
    <t>w4_1</t>
  </si>
  <si>
    <t>w4_2</t>
  </si>
  <si>
    <t>w4_5</t>
  </si>
  <si>
    <t>w5_4</t>
  </si>
  <si>
    <t>w5_3</t>
  </si>
  <si>
    <t>w4_4</t>
  </si>
  <si>
    <t>1.13 تركيب درابزونات ستانلس ستيل لذوي الاحتياجات الخاصة</t>
  </si>
  <si>
    <t>1.14 إنشاء رامب لذوي الاحتياجات الخاصة</t>
  </si>
  <si>
    <t>1.1 Light demolition with hand tools</t>
  </si>
  <si>
    <t>1.2 Debris removal</t>
  </si>
  <si>
    <t>1.3 Blockwork</t>
  </si>
  <si>
    <t>1.4 Concrete floor repair without formwork (250 kg/m³)</t>
  </si>
  <si>
    <t>1.5 Concrete roof repair with formwork (350 kg/m³)</t>
  </si>
  <si>
    <t>1.6 Plastering for walls and ceilings</t>
  </si>
  <si>
    <t>1.7 Repair existing doors &amp; windows with paint</t>
  </si>
  <si>
    <t>1.8 Install clear/frosted glass for doors and windows</t>
  </si>
  <si>
    <t>1.9 Supply &amp; install wooden joinery with accessories</t>
  </si>
  <si>
    <t>1.10 Supply &amp; install metal joinery with glass</t>
  </si>
  <si>
    <t>1.11 Supply &amp; install PVC joinery</t>
  </si>
  <si>
    <t>1.12 Install 3 cm marble door thresholds</t>
  </si>
  <si>
    <t>1.13 Install stainless steel handrails for PWD</t>
  </si>
  <si>
    <t>1.14 Construct ramp for PWD</t>
  </si>
  <si>
    <t>2.1 Install chrome water mixer with brass core</t>
  </si>
  <si>
    <t>2.2 Install ceramic floor tiles</t>
  </si>
  <si>
    <t>2.3 Install ceramic wall tiles</t>
  </si>
  <si>
    <t>2.4 Install 2.2m mosaic sink with stone splashback</t>
  </si>
  <si>
    <t>2.5 Install squat toilet</t>
  </si>
  <si>
    <t>2.6 Install WC toilet</t>
  </si>
  <si>
    <t>2.7 Install single water tap with brass core</t>
  </si>
  <si>
    <t>2.8 Install ceramic washbasin</t>
  </si>
  <si>
    <t>2.9 Install suspended ceilings</t>
  </si>
  <si>
    <t>3.1 Electrical rough-in (chasing, conduits, boxes; no wires)</t>
  </si>
  <si>
    <t>3.2 Copper wires 2 mm²</t>
  </si>
  <si>
    <t>3.3 Install light switches</t>
  </si>
  <si>
    <t>3.4 Install white LED lamps</t>
  </si>
  <si>
    <t>3.5 120 Ah lead-acid battery</t>
  </si>
  <si>
    <t>3.6 20A / 24V charge controller</t>
  </si>
  <si>
    <t>3.7 6 mm² copper solar cables</t>
  </si>
  <si>
    <t>3.8 300 W / 24 V solar panel</t>
  </si>
  <si>
    <t>4.1 Excavate 12 m³ cesspit</t>
  </si>
  <si>
    <t>4.2 Install 2" sewer pipes</t>
  </si>
  <si>
    <t>4.3 Install 4" sewer pipes</t>
  </si>
  <si>
    <t>4.4 Install 6" sewer pipes</t>
  </si>
  <si>
    <t>4.5 Manual/mechanical sewer cleaning</t>
  </si>
  <si>
    <t>4.6 Install stainless steel floor drain with cover</t>
  </si>
  <si>
    <t>5.1 Install 1000 L galvanized water tank</t>
  </si>
  <si>
    <t>5.2 Install 2000 L galvanized water tank</t>
  </si>
  <si>
    <t>5.3 Install 0.5" PPR pipes</t>
  </si>
  <si>
    <t>5.4 Install 1" PPR pipes</t>
  </si>
  <si>
    <t>5.5 Install 1.5" PPR pipes</t>
  </si>
  <si>
    <t>6.1 Acrylic elastic roof waterproofing</t>
  </si>
  <si>
    <t>w1_13</t>
  </si>
  <si>
    <t>w1_14</t>
  </si>
  <si>
    <t>Room and external finishing works</t>
  </si>
  <si>
    <t>Kitchen and wet area works</t>
  </si>
  <si>
    <t>Electrical works</t>
  </si>
  <si>
    <t>Sanitary and drainage works</t>
  </si>
  <si>
    <t>Fresh water supply works</t>
  </si>
  <si>
    <t>Roof insulation works</t>
  </si>
  <si>
    <t>main_1</t>
  </si>
  <si>
    <t>main_2</t>
  </si>
  <si>
    <t>main_3</t>
  </si>
  <si>
    <t>main_4</t>
  </si>
  <si>
    <t>main_5</t>
  </si>
  <si>
    <t>main_6</t>
  </si>
  <si>
    <t>item_ar</t>
  </si>
  <si>
    <t>item_en</t>
  </si>
  <si>
    <t>C2</t>
  </si>
  <si>
    <t>C3</t>
  </si>
  <si>
    <t>01</t>
  </si>
  <si>
    <t>02</t>
  </si>
  <si>
    <t>03</t>
  </si>
  <si>
    <t>04</t>
  </si>
  <si>
    <t>05</t>
  </si>
  <si>
    <t>06</t>
  </si>
  <si>
    <t>07</t>
  </si>
  <si>
    <t>08</t>
  </si>
  <si>
    <t>09</t>
  </si>
  <si>
    <t>السعر الافرادي</t>
  </si>
  <si>
    <t>الإجمالي</t>
  </si>
  <si>
    <t>رامز</t>
  </si>
  <si>
    <t>رجاء جمعة</t>
  </si>
  <si>
    <t>1764841114446.jpg</t>
  </si>
  <si>
    <t>https://eu.kobotoolbox.org/api/v2/assets/asidN676GwD9kVUoocseLY/data/729465316/attachments/att97Ge6nfYTYa4m3Ct2JmGD/</t>
  </si>
  <si>
    <t>1764841148778.jpg</t>
  </si>
  <si>
    <t>https://eu.kobotoolbox.org/api/v2/assets/asidN676GwD9kVUoocseLY/data/729465316/attachments/att4xqpoqh5hpixGXS3UwtEo/</t>
  </si>
  <si>
    <t>مزرعة شارع الحمام قرب مسجد التوفيق</t>
  </si>
  <si>
    <t>1764841507740.jpg</t>
  </si>
  <si>
    <t>https://eu.kobotoolbox.org/api/v2/assets/asidN676GwD9kVUoocseLY/data/729465316/attachments/att9UJyJ7ZQ6LxNxf5bRXHSE/</t>
  </si>
  <si>
    <t>1764841522713.jpg</t>
  </si>
  <si>
    <t>https://eu.kobotoolbox.org/api/v2/assets/asidN676GwD9kVUoocseLY/data/729465316/attachments/attw3fKZhQo6jigotMYY58pt/</t>
  </si>
  <si>
    <t>1764841538673.jpg</t>
  </si>
  <si>
    <t>https://eu.kobotoolbox.org/api/v2/assets/asidN676GwD9kVUoocseLY/data/729465316/attachments/attuy36MgG4x3zoKaF7CHgDf/</t>
  </si>
  <si>
    <t>1764841557038.jpg</t>
  </si>
  <si>
    <t>https://eu.kobotoolbox.org/api/v2/assets/asidN676GwD9kVUoocseLY/data/729465316/attachments/atthRaJerUSNGdENFcBenVCK/</t>
  </si>
  <si>
    <t>1764841577527.jpg</t>
  </si>
  <si>
    <t>https://eu.kobotoolbox.org/api/v2/assets/asidN676GwD9kVUoocseLY/data/729465316/attachments/att3qBhFmy9H9SQPTHJByDVA/</t>
  </si>
  <si>
    <t>1764841598067.jpg</t>
  </si>
  <si>
    <t>https://eu.kobotoolbox.org/api/v2/assets/asidN676GwD9kVUoocseLY/data/729465316/attachments/atteeDBR6NYR6GBGuCPYXctZ/</t>
  </si>
  <si>
    <t>1764841626813.jpg</t>
  </si>
  <si>
    <t>https://eu.kobotoolbox.org/api/v2/assets/asidN676GwD9kVUoocseLY/data/729465316/attachments/attQq2V568AAncvEWueGtdNP/</t>
  </si>
  <si>
    <t>1764841641911.jpg</t>
  </si>
  <si>
    <t>https://eu.kobotoolbox.org/api/v2/assets/asidN676GwD9kVUoocseLY/data/729465316/attachments/attVhHvVj7qUSJL2b5E2sCar/</t>
  </si>
  <si>
    <t>152 
المالك عدنان شفيق العلبي
المستفيدة مروة رامز العلبي</t>
  </si>
  <si>
    <t>اسماعيل</t>
  </si>
  <si>
    <t>ديبره</t>
  </si>
  <si>
    <t>صبحية</t>
  </si>
  <si>
    <t>فديا رجب شعبان</t>
  </si>
  <si>
    <t>1764843182013.jpg</t>
  </si>
  <si>
    <t>https://eu.kobotoolbox.org/api/v2/assets/asidN676GwD9kVUoocseLY/data/729480378/attachments/attzPqfbNrUJhG7nTMvFVBp3/</t>
  </si>
  <si>
    <t>1764843195099.jpg</t>
  </si>
  <si>
    <t>https://eu.kobotoolbox.org/api/v2/assets/asidN676GwD9kVUoocseLY/data/729480378/attachments/attMFC7ZV7MEtG4iV8apgbjP/</t>
  </si>
  <si>
    <t>1764843536536.jpg</t>
  </si>
  <si>
    <t>https://eu.kobotoolbox.org/api/v2/assets/asidN676GwD9kVUoocseLY/data/729480378/attachments/attF7roKWk5MaPYcdCFyQ8yh/</t>
  </si>
  <si>
    <t>1764843550866.jpg</t>
  </si>
  <si>
    <t>https://eu.kobotoolbox.org/api/v2/assets/asidN676GwD9kVUoocseLY/data/729480378/attachments/attxZNcuWSfXRFV6aRt8s94q/</t>
  </si>
  <si>
    <t>1764843562131.jpg</t>
  </si>
  <si>
    <t>https://eu.kobotoolbox.org/api/v2/assets/asidN676GwD9kVUoocseLY/data/729480378/attachments/attAckyv24MCgiSFtrquMsFP/</t>
  </si>
  <si>
    <t>1764843574612.jpg</t>
  </si>
  <si>
    <t>https://eu.kobotoolbox.org/api/v2/assets/asidN676GwD9kVUoocseLY/data/729480378/attachments/attVwZMSbvMDWDHrNAG4J9Vr/</t>
  </si>
  <si>
    <t>1764843588006.jpg</t>
  </si>
  <si>
    <t>https://eu.kobotoolbox.org/api/v2/assets/asidN676GwD9kVUoocseLY/data/729480378/attachments/attbaTuL5iG7wF6KpVBjNzWy/</t>
  </si>
  <si>
    <t>1764843598246.jpg</t>
  </si>
  <si>
    <t>https://eu.kobotoolbox.org/api/v2/assets/asidN676GwD9kVUoocseLY/data/729480378/attachments/attvcJse8aoBxWXFcvDgQcMM/</t>
  </si>
  <si>
    <t>1764843615039.jpg</t>
  </si>
  <si>
    <t>https://eu.kobotoolbox.org/api/v2/assets/asidN676GwD9kVUoocseLY/data/729480378/attachments/attkj6Udw8ubGwhUUya7LdcH/</t>
  </si>
  <si>
    <t>1764843625292.jpg</t>
  </si>
  <si>
    <t>https://eu.kobotoolbox.org/api/v2/assets/asidN676GwD9kVUoocseLY/data/729480378/attachments/attfcEKmBo6iuUf9dDaMLwa9/</t>
  </si>
  <si>
    <t>164
المستفيدة فاديا شعبان زوجة المتوفى اسماعيل ديبره</t>
  </si>
  <si>
    <t>محمد هاني</t>
  </si>
  <si>
    <t>محمد عصام</t>
  </si>
  <si>
    <t>دوفش</t>
  </si>
  <si>
    <t>إنعام صابون</t>
  </si>
  <si>
    <t>1764835948451.jpg</t>
  </si>
  <si>
    <t>https://eu.kobotoolbox.org/api/v2/assets/asidN676GwD9kVUoocseLY/data/729485384/attachments/attWdCv7irTUNFik37brtSP8/</t>
  </si>
  <si>
    <t>1764835955493.jpg</t>
  </si>
  <si>
    <t>https://eu.kobotoolbox.org/api/v2/assets/asidN676GwD9kVUoocseLY/data/729485384/attachments/attt3eN78aNhAhCqskeu2hnK/</t>
  </si>
  <si>
    <t>1764836188732.jpg</t>
  </si>
  <si>
    <t>https://eu.kobotoolbox.org/api/v2/assets/asidN676GwD9kVUoocseLY/data/729485384/attachments/attAnA27a85bJsikBNpXqrjg/</t>
  </si>
  <si>
    <t>1764836343111.jpg</t>
  </si>
  <si>
    <t>https://eu.kobotoolbox.org/api/v2/assets/asidN676GwD9kVUoocseLY/data/729485384/attachments/attjJPqgbTFh3NsYEydnUucH/</t>
  </si>
  <si>
    <t>1764836366069.jpg</t>
  </si>
  <si>
    <t>https://eu.kobotoolbox.org/api/v2/assets/asidN676GwD9kVUoocseLY/data/729485384/attachments/attV5UfugqWxvkAmwx6vKSUh/</t>
  </si>
  <si>
    <t>1764836389941.jpg</t>
  </si>
  <si>
    <t>https://eu.kobotoolbox.org/api/v2/assets/asidN676GwD9kVUoocseLY/data/729485384/attachments/attMiSfgVGzYjYUbBpG5ifrn/</t>
  </si>
  <si>
    <t>1764836409596.jpg</t>
  </si>
  <si>
    <t>https://eu.kobotoolbox.org/api/v2/assets/asidN676GwD9kVUoocseLY/data/729485384/attachments/attPHdgsZLUykyTpNg5Mz2bm/</t>
  </si>
  <si>
    <t>1764836423156.jpg</t>
  </si>
  <si>
    <t>https://eu.kobotoolbox.org/api/v2/assets/asidN676GwD9kVUoocseLY/data/729485384/attachments/attDRbbJqtVPDRinawprdckj/</t>
  </si>
  <si>
    <t>1764836445134.jpg</t>
  </si>
  <si>
    <t>https://eu.kobotoolbox.org/api/v2/assets/asidN676GwD9kVUoocseLY/data/729485384/attachments/attFiiauxwpThBrznjGpxgzQ/</t>
  </si>
  <si>
    <t>1764836457221.jpg</t>
  </si>
  <si>
    <t>https://eu.kobotoolbox.org/api/v2/assets/asidN676GwD9kVUoocseLY/data/729485384/attachments/attuJFXaUFADpaw9ZHBo3NWT/</t>
  </si>
  <si>
    <t>1764836466592.jpg</t>
  </si>
  <si>
    <t>https://eu.kobotoolbox.org/api/v2/assets/asidN676GwD9kVUoocseLY/data/729485384/attachments/attkPUhVsfGTem6LEM5xqSBA/</t>
  </si>
  <si>
    <t>138</t>
  </si>
  <si>
    <t>ماجده</t>
  </si>
  <si>
    <t>مضهور</t>
  </si>
  <si>
    <t>زهرية الأخرس</t>
  </si>
  <si>
    <t>1764839452373.jpg</t>
  </si>
  <si>
    <t>https://eu.kobotoolbox.org/api/v2/assets/asidN676GwD9kVUoocseLY/data/729485841/attachments/attsMvRz4YMBJJJiJ7RjhR3e/</t>
  </si>
  <si>
    <t>1764839464568.jpg</t>
  </si>
  <si>
    <t>https://eu.kobotoolbox.org/api/v2/assets/asidN676GwD9kVUoocseLY/data/729485841/attachments/attv7GKqa8bRci6L5pzZLEo7/</t>
  </si>
  <si>
    <t xml:space="preserve">المزرعة </t>
  </si>
  <si>
    <t>المزرعة مقابل طريق حزة</t>
  </si>
  <si>
    <t>1764839923841.jpg</t>
  </si>
  <si>
    <t>https://eu.kobotoolbox.org/api/v2/assets/asidN676GwD9kVUoocseLY/data/729485841/attachments/attDN3r3U646FS75LZC5kHUU/</t>
  </si>
  <si>
    <t>1764840138127.jpg</t>
  </si>
  <si>
    <t>https://eu.kobotoolbox.org/api/v2/assets/asidN676GwD9kVUoocseLY/data/729485841/attachments/att27WAnJSyVsisrTu3RAEwi/</t>
  </si>
  <si>
    <t>1764840149372.jpg</t>
  </si>
  <si>
    <t>https://eu.kobotoolbox.org/api/v2/assets/asidN676GwD9kVUoocseLY/data/729485841/attachments/att67Rdmjieh4U7EzeKxX4oq/</t>
  </si>
  <si>
    <t>1764840159615.jpg</t>
  </si>
  <si>
    <t>https://eu.kobotoolbox.org/api/v2/assets/asidN676GwD9kVUoocseLY/data/729485841/attachments/attqVkCKCgZVy4MFVM69RW6H/</t>
  </si>
  <si>
    <t>1764840171953.jpg</t>
  </si>
  <si>
    <t>https://eu.kobotoolbox.org/api/v2/assets/asidN676GwD9kVUoocseLY/data/729485841/attachments/attek4DF7HZB8eotDUg8Lans/</t>
  </si>
  <si>
    <t>1764840183326.jpg</t>
  </si>
  <si>
    <t>https://eu.kobotoolbox.org/api/v2/assets/asidN676GwD9kVUoocseLY/data/729485841/attachments/attA8a5kPDKnzY3uyhZEkJME/</t>
  </si>
  <si>
    <t>1764840196878.jpg</t>
  </si>
  <si>
    <t>https://eu.kobotoolbox.org/api/v2/assets/asidN676GwD9kVUoocseLY/data/729485841/attachments/attoKfhjYSwefGyqzxgdCbFG/</t>
  </si>
  <si>
    <t>1764840206570.jpg</t>
  </si>
  <si>
    <t>https://eu.kobotoolbox.org/api/v2/assets/asidN676GwD9kVUoocseLY/data/729485841/attachments/attnhyRu5oAqaruX5X9oRAfm/</t>
  </si>
  <si>
    <t>1764840215412.jpg</t>
  </si>
  <si>
    <t>https://eu.kobotoolbox.org/api/v2/assets/asidN676GwD9kVUoocseLY/data/729485841/attachments/att8sedwMR97imbEmLRbzB5J/</t>
  </si>
  <si>
    <t>372</t>
  </si>
  <si>
    <t>محمد عدنان</t>
  </si>
  <si>
    <t>رسمي</t>
  </si>
  <si>
    <t>زمزم</t>
  </si>
  <si>
    <t>خانم شعبان</t>
  </si>
  <si>
    <t>ناديا عبد الوهاب الدرويش</t>
  </si>
  <si>
    <t>1764841979505.jpg</t>
  </si>
  <si>
    <t>https://eu.kobotoolbox.org/api/v2/assets/asidN676GwD9kVUoocseLY/data/729485954/attachments/attHjrxfyJxE7HDJ7pWgeuYC/</t>
  </si>
  <si>
    <t>1764841993769.jpg</t>
  </si>
  <si>
    <t>https://eu.kobotoolbox.org/api/v2/assets/asidN676GwD9kVUoocseLY/data/729485954/attachments/attWJyKBZCY7iqFiawTCT8Pq/</t>
  </si>
  <si>
    <t>المزرعة قبل حارة الباشا</t>
  </si>
  <si>
    <t>مزرعة قبل حارة الباشا</t>
  </si>
  <si>
    <t>1764842392037.jpg</t>
  </si>
  <si>
    <t>https://eu.kobotoolbox.org/api/v2/assets/asidN676GwD9kVUoocseLY/data/729485954/attachments/attBo29377vKprjbnNbcZpCA/</t>
  </si>
  <si>
    <t>1764842617123.jpg</t>
  </si>
  <si>
    <t>https://eu.kobotoolbox.org/api/v2/assets/asidN676GwD9kVUoocseLY/data/729485954/attachments/attFndD55jyKaFqRd9QRtVt2/</t>
  </si>
  <si>
    <t>1764842635995.jpg</t>
  </si>
  <si>
    <t>https://eu.kobotoolbox.org/api/v2/assets/asidN676GwD9kVUoocseLY/data/729485954/attachments/attCriwMsiArKXFinzbHkUTY/</t>
  </si>
  <si>
    <t>1764842656509.jpg</t>
  </si>
  <si>
    <t>https://eu.kobotoolbox.org/api/v2/assets/asidN676GwD9kVUoocseLY/data/729485954/attachments/atthL9TvXf7ZqR3JxacqbmTE/</t>
  </si>
  <si>
    <t>1764842676107.jpg</t>
  </si>
  <si>
    <t>https://eu.kobotoolbox.org/api/v2/assets/asidN676GwD9kVUoocseLY/data/729485954/attachments/attnwqFvSA3rK5s2vhW2wpXw/</t>
  </si>
  <si>
    <t>1764842702334.jpg</t>
  </si>
  <si>
    <t>https://eu.kobotoolbox.org/api/v2/assets/asidN676GwD9kVUoocseLY/data/729485954/attachments/attvy3muGTzKT8fipYm6hsgf/</t>
  </si>
  <si>
    <t>1764842715177.jpg</t>
  </si>
  <si>
    <t>https://eu.kobotoolbox.org/api/v2/assets/asidN676GwD9kVUoocseLY/data/729485954/attachments/attgsxkpEuwjgAmzj7nLd6gN/</t>
  </si>
  <si>
    <t>1764842742198.jpg</t>
  </si>
  <si>
    <t>https://eu.kobotoolbox.org/api/v2/assets/asidN676GwD9kVUoocseLY/data/729485954/attachments/att2NUCYmM4vJw4dBGhfbU4D/</t>
  </si>
  <si>
    <t>1764842760941.jpg</t>
  </si>
  <si>
    <t>https://eu.kobotoolbox.org/api/v2/assets/asidN676GwD9kVUoocseLY/data/729485954/attachments/attry9Uidm6sHNTm4hUBz83t/</t>
  </si>
  <si>
    <t>112 المنزل يحتاج لدهان كامل الطابقين</t>
  </si>
  <si>
    <t>امينه</t>
  </si>
  <si>
    <t>ايات الفرا</t>
  </si>
  <si>
    <t>1764846536662.jpg</t>
  </si>
  <si>
    <t>https://eu.kobotoolbox.org/api/v2/assets/asidN676GwD9kVUoocseLY/data/729508465/attachments/attpsy9j7mSywYAH7mY6m7Eg/</t>
  </si>
  <si>
    <t>1764846553966.jpg</t>
  </si>
  <si>
    <t>https://eu.kobotoolbox.org/api/v2/assets/asidN676GwD9kVUoocseLY/data/729508465/attachments/attqwBd25t2bJkKYiSVizrE9/</t>
  </si>
  <si>
    <t>1764846892122.jpg</t>
  </si>
  <si>
    <t>https://eu.kobotoolbox.org/api/v2/assets/asidN676GwD9kVUoocseLY/data/729508465/attachments/att7PURDe2FWY35ridiTbYBH/</t>
  </si>
  <si>
    <t>1764846904774.jpg</t>
  </si>
  <si>
    <t>https://eu.kobotoolbox.org/api/v2/assets/asidN676GwD9kVUoocseLY/data/729508465/attachments/attYso5rwbUUv2Fux39hatkG/</t>
  </si>
  <si>
    <t>1764846918886.jpg</t>
  </si>
  <si>
    <t>https://eu.kobotoolbox.org/api/v2/assets/asidN676GwD9kVUoocseLY/data/729508465/attachments/attG3d5XBeBLdJrkD6uagi9Q/</t>
  </si>
  <si>
    <t>1764846931100.jpg</t>
  </si>
  <si>
    <t>https://eu.kobotoolbox.org/api/v2/assets/asidN676GwD9kVUoocseLY/data/729508465/attachments/attVNM9UvFuZHDfdTunqc2JF/</t>
  </si>
  <si>
    <t>1764846941422.jpg</t>
  </si>
  <si>
    <t>https://eu.kobotoolbox.org/api/v2/assets/asidN676GwD9kVUoocseLY/data/729508465/attachments/att9oqHRA989v2Rmjx8ukh3f/</t>
  </si>
  <si>
    <t>1764846987655.jpg</t>
  </si>
  <si>
    <t>https://eu.kobotoolbox.org/api/v2/assets/asidN676GwD9kVUoocseLY/data/729508465/attachments/atttsZbxrYZeBvGvDTjnA7eJ/</t>
  </si>
  <si>
    <t>1764847003970.jpg</t>
  </si>
  <si>
    <t>https://eu.kobotoolbox.org/api/v2/assets/asidN676GwD9kVUoocseLY/data/729508465/attachments/att48FfPtQeNRL2xkocKnd7R/</t>
  </si>
  <si>
    <t>1764847042089.jpg</t>
  </si>
  <si>
    <t>https://eu.kobotoolbox.org/api/v2/assets/asidN676GwD9kVUoocseLY/data/729508465/attachments/attiQA9UcpJ7En8mAXyuAJ7k/</t>
  </si>
  <si>
    <t>208</t>
  </si>
  <si>
    <t>زاهر</t>
  </si>
  <si>
    <t>خلفا</t>
  </si>
  <si>
    <t>دلال</t>
  </si>
  <si>
    <t>أماني سمير مرعي</t>
  </si>
  <si>
    <t>1764846808889.jpg</t>
  </si>
  <si>
    <t>https://eu.kobotoolbox.org/api/v2/assets/asidN676GwD9kVUoocseLY/data/729513095/attachments/att9igp4m5mhbX3mQDPaPTWc/</t>
  </si>
  <si>
    <t>1764846819404.jpg</t>
  </si>
  <si>
    <t>https://eu.kobotoolbox.org/api/v2/assets/asidN676GwD9kVUoocseLY/data/729513095/attachments/attqZq3ncPmeYTerT9xzbxRt/</t>
  </si>
  <si>
    <t>جانب مدرسة أم مازن</t>
  </si>
  <si>
    <t>قرب مدرسة أم مازن</t>
  </si>
  <si>
    <t>1764848191795.jpg</t>
  </si>
  <si>
    <t>https://eu.kobotoolbox.org/api/v2/assets/asidN676GwD9kVUoocseLY/data/729513095/attachments/attiTWjLLaQpyYVWJ7LpEQNw/</t>
  </si>
  <si>
    <t>1764848440106.jpg</t>
  </si>
  <si>
    <t>https://eu.kobotoolbox.org/api/v2/assets/asidN676GwD9kVUoocseLY/data/729513095/attachments/attchY3fgcsiwqUjJQJrJqCh/</t>
  </si>
  <si>
    <t>1764848248772.jpg</t>
  </si>
  <si>
    <t>https://eu.kobotoolbox.org/api/v2/assets/asidN676GwD9kVUoocseLY/data/729513095/attachments/attyaY6zcS3uCLGfUZfSkyso/</t>
  </si>
  <si>
    <t>1764848292213.jpg</t>
  </si>
  <si>
    <t>https://eu.kobotoolbox.org/api/v2/assets/asidN676GwD9kVUoocseLY/data/729513095/attachments/attpPquUDiTALDERMHzMVv3y/</t>
  </si>
  <si>
    <t>1764848311189.jpg</t>
  </si>
  <si>
    <t>https://eu.kobotoolbox.org/api/v2/assets/asidN676GwD9kVUoocseLY/data/729513095/attachments/att3Z6ajDnAdB6zfw7qYtkCp/</t>
  </si>
  <si>
    <t>1764848327128.jpg</t>
  </si>
  <si>
    <t>https://eu.kobotoolbox.org/api/v2/assets/asidN676GwD9kVUoocseLY/data/729513095/attachments/attJyNdZuHrsjghwFgcUYssm/</t>
  </si>
  <si>
    <t>1764848345071.jpg</t>
  </si>
  <si>
    <t>https://eu.kobotoolbox.org/api/v2/assets/asidN676GwD9kVUoocseLY/data/729513095/attachments/attbKw7MSzKfYuFE7yq59fHY/</t>
  </si>
  <si>
    <t>1764848356886.jpg</t>
  </si>
  <si>
    <t>https://eu.kobotoolbox.org/api/v2/assets/asidN676GwD9kVUoocseLY/data/729513095/attachments/attB8rLuJYt6wGDHJtVQYR7n/</t>
  </si>
  <si>
    <t>206</t>
  </si>
  <si>
    <t>ازدهار</t>
  </si>
  <si>
    <t>عبد الواحد</t>
  </si>
  <si>
    <t>زهرية الدكاك</t>
  </si>
  <si>
    <t>1764848349787.jpg</t>
  </si>
  <si>
    <t>https://eu.kobotoolbox.org/api/v2/assets/asidN676GwD9kVUoocseLY/data/729523978/attachments/attSkZckcek4zC56hUwHZfjo/</t>
  </si>
  <si>
    <t>1764848366959.jpg</t>
  </si>
  <si>
    <t>https://eu.kobotoolbox.org/api/v2/assets/asidN676GwD9kVUoocseLY/data/729523978/attachments/attdSvyHnbyMnhmT2JFZCw7w/</t>
  </si>
  <si>
    <t>1764848882975.jpg</t>
  </si>
  <si>
    <t>https://eu.kobotoolbox.org/api/v2/assets/asidN676GwD9kVUoocseLY/data/729523978/attachments/att7fZBKyzYbbYKfw2WzaUxu/</t>
  </si>
  <si>
    <t>1764848903143.jpg</t>
  </si>
  <si>
    <t>https://eu.kobotoolbox.org/api/v2/assets/asidN676GwD9kVUoocseLY/data/729523978/attachments/attWEf7TQju2d7zVCRqu69j6/</t>
  </si>
  <si>
    <t>1764848917235.jpg</t>
  </si>
  <si>
    <t>https://eu.kobotoolbox.org/api/v2/assets/asidN676GwD9kVUoocseLY/data/729523978/attachments/attwG9UXu8YESC4es7ZGKjmo/</t>
  </si>
  <si>
    <t>1764848928111.jpg</t>
  </si>
  <si>
    <t>https://eu.kobotoolbox.org/api/v2/assets/asidN676GwD9kVUoocseLY/data/729523978/attachments/att7qqAXnUHmdfuxLW5CUTkr/</t>
  </si>
  <si>
    <t>1764848938797.jpg</t>
  </si>
  <si>
    <t>https://eu.kobotoolbox.org/api/v2/assets/asidN676GwD9kVUoocseLY/data/729523978/attachments/attusA2W8E4P5ZxGxDcfaY5G/</t>
  </si>
  <si>
    <t>1764848953147.jpg</t>
  </si>
  <si>
    <t>https://eu.kobotoolbox.org/api/v2/assets/asidN676GwD9kVUoocseLY/data/729523978/attachments/attLptw6UzNoSWdkw7wP2ys3/</t>
  </si>
  <si>
    <t>1764848968111.jpg</t>
  </si>
  <si>
    <t>https://eu.kobotoolbox.org/api/v2/assets/asidN676GwD9kVUoocseLY/data/729523978/attachments/attYh43b3pp98yrNY4zvCjXG/</t>
  </si>
  <si>
    <t>1764848987909.jpg</t>
  </si>
  <si>
    <t>https://eu.kobotoolbox.org/api/v2/assets/asidN676GwD9kVUoocseLY/data/729523978/attachments/attzW968Ds9AnfkuC5GXE2vZ/</t>
  </si>
  <si>
    <t>207
المستفيدة زوجة كمال قهوجي</t>
  </si>
  <si>
    <t>أمين</t>
  </si>
  <si>
    <t>ناصر الدين</t>
  </si>
  <si>
    <t>حيدر</t>
  </si>
  <si>
    <t>نادية سعسعاني</t>
  </si>
  <si>
    <t>راما محمد عبد الله</t>
  </si>
  <si>
    <t>1764835190114.jpg</t>
  </si>
  <si>
    <t>https://eu.kobotoolbox.org/api/v2/assets/asidN676GwD9kVUoocseLY/data/729653593/attachments/attjGF6xHcFDz9oaHFDkHVrk/</t>
  </si>
  <si>
    <t>1764835198618.jpg</t>
  </si>
  <si>
    <t>https://eu.kobotoolbox.org/api/v2/assets/asidN676GwD9kVUoocseLY/data/729653593/attachments/attNexxum8SpEbinLDRwNjRD/</t>
  </si>
  <si>
    <t>مقابل الجامع حارة الخضر الاخضر</t>
  </si>
  <si>
    <t>مقابل الجامع حارة الخضر الأخضر</t>
  </si>
  <si>
    <t>1764850563727.jpg</t>
  </si>
  <si>
    <t>1764835607673.jpg</t>
  </si>
  <si>
    <t>1764835619271.jpg</t>
  </si>
  <si>
    <t>1764835625707.jpg</t>
  </si>
  <si>
    <t>https://eu.kobotoolbox.org/api/v2/assets/asidN676GwD9kVUoocseLY/data/729653593/attachments/attFTVqbZSoVm5XLgknv8wR9/</t>
  </si>
  <si>
    <t>1764835631641.jpg</t>
  </si>
  <si>
    <t>1764835638939.jpg</t>
  </si>
  <si>
    <t>1764835648409.jpg</t>
  </si>
  <si>
    <t>1764835655950.jpg</t>
  </si>
  <si>
    <t>1764835664523.jpg</t>
  </si>
  <si>
    <t>66</t>
  </si>
  <si>
    <t>البند الرئيسي EN</t>
  </si>
  <si>
    <t>البند الفرعي EN</t>
  </si>
  <si>
    <t>https://eu.kobotoolbox.org/api/v2/assets/asidN676GwD9kVUoocseLY/data/729442744/attachments/attpiiwGiVKkUFXMjFkmv6KN/</t>
  </si>
  <si>
    <t>https://eu.kobotoolbox.org/api/v2/assets/asidN676GwD9kVUoocseLY/data/729442744/attachments/att6KM5qqasAAaWCu8mGm9LS/</t>
  </si>
  <si>
    <t>https://eu.kobotoolbox.org/api/v2/assets/asidN676GwD9kVUoocseLY/data/729442744/attachments/attHnzNCnt6x5PNATDDAgmkZ/</t>
  </si>
  <si>
    <t>https://eu.kobotoolbox.org/api/v2/assets/asidN676GwD9kVUoocseLY/data/729442744/attachments/attxiJrrUwFP9CtQNpck2WFD/</t>
  </si>
  <si>
    <t>1764848586268.jpg</t>
  </si>
  <si>
    <t>https://eu.kobotoolbox.org/api/v2/assets/asidN676GwD9kVUoocseLY/data/729513095/attachments/att3KJJoWZGAC4DsPu8KibYi/</t>
  </si>
  <si>
    <t>1764835756053.jpg</t>
  </si>
  <si>
    <t>1764835763644.jpg</t>
  </si>
  <si>
    <t>1764835777414.jpg</t>
  </si>
  <si>
    <t>1764835825721.jpg</t>
  </si>
  <si>
    <t>1764835833479.jpg</t>
  </si>
  <si>
    <t>1764835867418.jpg</t>
  </si>
  <si>
    <t>1764835894637.jpg</t>
  </si>
  <si>
    <t>1764835903787.jpg</t>
  </si>
  <si>
    <t>1764835943942.jpg</t>
  </si>
  <si>
    <t>1764835961162.jpg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</si>
</sst>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quot;$&quot;* #,##0.00_);_(&quot;$&quot;* \(#,##0.00\);_(&quot;$&quot;* &quot;-&quot;??_);_(@_)"/>
    <numFmt numFmtId="165" formatCode="yyyy/mm/dd"/>
    <numFmt numFmtId="166" formatCode="&quot;$&quot;#,##0.00"/>
    <numFmt numFmtId="167" formatCode="&quot;$&quot;#,##0"/>
    <numFmt numFmtId="168" formatCode="&quot;$&quot;#,##0.0"/>
    <numFmt numFmtId="169" formatCode="mm/dd/yyyy"/>
    <numFmt numFmtId="170" formatCode="[$$-409]#,##0.00_ ;\-[$$-409]#,##0.00\ "/>
    <numFmt numFmtId="171" formatCode="_-[$$-409]* #,##0.00_ ;_-[$$-409]* \-#,##0.00\ ;_-[$$-409]* &quot;-&quot;??_ ;_-@_ "/>
  </numFmts>
  <fonts count="27" x14ac:knownFonts="1">
    <font>
      <sz val="11"/>
      <color theme="1"/>
      <name val="Calibri"/>
      <family val="2"/>
      <scheme val="minor"/>
    </font>
    <font>
      <sz val="8"/>
      <name val="Calibri"/>
      <family val="2"/>
      <scheme val="minor"/>
    </font>
    <font>
      <sz val="11"/>
      <color theme="1"/>
      <name val="Calibri"/>
      <family val="2"/>
      <scheme val="minor"/>
    </font>
    <font>
      <sz val="11"/>
      <color indexed="8"/>
      <name val="Calibri"/>
      <family val="2"/>
    </font>
    <font>
      <sz val="10"/>
      <name val="Arial"/>
      <family val="2"/>
    </font>
    <font>
      <sz val="10"/>
      <color indexed="8"/>
      <name val="Calibri"/>
      <family val="2"/>
    </font>
    <font>
      <sz val="10"/>
      <color theme="1"/>
      <name val="Calibri"/>
      <family val="2"/>
    </font>
    <font>
      <sz val="11"/>
      <color theme="1"/>
      <name val="Calibri"/>
      <family val="2"/>
      <charset val="178"/>
      <scheme val="minor"/>
    </font>
    <font>
      <sz val="11"/>
      <color rgb="FF000000"/>
      <name val="Arial"/>
      <family val="2"/>
    </font>
    <font>
      <sz val="11"/>
      <color rgb="FF006100"/>
      <name val="Calibri"/>
      <family val="2"/>
      <scheme val="minor"/>
    </font>
    <font>
      <sz val="11"/>
      <color theme="0"/>
      <name val="Calibri"/>
      <family val="2"/>
      <scheme val="minor"/>
    </font>
    <font>
      <b/>
      <sz val="10"/>
      <color indexed="8"/>
      <name val="Times New Roman"/>
      <family val="1"/>
    </font>
    <font>
      <sz val="11"/>
      <color theme="1"/>
      <name val="Times New Roman"/>
      <family val="1"/>
    </font>
    <font>
      <b/>
      <sz val="12"/>
      <color rgb="FF009999"/>
      <name val="Times New Roman"/>
      <family val="1"/>
    </font>
    <font>
      <b/>
      <sz val="10"/>
      <color theme="1"/>
      <name val="Calibri"/>
      <family val="2"/>
      <scheme val="minor"/>
    </font>
    <font>
      <b/>
      <sz val="11"/>
      <color rgb="FF006100"/>
      <name val="Calibri"/>
      <family val="2"/>
      <scheme val="minor"/>
    </font>
    <font>
      <u/>
      <sz val="11"/>
      <color theme="10"/>
      <name val="Calibri"/>
      <family val="2"/>
      <scheme val="minor"/>
    </font>
    <font>
      <b/>
      <sz val="11"/>
      <color theme="1"/>
      <name val="Calibri"/>
      <family val="2"/>
      <scheme val="minor"/>
    </font>
    <font>
      <b/>
      <sz val="20"/>
      <color theme="1"/>
      <name val="Calibri"/>
      <family val="2"/>
      <scheme val="minor"/>
    </font>
    <font>
      <b/>
      <sz val="20"/>
      <color rgb="FF1DB9C3"/>
      <name val="Calibri"/>
      <family val="2"/>
      <scheme val="minor"/>
    </font>
    <font>
      <sz val="20"/>
      <color rgb="FF1DB9C3"/>
      <name val="Calibri"/>
      <family val="2"/>
      <scheme val="minor"/>
    </font>
    <font>
      <sz val="11"/>
      <color rgb="FF1DB9C3"/>
      <name val="Calibri"/>
      <family val="2"/>
      <scheme val="minor"/>
    </font>
    <font>
      <b/>
      <sz val="14"/>
      <color rgb="FF1DB9C3"/>
      <name val="Calibri"/>
      <family val="2"/>
      <scheme val="minor"/>
    </font>
    <font>
      <b/>
      <sz val="18"/>
      <color theme="0"/>
      <name val="Calibri"/>
      <family val="2"/>
      <scheme val="minor"/>
    </font>
    <font>
      <sz val="11"/>
      <color rgb="FF00B050"/>
      <name val="Calibri"/>
      <family val="2"/>
      <scheme val="minor"/>
    </font>
    <font>
      <sz val="11"/>
      <color rgb="FFFFC000"/>
      <name val="Calibri"/>
      <family val="2"/>
      <scheme val="minor"/>
    </font>
    <font>
      <sz val="11"/>
      <color rgb="FFFA8697"/>
      <name val="Calibri"/>
      <family val="2"/>
      <scheme val="minor"/>
    </font>
  </fonts>
  <fills count="27">
    <fill>
      <patternFill patternType="none"/>
    </fill>
    <fill>
      <patternFill patternType="gray125"/>
    </fill>
    <fill>
      <patternFill patternType="solid">
        <fgColor rgb="FFF0EFF6"/>
        <bgColor indexed="64"/>
      </patternFill>
    </fill>
    <fill>
      <patternFill patternType="solid">
        <fgColor rgb="FFFCFCFC"/>
        <bgColor indexed="64"/>
      </patternFill>
    </fill>
    <fill>
      <patternFill patternType="solid">
        <fgColor theme="4" tint="0.59999389629810485"/>
        <bgColor indexed="65"/>
      </patternFill>
    </fill>
    <fill>
      <patternFill patternType="solid">
        <fgColor theme="0" tint="-4.9989318521683403E-2"/>
        <bgColor indexed="64"/>
      </patternFill>
    </fill>
    <fill>
      <patternFill patternType="solid">
        <fgColor rgb="FFC6EFCE"/>
      </patternFill>
    </fill>
    <fill>
      <patternFill patternType="solid">
        <fgColor theme="4" tint="0.79998168889431442"/>
        <bgColor indexed="64"/>
      </patternFill>
    </fill>
    <fill>
      <patternFill patternType="solid">
        <fgColor rgb="FFFA8697"/>
        <bgColor indexed="64"/>
      </patternFill>
    </fill>
    <fill>
      <patternFill patternType="solid">
        <fgColor theme="2"/>
        <bgColor indexed="64"/>
      </patternFill>
    </fill>
    <fill>
      <patternFill patternType="solid">
        <fgColor theme="1" tint="4.9989318521683403E-2"/>
        <bgColor indexed="64"/>
      </patternFill>
    </fill>
    <fill>
      <patternFill patternType="solid">
        <fgColor theme="0" tint="-0.34998626667073579"/>
        <bgColor indexed="64"/>
      </patternFill>
    </fill>
    <fill>
      <patternFill patternType="solid">
        <fgColor rgb="FF1DB9C3"/>
        <bgColor indexed="64"/>
      </patternFill>
    </fill>
    <fill>
      <patternFill patternType="solid">
        <fgColor rgb="FF00B05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ED7D31"/>
        <bgColor indexed="64"/>
      </patternFill>
    </fill>
    <fill>
      <patternFill patternType="solid">
        <fgColor rgb="FFC00000"/>
        <bgColor indexed="64"/>
      </patternFill>
    </fill>
    <fill>
      <patternFill patternType="solid">
        <fgColor rgb="FF000000"/>
        <bgColor indexed="64"/>
      </patternFill>
    </fill>
    <fill>
      <patternFill patternType="solid">
        <fgColor rgb="FFFFD966"/>
        <bgColor indexed="64"/>
      </patternFill>
    </fill>
    <fill>
      <patternFill patternType="solid">
        <fgColor theme="4" tint="0.39997558519241921"/>
        <bgColor indexed="64"/>
      </patternFill>
    </fill>
    <fill>
      <patternFill patternType="solid">
        <fgColor rgb="FFF2F2F2"/>
        <bgColor indexed="64"/>
      </patternFill>
    </fill>
  </fills>
  <borders count="43">
    <border>
      <left/>
      <right/>
      <top/>
      <bottom/>
      <diagonal/>
    </border>
    <border>
      <left style="hair">
        <color rgb="FF009999"/>
      </left>
      <right style="hair">
        <color rgb="FF009999"/>
      </right>
      <top style="hair">
        <color rgb="FF009999"/>
      </top>
      <bottom style="hair">
        <color rgb="FF009999"/>
      </bottom>
      <diagonal/>
    </border>
    <border>
      <left style="hair">
        <color rgb="FF009999"/>
      </left>
      <right style="hair">
        <color rgb="FF009999"/>
      </right>
      <top style="hair">
        <color rgb="FF009999"/>
      </top>
      <bottom/>
      <diagonal/>
    </border>
    <border>
      <left/>
      <right/>
      <top/>
      <bottom style="hair">
        <color rgb="FF009999"/>
      </bottom>
      <diagonal/>
    </border>
    <border>
      <left style="thin">
        <color theme="0"/>
      </left>
      <right style="thin">
        <color theme="0"/>
      </right>
      <top style="thin">
        <color theme="0"/>
      </top>
      <bottom/>
      <diagonal/>
    </border>
    <border>
      <left style="hair">
        <color rgb="FF009999"/>
      </left>
      <right style="hair">
        <color rgb="FF009999"/>
      </right>
      <top/>
      <bottom style="hair">
        <color rgb="FF009999"/>
      </bottom>
      <diagonal/>
    </border>
    <border>
      <left style="hair">
        <color rgb="FF009999"/>
      </left>
      <right style="hair">
        <color rgb="FF009999"/>
      </right>
      <top/>
      <bottom/>
      <diagonal/>
    </border>
    <border>
      <left style="hair">
        <color rgb="FF009999"/>
      </left>
      <right/>
      <top/>
      <bottom style="hair">
        <color rgb="FF009999"/>
      </bottom>
      <diagonal/>
    </border>
    <border>
      <left style="thin">
        <color rgb="FF1DB9C3"/>
      </left>
      <right style="thin">
        <color rgb="FF1DB9C3"/>
      </right>
      <top style="thin">
        <color rgb="FF1DB9C3"/>
      </top>
      <bottom style="thin">
        <color rgb="FF1DB9C3"/>
      </bottom>
      <diagonal/>
    </border>
    <border>
      <left/>
      <right style="hair">
        <color rgb="FF009999"/>
      </right>
      <top/>
      <bottom style="hair">
        <color rgb="FF009999"/>
      </bottom>
      <diagonal/>
    </border>
    <border>
      <left style="thick">
        <color theme="0"/>
      </left>
      <right style="thick">
        <color theme="0"/>
      </right>
      <top style="thick">
        <color theme="0"/>
      </top>
      <bottom style="thick">
        <color theme="0"/>
      </bottom>
      <diagonal/>
    </border>
    <border>
      <left style="medium">
        <color theme="0" tint="-0.14999847407452621"/>
      </left>
      <right/>
      <top/>
      <bottom/>
      <diagonal/>
    </border>
    <border>
      <left/>
      <right style="medium">
        <color theme="0" tint="-0.14999847407452621"/>
      </right>
      <top/>
      <bottom/>
      <diagonal/>
    </border>
    <border>
      <left style="medium">
        <color rgb="FF1DB9C3"/>
      </left>
      <right style="hair">
        <color rgb="FF009999"/>
      </right>
      <top style="medium">
        <color rgb="FF1DB9C3"/>
      </top>
      <bottom style="hair">
        <color rgb="FF009999"/>
      </bottom>
      <diagonal/>
    </border>
    <border>
      <left style="hair">
        <color rgb="FF009999"/>
      </left>
      <right style="hair">
        <color rgb="FF009999"/>
      </right>
      <top style="medium">
        <color rgb="FF1DB9C3"/>
      </top>
      <bottom style="hair">
        <color rgb="FF009999"/>
      </bottom>
      <diagonal/>
    </border>
    <border>
      <left style="hair">
        <color rgb="FF009999"/>
      </left>
      <right style="medium">
        <color rgb="FF1DB9C3"/>
      </right>
      <top style="medium">
        <color rgb="FF1DB9C3"/>
      </top>
      <bottom style="hair">
        <color rgb="FF009999"/>
      </bottom>
      <diagonal/>
    </border>
    <border>
      <left style="medium">
        <color rgb="FF1DB9C3"/>
      </left>
      <right/>
      <top/>
      <bottom/>
      <diagonal/>
    </border>
    <border>
      <left/>
      <right style="medium">
        <color rgb="FF1DB9C3"/>
      </right>
      <top/>
      <bottom/>
      <diagonal/>
    </border>
    <border>
      <left style="medium">
        <color rgb="FF1DB9C3"/>
      </left>
      <right/>
      <top/>
      <bottom style="medium">
        <color rgb="FF1DB9C3"/>
      </bottom>
      <diagonal/>
    </border>
    <border>
      <left/>
      <right/>
      <top/>
      <bottom style="medium">
        <color rgb="FF1DB9C3"/>
      </bottom>
      <diagonal/>
    </border>
    <border>
      <left/>
      <right style="medium">
        <color rgb="FF1DB9C3"/>
      </right>
      <top/>
      <bottom style="medium">
        <color rgb="FF1DB9C3"/>
      </bottom>
      <diagonal/>
    </border>
    <border>
      <left style="medium">
        <color rgb="FF1DB9C3"/>
      </left>
      <right style="hair">
        <color rgb="FF009999"/>
      </right>
      <top style="hair">
        <color rgb="FF009999"/>
      </top>
      <bottom style="hair">
        <color rgb="FF009999"/>
      </bottom>
      <diagonal/>
    </border>
    <border>
      <left style="hair">
        <color rgb="FF009999"/>
      </left>
      <right style="medium">
        <color rgb="FF1DB9C3"/>
      </right>
      <top style="hair">
        <color rgb="FF009999"/>
      </top>
      <bottom style="hair">
        <color rgb="FF009999"/>
      </bottom>
      <diagonal/>
    </border>
    <border>
      <left style="medium">
        <color rgb="FF1DB9C3"/>
      </left>
      <right/>
      <top style="medium">
        <color rgb="FF1DB9C3"/>
      </top>
      <bottom/>
      <diagonal/>
    </border>
    <border>
      <left/>
      <right/>
      <top style="medium">
        <color rgb="FF1DB9C3"/>
      </top>
      <bottom/>
      <diagonal/>
    </border>
    <border>
      <left/>
      <right style="medium">
        <color rgb="FF1DB9C3"/>
      </right>
      <top style="medium">
        <color rgb="FF1DB9C3"/>
      </top>
      <bottom/>
      <diagonal/>
    </border>
    <border>
      <left/>
      <right style="hair">
        <color rgb="FF009999"/>
      </right>
      <top style="medium">
        <color rgb="FF1DB9C3"/>
      </top>
      <bottom style="hair">
        <color rgb="FF009999"/>
      </bottom>
      <diagonal/>
    </border>
    <border>
      <left style="medium">
        <color rgb="FF1DB9C3"/>
      </left>
      <right style="hair">
        <color rgb="FF009999"/>
      </right>
      <top/>
      <bottom style="hair">
        <color rgb="FF009999"/>
      </bottom>
      <diagonal/>
    </border>
    <border>
      <left style="medium">
        <color rgb="FF1DB9C3"/>
      </left>
      <right style="hair">
        <color rgb="FF009999"/>
      </right>
      <top style="hair">
        <color rgb="FF009999"/>
      </top>
      <bottom/>
      <diagonal/>
    </border>
    <border>
      <left/>
      <right/>
      <top style="hair">
        <color rgb="FF009999"/>
      </top>
      <bottom/>
      <diagonal/>
    </border>
    <border>
      <left/>
      <right style="hair">
        <color rgb="FF009999"/>
      </right>
      <top/>
      <bottom/>
      <diagonal/>
    </border>
    <border>
      <left style="thick">
        <color theme="0"/>
      </left>
      <right/>
      <top style="thick">
        <color theme="0"/>
      </top>
      <bottom style="thick">
        <color theme="0"/>
      </bottom>
      <diagonal/>
    </border>
    <border>
      <left style="medium">
        <color rgb="FF1DB9C3"/>
      </left>
      <right style="thick">
        <color theme="0"/>
      </right>
      <top style="thick">
        <color theme="0"/>
      </top>
      <bottom style="thick">
        <color theme="0"/>
      </bottom>
      <diagonal/>
    </border>
    <border>
      <left style="hair">
        <color rgb="FF009999"/>
      </left>
      <right style="medium">
        <color rgb="FF1DB9C3"/>
      </right>
      <top/>
      <bottom style="hair">
        <color rgb="FF009999"/>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style="medium">
        <color theme="0" tint="-0.14999847407452621"/>
      </bottom>
      <diagonal/>
    </border>
    <border>
      <left/>
      <right/>
      <top/>
      <bottom style="medium">
        <color theme="0" tint="-0.14999847407452621"/>
      </bottom>
      <diagonal/>
    </border>
    <border>
      <left/>
      <right style="medium">
        <color theme="0" tint="-0.14999847407452621"/>
      </right>
      <top/>
      <bottom style="medium">
        <color theme="0" tint="-0.14999847407452621"/>
      </bottom>
      <diagonal/>
    </border>
    <border>
      <left style="medium">
        <color rgb="FF1DB9C3"/>
      </left>
      <right/>
      <top style="medium">
        <color rgb="FF1DB9C3"/>
      </top>
      <bottom style="thick">
        <color theme="0"/>
      </bottom>
      <diagonal/>
    </border>
    <border>
      <left/>
      <right/>
      <top style="medium">
        <color rgb="FF1DB9C3"/>
      </top>
      <bottom style="thick">
        <color theme="0"/>
      </bottom>
      <diagonal/>
    </border>
    <border>
      <left style="thin">
        <color rgb="FF1DB9C3"/>
      </left>
      <right style="thin">
        <color rgb="FF1DB9C3"/>
      </right>
      <top style="thin">
        <color rgb="FF1DB9C3"/>
      </top>
      <bottom/>
      <diagonal/>
    </border>
  </borders>
  <cellStyleXfs count="16">
    <xf numFmtId="0" fontId="0" fillId="0" borderId="0"/>
    <xf numFmtId="0" fontId="3" fillId="0" borderId="0"/>
    <xf numFmtId="0" fontId="4" fillId="0" borderId="0"/>
    <xf numFmtId="0" fontId="2" fillId="0" borderId="0"/>
    <xf numFmtId="164" fontId="2" fillId="0" borderId="0" applyFont="0" applyFill="0" applyBorder="0" applyAlignment="0" applyProtection="0"/>
    <xf numFmtId="0" fontId="2" fillId="0" borderId="0"/>
    <xf numFmtId="0" fontId="7" fillId="0" borderId="0"/>
    <xf numFmtId="9" fontId="2" fillId="0" borderId="0" applyFont="0" applyFill="0" applyBorder="0" applyAlignment="0" applyProtection="0"/>
    <xf numFmtId="164" fontId="2" fillId="0" borderId="0" applyFont="0" applyFill="0" applyBorder="0" applyAlignment="0" applyProtection="0"/>
    <xf numFmtId="0" fontId="8" fillId="0" borderId="0"/>
    <xf numFmtId="0" fontId="2" fillId="4" borderId="0" applyNumberFormat="0" applyBorder="0" applyAlignment="0" applyProtection="0"/>
    <xf numFmtId="0" fontId="2" fillId="0" borderId="0"/>
    <xf numFmtId="0" fontId="3" fillId="0" borderId="0"/>
    <xf numFmtId="0" fontId="9" fillId="6" borderId="0" applyNumberFormat="0" applyBorder="0" applyAlignment="0" applyProtection="0"/>
    <xf numFmtId="0" fontId="16" fillId="0" borderId="0" applyNumberFormat="0" applyFill="0" applyBorder="0" applyAlignment="0" applyProtection="0"/>
    <xf numFmtId="0" fontId="2" fillId="0" borderId="0"/>
  </cellStyleXfs>
  <cellXfs count="23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4" fontId="12" fillId="0" borderId="0" xfId="0" applyNumberFormat="1" applyFont="1" applyAlignment="1">
      <alignment horizontal="center" vertical="center"/>
    </xf>
    <xf numFmtId="0" fontId="11" fillId="2" borderId="0" xfId="1" applyFont="1" applyFill="1" applyAlignment="1">
      <alignment horizontal="center" vertical="center" wrapText="1"/>
    </xf>
    <xf numFmtId="14" fontId="12" fillId="3" borderId="1" xfId="0" applyNumberFormat="1" applyFont="1" applyFill="1" applyBorder="1" applyAlignment="1">
      <alignment horizontal="center" vertical="center"/>
    </xf>
    <xf numFmtId="14" fontId="12" fillId="0" borderId="1" xfId="0" applyNumberFormat="1" applyFont="1" applyBorder="1" applyAlignment="1">
      <alignment horizontal="center" vertical="center"/>
    </xf>
    <xf numFmtId="165" fontId="12" fillId="3" borderId="1" xfId="0" applyNumberFormat="1" applyFont="1" applyFill="1" applyBorder="1" applyAlignment="1">
      <alignment horizontal="center" vertical="center"/>
    </xf>
    <xf numFmtId="165" fontId="12" fillId="0" borderId="1" xfId="0" applyNumberFormat="1" applyFont="1" applyBorder="1" applyAlignment="1">
      <alignment horizontal="center" vertical="center"/>
    </xf>
    <xf numFmtId="14" fontId="12" fillId="0" borderId="2" xfId="0" applyNumberFormat="1" applyFont="1" applyBorder="1" applyAlignment="1">
      <alignment horizontal="center" vertical="center"/>
    </xf>
    <xf numFmtId="0" fontId="0" fillId="0" borderId="4" xfId="0" applyBorder="1" applyAlignment="1">
      <alignment horizontal="center" vertical="center"/>
    </xf>
    <xf numFmtId="166" fontId="0" fillId="0" borderId="0" xfId="0" applyNumberFormat="1" applyAlignment="1">
      <alignment horizontal="center" vertical="center"/>
    </xf>
    <xf numFmtId="168" fontId="0" fillId="0" borderId="0" xfId="0" applyNumberFormat="1" applyAlignment="1">
      <alignment horizontal="center" vertical="center"/>
    </xf>
    <xf numFmtId="0" fontId="0" fillId="7" borderId="0" xfId="0" applyFill="1" applyAlignment="1">
      <alignment horizontal="center" vertical="center"/>
    </xf>
    <xf numFmtId="2" fontId="0" fillId="0" borderId="0" xfId="0" applyNumberFormat="1" applyAlignment="1">
      <alignment horizontal="center" vertical="center"/>
    </xf>
    <xf numFmtId="0" fontId="13" fillId="0" borderId="0" xfId="0" applyFont="1" applyAlignment="1">
      <alignment horizontal="center" vertical="center" wrapText="1"/>
    </xf>
    <xf numFmtId="0" fontId="0" fillId="8" borderId="0" xfId="0" applyFill="1" applyAlignment="1">
      <alignment horizontal="center" vertical="center"/>
    </xf>
    <xf numFmtId="166" fontId="15" fillId="6" borderId="0" xfId="13" applyNumberFormat="1" applyFont="1" applyAlignment="1">
      <alignment horizontal="center" vertical="center"/>
    </xf>
    <xf numFmtId="0" fontId="0" fillId="0" borderId="0" xfId="0" applyAlignment="1" applyProtection="1">
      <alignment horizontal="center" vertical="center" wrapText="1"/>
      <protection locked="0"/>
    </xf>
    <xf numFmtId="0" fontId="0" fillId="0" borderId="1" xfId="0" applyBorder="1" applyAlignment="1">
      <alignment horizontal="center" vertical="center"/>
    </xf>
    <xf numFmtId="0" fontId="10" fillId="10" borderId="5" xfId="0" applyFont="1" applyFill="1" applyBorder="1" applyAlignment="1">
      <alignment horizontal="center" vertical="center"/>
    </xf>
    <xf numFmtId="0" fontId="0" fillId="11" borderId="0" xfId="0" applyFill="1"/>
    <xf numFmtId="0" fontId="10" fillId="10" borderId="2"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14" fillId="0" borderId="8" xfId="0" applyFont="1" applyBorder="1" applyAlignment="1">
      <alignment horizontal="center" vertical="center"/>
    </xf>
    <xf numFmtId="166" fontId="14" fillId="0" borderId="8" xfId="0" applyNumberFormat="1" applyFont="1" applyBorder="1" applyAlignment="1">
      <alignment horizontal="center" vertical="center"/>
    </xf>
    <xf numFmtId="0" fontId="0" fillId="12" borderId="0" xfId="0" applyFill="1" applyAlignment="1">
      <alignment horizontal="center" vertical="center"/>
    </xf>
    <xf numFmtId="0" fontId="0" fillId="11" borderId="0" xfId="0" applyFill="1" applyAlignment="1">
      <alignment horizontal="center" vertical="center"/>
    </xf>
    <xf numFmtId="0" fontId="10" fillId="10" borderId="1" xfId="0" applyFont="1" applyFill="1" applyBorder="1" applyAlignment="1">
      <alignment horizontal="center" vertical="center" wrapText="1"/>
    </xf>
    <xf numFmtId="0" fontId="10" fillId="10" borderId="5" xfId="0" applyFont="1" applyFill="1" applyBorder="1" applyAlignment="1">
      <alignment horizontal="center" vertical="center" wrapText="1"/>
    </xf>
    <xf numFmtId="0" fontId="13" fillId="0" borderId="0" xfId="0" pivotButton="1" applyFont="1" applyAlignment="1">
      <alignment horizontal="center" vertical="center" wrapText="1"/>
    </xf>
    <xf numFmtId="0" fontId="13" fillId="0" borderId="1" xfId="0" applyFont="1" applyBorder="1" applyAlignment="1">
      <alignment horizontal="center" vertical="center" wrapText="1"/>
    </xf>
    <xf numFmtId="0" fontId="6" fillId="3" borderId="0" xfId="6" applyFont="1" applyFill="1" applyAlignment="1">
      <alignment horizontal="right" vertical="center" readingOrder="2"/>
    </xf>
    <xf numFmtId="0" fontId="5" fillId="3" borderId="0" xfId="3" applyFont="1" applyFill="1" applyAlignment="1">
      <alignment horizontal="right" vertical="center"/>
    </xf>
    <xf numFmtId="0" fontId="5" fillId="3" borderId="0" xfId="3" applyFont="1" applyFill="1" applyAlignment="1">
      <alignment horizontal="right" vertical="center" readingOrder="1"/>
    </xf>
    <xf numFmtId="0" fontId="0" fillId="2" borderId="1" xfId="0" applyFill="1" applyBorder="1" applyAlignment="1">
      <alignment horizontal="center" vertical="center" wrapText="1"/>
    </xf>
    <xf numFmtId="0" fontId="0" fillId="14" borderId="0" xfId="0" applyFill="1" applyAlignment="1">
      <alignment horizontal="center" vertical="center"/>
    </xf>
    <xf numFmtId="0" fontId="0" fillId="0" borderId="0" xfId="0" applyAlignment="1" applyProtection="1">
      <alignment horizontal="center" vertical="center"/>
      <protection locked="0"/>
    </xf>
    <xf numFmtId="14" fontId="0" fillId="11" borderId="0" xfId="0" applyNumberFormat="1" applyFill="1" applyAlignment="1">
      <alignment horizontal="center" vertical="center"/>
    </xf>
    <xf numFmtId="0" fontId="0" fillId="11" borderId="0" xfId="0" applyFill="1" applyAlignment="1">
      <alignment horizontal="center" vertical="center" wrapText="1"/>
    </xf>
    <xf numFmtId="169" fontId="0" fillId="0" borderId="0" xfId="0" applyNumberFormat="1" applyAlignment="1" applyProtection="1">
      <alignment horizontal="center" vertical="center"/>
      <protection locked="0"/>
    </xf>
    <xf numFmtId="14" fontId="0" fillId="0" borderId="0" xfId="0" applyNumberFormat="1" applyAlignment="1" applyProtection="1">
      <alignment horizontal="center" vertical="center"/>
      <protection locked="0"/>
    </xf>
    <xf numFmtId="167" fontId="0" fillId="0" borderId="0" xfId="0" applyNumberFormat="1" applyAlignment="1">
      <alignment horizontal="center" vertical="center"/>
    </xf>
    <xf numFmtId="4" fontId="0" fillId="0" borderId="0" xfId="0" applyNumberFormat="1" applyAlignment="1" applyProtection="1">
      <alignment horizontal="center" vertical="center" wrapText="1"/>
      <protection locked="0"/>
    </xf>
    <xf numFmtId="0" fontId="10" fillId="10" borderId="13" xfId="0" applyFont="1" applyFill="1" applyBorder="1" applyAlignment="1">
      <alignment horizontal="center" vertical="center"/>
    </xf>
    <xf numFmtId="0" fontId="10" fillId="10" borderId="14" xfId="0" applyFont="1" applyFill="1" applyBorder="1" applyAlignment="1">
      <alignment horizontal="center" vertical="center"/>
    </xf>
    <xf numFmtId="0" fontId="10" fillId="10" borderId="15" xfId="0" applyFont="1" applyFill="1" applyBorder="1" applyAlignment="1">
      <alignment horizontal="center" vertical="center"/>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6"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169" fontId="0" fillId="0" borderId="19" xfId="0" applyNumberFormat="1" applyBorder="1" applyAlignment="1" applyProtection="1">
      <alignment horizontal="center" vertical="center"/>
      <protection locked="0"/>
    </xf>
    <xf numFmtId="14" fontId="0" fillId="0" borderId="19" xfId="0" applyNumberFormat="1" applyBorder="1" applyAlignment="1" applyProtection="1">
      <alignment horizontal="center" vertical="center"/>
      <protection locked="0"/>
    </xf>
    <xf numFmtId="167" fontId="0" fillId="0" borderId="19" xfId="0" applyNumberFormat="1" applyBorder="1" applyAlignment="1">
      <alignment horizontal="center" vertical="center"/>
    </xf>
    <xf numFmtId="4" fontId="0" fillId="0" borderId="19" xfId="0" applyNumberFormat="1" applyBorder="1" applyAlignment="1" applyProtection="1">
      <alignment horizontal="center" vertical="center" wrapText="1"/>
      <protection locked="0"/>
    </xf>
    <xf numFmtId="0" fontId="0" fillId="0" borderId="20" xfId="0" applyBorder="1" applyAlignment="1" applyProtection="1">
      <alignment horizontal="center" vertical="center" wrapText="1"/>
      <protection locked="0"/>
    </xf>
    <xf numFmtId="0" fontId="10" fillId="10" borderId="9" xfId="0" applyFont="1" applyFill="1" applyBorder="1" applyAlignment="1">
      <alignment horizontal="center" vertical="center"/>
    </xf>
    <xf numFmtId="0" fontId="16" fillId="0" borderId="0" xfId="14"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10" fillId="10" borderId="13" xfId="0" applyFont="1" applyFill="1" applyBorder="1" applyAlignment="1">
      <alignment horizontal="center" vertical="center" wrapText="1"/>
    </xf>
    <xf numFmtId="0" fontId="10" fillId="10" borderId="14" xfId="0" applyFont="1" applyFill="1" applyBorder="1" applyAlignment="1">
      <alignment horizontal="center" vertical="center" wrapText="1"/>
    </xf>
    <xf numFmtId="0" fontId="10" fillId="10" borderId="15" xfId="0" applyFont="1" applyFill="1" applyBorder="1" applyAlignment="1">
      <alignment horizontal="center" vertical="center" wrapText="1"/>
    </xf>
    <xf numFmtId="0" fontId="10" fillId="10" borderId="27" xfId="0" applyFont="1" applyFill="1" applyBorder="1" applyAlignment="1">
      <alignment horizontal="center" vertical="center"/>
    </xf>
    <xf numFmtId="0" fontId="10" fillId="10" borderId="26"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12" borderId="0" xfId="0" applyFont="1" applyFill="1" applyAlignment="1">
      <alignment horizontal="center" vertical="center" wrapText="1"/>
    </xf>
    <xf numFmtId="167" fontId="17" fillId="15" borderId="0" xfId="0" applyNumberFormat="1" applyFont="1" applyFill="1" applyAlignment="1">
      <alignment horizontal="center" vertical="center"/>
    </xf>
    <xf numFmtId="0" fontId="10" fillId="10" borderId="28" xfId="0" applyFont="1" applyFill="1" applyBorder="1" applyAlignment="1">
      <alignment horizontal="center" vertical="center" wrapText="1"/>
    </xf>
    <xf numFmtId="0" fontId="10" fillId="10" borderId="22" xfId="0" applyFont="1" applyFill="1" applyBorder="1" applyAlignment="1">
      <alignment horizontal="center" vertical="center" wrapText="1"/>
    </xf>
    <xf numFmtId="14" fontId="0" fillId="0" borderId="16" xfId="0" applyNumberFormat="1" applyBorder="1" applyAlignment="1" applyProtection="1">
      <alignment horizontal="center" vertical="center" wrapText="1"/>
      <protection locked="0"/>
    </xf>
    <xf numFmtId="14" fontId="0" fillId="0" borderId="0" xfId="0" applyNumberFormat="1" applyAlignment="1" applyProtection="1">
      <alignment horizontal="center" vertical="center" wrapText="1"/>
      <protection locked="0"/>
    </xf>
    <xf numFmtId="14" fontId="0" fillId="0" borderId="17" xfId="0" applyNumberFormat="1" applyBorder="1" applyAlignment="1" applyProtection="1">
      <alignment horizontal="center" vertical="center" wrapText="1"/>
      <protection locked="0"/>
    </xf>
    <xf numFmtId="4" fontId="0" fillId="0" borderId="16" xfId="0" applyNumberFormat="1" applyBorder="1" applyAlignment="1" applyProtection="1">
      <alignment horizontal="center" vertical="center"/>
      <protection locked="0"/>
    </xf>
    <xf numFmtId="4" fontId="0" fillId="0" borderId="0" xfId="0" applyNumberFormat="1" applyAlignment="1" applyProtection="1">
      <alignment horizontal="center" vertical="center"/>
      <protection locked="0"/>
    </xf>
    <xf numFmtId="0" fontId="10" fillId="12" borderId="29"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16" xfId="0" applyBorder="1" applyAlignment="1">
      <alignment horizontal="center" vertical="center" wrapText="1"/>
    </xf>
    <xf numFmtId="0" fontId="6" fillId="3" borderId="0" xfId="6" applyFont="1" applyFill="1" applyAlignment="1">
      <alignment horizontal="left" vertical="center"/>
    </xf>
    <xf numFmtId="0" fontId="5" fillId="3" borderId="0" xfId="3" applyFont="1" applyFill="1" applyAlignment="1">
      <alignment horizontal="left" vertical="center"/>
    </xf>
    <xf numFmtId="0" fontId="5" fillId="3" borderId="0" xfId="3" applyFont="1" applyFill="1" applyAlignment="1">
      <alignment horizontal="left" vertical="center" readingOrder="1"/>
    </xf>
    <xf numFmtId="166" fontId="15" fillId="0" borderId="0" xfId="13" applyNumberFormat="1" applyFont="1" applyFill="1" applyAlignment="1">
      <alignment horizontal="center" vertical="center"/>
    </xf>
    <xf numFmtId="4" fontId="0" fillId="0" borderId="0" xfId="0" applyNumberFormat="1" applyAlignment="1">
      <alignment horizontal="center" vertical="center"/>
    </xf>
    <xf numFmtId="169" fontId="0" fillId="0" borderId="0" xfId="0" applyNumberFormat="1" applyAlignment="1">
      <alignment horizontal="center" vertical="center"/>
    </xf>
    <xf numFmtId="169" fontId="0" fillId="0" borderId="19" xfId="0" applyNumberFormat="1" applyBorder="1" applyAlignment="1">
      <alignment horizontal="center" vertical="center"/>
    </xf>
    <xf numFmtId="4" fontId="0" fillId="0" borderId="17" xfId="0" applyNumberFormat="1" applyBorder="1" applyAlignment="1">
      <alignment horizontal="center" vertical="center"/>
    </xf>
    <xf numFmtId="14" fontId="0" fillId="18" borderId="0" xfId="0" applyNumberFormat="1" applyFill="1" applyAlignment="1" applyProtection="1">
      <alignment horizontal="center" vertical="center" wrapText="1"/>
      <protection locked="0"/>
    </xf>
    <xf numFmtId="170" fontId="22" fillId="5" borderId="10" xfId="0" applyNumberFormat="1" applyFont="1" applyFill="1" applyBorder="1" applyAlignment="1">
      <alignment horizontal="center" vertical="center"/>
    </xf>
    <xf numFmtId="2" fontId="22" fillId="5" borderId="10" xfId="0" applyNumberFormat="1" applyFont="1" applyFill="1" applyBorder="1" applyAlignment="1">
      <alignment horizontal="center" vertical="center"/>
    </xf>
    <xf numFmtId="170" fontId="22" fillId="5" borderId="31" xfId="0" applyNumberFormat="1" applyFont="1" applyFill="1" applyBorder="1" applyAlignment="1">
      <alignment horizontal="center" vertical="center"/>
    </xf>
    <xf numFmtId="2" fontId="22" fillId="5" borderId="32" xfId="0" applyNumberFormat="1" applyFont="1" applyFill="1" applyBorder="1" applyAlignment="1">
      <alignment horizontal="center" vertical="center"/>
    </xf>
    <xf numFmtId="0" fontId="0" fillId="0" borderId="19"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14" fontId="0" fillId="0" borderId="19" xfId="0" applyNumberFormat="1" applyBorder="1" applyAlignment="1" applyProtection="1">
      <alignment horizontal="center" vertical="center" wrapText="1"/>
      <protection locked="0"/>
    </xf>
    <xf numFmtId="0" fontId="10" fillId="10" borderId="33" xfId="0" applyFont="1" applyFill="1" applyBorder="1" applyAlignment="1">
      <alignment horizontal="center" vertical="center"/>
    </xf>
    <xf numFmtId="0" fontId="19" fillId="7" borderId="0" xfId="0" applyFont="1" applyFill="1" applyAlignment="1">
      <alignment horizontal="center" vertical="center" wrapText="1"/>
    </xf>
    <xf numFmtId="2" fontId="22" fillId="17" borderId="10" xfId="0" applyNumberFormat="1" applyFont="1" applyFill="1" applyBorder="1" applyAlignment="1">
      <alignment horizontal="center" vertical="center"/>
    </xf>
    <xf numFmtId="0" fontId="10" fillId="17" borderId="9" xfId="0" applyFont="1" applyFill="1" applyBorder="1" applyAlignment="1">
      <alignment horizontal="center" vertical="center" wrapText="1"/>
    </xf>
    <xf numFmtId="0" fontId="10" fillId="17" borderId="5" xfId="0" applyFont="1" applyFill="1" applyBorder="1" applyAlignment="1">
      <alignment horizontal="center" vertical="center" wrapText="1"/>
    </xf>
    <xf numFmtId="0" fontId="0" fillId="13"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21" borderId="0" xfId="0" applyFill="1" applyAlignment="1">
      <alignment horizontal="center" vertical="center"/>
    </xf>
    <xf numFmtId="0" fontId="0" fillId="22" borderId="0" xfId="0" applyFill="1" applyAlignment="1">
      <alignment horizontal="center" vertical="center"/>
    </xf>
    <xf numFmtId="0" fontId="10" fillId="23" borderId="0" xfId="0" applyFont="1" applyFill="1" applyAlignment="1">
      <alignment horizontal="center" vertical="center"/>
    </xf>
    <xf numFmtId="0" fontId="0" fillId="24" borderId="0" xfId="0" applyFill="1" applyAlignment="1">
      <alignment horizontal="center" vertical="center"/>
    </xf>
    <xf numFmtId="49" fontId="0" fillId="0" borderId="0" xfId="0" applyNumberFormat="1" applyAlignment="1" applyProtection="1">
      <alignment horizontal="center" vertical="center" wrapText="1"/>
      <protection locked="0"/>
    </xf>
    <xf numFmtId="49" fontId="0" fillId="0" borderId="19" xfId="0" applyNumberFormat="1" applyBorder="1" applyAlignment="1" applyProtection="1">
      <alignment horizontal="center" vertical="center" wrapText="1"/>
      <protection locked="0"/>
    </xf>
    <xf numFmtId="49" fontId="0" fillId="0" borderId="17" xfId="0" applyNumberFormat="1" applyBorder="1" applyAlignment="1">
      <alignment horizontal="center" vertical="center" wrapText="1"/>
    </xf>
    <xf numFmtId="49" fontId="0" fillId="0" borderId="20" xfId="0" applyNumberFormat="1" applyBorder="1" applyAlignment="1">
      <alignment horizontal="center" vertical="center" wrapText="1"/>
    </xf>
    <xf numFmtId="49" fontId="0" fillId="0" borderId="17" xfId="0" applyNumberFormat="1" applyBorder="1" applyAlignment="1">
      <alignment horizontal="center" vertical="center"/>
    </xf>
    <xf numFmtId="49" fontId="0" fillId="0" borderId="0" xfId="0" applyNumberFormat="1" applyAlignment="1">
      <alignment horizontal="center" vertical="center"/>
    </xf>
    <xf numFmtId="9" fontId="0" fillId="0" borderId="0" xfId="7" applyFont="1" applyBorder="1" applyAlignment="1" applyProtection="1">
      <alignment horizontal="center" vertical="center"/>
    </xf>
    <xf numFmtId="49" fontId="0" fillId="0" borderId="19" xfId="0" applyNumberFormat="1" applyBorder="1" applyAlignment="1">
      <alignment horizontal="center" vertical="center"/>
    </xf>
    <xf numFmtId="1" fontId="0" fillId="3" borderId="1" xfId="0" applyNumberFormat="1" applyFill="1" applyBorder="1" applyAlignment="1">
      <alignment horizontal="center" vertical="center"/>
    </xf>
    <xf numFmtId="9" fontId="0" fillId="3" borderId="1" xfId="7" applyFont="1" applyFill="1" applyBorder="1" applyAlignment="1">
      <alignment horizontal="center" vertical="center"/>
    </xf>
    <xf numFmtId="0" fontId="21" fillId="0" borderId="0" xfId="0" applyFont="1" applyAlignment="1">
      <alignment horizontal="center" vertical="center"/>
    </xf>
    <xf numFmtId="0" fontId="0" fillId="13" borderId="1" xfId="0"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xf>
    <xf numFmtId="0" fontId="0" fillId="21" borderId="1" xfId="0" applyFill="1" applyBorder="1" applyAlignment="1">
      <alignment horizontal="center" vertical="center"/>
    </xf>
    <xf numFmtId="0" fontId="0" fillId="22" borderId="1" xfId="0" applyFill="1" applyBorder="1" applyAlignment="1">
      <alignment horizontal="center" vertical="center"/>
    </xf>
    <xf numFmtId="0" fontId="10" fillId="23" borderId="1" xfId="0" applyFont="1" applyFill="1" applyBorder="1" applyAlignment="1">
      <alignment horizontal="center" vertical="center"/>
    </xf>
    <xf numFmtId="0" fontId="0" fillId="24" borderId="1" xfId="0" applyFill="1" applyBorder="1" applyAlignment="1">
      <alignment horizontal="center" vertical="center"/>
    </xf>
    <xf numFmtId="0" fontId="0" fillId="8" borderId="1" xfId="0" applyFill="1" applyBorder="1" applyAlignment="1">
      <alignment horizontal="center" vertical="center"/>
    </xf>
    <xf numFmtId="0" fontId="21" fillId="0" borderId="0" xfId="0" applyFont="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14" fontId="0" fillId="0" borderId="0" xfId="0" applyNumberFormat="1" applyAlignment="1">
      <alignment horizontal="center" vertical="center"/>
    </xf>
    <xf numFmtId="0" fontId="14" fillId="0" borderId="42" xfId="0" applyFont="1" applyBorder="1" applyAlignment="1">
      <alignment horizontal="center" vertical="center"/>
    </xf>
    <xf numFmtId="166" fontId="14" fillId="0" borderId="42" xfId="0" applyNumberFormat="1" applyFont="1" applyBorder="1" applyAlignment="1">
      <alignment horizontal="center" vertical="center"/>
    </xf>
    <xf numFmtId="0" fontId="17" fillId="0" borderId="0" xfId="0" applyFont="1" applyAlignment="1">
      <alignment horizontal="center" vertical="center"/>
    </xf>
    <xf numFmtId="171" fontId="0" fillId="0" borderId="0" xfId="0" applyNumberFormat="1" applyAlignment="1">
      <alignment horizontal="center" vertical="center"/>
    </xf>
    <xf numFmtId="0" fontId="19" fillId="16" borderId="23" xfId="0" applyFont="1" applyFill="1" applyBorder="1" applyAlignment="1">
      <alignment horizontal="center" vertical="center"/>
    </xf>
    <xf numFmtId="0" fontId="19" fillId="16" borderId="24" xfId="0" applyFont="1" applyFill="1" applyBorder="1" applyAlignment="1">
      <alignment horizontal="center" vertical="center"/>
    </xf>
    <xf numFmtId="0" fontId="19" fillId="16" borderId="25" xfId="0" applyFont="1" applyFill="1" applyBorder="1" applyAlignment="1">
      <alignment horizontal="center" vertical="center"/>
    </xf>
    <xf numFmtId="0" fontId="19" fillId="16" borderId="16" xfId="0" applyFont="1" applyFill="1" applyBorder="1" applyAlignment="1">
      <alignment horizontal="center" vertical="center"/>
    </xf>
    <xf numFmtId="0" fontId="19" fillId="16" borderId="0" xfId="0" applyFont="1" applyFill="1" applyAlignment="1">
      <alignment horizontal="center" vertical="center"/>
    </xf>
    <xf numFmtId="0" fontId="19" fillId="16" borderId="17" xfId="0" applyFont="1" applyFill="1" applyBorder="1" applyAlignment="1">
      <alignment horizontal="center" vertical="center"/>
    </xf>
    <xf numFmtId="0" fontId="19" fillId="16" borderId="18" xfId="0" applyFont="1" applyFill="1" applyBorder="1" applyAlignment="1">
      <alignment horizontal="center" vertical="center"/>
    </xf>
    <xf numFmtId="0" fontId="19" fillId="16" borderId="19" xfId="0" applyFont="1" applyFill="1" applyBorder="1" applyAlignment="1">
      <alignment horizontal="center" vertical="center"/>
    </xf>
    <xf numFmtId="0" fontId="19" fillId="16" borderId="20" xfId="0" applyFont="1" applyFill="1" applyBorder="1" applyAlignment="1">
      <alignment horizontal="center" vertical="center"/>
    </xf>
    <xf numFmtId="0" fontId="19" fillId="9" borderId="23" xfId="0" applyFont="1" applyFill="1" applyBorder="1" applyAlignment="1">
      <alignment horizontal="center" vertical="center"/>
    </xf>
    <xf numFmtId="0" fontId="19" fillId="9" borderId="24" xfId="0" applyFont="1" applyFill="1" applyBorder="1" applyAlignment="1">
      <alignment horizontal="center" vertical="center"/>
    </xf>
    <xf numFmtId="0" fontId="19" fillId="9" borderId="25" xfId="0" applyFont="1" applyFill="1" applyBorder="1" applyAlignment="1">
      <alignment horizontal="center" vertical="center"/>
    </xf>
    <xf numFmtId="0" fontId="19" fillId="9" borderId="16" xfId="0" applyFont="1" applyFill="1" applyBorder="1" applyAlignment="1">
      <alignment horizontal="center" vertical="center"/>
    </xf>
    <xf numFmtId="0" fontId="19" fillId="9" borderId="0" xfId="0" applyFont="1" applyFill="1" applyAlignment="1">
      <alignment horizontal="center" vertical="center"/>
    </xf>
    <xf numFmtId="0" fontId="19" fillId="9" borderId="17" xfId="0" applyFont="1" applyFill="1" applyBorder="1" applyAlignment="1">
      <alignment horizontal="center" vertical="center"/>
    </xf>
    <xf numFmtId="0" fontId="19" fillId="9" borderId="18" xfId="0" applyFont="1" applyFill="1" applyBorder="1" applyAlignment="1">
      <alignment horizontal="center" vertical="center"/>
    </xf>
    <xf numFmtId="0" fontId="19" fillId="9" borderId="19" xfId="0" applyFont="1" applyFill="1" applyBorder="1" applyAlignment="1">
      <alignment horizontal="center" vertical="center"/>
    </xf>
    <xf numFmtId="0" fontId="19" fillId="9" borderId="20" xfId="0" applyFont="1" applyFill="1" applyBorder="1" applyAlignment="1">
      <alignment horizontal="center" vertical="center"/>
    </xf>
    <xf numFmtId="0" fontId="19" fillId="5" borderId="23" xfId="0" applyFont="1" applyFill="1" applyBorder="1" applyAlignment="1">
      <alignment horizontal="center" vertical="center"/>
    </xf>
    <xf numFmtId="0" fontId="19" fillId="5" borderId="24" xfId="0" applyFont="1" applyFill="1" applyBorder="1" applyAlignment="1">
      <alignment horizontal="center" vertical="center"/>
    </xf>
    <xf numFmtId="0" fontId="19" fillId="5" borderId="25" xfId="0" applyFont="1" applyFill="1" applyBorder="1" applyAlignment="1">
      <alignment horizontal="center" vertical="center"/>
    </xf>
    <xf numFmtId="0" fontId="19" fillId="5" borderId="16" xfId="0" applyFont="1" applyFill="1" applyBorder="1" applyAlignment="1">
      <alignment horizontal="center" vertical="center"/>
    </xf>
    <xf numFmtId="0" fontId="19" fillId="5" borderId="0" xfId="0" applyFont="1" applyFill="1" applyAlignment="1">
      <alignment horizontal="center" vertical="center"/>
    </xf>
    <xf numFmtId="0" fontId="19" fillId="5" borderId="17" xfId="0" applyFont="1" applyFill="1" applyBorder="1" applyAlignment="1">
      <alignment horizontal="center" vertical="center"/>
    </xf>
    <xf numFmtId="0" fontId="19" fillId="5" borderId="18" xfId="0" applyFont="1" applyFill="1" applyBorder="1" applyAlignment="1">
      <alignment horizontal="center" vertical="center"/>
    </xf>
    <xf numFmtId="0" fontId="19" fillId="5" borderId="19" xfId="0" applyFont="1" applyFill="1" applyBorder="1" applyAlignment="1">
      <alignment horizontal="center" vertical="center"/>
    </xf>
    <xf numFmtId="0" fontId="19" fillId="5" borderId="20" xfId="0" applyFont="1" applyFill="1" applyBorder="1" applyAlignment="1">
      <alignment horizontal="center" vertical="center"/>
    </xf>
    <xf numFmtId="0" fontId="19" fillId="7" borderId="16" xfId="0" applyFont="1" applyFill="1" applyBorder="1" applyAlignment="1">
      <alignment horizontal="center" vertical="center"/>
    </xf>
    <xf numFmtId="0" fontId="19" fillId="7" borderId="0" xfId="0" applyFont="1" applyFill="1" applyAlignment="1">
      <alignment horizontal="center" vertical="center"/>
    </xf>
    <xf numFmtId="0" fontId="19" fillId="5" borderId="23" xfId="0" applyFont="1" applyFill="1" applyBorder="1" applyAlignment="1">
      <alignment horizontal="right" vertical="center"/>
    </xf>
    <xf numFmtId="0" fontId="18" fillId="5" borderId="24" xfId="0" applyFont="1" applyFill="1" applyBorder="1" applyAlignment="1">
      <alignment horizontal="right" vertical="center"/>
    </xf>
    <xf numFmtId="0" fontId="18" fillId="5" borderId="25" xfId="0" applyFont="1" applyFill="1" applyBorder="1" applyAlignment="1">
      <alignment horizontal="right" vertical="center"/>
    </xf>
    <xf numFmtId="0" fontId="18" fillId="5" borderId="16" xfId="0" applyFont="1" applyFill="1" applyBorder="1" applyAlignment="1">
      <alignment horizontal="right" vertical="center"/>
    </xf>
    <xf numFmtId="0" fontId="18" fillId="5" borderId="0" xfId="0" applyFont="1" applyFill="1" applyAlignment="1">
      <alignment horizontal="right" vertical="center"/>
    </xf>
    <xf numFmtId="0" fontId="18" fillId="5" borderId="17" xfId="0" applyFont="1" applyFill="1" applyBorder="1" applyAlignment="1">
      <alignment horizontal="right" vertical="center"/>
    </xf>
    <xf numFmtId="0" fontId="18" fillId="5" borderId="18" xfId="0" applyFont="1" applyFill="1" applyBorder="1" applyAlignment="1">
      <alignment horizontal="right" vertical="center"/>
    </xf>
    <xf numFmtId="0" fontId="18" fillId="5" borderId="19" xfId="0" applyFont="1" applyFill="1" applyBorder="1" applyAlignment="1">
      <alignment horizontal="right" vertical="center"/>
    </xf>
    <xf numFmtId="0" fontId="18" fillId="5" borderId="20" xfId="0" applyFont="1" applyFill="1" applyBorder="1" applyAlignment="1">
      <alignment horizontal="right" vertical="center"/>
    </xf>
    <xf numFmtId="0" fontId="19" fillId="15" borderId="23" xfId="0" applyFont="1" applyFill="1" applyBorder="1" applyAlignment="1">
      <alignment horizontal="center" vertical="center"/>
    </xf>
    <xf numFmtId="0" fontId="19" fillId="15" borderId="24" xfId="0" applyFont="1" applyFill="1" applyBorder="1" applyAlignment="1">
      <alignment horizontal="center" vertical="center"/>
    </xf>
    <xf numFmtId="0" fontId="19" fillId="15" borderId="25" xfId="0" applyFont="1" applyFill="1" applyBorder="1" applyAlignment="1">
      <alignment horizontal="center" vertical="center"/>
    </xf>
    <xf numFmtId="0" fontId="19" fillId="15" borderId="16" xfId="0" applyFont="1" applyFill="1" applyBorder="1" applyAlignment="1">
      <alignment horizontal="center" vertical="center"/>
    </xf>
    <xf numFmtId="0" fontId="19" fillId="15" borderId="0" xfId="0" applyFont="1" applyFill="1" applyAlignment="1">
      <alignment horizontal="center" vertical="center"/>
    </xf>
    <xf numFmtId="0" fontId="19" fillId="15" borderId="17" xfId="0" applyFont="1" applyFill="1" applyBorder="1" applyAlignment="1">
      <alignment horizontal="center" vertical="center"/>
    </xf>
    <xf numFmtId="0" fontId="19" fillId="15" borderId="18" xfId="0" applyFont="1" applyFill="1" applyBorder="1" applyAlignment="1">
      <alignment horizontal="center" vertical="center"/>
    </xf>
    <xf numFmtId="0" fontId="19" fillId="15" borderId="19" xfId="0" applyFont="1" applyFill="1" applyBorder="1" applyAlignment="1">
      <alignment horizontal="center" vertical="center"/>
    </xf>
    <xf numFmtId="0" fontId="19" fillId="15" borderId="20" xfId="0" applyFont="1" applyFill="1" applyBorder="1" applyAlignment="1">
      <alignment horizontal="center" vertical="center"/>
    </xf>
    <xf numFmtId="0" fontId="19" fillId="15" borderId="34" xfId="0" applyFont="1" applyFill="1" applyBorder="1" applyAlignment="1">
      <alignment horizontal="center" vertical="center"/>
    </xf>
    <xf numFmtId="0" fontId="19" fillId="15" borderId="35" xfId="0" applyFont="1" applyFill="1" applyBorder="1" applyAlignment="1">
      <alignment horizontal="center" vertical="center"/>
    </xf>
    <xf numFmtId="0" fontId="18" fillId="15" borderId="35" xfId="0" applyFont="1" applyFill="1" applyBorder="1" applyAlignment="1">
      <alignment horizontal="center" vertical="center"/>
    </xf>
    <xf numFmtId="0" fontId="18" fillId="15" borderId="36" xfId="0" applyFont="1" applyFill="1" applyBorder="1" applyAlignment="1">
      <alignment horizontal="center" vertical="center"/>
    </xf>
    <xf numFmtId="0" fontId="18" fillId="15" borderId="11" xfId="0" applyFont="1" applyFill="1" applyBorder="1" applyAlignment="1">
      <alignment horizontal="center" vertical="center"/>
    </xf>
    <xf numFmtId="0" fontId="18" fillId="15" borderId="0" xfId="0" applyFont="1" applyFill="1" applyAlignment="1">
      <alignment horizontal="center" vertical="center"/>
    </xf>
    <xf numFmtId="0" fontId="18" fillId="15" borderId="12" xfId="0" applyFont="1" applyFill="1" applyBorder="1" applyAlignment="1">
      <alignment horizontal="center" vertical="center"/>
    </xf>
    <xf numFmtId="0" fontId="18" fillId="15" borderId="37" xfId="0" applyFont="1" applyFill="1" applyBorder="1" applyAlignment="1">
      <alignment horizontal="center" vertical="center"/>
    </xf>
    <xf numFmtId="0" fontId="18" fillId="15" borderId="38" xfId="0" applyFont="1" applyFill="1" applyBorder="1" applyAlignment="1">
      <alignment horizontal="center" vertical="center"/>
    </xf>
    <xf numFmtId="0" fontId="18" fillId="15" borderId="39" xfId="0" applyFont="1" applyFill="1" applyBorder="1" applyAlignment="1">
      <alignment horizontal="center" vertical="center"/>
    </xf>
    <xf numFmtId="0" fontId="20" fillId="15" borderId="23" xfId="0" applyFont="1" applyFill="1" applyBorder="1" applyAlignment="1">
      <alignment horizontal="center" vertical="center"/>
    </xf>
    <xf numFmtId="0" fontId="20" fillId="15" borderId="24" xfId="0" applyFont="1" applyFill="1" applyBorder="1" applyAlignment="1">
      <alignment horizontal="center" vertical="center"/>
    </xf>
    <xf numFmtId="0" fontId="20" fillId="15" borderId="25" xfId="0" applyFont="1" applyFill="1" applyBorder="1" applyAlignment="1">
      <alignment horizontal="center" vertical="center"/>
    </xf>
    <xf numFmtId="0" fontId="20" fillId="15" borderId="16" xfId="0" applyFont="1" applyFill="1" applyBorder="1" applyAlignment="1">
      <alignment horizontal="center" vertical="center"/>
    </xf>
    <xf numFmtId="0" fontId="20" fillId="15" borderId="0" xfId="0" applyFont="1" applyFill="1" applyAlignment="1">
      <alignment horizontal="center" vertical="center"/>
    </xf>
    <xf numFmtId="0" fontId="20" fillId="15" borderId="17" xfId="0" applyFont="1" applyFill="1" applyBorder="1" applyAlignment="1">
      <alignment horizontal="center" vertical="center"/>
    </xf>
    <xf numFmtId="0" fontId="20" fillId="15" borderId="18" xfId="0" applyFont="1" applyFill="1" applyBorder="1" applyAlignment="1">
      <alignment horizontal="center" vertical="center"/>
    </xf>
    <xf numFmtId="0" fontId="20" fillId="15" borderId="19" xfId="0" applyFont="1" applyFill="1" applyBorder="1" applyAlignment="1">
      <alignment horizontal="center" vertical="center"/>
    </xf>
    <xf numFmtId="0" fontId="20" fillId="15" borderId="20" xfId="0" applyFont="1" applyFill="1" applyBorder="1" applyAlignment="1">
      <alignment horizontal="center" vertical="center"/>
    </xf>
    <xf numFmtId="0" fontId="20" fillId="9" borderId="23" xfId="0" applyFont="1" applyFill="1" applyBorder="1" applyAlignment="1">
      <alignment horizontal="center" vertical="center"/>
    </xf>
    <xf numFmtId="0" fontId="20" fillId="9" borderId="24" xfId="0" applyFont="1" applyFill="1" applyBorder="1" applyAlignment="1">
      <alignment horizontal="center" vertical="center"/>
    </xf>
    <xf numFmtId="0" fontId="20" fillId="9" borderId="25" xfId="0" applyFont="1" applyFill="1" applyBorder="1" applyAlignment="1">
      <alignment horizontal="center" vertical="center"/>
    </xf>
    <xf numFmtId="0" fontId="20" fillId="9" borderId="16" xfId="0" applyFont="1" applyFill="1" applyBorder="1" applyAlignment="1">
      <alignment horizontal="center" vertical="center"/>
    </xf>
    <xf numFmtId="0" fontId="20" fillId="9" borderId="0" xfId="0" applyFont="1" applyFill="1" applyAlignment="1">
      <alignment horizontal="center" vertical="center"/>
    </xf>
    <xf numFmtId="0" fontId="20" fillId="9" borderId="17" xfId="0" applyFont="1" applyFill="1" applyBorder="1" applyAlignment="1">
      <alignment horizontal="center" vertical="center"/>
    </xf>
    <xf numFmtId="0" fontId="20" fillId="9" borderId="18" xfId="0" applyFont="1" applyFill="1" applyBorder="1" applyAlignment="1">
      <alignment horizontal="center" vertical="center"/>
    </xf>
    <xf numFmtId="0" fontId="20" fillId="9" borderId="19" xfId="0" applyFont="1" applyFill="1" applyBorder="1" applyAlignment="1">
      <alignment horizontal="center" vertical="center"/>
    </xf>
    <xf numFmtId="0" fontId="20" fillId="9" borderId="20" xfId="0" applyFont="1" applyFill="1" applyBorder="1" applyAlignment="1">
      <alignment horizontal="center" vertical="center"/>
    </xf>
    <xf numFmtId="0" fontId="0" fillId="15" borderId="16" xfId="0" applyFill="1" applyBorder="1" applyAlignment="1">
      <alignment horizontal="center"/>
    </xf>
    <xf numFmtId="0" fontId="0" fillId="15" borderId="18" xfId="0" applyFill="1" applyBorder="1" applyAlignment="1">
      <alignment horizontal="center"/>
    </xf>
    <xf numFmtId="0" fontId="19" fillId="7" borderId="0" xfId="0" applyFont="1" applyFill="1" applyAlignment="1">
      <alignment horizontal="center" vertical="center" wrapText="1"/>
    </xf>
    <xf numFmtId="0" fontId="19" fillId="7" borderId="3" xfId="0" applyFont="1" applyFill="1" applyBorder="1" applyAlignment="1">
      <alignment horizontal="center" vertical="center" wrapText="1"/>
    </xf>
    <xf numFmtId="0" fontId="19" fillId="15" borderId="40" xfId="0" applyFont="1" applyFill="1" applyBorder="1" applyAlignment="1">
      <alignment horizontal="center" vertical="center"/>
    </xf>
    <xf numFmtId="0" fontId="19" fillId="15" borderId="41" xfId="0" applyFont="1" applyFill="1" applyBorder="1" applyAlignment="1">
      <alignment horizontal="center" vertical="center"/>
    </xf>
    <xf numFmtId="0" fontId="19" fillId="15" borderId="11" xfId="0" applyFont="1" applyFill="1" applyBorder="1" applyAlignment="1">
      <alignment horizontal="center" vertical="center" wrapText="1"/>
    </xf>
    <xf numFmtId="0" fontId="19" fillId="15" borderId="0" xfId="0" applyFont="1" applyFill="1" applyAlignment="1">
      <alignment horizontal="center" vertical="center" wrapText="1"/>
    </xf>
    <xf numFmtId="0" fontId="19" fillId="5" borderId="34" xfId="0" applyFont="1"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37" xfId="0" applyFont="1" applyFill="1" applyBorder="1" applyAlignment="1">
      <alignment horizontal="center" vertical="center" wrapText="1"/>
    </xf>
    <xf numFmtId="0" fontId="19" fillId="5" borderId="38" xfId="0" applyFont="1" applyFill="1" applyBorder="1" applyAlignment="1">
      <alignment horizontal="center" vertical="center" wrapText="1"/>
    </xf>
    <xf numFmtId="0" fontId="21" fillId="7" borderId="30" xfId="0" applyFont="1" applyFill="1" applyBorder="1" applyAlignment="1">
      <alignment horizontal="center" vertical="center" wrapText="1"/>
    </xf>
    <xf numFmtId="0" fontId="21" fillId="26" borderId="30" xfId="0" applyFont="1" applyFill="1" applyBorder="1" applyAlignment="1">
      <alignment horizontal="center" vertical="center" wrapText="1"/>
    </xf>
    <xf numFmtId="0" fontId="0" fillId="7" borderId="0" xfId="0" applyFill="1" applyAlignment="1">
      <alignment horizontal="center" vertical="center" wrapText="1"/>
    </xf>
    <xf numFmtId="0" fontId="0" fillId="7" borderId="30" xfId="0" applyFill="1" applyBorder="1" applyAlignment="1">
      <alignment horizontal="center" vertical="center" wrapText="1"/>
    </xf>
    <xf numFmtId="0" fontId="23" fillId="8" borderId="0" xfId="0" applyFont="1" applyFill="1" applyAlignment="1">
      <alignment horizontal="center" vertical="center"/>
    </xf>
    <xf numFmtId="0" fontId="23" fillId="25" borderId="0" xfId="0" applyFont="1" applyFill="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left" vertical="center"/>
    </xf>
  </cellXfs>
  <cellStyles count="16">
    <cellStyle name="40% - Accent1 2" xfId="10" xr:uid="{D8B0D793-1DA4-4C0B-8CAA-CB770CE8934F}"/>
    <cellStyle name="Currency 2" xfId="4" xr:uid="{FC1EA493-8C46-444F-9D4C-832D1EE3866C}"/>
    <cellStyle name="Currency 2 2 2" xfId="8" xr:uid="{AC397190-E8F3-4BBF-A84C-5C0DB7734D32}"/>
    <cellStyle name="Good" xfId="13" builtinId="26"/>
    <cellStyle name="Hyperlink" xfId="14" xr:uid="{00000000-000B-0000-0000-000008000000}"/>
    <cellStyle name="Normal" xfId="0" builtinId="0"/>
    <cellStyle name="Normal 2" xfId="1" xr:uid="{286ADB67-73FC-4B9B-9216-69145189F806}"/>
    <cellStyle name="Normal 2 2 2" xfId="12" xr:uid="{8A919F30-890F-4E9B-A504-F996BC63867A}"/>
    <cellStyle name="Normal 2 2 3" xfId="2" xr:uid="{DFF06494-7AA4-4D57-B623-B65545642C12}"/>
    <cellStyle name="Normal 2 2 4 2" xfId="9" xr:uid="{995830EF-A9DB-40E5-9E11-91FFACFEB55E}"/>
    <cellStyle name="Normal 3 2" xfId="3" xr:uid="{133D9D04-84EA-4058-AA9A-C2DC91E2661E}"/>
    <cellStyle name="Normal 3 2 2 3" xfId="11" xr:uid="{D79B833D-5A1F-4D6F-A8E9-52B5C5C8B7AF}"/>
    <cellStyle name="Normal 4 3" xfId="5" xr:uid="{7E74AC01-533A-44C9-B9F0-9805259E4729}"/>
    <cellStyle name="Normal 7" xfId="6" xr:uid="{4B822F32-C108-4871-9B7F-49C1D729758E}"/>
    <cellStyle name="Normal 7 2" xfId="15" xr:uid="{AA0DA8B0-35D3-4CFB-86B3-75ADC3369938}"/>
    <cellStyle name="Percent" xfId="7" builtinId="5"/>
  </cellStyles>
  <dxfs count="484">
    <dxf>
      <numFmt numFmtId="171" formatCode="_-[$$-409]* #,##0.00_ ;_-[$$-409]* \-#,##0.00\ ;_-[$$-409]* &quot;-&quot;??_ ;_-@_ "/>
      <alignment horizontal="center" vertical="center" textRotation="0" wrapText="0" indent="0" justifyLastLine="0" shrinkToFit="0" readingOrder="0"/>
    </dxf>
    <dxf>
      <numFmt numFmtId="171" formatCode="_-[$$-409]* #,##0.00_ ;_-[$$-409]* \-#,##0.00\ ;_-[$$-409]* &quot;-&quot;??_ ;_-@_ "/>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rgb="FF00B050"/>
        </patternFill>
      </fill>
    </dxf>
    <dxf>
      <fill>
        <patternFill>
          <bgColor rgb="FFFFD966"/>
        </patternFill>
      </fill>
    </dxf>
    <dxf>
      <fill>
        <patternFill>
          <bgColor rgb="FFFA8697"/>
        </patternFill>
      </fill>
    </dxf>
    <dxf>
      <fill>
        <patternFill>
          <bgColor rgb="FF5B9BD5"/>
        </patternFill>
      </fill>
    </dxf>
    <dxf>
      <fill>
        <patternFill>
          <bgColor rgb="FFED7D31"/>
        </patternFill>
      </fill>
    </dxf>
    <dxf>
      <fill>
        <patternFill>
          <bgColor rgb="FF1DB9C3"/>
        </patternFill>
      </fill>
    </dxf>
    <dxf>
      <fill>
        <patternFill>
          <bgColor rgb="FF00B050"/>
        </patternFill>
      </fill>
    </dxf>
    <dxf>
      <fill>
        <patternFill>
          <bgColor rgb="FFFA8697"/>
        </patternFill>
      </fill>
    </dxf>
    <dxf>
      <fill>
        <patternFill>
          <bgColor rgb="FF00B050"/>
        </patternFill>
      </fill>
    </dxf>
    <dxf>
      <fill>
        <patternFill>
          <bgColor rgb="FFFFD966"/>
        </patternFill>
      </fill>
    </dxf>
    <dxf>
      <fill>
        <patternFill>
          <bgColor rgb="FFFA8697"/>
        </patternFill>
      </fill>
    </dxf>
    <dxf>
      <fill>
        <patternFill>
          <bgColor rgb="FF00B050"/>
        </patternFill>
      </fill>
    </dxf>
    <dxf>
      <fill>
        <patternFill>
          <bgColor rgb="FFFFD966"/>
        </patternFill>
      </fill>
    </dxf>
    <dxf>
      <fill>
        <patternFill>
          <bgColor rgb="FFFA869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FFD966"/>
        </patternFill>
      </fill>
    </dxf>
    <dxf>
      <fill>
        <patternFill>
          <bgColor rgb="FFFA8697"/>
        </patternFill>
      </fill>
    </dxf>
    <dxf>
      <fill>
        <patternFill>
          <bgColor rgb="FF00B050"/>
        </patternFill>
      </fill>
    </dxf>
    <dxf>
      <fill>
        <patternFill>
          <bgColor rgb="FFFFD966"/>
        </patternFill>
      </fill>
    </dxf>
    <dxf>
      <fill>
        <patternFill>
          <bgColor rgb="FFFA8697"/>
        </patternFill>
      </fill>
    </dxf>
    <dxf>
      <fill>
        <patternFill>
          <bgColor rgb="FF00B050"/>
        </patternFill>
      </fill>
    </dxf>
    <dxf>
      <fill>
        <patternFill>
          <bgColor rgb="FFFFD966"/>
        </patternFill>
      </fill>
    </dxf>
    <dxf>
      <fill>
        <patternFill>
          <bgColor rgb="FFFA8697"/>
        </patternFill>
      </fill>
    </dxf>
    <dxf>
      <fill>
        <patternFill>
          <bgColor rgb="FF00B050"/>
        </patternFill>
      </fill>
    </dxf>
    <dxf>
      <fill>
        <patternFill>
          <bgColor rgb="FF92D050"/>
        </patternFill>
      </fill>
    </dxf>
    <dxf>
      <fill>
        <patternFill>
          <bgColor rgb="FFFFC000"/>
        </patternFill>
      </fill>
    </dxf>
    <dxf>
      <fill>
        <patternFill>
          <bgColor rgb="FFED7D31"/>
        </patternFill>
      </fill>
    </dxf>
    <dxf>
      <fill>
        <patternFill>
          <bgColor rgb="FFC00000"/>
        </patternFill>
      </fill>
    </dxf>
    <dxf>
      <font>
        <color theme="0"/>
      </font>
      <fill>
        <patternFill>
          <bgColor rgb="FF000000"/>
        </patternFill>
      </fill>
    </dxf>
    <dxf>
      <font>
        <color rgb="FF9C0006"/>
      </font>
      <fill>
        <patternFill>
          <bgColor rgb="FFFFC7CE"/>
        </patternFill>
      </fill>
    </dxf>
    <dxf>
      <fill>
        <patternFill patternType="none">
          <fgColor indexed="64"/>
          <bgColor auto="1"/>
        </patternFill>
      </fill>
      <alignment horizontal="center" vertical="center" textRotation="0" indent="0" justifyLastLine="0" shrinkToFit="0" readingOrder="0"/>
      <protection locked="0" hidden="0"/>
    </dxf>
    <dxf>
      <fill>
        <patternFill patternType="none">
          <fgColor indexed="64"/>
          <bgColor auto="1"/>
        </patternFill>
      </fill>
      <alignment horizontal="center" vertical="center" textRotation="0" indent="0" justifyLastLine="0" shrinkToFit="0" readingOrder="0"/>
      <border diagonalUp="0" diagonalDown="0">
        <left style="medium">
          <color rgb="FF1DB9C3"/>
        </left>
      </border>
      <protection locked="0"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1" hidden="0"/>
    </dxf>
    <dxf>
      <numFmt numFmtId="0" formatCode="Genera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indent="0" justifyLastLine="0" shrinkToFit="0" readingOrder="0"/>
      <border diagonalUp="0" diagonalDown="0" outline="0">
        <left style="medium">
          <color rgb="FF1DB9C3"/>
        </left>
        <right/>
      </border>
      <protection locked="0" hidden="0"/>
    </dxf>
    <dxf>
      <font>
        <b/>
      </font>
      <numFmt numFmtId="167" formatCode="&quot;$&quot;#,##0"/>
      <fill>
        <patternFill patternType="solid">
          <fgColor indexed="64"/>
          <bgColor theme="8" tint="0.79998168889431442"/>
        </patternFill>
      </fill>
      <alignment horizontal="center" vertical="center" textRotation="0" wrapText="0" indent="0" justifyLastLine="0" shrinkToFit="0" readingOrder="0"/>
      <protection locked="0" hidden="0"/>
    </dxf>
    <dxf>
      <numFmt numFmtId="13" formatCode="0%"/>
      <alignment horizontal="center" vertical="center" textRotation="0" wrapText="0" indent="0" justifyLastLine="0" shrinkToFit="0" readingOrder="0"/>
      <protection locked="1" hidden="0"/>
    </dxf>
    <dxf>
      <numFmt numFmtId="30" formatCode="@"/>
      <alignment horizontal="center" vertical="center" textRotation="0" wrapText="0" indent="0" justifyLastLine="0" shrinkToFit="0" readingOrder="0"/>
      <protection locked="1"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numFmt numFmtId="30" formatCode="@"/>
      <fill>
        <patternFill patternType="none">
          <fgColor indexed="64"/>
          <bgColor indexed="65"/>
        </patternFill>
      </fill>
      <alignment horizontal="center" vertical="center" textRotation="0" wrapText="0" indent="0" justifyLastLine="0" shrinkToFit="0" readingOrder="0"/>
      <protection locked="1" hidden="0"/>
    </dxf>
    <dxf>
      <numFmt numFmtId="169" formatCode="mm/dd/yyyy"/>
      <alignment horizontal="center" vertical="center" textRotation="0" wrapText="0" indent="0" justifyLastLine="0" shrinkToFit="0" readingOrder="0"/>
      <protection locked="1" hidden="0"/>
    </dxf>
    <dxf>
      <numFmt numFmtId="169" formatCode="mm/dd/yyyy"/>
      <alignment horizontal="center" vertical="center" textRotation="0" wrapText="0" indent="0" justifyLastLine="0" shrinkToFit="0" readingOrder="0"/>
      <protection locked="0"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indent="0" justifyLastLine="0" shrinkToFit="0" readingOrder="0"/>
      <border diagonalUp="0" diagonalDown="0">
        <left style="medium">
          <color rgb="FF1DB9C3"/>
        </left>
      </border>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indexed="64"/>
          <bgColor auto="1"/>
        </patternFill>
      </fill>
      <alignment horizontal="center" vertical="center" textRotation="0" wrapText="1" indent="0" justifyLastLine="0" shrinkToFit="0" readingOrder="0"/>
      <protection locked="0"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indent="0" justifyLastLine="0" shrinkToFit="0" readingOrder="0"/>
      <protection locked="0"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indent="0" justifyLastLine="0" shrinkToFit="0" readingOrder="0"/>
      <protection locked="0" hidden="0"/>
    </dxf>
    <dxf>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indent="0" justifyLastLine="0" shrinkToFit="0" readingOrder="0"/>
      <protection locked="0" hidden="0"/>
    </dxf>
    <dxf>
      <fill>
        <patternFill patternType="none">
          <fgColor indexed="64"/>
          <bgColor auto="1"/>
        </patternFill>
      </fill>
      <alignment horizontal="center" vertical="center" textRotation="0" indent="0" justifyLastLine="0" shrinkToFit="0" readingOrder="0"/>
      <border diagonalUp="0" diagonalDown="0">
        <left style="medium">
          <color rgb="FF1DB9C3"/>
        </left>
      </border>
      <protection locked="0" hidden="0"/>
    </dxf>
    <dxf>
      <numFmt numFmtId="4" formatCode="#,##0.00"/>
      <alignment horizontal="center" vertical="center" textRotation="0" wrapText="0" indent="0" justifyLastLine="0" shrinkToFit="0" readingOrder="0"/>
      <protection locked="1"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indexed="65"/>
        </patternFill>
      </fil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1" hidden="0"/>
    </dxf>
    <dxf>
      <numFmt numFmtId="0" formatCode="Genera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wrapText="0" indent="0" justifyLastLine="0" shrinkToFit="0" readingOrder="0"/>
      <protection locked="0" hidden="0"/>
    </dxf>
    <dxf>
      <numFmt numFmtId="4" formatCode="#,##0.00"/>
      <alignment horizontal="center" vertical="center" textRotation="0" wrapText="0" indent="0" justifyLastLine="0" shrinkToFit="0" readingOrder="0"/>
      <protection locked="1" hidden="0"/>
    </dxf>
    <dxf>
      <numFmt numFmtId="0" formatCode="General"/>
      <alignment horizontal="center" vertical="center" textRotation="0" wrapText="0" indent="0" justifyLastLine="0" shrinkToFit="0" readingOrder="0"/>
      <protection locked="0" hidden="0"/>
    </dxf>
    <dxf>
      <numFmt numFmtId="4" formatCode="#,##0.00"/>
      <fill>
        <patternFill patternType="none">
          <fgColor indexed="64"/>
          <bgColor auto="1"/>
        </patternFill>
      </fill>
      <alignment horizontal="center" vertical="center" textRotation="0" indent="0" justifyLastLine="0" shrinkToFit="0" readingOrder="0"/>
      <border diagonalUp="0" diagonalDown="0" outline="0">
        <left style="medium">
          <color rgb="FF1DB9C3"/>
        </left>
        <right/>
      </border>
      <protection locked="0" hidden="0"/>
    </dxf>
    <dxf>
      <font>
        <b/>
      </font>
      <numFmt numFmtId="167" formatCode="&quot;$&quot;#,##0"/>
      <fill>
        <patternFill patternType="solid">
          <fgColor indexed="64"/>
          <bgColor theme="8" tint="0.79998168889431442"/>
        </patternFill>
      </fill>
      <alignment horizontal="center" vertical="center" textRotation="0" wrapText="0" indent="0" justifyLastLine="0" shrinkToFit="0" readingOrder="0"/>
      <border outline="0">
        <left style="medium">
          <color rgb="FF1DB9C3"/>
        </left>
      </border>
      <protection locked="0" hidden="0"/>
    </dxf>
    <dxf>
      <numFmt numFmtId="30" formatCode="@"/>
      <alignment horizontal="center" vertical="center" textRotation="0" wrapText="0" indent="0" justifyLastLine="0" shrinkToFit="0" readingOrder="0"/>
      <protection locked="1" hidden="0"/>
    </dxf>
    <dxf>
      <numFmt numFmtId="169" formatCode="mm/dd/yyyy"/>
      <alignment horizontal="center" vertical="center" textRotation="0" wrapText="0" indent="0" justifyLastLine="0" shrinkToFit="0" readingOrder="0"/>
      <protection locked="1" hidden="0"/>
    </dxf>
    <dxf>
      <numFmt numFmtId="169" formatCode="mm/dd/yyyy"/>
      <alignment horizontal="center" vertical="center" textRotation="0" wrapText="0" indent="0" justifyLastLine="0" shrinkToFit="0" readingOrder="0"/>
      <protection locked="0" hidden="0"/>
    </dxf>
    <dxf>
      <numFmt numFmtId="19" formatCode="dd/mm/yyyy"/>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indent="0" justifyLastLine="0" shrinkToFit="0" readingOrder="0"/>
      <border diagonalUp="0" diagonalDown="0">
        <left style="medium">
          <color rgb="FF1DB9C3"/>
        </left>
      </border>
      <protection locked="0" hidden="0"/>
    </dxf>
    <dxf>
      <fill>
        <patternFill patternType="none">
          <fgColor indexed="64"/>
          <bgColor auto="1"/>
        </patternFill>
      </fill>
      <alignment horizontal="center" vertical="center" textRotation="0" indent="0" justifyLastLine="0" shrinkToFit="0" readingOrder="0"/>
      <protection locked="0" hidden="0"/>
    </dxf>
    <dxf>
      <fill>
        <patternFill patternType="none">
          <fgColor indexed="64"/>
          <bgColor auto="1"/>
        </patternFill>
      </fill>
      <alignment horizontal="center" vertical="center" textRotation="0" wrapText="1" indent="0" justifyLastLine="0" shrinkToFit="0" readingOrder="0"/>
      <protection locked="0" hidden="0"/>
    </dxf>
    <dxf>
      <numFmt numFmtId="0" formatCode="General"/>
      <fill>
        <patternFill patternType="none">
          <fgColor rgb="FF000000"/>
          <bgColor auto="1"/>
        </patternFill>
      </fill>
      <alignment horizontal="center" vertical="center" textRotation="0" indent="0" justifyLastLine="0" shrinkToFit="0" readingOrder="0"/>
      <protection locked="1"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border diagonalUp="0" diagonalDown="0">
        <left style="medium">
          <color rgb="FF1DB9C3"/>
        </left>
      </border>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border diagonalUp="0" diagonalDown="0">
        <left style="medium">
          <color rgb="FF1DB9C3"/>
        </left>
      </border>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indexed="64"/>
          <bgColor auto="1"/>
        </patternFill>
      </fill>
      <alignment horizontal="center" vertical="center" textRotation="0" indent="0" justifyLastLine="0" shrinkToFit="0" readingOrder="0"/>
      <protection locked="0" hidden="0"/>
    </dxf>
    <dxf>
      <fill>
        <patternFill patternType="none">
          <fgColor indexed="64"/>
          <bgColor auto="1"/>
        </patternFill>
      </fill>
      <alignment horizontal="center" vertical="center" textRotation="0" indent="0" justifyLastLine="0" shrinkToFit="0" readingOrder="0"/>
      <border diagonalUp="0" diagonalDown="0">
        <left style="medium">
          <color rgb="FF1DB9C3"/>
        </left>
      </border>
      <protection locked="0" hidden="0"/>
    </dxf>
    <dxf>
      <fill>
        <patternFill patternType="none">
          <fgColor indexed="64"/>
          <bgColor auto="1"/>
        </patternFill>
      </fill>
      <alignment horizontal="center" vertical="center" textRotation="0" wrapText="1" indent="0" justifyLastLine="0" shrinkToFit="0" readingOrder="0"/>
      <protection locked="0" hidden="0"/>
    </dxf>
    <dxf>
      <numFmt numFmtId="4" formatCode="#,##0.00"/>
      <fill>
        <patternFill patternType="none">
          <fgColor indexed="64"/>
          <bgColor indexed="65"/>
        </patternFill>
      </fill>
      <alignment horizontal="center" vertical="center" textRotation="0" wrapText="1" indent="0" justifyLastLine="0" shrinkToFit="0" readingOrder="0"/>
      <protection locked="0" hidden="0"/>
    </dxf>
    <dxf>
      <numFmt numFmtId="30" formatCode="@"/>
      <fill>
        <patternFill patternType="none">
          <fgColor indexed="64"/>
          <bgColor indexed="65"/>
        </patternFill>
      </fill>
      <alignment horizontal="center" vertical="center" textRotation="0" wrapText="1" indent="0" justifyLastLine="0" shrinkToFit="0" readingOrder="0"/>
      <protection locked="0" hidden="0"/>
    </dxf>
    <dxf>
      <numFmt numFmtId="4" formatCode="#,##0.00"/>
      <fill>
        <patternFill patternType="none">
          <fgColor indexed="64"/>
          <bgColor indexed="65"/>
        </patternFill>
      </fill>
      <alignment horizontal="center" vertical="center" textRotation="0" wrapText="1" indent="0" justifyLastLine="0" shrinkToFit="0" readingOrder="0"/>
      <protection locked="0" hidden="0"/>
    </dxf>
    <dxf>
      <numFmt numFmtId="4" formatCode="#,##0.00"/>
      <fill>
        <patternFill patternType="none">
          <fgColor indexed="64"/>
          <bgColor indexed="65"/>
        </patternFill>
      </fill>
      <alignment horizontal="center" vertical="center" textRotation="0" wrapText="1" indent="0" justifyLastLine="0" shrinkToFit="0" readingOrder="0"/>
      <protection locked="0" hidden="0"/>
    </dxf>
    <dxf>
      <numFmt numFmtId="4" formatCode="#,##0.00"/>
      <fill>
        <patternFill patternType="none">
          <fgColor indexed="64"/>
          <bgColor auto="1"/>
        </patternFill>
      </fill>
      <alignment horizontal="center" vertical="center" textRotation="0" wrapText="1" indent="0" justifyLastLine="0" shrinkToFit="0" readingOrder="0"/>
      <protection locked="0" hidden="0"/>
    </dxf>
    <dxf>
      <numFmt numFmtId="4" formatCode="#,##0.00"/>
      <fill>
        <patternFill patternType="none">
          <fgColor indexed="64"/>
          <bgColor auto="1"/>
        </patternFill>
      </fill>
      <alignment horizontal="center" vertical="center" textRotation="0" wrapText="1" indent="0" justifyLastLine="0" shrinkToFit="0" readingOrder="0"/>
      <protection locked="0" hidden="0"/>
    </dxf>
    <dxf>
      <numFmt numFmtId="19" formatCode="dd/mm/yyyy"/>
      <fill>
        <patternFill patternType="none">
          <fgColor indexed="64"/>
          <bgColor auto="1"/>
        </patternFill>
      </fill>
      <alignment horizontal="center" vertical="center" textRotation="0" wrapText="1" indent="0" justifyLastLine="0" shrinkToFit="0" readingOrder="0"/>
      <protection locked="0" hidden="0"/>
    </dxf>
    <dxf>
      <numFmt numFmtId="4" formatCode="#,##0.00"/>
      <fill>
        <patternFill patternType="none">
          <fgColor indexed="64"/>
          <bgColor auto="1"/>
        </patternFill>
      </fill>
      <alignment horizontal="center" vertical="center" textRotation="0" wrapText="1" indent="0" justifyLastLine="0" shrinkToFit="0" readingOrder="0"/>
      <protection locked="0" hidden="0"/>
    </dxf>
    <dxf>
      <numFmt numFmtId="167" formatCode="&quot;$&quot;#,##0"/>
      <fill>
        <patternFill patternType="none">
          <fgColor indexed="64"/>
          <bgColor auto="1"/>
        </patternFill>
      </fill>
      <alignment horizontal="center" vertical="center" textRotation="0" wrapText="0" indent="0" justifyLastLine="0" shrinkToFit="0" readingOrder="0"/>
      <protection locked="0" hidden="0"/>
    </dxf>
    <dxf>
      <numFmt numFmtId="165" formatCode="yyyy/mm/dd"/>
      <fill>
        <patternFill patternType="none">
          <fgColor indexed="64"/>
          <bgColor auto="1"/>
        </patternFill>
      </fill>
      <alignment horizontal="center" vertical="center" textRotation="0" wrapText="0" indent="0" justifyLastLine="0" shrinkToFit="0" readingOrder="0"/>
      <protection locked="0" hidden="0"/>
    </dxf>
    <dxf>
      <numFmt numFmtId="169" formatCode="mm/dd/yyyy"/>
      <fill>
        <patternFill patternType="none">
          <fgColor indexed="64"/>
          <bgColor auto="1"/>
        </patternFill>
      </fill>
      <alignment horizontal="center" vertical="center" textRotation="0" indent="0" justifyLastLine="0" shrinkToFit="0" readingOrder="0"/>
      <protection locked="0" hidden="0"/>
    </dxf>
    <dxf>
      <fill>
        <patternFill patternType="none">
          <fgColor indexed="64"/>
          <bgColor auto="1"/>
        </patternFill>
      </fill>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1" hidden="0"/>
    </dxf>
    <dxf>
      <fill>
        <patternFill patternType="none">
          <fgColor indexed="64"/>
          <bgColor auto="1"/>
        </patternFill>
      </fill>
      <alignment horizontal="center" vertical="center" textRotation="0" indent="0" justifyLastLine="0" shrinkToFit="0" readingOrder="0"/>
      <border diagonalUp="0" diagonalDown="0" outline="0">
        <left style="medium">
          <color rgb="FF1DB9C3"/>
        </left>
        <right/>
      </border>
      <protection locked="0" hidden="0"/>
    </dxf>
    <dxf>
      <fill>
        <patternFill patternType="none">
          <fgColor rgb="FF000000"/>
          <bgColor auto="1"/>
        </patternFill>
      </fill>
      <alignment horizontal="center" vertical="center" textRotation="0" indent="0" justifyLastLine="0" shrinkToFit="0" readingOrder="0"/>
      <protection locked="0" hidden="0"/>
    </dxf>
    <dxf>
      <alignment horizontal="center" vertical="center" textRotation="0" wrapText="1"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border diagonalUp="0" diagonalDown="0">
        <left style="medium">
          <color rgb="FF1DB9C3"/>
        </left>
      </border>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border outline="0">
        <left style="medium">
          <color rgb="FF1DB9C3"/>
        </left>
      </border>
      <protection locked="0" hidden="0"/>
    </dxf>
    <dxf>
      <numFmt numFmtId="0" formatCode="General"/>
      <fill>
        <patternFill patternType="none">
          <fgColor rgb="FF000000"/>
          <bgColor auto="1"/>
        </patternFill>
      </fill>
      <alignment horizontal="center" vertical="center" textRotation="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indexed="64"/>
          <bgColor indexed="65"/>
        </patternFill>
      </fill>
      <alignment horizontal="center" vertical="center" textRotation="0" wrapText="0" indent="0" justifyLastLine="0" shrinkToFit="0" readingOrder="0"/>
      <border diagonalUp="0" diagonalDown="0">
        <left style="medium">
          <color rgb="FF1DB9C3"/>
        </left>
        <right/>
        <top/>
        <bottom/>
        <vertical/>
        <horizontal/>
      </border>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indexed="64"/>
          <bgColor indexed="65"/>
        </patternFill>
      </fill>
      <alignment horizontal="center" vertical="center" textRotation="0" wrapText="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protection locked="0" hidden="0"/>
    </dxf>
    <dxf>
      <fill>
        <patternFill patternType="none">
          <fgColor rgb="FF000000"/>
          <bgColor auto="1"/>
        </patternFill>
      </fill>
      <alignment horizontal="center" vertical="center" textRotation="0" indent="0" justifyLastLine="0" shrinkToFit="0" readingOrder="0"/>
      <border diagonalUp="0" diagonalDown="0" outline="0">
        <left style="medium">
          <color rgb="FF1DB9C3"/>
        </left>
      </border>
      <protection locked="0" hidden="0"/>
    </dxf>
    <dxf>
      <numFmt numFmtId="30" formatCode="@"/>
      <fill>
        <patternFill patternType="none">
          <fgColor indexed="64"/>
          <bgColor indexed="65"/>
        </patternFill>
      </fill>
      <alignment horizontal="center" vertical="center" textRotation="0" wrapText="1" indent="0" justifyLastLine="0" shrinkToFit="0" readingOrder="0"/>
      <protection locked="1" hidden="0"/>
    </dxf>
    <dxf>
      <numFmt numFmtId="30" formatCode="@"/>
      <fill>
        <patternFill patternType="none">
          <fgColor indexed="64"/>
          <bgColor auto="1"/>
        </patternFill>
      </fill>
      <alignment horizontal="center" vertical="center" textRotation="0" wrapText="0" indent="0" justifyLastLine="0" shrinkToFit="0" readingOrder="0"/>
      <protection locked="0" hidden="0"/>
    </dxf>
    <dxf>
      <numFmt numFmtId="169" formatCode="mm/dd/yyyy"/>
      <fill>
        <patternFill patternType="none">
          <fgColor indexed="64"/>
          <bgColor auto="1"/>
        </patternFill>
      </fill>
      <alignment horizontal="center" vertical="center" textRotation="0" indent="0" justifyLastLine="0" shrinkToFit="0" readingOrder="0"/>
      <protection locked="1" hidden="0"/>
    </dxf>
    <dxf>
      <fill>
        <patternFill patternType="none">
          <fgColor indexed="64"/>
          <bgColor auto="1"/>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indent="0" justifyLastLine="0" shrinkToFit="0" readingOrder="0"/>
      <border diagonalUp="0" diagonalDown="0">
        <left style="medium">
          <color rgb="FF1DB9C3"/>
        </left>
      </border>
      <protection locked="0" hidden="0"/>
    </dxf>
    <dxf>
      <fill>
        <patternFill patternType="none">
          <fgColor rgb="FF000000"/>
          <bgColor auto="1"/>
        </patternFill>
      </fill>
      <alignment horizontal="center" vertical="center" textRotation="0" indent="0" justifyLastLine="0" shrinkToFit="0" readingOrder="0"/>
      <protection locked="0" hidden="0"/>
    </dxf>
    <dxf>
      <alignment horizontal="center" vertical="center" textRotation="0" wrapText="1" indent="0" justifyLastLine="0" shrinkToFit="0" readingOrder="0"/>
      <protection locked="0" hidden="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hair">
          <color rgb="FF009999"/>
        </bottom>
      </border>
    </dxf>
    <dxf>
      <font>
        <b/>
        <i val="0"/>
        <strike val="0"/>
        <condense val="0"/>
        <extend val="0"/>
        <outline val="0"/>
        <shadow val="0"/>
        <u val="none"/>
        <vertAlign val="baseline"/>
        <sz val="10"/>
        <color indexed="8"/>
        <name val="Times New Roman"/>
        <family val="1"/>
        <scheme val="none"/>
      </font>
      <fill>
        <patternFill patternType="solid">
          <fgColor indexed="64"/>
          <bgColor rgb="FFF0EFF6"/>
        </patternFill>
      </fill>
      <alignment horizontal="center" vertical="center" textRotation="0" wrapText="1" indent="0" justifyLastLine="0" shrinkToFit="0" readingOrder="0"/>
    </dxf>
    <dxf>
      <font>
        <name val="Times New Roman"/>
        <family val="1"/>
        <scheme val="none"/>
      </font>
      <numFmt numFmtId="172" formatCode="m/d/yyyy"/>
      <alignment horizontal="center" vertical="center" textRotation="0" wrapText="0" indent="0" justifyLastLine="0" shrinkToFit="0" readingOrder="0"/>
    </dxf>
    <dxf>
      <font>
        <name val="Times New Roman"/>
        <family val="1"/>
        <scheme val="none"/>
      </font>
      <alignment horizontal="center" vertical="center" textRotation="0" wrapText="0" indent="0" justifyLastLine="0" shrinkToFit="0" readingOrder="0"/>
    </dxf>
    <dxf>
      <border outline="0">
        <bottom style="medium">
          <color rgb="FF08A49A"/>
        </bottom>
      </border>
    </dxf>
    <dxf>
      <font>
        <b/>
        <i val="0"/>
        <strike val="0"/>
        <condense val="0"/>
        <extend val="0"/>
        <outline val="0"/>
        <shadow val="0"/>
        <u val="none"/>
        <vertAlign val="baseline"/>
        <sz val="10"/>
        <color indexed="8"/>
        <name val="Times New Roman"/>
        <family val="1"/>
        <scheme val="none"/>
      </font>
      <fill>
        <patternFill patternType="solid">
          <fgColor indexed="64"/>
          <bgColor rgb="FFF0EFF6"/>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numFmt numFmtId="166" formatCode="&quot;$&quot;#,##0.00"/>
      <alignment horizontal="center" vertical="center" textRotation="0" wrapText="0" indent="0" justifyLastLine="0" shrinkToFit="0" readingOrder="0"/>
      <border diagonalUp="0" diagonalDown="0">
        <left style="thin">
          <color rgb="FF1DB9C3"/>
        </left>
        <right style="thin">
          <color rgb="FF1DB9C3"/>
        </right>
        <top style="thin">
          <color rgb="FF1DB9C3"/>
        </top>
        <bottom style="thin">
          <color rgb="FF1DB9C3"/>
        </bottom>
        <vertical style="thin">
          <color rgb="FF1DB9C3"/>
        </vertical>
        <horizontal style="thin">
          <color rgb="FF1DB9C3"/>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rgb="FF1DB9C3"/>
        </left>
        <right style="thin">
          <color rgb="FF1DB9C3"/>
        </right>
        <top style="thin">
          <color rgb="FF1DB9C3"/>
        </top>
        <bottom style="thin">
          <color rgb="FF1DB9C3"/>
        </bottom>
        <vertical style="thin">
          <color rgb="FF1DB9C3"/>
        </vertical>
        <horizontal style="thin">
          <color rgb="FF1DB9C3"/>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rgb="FF1DB9C3"/>
        </left>
        <right style="thin">
          <color rgb="FF1DB9C3"/>
        </right>
        <top style="thin">
          <color rgb="FF1DB9C3"/>
        </top>
        <bottom style="thin">
          <color rgb="FF1DB9C3"/>
        </bottom>
        <vertical style="thin">
          <color rgb="FF1DB9C3"/>
        </vertical>
        <horizontal style="thin">
          <color rgb="FF1DB9C3"/>
        </horizontal>
      </border>
    </dxf>
    <dxf>
      <font>
        <b/>
        <sz val="10"/>
      </font>
      <alignment horizontal="center" vertical="center" textRotation="0" wrapText="0" indent="0" justifyLastLine="0" shrinkToFit="0" readingOrder="0"/>
      <border diagonalUp="0" diagonalDown="0">
        <left style="thin">
          <color rgb="FF1DB9C3"/>
        </left>
        <right style="thin">
          <color rgb="FF1DB9C3"/>
        </right>
        <top style="thin">
          <color rgb="FF1DB9C3"/>
        </top>
        <bottom style="thin">
          <color rgb="FF1DB9C3"/>
        </bottom>
        <vertical style="thin">
          <color rgb="FF1DB9C3"/>
        </vertical>
        <horizontal style="thin">
          <color rgb="FF1DB9C3"/>
        </horizontal>
      </border>
    </dxf>
    <dxf>
      <font>
        <b/>
        <sz val="10"/>
      </font>
      <alignment horizontal="center" vertical="center" textRotation="0" wrapText="0" indent="0" justifyLastLine="0" shrinkToFit="0" readingOrder="0"/>
      <border diagonalUp="0" diagonalDown="0">
        <left style="thin">
          <color rgb="FF1DB9C3"/>
        </left>
        <right style="thin">
          <color rgb="FF1DB9C3"/>
        </right>
        <top style="thin">
          <color rgb="FF1DB9C3"/>
        </top>
        <bottom style="thin">
          <color rgb="FF1DB9C3"/>
        </bottom>
        <vertical style="thin">
          <color rgb="FF1DB9C3"/>
        </vertical>
        <horizontal style="thin">
          <color rgb="FF1DB9C3"/>
        </horizontal>
      </border>
    </dxf>
    <dxf>
      <alignment horizontal="center" vertical="center" textRotation="0" wrapText="0" indent="0" justifyLastLine="0" shrinkToFit="0" readingOrder="0"/>
    </dxf>
    <dxf>
      <border>
        <bottom style="thin">
          <color theme="0"/>
        </bottom>
      </border>
    </dxf>
    <dxf>
      <alignment horizontal="center" vertical="center" textRotation="0" wrapText="0" indent="0" justifyLastLine="0" shrinkToFit="0" readingOrder="0"/>
      <border diagonalUp="0" diagonalDown="0">
        <left style="thin">
          <color theme="0"/>
        </left>
        <right style="thin">
          <color theme="0"/>
        </right>
        <top/>
        <bottom/>
        <vertical style="thin">
          <color theme="0"/>
        </vertical>
        <horizontal style="thin">
          <color theme="0"/>
        </horizontal>
      </border>
    </dxf>
    <dxf>
      <font>
        <strike val="0"/>
        <outline val="0"/>
        <shadow val="0"/>
        <u val="none"/>
        <vertAlign val="baseline"/>
        <color theme="1"/>
        <name val="Calibri"/>
        <family val="2"/>
      </font>
      <numFmt numFmtId="168" formatCode="&quot;$&quot;#,##0.0"/>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numFmt numFmtId="166" formatCode="&quot;$&quot;#,##0.00"/>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numFmt numFmtId="2" formatCode="0.00"/>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family val="2"/>
        <scheme val="none"/>
      </font>
      <fill>
        <patternFill patternType="solid">
          <fgColor indexed="64"/>
          <bgColor rgb="FFFCFCFC"/>
        </patternFill>
      </fill>
      <alignment horizontal="right" vertical="center" textRotation="0" wrapText="0" indent="0" justifyLastLine="0" shrinkToFit="0" readingOrder="2"/>
    </dxf>
    <dxf>
      <font>
        <strike val="0"/>
        <outline val="0"/>
        <shadow val="0"/>
        <u val="none"/>
        <vertAlign val="baseline"/>
        <sz val="10"/>
        <color theme="1"/>
        <name val="Calibri"/>
        <family val="2"/>
        <scheme val="none"/>
      </font>
      <fill>
        <patternFill patternType="solid">
          <fgColor indexed="64"/>
          <bgColor rgb="FFFCFCFC"/>
        </patternFill>
      </fill>
      <alignment horizontal="left" vertical="center" textRotation="0" wrapText="0" indent="0" justifyLastLine="0" shrinkToFit="0" readingOrder="0"/>
    </dxf>
    <dxf>
      <font>
        <strike val="0"/>
        <outline val="0"/>
        <shadow val="0"/>
        <u val="none"/>
        <vertAlign val="baseline"/>
        <color theme="1"/>
        <name val="Calibri"/>
        <family val="2"/>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numFmt numFmtId="30" formatCode="@"/>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numFmt numFmtId="0" formatCode="General"/>
      <fill>
        <patternFill patternType="none">
          <fgColor indexed="64"/>
          <bgColor auto="1"/>
        </patternFill>
      </fill>
      <alignment horizontal="center" vertical="center" textRotation="0" indent="0" justifyLastLine="0" shrinkToFit="0" readingOrder="0"/>
    </dxf>
    <dxf>
      <font>
        <strike val="0"/>
        <outline val="0"/>
        <shadow val="0"/>
        <u val="none"/>
        <vertAlign val="baseline"/>
        <color theme="1"/>
        <name val="Calibri"/>
        <family val="2"/>
      </font>
      <fill>
        <patternFill patternType="none">
          <fgColor indexed="64"/>
          <bgColor auto="1"/>
        </patternFill>
      </fill>
      <alignment horizontal="center" vertical="center" textRotation="0" indent="0" justifyLastLine="0" shrinkToFit="0" readingOrder="0"/>
    </dxf>
    <dxf>
      <font>
        <b/>
        <i val="0"/>
        <strike val="0"/>
        <condense val="0"/>
        <extend val="0"/>
        <outline val="0"/>
        <shadow val="0"/>
        <u val="none"/>
        <vertAlign val="baseline"/>
        <sz val="12"/>
        <color rgb="FF009999"/>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bottom/>
      </border>
    </dxf>
    <dxf>
      <fill>
        <patternFill patternType="none">
          <bgColor auto="1"/>
        </patternFill>
      </fill>
    </dxf>
    <dxf>
      <font>
        <b/>
      </font>
      <numFmt numFmtId="166" formatCode="&quot;$&quot;#,##0.00"/>
    </dxf>
    <dxf>
      <font>
        <b/>
      </font>
      <numFmt numFmtId="166" formatCode="&quot;$&quot;#,##0.00"/>
    </dxf>
    <dxf>
      <alignment vertical="center"/>
    </dxf>
    <dxf>
      <alignment vertical="center"/>
    </dxf>
    <dxf>
      <alignment vertical="center"/>
    </dxf>
    <dxf>
      <alignment horizontal="center"/>
    </dxf>
    <dxf>
      <alignment horizontal="center"/>
    </dxf>
    <dxf>
      <alignment horizontal="center"/>
    </dxf>
    <dxf>
      <numFmt numFmtId="0" formatCode="General"/>
    </dxf>
    <dxf>
      <font>
        <b/>
        <sz val="12"/>
        <color rgb="FF009999"/>
        <name val="Times New Roman"/>
        <family val="1"/>
        <scheme val="none"/>
      </font>
      <alignment horizontal="center" vertical="center" wrapText="1"/>
    </dxf>
    <dxf>
      <border>
        <left style="hair">
          <color rgb="FF009999"/>
        </left>
        <right style="hair">
          <color rgb="FF009999"/>
        </right>
        <top style="hair">
          <color rgb="FF009999"/>
        </top>
        <bottom style="hair">
          <color rgb="FF009999"/>
        </bottom>
        <vertical style="hair">
          <color rgb="FF009999"/>
        </vertical>
        <horizontal style="hair">
          <color rgb="FF009999"/>
        </horizontal>
      </border>
    </dxf>
    <dxf>
      <border>
        <left style="hair">
          <color rgb="FF009999"/>
        </left>
        <right style="hair">
          <color rgb="FF009999"/>
        </right>
        <top style="hair">
          <color rgb="FF009999"/>
        </top>
        <bottom style="hair">
          <color rgb="FF009999"/>
        </bottom>
        <vertical style="hair">
          <color rgb="FF009999"/>
        </vertical>
        <horizontal style="hair">
          <color rgb="FF009999"/>
        </horizontal>
      </border>
    </dxf>
    <dxf>
      <border>
        <left style="hair">
          <color rgb="FF009999"/>
        </left>
        <right style="hair">
          <color rgb="FF009999"/>
        </right>
        <top style="hair">
          <color rgb="FF009999"/>
        </top>
        <bottom style="hair">
          <color rgb="FF009999"/>
        </bottom>
        <vertical style="hair">
          <color rgb="FF009999"/>
        </vertical>
        <horizontal style="hair">
          <color rgb="FF009999"/>
        </horizontal>
      </border>
    </dxf>
    <dxf>
      <alignment horizontal="center" vertical="center"/>
    </dxf>
    <dxf>
      <font>
        <b/>
        <sz val="12"/>
        <color rgb="FF009999"/>
        <name val="Times New Roman"/>
        <family val="1"/>
        <scheme val="none"/>
      </font>
      <alignment horizontal="center" vertical="center" wrapText="1"/>
    </dxf>
    <dxf>
      <font>
        <b/>
        <sz val="12"/>
        <color rgb="FF009999"/>
        <name val="Times New Roman"/>
        <family val="1"/>
        <scheme val="none"/>
      </font>
      <alignment horizontal="center" vertical="center" wrapText="1"/>
    </dxf>
    <dxf>
      <fill>
        <patternFill>
          <bgColor theme="5"/>
        </patternFill>
      </fill>
    </dxf>
    <dxf>
      <fill>
        <patternFill>
          <bgColor rgb="FFFCFCFC"/>
        </patternFill>
      </fill>
    </dxf>
    <dxf>
      <fill>
        <patternFill>
          <bgColor rgb="FFF0EFF6"/>
        </patternFill>
      </fill>
      <border>
        <left style="hair">
          <color rgb="FF009999"/>
        </left>
        <right style="hair">
          <color rgb="FF009999"/>
        </right>
        <top style="hair">
          <color rgb="FF009999"/>
        </top>
        <bottom style="hair">
          <color rgb="FF009999"/>
        </bottom>
        <vertical style="hair">
          <color rgb="FF009999"/>
        </vertical>
        <horizontal style="hair">
          <color rgb="FF009999"/>
        </horizontal>
      </border>
    </dxf>
    <dxf>
      <border>
        <left style="hair">
          <color rgb="FF009999"/>
        </left>
        <right style="hair">
          <color rgb="FF009999"/>
        </right>
        <top style="hair">
          <color rgb="FF009999"/>
        </top>
        <bottom style="hair">
          <color rgb="FF009999"/>
        </bottom>
        <vertical style="hair">
          <color rgb="FF009999"/>
        </vertical>
        <horizontal style="hair">
          <color rgb="FF009999"/>
        </horizontal>
      </border>
    </dxf>
  </dxfs>
  <tableStyles count="1" defaultTableStyle="Table Style 1" defaultPivotStyle="PivotStyleLight16">
    <tableStyle name="Table Style 1" pivot="0" count="4" xr9:uid="{1CBDB43B-0531-4D81-8CF4-95C8895D2994}">
      <tableStyleElement type="wholeTable" dxfId="483"/>
      <tableStyleElement type="headerRow" dxfId="482"/>
      <tableStyleElement type="firstRowStripe" dxfId="481"/>
      <tableStyleElement type="firstColumnStripe" size="2" dxfId="480"/>
    </tableStyle>
  </tableStyles>
  <colors>
    <mruColors>
      <color rgb="FFFA8697"/>
      <color rgb="FFFFC000"/>
      <color rgb="FFFFD966"/>
      <color rgb="FF00B050"/>
      <color rgb="FFF2F2F2"/>
      <color rgb="FF1DB9C3"/>
      <color rgb="FFED7D31"/>
      <color rgb="FF5B9BD5"/>
      <color rgb="FFC0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34</xdr:col>
      <xdr:colOff>363966</xdr:colOff>
      <xdr:row>1</xdr:row>
      <xdr:rowOff>380292</xdr:rowOff>
    </xdr:from>
    <xdr:to>
      <xdr:col>37</xdr:col>
      <xdr:colOff>333151</xdr:colOff>
      <xdr:row>10</xdr:row>
      <xdr:rowOff>43137</xdr:rowOff>
    </xdr:to>
    <mc:AlternateContent xmlns:mc="http://schemas.openxmlformats.org/markup-compatibility/2006" xmlns:sle15="http://schemas.microsoft.com/office/drawing/2012/slicer">
      <mc:Choice Requires="sle15">
        <xdr:graphicFrame macro="">
          <xdr:nvGraphicFramePr>
            <xdr:cNvPr id="2" name="type">
              <a:extLst>
                <a:ext uri="{FF2B5EF4-FFF2-40B4-BE49-F238E27FC236}">
                  <a16:creationId xmlns:a16="http://schemas.microsoft.com/office/drawing/2014/main" id="{A2DFB5C2-E798-323E-2427-C99235675B8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5443291" y="627942"/>
              <a:ext cx="1797985" cy="15964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33</xdr:col>
      <xdr:colOff>202444</xdr:colOff>
      <xdr:row>10</xdr:row>
      <xdr:rowOff>155437</xdr:rowOff>
    </xdr:from>
    <xdr:to>
      <xdr:col>36</xdr:col>
      <xdr:colOff>178352</xdr:colOff>
      <xdr:row>21</xdr:row>
      <xdr:rowOff>65117</xdr:rowOff>
    </xdr:to>
    <mc:AlternateContent xmlns:mc="http://schemas.openxmlformats.org/markup-compatibility/2006" xmlns:sle15="http://schemas.microsoft.com/office/drawing/2012/slicer">
      <mc:Choice Requires="sle15">
        <xdr:graphicFrame macro="">
          <xdr:nvGraphicFramePr>
            <xdr:cNvPr id="3" name="Contractor">
              <a:extLst>
                <a:ext uri="{FF2B5EF4-FFF2-40B4-BE49-F238E27FC236}">
                  <a16:creationId xmlns:a16="http://schemas.microsoft.com/office/drawing/2014/main" id="{EF03BAEF-E977-16B1-A739-6BACAAC0FA70}"/>
                </a:ext>
                <a:ext uri="{147F2762-F138-4A5C-976F-8EAC2B608ADB}">
                  <a16:predDERef xmlns:a16="http://schemas.microsoft.com/office/drawing/2014/main" pred="{A2DFB5C2-E798-323E-2427-C99235675B84}"/>
                </a:ext>
              </a:extLst>
            </xdr:cNvPr>
            <xdr:cNvGraphicFramePr/>
          </xdr:nvGraphicFramePr>
          <xdr:xfrm>
            <a:off x="0" y="0"/>
            <a:ext cx="0" cy="0"/>
          </xdr:xfrm>
          <a:graphic>
            <a:graphicData uri="http://schemas.microsoft.com/office/drawing/2010/slicer">
              <sle:slicer xmlns:sle="http://schemas.microsoft.com/office/drawing/2010/slicer" name="Contractor"/>
            </a:graphicData>
          </a:graphic>
        </xdr:graphicFrame>
      </mc:Choice>
      <mc:Fallback xmlns="">
        <xdr:sp macro="" textlink="">
          <xdr:nvSpPr>
            <xdr:cNvPr id="0" name=""/>
            <xdr:cNvSpPr>
              <a:spLocks noTextEdit="1"/>
            </xdr:cNvSpPr>
          </xdr:nvSpPr>
          <xdr:spPr>
            <a:xfrm>
              <a:off x="24672169" y="2336662"/>
              <a:ext cx="1804708" cy="20051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22412</xdr:colOff>
      <xdr:row>0</xdr:row>
      <xdr:rowOff>0</xdr:rowOff>
    </xdr:from>
    <xdr:to>
      <xdr:col>2</xdr:col>
      <xdr:colOff>1319582</xdr:colOff>
      <xdr:row>2</xdr:row>
      <xdr:rowOff>232360</xdr:rowOff>
    </xdr:to>
    <xdr:pic>
      <xdr:nvPicPr>
        <xdr:cNvPr id="2" name="Picture 1">
          <a:extLst>
            <a:ext uri="{FF2B5EF4-FFF2-40B4-BE49-F238E27FC236}">
              <a16:creationId xmlns:a16="http://schemas.microsoft.com/office/drawing/2014/main" id="{05110456-C9A1-4D23-821D-893751DBE48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62"/>
        <a:stretch>
          <a:fillRect/>
        </a:stretch>
      </xdr:blipFill>
      <xdr:spPr>
        <a:xfrm>
          <a:off x="313765" y="0"/>
          <a:ext cx="2160023" cy="7926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289263</xdr:colOff>
      <xdr:row>0</xdr:row>
      <xdr:rowOff>15039</xdr:rowOff>
    </xdr:from>
    <xdr:to>
      <xdr:col>3</xdr:col>
      <xdr:colOff>217715</xdr:colOff>
      <xdr:row>2</xdr:row>
      <xdr:rowOff>263407</xdr:rowOff>
    </xdr:to>
    <xdr:pic>
      <xdr:nvPicPr>
        <xdr:cNvPr id="3" name="Picture 2">
          <a:extLst>
            <a:ext uri="{FF2B5EF4-FFF2-40B4-BE49-F238E27FC236}">
              <a16:creationId xmlns:a16="http://schemas.microsoft.com/office/drawing/2014/main" id="{5CEC28E3-D42F-430F-98DE-D870011642D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62"/>
        <a:stretch>
          <a:fillRect/>
        </a:stretch>
      </xdr:blipFill>
      <xdr:spPr>
        <a:xfrm>
          <a:off x="289263" y="15039"/>
          <a:ext cx="2160023" cy="7926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1398023</xdr:colOff>
      <xdr:row>1</xdr:row>
      <xdr:rowOff>375935</xdr:rowOff>
    </xdr:to>
    <xdr:pic>
      <xdr:nvPicPr>
        <xdr:cNvPr id="2" name="Picture 1">
          <a:extLst>
            <a:ext uri="{FF2B5EF4-FFF2-40B4-BE49-F238E27FC236}">
              <a16:creationId xmlns:a16="http://schemas.microsoft.com/office/drawing/2014/main" id="{03279480-3FB8-4782-9580-11FFB812701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62"/>
        <a:stretch>
          <a:fillRect/>
        </a:stretch>
      </xdr:blipFill>
      <xdr:spPr>
        <a:xfrm>
          <a:off x="381000" y="0"/>
          <a:ext cx="2160023" cy="7926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1469460</xdr:colOff>
      <xdr:row>1</xdr:row>
      <xdr:rowOff>375935</xdr:rowOff>
    </xdr:to>
    <xdr:pic>
      <xdr:nvPicPr>
        <xdr:cNvPr id="2" name="Picture 1">
          <a:extLst>
            <a:ext uri="{FF2B5EF4-FFF2-40B4-BE49-F238E27FC236}">
              <a16:creationId xmlns:a16="http://schemas.microsoft.com/office/drawing/2014/main" id="{0B18B27A-ABE3-421C-8EE4-B1B5E51848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62"/>
        <a:stretch>
          <a:fillRect/>
        </a:stretch>
      </xdr:blipFill>
      <xdr:spPr>
        <a:xfrm>
          <a:off x="381000" y="0"/>
          <a:ext cx="2160023" cy="7950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er" refreshedDate="45965.640134143519" createdVersion="8" refreshedVersion="8" minRefreshableVersion="3" recordCount="14" xr:uid="{1A2FCD32-D781-4C42-BF8B-0B208035F0F2}">
  <cacheSource type="worksheet">
    <worksheetSource name="tbl_BOQs"/>
  </cacheSource>
  <cacheFields count="13">
    <cacheField name="Unique" numFmtId="0">
      <sharedItems/>
    </cacheField>
    <cacheField name="type" numFmtId="0">
      <sharedItems count="18">
        <s v="Rehabilitation"/>
        <s v="Site Leveling" u="1"/>
        <s v="Roads Rehabilitation" u="1"/>
        <s v="Camp infrastructure" u="1"/>
        <s v="Draining System" u="1"/>
        <s v="CFW Tools" u="1"/>
        <s v="CFW Materials" u="1"/>
        <s v="Shelter Cash Grant-Single" u="1"/>
        <s v="Shelter Cash Grant-Connected" u="1"/>
        <s v="Winter Cash Grant" u="1"/>
        <s v="Solar System Street lighting" u="1"/>
        <s v="CFWs Works" u="1"/>
        <s v="Road sign installation PCS" u="1"/>
        <s v="Drainage tunnels installation M2" u="1"/>
        <s v="Roadsides support M2" u="1"/>
        <s v="Painting M.L" u="1"/>
        <s v="Closed tunnels installation M.L" u="1"/>
        <s v="Interlock Pavement M2" u="1"/>
      </sharedItems>
    </cacheField>
    <cacheField name="ID_Contractor" numFmtId="0">
      <sharedItems containsSemiMixedTypes="0" containsString="0" containsNumber="1" containsInteger="1" minValue="1" maxValue="14"/>
    </cacheField>
    <cacheField name="BOQ ID" numFmtId="0">
      <sharedItems/>
    </cacheField>
    <cacheField name="Contractor" numFmtId="0">
      <sharedItems/>
    </cacheField>
    <cacheField name="ItemEN" numFmtId="0">
      <sharedItems/>
    </cacheField>
    <cacheField name="Item_AR" numFmtId="0">
      <sharedItems/>
    </cacheField>
    <cacheField name="ItemEN1" numFmtId="0">
      <sharedItems/>
    </cacheField>
    <cacheField name="Item_AR1" numFmtId="0">
      <sharedItems/>
    </cacheField>
    <cacheField name="Unit" numFmtId="0">
      <sharedItems/>
    </cacheField>
    <cacheField name="Quantities" numFmtId="2">
      <sharedItems containsSemiMixedTypes="0" containsString="0" containsNumber="1" containsInteger="1" minValue="1" maxValue="20"/>
    </cacheField>
    <cacheField name="Cost" numFmtId="166">
      <sharedItems containsSemiMixedTypes="0" containsString="0" containsNumber="1" minValue="1.7" maxValue="430"/>
    </cacheField>
    <cacheField name="Total" numFmtId="168">
      <sharedItems containsSemiMixedTypes="0" containsString="0" containsNumber="1" containsInteger="1" minValue="5" maxValue="11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D1.01.01-C1-1"/>
    <x v="0"/>
    <n v="1"/>
    <s v="D1.01.01"/>
    <s v="C1"/>
    <s v="Site Preparation"/>
    <s v="تحضير الموقع"/>
    <s v="Site Preparation"/>
    <s v="تحضير الموقع"/>
    <s v="Lump Sum"/>
    <n v="1"/>
    <n v="60"/>
    <n v="60"/>
  </r>
  <r>
    <s v="D1.01.02-C1-2"/>
    <x v="0"/>
    <n v="2"/>
    <s v="D1.01.02"/>
    <s v="C1"/>
    <s v="Demolition and removal of unsafe/damaged structures"/>
    <s v="إزالة وهدم المنشآت غير الآمنة أو المتضررة"/>
    <s v="Demolition Removal"/>
    <s v="إزالة الهدم"/>
    <s v="m²"/>
    <n v="20"/>
    <n v="7"/>
    <n v="140"/>
  </r>
  <r>
    <s v="D1.01.03-C1-3"/>
    <x v="0"/>
    <n v="3"/>
    <s v="D1.01.03"/>
    <s v="C1"/>
    <s v="Concrete works "/>
    <s v="أعمال الخرسانة"/>
    <s v="Concrete Works"/>
    <s v="أعمال الخرسانة"/>
    <s v="m³"/>
    <n v="1"/>
    <n v="148"/>
    <n v="148"/>
  </r>
  <r>
    <s v="D1.01.04-C1-4"/>
    <x v="0"/>
    <n v="4"/>
    <s v="D1.01.04"/>
    <s v="C1"/>
    <s v="Closure of external openings (walls, windows)"/>
    <s v="إغلاق الفتحات الخارجية (الجدران، النوافذ)"/>
    <s v="Openings Closure"/>
    <s v="إغلاق الفتحات"/>
    <s v="m²"/>
    <n v="15"/>
    <n v="5"/>
    <n v="75"/>
  </r>
  <r>
    <s v="D1.01.05-C1-5"/>
    <x v="0"/>
    <n v="5"/>
    <s v="D1.01.05"/>
    <s v="C1"/>
    <s v="Plastering and painting (case basis)"/>
    <s v="أعمال اللياسة والدهان (حسب الحالة)"/>
    <s v="Plaster Paint"/>
    <s v="اللياسة والدهان"/>
    <s v="m²"/>
    <n v="10"/>
    <n v="5"/>
    <n v="50"/>
  </r>
  <r>
    <s v="D1.01.06-C1-6"/>
    <x v="0"/>
    <n v="6"/>
    <s v="D1.01.06"/>
    <s v="C1"/>
    <s v="Floor repairs (concrete/screed/tiles)"/>
    <s v="إصلاح الأرضيات (خرسانة / مونة / بلاط)"/>
    <s v="Floor Repairs"/>
    <s v="إصلاح الأرضيات"/>
    <s v="m²"/>
    <n v="15"/>
    <n v="75"/>
    <n v="1125"/>
  </r>
  <r>
    <s v="D1.01.07-C1-7"/>
    <x v="0"/>
    <n v="7"/>
    <s v="D1.01.07"/>
    <s v="C1"/>
    <s v="Door’s replacement/repair"/>
    <s v="استبدال أو إصلاح الأبواب"/>
    <s v="Doors Repair"/>
    <s v="إصلاح الأبواب"/>
    <s v="Unit"/>
    <n v="3"/>
    <n v="42"/>
    <n v="126"/>
  </r>
  <r>
    <s v="D1.01.08-C1-8"/>
    <x v="0"/>
    <n v="8"/>
    <s v="D1.01.08"/>
    <s v="C1"/>
    <s v="Windows replacement/repair"/>
    <s v="استبدال أو إصلاح النوافذ"/>
    <s v="Windows Repair"/>
    <s v="إصلاح النوافذ"/>
    <s v="Unit"/>
    <n v="4"/>
    <n v="42"/>
    <n v="168"/>
  </r>
  <r>
    <s v="D1.01.09-C1-9"/>
    <x v="0"/>
    <n v="9"/>
    <s v="D1.01.09"/>
    <s v="C1"/>
    <s v="Toilet and bathroom rehabilitation"/>
    <s v="تأهيل الحمام ودورة المياه"/>
    <s v="Bathroom Rehab"/>
    <s v="تأهيل الحمام"/>
    <s v="Lump Sum"/>
    <n v="1"/>
    <n v="430"/>
    <n v="430"/>
  </r>
  <r>
    <s v="D1.01.10-C1-10"/>
    <x v="0"/>
    <n v="10"/>
    <s v="D1.01.10"/>
    <s v="C1"/>
    <s v="Ceramic tile works in WASH areas"/>
    <s v="أعمال البلاط في مناطق المياه والصرف الصحي (WASH)"/>
    <s v="WASH Tiles"/>
    <s v="بلاط WASH"/>
    <s v="m²"/>
    <n v="5"/>
    <n v="18"/>
    <n v="90"/>
  </r>
  <r>
    <s v="D1.01.11-C1-11"/>
    <x v="0"/>
    <n v="11"/>
    <s v="D1.01.11"/>
    <s v="C1"/>
    <s v="Electrical system repairs and lighting"/>
    <s v="إصلاح النظام الكهربائي والإنارة"/>
    <s v="Electrical Repair"/>
    <s v="إصلاح الكهرباء"/>
    <s v="Lump Sum"/>
    <n v="1"/>
    <n v="160"/>
    <n v="160"/>
  </r>
  <r>
    <s v="D1.01.12-C1-12"/>
    <x v="0"/>
    <n v="12"/>
    <s v="D1.01.12"/>
    <s v="C1"/>
    <s v="Roof insulation and leak sealing"/>
    <s v="عزل السقف وإصلاح تسرب المياه"/>
    <s v="Roof Sealing"/>
    <s v="عزل السطح"/>
    <s v="m²"/>
    <n v="10"/>
    <n v="1.7"/>
    <n v="17"/>
  </r>
  <r>
    <s v="D1.01.13-C1-13"/>
    <x v="0"/>
    <n v="13"/>
    <s v="D1.01.13"/>
    <s v="C1"/>
    <s v="Chimney duct cleaning and repair"/>
    <s v="تنظيف وإصلاح مداخن التهوية"/>
    <s v="Chimney Repair"/>
    <s v="إصلاح المدخنة"/>
    <s v="Unit"/>
    <n v="1"/>
    <n v="5"/>
    <n v="5"/>
  </r>
  <r>
    <s v="D1.01.14-C1-14"/>
    <x v="0"/>
    <n v="14"/>
    <s v="D1.01.14"/>
    <s v="C1"/>
    <s v="Accessibility adaptations (ramps, handrails)"/>
    <s v="تجهيزات تسهيل الوصول (منحدرات، درابزين)"/>
    <s v="Access Adaptations"/>
    <s v="تسهيلات الوصول"/>
    <s v="Lump Sum"/>
    <n v="1"/>
    <n v="29"/>
    <n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C22FB-2F1D-4146-BA6A-D1A1C529D3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S4" firstHeaderRow="1" firstDataRow="1" firstDataCol="1"/>
  <pivotFields count="13">
    <pivotField showAll="0"/>
    <pivotField axis="axisRow" showAll="0">
      <items count="19">
        <item m="1" x="3"/>
        <item m="1" x="6"/>
        <item m="1" x="5"/>
        <item m="1" x="16"/>
        <item m="1" x="13"/>
        <item m="1" x="4"/>
        <item m="1" x="17"/>
        <item m="1" x="15"/>
        <item m="1" x="12"/>
        <item m="1" x="2"/>
        <item m="1" x="14"/>
        <item m="1" x="8"/>
        <item m="1" x="7"/>
        <item m="1" x="1"/>
        <item m="1" x="10"/>
        <item m="1" x="9"/>
        <item m="1" x="11"/>
        <item x="0"/>
        <item t="default"/>
      </items>
    </pivotField>
    <pivotField showAll="0"/>
    <pivotField showAll="0"/>
    <pivotField showAll="0"/>
    <pivotField showAll="0"/>
    <pivotField showAll="0"/>
    <pivotField showAll="0"/>
    <pivotField showAll="0"/>
    <pivotField showAll="0"/>
    <pivotField numFmtId="2" showAll="0"/>
    <pivotField numFmtId="166" showAll="0"/>
    <pivotField dataField="1" numFmtId="168" showAll="0"/>
  </pivotFields>
  <rowFields count="1">
    <field x="1"/>
  </rowFields>
  <rowItems count="2">
    <i>
      <x v="17"/>
    </i>
    <i t="grand">
      <x/>
    </i>
  </rowItems>
  <colItems count="1">
    <i/>
  </colItems>
  <dataFields count="1">
    <dataField name="Sum of Total" fld="12" baseField="0" baseItem="0"/>
  </dataFields>
  <formats count="17">
    <format dxfId="479">
      <pivotArea field="1" type="button" dataOnly="0" labelOnly="1" outline="0" axis="axisRow" fieldPosition="0"/>
    </format>
    <format dxfId="478">
      <pivotArea dataOnly="0" labelOnly="1" outline="0" axis="axisValues" fieldPosition="0"/>
    </format>
    <format dxfId="477">
      <pivotArea dataOnly="0" labelOnly="1" fieldPosition="0">
        <references count="1">
          <reference field="1" count="0"/>
        </references>
      </pivotArea>
    </format>
    <format dxfId="476">
      <pivotArea outline="0" collapsedLevelsAreSubtotals="1" fieldPosition="0"/>
    </format>
    <format dxfId="475">
      <pivotArea dataOnly="0" labelOnly="1" fieldPosition="0">
        <references count="1">
          <reference field="1" count="0"/>
        </references>
      </pivotArea>
    </format>
    <format dxfId="474">
      <pivotArea dataOnly="0" labelOnly="1" grandRow="1" outline="0" fieldPosition="0"/>
    </format>
    <format dxfId="473">
      <pivotArea dataOnly="0" labelOnly="1" grandRow="1" outline="0" fieldPosition="0"/>
    </format>
    <format dxfId="472">
      <pivotArea outline="0" fieldPosition="0">
        <references count="1">
          <reference field="4294967294" count="1">
            <x v="0"/>
          </reference>
        </references>
      </pivotArea>
    </format>
    <format dxfId="471">
      <pivotArea outline="0" collapsedLevelsAreSubtotals="1" fieldPosition="0"/>
    </format>
    <format dxfId="470">
      <pivotArea dataOnly="0" labelOnly="1" fieldPosition="0">
        <references count="1">
          <reference field="1" count="0"/>
        </references>
      </pivotArea>
    </format>
    <format dxfId="469">
      <pivotArea dataOnly="0" labelOnly="1" grandRow="1" outline="0" fieldPosition="0"/>
    </format>
    <format dxfId="468">
      <pivotArea outline="0" collapsedLevelsAreSubtotals="1" fieldPosition="0"/>
    </format>
    <format dxfId="467">
      <pivotArea dataOnly="0" labelOnly="1" fieldPosition="0">
        <references count="1">
          <reference field="1" count="0"/>
        </references>
      </pivotArea>
    </format>
    <format dxfId="466">
      <pivotArea dataOnly="0" labelOnly="1" grandRow="1" outline="0" fieldPosition="0"/>
    </format>
    <format dxfId="465">
      <pivotArea grandRow="1" outline="0" collapsedLevelsAreSubtotals="1" fieldPosition="0"/>
    </format>
    <format dxfId="464">
      <pivotArea collapsedLevelsAreSubtotals="1" fieldPosition="0">
        <references count="1">
          <reference field="1" count="0"/>
        </references>
      </pivotArea>
    </format>
    <format dxfId="463">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 xr16:uid="{A4F83EBA-CA1F-4942-86DB-F5B2A3182B64}" autoFormatId="16" applyNumberFormats="0" applyBorderFormats="0" applyFontFormats="0" applyPatternFormats="0" applyAlignmentFormats="0" applyWidthHeightFormats="0">
  <queryTableRefresh nextId="121">
    <queryTableFields count="120">
      <queryTableField id="1" name="_index" tableColumnId="1"/>
      <queryTableField id="2" name="تاريخ الارسال" tableColumnId="2"/>
      <queryTableField id="3" name="الاسم الأول" tableColumnId="3"/>
      <queryTableField id="4" name="اسم الأب" tableColumnId="4"/>
      <queryTableField id="5" name="الكنية" tableColumnId="5"/>
      <queryTableField id="6" name="اسم الأم كما هو مذكور في الهوية" tableColumnId="6"/>
      <queryTableField id="7" name="الجنس" tableColumnId="7"/>
      <queryTableField id="8" name="تاريخ الميلاد كما هو مذكور في الهوية" tableColumnId="8"/>
      <queryTableField id="9" name="الحالة الاجتماعية" tableColumnId="9"/>
      <queryTableField id="10" name="الاسم الثلاثي للزوج أو الزوجة (إن وجد)" tableColumnId="10"/>
      <queryTableField id="11" name="نوع الوثيقة الشخصية" tableColumnId="11"/>
      <queryTableField id="12" name="يرجى تحديد نوع الوثيقة في حال اختيار “أخرى”" tableColumnId="12"/>
      <queryTableField id="13" name="رقم الوثيقة الشخصية (الرقم الوطني)" tableColumnId="13"/>
      <queryTableField id="14" name="صورة الوثيقة الشخصية (الوجه الأول)" tableColumnId="14"/>
      <queryTableField id="15" name="صورة الوثيقة الشخصية (الوجه الأول)_URL" tableColumnId="15"/>
      <queryTableField id="16" name="صورة الوثيقة الشخصية (الوجه الثاني)" tableColumnId="16"/>
      <queryTableField id="17" name="صورة الوثيقة الشخصية (الوجه الثاني)_URL" tableColumnId="17"/>
      <queryTableField id="18" name="المحافظة" tableColumnId="18"/>
      <queryTableField id="19" name="المنطقة" tableColumnId="19"/>
      <queryTableField id="20" name="الناحية" tableColumnId="20"/>
      <queryTableField id="21" name="العنوان التفصيلي لمكان السكن الحالي" tableColumnId="21"/>
      <queryTableField id="22" name="رقم الهاتف الرئيسي (واتساب إن أمكن)" tableColumnId="22"/>
      <queryTableField id="23" name="رقم هاتف بديل (إضافي)" tableColumnId="23"/>
      <queryTableField id="24" name="هل مالك المنزل من الأشخاص ذوي الإعاقة؟" tableColumnId="24"/>
      <queryTableField id="25" name="يرجى تحديد نوع الإعاقة (في حال الإجابة بنعم)" tableColumnId="25"/>
      <queryTableField id="26" name="يرجى تحديد نوع الإعاقة (في حال الإجابة بنعم)/باستخدام اللغة المعتادة ، هل تجد صعوبة في التواصل ، على سبيل المثال الفهم على الناس أو أن يفهمك الناس؟" tableColumnId="26"/>
      <queryTableField id="27" name="يرجى تحديد نوع الإعاقة (في حال الإجابة بنعم)/هل تجد صعوبة في الرؤية حتى لو كنت ترتدي نظارة؟" tableColumnId="27"/>
      <queryTableField id="28" name="يرجى تحديد نوع الإعاقة (في حال الإجابة بنعم)/هل لديك صعوبة في السمع ، حتى لو كنت تستخدم المعينات السمعية؟" tableColumnId="28"/>
      <queryTableField id="29" name="يرجى تحديد نوع الإعاقة (في حال الإجابة بنعم)/هل تجد صعوبة في المشي أو صعود السلم؟" tableColumnId="29"/>
      <queryTableField id="30" name="يرجى تحديد نوع الإعاقة (في حال الإجابة بنعم)/هل تجد صعوبة في التذكر أو التركيز؟" tableColumnId="30"/>
      <queryTableField id="31" name="يرجى تحديد نوع الإعاقة (في حال الإجابة بنعم)/هل لديك صعوبة في الرعاية الذاتية ، مثل غسل الملابس أو ارتداء الملابس؟" tableColumnId="31"/>
      <queryTableField id="32" name="درجة الصعوبة في التواصل مع الآخرين" tableColumnId="32"/>
      <queryTableField id="33" name="درجة الصعوبة في الرؤية" tableColumnId="33"/>
      <queryTableField id="34" name="درجة الصعوبة في السمع" tableColumnId="34"/>
      <queryTableField id="35" name="درجة الصعوبة في الحركة" tableColumnId="35"/>
      <queryTableField id="36" name="درجة الصعوبة في التركيز أو التذكر" tableColumnId="36"/>
      <queryTableField id="37" name="درجة الصعوبة في الرعاية الذاتية" tableColumnId="37"/>
      <queryTableField id="38" name="هل تعاني من أمراض مزمنة؟" tableColumnId="38"/>
      <queryTableField id="39" name="يرجى تحديد نوع أو أنواع الأمراض المزمنة" tableColumnId="39"/>
      <queryTableField id="40" name="يرجى تحديد نوع أو أنواع الأمراض المزمنة/سكري" tableColumnId="40"/>
      <queryTableField id="41" name="يرجى تحديد نوع أو أنواع الأمراض المزمنة/قلب" tableColumnId="41"/>
      <queryTableField id="42" name="يرجى تحديد نوع أو أنواع الأمراض المزمنة/صرع" tableColumnId="42"/>
      <queryTableField id="43" name="يرجى تحديد نوع أو أنواع الأمراض المزمنة/روماتيزم" tableColumnId="43"/>
      <queryTableField id="44" name="يرجى تحديد نوع أو أنواع الأمراض المزمنة/اخرى" tableColumnId="44"/>
      <queryTableField id="45" name="ملاحظات إضافية تتعلق بالحالة الصحية (إن وجدت)" tableColumnId="45"/>
      <queryTableField id="46" name="نوع معيل الأسرة" tableColumnId="46"/>
      <queryTableField id="47" name="عدد العائلات المقيمة في نفس المنزل" tableColumnId="47"/>
      <queryTableField id="48" name="عدد أفراد الأسرة (بما فيهم مالك المنزل)" tableColumnId="48"/>
      <queryTableField id="49" name="&lt;span style=&quot;background-color:#CD6155; color:white&quot;&gt; تفاصيل أفراد الاسرة &lt;/span&gt;" tableColumnId="49"/>
      <queryTableField id="50" name="عدد الرجال (العمر أكبر من 18 سنة)" tableColumnId="50"/>
      <queryTableField id="51" name="عدد النساء (العمر أكبر من 18 سنة)" tableColumnId="51"/>
      <queryTableField id="52" name="عدد الشباب الذكور (من 12 إلى 17 سنة)" tableColumnId="52"/>
      <queryTableField id="53" name="عدد الفتيات الإناث (من 12 إلى 17 سنة)" tableColumnId="53"/>
      <queryTableField id="54" name="عدد الأطفال الذكور (دون سن 12 سنة)" tableColumnId="54"/>
      <queryTableField id="55" name="عدد الأطفال الإناث (دون سن 12 سنة)" tableColumnId="55"/>
      <queryTableField id="56" name="عدد أفراد الأسرة من كبار السن (60 سنة فأكثر)" tableColumnId="56"/>
      <queryTableField id="57" name="عدد النساء المرضعات" tableColumnId="57"/>
      <queryTableField id="58" name="عدد النساء الحوامل" tableColumnId="58"/>
      <queryTableField id="59" name="عدد النساء المطلقات" tableColumnId="59"/>
      <queryTableField id="60" name="عدد النساء الأرامل" tableColumnId="60"/>
      <queryTableField id="61" name="عدد الأطفال المنفصلين عن ذويهم" tableColumnId="61"/>
      <queryTableField id="62" name="عدد أفراد الأسرة من ذوي الإعاقة" tableColumnId="62"/>
      <queryTableField id="63" name="ما هو مصدر الدخل الرئيسي للأسرة؟" tableColumnId="63"/>
      <queryTableField id="64" name="عدد الأفراد العاملين في الأسرة" tableColumnId="64"/>
      <queryTableField id="65" name="ما هي حالة إقامتك في المنطقة؟" tableColumnId="65"/>
      <queryTableField id="66" name="القرية" tableColumnId="66"/>
      <queryTableField id="67" name="عنوان المنزل الكامل" tableColumnId="67"/>
      <queryTableField id="68" name="_إحداثيات الموقع الجغرافي للمنزل (GPS)_latitude" tableColumnId="68"/>
      <queryTableField id="69" name="_إحداثيات الموقع الجغرافي للمنزل (GPS)_longitude" tableColumnId="69"/>
      <queryTableField id="70" name="حالة الاقامة في المنزل" tableColumnId="70"/>
      <queryTableField id="71" name="هل لديك وثيقة اثبات ملكية حديث؟" tableColumnId="71"/>
      <queryTableField id="72" name="نوع وثيقة الملكية" tableColumnId="72"/>
      <queryTableField id="73" name="تاريخ إصدار وثيقة الملكية" tableColumnId="73"/>
      <queryTableField id="74" name="صورة وثيقة الملكية" tableColumnId="74"/>
      <queryTableField id="75" name="صورة وثيقة الملكية_URL" tableColumnId="75"/>
      <queryTableField id="76" name="نوع المنزل" tableColumnId="76"/>
      <queryTableField id="77" name="عدد الغرف (بما فيها الصالون)" tableColumnId="77"/>
      <queryTableField id="78" name="رقم الطابق الذي يقع فيه المنزل" tableColumnId="78"/>
      <queryTableField id="79" name="مساحة المنزل بالمتر المربع" tableColumnId="79"/>
      <queryTableField id="80" name="هل يملك المنزل أو الشقة جدرانًا خارجية سليمة ولا يحتاج إلى أعمال بناء (بلوك) خارجية؟" tableColumnId="80"/>
      <queryTableField id="81" name="هل يملك المنزل أو الشقة جدرانًا داخلية مكتملة ولا يحتاج إلى أعمال بناء (بلوك) داخلية؟" tableColumnId="81"/>
      <queryTableField id="82" name="هل يملك المنزل أو الشقة سقفًا وسلالم (أدراج) سليمة؟" tableColumnId="82"/>
      <queryTableField id="83" name="هل توجد أية أضرار إنشائية في المنزل أو الشقة؟" tableColumnId="83"/>
      <queryTableField id="84" name="هل المرافق (المياه والصرف) عاملة أم مجرد بناء؟" tableColumnId="84"/>
      <queryTableField id="85" name="هل المنزل موصول بنظام صرف صحي أو حفرة فنية؟" tableColumnId="85"/>
      <queryTableField id="86" name="هل مستوى المنزل أخفض من مستوى الأرض (قبو)؟" tableColumnId="86"/>
      <queryTableField id="87" name="هل المنزل عبارة عن ملحق؟" tableColumnId="87"/>
      <queryTableField id="88" name="وصف حالة الضرر من وجهة نظرك كمالك للمنزل" tableColumnId="88"/>
      <queryTableField id="89" name="صورة الواجهة الأمامية للمنزل" tableColumnId="89"/>
      <queryTableField id="90" name="صورة الواجهة الأمامية للمنزل_URL" tableColumnId="90"/>
      <queryTableField id="91" name="صورة للمنزل من الداخل" tableColumnId="91"/>
      <queryTableField id="92" name="صورة للمنزل من الداخل_URL" tableColumnId="92"/>
      <queryTableField id="93" name="صورة توضح حالة الجدران" tableColumnId="93"/>
      <queryTableField id="94" name="صورة توضح حالة الجدران_URL" tableColumnId="94"/>
      <queryTableField id="95" name="صورة توضح حالة الأعمدة" tableColumnId="95"/>
      <queryTableField id="96" name="صورة توضح حالة الأعمدة_URL" tableColumnId="96"/>
      <queryTableField id="97" name="صورة توضح حالة السقف" tableColumnId="97"/>
      <queryTableField id="98" name="صورة توضح حالة السقف_URL" tableColumnId="98"/>
      <queryTableField id="99" name="صورة توضح حالة المرافق (المطبخ)" tableColumnId="99"/>
      <queryTableField id="100" name="صورة توضح حالة المرافق (المطبخ)_URL" tableColumnId="100"/>
      <queryTableField id="101" name="صورة توضح حالة المرافق (الحمام)" tableColumnId="101"/>
      <queryTableField id="102" name="صورة توضح حالة المرافق (الحمام)_URL" tableColumnId="102"/>
      <queryTableField id="103" name="صورة توضح حالة المرافق (التواليت)" tableColumnId="103"/>
      <queryTableField id="104" name="صورة توضح حالة المرافق (التواليت)_URL" tableColumnId="104"/>
      <queryTableField id="105" name="هل يتوفر وصول آمن إلى المنزل؟" tableColumnId="105"/>
      <queryTableField id="106" name="في حال عدم توفر الوصول الآمن، يرجى توضيح الأسباب" tableColumnId="106"/>
      <queryTableField id="107" name="في حال عدم توفر الوصول الآمن، يرجى توضيح الأسباب/مخلفات حرب (ألغام، ذخائر غير منفجرة)" tableColumnId="107"/>
      <queryTableField id="108" name="في حال عدم توفر الوصول الآمن، يرجى توضيح الأسباب/نزاع ملكية أو خلاف قانوني" tableColumnId="108"/>
      <queryTableField id="109" name="في حال عدم توفر الوصول الآمن، يرجى توضيح الأسباب/طريق مسدود بالأنقاض أو الركام" tableColumnId="109"/>
      <queryTableField id="110" name="في حال عدم توفر الوصول الآمن، يرجى توضيح الأسباب/انهيار مبانٍ مجاورة تعيق الوصول" tableColumnId="110"/>
      <queryTableField id="111" name="في حال عدم توفر الوصول الآمن، يرجى توضيح الأسباب/مبانٍ غير مستقرة أو مهددة بالانهيار في الطريق" tableColumnId="111"/>
      <queryTableField id="112" name="في حال عدم توفر الوصول الآمن، يرجى توضيح الأسباب/منطقة عسكرية أو مغلقة" tableColumnId="112"/>
      <queryTableField id="113" name="في حال عدم توفر الوصول الآمن، يرجى توضيح الأسباب/عائق طبيعي (سيول، مجرى مائي، انهيار أرضي)" tableColumnId="113"/>
      <queryTableField id="114" name="في حال عدم توفر الوصول الآمن، يرجى توضيح الأسباب/سوء حالة الطرق أو انعدام الجسور" tableColumnId="114"/>
      <queryTableField id="115" name="في حال عدم توفر الوصول الآمن، يرجى توضيح الأسباب/مخاطر أمنية أو نشاط مسلح قريب" tableColumnId="115"/>
      <queryTableField id="116" name="في حال عدم توفر الوصول الآمن، يرجى توضيح الأسباب/غير ذلك يرجى تحديده" tableColumnId="116"/>
      <queryTableField id="117" name="يرجى تحديد سبب آخر إن وجد" tableColumnId="117"/>
      <queryTableField id="118" name="هل لدى مالك المنزل طلبات استفادة أخرى ضمن مشاريع مشابهة؟" tableColumnId="118"/>
      <queryTableField id="119" name="ملاحظات إضافية أو تعليقات عامة (اختياري)" tableColumnId="119"/>
      <queryTableField id="120" name="Contractor" tableColumnId="1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adjustColumnWidth="0" connectionId="8" xr16:uid="{273FA1F2-6A69-4510-AECB-C5158F1B5192}" autoFormatId="16" applyNumberFormats="0" applyBorderFormats="0" applyFontFormats="0" applyPatternFormats="0" applyAlignmentFormats="0" applyWidthHeightFormats="0">
  <queryTableRefresh nextId="25">
    <queryTableFields count="12">
      <queryTableField id="1" name="_index" tableColumnId="1"/>
      <queryTableField id="2" name="_parent_index" tableColumnId="2"/>
      <queryTableField id="8" name="كود البند الفرعي" tableColumnId="8"/>
      <queryTableField id="3" name="البند الرئيسي" tableColumnId="3"/>
      <queryTableField id="19" name="البند الرئيسي EN" tableColumnId="9"/>
      <queryTableField id="4" name="البند الفرعي" tableColumnId="4"/>
      <queryTableField id="20" name="البند الفرعي EN" tableColumnId="10"/>
      <queryTableField id="6" name="صورة توضيحية للبند" tableColumnId="6"/>
      <queryTableField id="7" name="صورة توضيحية للبند_URL" tableColumnId="7"/>
      <queryTableField id="5" name="الكمية" tableColumnId="5"/>
      <queryTableField id="15" name="السعر الافرادي" tableColumnId="14"/>
      <queryTableField id="16" name="الإجمالي"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7" xr16:uid="{A85D0038-77DC-4354-BE68-077AA62016E5}" autoFormatId="16" applyNumberFormats="0" applyBorderFormats="0" applyFontFormats="0" applyPatternFormats="0" applyAlignmentFormats="0" applyWidthHeightFormats="0">
  <queryTableRefresh nextId="5">
    <queryTableFields count="4">
      <queryTableField id="1" name="_index" tableColumnId="1"/>
      <queryTableField id="2" name="_parent_index" tableColumnId="2"/>
      <queryTableField id="3" name="البند الرئيسي" tableColumnId="3"/>
      <queryTableField id="4" name="Contractor"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2F8F64EE-7AF7-4A9A-ACD7-6728B14D9294}" sourceName="type">
  <extLst>
    <x:ext xmlns:x15="http://schemas.microsoft.com/office/spreadsheetml/2010/11/main" uri="{2F2917AC-EB37-4324-AD4E-5DD8C200BD13}">
      <x15:tableSlicerCache tableId="9"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or" xr10:uid="{0F834C7E-5C89-4129-B9EE-BB2E6AFC8275}" sourceName="Contractor">
  <extLst>
    <x:ext xmlns:x15="http://schemas.microsoft.com/office/spreadsheetml/2010/11/main" uri="{2F2917AC-EB37-4324-AD4E-5DD8C200BD13}">
      <x15:tableSlicerCache tableId="9"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E8220E6-1275-4610-9EBE-20C877E2B7F1}" cache="Slicer_type" caption="type" style="SlicerStyleLight2" rowHeight="234950"/>
  <slicer name="Contractor" xr10:uid="{3204A4E6-5FA0-49E7-A1D7-907B86586492}" cache="Slicer_Contractor" caption="Contractor" style="SlicerStyleDark6" rowHeight="234950"/>
</slicers>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482E98-E8E1-45C8-95CE-21175EB7F1F2}" name="tbl_BOQs" displayName="tbl_BOQs" ref="A2:M88" totalsRowShown="0" headerRowDxfId="462" dataDxfId="461">
  <autoFilter ref="A2:M88" xr:uid="{EB482E98-E8E1-45C8-95CE-21175EB7F1F2}"/>
  <tableColumns count="13">
    <tableColumn id="1" xr3:uid="{7616037D-DEE3-48BD-88A6-8F2364F630AF}" name="Unique" dataDxfId="460">
      <calculatedColumnFormula>tbl_BOQs[[#This Row],[BOQ ID]]&amp;"-"&amp;tbl_BOQs[[#This Row],[Contractor]]</calculatedColumnFormula>
    </tableColumn>
    <tableColumn id="2" xr3:uid="{4E0267B1-81FD-4528-BD10-A6D48886CD74}" name="type" dataDxfId="459"/>
    <tableColumn id="3" xr3:uid="{032AA555-CD56-489A-8393-E74EEF2ABDFC}" name="ID_Contractor" dataDxfId="458"/>
    <tableColumn id="4" xr3:uid="{56E44040-8E0A-411E-BFFF-0F8B0892335C}" name="BOQ ID" dataDxfId="457"/>
    <tableColumn id="5" xr3:uid="{119859C7-1AAA-423D-B4DC-6B37E8C77C17}" name="Contractor" dataDxfId="456"/>
    <tableColumn id="6" xr3:uid="{E9743CA0-CE7B-445B-9D08-BD1C3BFC9FE8}" name="ItemEN" dataDxfId="455" dataCellStyle="Normal 7"/>
    <tableColumn id="7" xr3:uid="{D3C03696-20DB-4B27-9E2F-B31A6BBF9778}" name="Item_AR" dataDxfId="454" dataCellStyle="Normal 7"/>
    <tableColumn id="8" xr3:uid="{051978BA-0B4A-4163-A635-928BEB5EEDEF}" name="ItemEN1" dataDxfId="453"/>
    <tableColumn id="9" xr3:uid="{B5E830DE-996A-4814-A2C4-814C67CD4585}" name="Item_AR1" dataDxfId="452"/>
    <tableColumn id="10" xr3:uid="{40B36B6C-CC69-4737-B2CC-4BD9C90D1E34}" name="Unit" dataDxfId="451"/>
    <tableColumn id="11" xr3:uid="{CDB3054B-3894-4975-B0CA-1BA9F413DC59}" name="Quantities" dataDxfId="450"/>
    <tableColumn id="12" xr3:uid="{BC5337F7-DFF5-40CD-94EC-9D4ECD14BD56}" name="Cost" dataDxfId="449"/>
    <tableColumn id="13" xr3:uid="{1D8FCA0C-91A4-4584-B23A-FE7FFAE9B529}" name="Total" dataDxfId="448">
      <calculatedColumnFormula>tbl_BOQs[[#This Row],[Cost]]*tbl_BOQs[[#This Row],[Quantities]]</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6D809A-0F40-4525-A5DF-27EEF1EACCD2}" name="tbl_Contractors" displayName="tbl_Contractors" ref="A1:E4" totalsRowShown="0" headerRowDxfId="447" dataDxfId="445" headerRowBorderDxfId="446">
  <autoFilter ref="A1:E4" xr:uid="{8ED6BA1A-5268-46E9-B5FD-5055624085FF}"/>
  <sortState xmlns:xlrd2="http://schemas.microsoft.com/office/spreadsheetml/2017/richdata2" ref="A2:E2">
    <sortCondition ref="B1:B2"/>
  </sortState>
  <tableColumns count="5">
    <tableColumn id="1" xr3:uid="{EB86A9BB-8E4F-4BEB-BFF4-51BB3CB12840}" name="#" dataDxfId="444"/>
    <tableColumn id="2" xr3:uid="{B9B51620-D46E-40A8-924B-43F695CD4BE1}" name="Code" dataDxfId="443"/>
    <tableColumn id="22" xr3:uid="{A843B0E2-4209-4949-AD47-22B0D5379894}" name="Type" dataDxfId="442"/>
    <tableColumn id="10" xr3:uid="{145AAE12-99D6-4FF0-8C21-5AE46B0504BD}" name="Company EN" dataDxfId="441"/>
    <tableColumn id="17" xr3:uid="{892D9AC3-B29A-4E7A-8E6C-B501AAABA0EC}" name="Ceiling amount of this contract " dataDxfId="440"/>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75C101-0D0D-4557-9814-85ED17A75FB8}" name="tbl_Activities" displayName="tbl_Activities" ref="B14:B15" totalsRowShown="0" headerRowDxfId="439" dataDxfId="437" headerRowBorderDxfId="438" headerRowCellStyle="Normal 2">
  <autoFilter ref="B14:B15" xr:uid="{8B75C101-0D0D-4557-9814-85ED17A75FB8}"/>
  <tableColumns count="1">
    <tableColumn id="1" xr3:uid="{808DC280-1BDC-4685-9472-B67E43C60FFB}" name="Activity Name" dataDxfId="436"/>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3216D8-C91A-4DC1-8D33-231D356C780E}" name="tbl_DataEntry" displayName="tbl_DataEntry" ref="B3:B12" totalsRowShown="0" headerRowDxfId="435" tableBorderDxfId="434" headerRowCellStyle="Normal 2">
  <autoFilter ref="B3:B12" xr:uid="{7B3216D8-C91A-4DC1-8D33-231D356C780E}"/>
  <tableColumns count="1">
    <tableColumn id="1" xr3:uid="{1E5F0187-9B0F-489C-BEEF-96C06B7A0F15}" name="Data Entry"/>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8E73F16-5B8B-40C3-8E2B-06928E919F08}" name="tbl_Damage" displayName="tbl_Damage" ref="D3:I9" totalsRowShown="0" headerRowDxfId="433" dataDxfId="432">
  <autoFilter ref="D3:I9" xr:uid="{08E73F16-5B8B-40C3-8E2B-06928E919F08}"/>
  <tableColumns count="6">
    <tableColumn id="1" xr3:uid="{D4972CC4-EC4A-45B9-829A-42FF06C6FBC8}" name="رقم" dataDxfId="431"/>
    <tableColumn id="2" xr3:uid="{97BBD7C0-9685-4461-8111-1AD3FC592A01}" name="الحالة بالعربية" dataDxfId="430"/>
    <tableColumn id="3" xr3:uid="{C2620FD4-9C5D-4047-A9A6-F80F3B481B1B}" name="الحالة بالإنجليزية" dataDxfId="429"/>
    <tableColumn id="4" xr3:uid="{530701B1-B828-435A-B98A-C4C552DD1236}" name="الوصف المختصر" dataDxfId="428"/>
    <tableColumn id="6" xr3:uid="{4C853977-9D81-491C-BFE3-6F091DAB4F8E}" name="Damage" dataDxfId="427">
      <calculatedColumnFormula>tbl_Damage[[#This Row],[الحالة بالإنجليزية]]&amp;"/"&amp;tbl_Damage[[#This Row],[الحالة بالعربية]]</calculatedColumnFormula>
    </tableColumn>
    <tableColumn id="5" xr3:uid="{6B3F382F-B73D-4E3B-8C24-BE075CEDF158}" name="كود اللون" dataDxfId="426"/>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30BA34B-4A09-4670-BF8E-B1355F67CD56}" name="tbl_Assessment_Status" displayName="tbl_Assessment_Status" ref="D13:I16" totalsRowShown="0" headerRowDxfId="425" dataDxfId="424">
  <autoFilter ref="D13:I16" xr:uid="{630BA34B-4A09-4670-BF8E-B1355F67CD56}"/>
  <tableColumns count="6">
    <tableColumn id="5" xr3:uid="{B5A14AD8-C30C-4A0D-B8D3-C2369B3B3985}" name="رقم" dataDxfId="423"/>
    <tableColumn id="1" xr3:uid="{5F458CB7-C475-4ECF-AF94-1798D351219E}" name="الحالة بالعربية" dataDxfId="422"/>
    <tableColumn id="2" xr3:uid="{427B72CE-2D2D-4F20-96C2-92D16863FD38}" name="الحالة بالإنجليزية" dataDxfId="421"/>
    <tableColumn id="3" xr3:uid="{1525F826-61EA-43AD-AE96-6A99EEFE2F1A}" name="الوصف المختصر" dataDxfId="420"/>
    <tableColumn id="6" xr3:uid="{0AD22A2D-5091-427E-A156-9500859FEDD9}" name="Assessment_Status" dataDxfId="419">
      <calculatedColumnFormula>tbl_Assessment_Status[[#This Row],[الحالة بالإنجليزية]]&amp;"/"&amp;tbl_Assessment_Status[[#This Row],[الحالة بالعربية]]</calculatedColumnFormula>
    </tableColumn>
    <tableColumn id="4" xr3:uid="{BAEEDB65-8F55-4430-9DAB-EDCE480E87C8}" name="كود اللون" dataDxfId="418"/>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B210129-0322-431B-A2C7-1A0269F7B8B7}" name="tbl_House_Status" displayName="tbl_House_Status" ref="D19:H22" totalsRowShown="0" headerRowDxfId="417" dataDxfId="416">
  <autoFilter ref="D19:H22" xr:uid="{8B210129-0322-431B-A2C7-1A0269F7B8B7}"/>
  <tableColumns count="5">
    <tableColumn id="4" xr3:uid="{DE2083A4-DCCA-4110-9A72-D247DE36BCD1}" name="رقم" dataDxfId="415"/>
    <tableColumn id="1" xr3:uid="{0C0DE7DE-2E47-4CA2-A291-A23558FB0DC0}" name="الحالة بالعربية" dataDxfId="414"/>
    <tableColumn id="2" xr3:uid="{184EBC5C-E668-4E51-9DCC-A5A9A1A5E1A9}" name="الحالة بالإنجليزية" dataDxfId="413"/>
    <tableColumn id="5" xr3:uid="{99D69E6D-76CF-4D3B-99CF-16FB2BC9C674}" name="House Status" dataDxfId="412">
      <calculatedColumnFormula>tbl_House_Status[[#This Row],[الحالة بالإنجليزية]]&amp;"/"&amp;tbl_House_Status[[#This Row],[الحالة بالعربية]]</calculatedColumnFormula>
    </tableColumn>
    <tableColumn id="3" xr3:uid="{B74AAF5B-9E14-4C78-B1DE-EA8ED2B27B93}" name="كود اللون" dataDxfId="411"/>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B4C97F-53E0-42D7-9AEF-696945110540}" name="BOQ_MAIN" displayName="BOQ_MAIN" ref="K3:M9" totalsRowShown="0" headerRowDxfId="410" dataDxfId="409">
  <autoFilter ref="K3:M9" xr:uid="{71B4C97F-53E0-42D7-9AEF-696945110540}"/>
  <tableColumns count="3">
    <tableColumn id="1" xr3:uid="{68124A55-A835-4BC6-B25B-D44799B09C9E}" name="Code" dataDxfId="408"/>
    <tableColumn id="2" xr3:uid="{E9857CAB-08DE-41F3-8AD0-E70C64D656E1}" name="item_ar" dataDxfId="407"/>
    <tableColumn id="3" xr3:uid="{2443BCC2-1D37-4DCE-9ACE-1C02C9ACDFD2}" name="item_en" dataDxfId="406"/>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2B9A99-14B0-41BC-B2A9-B8D79FA9F2FD}" name="_181_UNDP_Houses_Rehab_Applic" displayName="_181_UNDP_Houses_Rehab_Applic" ref="A1:DP80" tableType="queryTable" totalsRowShown="0" headerRowDxfId="405" dataDxfId="404">
  <autoFilter ref="A1:DP80" xr:uid="{252B9A99-14B0-41BC-B2A9-B8D79FA9F2FD}"/>
  <tableColumns count="120">
    <tableColumn id="1" xr3:uid="{CAE129F0-BE43-41E7-8338-FDB7E4E27171}" uniqueName="1" name="_index" queryTableFieldId="1" dataDxfId="403"/>
    <tableColumn id="2" xr3:uid="{92AB088D-2F59-45A2-8D30-ABD66D5DE24C}" uniqueName="2" name="تاريخ الارسال" queryTableFieldId="2" dataDxfId="402"/>
    <tableColumn id="3" xr3:uid="{266A72FC-7235-4300-BC8E-A12E0724C855}" uniqueName="3" name="الاسم الأول" queryTableFieldId="3" dataDxfId="401"/>
    <tableColumn id="4" xr3:uid="{062D9DFD-322D-42D6-91D5-F08755B31B13}" uniqueName="4" name="اسم الأب" queryTableFieldId="4" dataDxfId="400"/>
    <tableColumn id="5" xr3:uid="{B86963B7-FE8E-4DFA-ADE4-B51451F9CCD2}" uniqueName="5" name="الكنية" queryTableFieldId="5" dataDxfId="399"/>
    <tableColumn id="6" xr3:uid="{6754E719-3E83-4DDD-800E-56785DC2916A}" uniqueName="6" name="اسم الأم كما هو مذكور في الهوية" queryTableFieldId="6" dataDxfId="398"/>
    <tableColumn id="7" xr3:uid="{F47BD1F0-3B70-490A-AC3B-98E139D81C58}" uniqueName="7" name="الجنس" queryTableFieldId="7" dataDxfId="397"/>
    <tableColumn id="8" xr3:uid="{37D54235-3A62-430D-B15F-CC4CA37A1D5C}" uniqueName="8" name="تاريخ الميلاد كما هو مذكور في الهوية" queryTableFieldId="8" dataDxfId="396"/>
    <tableColumn id="9" xr3:uid="{47CECC44-159D-4C14-ADFA-3C38EB2974DF}" uniqueName="9" name="الحالة الاجتماعية" queryTableFieldId="9" dataDxfId="395"/>
    <tableColumn id="10" xr3:uid="{78325396-217C-4FB1-B0B6-EDA925C267C4}" uniqueName="10" name="الاسم الثلاثي للزوج أو الزوجة (إن وجد)" queryTableFieldId="10" dataDxfId="394"/>
    <tableColumn id="11" xr3:uid="{62684DEE-04DA-46F0-99A4-432DCCF4A0C3}" uniqueName="11" name="نوع الوثيقة الشخصية" queryTableFieldId="11" dataDxfId="393"/>
    <tableColumn id="12" xr3:uid="{73AC7D9C-DBAB-46EA-90AC-BFA72452E145}" uniqueName="12" name="يرجى تحديد نوع الوثيقة في حال اختيار “أخرى”" queryTableFieldId="12" dataDxfId="392"/>
    <tableColumn id="13" xr3:uid="{5758DB5A-FBFF-4EC1-880E-1F234C1E9292}" uniqueName="13" name="رقم الوثيقة الشخصية (الرقم الوطني)" queryTableFieldId="13" dataDxfId="391"/>
    <tableColumn id="14" xr3:uid="{D587CBF9-DC69-4BAE-B46B-60CBD795E48E}" uniqueName="14" name="صورة الوثيقة الشخصية (الوجه الأول)" queryTableFieldId="14" dataDxfId="390"/>
    <tableColumn id="15" xr3:uid="{B0360486-7A26-41E3-BC6B-63C46AC2C47A}" uniqueName="15" name="صورة الوثيقة الشخصية (الوجه الأول)_URL" queryTableFieldId="15" dataDxfId="389"/>
    <tableColumn id="16" xr3:uid="{60C637D0-420D-434D-B73F-3A0DC01F52D3}" uniqueName="16" name="صورة الوثيقة الشخصية (الوجه الثاني)" queryTableFieldId="16" dataDxfId="388"/>
    <tableColumn id="17" xr3:uid="{8A779F10-F3AF-4F81-A8D9-62865908861A}" uniqueName="17" name="صورة الوثيقة الشخصية (الوجه الثاني)_URL" queryTableFieldId="17" dataDxfId="387"/>
    <tableColumn id="18" xr3:uid="{218DC6F8-F5AF-43B8-AAB7-E7CE7C463017}" uniqueName="18" name="المحافظة" queryTableFieldId="18" dataDxfId="386"/>
    <tableColumn id="19" xr3:uid="{3CAF732A-8FF7-425B-9BB9-D8F336B8C9E5}" uniqueName="19" name="المنطقة" queryTableFieldId="19" dataDxfId="385"/>
    <tableColumn id="20" xr3:uid="{385FC9AD-CF72-4D92-B9ED-03183B02D138}" uniqueName="20" name="الناحية" queryTableFieldId="20" dataDxfId="384"/>
    <tableColumn id="21" xr3:uid="{4C836020-CFF5-4A55-AFF4-3404A53B2D03}" uniqueName="21" name="العنوان التفصيلي لمكان السكن الحالي" queryTableFieldId="21" dataDxfId="383"/>
    <tableColumn id="22" xr3:uid="{ACF2D9F1-7D75-4122-93A5-070497FE8151}" uniqueName="22" name="رقم الهاتف الرئيسي (واتساب إن أمكن)" queryTableFieldId="22" dataDxfId="382"/>
    <tableColumn id="23" xr3:uid="{9F4E1396-5BCE-4924-B76C-B018C8116B21}" uniqueName="23" name="رقم هاتف بديل (إضافي)" queryTableFieldId="23" dataDxfId="381"/>
    <tableColumn id="24" xr3:uid="{179C3145-06EE-4E9F-ABC9-B483A2A66360}" uniqueName="24" name="هل مالك المنزل من الأشخاص ذوي الإعاقة؟" queryTableFieldId="24" dataDxfId="380"/>
    <tableColumn id="25" xr3:uid="{3EADFE6A-130C-4AA4-B7D9-2DF797388EEB}" uniqueName="25" name="يرجى تحديد نوع الإعاقة (في حال الإجابة بنعم)" queryTableFieldId="25" dataDxfId="379"/>
    <tableColumn id="26" xr3:uid="{55D6EBC6-5AAD-4B45-B64A-70AE536C64AD}" uniqueName="26" name="يرجى تحديد نوع الإعاقة (في حال الإجابة بنعم)/باستخدام اللغة المعتادة ، هل تجد صعوبة في التواصل ، على سبيل المثال الفهم على الناس أو أن يفهمك الناس؟" queryTableFieldId="26" dataDxfId="378"/>
    <tableColumn id="27" xr3:uid="{ED6FB4ED-36C4-46CB-88CA-83878E1C52F9}" uniqueName="27" name="يرجى تحديد نوع الإعاقة (في حال الإجابة بنعم)/هل تجد صعوبة في الرؤية حتى لو كنت ترتدي نظارة؟" queryTableFieldId="27" dataDxfId="377"/>
    <tableColumn id="28" xr3:uid="{A2DBBE9E-FF1F-46EF-B9FD-316CE304FCA2}" uniqueName="28" name="يرجى تحديد نوع الإعاقة (في حال الإجابة بنعم)/هل لديك صعوبة في السمع ، حتى لو كنت تستخدم المعينات السمعية؟" queryTableFieldId="28" dataDxfId="376"/>
    <tableColumn id="29" xr3:uid="{781A4D09-15D5-4E2F-99D6-7E4DD80A9765}" uniqueName="29" name="يرجى تحديد نوع الإعاقة (في حال الإجابة بنعم)/هل تجد صعوبة في المشي أو صعود السلم؟" queryTableFieldId="29" dataDxfId="375"/>
    <tableColumn id="30" xr3:uid="{8E07A4D9-EF94-43D0-B8AD-C59D8C64F852}" uniqueName="30" name="يرجى تحديد نوع الإعاقة (في حال الإجابة بنعم)/هل تجد صعوبة في التذكر أو التركيز؟" queryTableFieldId="30" dataDxfId="374"/>
    <tableColumn id="31" xr3:uid="{9213790E-8A2D-4B88-8F6F-6E75CB086908}" uniqueName="31" name="يرجى تحديد نوع الإعاقة (في حال الإجابة بنعم)/هل لديك صعوبة في الرعاية الذاتية ، مثل غسل الملابس أو ارتداء الملابس؟" queryTableFieldId="31" dataDxfId="373"/>
    <tableColumn id="32" xr3:uid="{352909D4-22E8-4577-A0A1-BB74EC32EE44}" uniqueName="32" name="درجة الصعوبة في التواصل مع الآخرين" queryTableFieldId="32" dataDxfId="372"/>
    <tableColumn id="33" xr3:uid="{51413F79-FFEC-4477-A9CD-ED73870AA706}" uniqueName="33" name="درجة الصعوبة في الرؤية" queryTableFieldId="33" dataDxfId="371"/>
    <tableColumn id="34" xr3:uid="{D84ADBBD-BF5C-48FB-AAE4-85EDE017B65C}" uniqueName="34" name="درجة الصعوبة في السمع" queryTableFieldId="34" dataDxfId="370"/>
    <tableColumn id="35" xr3:uid="{414A7A04-EC59-4258-BA52-438DAF2880BA}" uniqueName="35" name="درجة الصعوبة في الحركة" queryTableFieldId="35" dataDxfId="369"/>
    <tableColumn id="36" xr3:uid="{B738024A-A7ED-4023-8428-B6D27A05E81E}" uniqueName="36" name="درجة الصعوبة في التركيز أو التذكر" queryTableFieldId="36" dataDxfId="368"/>
    <tableColumn id="37" xr3:uid="{DEC83F56-0CD1-41C1-81DD-0E3AFEE94900}" uniqueName="37" name="درجة الصعوبة في الرعاية الذاتية" queryTableFieldId="37" dataDxfId="367"/>
    <tableColumn id="38" xr3:uid="{45F6F7D2-A523-4385-9F08-00FA67A49D92}" uniqueName="38" name="هل تعاني من أمراض مزمنة؟" queryTableFieldId="38" dataDxfId="366"/>
    <tableColumn id="39" xr3:uid="{18CB4E5B-E6E5-4451-B915-8543BC04F516}" uniqueName="39" name="يرجى تحديد نوع أو أنواع الأمراض المزمنة" queryTableFieldId="39" dataDxfId="365"/>
    <tableColumn id="40" xr3:uid="{429E62A3-BA21-4DBC-911C-CFC42ED6EDEB}" uniqueName="40" name="يرجى تحديد نوع أو أنواع الأمراض المزمنة/سكري" queryTableFieldId="40" dataDxfId="364"/>
    <tableColumn id="41" xr3:uid="{D391634C-ABCF-4605-AA3D-D0E9B6ECEFFC}" uniqueName="41" name="يرجى تحديد نوع أو أنواع الأمراض المزمنة/قلب" queryTableFieldId="41" dataDxfId="363"/>
    <tableColumn id="42" xr3:uid="{6CE5D3E1-BFE4-4418-8146-416D8FADA9EA}" uniqueName="42" name="يرجى تحديد نوع أو أنواع الأمراض المزمنة/صرع" queryTableFieldId="42" dataDxfId="362"/>
    <tableColumn id="43" xr3:uid="{050A23A7-23FF-45A8-B0AC-ED39D4248697}" uniqueName="43" name="يرجى تحديد نوع أو أنواع الأمراض المزمنة/روماتيزم" queryTableFieldId="43" dataDxfId="361"/>
    <tableColumn id="44" xr3:uid="{5460453C-328D-4E12-8E8A-3B91987EA3AE}" uniqueName="44" name="يرجى تحديد نوع أو أنواع الأمراض المزمنة/اخرى" queryTableFieldId="44" dataDxfId="360"/>
    <tableColumn id="45" xr3:uid="{8C730D4C-5BB3-4514-900B-AC37DA4B035F}" uniqueName="45" name="ملاحظات إضافية تتعلق بالحالة الصحية (إن وجدت)" queryTableFieldId="45" dataDxfId="359"/>
    <tableColumn id="46" xr3:uid="{D866CC55-FC0B-47E0-9E97-B3415B9C931C}" uniqueName="46" name="نوع معيل الأسرة" queryTableFieldId="46" dataDxfId="358"/>
    <tableColumn id="47" xr3:uid="{72AB3365-84A4-4352-815F-4813D564526D}" uniqueName="47" name="عدد العائلات المقيمة في نفس المنزل" queryTableFieldId="47" dataDxfId="357"/>
    <tableColumn id="48" xr3:uid="{F1AAA882-B71D-438F-B36C-43A259213504}" uniqueName="48" name="عدد أفراد الأسرة (بما فيهم مالك المنزل)" queryTableFieldId="48" dataDxfId="356"/>
    <tableColumn id="49" xr3:uid="{0F1EC8A1-62F3-40A1-995F-4B6A754F215E}" uniqueName="49" name="&lt;span style=&quot;background-color:#CD6155; color:white&quot;&gt; تفاصيل أفراد الاسرة &lt;/span&gt;" queryTableFieldId="49" dataDxfId="355"/>
    <tableColumn id="50" xr3:uid="{81C5424A-9D4A-4A5C-9BA3-6E29C21A8B38}" uniqueName="50" name="عدد الرجال (العمر أكبر من 18 سنة)" queryTableFieldId="50" dataDxfId="354"/>
    <tableColumn id="51" xr3:uid="{41D4747F-8F7D-4253-A232-F9EC379CB7D3}" uniqueName="51" name="عدد النساء (العمر أكبر من 18 سنة)" queryTableFieldId="51" dataDxfId="353"/>
    <tableColumn id="52" xr3:uid="{6858DB46-47B7-4CC3-A070-EBDC07431CBF}" uniqueName="52" name="عدد الشباب الذكور (من 12 إلى 17 سنة)" queryTableFieldId="52" dataDxfId="352"/>
    <tableColumn id="53" xr3:uid="{D8A315D4-946D-473C-88C7-F288EE2536A6}" uniqueName="53" name="عدد الفتيات الإناث (من 12 إلى 17 سنة)" queryTableFieldId="53" dataDxfId="351"/>
    <tableColumn id="54" xr3:uid="{1EA16329-7919-412C-99FA-B96EF01ED396}" uniqueName="54" name="عدد الأطفال الذكور (دون سن 12 سنة)" queryTableFieldId="54" dataDxfId="350"/>
    <tableColumn id="55" xr3:uid="{18814898-BE32-4D3E-9894-CE2A7DA71DA7}" uniqueName="55" name="عدد الأطفال الإناث (دون سن 12 سنة)" queryTableFieldId="55" dataDxfId="349"/>
    <tableColumn id="56" xr3:uid="{064912BC-1DAB-40F6-B0B7-4BD56E66F2DC}" uniqueName="56" name="عدد أفراد الأسرة من كبار السن (60 سنة فأكثر)" queryTableFieldId="56" dataDxfId="348"/>
    <tableColumn id="57" xr3:uid="{870481DC-CF17-4DD8-8C7C-D0AAFBC4EE5F}" uniqueName="57" name="عدد النساء المرضعات" queryTableFieldId="57" dataDxfId="347"/>
    <tableColumn id="58" xr3:uid="{8414126B-B00B-4475-B266-71B05ECD480F}" uniqueName="58" name="عدد النساء الحوامل" queryTableFieldId="58" dataDxfId="346"/>
    <tableColumn id="59" xr3:uid="{431F1623-BF83-43FD-8AA0-E185C3EB98D5}" uniqueName="59" name="عدد النساء المطلقات" queryTableFieldId="59" dataDxfId="345"/>
    <tableColumn id="60" xr3:uid="{639B1D0B-9F73-4894-95A0-FB05A40EE0E3}" uniqueName="60" name="عدد النساء الأرامل" queryTableFieldId="60" dataDxfId="344"/>
    <tableColumn id="61" xr3:uid="{DC94A90D-F145-478E-BC97-E3D44D3F6B0C}" uniqueName="61" name="عدد الأطفال المنفصلين عن ذويهم" queryTableFieldId="61" dataDxfId="343"/>
    <tableColumn id="62" xr3:uid="{03C50488-9BC0-415F-AF64-0D7944486319}" uniqueName="62" name="عدد أفراد الأسرة من ذوي الإعاقة" queryTableFieldId="62" dataDxfId="342"/>
    <tableColumn id="63" xr3:uid="{937DDAF7-19AD-4F01-BFDC-33E9B2E93A58}" uniqueName="63" name="ما هو مصدر الدخل الرئيسي للأسرة؟" queryTableFieldId="63" dataDxfId="341"/>
    <tableColumn id="64" xr3:uid="{231EE6E7-F7C8-4B0A-8D5B-86F22097FAEA}" uniqueName="64" name="عدد الأفراد العاملين في الأسرة" queryTableFieldId="64" dataDxfId="340"/>
    <tableColumn id="65" xr3:uid="{67112C75-530C-4918-ACBA-3580BEF93D27}" uniqueName="65" name="ما هي حالة إقامتك في المنطقة؟" queryTableFieldId="65" dataDxfId="339"/>
    <tableColumn id="66" xr3:uid="{5D28D068-A398-4257-B3AC-2F7719388BE4}" uniqueName="66" name="القرية" queryTableFieldId="66" dataDxfId="338"/>
    <tableColumn id="67" xr3:uid="{743ADEDF-8CBB-49AF-9166-3BCFA043952A}" uniqueName="67" name="عنوان المنزل الكامل" queryTableFieldId="67" dataDxfId="337"/>
    <tableColumn id="68" xr3:uid="{FEE50DE5-69C9-470B-8355-2A14EECB0C01}" uniqueName="68" name="_إحداثيات الموقع الجغرافي للمنزل (GPS)_latitude" queryTableFieldId="68" dataDxfId="336"/>
    <tableColumn id="69" xr3:uid="{6CAEAF58-3F03-4679-BA55-F0F16B2025D1}" uniqueName="69" name="_إحداثيات الموقع الجغرافي للمنزل (GPS)_longitude" queryTableFieldId="69" dataDxfId="335"/>
    <tableColumn id="70" xr3:uid="{E9845DB4-C2C4-4DCB-91C1-27D37F1A1EBA}" uniqueName="70" name="حالة الاقامة في المنزل" queryTableFieldId="70" dataDxfId="334"/>
    <tableColumn id="71" xr3:uid="{FEC5C659-AA20-4E54-916E-74C7447A725F}" uniqueName="71" name="هل لديك وثيقة اثبات ملكية حديث؟" queryTableFieldId="71" dataDxfId="333"/>
    <tableColumn id="72" xr3:uid="{54E1CF16-5B39-417D-9C22-6092836C9A6A}" uniqueName="72" name="نوع وثيقة الملكية" queryTableFieldId="72" dataDxfId="332"/>
    <tableColumn id="73" xr3:uid="{021701AC-4FAE-45E4-BCBC-EB302736E6B2}" uniqueName="73" name="تاريخ إصدار وثيقة الملكية" queryTableFieldId="73" dataDxfId="331"/>
    <tableColumn id="74" xr3:uid="{44031E99-1B5D-454B-AB01-3156C6B714E9}" uniqueName="74" name="صورة وثيقة الملكية" queryTableFieldId="74" dataDxfId="330"/>
    <tableColumn id="75" xr3:uid="{6484D690-9D62-4142-A48C-60A52D6FA195}" uniqueName="75" name="صورة وثيقة الملكية_URL" queryTableFieldId="75" dataDxfId="329"/>
    <tableColumn id="76" xr3:uid="{5A509336-43D8-4556-A3B9-31D156FF1202}" uniqueName="76" name="نوع المنزل" queryTableFieldId="76" dataDxfId="328"/>
    <tableColumn id="77" xr3:uid="{336B985C-28F1-4590-B56B-B60EC1EF4BF8}" uniqueName="77" name="عدد الغرف (بما فيها الصالون)" queryTableFieldId="77" dataDxfId="327"/>
    <tableColumn id="78" xr3:uid="{48DDF939-964A-4A34-A60C-DD2467EB0031}" uniqueName="78" name="رقم الطابق الذي يقع فيه المنزل" queryTableFieldId="78" dataDxfId="326"/>
    <tableColumn id="79" xr3:uid="{881414B3-86EA-479E-9D78-3260C179F545}" uniqueName="79" name="مساحة المنزل بالمتر المربع" queryTableFieldId="79" dataDxfId="325"/>
    <tableColumn id="80" xr3:uid="{7D04497C-D7A9-4EB0-BE3D-E941164E4AB6}" uniqueName="80" name="هل يملك المنزل أو الشقة جدرانًا خارجية سليمة ولا يحتاج إلى أعمال بناء (بلوك) خارجية؟" queryTableFieldId="80" dataDxfId="324"/>
    <tableColumn id="81" xr3:uid="{DD925C0B-67D7-4B03-BF59-EADE18D325BB}" uniqueName="81" name="هل يملك المنزل أو الشقة جدرانًا داخلية مكتملة ولا يحتاج إلى أعمال بناء (بلوك) داخلية؟" queryTableFieldId="81" dataDxfId="323"/>
    <tableColumn id="82" xr3:uid="{63B7BAE1-8FB4-4C1E-8FC2-530B5EBF7AEE}" uniqueName="82" name="هل يملك المنزل أو الشقة سقفًا وسلالم (أدراج) سليمة؟" queryTableFieldId="82" dataDxfId="322"/>
    <tableColumn id="83" xr3:uid="{DDF139A7-72DA-4EB7-BE30-9BB81A336D31}" uniqueName="83" name="هل توجد أية أضرار إنشائية في المنزل أو الشقة؟" queryTableFieldId="83" dataDxfId="321"/>
    <tableColumn id="84" xr3:uid="{9420A8E4-7C6C-4441-8998-5B778FF9F50F}" uniqueName="84" name="هل المرافق (المياه والصرف) عاملة أم مجرد بناء؟" queryTableFieldId="84" dataDxfId="320"/>
    <tableColumn id="85" xr3:uid="{84CDAC84-42C1-4AC0-8E1A-A3D90CD06051}" uniqueName="85" name="هل المنزل موصول بنظام صرف صحي أو حفرة فنية؟" queryTableFieldId="85" dataDxfId="319"/>
    <tableColumn id="86" xr3:uid="{CF8A55D3-1C2F-4D45-9758-79B1BA05B438}" uniqueName="86" name="هل مستوى المنزل أخفض من مستوى الأرض (قبو)؟" queryTableFieldId="86" dataDxfId="318"/>
    <tableColumn id="87" xr3:uid="{6FB83E6A-25EF-4FB6-BDA0-F5684E090964}" uniqueName="87" name="هل المنزل عبارة عن ملحق؟" queryTableFieldId="87" dataDxfId="317"/>
    <tableColumn id="88" xr3:uid="{4504D46E-B824-435A-AAA6-DFDB790629C3}" uniqueName="88" name="وصف حالة الضرر من وجهة نظرك كمالك للمنزل" queryTableFieldId="88" dataDxfId="316"/>
    <tableColumn id="89" xr3:uid="{481785A3-D972-4EE1-BD53-EFD0BDD3515F}" uniqueName="89" name="صورة الواجهة الأمامية للمنزل" queryTableFieldId="89" dataDxfId="315"/>
    <tableColumn id="90" xr3:uid="{A3225FF5-25A3-4309-8FB7-ECEE8DE8EB18}" uniqueName="90" name="صورة الواجهة الأمامية للمنزل_URL" queryTableFieldId="90" dataDxfId="314"/>
    <tableColumn id="91" xr3:uid="{C2368F35-EEB8-4A7B-90B9-7C514EADACE1}" uniqueName="91" name="صورة للمنزل من الداخل" queryTableFieldId="91" dataDxfId="313"/>
    <tableColumn id="92" xr3:uid="{B409D208-1290-423A-ADC2-BF7885B0CE4A}" uniqueName="92" name="صورة للمنزل من الداخل_URL" queryTableFieldId="92" dataDxfId="312"/>
    <tableColumn id="93" xr3:uid="{A40DEEC6-5218-49BD-B557-CBECAEBCADE7}" uniqueName="93" name="صورة توضح حالة الجدران" queryTableFieldId="93" dataDxfId="311"/>
    <tableColumn id="94" xr3:uid="{34B7DC20-1AE5-432B-8B36-1833890CE5BF}" uniqueName="94" name="صورة توضح حالة الجدران_URL" queryTableFieldId="94" dataDxfId="310"/>
    <tableColumn id="95" xr3:uid="{7C9D69B4-E1FA-48A8-871E-5E691E026773}" uniqueName="95" name="صورة توضح حالة الأعمدة" queryTableFieldId="95" dataDxfId="309"/>
    <tableColumn id="96" xr3:uid="{CB001742-A9B4-4E8F-909E-B195B7DCF316}" uniqueName="96" name="صورة توضح حالة الأعمدة_URL" queryTableFieldId="96" dataDxfId="308"/>
    <tableColumn id="97" xr3:uid="{EFCE7C18-2928-4DE0-95B2-D560B01D4A9B}" uniqueName="97" name="صورة توضح حالة السقف" queryTableFieldId="97" dataDxfId="307"/>
    <tableColumn id="98" xr3:uid="{CBC07AD9-273E-40F6-A3CC-12F54ECCD245}" uniqueName="98" name="صورة توضح حالة السقف_URL" queryTableFieldId="98" dataDxfId="306"/>
    <tableColumn id="99" xr3:uid="{C85BC3D2-2C01-4AD2-9006-5251BF2B5CF8}" uniqueName="99" name="صورة توضح حالة المرافق (المطبخ)" queryTableFieldId="99" dataDxfId="305"/>
    <tableColumn id="100" xr3:uid="{6726E50D-19E7-46DC-BEA8-2DE1E2A1747F}" uniqueName="100" name="صورة توضح حالة المرافق (المطبخ)_URL" queryTableFieldId="100" dataDxfId="304"/>
    <tableColumn id="101" xr3:uid="{9FA285E4-A451-4E1B-9118-3CD0AC9AB1E8}" uniqueName="101" name="صورة توضح حالة المرافق (الحمام)" queryTableFieldId="101" dataDxfId="303"/>
    <tableColumn id="102" xr3:uid="{1D0EDECC-4186-4D0B-8B62-29F405611196}" uniqueName="102" name="صورة توضح حالة المرافق (الحمام)_URL" queryTableFieldId="102" dataDxfId="302"/>
    <tableColumn id="103" xr3:uid="{A975EF8A-9219-41E5-ADAE-61D736595A94}" uniqueName="103" name="صورة توضح حالة المرافق (التواليت)" queryTableFieldId="103" dataDxfId="301"/>
    <tableColumn id="104" xr3:uid="{40DE045E-4A98-4174-A42E-CE86F4DE9D36}" uniqueName="104" name="صورة توضح حالة المرافق (التواليت)_URL" queryTableFieldId="104" dataDxfId="300"/>
    <tableColumn id="105" xr3:uid="{16AA6633-E9D6-4F73-A24D-6FC723A88658}" uniqueName="105" name="هل يتوفر وصول آمن إلى المنزل؟" queryTableFieldId="105" dataDxfId="299"/>
    <tableColumn id="106" xr3:uid="{E6709741-FAB0-4AD4-96B6-7C626CC7E5B2}" uniqueName="106" name="في حال عدم توفر الوصول الآمن، يرجى توضيح الأسباب" queryTableFieldId="106" dataDxfId="298"/>
    <tableColumn id="107" xr3:uid="{64669549-AE79-4E8D-88B0-26FAEDEB8269}" uniqueName="107" name="في حال عدم توفر الوصول الآمن، يرجى توضيح الأسباب/مخلفات حرب (ألغام، ذخائر غير منفجرة)" queryTableFieldId="107" dataDxfId="297"/>
    <tableColumn id="108" xr3:uid="{E154D1C0-470F-4095-90AA-28CC68668BC0}" uniqueName="108" name="في حال عدم توفر الوصول الآمن، يرجى توضيح الأسباب/نزاع ملكية أو خلاف قانوني" queryTableFieldId="108" dataDxfId="296"/>
    <tableColumn id="109" xr3:uid="{4DBEA7CD-C07C-4FCD-A13D-CE5AEC6A6A3C}" uniqueName="109" name="في حال عدم توفر الوصول الآمن، يرجى توضيح الأسباب/طريق مسدود بالأنقاض أو الركام" queryTableFieldId="109" dataDxfId="295"/>
    <tableColumn id="110" xr3:uid="{2EC8E78D-AF3C-49D5-8932-E95D6801BFB5}" uniqueName="110" name="في حال عدم توفر الوصول الآمن، يرجى توضيح الأسباب/انهيار مبانٍ مجاورة تعيق الوصول" queryTableFieldId="110" dataDxfId="294"/>
    <tableColumn id="111" xr3:uid="{45DDC5E4-2842-4531-A995-CA3465CF0A7E}" uniqueName="111" name="في حال عدم توفر الوصول الآمن، يرجى توضيح الأسباب/مبانٍ غير مستقرة أو مهددة بالانهيار في الطريق" queryTableFieldId="111" dataDxfId="293"/>
    <tableColumn id="112" xr3:uid="{706373AF-1642-431B-97E2-2E00D7D7AF67}" uniqueName="112" name="في حال عدم توفر الوصول الآمن، يرجى توضيح الأسباب/منطقة عسكرية أو مغلقة" queryTableFieldId="112" dataDxfId="292"/>
    <tableColumn id="113" xr3:uid="{8DEAB5A6-D244-4C5B-B68F-BD3BA551DBF5}" uniqueName="113" name="في حال عدم توفر الوصول الآمن، يرجى توضيح الأسباب/عائق طبيعي (سيول، مجرى مائي، انهيار أرضي)" queryTableFieldId="113" dataDxfId="291"/>
    <tableColumn id="114" xr3:uid="{F8901B5F-C861-4832-8EFC-4A81B7162FA4}" uniqueName="114" name="في حال عدم توفر الوصول الآمن، يرجى توضيح الأسباب/سوء حالة الطرق أو انعدام الجسور" queryTableFieldId="114" dataDxfId="290"/>
    <tableColumn id="115" xr3:uid="{3FBAB6DE-0723-4BB4-8F46-BE5257A0546E}" uniqueName="115" name="في حال عدم توفر الوصول الآمن، يرجى توضيح الأسباب/مخاطر أمنية أو نشاط مسلح قريب" queryTableFieldId="115" dataDxfId="289"/>
    <tableColumn id="116" xr3:uid="{160249DD-29F8-467F-A976-532D81DC113B}" uniqueName="116" name="في حال عدم توفر الوصول الآمن، يرجى توضيح الأسباب/غير ذلك يرجى تحديده" queryTableFieldId="116" dataDxfId="288"/>
    <tableColumn id="117" xr3:uid="{5EECCBE6-E0A3-428E-BB47-3B6E13B48311}" uniqueName="117" name="يرجى تحديد سبب آخر إن وجد" queryTableFieldId="117" dataDxfId="287"/>
    <tableColumn id="118" xr3:uid="{9121D8CC-CF08-495C-AFB5-53714557FB71}" uniqueName="118" name="هل لدى مالك المنزل طلبات استفادة أخرى ضمن مشاريع مشابهة؟" queryTableFieldId="118" dataDxfId="286"/>
    <tableColumn id="119" xr3:uid="{ED334514-11F8-4017-990F-BFBCC4E1B36D}" uniqueName="119" name="ملاحظات إضافية أو تعليقات عامة (اختياري)" queryTableFieldId="119" dataDxfId="285"/>
    <tableColumn id="120" xr3:uid="{6B72816F-35B4-42F3-B9D2-83D5C2F43374}" uniqueName="120" name="Contractor" queryTableFieldId="120"/>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B1E2B-5B30-4678-B4E0-099470BD150E}" name="rehab_sub_rep" displayName="rehab_sub_rep" ref="A1:L1283" tableType="queryTable" totalsRowShown="0" headerRowDxfId="284" dataDxfId="283">
  <autoFilter ref="A1:L1283" xr:uid="{9E3B1E2B-5B30-4678-B4E0-099470BD150E}"/>
  <tableColumns count="12">
    <tableColumn id="1" xr3:uid="{251873C2-2FEB-497D-8E8D-3B9530895674}" uniqueName="1" name="_index" queryTableFieldId="1" dataDxfId="11"/>
    <tableColumn id="2" xr3:uid="{1D0F6790-6820-4EC9-8B22-7FBC4A359631}" uniqueName="2" name="_parent_index" queryTableFieldId="2" dataDxfId="10"/>
    <tableColumn id="8" xr3:uid="{5474E73D-5A80-4B2C-9B16-F492EC204A86}" uniqueName="8" name="كود البند الفرعي" queryTableFieldId="8" dataDxfId="9"/>
    <tableColumn id="3" xr3:uid="{4333FAAF-636C-4DCB-B940-500FAFAC695B}" uniqueName="3" name="البند الرئيسي" queryTableFieldId="3" dataDxfId="8"/>
    <tableColumn id="9" xr3:uid="{EE4438AD-A987-4707-8E56-707DD2B9F1E1}" uniqueName="9" name="البند الرئيسي EN" queryTableFieldId="19" dataDxfId="7"/>
    <tableColumn id="4" xr3:uid="{D2A94FD2-817C-4C92-97C0-99981FD12E53}" uniqueName="4" name="البند الفرعي" queryTableFieldId="4" dataDxfId="6"/>
    <tableColumn id="10" xr3:uid="{3FE70D78-30FD-4F70-9150-D2AE0BD23B61}" uniqueName="10" name="البند الفرعي EN" queryTableFieldId="20" dataDxfId="5"/>
    <tableColumn id="6" xr3:uid="{8F483DDE-C1FC-4DC9-B5F5-84B1CA75E974}" uniqueName="6" name="صورة توضيحية للبند" queryTableFieldId="6" dataDxfId="4"/>
    <tableColumn id="7" xr3:uid="{A66DD97D-9870-4BB3-BFAF-7F08053565A7}" uniqueName="7" name="صورة توضيحية للبند_URL" queryTableFieldId="7" dataDxfId="3"/>
    <tableColumn id="5" xr3:uid="{81C76963-A3CF-4B41-AF6F-EA51E9597FA3}" uniqueName="5" name="الكمية" queryTableFieldId="5" dataDxfId="2"/>
    <tableColumn id="14" xr3:uid="{A9287337-3C43-40D0-B80B-89557C81062D}" uniqueName="14" name="السعر الافرادي" queryTableFieldId="15" dataDxfId="1"/>
    <tableColumn id="15" xr3:uid="{4D863CCB-B5B9-4F81-B7DA-0AAFB4B8DCBE}" uniqueName="15" name="الإجمالي" queryTableFieldId="16" dataDxfId="0"/>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12DE1F-84A7-46A6-9C3F-AB10FAFAACBB}" name="rehab_main_rep" displayName="rehab_main_rep" ref="A1:D362" tableType="queryTable" totalsRowShown="0" headerRowDxfId="282" dataDxfId="281">
  <autoFilter ref="A1:D362" xr:uid="{F512DE1F-84A7-46A6-9C3F-AB10FAFAACBB}"/>
  <tableColumns count="4">
    <tableColumn id="1" xr3:uid="{D37C1573-F526-410B-B573-F9C36E59EC9F}" uniqueName="1" name="_index" queryTableFieldId="1" dataDxfId="280"/>
    <tableColumn id="2" xr3:uid="{BBED4608-EC9F-4B80-B51B-A06B63DB7F19}" uniqueName="2" name="_parent_index" queryTableFieldId="2" dataDxfId="279"/>
    <tableColumn id="3" xr3:uid="{0F446A13-E79F-4229-8DA3-D70C13418A41}" uniqueName="3" name="البند الرئيسي" queryTableFieldId="3" dataDxfId="278"/>
    <tableColumn id="4" xr3:uid="{9B8592B7-561A-4522-AB98-38DBFFB8AC5D}" uniqueName="4" name="Contractor" queryTableFieldId="4"/>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9D353D6-D377-4A0E-9930-5E91C02001BF}" name="tbl_Assessment" displayName="tbl_Assessment" ref="B5:BJ705" totalsRowShown="0" headerRowDxfId="277" dataDxfId="276">
  <autoFilter ref="B5:BJ705" xr:uid="{DCC1D731-92B2-4C07-87B6-A713440B3C0F}"/>
  <tableColumns count="61">
    <tableColumn id="1" xr3:uid="{4B6032A1-2C13-452B-AA08-AC7E1F1DC2AB}" name="SN" dataDxfId="275"/>
    <tableColumn id="14" xr3:uid="{351712DB-0296-45F7-BC04-6476796A977D}" name="Ben Code" dataDxfId="274"/>
    <tableColumn id="2" xr3:uid="{626C7BE3-6D39-45E6-998D-13D6DBF5E95A}" name="Owner Full Name" dataDxfId="273">
      <calculatedColumnFormula>IF(tbl_Assessment[[#This Row],[Ben Code]]&lt;&gt;"",INDEX(tbl_Ben_Info[],MATCH(tbl_Assessment[[#This Row],[Ben Code]],tbl_Ben_Info[Ben Code],0),48),"")</calculatedColumnFormula>
    </tableColumn>
    <tableColumn id="7" xr3:uid="{F39B3E24-17C1-4F9D-BD28-B755C0536E5C}" name="Mother Name" dataDxfId="272">
      <calculatedColumnFormula>IF(tbl_Assessment[[#This Row],[Ben Code]]&lt;&gt;"",INDEX(tbl_Ben_Info[],MATCH(tbl_Assessment[[#This Row],[Ben Code]],tbl_Ben_Info[Ben Code],0),6),"")</calculatedColumnFormula>
    </tableColumn>
    <tableColumn id="15" xr3:uid="{EBF62813-1CC1-4B29-927E-E8530F25B150}" name="ID Number" dataDxfId="271">
      <calculatedColumnFormula>IF(tbl_Assessment[[#This Row],[Ben Code]]&lt;&gt;"",INDEX(tbl_Ben_Info[],MATCH(tbl_Assessment[[#This Row],[Ben Code]],tbl_Ben_Info[Ben Code],0),13),"")</calculatedColumnFormula>
    </tableColumn>
    <tableColumn id="49" xr3:uid="{1B9FD778-BC2C-45F1-A869-3C6314F32D60}" name="House Gov" dataDxfId="270"/>
    <tableColumn id="50" xr3:uid="{4DDA6A55-CA7D-4E2F-BE16-0D795E6AF746}" name="House District" dataDxfId="269"/>
    <tableColumn id="51" xr3:uid="{2E4B748B-3474-45E7-8E51-56B6F7DE93CA}" name="House SubDist" dataDxfId="268"/>
    <tableColumn id="52" xr3:uid="{19821C76-28B0-40FA-A0FF-2393E77A4D64}" name="House Village" dataDxfId="267"/>
    <tableColumn id="132" xr3:uid="{8725B9FD-472A-4575-8ED5-CF5251D663C0}" name="admin4Pcode" dataDxfId="266"/>
    <tableColumn id="53" xr3:uid="{703AB438-B2DF-431E-B139-5213EC0B16FB}" name="House Address" dataDxfId="265"/>
    <tableColumn id="54" xr3:uid="{B664CF01-A6CD-4C8B-A65D-339207FBF74C}" name="House GPS" dataDxfId="264"/>
    <tableColumn id="56" xr3:uid="{4B3A6E81-3909-448C-B7DA-BD8ECAA20DFD}" name="Ownership Proof" dataDxfId="263"/>
    <tableColumn id="57" xr3:uid="{097D5749-F31A-455C-8646-39AC24B7C450}" name="Ownership Type" dataDxfId="262"/>
    <tableColumn id="58" xr3:uid="{4395AB4D-54D9-4B0C-A303-929EE6F35D6B}" name="Doc IssueDate" dataDxfId="261"/>
    <tableColumn id="59" xr3:uid="{C523F7A0-B2D2-4F9B-ADA9-A1988E6B4E6E}" name="Doc Photo" dataDxfId="260"/>
    <tableColumn id="55" xr3:uid="{B949614B-0537-48A6-85B8-4A8660397DED}" name="Occupancy Status" dataDxfId="259"/>
    <tableColumn id="60" xr3:uid="{DD17A6A8-7952-40F2-962E-7B61066DBC25}" name="House Type" dataDxfId="258"/>
    <tableColumn id="61" xr3:uid="{90884415-914E-4BB9-834F-954529B41063}" name="Room Count" dataDxfId="257"/>
    <tableColumn id="62" xr3:uid="{49FEAC57-1894-4F16-AEE3-00B8F0757298}" name="Floor No" dataDxfId="256"/>
    <tableColumn id="94" xr3:uid="{7793AE6D-1CC1-4E2E-BDA9-903851105218}" name="House Area" dataDxfId="255"/>
    <tableColumn id="63" xr3:uid="{2C0F0D7C-6FEB-4EDA-BA6C-648265B34C50}" name="House Code" dataDxfId="254">
      <calculatedColumnFormula>tbl_Assessment[[#This Row],[Ben Code]] &amp; "-"&amp;tbl_Assessment[[#This Row],[admin4Pcode]]&amp;"-" &amp; TEXT(COUNTIF(INDEX(tbl_Assessment[Ben Code],1):tbl_Assessment[[#This Row],[Ben Code]], tbl_Assessment[[#This Row],[Ben Code]]), "00")</calculatedColumnFormula>
    </tableColumn>
    <tableColumn id="64" xr3:uid="{DC53F1F8-1C48-4BB8-A8EC-5D2D75D4700B}" name="Walls External" dataDxfId="253"/>
    <tableColumn id="65" xr3:uid="{CA934EE5-FF85-4847-8FE6-7352359D1836}" name="Walls Internal" dataDxfId="252"/>
    <tableColumn id="66" xr3:uid="{BB70F8BA-BBE6-465C-8F53-98CE5E725198}" name="Has Roof" dataDxfId="251"/>
    <tableColumn id="67" xr3:uid="{0F2973CE-34EB-4126-88B6-4F5A8A1609EB}" name="Struct Damage" dataDxfId="250"/>
    <tableColumn id="68" xr3:uid="{2C4457D0-5C4C-4494-9FEA-64879F94541C}" name="Facilities Status" dataDxfId="249"/>
    <tableColumn id="69" xr3:uid="{27A0D2BF-5EFA-48A0-8102-F0C0E3118DF2}" name="Sewage Connect" dataDxfId="248"/>
    <tableColumn id="70" xr3:uid="{F6D967F9-1558-4109-B99C-104B74128678}" name="Below Ground" dataDxfId="247"/>
    <tableColumn id="71" xr3:uid="{3D5D5329-1585-4AB7-AB72-43BDC13E3B54}" name="Is Annex" dataDxfId="246"/>
    <tableColumn id="72" xr3:uid="{1B266412-43A2-444B-A797-FCDA1543A6AC}" name="Damage Level" dataDxfId="245"/>
    <tableColumn id="79" xr3:uid="{E46C1522-952F-46F4-A806-DECAAFAFDB40}" name="Photo Facade" dataDxfId="244"/>
    <tableColumn id="80" xr3:uid="{BA34CEC0-D023-436A-82F6-FB26FA30BF21}" name="Photo Interior" dataDxfId="243"/>
    <tableColumn id="81" xr3:uid="{854D3F8D-8E3D-4EB7-839B-7BF5A6319392}" name="Photo Walls" dataDxfId="242"/>
    <tableColumn id="82" xr3:uid="{78605F80-8C57-461B-97E7-A439BF52E4AD}" name="Photo Columns" dataDxfId="241"/>
    <tableColumn id="83" xr3:uid="{167602D6-6239-4934-9985-C9766D7EB482}" name="Photo Ceiling" dataDxfId="240"/>
    <tableColumn id="84" xr3:uid="{1344E1B8-1794-413C-89FF-09D2E79F18F2}" name="Photo Kitchen" dataDxfId="239"/>
    <tableColumn id="85" xr3:uid="{372B935F-BD79-4D89-8CD7-5A8B941326F5}" name="Photo Bathroom" dataDxfId="238"/>
    <tableColumn id="86" xr3:uid="{81D6BC37-389F-4C4F-802F-C31C3B40E35B}" name="Photo Toilet" dataDxfId="237"/>
    <tableColumn id="87" xr3:uid="{B1CF8669-2DD8-491C-B120-25E44654C789}" name="Safe Access" dataDxfId="236"/>
    <tableColumn id="88" xr3:uid="{37AC3C51-0A9F-4B83-AF15-F5F961C98623}" name="Access Reasons" dataDxfId="235"/>
    <tableColumn id="89" xr3:uid="{D1974004-1583-4F77-8406-D4938A608F02}" name="Access Other" dataDxfId="234"/>
    <tableColumn id="90" xr3:uid="{10FBB133-3E1D-407E-8646-0D0131746005}" name="Other Request" dataDxfId="233"/>
    <tableColumn id="91" xr3:uid="{06AF17D9-5EC5-4A9F-884E-AB5C679A2C3D}" name="General Notes" dataDxfId="232"/>
    <tableColumn id="95" xr3:uid="{2BB6A317-AC96-4F7E-92A7-3FBE17645E21}" name="Damage Description Syndicate" dataDxfId="231"/>
    <tableColumn id="96" xr3:uid="{7D252AF6-4DFE-4B53-80EE-BB5135D9898A}" name="Assessment Date Syndicate" dataDxfId="230"/>
    <tableColumn id="97" xr3:uid="{919C2E97-A65B-4AB9-8F04-5124C0ED35CD}" name="Syndicate Report Code" dataDxfId="229"/>
    <tableColumn id="98" xr3:uid="{17AE0095-3641-4249-ADC7-C112B61E07D9}" name="Syndicate Report Link" dataDxfId="228"/>
    <tableColumn id="100" xr3:uid="{8DEADC68-B506-41C8-986F-D6D3C8B148FF}" name="Technical Score" dataDxfId="227"/>
    <tableColumn id="101" xr3:uid="{358173DD-C9E4-4D88-AD09-FC3E66A37D80}" name="FieldTeam Notes" dataDxfId="226"/>
    <tableColumn id="102" xr3:uid="{706938E9-0BBB-4FDF-A6B8-742FD8F19CC6}" name="FieldTeam Recommendation" dataDxfId="225"/>
    <tableColumn id="103" xr3:uid="{38AB55F2-5123-415B-8222-58355958C611}" name="FieldTeam Comment" dataDxfId="224"/>
    <tableColumn id="104" xr3:uid="{2E674099-CFD7-4B04-AF31-C0C68A89A31F}" name="FieldTeam Assessment Date" dataDxfId="223"/>
    <tableColumn id="105" xr3:uid="{FE67AE0B-D073-48C1-87F0-900D04046031}" name="ProjectMgmt Notes" dataDxfId="222"/>
    <tableColumn id="106" xr3:uid="{B96134D0-8672-4793-B9E7-EA790F80A823}" name="ProjectMgmt Recommendation" dataDxfId="221"/>
    <tableColumn id="107" xr3:uid="{0D7BE359-52B2-40C4-B1CA-7D8DBFA0BC0F}" name="ProjectMgmt Comment" dataDxfId="220"/>
    <tableColumn id="108" xr3:uid="{CD2C4CD3-2556-4ED0-8242-6E38BB467C8D}" name="ProjectMgmt Assessment Date" dataDxfId="219"/>
    <tableColumn id="109" xr3:uid="{B1E380FD-3B76-45C3-8084-F8CDB7B7BFA6}" name="UNDP Notes" dataDxfId="218"/>
    <tableColumn id="110" xr3:uid="{3657E714-4F33-493F-BE7B-B8F3A67F5009}" name="UNDP Recommendation" dataDxfId="217"/>
    <tableColumn id="111" xr3:uid="{C4C6DB02-AD83-4E38-A465-940FB2206C0E}" name="UNDP Comment" dataDxfId="216"/>
    <tableColumn id="112" xr3:uid="{4525FD8D-584E-45DF-B518-53CC8C12AD8A}" name="UNDP Assessment Date" dataDxfId="215"/>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88BC64D-AE88-4B2A-9871-93AEC79CD4D1}" name="tbl_Ben_Info" displayName="tbl_Ben_Info" ref="B5:AW705" totalsRowShown="0" headerRowDxfId="214" dataDxfId="213">
  <autoFilter ref="B5:AW705" xr:uid="{DCC1D731-92B2-4C07-87B6-A713440B3C0F}"/>
  <tableColumns count="48">
    <tableColumn id="1" xr3:uid="{5B8B2050-E8F3-4220-BF9D-941B4A7E9F00}" name="SN" dataDxfId="212"/>
    <tableColumn id="92" xr3:uid="{58AA2527-4F53-46D4-B18F-56B9D1EA3591}" name="Ben Code" dataDxfId="211">
      <calculatedColumnFormula>_xlfn.CONCAT("181-702-",IF(tbl_Ben_Info[[#This Row],[SN]]&lt;10,"00"&amp;tbl_Ben_Info[[#This Row],[SN]],IF(tbl_Ben_Info[[#This Row],[SN]]&lt;100,"0"&amp;tbl_Ben_Info[[#This Row],[SN]],tbl_Ben_Info[[#This Row],[SN]])))</calculatedColumnFormula>
    </tableColumn>
    <tableColumn id="14" xr3:uid="{092927C5-69D7-4F9F-A39A-002B55EC9F3D}" name="First Name" dataDxfId="210"/>
    <tableColumn id="2" xr3:uid="{0EDC22F2-42D9-43C2-BEB2-DD205F772D77}" name="Father Name" dataDxfId="209"/>
    <tableColumn id="3" xr3:uid="{3B271BCB-EA34-4EE6-8BE6-4EC6342F2659}" name="Family Name" dataDxfId="208"/>
    <tableColumn id="7" xr3:uid="{6A876FB3-9C0D-4E79-92A7-E02757FEBD8F}" name="Mother Name" dataDxfId="207"/>
    <tableColumn id="4" xr3:uid="{78E2ED9C-FC8D-4161-93A2-A3B83EA55837}" name="Gender" dataDxfId="206"/>
    <tableColumn id="12" xr3:uid="{0D90E926-734A-45F0-BF70-DF6254C626BE}" name="Birth Date" dataDxfId="205"/>
    <tableColumn id="5" xr3:uid="{C1803482-348B-4C9F-B566-6CDC190810F8}" name="Marital Status" dataDxfId="204"/>
    <tableColumn id="6" xr3:uid="{977B7D29-1824-4643-A253-B423385537A6}" name="Spouse Name" dataDxfId="203"/>
    <tableColumn id="17" xr3:uid="{9983A4B8-98D7-4314-A0A6-D3B4EFE11DC3}" name="ID Type" dataDxfId="202"/>
    <tableColumn id="16" xr3:uid="{49F79DBF-D846-400A-8336-FE3643D55468}" name="ID Other" dataDxfId="201"/>
    <tableColumn id="15" xr3:uid="{F63577B5-EDD1-467F-AD99-A970894BBD16}" name="ID Number" dataDxfId="200"/>
    <tableColumn id="13" xr3:uid="{9FB45281-9B04-40E6-ABB2-C6807FDA7B77}" name="ID Photo Front" dataDxfId="199"/>
    <tableColumn id="11" xr3:uid="{0B71DCB5-B143-43F8-8EC2-126FFF55B16A}" name="ID Photo Back" dataDxfId="198"/>
    <tableColumn id="8" xr3:uid="{EAC72336-8177-4D2C-A4FC-48366F9C8994}" name="Gov" dataDxfId="197"/>
    <tableColumn id="9" xr3:uid="{F9FAD2DF-C2B3-438C-86D8-A31A3AD8A718}" name="District" dataDxfId="196"/>
    <tableColumn id="10" xr3:uid="{37BA40C6-796A-41BD-A33A-E58A752550FD}" name="Sub District" dataDxfId="195"/>
    <tableColumn id="18" xr3:uid="{DD68BE13-E8B6-4CB3-9A2F-F8ABF9E094EE}" name="Full Address" dataDxfId="194"/>
    <tableColumn id="19" xr3:uid="{7A33F82D-0316-4FCF-92C0-2F4F3E444E0A}" name="Phone Main" dataDxfId="193"/>
    <tableColumn id="20" xr3:uid="{76F8BB12-5937-42F9-A4BB-CD28687FAFE6}" name="Phone Alt" dataDxfId="192"/>
    <tableColumn id="21" xr3:uid="{F5398FFE-9EF6-4A40-AEF5-6729A1193C34}" name="Disability Status" dataDxfId="191"/>
    <tableColumn id="22" xr3:uid="{483402A2-90E6-49EA-A0AB-9A09C58CA7B7}" name="Difficulty type" dataDxfId="190"/>
    <tableColumn id="23" xr3:uid="{3B1FAA31-A8AE-4FE1-A9F9-81C40E8D4558}" name="Comm Difficulty" dataDxfId="189"/>
    <tableColumn id="24" xr3:uid="{DA281248-10AA-4387-8660-525E27C6E524}" name="Vision Difficulty" dataDxfId="188"/>
    <tableColumn id="25" xr3:uid="{1DC8D31F-272D-44DF-895A-655471398ACB}" name="Hearing Difficulty" dataDxfId="187"/>
    <tableColumn id="26" xr3:uid="{67083224-2C42-4291-93A9-5E724DDDB3D2}" name="Mobility Difficulty" dataDxfId="186"/>
    <tableColumn id="27" xr3:uid="{4A936448-6381-474A-9A11-666F3F8D4B6D}" name="Memory Difficulty" dataDxfId="185"/>
    <tableColumn id="28" xr3:uid="{E39A6671-2F35-48B1-8BB3-106D7A596662}" name="Selfcare Difficulty" dataDxfId="184"/>
    <tableColumn id="29" xr3:uid="{BCB1567F-2044-4640-80BF-EE746BED7A73}" name="Chronic Disease" dataDxfId="183"/>
    <tableColumn id="30" xr3:uid="{4850FD98-8725-429C-B011-6A11A0511010}" name="Disease Type" dataDxfId="182"/>
    <tableColumn id="31" xr3:uid="{156E8BF2-AFFB-479A-B541-A558A9C8A685}" name="Health Notes" dataDxfId="181"/>
    <tableColumn id="32" xr3:uid="{C772F806-08BA-4E70-85D7-BA8CE6B37AB6}" name="Family breadwinner type" dataDxfId="180"/>
    <tableColumn id="33" xr3:uid="{A15946B0-747C-4474-93C2-088C6AF0C8C3}" name="Families Count" dataDxfId="179"/>
    <tableColumn id="34" xr3:uid="{53CB9A59-C8D7-4EEE-A248-E9CEB26A5A6F}" name="HH Total" dataDxfId="178"/>
    <tableColumn id="36" xr3:uid="{5299B16D-FF8B-46EF-978A-699B00E30FA3}" name="Men 18Plus" dataDxfId="177"/>
    <tableColumn id="37" xr3:uid="{860FA0D7-0C97-44FC-8F40-FC9B84132E47}" name="Women 18Plus" dataDxfId="176"/>
    <tableColumn id="38" xr3:uid="{991BCFDD-71E7-46E2-BF52-7F4303CDC291}" name="Boys 12 17" dataDxfId="175"/>
    <tableColumn id="39" xr3:uid="{E102D586-5399-45F5-B09D-549A886D81DF}" name="Girls 12 17" dataDxfId="174"/>
    <tableColumn id="40" xr3:uid="{850093A3-D913-4B97-9CE5-3D4805E6BFB3}" name="Boys U12" dataDxfId="173"/>
    <tableColumn id="41" xr3:uid="{DDB042C6-7187-4B9A-B818-BD3119C70052}" name="Girls U12" dataDxfId="172"/>
    <tableColumn id="42" xr3:uid="{5BA187D5-B1B2-4369-903E-25CA5BE0DE6D}" name="Women Breastfeed" dataDxfId="171"/>
    <tableColumn id="43" xr3:uid="{A89D6705-066F-4CB8-B4D6-EA44D4172179}" name="Women Pregnant" dataDxfId="170"/>
    <tableColumn id="44" xr3:uid="{3CEE17C4-C8F3-4091-A327-BCDA0C81F04E}" name="Women Divorced" dataDxfId="169"/>
    <tableColumn id="45" xr3:uid="{971E5110-8471-4B1B-AA4F-675AD8C50D55}" name="Women Widowed" dataDxfId="168"/>
    <tableColumn id="46" xr3:uid="{4DBB47FE-11AC-4D83-B124-F0E2EE29A61D}" name="Children Separated" dataDxfId="167"/>
    <tableColumn id="48" xr3:uid="{7B6AD024-71AF-44C7-886D-D29A8D387A32}" name="HH Disability" dataDxfId="166"/>
    <tableColumn id="93" xr3:uid="{956B5874-E857-4305-9190-410B5C9F4D4E}" name="Owner Full Name" dataDxfId="165">
      <calculatedColumnFormula>_xlfn.CONCAT(tbl_Ben_Info[[#This Row],[First Name]]," ",tbl_Ben_Info[[#This Row],[Father Name]]," ",tbl_Ben_Info[[#This Row],[Family Name]])</calculatedColumnFormula>
    </tableColumn>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92BA31-91CB-42BF-A02C-CDC6734C9ADD}" name="tbl_estimated_costs_quantities" displayName="tbl_estimated_costs_quantities" ref="B4:BH704" totalsRowShown="0" headerRowDxfId="164" dataDxfId="163">
  <autoFilter ref="B4:BH704" xr:uid="{DCC1D731-92B2-4C07-87B6-A713440B3C0F}"/>
  <tableColumns count="59">
    <tableColumn id="1" xr3:uid="{51913F55-8EA0-4332-8F7A-63B65696DF0A}" name="SN" dataDxfId="162"/>
    <tableColumn id="14" xr3:uid="{59CEC8A3-5EE1-492E-8EDB-3DF4CB4CCDBF}" name="Data Enumerator" dataDxfId="161"/>
    <tableColumn id="2" xr3:uid="{17E4D6E5-49A0-423E-B933-75C692C520B8}" name="Date" dataDxfId="160"/>
    <tableColumn id="10" xr3:uid="{5601CB65-C320-46D0-A9A1-EE83161B59C0}" name="House Code" dataDxfId="159"/>
    <tableColumn id="13" xr3:uid="{578AAFEB-2DDC-4827-ABE2-ECDC541A9A0B}" name="Owner Full Name" dataDxfId="158">
      <calculatedColumnFormula>IF(tbl_estimated_costs_quantities[[#This Row],[House Code]]&lt;&gt;"",INDEX(tbl_Assessment[],MATCH(tbl_estimated_costs_quantities[[#This Row],[House Code]],tbl_Assessment[House Code],0),3),"")</calculatedColumnFormula>
    </tableColumn>
    <tableColumn id="15" xr3:uid="{21EF2857-FCF7-4B41-969F-D504270A0F28}" name="House Village" dataDxfId="157">
      <calculatedColumnFormula>IF(tbl_estimated_costs_quantities[[#This Row],[House Code]]&lt;&gt;"",INDEX(tbl_Assessment[],MATCH(tbl_estimated_costs_quantities[[#This Row],[House Code]],tbl_Assessment[House Code],0),9),"")</calculatedColumnFormula>
    </tableColumn>
    <tableColumn id="7" xr3:uid="{DA879D70-115D-4BE8-9366-4CD60B1D7898}" name="Total cost" dataDxfId="156">
      <calculatedColumnFormula>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calculatedColumnFormula>
    </tableColumn>
    <tableColumn id="4" xr3:uid="{B5794584-1258-4078-B3F6-65FFE1A78D3C}" name="Site Preparation" dataDxfId="155"/>
    <tableColumn id="56" xr3:uid="{62D13EFE-1A19-4900-86B2-53BB095BA041}" name="Current Situation Photo Site Preparation" dataDxfId="154"/>
    <tableColumn id="69" xr3:uid="{52EDB375-9263-4A9E-9D8A-BB952FB07DCC}" name="Site Preparation Cost" dataDxfId="153">
      <calculatedColumnFormula>tbl_estimated_costs_quantities[[#This Row],[Site Preparation]]*BOQs!$L$3</calculatedColumnFormula>
    </tableColumn>
    <tableColumn id="12" xr3:uid="{0C7A24CE-4BD2-4503-8A21-6DDF72021C37}" name="Demolition Removal Unsafe Structures" dataDxfId="152"/>
    <tableColumn id="57" xr3:uid="{5C3DF6B9-78EF-4CC0-BA8E-237AF56EDCE4}" name="Current Situation Photo Demolition Removal Unsafe Structures" dataDxfId="151"/>
    <tableColumn id="5" xr3:uid="{5B81AD39-9365-47D4-B770-F7DB659760AC}" name="Demolition Removal Unsafe Structures Cost" dataDxfId="150">
      <calculatedColumnFormula>tbl_estimated_costs_quantities[[#This Row],[Demolition Removal Unsafe Structures]]*BOQs!$L$4</calculatedColumnFormula>
    </tableColumn>
    <tableColumn id="58" xr3:uid="{16B2DD97-75E7-4D90-A530-B157D826EDF9}" name="Concrete Works" dataDxfId="149"/>
    <tableColumn id="6" xr3:uid="{BC813731-CD2B-4960-BD61-3FE04F96601A}" name="Current Situation Photo Concrete Works" dataDxfId="148"/>
    <tableColumn id="59" xr3:uid="{40FF5DB7-BFBB-4A6A-8D8A-FD1BDA69887C}" name="Concrete Works Cost" dataDxfId="147">
      <calculatedColumnFormula>tbl_estimated_costs_quantities[[#This Row],[Concrete Works]]*BOQs!$L$5</calculatedColumnFormula>
    </tableColumn>
    <tableColumn id="11" xr3:uid="{00FD542A-AC07-415A-A2FF-D2A1CD59A39A}" name="Closure External Openings Walls Windows" dataDxfId="146"/>
    <tableColumn id="60" xr3:uid="{6F39EEDE-7841-4489-A78C-05E584E675D4}" name="Current Situation Photo Closure External Openings Walls Windows" dataDxfId="145"/>
    <tableColumn id="8" xr3:uid="{6816117E-3F43-4598-9AC7-882A940C65DE}" name="Closure External Openings Walls Windows Cost" dataDxfId="144">
      <calculatedColumnFormula>tbl_estimated_costs_quantities[[#This Row],[Closure External Openings Walls Windows]]*BOQs!$L$6</calculatedColumnFormula>
    </tableColumn>
    <tableColumn id="61" xr3:uid="{917DCA22-759F-499C-8CDB-E99BAF7FD21A}" name="Plastering Painting" dataDxfId="143"/>
    <tableColumn id="9" xr3:uid="{6312C5F4-4622-4D8F-A8F1-DA4368DE3DA3}" name="Current Situation Photo Plastering Painting" dataDxfId="142"/>
    <tableColumn id="62" xr3:uid="{8AF9DFB6-6FD5-40F9-A284-9485583584AC}" name="Plastering Painting Cost" dataDxfId="141">
      <calculatedColumnFormula>tbl_estimated_costs_quantities[[#This Row],[Plastering Painting]]*BOQs!$L$7</calculatedColumnFormula>
    </tableColumn>
    <tableColumn id="16" xr3:uid="{E71F6475-6CD9-4C2D-A47D-D02321EDB42A}" name="Floor Repairs" dataDxfId="140"/>
    <tableColumn id="68" xr3:uid="{DB38BB32-5EF5-4A5B-A869-B5D8F0773D5E}" name="Current Situation Photo Floor Repairs" dataDxfId="139"/>
    <tableColumn id="17" xr3:uid="{9F9D2D70-7ACD-44D5-B2C3-46CD57A8811A}" name="Floor Repairs Cost" dataDxfId="138">
      <calculatedColumnFormula>tbl_estimated_costs_quantities[[#This Row],[Floor Repairs]]*BOQs!$L$8</calculatedColumnFormula>
    </tableColumn>
    <tableColumn id="67" xr3:uid="{49359504-98B6-4935-B166-0F6D40E7DC50}" name="Doors Replacement Repair" dataDxfId="137"/>
    <tableColumn id="18" xr3:uid="{2D4022E0-C395-44DF-80D7-7523FDBD79C1}" name="Current Situation Photo Doors Replacement Repair" dataDxfId="136"/>
    <tableColumn id="66" xr3:uid="{1F31A525-0845-425B-9983-027B5D6DEA28}" name="Doors Replacement Repair Cost" dataDxfId="135">
      <calculatedColumnFormula>tbl_estimated_costs_quantities[[#This Row],[Doors Replacement Repair]]*BOQs!$L$9</calculatedColumnFormula>
    </tableColumn>
    <tableColumn id="19" xr3:uid="{EF6F666A-2059-4ECA-8416-0E7A897CB135}" name="Windows Replacement Repair" dataDxfId="134"/>
    <tableColumn id="65" xr3:uid="{DEAFF22F-06B9-4AAB-A944-3A76FACF7F63}" name="Current Situation Photo Windows Replacement Repair" dataDxfId="133"/>
    <tableColumn id="20" xr3:uid="{8ABB0C94-E18B-440B-BB22-972D90BF1951}" name="Windows Replacement Repair Cost" dataDxfId="132">
      <calculatedColumnFormula>tbl_estimated_costs_quantities[[#This Row],[Windows Replacement Repair]]*BOQs!$L$10</calculatedColumnFormula>
    </tableColumn>
    <tableColumn id="64" xr3:uid="{BE7BB8F1-9204-481D-8C7B-E53F74659760}" name="Bathroom Rehabilitation" dataDxfId="131"/>
    <tableColumn id="21" xr3:uid="{15A0C194-9862-46DC-94A5-60422E5458D8}" name="Current Situation Photo Bathroom Rehabilitation" dataDxfId="130"/>
    <tableColumn id="63" xr3:uid="{CD8040F2-C53E-44C0-B3A8-A5D2B7DDAF00}" name="Bathroom Rehabilitation Cost" dataDxfId="129">
      <calculatedColumnFormula>tbl_estimated_costs_quantities[[#This Row],[Bathroom Rehabilitation]]*BOQs!$L$11</calculatedColumnFormula>
    </tableColumn>
    <tableColumn id="22" xr3:uid="{59CEF106-BC62-4C3A-8D92-45CF5212BA91}" name="Ceramic Tile Works WASH" dataDxfId="128"/>
    <tableColumn id="23" xr3:uid="{F64DBB3A-416E-4B90-BDA9-65BF8E7CFC6B}" name="Current Situation Photo Ceramic Tile Works WASH" dataDxfId="127"/>
    <tableColumn id="24" xr3:uid="{C9EC284B-E0FC-495B-9E7F-EB7860CEDD6D}" name="Ceramic Tile Works WASH Cost" dataDxfId="126">
      <calculatedColumnFormula>tbl_estimated_costs_quantities[[#This Row],[Ceramic Tile Works WASH]]*BOQs!$L$12</calculatedColumnFormula>
    </tableColumn>
    <tableColumn id="25" xr3:uid="{3813388F-0D79-429B-9901-202ED9FDFDF4}" name="Electrical Repairs Lighting" dataDxfId="125"/>
    <tableColumn id="26" xr3:uid="{0B286D70-F8D4-4E4B-A83C-A641F5E88BF5}" name="Current Situation Photo Electrical Repairs Lighting" dataDxfId="124"/>
    <tableColumn id="27" xr3:uid="{DC6ABFD9-3E63-4481-B6B9-B5412712AAB8}" name="Electrical Repairs Lighting Cost" dataDxfId="123">
      <calculatedColumnFormula>tbl_estimated_costs_quantities[[#This Row],[Electrical Repairs Lighting]]*BOQs!$L$13</calculatedColumnFormula>
    </tableColumn>
    <tableColumn id="28" xr3:uid="{56F2D390-698E-4211-A34D-54FD6AD1BA7F}" name="Roof Insulation Leak Sealing" dataDxfId="122"/>
    <tableColumn id="29" xr3:uid="{6F86EC2C-8CCB-406A-9607-D37D3D3047DE}" name="Current Situation Photo Roof Insulation Leak Sealing" dataDxfId="121"/>
    <tableColumn id="30" xr3:uid="{BF89AD6C-07BE-4BC3-B93E-8C96AF48B195}" name="Roof Insulation Leak Sealing Cost" dataDxfId="120">
      <calculatedColumnFormula>tbl_estimated_costs_quantities[[#This Row],[Roof Insulation Leak Sealing]]*BOQs!$L$14</calculatedColumnFormula>
    </tableColumn>
    <tableColumn id="31" xr3:uid="{881C1C07-7DD0-4AD7-B121-8C134361214E}" name="Chimney Duct Cleaning Repair" dataDxfId="119"/>
    <tableColumn id="32" xr3:uid="{8D204481-AE3D-4263-8FEE-3DD2E7B5E89C}" name="Current Situation Photo Chimney Duct Cleaning Repair" dataDxfId="118"/>
    <tableColumn id="33" xr3:uid="{FDF6E619-55C5-45CB-9E04-6FAD64A9E9CF}" name="Chimney Duct Cleaning Repair Cost" dataDxfId="117">
      <calculatedColumnFormula>tbl_estimated_costs_quantities[[#This Row],[Chimney Duct Cleaning Repair]]*BOQs!$L$15</calculatedColumnFormula>
    </tableColumn>
    <tableColumn id="34" xr3:uid="{222DB11F-DF39-4E37-9510-E0621E0D4FCD}" name="Accessibility Adaptations" dataDxfId="116"/>
    <tableColumn id="35" xr3:uid="{71F6F362-5860-49E6-9FCA-2CF5617FC794}" name="Current Situation Photo Accessibility Adaptations" dataDxfId="115"/>
    <tableColumn id="36" xr3:uid="{81BE14EF-B6B9-40F7-80F5-759619FD0D22}" name="Accessibility Adaptations Cost" dataDxfId="114">
      <calculatedColumnFormula>tbl_estimated_costs_quantities[[#This Row],[Accessibility Adaptations]]*BOQs!$L$16</calculatedColumnFormula>
    </tableColumn>
    <tableColumn id="74" xr3:uid="{CA660372-D246-4254-B588-1F5358ED3BD9}" name="Total estimated cost to average estimated cost" dataDxfId="113">
      <calculatedColumnFormula>IF(tbl_estimated_costs_quantities[[#This Row],[Total cost]]&lt;&gt;0,tbl_estimated_costs_quantities[[#This Row],[Total cost]]/BOQs!$A$1,"")</calculatedColumnFormula>
    </tableColumn>
    <tableColumn id="51" xr3:uid="{AE405BC3-41B4-497F-9487-0C4D2BFA3796}" name="House Priority Order Based on Cost" dataDxfId="112"/>
    <tableColumn id="52" xr3:uid="{290373E7-C451-48C8-AF75-489738D96711}" name="Project Mgmt Notes" dataDxfId="111"/>
    <tableColumn id="53" xr3:uid="{31871F5C-C83B-495E-961E-45EEFB4F3E73}" name="Project Mgmt Recommendation" dataDxfId="110"/>
    <tableColumn id="54" xr3:uid="{3B3F2D23-2A5A-470B-9800-DA69586E648A}" name="Project Mgmt Comment" dataDxfId="109"/>
    <tableColumn id="72" xr3:uid="{6FA8561E-99B7-4443-BCE0-4306A823A2D3}" name="Project Mgmt Date" dataDxfId="108"/>
    <tableColumn id="55" xr3:uid="{9EDDF407-38AE-4500-8AF9-AAF92166DD37}" name="UNDP Notes" dataDxfId="107"/>
    <tableColumn id="70" xr3:uid="{93718286-F9E5-482D-96D1-2321537E0E22}" name="UNDP Recommendation" dataDxfId="106"/>
    <tableColumn id="73" xr3:uid="{3CE7B573-4314-4BD9-A1A0-F577C5518377}" name="UNDP Comment" dataDxfId="105"/>
    <tableColumn id="71" xr3:uid="{CF096764-1B18-4F92-8EEB-27F0752C17C4}" name="UNDP Date" dataDxfId="104"/>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AEA38DB-4E11-4A71-AD1E-CAE27DBF3732}" name="tbl_Actual_costs_quantities34" displayName="tbl_Actual_costs_quantities34" ref="B4:BF704" totalsRowShown="0" headerRowDxfId="103" dataDxfId="102">
  <autoFilter ref="B4:BF704" xr:uid="{DCC1D731-92B2-4C07-87B6-A713440B3C0F}"/>
  <tableColumns count="57">
    <tableColumn id="1" xr3:uid="{DBFE3CB2-58E8-4352-8B62-881C40EF9354}" name="SN" dataDxfId="101"/>
    <tableColumn id="14" xr3:uid="{3536A576-F699-4B9E-806C-FF0810EDF1A1}" name="Data Enumerator" dataDxfId="100"/>
    <tableColumn id="2" xr3:uid="{B408904C-CD5F-43B7-A09E-BF3823F312C7}" name="Date" dataDxfId="99"/>
    <tableColumn id="10" xr3:uid="{1C8F6A5D-3123-4C62-9294-771084980B8F}" name="House Code" dataDxfId="98"/>
    <tableColumn id="13" xr3:uid="{AA329AC2-0DB7-470C-8287-4BEED4D24E7B}" name="Owner Full Name" dataDxfId="97">
      <calculatedColumnFormula>IF(tbl_Actual_costs_quantities34[[#This Row],[House Code]]&lt;&gt;"",INDEX(tbl_Assessment[],MATCH(tbl_Actual_costs_quantities34[[#This Row],[House Code]],tbl_Assessment[House Code],0),3),"")</calculatedColumnFormula>
    </tableColumn>
    <tableColumn id="15" xr3:uid="{8D0BAC5E-685F-4484-9F88-1E9D2D7D6A9A}" name="House Village" dataDxfId="96">
      <calculatedColumnFormula>IF(tbl_Actual_costs_quantities34[[#This Row],[House Code]]&lt;&gt;"",INDEX(tbl_Assessment[],MATCH(tbl_Actual_costs_quantities34[[#This Row],[House Code]],tbl_Assessment[House Code],0),9),"")</calculatedColumnFormula>
    </tableColumn>
    <tableColumn id="78" xr3:uid="{6AF09783-C383-40D4-8097-18BB1DB2429E}" name="Work Assignment Date" dataDxfId="95"/>
    <tableColumn id="77" xr3:uid="{C17A0601-D743-4926-B950-9AF9767C578F}" name="Final Agreed Completion Date" dataDxfId="94"/>
    <tableColumn id="76" xr3:uid="{03E01B3F-ECF2-4BA2-B31F-3D08AD5C0B35}" name="Rehabilitation Start Date" dataDxfId="93"/>
    <tableColumn id="80" xr3:uid="{9FFBD7E2-E1F7-4EE4-8AE8-8489B80C730D}" name="House Status" dataDxfId="92"/>
    <tableColumn id="79" xr3:uid="{25C1389E-537F-48D5-B15F-DEB12C86B353}" name="Completion Percentage" dataDxfId="91">
      <calculatedColumnFormula>IF(tbl_Actual_costs_quantities34[[#This Row],[House Code]]&lt;&gt;"",tbl_Actual_costs_quantities34[[#This Row],[Total cost]]/INDEX(tbl_estimated_costs_quantities[],MATCH(tbl_Actual_costs_quantities34[[#This Row],[House Code]],tbl_estimated_costs_quantities[House Code],0),7),"")</calculatedColumnFormula>
    </tableColumn>
    <tableColumn id="7" xr3:uid="{43245926-0FF9-4AC2-9288-B8769D50616D}" name="Total cost" dataDxfId="90">
      <calculatedColumnFormula>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calculatedColumnFormula>
    </tableColumn>
    <tableColumn id="4" xr3:uid="{AE2B2606-1DEF-47F2-A84B-2147409D71DF}" name="Site Preparation" dataDxfId="89"/>
    <tableColumn id="56" xr3:uid="{C76CC528-3DA3-4BE2-9BE1-DDAD00FE7528}" name="Current Situation Photo Site Preparation" dataDxfId="88"/>
    <tableColumn id="69" xr3:uid="{86857FAC-0DC5-4611-8033-AD04C6A4AF49}" name="Site Preparation Cost" dataDxfId="87">
      <calculatedColumnFormula>tbl_Actual_costs_quantities34[[#This Row],[Site Preparation]]*BOQs!$L$3</calculatedColumnFormula>
    </tableColumn>
    <tableColumn id="12" xr3:uid="{B933A109-A773-4055-8B4F-554EABF7F36F}" name="Demolition Removal Unsafe Structures" dataDxfId="86"/>
    <tableColumn id="57" xr3:uid="{D0C5DAD7-F80F-4D27-A5B2-F910CAAE2BF7}" name="Current Situation Photo Demolition Removal Unsafe Structures" dataDxfId="85"/>
    <tableColumn id="5" xr3:uid="{A893AF93-33E8-45A4-9874-08E30C52FD89}" name="Demolition Removal Unsafe Structures Cost" dataDxfId="84">
      <calculatedColumnFormula>tbl_Actual_costs_quantities34[[#This Row],[Demolition Removal Unsafe Structures]]*BOQs!$L$4</calculatedColumnFormula>
    </tableColumn>
    <tableColumn id="58" xr3:uid="{60287AF1-807A-4687-B626-DC358FDA0C44}" name="Concrete Works" dataDxfId="83"/>
    <tableColumn id="6" xr3:uid="{561F6E4F-B680-4DF2-A7A5-E31C371757F9}" name="Current Situation Photo Concrete Works" dataDxfId="82"/>
    <tableColumn id="59" xr3:uid="{F915A042-99B3-4AB7-9123-FF6D431AC37A}" name="Concrete Works Cost" dataDxfId="81">
      <calculatedColumnFormula>tbl_Actual_costs_quantities34[[#This Row],[Concrete Works]]*BOQs!$L$5</calculatedColumnFormula>
    </tableColumn>
    <tableColumn id="11" xr3:uid="{048D7CA4-66BA-4B4A-A57F-AD5781378D37}" name="Closure External Openings Walls Windows" dataDxfId="80"/>
    <tableColumn id="60" xr3:uid="{31CA9C3A-F286-49CA-B740-B60F3BE515E9}" name="Current Situation Photo Closure External Openings Walls Windows" dataDxfId="79"/>
    <tableColumn id="8" xr3:uid="{A8305FB6-AEA3-4CC7-A975-8E59BD22F463}" name="Closure External Openings Walls Windows Cost" dataDxfId="78">
      <calculatedColumnFormula>tbl_Actual_costs_quantities34[[#This Row],[Closure External Openings Walls Windows]]*BOQs!$L$6</calculatedColumnFormula>
    </tableColumn>
    <tableColumn id="61" xr3:uid="{DA985F73-F676-4BA6-9ED6-8EBF9E44DB6A}" name="Plastering Painting" dataDxfId="77"/>
    <tableColumn id="9" xr3:uid="{4A55BE96-458F-4335-9C00-54DAFAA62F6B}" name="Current Situation Photo Plastering Painting" dataDxfId="76"/>
    <tableColumn id="62" xr3:uid="{0FCE9F4D-4FB3-4EF4-BF1A-D5B4B2F4A5EC}" name="Plastering Painting Cost" dataDxfId="75">
      <calculatedColumnFormula>tbl_Actual_costs_quantities34[[#This Row],[Plastering Painting]]*BOQs!$L$7</calculatedColumnFormula>
    </tableColumn>
    <tableColumn id="16" xr3:uid="{A1AF3DA4-ADF7-4CF1-895A-5D493F03BF22}" name="Floor Repairs" dataDxfId="74"/>
    <tableColumn id="68" xr3:uid="{88CBEB97-4958-4618-AB16-F7E8DDAD67AF}" name="Current Situation Photo Floor Repairs" dataDxfId="73"/>
    <tableColumn id="17" xr3:uid="{056A46F5-5339-44E1-B84E-B4687F340006}" name="Floor Repairs Cost" dataDxfId="72">
      <calculatedColumnFormula>tbl_Actual_costs_quantities34[[#This Row],[Floor Repairs]]*BOQs!$L$8</calculatedColumnFormula>
    </tableColumn>
    <tableColumn id="67" xr3:uid="{42F1514A-005D-4E44-808D-4E3EA222A059}" name="Doors Replacement Repair" dataDxfId="71"/>
    <tableColumn id="18" xr3:uid="{9FEFB1EB-7CCE-4DF5-9403-8E543A7D81B2}" name="Current Situation Photo Doors Replacement Repair" dataDxfId="70"/>
    <tableColumn id="66" xr3:uid="{A96AF723-1997-4FB9-847F-DD4CBDDEC987}" name="Doors Replacement Repair Cost" dataDxfId="69">
      <calculatedColumnFormula>tbl_Actual_costs_quantities34[[#This Row],[Doors Replacement Repair]]*BOQs!$L$9</calculatedColumnFormula>
    </tableColumn>
    <tableColumn id="19" xr3:uid="{1B4DE0EE-9FF0-450D-8A02-C72B466363DE}" name="Windows Replacement Repair" dataDxfId="68"/>
    <tableColumn id="65" xr3:uid="{E05193E4-5B4B-43C6-975B-69D83C37F58F}" name="Current Situation Photo Windows Replacement Repair" dataDxfId="67"/>
    <tableColumn id="20" xr3:uid="{680BBF0E-8D66-4F19-9D72-106982816242}" name="Windows Replacement Repair Cost" dataDxfId="66">
      <calculatedColumnFormula>tbl_Actual_costs_quantities34[[#This Row],[Windows Replacement Repair]]*BOQs!$L$10</calculatedColumnFormula>
    </tableColumn>
    <tableColumn id="64" xr3:uid="{81E2FE14-FC6A-40EB-A1CC-7C9B080FD07F}" name="Bathroom Rehabilitation" dataDxfId="65"/>
    <tableColumn id="21" xr3:uid="{74075879-ACD2-44E7-BEA8-075267D86E72}" name="Current Situation Photo Bathroom Rehabilitation" dataDxfId="64"/>
    <tableColumn id="63" xr3:uid="{2433E236-0950-4755-862F-4509ED052AC2}" name="Bathroom Rehabilitation Cost" dataDxfId="63">
      <calculatedColumnFormula>tbl_Actual_costs_quantities34[[#This Row],[Bathroom Rehabilitation]]*BOQs!$L$11</calculatedColumnFormula>
    </tableColumn>
    <tableColumn id="22" xr3:uid="{A4FF8263-E670-4370-99E5-CB2D3C769356}" name="Ceramic Tile Works WASH" dataDxfId="62"/>
    <tableColumn id="23" xr3:uid="{6C790DF6-DA5F-4501-949E-B306F7833427}" name="Current Situation Photo Ceramic Tile Works WASH" dataDxfId="61"/>
    <tableColumn id="24" xr3:uid="{25EEAAE8-953A-4655-ACEB-BEEE8B1A4341}" name="Ceramic Tile Works WASH Cost" dataDxfId="60">
      <calculatedColumnFormula>tbl_Actual_costs_quantities34[[#This Row],[Ceramic Tile Works WASH]]*BOQs!$L$12</calculatedColumnFormula>
    </tableColumn>
    <tableColumn id="25" xr3:uid="{A0400683-285D-4237-A00D-38B3E5B1A7A2}" name="Electrical Repairs Lighting" dataDxfId="59"/>
    <tableColumn id="26" xr3:uid="{60571D92-4AC4-4AEE-B393-DC00E4AF7DA1}" name="Current Situation Photo Electrical Repairs Lighting" dataDxfId="58"/>
    <tableColumn id="27" xr3:uid="{DE31E8AC-F29C-4F5D-AC28-95FCDECFD945}" name="Electrical Repairs Lighting Cost" dataDxfId="57">
      <calculatedColumnFormula>tbl_Actual_costs_quantities34[[#This Row],[Electrical Repairs Lighting]]*BOQs!$L$13</calculatedColumnFormula>
    </tableColumn>
    <tableColumn id="28" xr3:uid="{3841EFD8-58AF-42EC-8560-4F3A020CE796}" name="Roof Insulation Leak Sealing" dataDxfId="56"/>
    <tableColumn id="29" xr3:uid="{9879BDDB-2097-4287-B9CF-ED7F6BE4AD2D}" name="Current Situation Photo Roof Insulation Leak Sealing" dataDxfId="55"/>
    <tableColumn id="30" xr3:uid="{A8D7FEE3-AD10-463B-B189-5D57917D290F}" name="Roof Insulation Leak Sealing Cost" dataDxfId="54">
      <calculatedColumnFormula>tbl_Actual_costs_quantities34[[#This Row],[Roof Insulation Leak Sealing]]*BOQs!$L$14</calculatedColumnFormula>
    </tableColumn>
    <tableColumn id="31" xr3:uid="{BF6CD5A9-78C3-47AB-AE7B-9BFE9C0D0BDF}" name="Chimney Duct Cleaning Repair" dataDxfId="53"/>
    <tableColumn id="32" xr3:uid="{6AD3653B-6FF6-4B18-B51D-ABC948AFAFB7}" name="Current Situation Photo Chimney Duct Cleaning Repair" dataDxfId="52"/>
    <tableColumn id="33" xr3:uid="{52198150-8FBA-4975-BC90-DE8F4DC2CA96}" name="Chimney Duct Cleaning Repair Cost" dataDxfId="51">
      <calculatedColumnFormula>tbl_Actual_costs_quantities34[[#This Row],[Chimney Duct Cleaning Repair]]*BOQs!$L$15</calculatedColumnFormula>
    </tableColumn>
    <tableColumn id="34" xr3:uid="{0D7F730A-2718-4FCE-A3E3-159DA6B10245}" name="Accessibility Adaptations" dataDxfId="50"/>
    <tableColumn id="35" xr3:uid="{C0190A36-99E3-4744-8B74-648BCF12D201}" name="Current Situation Photo Accessibility Adaptations" dataDxfId="49"/>
    <tableColumn id="36" xr3:uid="{3D650D10-CC3B-407A-B48F-FA2716FDD402}" name="Accessibility Adaptations Cost" dataDxfId="48">
      <calculatedColumnFormula>tbl_Actual_costs_quantities34[[#This Row],[Accessibility Adaptations]]*BOQs!$L$16</calculatedColumnFormula>
    </tableColumn>
    <tableColumn id="74" xr3:uid="{DE4AD7A3-A6AE-4FFC-9C19-5AB9349ADF86}" name="Total estimated cost to average estimated cost" dataDxfId="47"/>
    <tableColumn id="51" xr3:uid="{13ADBC55-8202-498A-B3A1-EC2394B0674D}" name="House Priority Order Based on Cost" dataDxfId="46"/>
    <tableColumn id="52" xr3:uid="{0BFE9189-C9F5-4048-B647-F0659E56D43C}" name=" Notes" dataDxfId="45"/>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0" row="0">
    <wetp:webextensionref xmlns:r="http://schemas.openxmlformats.org/officeDocument/2006/relationships" r:id="rId3"/>
  </wetp:taskpane>
  <wetp:taskpane dockstate="right" visibility="0" width="0" row="0">
    <wetp:webextensionref xmlns:r="http://schemas.openxmlformats.org/officeDocument/2006/relationships" r:id="rId4"/>
  </wetp:taskpane>
</wetp:taskpanes>
</file>

<file path=xl/webextensions/webextension1.xml><?xml version="1.0" encoding="utf-8"?>
<we:webextension xmlns:we="http://schemas.microsoft.com/office/webextensions/webextension/2010/11" id="{F90A1D3B-E7BE-40FC-A333-805BA5CFEA35}">
  <we:reference id="wa200005271" version="2.4.3.0" store="en-US" storeType="OMEX"/>
  <we:alternateReferences>
    <we:reference id="WA200005271" version="2.4.3.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1B403900-F302-402B-97CC-291C70010C28}">
  <we:reference id="wa200005502" version="1.0.0.11" store="en-US" storeType="OMEX"/>
  <we:alternateReferences>
    <we:reference id="WA200005502" version="1.0.0.11" store="" storeType="OMEX"/>
  </we:alternateReferences>
  <we:properties>
    <we:property name="docId" value="&quot;QMYiAzwjBBc6m6Yt3drdZ&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818502BE-10C9-4E9C-8782-FE42EE9A298F}">
  <we:reference id="wa200004179" version="2024.3.0.0" store="en-US" storeType="OMEX"/>
  <we:alternateReferences>
    <we:reference id="wa200004179" version="2024.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_xldudf_ARCGIS_FINDROUTEBYCOORDINATES</we:customFunctionIds>
        <we:customFunctionIds>_xldudf_ARCGIS_FINDROUTEBYADDRESS</we:customFunctionIds>
        <we:customFunctionIds>_xldudf_ARCGIS_SUGGESTADDRESS</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we:extLst>
</we:webextension>
</file>

<file path=xl/webextensions/webextension4.xml><?xml version="1.0" encoding="utf-8"?>
<we:webextension xmlns:we="http://schemas.microsoft.com/office/webextensions/webextension/2010/11" id="{0252A54F-E053-449C-AABB-F1CA5A23015F}">
  <we:reference id="wa200006009" version="2.1.0.10" store="en-US" storeType="OMEX"/>
  <we:alternateReferences>
    <we:reference id="WA200006009" version="2.1.0.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AD5A-B578-4ACF-A30E-C46BAB0189B8}">
  <sheetPr codeName="Sheet6">
    <tabColor theme="5"/>
  </sheetPr>
  <dimension ref="A1:S88"/>
  <sheetViews>
    <sheetView showGridLines="0" zoomScaleNormal="100" workbookViewId="0">
      <selection activeCell="F41" sqref="F41"/>
    </sheetView>
  </sheetViews>
  <sheetFormatPr defaultRowHeight="15" x14ac:dyDescent="0.25"/>
  <cols>
    <col min="1" max="1" width="15.7109375" bestFit="1" customWidth="1"/>
    <col min="2" max="2" width="21" customWidth="1"/>
    <col min="3" max="3" width="12.85546875" customWidth="1"/>
    <col min="4" max="4" width="10.42578125" customWidth="1"/>
    <col min="5" max="5" width="11.42578125" customWidth="1"/>
    <col min="6" max="6" width="27.85546875" customWidth="1"/>
    <col min="7" max="7" width="25.85546875" customWidth="1"/>
    <col min="8" max="8" width="58.5703125" hidden="1" customWidth="1"/>
    <col min="9" max="9" width="46.7109375" hidden="1" customWidth="1"/>
    <col min="10" max="10" width="12.5703125" customWidth="1"/>
    <col min="11" max="11" width="11.5703125" customWidth="1"/>
    <col min="12" max="12" width="8.85546875" customWidth="1"/>
    <col min="13" max="13" width="15.42578125" customWidth="1"/>
    <col min="18" max="18" width="16.85546875" bestFit="1" customWidth="1"/>
    <col min="19" max="19" width="12" customWidth="1"/>
  </cols>
  <sheetData>
    <row r="1" spans="1:19" ht="19.899999999999999" customHeight="1" x14ac:dyDescent="0.25">
      <c r="M1" s="17">
        <f>SUBTOTAL(9,tbl_BOQs[Total])</f>
        <v>5134038.8000000007</v>
      </c>
    </row>
    <row r="2" spans="1:19" ht="31.5" x14ac:dyDescent="0.25">
      <c r="A2" s="15" t="s">
        <v>0</v>
      </c>
      <c r="B2" s="15" t="s">
        <v>1</v>
      </c>
      <c r="C2" s="15" t="s">
        <v>2</v>
      </c>
      <c r="D2" s="15" t="s">
        <v>3</v>
      </c>
      <c r="E2" s="15" t="s">
        <v>4</v>
      </c>
      <c r="F2" s="15" t="s">
        <v>5</v>
      </c>
      <c r="G2" s="15" t="s">
        <v>6</v>
      </c>
      <c r="H2" s="15" t="s">
        <v>7</v>
      </c>
      <c r="I2" s="15" t="s">
        <v>8</v>
      </c>
      <c r="J2" s="15" t="s">
        <v>9</v>
      </c>
      <c r="K2" s="15" t="s">
        <v>10</v>
      </c>
      <c r="L2" s="15" t="s">
        <v>11</v>
      </c>
      <c r="M2" s="15" t="s">
        <v>12</v>
      </c>
      <c r="R2" s="30" t="s">
        <v>13</v>
      </c>
      <c r="S2" s="15" t="s">
        <v>14</v>
      </c>
    </row>
    <row r="3" spans="1:19" x14ac:dyDescent="0.25">
      <c r="A3" s="1" t="str">
        <f>tbl_BOQs[[#This Row],[BOQ ID]]&amp;"-"&amp;tbl_BOQs[[#This Row],[Contractor]]</f>
        <v>w1_1-C3</v>
      </c>
      <c r="B3" s="13" t="s">
        <v>3558</v>
      </c>
      <c r="C3" s="116" t="s">
        <v>3574</v>
      </c>
      <c r="D3" s="1" t="s">
        <v>3494</v>
      </c>
      <c r="E3" s="2" t="s">
        <v>3573</v>
      </c>
      <c r="F3" s="82" t="s">
        <v>3513</v>
      </c>
      <c r="G3" s="32" t="s">
        <v>2738</v>
      </c>
      <c r="H3" s="1" t="s">
        <v>3513</v>
      </c>
      <c r="I3" s="1" t="s">
        <v>2738</v>
      </c>
      <c r="J3" s="1"/>
      <c r="K3" s="14">
        <v>5803</v>
      </c>
      <c r="L3" s="11">
        <v>7</v>
      </c>
      <c r="M3" s="12">
        <f>tbl_BOQs[[#This Row],[Cost]]*tbl_BOQs[[#This Row],[Quantities]]</f>
        <v>40621</v>
      </c>
      <c r="R3" s="19" t="s">
        <v>15</v>
      </c>
      <c r="S3" s="85">
        <v>2623</v>
      </c>
    </row>
    <row r="4" spans="1:19" ht="15.75" x14ac:dyDescent="0.25">
      <c r="A4" s="1" t="str">
        <f>tbl_BOQs[[#This Row],[BOQ ID]]&amp;"-"&amp;tbl_BOQs[[#This Row],[Contractor]]</f>
        <v>w1_2-C3</v>
      </c>
      <c r="B4" s="13" t="s">
        <v>3558</v>
      </c>
      <c r="C4" s="116" t="s">
        <v>3575</v>
      </c>
      <c r="D4" s="1" t="s">
        <v>3470</v>
      </c>
      <c r="E4" s="2" t="s">
        <v>3573</v>
      </c>
      <c r="F4" s="82" t="s">
        <v>3514</v>
      </c>
      <c r="G4" s="32" t="s">
        <v>2562</v>
      </c>
      <c r="H4" s="1" t="s">
        <v>3514</v>
      </c>
      <c r="I4" s="1" t="s">
        <v>2562</v>
      </c>
      <c r="J4" s="1"/>
      <c r="K4" s="14">
        <v>5803</v>
      </c>
      <c r="L4" s="11">
        <v>6</v>
      </c>
      <c r="M4" s="12">
        <f>tbl_BOQs[[#This Row],[Cost]]*tbl_BOQs[[#This Row],[Quantities]]</f>
        <v>34818</v>
      </c>
      <c r="R4" s="31" t="s">
        <v>19</v>
      </c>
      <c r="S4" s="17">
        <v>2623</v>
      </c>
    </row>
    <row r="5" spans="1:19" x14ac:dyDescent="0.25">
      <c r="A5" s="1" t="str">
        <f>tbl_BOQs[[#This Row],[BOQ ID]]&amp;"-"&amp;tbl_BOQs[[#This Row],[Contractor]]</f>
        <v>w1_3-C3</v>
      </c>
      <c r="B5" s="13" t="s">
        <v>3558</v>
      </c>
      <c r="C5" s="116" t="s">
        <v>3576</v>
      </c>
      <c r="D5" s="1" t="s">
        <v>3471</v>
      </c>
      <c r="E5" s="2" t="s">
        <v>3573</v>
      </c>
      <c r="F5" s="82" t="s">
        <v>3515</v>
      </c>
      <c r="G5" s="32" t="s">
        <v>2565</v>
      </c>
      <c r="H5" s="1" t="s">
        <v>3515</v>
      </c>
      <c r="I5" s="1" t="s">
        <v>2565</v>
      </c>
      <c r="J5" s="1"/>
      <c r="K5" s="14">
        <v>5803</v>
      </c>
      <c r="L5" s="11">
        <v>75</v>
      </c>
      <c r="M5" s="12">
        <f>tbl_BOQs[[#This Row],[Cost]]*tbl_BOQs[[#This Row],[Quantities]]</f>
        <v>435225</v>
      </c>
    </row>
    <row r="6" spans="1:19" x14ac:dyDescent="0.25">
      <c r="A6" s="1" t="str">
        <f>tbl_BOQs[[#This Row],[BOQ ID]]&amp;"-"&amp;tbl_BOQs[[#This Row],[Contractor]]</f>
        <v>w1_4-C3</v>
      </c>
      <c r="B6" s="13" t="s">
        <v>3558</v>
      </c>
      <c r="C6" s="116" t="s">
        <v>3577</v>
      </c>
      <c r="D6" s="1" t="s">
        <v>3472</v>
      </c>
      <c r="E6" s="2" t="s">
        <v>3573</v>
      </c>
      <c r="F6" s="82" t="s">
        <v>3516</v>
      </c>
      <c r="G6" s="32" t="s">
        <v>2568</v>
      </c>
      <c r="H6" s="1" t="s">
        <v>3516</v>
      </c>
      <c r="I6" s="1" t="s">
        <v>2568</v>
      </c>
      <c r="J6" s="1"/>
      <c r="K6" s="14">
        <v>5803</v>
      </c>
      <c r="L6" s="11">
        <v>75</v>
      </c>
      <c r="M6" s="12">
        <f>tbl_BOQs[[#This Row],[Cost]]*tbl_BOQs[[#This Row],[Quantities]]</f>
        <v>435225</v>
      </c>
    </row>
    <row r="7" spans="1:19" x14ac:dyDescent="0.25">
      <c r="A7" s="1" t="str">
        <f>tbl_BOQs[[#This Row],[BOQ ID]]&amp;"-"&amp;tbl_BOQs[[#This Row],[Contractor]]</f>
        <v>w1_5-C3</v>
      </c>
      <c r="B7" s="13" t="s">
        <v>3558</v>
      </c>
      <c r="C7" s="116" t="s">
        <v>3578</v>
      </c>
      <c r="D7" s="1" t="s">
        <v>3495</v>
      </c>
      <c r="E7" s="2" t="s">
        <v>3573</v>
      </c>
      <c r="F7" s="82" t="s">
        <v>3517</v>
      </c>
      <c r="G7" s="32" t="s">
        <v>2745</v>
      </c>
      <c r="H7" s="1" t="s">
        <v>3517</v>
      </c>
      <c r="I7" s="1" t="s">
        <v>2745</v>
      </c>
      <c r="J7" s="1"/>
      <c r="K7" s="14">
        <v>5803</v>
      </c>
      <c r="L7" s="11">
        <v>148</v>
      </c>
      <c r="M7" s="12">
        <f>tbl_BOQs[[#This Row],[Cost]]*tbl_BOQs[[#This Row],[Quantities]]</f>
        <v>858844</v>
      </c>
    </row>
    <row r="8" spans="1:19" x14ac:dyDescent="0.25">
      <c r="A8" s="1" t="str">
        <f>tbl_BOQs[[#This Row],[BOQ ID]]&amp;"-"&amp;tbl_BOQs[[#This Row],[Contractor]]</f>
        <v>w1_6-C3</v>
      </c>
      <c r="B8" s="13" t="s">
        <v>3558</v>
      </c>
      <c r="C8" s="116" t="s">
        <v>3579</v>
      </c>
      <c r="D8" s="1" t="s">
        <v>3473</v>
      </c>
      <c r="E8" s="2" t="s">
        <v>3573</v>
      </c>
      <c r="F8" s="82" t="s">
        <v>3518</v>
      </c>
      <c r="G8" s="32" t="s">
        <v>2571</v>
      </c>
      <c r="H8" s="1" t="s">
        <v>3518</v>
      </c>
      <c r="I8" s="1" t="s">
        <v>2571</v>
      </c>
      <c r="J8" s="1"/>
      <c r="K8" s="14">
        <v>9000</v>
      </c>
      <c r="L8" s="11">
        <v>5</v>
      </c>
      <c r="M8" s="12">
        <f>tbl_BOQs[[#This Row],[Cost]]*tbl_BOQs[[#This Row],[Quantities]]</f>
        <v>45000</v>
      </c>
    </row>
    <row r="9" spans="1:19" x14ac:dyDescent="0.25">
      <c r="A9" s="1" t="str">
        <f>tbl_BOQs[[#This Row],[BOQ ID]]&amp;"-"&amp;tbl_BOQs[[#This Row],[Contractor]]</f>
        <v>w1_7-C3</v>
      </c>
      <c r="B9" s="13" t="s">
        <v>3558</v>
      </c>
      <c r="C9" s="116" t="s">
        <v>3580</v>
      </c>
      <c r="D9" s="1" t="s">
        <v>3496</v>
      </c>
      <c r="E9" s="2" t="s">
        <v>3573</v>
      </c>
      <c r="F9" s="82" t="s">
        <v>3519</v>
      </c>
      <c r="G9" s="32" t="s">
        <v>2750</v>
      </c>
      <c r="H9" s="1" t="s">
        <v>3519</v>
      </c>
      <c r="I9" s="1" t="s">
        <v>2750</v>
      </c>
      <c r="J9" s="1"/>
      <c r="K9" s="14">
        <v>2650</v>
      </c>
      <c r="L9" s="11">
        <v>25</v>
      </c>
      <c r="M9" s="12">
        <f>tbl_BOQs[[#This Row],[Cost]]*tbl_BOQs[[#This Row],[Quantities]]</f>
        <v>66250</v>
      </c>
    </row>
    <row r="10" spans="1:19" x14ac:dyDescent="0.25">
      <c r="A10" s="1" t="str">
        <f>tbl_BOQs[[#This Row],[BOQ ID]]&amp;"-"&amp;tbl_BOQs[[#This Row],[Contractor]]</f>
        <v>w1_8-C3</v>
      </c>
      <c r="B10" s="13" t="s">
        <v>3558</v>
      </c>
      <c r="C10" s="116" t="s">
        <v>3581</v>
      </c>
      <c r="D10" s="1" t="s">
        <v>3497</v>
      </c>
      <c r="E10" s="2" t="s">
        <v>3573</v>
      </c>
      <c r="F10" s="82" t="s">
        <v>3520</v>
      </c>
      <c r="G10" s="32" t="s">
        <v>2753</v>
      </c>
      <c r="H10" s="1" t="s">
        <v>3520</v>
      </c>
      <c r="I10" s="1" t="s">
        <v>2753</v>
      </c>
      <c r="J10" s="1"/>
      <c r="K10" s="14">
        <v>528</v>
      </c>
      <c r="L10" s="11">
        <v>10</v>
      </c>
      <c r="M10" s="12">
        <f>tbl_BOQs[[#This Row],[Cost]]*tbl_BOQs[[#This Row],[Quantities]]</f>
        <v>5280</v>
      </c>
    </row>
    <row r="11" spans="1:19" x14ac:dyDescent="0.25">
      <c r="A11" s="1" t="str">
        <f>tbl_BOQs[[#This Row],[BOQ ID]]&amp;"-"&amp;tbl_BOQs[[#This Row],[Contractor]]</f>
        <v>w1_9-C3</v>
      </c>
      <c r="B11" s="13" t="s">
        <v>3558</v>
      </c>
      <c r="C11" s="116" t="s">
        <v>3582</v>
      </c>
      <c r="D11" s="1" t="s">
        <v>3474</v>
      </c>
      <c r="E11" s="2" t="s">
        <v>3573</v>
      </c>
      <c r="F11" s="83" t="s">
        <v>3521</v>
      </c>
      <c r="G11" s="33" t="s">
        <v>2574</v>
      </c>
      <c r="H11" s="1" t="s">
        <v>3521</v>
      </c>
      <c r="I11" s="1" t="s">
        <v>2574</v>
      </c>
      <c r="J11" s="1"/>
      <c r="K11" s="14">
        <v>2150</v>
      </c>
      <c r="L11" s="11">
        <v>77</v>
      </c>
      <c r="M11" s="12">
        <f>tbl_BOQs[[#This Row],[Cost]]*tbl_BOQs[[#This Row],[Quantities]]</f>
        <v>165550</v>
      </c>
    </row>
    <row r="12" spans="1:19" x14ac:dyDescent="0.25">
      <c r="A12" s="1" t="str">
        <f>tbl_BOQs[[#This Row],[BOQ ID]]&amp;"-"&amp;tbl_BOQs[[#This Row],[Contractor]]</f>
        <v>w1_10-C3</v>
      </c>
      <c r="B12" s="13" t="s">
        <v>3558</v>
      </c>
      <c r="C12" s="116">
        <v>10</v>
      </c>
      <c r="D12" s="1" t="s">
        <v>3498</v>
      </c>
      <c r="E12" s="2" t="s">
        <v>3573</v>
      </c>
      <c r="F12" s="83" t="s">
        <v>3522</v>
      </c>
      <c r="G12" s="33" t="s">
        <v>2758</v>
      </c>
      <c r="H12" s="1" t="s">
        <v>3522</v>
      </c>
      <c r="I12" s="1" t="s">
        <v>2758</v>
      </c>
      <c r="J12" s="1"/>
      <c r="K12" s="14">
        <v>11500</v>
      </c>
      <c r="L12" s="11">
        <v>1.6</v>
      </c>
      <c r="M12" s="12">
        <f>tbl_BOQs[[#This Row],[Cost]]*tbl_BOQs[[#This Row],[Quantities]]</f>
        <v>18400</v>
      </c>
    </row>
    <row r="13" spans="1:19" x14ac:dyDescent="0.25">
      <c r="A13" s="1" t="str">
        <f>tbl_BOQs[[#This Row],[BOQ ID]]&amp;"-"&amp;tbl_BOQs[[#This Row],[Contractor]]</f>
        <v>w1_11-C3</v>
      </c>
      <c r="B13" s="13" t="s">
        <v>3558</v>
      </c>
      <c r="C13" s="116">
        <v>11</v>
      </c>
      <c r="D13" s="1" t="s">
        <v>3475</v>
      </c>
      <c r="E13" s="2" t="s">
        <v>3573</v>
      </c>
      <c r="F13" s="84" t="s">
        <v>3523</v>
      </c>
      <c r="G13" s="34" t="s">
        <v>2577</v>
      </c>
      <c r="H13" s="1" t="s">
        <v>3523</v>
      </c>
      <c r="I13" s="1" t="s">
        <v>2577</v>
      </c>
      <c r="J13" s="1"/>
      <c r="K13" s="14">
        <v>6200</v>
      </c>
      <c r="L13" s="11">
        <v>42</v>
      </c>
      <c r="M13" s="12">
        <f>tbl_BOQs[[#This Row],[Cost]]*tbl_BOQs[[#This Row],[Quantities]]</f>
        <v>260400</v>
      </c>
    </row>
    <row r="14" spans="1:19" x14ac:dyDescent="0.25">
      <c r="A14" s="1" t="str">
        <f>tbl_BOQs[[#This Row],[BOQ ID]]&amp;"-"&amp;tbl_BOQs[[#This Row],[Contractor]]</f>
        <v>w1_12-C3</v>
      </c>
      <c r="B14" s="13" t="s">
        <v>3558</v>
      </c>
      <c r="C14" s="116">
        <v>12</v>
      </c>
      <c r="D14" s="1" t="s">
        <v>3476</v>
      </c>
      <c r="E14" s="2" t="s">
        <v>3573</v>
      </c>
      <c r="F14" s="83" t="s">
        <v>3524</v>
      </c>
      <c r="G14" s="33" t="s">
        <v>2580</v>
      </c>
      <c r="H14" s="1" t="s">
        <v>3524</v>
      </c>
      <c r="I14" s="1" t="s">
        <v>2580</v>
      </c>
      <c r="J14" s="1"/>
      <c r="K14" s="14">
        <v>51</v>
      </c>
      <c r="L14" s="11">
        <v>6</v>
      </c>
      <c r="M14" s="12">
        <f>tbl_BOQs[[#This Row],[Cost]]*tbl_BOQs[[#This Row],[Quantities]]</f>
        <v>306</v>
      </c>
    </row>
    <row r="15" spans="1:19" x14ac:dyDescent="0.25">
      <c r="A15" s="1" t="str">
        <f>tbl_BOQs[[#This Row],[BOQ ID]]&amp;"-"&amp;tbl_BOQs[[#This Row],[Contractor]]</f>
        <v>w1_13-C3</v>
      </c>
      <c r="B15" s="13" t="s">
        <v>3558</v>
      </c>
      <c r="C15" s="116">
        <v>13</v>
      </c>
      <c r="D15" s="1" t="s">
        <v>3556</v>
      </c>
      <c r="E15" s="2" t="s">
        <v>3573</v>
      </c>
      <c r="F15" s="83" t="s">
        <v>3525</v>
      </c>
      <c r="G15" s="33" t="s">
        <v>3511</v>
      </c>
      <c r="H15" s="1" t="s">
        <v>3525</v>
      </c>
      <c r="I15" s="1" t="s">
        <v>3511</v>
      </c>
      <c r="J15" s="1"/>
      <c r="K15" s="14">
        <v>49</v>
      </c>
      <c r="L15" s="11">
        <v>9</v>
      </c>
      <c r="M15" s="12">
        <f>tbl_BOQs[[#This Row],[Cost]]*tbl_BOQs[[#This Row],[Quantities]]</f>
        <v>441</v>
      </c>
    </row>
    <row r="16" spans="1:19" x14ac:dyDescent="0.25">
      <c r="A16" s="1" t="str">
        <f>tbl_BOQs[[#This Row],[BOQ ID]]&amp;"-"&amp;tbl_BOQs[[#This Row],[Contractor]]</f>
        <v>w1_14-C3</v>
      </c>
      <c r="B16" s="13" t="s">
        <v>3558</v>
      </c>
      <c r="C16" s="116">
        <v>14</v>
      </c>
      <c r="D16" s="1" t="s">
        <v>3557</v>
      </c>
      <c r="E16" s="2" t="s">
        <v>3573</v>
      </c>
      <c r="F16" s="83" t="s">
        <v>3526</v>
      </c>
      <c r="G16" s="33" t="s">
        <v>3512</v>
      </c>
      <c r="H16" s="1" t="s">
        <v>3526</v>
      </c>
      <c r="I16" s="1" t="s">
        <v>3512</v>
      </c>
      <c r="J16" s="1"/>
      <c r="K16" s="14">
        <v>32</v>
      </c>
      <c r="L16" s="11">
        <v>20</v>
      </c>
      <c r="M16" s="12">
        <f>tbl_BOQs[[#This Row],[Cost]]*tbl_BOQs[[#This Row],[Quantities]]</f>
        <v>640</v>
      </c>
    </row>
    <row r="17" spans="1:13" x14ac:dyDescent="0.25">
      <c r="A17" s="1" t="str">
        <f>tbl_BOQs[[#This Row],[BOQ ID]]&amp;"-"&amp;tbl_BOQs[[#This Row],[Contractor]]</f>
        <v>w2_1-C3</v>
      </c>
      <c r="B17" s="13" t="s">
        <v>3559</v>
      </c>
      <c r="C17" s="116">
        <v>15</v>
      </c>
      <c r="D17" s="1" t="s">
        <v>3477</v>
      </c>
      <c r="E17" s="2" t="s">
        <v>3573</v>
      </c>
      <c r="F17" s="82" t="s">
        <v>3527</v>
      </c>
      <c r="G17" s="32" t="s">
        <v>2583</v>
      </c>
      <c r="H17" s="1" t="s">
        <v>3527</v>
      </c>
      <c r="I17" s="1" t="s">
        <v>2583</v>
      </c>
      <c r="J17" s="1"/>
      <c r="K17" s="14">
        <v>166</v>
      </c>
      <c r="L17" s="11">
        <v>20</v>
      </c>
      <c r="M17" s="12">
        <f>tbl_BOQs[[#This Row],[Cost]]*tbl_BOQs[[#This Row],[Quantities]]</f>
        <v>3320</v>
      </c>
    </row>
    <row r="18" spans="1:13" x14ac:dyDescent="0.25">
      <c r="A18" s="1" t="str">
        <f>tbl_BOQs[[#This Row],[BOQ ID]]&amp;"-"&amp;tbl_BOQs[[#This Row],[Contractor]]</f>
        <v>w2_2-C3</v>
      </c>
      <c r="B18" s="13" t="s">
        <v>3559</v>
      </c>
      <c r="C18" s="116">
        <v>16</v>
      </c>
      <c r="D18" s="1" t="s">
        <v>3478</v>
      </c>
      <c r="E18" s="2" t="s">
        <v>3573</v>
      </c>
      <c r="F18" s="82" t="s">
        <v>3528</v>
      </c>
      <c r="G18" s="32" t="s">
        <v>2586</v>
      </c>
      <c r="H18" s="1" t="s">
        <v>3528</v>
      </c>
      <c r="I18" s="1" t="s">
        <v>2586</v>
      </c>
      <c r="J18" s="1"/>
      <c r="K18" s="14">
        <v>650</v>
      </c>
      <c r="L18" s="11">
        <v>18</v>
      </c>
      <c r="M18" s="12">
        <f>tbl_BOQs[[#This Row],[Cost]]*tbl_BOQs[[#This Row],[Quantities]]</f>
        <v>11700</v>
      </c>
    </row>
    <row r="19" spans="1:13" x14ac:dyDescent="0.25">
      <c r="A19" s="1" t="str">
        <f>tbl_BOQs[[#This Row],[BOQ ID]]&amp;"-"&amp;tbl_BOQs[[#This Row],[Contractor]]</f>
        <v>w2_3-C3</v>
      </c>
      <c r="B19" s="13" t="s">
        <v>3559</v>
      </c>
      <c r="C19" s="116">
        <v>17</v>
      </c>
      <c r="D19" s="1" t="s">
        <v>3490</v>
      </c>
      <c r="E19" s="2" t="s">
        <v>3573</v>
      </c>
      <c r="F19" s="82" t="s">
        <v>3529</v>
      </c>
      <c r="G19" s="32" t="s">
        <v>2630</v>
      </c>
      <c r="H19" s="1" t="s">
        <v>3529</v>
      </c>
      <c r="I19" s="1" t="s">
        <v>2630</v>
      </c>
      <c r="J19" s="1"/>
      <c r="K19" s="14">
        <v>650</v>
      </c>
      <c r="L19" s="11">
        <v>18</v>
      </c>
      <c r="M19" s="12">
        <f>tbl_BOQs[[#This Row],[Cost]]*tbl_BOQs[[#This Row],[Quantities]]</f>
        <v>11700</v>
      </c>
    </row>
    <row r="20" spans="1:13" x14ac:dyDescent="0.25">
      <c r="A20" s="1" t="str">
        <f>tbl_BOQs[[#This Row],[BOQ ID]]&amp;"-"&amp;tbl_BOQs[[#This Row],[Contractor]]</f>
        <v>w2_4-C3</v>
      </c>
      <c r="B20" s="13" t="s">
        <v>3559</v>
      </c>
      <c r="C20" s="116">
        <v>18</v>
      </c>
      <c r="D20" s="1" t="s">
        <v>3479</v>
      </c>
      <c r="E20" s="2" t="s">
        <v>3573</v>
      </c>
      <c r="F20" s="82" t="s">
        <v>3530</v>
      </c>
      <c r="G20" s="32" t="s">
        <v>2589</v>
      </c>
      <c r="H20" s="1" t="s">
        <v>3530</v>
      </c>
      <c r="I20" s="1" t="s">
        <v>2589</v>
      </c>
      <c r="J20" s="1"/>
      <c r="K20" s="14">
        <v>164</v>
      </c>
      <c r="L20" s="11">
        <v>70</v>
      </c>
      <c r="M20" s="12">
        <f>tbl_BOQs[[#This Row],[Cost]]*tbl_BOQs[[#This Row],[Quantities]]</f>
        <v>11480</v>
      </c>
    </row>
    <row r="21" spans="1:13" x14ac:dyDescent="0.25">
      <c r="A21" s="1" t="str">
        <f>tbl_BOQs[[#This Row],[BOQ ID]]&amp;"-"&amp;tbl_BOQs[[#This Row],[Contractor]]</f>
        <v>w2_5-C3</v>
      </c>
      <c r="B21" s="13" t="s">
        <v>3559</v>
      </c>
      <c r="C21" s="116">
        <v>19</v>
      </c>
      <c r="D21" s="1" t="s">
        <v>3491</v>
      </c>
      <c r="E21" s="2" t="s">
        <v>3573</v>
      </c>
      <c r="F21" s="82" t="s">
        <v>3531</v>
      </c>
      <c r="G21" s="32" t="s">
        <v>2635</v>
      </c>
      <c r="H21" s="1" t="s">
        <v>3531</v>
      </c>
      <c r="I21" s="1" t="s">
        <v>2635</v>
      </c>
      <c r="J21" s="1"/>
      <c r="K21" s="14">
        <v>32</v>
      </c>
      <c r="L21" s="11">
        <v>40</v>
      </c>
      <c r="M21" s="12">
        <f>tbl_BOQs[[#This Row],[Cost]]*tbl_BOQs[[#This Row],[Quantities]]</f>
        <v>1280</v>
      </c>
    </row>
    <row r="22" spans="1:13" x14ac:dyDescent="0.25">
      <c r="A22" s="1" t="str">
        <f>tbl_BOQs[[#This Row],[BOQ ID]]&amp;"-"&amp;tbl_BOQs[[#This Row],[Contractor]]</f>
        <v>w2_6-C3</v>
      </c>
      <c r="B22" s="13" t="s">
        <v>3559</v>
      </c>
      <c r="C22" s="116">
        <v>20</v>
      </c>
      <c r="D22" s="1" t="s">
        <v>3499</v>
      </c>
      <c r="E22" s="2" t="s">
        <v>3573</v>
      </c>
      <c r="F22" s="82" t="s">
        <v>3532</v>
      </c>
      <c r="G22" s="32" t="s">
        <v>2775</v>
      </c>
      <c r="H22" s="1" t="s">
        <v>3532</v>
      </c>
      <c r="I22" s="1" t="s">
        <v>2775</v>
      </c>
      <c r="J22" s="1"/>
      <c r="K22" s="14">
        <v>65</v>
      </c>
      <c r="L22" s="11">
        <v>100</v>
      </c>
      <c r="M22" s="12">
        <f>tbl_BOQs[[#This Row],[Cost]]*tbl_BOQs[[#This Row],[Quantities]]</f>
        <v>6500</v>
      </c>
    </row>
    <row r="23" spans="1:13" x14ac:dyDescent="0.25">
      <c r="A23" s="1" t="str">
        <f>tbl_BOQs[[#This Row],[BOQ ID]]&amp;"-"&amp;tbl_BOQs[[#This Row],[Contractor]]</f>
        <v>w2_7-C3</v>
      </c>
      <c r="B23" s="13" t="s">
        <v>3559</v>
      </c>
      <c r="C23" s="116">
        <v>21</v>
      </c>
      <c r="D23" s="1" t="s">
        <v>3480</v>
      </c>
      <c r="E23" s="2" t="s">
        <v>3573</v>
      </c>
      <c r="F23" s="82" t="s">
        <v>3533</v>
      </c>
      <c r="G23" s="32" t="s">
        <v>2592</v>
      </c>
      <c r="H23" s="1" t="s">
        <v>3533</v>
      </c>
      <c r="I23" s="1" t="s">
        <v>2592</v>
      </c>
      <c r="J23" s="1"/>
      <c r="K23" s="14">
        <v>480</v>
      </c>
      <c r="L23" s="11">
        <v>7</v>
      </c>
      <c r="M23" s="12">
        <f>tbl_BOQs[[#This Row],[Cost]]*tbl_BOQs[[#This Row],[Quantities]]</f>
        <v>3360</v>
      </c>
    </row>
    <row r="24" spans="1:13" x14ac:dyDescent="0.25">
      <c r="A24" s="1" t="str">
        <f>tbl_BOQs[[#This Row],[BOQ ID]]&amp;"-"&amp;tbl_BOQs[[#This Row],[Contractor]]</f>
        <v>w2_8-C3</v>
      </c>
      <c r="B24" s="13" t="s">
        <v>3559</v>
      </c>
      <c r="C24" s="116">
        <v>22</v>
      </c>
      <c r="D24" s="1" t="s">
        <v>3493</v>
      </c>
      <c r="E24" s="2" t="s">
        <v>3573</v>
      </c>
      <c r="F24" s="82" t="s">
        <v>3534</v>
      </c>
      <c r="G24" s="32" t="s">
        <v>2689</v>
      </c>
      <c r="H24" s="1" t="s">
        <v>3534</v>
      </c>
      <c r="I24" s="1" t="s">
        <v>2689</v>
      </c>
      <c r="J24" s="1"/>
      <c r="K24" s="14">
        <v>156</v>
      </c>
      <c r="L24" s="11">
        <v>50</v>
      </c>
      <c r="M24" s="12">
        <f>tbl_BOQs[[#This Row],[Cost]]*tbl_BOQs[[#This Row],[Quantities]]</f>
        <v>7800</v>
      </c>
    </row>
    <row r="25" spans="1:13" x14ac:dyDescent="0.25">
      <c r="A25" s="1" t="str">
        <f>tbl_BOQs[[#This Row],[BOQ ID]]&amp;"-"&amp;tbl_BOQs[[#This Row],[Contractor]]</f>
        <v>w2_9-C3</v>
      </c>
      <c r="B25" s="13" t="s">
        <v>3559</v>
      </c>
      <c r="C25" s="116">
        <v>23</v>
      </c>
      <c r="D25" s="1" t="s">
        <v>3492</v>
      </c>
      <c r="E25" s="2" t="s">
        <v>3573</v>
      </c>
      <c r="F25" s="82" t="s">
        <v>3535</v>
      </c>
      <c r="G25" s="32" t="s">
        <v>2638</v>
      </c>
      <c r="H25" s="1" t="s">
        <v>3535</v>
      </c>
      <c r="I25" s="1" t="s">
        <v>2638</v>
      </c>
      <c r="J25" s="1"/>
      <c r="K25" s="14">
        <v>156</v>
      </c>
      <c r="L25" s="11">
        <v>12</v>
      </c>
      <c r="M25" s="12">
        <f>tbl_BOQs[[#This Row],[Cost]]*tbl_BOQs[[#This Row],[Quantities]]</f>
        <v>1872</v>
      </c>
    </row>
    <row r="26" spans="1:13" x14ac:dyDescent="0.25">
      <c r="A26" s="1" t="str">
        <f>tbl_BOQs[[#This Row],[BOQ ID]]&amp;"-"&amp;tbl_BOQs[[#This Row],[Contractor]]</f>
        <v>w3_1-C3</v>
      </c>
      <c r="B26" s="13" t="s">
        <v>3560</v>
      </c>
      <c r="C26" s="116">
        <v>24</v>
      </c>
      <c r="D26" s="1" t="s">
        <v>3500</v>
      </c>
      <c r="E26" s="2" t="s">
        <v>3573</v>
      </c>
      <c r="F26" s="82" t="s">
        <v>3536</v>
      </c>
      <c r="G26" s="32" t="s">
        <v>2782</v>
      </c>
      <c r="H26" s="1" t="s">
        <v>3536</v>
      </c>
      <c r="I26" s="1" t="s">
        <v>2782</v>
      </c>
      <c r="J26" s="1"/>
      <c r="K26" s="14">
        <v>325</v>
      </c>
      <c r="L26" s="11">
        <v>10</v>
      </c>
      <c r="M26" s="12">
        <f>tbl_BOQs[[#This Row],[Cost]]*tbl_BOQs[[#This Row],[Quantities]]</f>
        <v>3250</v>
      </c>
    </row>
    <row r="27" spans="1:13" x14ac:dyDescent="0.25">
      <c r="A27" s="1" t="str">
        <f>tbl_BOQs[[#This Row],[BOQ ID]]&amp;"-"&amp;tbl_BOQs[[#This Row],[Contractor]]</f>
        <v>w3_2-C3</v>
      </c>
      <c r="B27" s="13" t="s">
        <v>3560</v>
      </c>
      <c r="C27" s="116">
        <v>25</v>
      </c>
      <c r="D27" s="1" t="s">
        <v>3481</v>
      </c>
      <c r="E27" s="2" t="s">
        <v>3573</v>
      </c>
      <c r="F27" s="82" t="s">
        <v>3537</v>
      </c>
      <c r="G27" s="32" t="s">
        <v>2595</v>
      </c>
      <c r="H27" s="1" t="s">
        <v>3537</v>
      </c>
      <c r="I27" s="1" t="s">
        <v>2595</v>
      </c>
      <c r="J27" s="1"/>
      <c r="K27" s="14">
        <v>3900</v>
      </c>
      <c r="L27" s="11">
        <v>0.5</v>
      </c>
      <c r="M27" s="12">
        <f>tbl_BOQs[[#This Row],[Cost]]*tbl_BOQs[[#This Row],[Quantities]]</f>
        <v>1950</v>
      </c>
    </row>
    <row r="28" spans="1:13" x14ac:dyDescent="0.25">
      <c r="A28" s="1" t="str">
        <f>tbl_BOQs[[#This Row],[BOQ ID]]&amp;"-"&amp;tbl_BOQs[[#This Row],[Contractor]]</f>
        <v>w3_3-C3</v>
      </c>
      <c r="B28" s="13" t="s">
        <v>3560</v>
      </c>
      <c r="C28" s="116">
        <v>26</v>
      </c>
      <c r="D28" s="1" t="s">
        <v>3482</v>
      </c>
      <c r="E28" s="2" t="s">
        <v>3573</v>
      </c>
      <c r="F28" s="82" t="s">
        <v>3538</v>
      </c>
      <c r="G28" s="32" t="s">
        <v>2598</v>
      </c>
      <c r="H28" s="1" t="s">
        <v>3538</v>
      </c>
      <c r="I28" s="1" t="s">
        <v>2598</v>
      </c>
      <c r="J28" s="1"/>
      <c r="K28" s="14">
        <v>496</v>
      </c>
      <c r="L28" s="11">
        <v>3</v>
      </c>
      <c r="M28" s="12">
        <f>tbl_BOQs[[#This Row],[Cost]]*tbl_BOQs[[#This Row],[Quantities]]</f>
        <v>1488</v>
      </c>
    </row>
    <row r="29" spans="1:13" x14ac:dyDescent="0.25">
      <c r="A29" s="1" t="str">
        <f>tbl_BOQs[[#This Row],[BOQ ID]]&amp;"-"&amp;tbl_BOQs[[#This Row],[Contractor]]</f>
        <v>w3_4-C3</v>
      </c>
      <c r="B29" s="13" t="s">
        <v>3560</v>
      </c>
      <c r="C29" s="116">
        <v>27</v>
      </c>
      <c r="D29" s="1" t="s">
        <v>3483</v>
      </c>
      <c r="E29" s="2" t="s">
        <v>3573</v>
      </c>
      <c r="F29" s="82" t="s">
        <v>3539</v>
      </c>
      <c r="G29" s="32" t="s">
        <v>2601</v>
      </c>
      <c r="H29" s="1" t="s">
        <v>3539</v>
      </c>
      <c r="I29" s="1" t="s">
        <v>2601</v>
      </c>
      <c r="J29" s="1"/>
      <c r="K29" s="14">
        <v>776</v>
      </c>
      <c r="L29" s="11">
        <v>3</v>
      </c>
      <c r="M29" s="12">
        <f>tbl_BOQs[[#This Row],[Cost]]*tbl_BOQs[[#This Row],[Quantities]]</f>
        <v>2328</v>
      </c>
    </row>
    <row r="30" spans="1:13" x14ac:dyDescent="0.25">
      <c r="A30" s="1" t="str">
        <f>tbl_BOQs[[#This Row],[BOQ ID]]&amp;"-"&amp;tbl_BOQs[[#This Row],[Contractor]]</f>
        <v>w3_5-C3</v>
      </c>
      <c r="B30" s="13" t="s">
        <v>3560</v>
      </c>
      <c r="C30" s="116">
        <v>28</v>
      </c>
      <c r="D30" s="1" t="s">
        <v>3484</v>
      </c>
      <c r="E30" s="2" t="s">
        <v>3573</v>
      </c>
      <c r="F30" s="82" t="s">
        <v>3540</v>
      </c>
      <c r="G30" s="32" t="s">
        <v>2604</v>
      </c>
      <c r="H30" s="1" t="s">
        <v>3540</v>
      </c>
      <c r="I30" s="1" t="s">
        <v>2604</v>
      </c>
      <c r="J30" s="1"/>
      <c r="K30" s="14">
        <v>164</v>
      </c>
      <c r="L30" s="11">
        <v>77</v>
      </c>
      <c r="M30" s="12">
        <f>tbl_BOQs[[#This Row],[Cost]]*tbl_BOQs[[#This Row],[Quantities]]</f>
        <v>12628</v>
      </c>
    </row>
    <row r="31" spans="1:13" x14ac:dyDescent="0.25">
      <c r="A31" s="1" t="str">
        <f>tbl_BOQs[[#This Row],[BOQ ID]]&amp;"-"&amp;tbl_BOQs[[#This Row],[Contractor]]</f>
        <v>w3_6-C3</v>
      </c>
      <c r="B31" s="13" t="s">
        <v>3560</v>
      </c>
      <c r="C31" s="116">
        <v>29</v>
      </c>
      <c r="D31" s="1" t="s">
        <v>3485</v>
      </c>
      <c r="E31" s="2" t="s">
        <v>3573</v>
      </c>
      <c r="F31" s="82" t="s">
        <v>3541</v>
      </c>
      <c r="G31" s="32" t="s">
        <v>2607</v>
      </c>
      <c r="H31" s="1" t="s">
        <v>3541</v>
      </c>
      <c r="I31" s="1" t="s">
        <v>2607</v>
      </c>
      <c r="J31" s="1"/>
      <c r="K31" s="14">
        <v>289</v>
      </c>
      <c r="L31" s="11">
        <v>22</v>
      </c>
      <c r="M31" s="12">
        <f>tbl_BOQs[[#This Row],[Cost]]*tbl_BOQs[[#This Row],[Quantities]]</f>
        <v>6358</v>
      </c>
    </row>
    <row r="32" spans="1:13" x14ac:dyDescent="0.25">
      <c r="A32" s="1" t="str">
        <f>tbl_BOQs[[#This Row],[BOQ ID]]&amp;"-"&amp;tbl_BOQs[[#This Row],[Contractor]]</f>
        <v>w3_7-C3</v>
      </c>
      <c r="B32" s="13" t="s">
        <v>3560</v>
      </c>
      <c r="C32" s="116">
        <v>30</v>
      </c>
      <c r="D32" s="1" t="s">
        <v>3486</v>
      </c>
      <c r="E32" s="2" t="s">
        <v>3573</v>
      </c>
      <c r="F32" s="82" t="s">
        <v>3542</v>
      </c>
      <c r="G32" s="32" t="s">
        <v>2610</v>
      </c>
      <c r="H32" s="1" t="s">
        <v>3542</v>
      </c>
      <c r="I32" s="1" t="s">
        <v>2610</v>
      </c>
      <c r="J32" s="1"/>
      <c r="K32" s="14">
        <v>3800</v>
      </c>
      <c r="L32" s="11">
        <v>0.4</v>
      </c>
      <c r="M32" s="12">
        <f>tbl_BOQs[[#This Row],[Cost]]*tbl_BOQs[[#This Row],[Quantities]]</f>
        <v>1520</v>
      </c>
    </row>
    <row r="33" spans="1:13" x14ac:dyDescent="0.25">
      <c r="A33" s="1" t="str">
        <f>tbl_BOQs[[#This Row],[BOQ ID]]&amp;"-"&amp;tbl_BOQs[[#This Row],[Contractor]]</f>
        <v>w3_8-C3</v>
      </c>
      <c r="B33" s="13" t="s">
        <v>3560</v>
      </c>
      <c r="C33" s="116">
        <v>31</v>
      </c>
      <c r="D33" s="1" t="s">
        <v>3487</v>
      </c>
      <c r="E33" s="2" t="s">
        <v>3573</v>
      </c>
      <c r="F33" s="82" t="s">
        <v>3543</v>
      </c>
      <c r="G33" s="32" t="s">
        <v>2613</v>
      </c>
      <c r="H33" s="1" t="s">
        <v>3543</v>
      </c>
      <c r="I33" s="1" t="s">
        <v>2613</v>
      </c>
      <c r="J33" s="1"/>
      <c r="K33" s="14">
        <v>156</v>
      </c>
      <c r="L33" s="11">
        <v>45</v>
      </c>
      <c r="M33" s="12">
        <f>tbl_BOQs[[#This Row],[Cost]]*tbl_BOQs[[#This Row],[Quantities]]</f>
        <v>7020</v>
      </c>
    </row>
    <row r="34" spans="1:13" x14ac:dyDescent="0.25">
      <c r="A34" s="1" t="str">
        <f>tbl_BOQs[[#This Row],[BOQ ID]]&amp;"-"&amp;tbl_BOQs[[#This Row],[Contractor]]</f>
        <v>w4_1-C3</v>
      </c>
      <c r="B34" s="13" t="s">
        <v>3561</v>
      </c>
      <c r="C34" s="116">
        <v>32</v>
      </c>
      <c r="D34" s="1" t="s">
        <v>3505</v>
      </c>
      <c r="E34" s="2" t="s">
        <v>3573</v>
      </c>
      <c r="F34" s="82" t="s">
        <v>3544</v>
      </c>
      <c r="G34" s="32" t="s">
        <v>2809</v>
      </c>
      <c r="H34" s="1" t="s">
        <v>3544</v>
      </c>
      <c r="I34" s="1" t="s">
        <v>2809</v>
      </c>
      <c r="J34" s="1"/>
      <c r="K34" s="14">
        <v>130</v>
      </c>
      <c r="L34" s="11">
        <v>200</v>
      </c>
      <c r="M34" s="12">
        <f>tbl_BOQs[[#This Row],[Cost]]*tbl_BOQs[[#This Row],[Quantities]]</f>
        <v>26000</v>
      </c>
    </row>
    <row r="35" spans="1:13" x14ac:dyDescent="0.25">
      <c r="A35" s="1" t="str">
        <f>tbl_BOQs[[#This Row],[BOQ ID]]&amp;"-"&amp;tbl_BOQs[[#This Row],[Contractor]]</f>
        <v>w4_2-C3</v>
      </c>
      <c r="B35" s="13" t="s">
        <v>3561</v>
      </c>
      <c r="C35" s="116">
        <v>33</v>
      </c>
      <c r="D35" s="1" t="s">
        <v>3506</v>
      </c>
      <c r="E35" s="2" t="s">
        <v>3573</v>
      </c>
      <c r="F35" s="82" t="s">
        <v>3545</v>
      </c>
      <c r="G35" s="32" t="s">
        <v>2840</v>
      </c>
      <c r="H35" s="1" t="s">
        <v>3545</v>
      </c>
      <c r="I35" s="1" t="s">
        <v>2840</v>
      </c>
      <c r="J35" s="1"/>
      <c r="K35" s="14">
        <v>149</v>
      </c>
      <c r="L35" s="11">
        <v>6</v>
      </c>
      <c r="M35" s="12">
        <f>tbl_BOQs[[#This Row],[Cost]]*tbl_BOQs[[#This Row],[Quantities]]</f>
        <v>894</v>
      </c>
    </row>
    <row r="36" spans="1:13" x14ac:dyDescent="0.25">
      <c r="A36" s="1" t="str">
        <f>tbl_BOQs[[#This Row],[BOQ ID]]&amp;"-"&amp;tbl_BOQs[[#This Row],[Contractor]]</f>
        <v>w4_3-C3</v>
      </c>
      <c r="B36" s="13" t="s">
        <v>3561</v>
      </c>
      <c r="C36" s="116">
        <v>34</v>
      </c>
      <c r="D36" s="1" t="s">
        <v>3501</v>
      </c>
      <c r="E36" s="2" t="s">
        <v>3573</v>
      </c>
      <c r="F36" s="82" t="s">
        <v>3546</v>
      </c>
      <c r="G36" s="32" t="s">
        <v>2785</v>
      </c>
      <c r="H36" s="1" t="s">
        <v>3546</v>
      </c>
      <c r="I36" s="1" t="s">
        <v>2785</v>
      </c>
      <c r="J36" s="1"/>
      <c r="K36" s="14">
        <v>46</v>
      </c>
      <c r="L36" s="11">
        <v>10</v>
      </c>
      <c r="M36" s="12">
        <f>tbl_BOQs[[#This Row],[Cost]]*tbl_BOQs[[#This Row],[Quantities]]</f>
        <v>460</v>
      </c>
    </row>
    <row r="37" spans="1:13" x14ac:dyDescent="0.25">
      <c r="A37" s="1" t="str">
        <f>tbl_BOQs[[#This Row],[BOQ ID]]&amp;"-"&amp;tbl_BOQs[[#This Row],[Contractor]]</f>
        <v>w4_4-C3</v>
      </c>
      <c r="B37" s="13" t="s">
        <v>3561</v>
      </c>
      <c r="C37" s="116">
        <v>35</v>
      </c>
      <c r="D37" s="1" t="s">
        <v>3510</v>
      </c>
      <c r="E37" s="2" t="s">
        <v>3573</v>
      </c>
      <c r="F37" s="82" t="s">
        <v>3547</v>
      </c>
      <c r="G37" s="32" t="s">
        <v>3280</v>
      </c>
      <c r="H37" s="1" t="s">
        <v>3547</v>
      </c>
      <c r="I37" s="1" t="s">
        <v>3280</v>
      </c>
      <c r="J37" s="1"/>
      <c r="K37" s="14">
        <v>34</v>
      </c>
      <c r="L37" s="11">
        <v>15</v>
      </c>
      <c r="M37" s="12">
        <f>tbl_BOQs[[#This Row],[Cost]]*tbl_BOQs[[#This Row],[Quantities]]</f>
        <v>510</v>
      </c>
    </row>
    <row r="38" spans="1:13" x14ac:dyDescent="0.25">
      <c r="A38" s="1" t="str">
        <f>tbl_BOQs[[#This Row],[BOQ ID]]&amp;"-"&amp;tbl_BOQs[[#This Row],[Contractor]]</f>
        <v>w4_5-C3</v>
      </c>
      <c r="B38" s="13" t="s">
        <v>3561</v>
      </c>
      <c r="C38" s="116">
        <v>36</v>
      </c>
      <c r="D38" s="1" t="s">
        <v>3507</v>
      </c>
      <c r="E38" s="2" t="s">
        <v>3573</v>
      </c>
      <c r="F38" s="82" t="s">
        <v>3548</v>
      </c>
      <c r="G38" s="32" t="s">
        <v>2863</v>
      </c>
      <c r="H38" s="1" t="s">
        <v>3548</v>
      </c>
      <c r="I38" s="1" t="s">
        <v>2863</v>
      </c>
      <c r="J38" s="1"/>
      <c r="K38" s="14">
        <v>149</v>
      </c>
      <c r="L38" s="11">
        <v>10</v>
      </c>
      <c r="M38" s="12">
        <f>tbl_BOQs[[#This Row],[Cost]]*tbl_BOQs[[#This Row],[Quantities]]</f>
        <v>1490</v>
      </c>
    </row>
    <row r="39" spans="1:13" x14ac:dyDescent="0.25">
      <c r="A39" s="1" t="str">
        <f>tbl_BOQs[[#This Row],[BOQ ID]]&amp;"-"&amp;tbl_BOQs[[#This Row],[Contractor]]</f>
        <v>w4_6-C3</v>
      </c>
      <c r="B39" s="13" t="s">
        <v>3561</v>
      </c>
      <c r="C39" s="116">
        <v>37</v>
      </c>
      <c r="D39" s="1" t="s">
        <v>3488</v>
      </c>
      <c r="E39" s="2" t="s">
        <v>3573</v>
      </c>
      <c r="F39" s="82" t="s">
        <v>3549</v>
      </c>
      <c r="G39" s="32" t="s">
        <v>2616</v>
      </c>
      <c r="H39" s="1" t="s">
        <v>3549</v>
      </c>
      <c r="I39" s="1" t="s">
        <v>2616</v>
      </c>
      <c r="J39" s="1"/>
      <c r="K39" s="14">
        <v>141</v>
      </c>
      <c r="L39" s="11">
        <v>3</v>
      </c>
      <c r="M39" s="12">
        <f>tbl_BOQs[[#This Row],[Cost]]*tbl_BOQs[[#This Row],[Quantities]]</f>
        <v>423</v>
      </c>
    </row>
    <row r="40" spans="1:13" x14ac:dyDescent="0.25">
      <c r="A40" s="1" t="str">
        <f>tbl_BOQs[[#This Row],[BOQ ID]]&amp;"-"&amp;tbl_BOQs[[#This Row],[Contractor]]</f>
        <v>w5_1-C3</v>
      </c>
      <c r="B40" s="13" t="s">
        <v>3562</v>
      </c>
      <c r="C40" s="116">
        <v>38</v>
      </c>
      <c r="D40" s="1" t="s">
        <v>3489</v>
      </c>
      <c r="E40" s="2" t="s">
        <v>3573</v>
      </c>
      <c r="F40" s="82" t="s">
        <v>3550</v>
      </c>
      <c r="G40" s="32" t="s">
        <v>2619</v>
      </c>
      <c r="H40" s="1" t="s">
        <v>3550</v>
      </c>
      <c r="I40" s="1" t="s">
        <v>2619</v>
      </c>
      <c r="J40" s="1"/>
      <c r="K40" s="14">
        <v>261</v>
      </c>
      <c r="L40" s="11">
        <v>95</v>
      </c>
      <c r="M40" s="12">
        <f>tbl_BOQs[[#This Row],[Cost]]*tbl_BOQs[[#This Row],[Quantities]]</f>
        <v>24795</v>
      </c>
    </row>
    <row r="41" spans="1:13" x14ac:dyDescent="0.25">
      <c r="A41" s="1" t="str">
        <f>tbl_BOQs[[#This Row],[BOQ ID]]&amp;"-"&amp;tbl_BOQs[[#This Row],[Contractor]]</f>
        <v>w5_2-C3</v>
      </c>
      <c r="B41" s="13" t="s">
        <v>3562</v>
      </c>
      <c r="C41" s="116">
        <v>39</v>
      </c>
      <c r="D41" s="1" t="s">
        <v>3502</v>
      </c>
      <c r="E41" s="2" t="s">
        <v>3573</v>
      </c>
      <c r="F41" s="82" t="s">
        <v>3551</v>
      </c>
      <c r="G41" s="32" t="s">
        <v>2788</v>
      </c>
      <c r="H41" s="1" t="s">
        <v>3551</v>
      </c>
      <c r="I41" s="1" t="s">
        <v>2788</v>
      </c>
      <c r="J41" s="1"/>
      <c r="K41" s="14">
        <v>51</v>
      </c>
      <c r="L41" s="11">
        <v>150</v>
      </c>
      <c r="M41" s="12">
        <f>tbl_BOQs[[#This Row],[Cost]]*tbl_BOQs[[#This Row],[Quantities]]</f>
        <v>7650</v>
      </c>
    </row>
    <row r="42" spans="1:13" x14ac:dyDescent="0.25">
      <c r="A42" s="1" t="str">
        <f>tbl_BOQs[[#This Row],[BOQ ID]]&amp;"-"&amp;tbl_BOQs[[#This Row],[Contractor]]</f>
        <v>w5_3-C3</v>
      </c>
      <c r="B42" s="13" t="s">
        <v>3562</v>
      </c>
      <c r="C42" s="116">
        <v>40</v>
      </c>
      <c r="D42" s="1" t="s">
        <v>3509</v>
      </c>
      <c r="E42" s="2" t="s">
        <v>3573</v>
      </c>
      <c r="F42" s="82" t="s">
        <v>3552</v>
      </c>
      <c r="G42" s="32" t="s">
        <v>3009</v>
      </c>
      <c r="H42" s="1" t="s">
        <v>3552</v>
      </c>
      <c r="I42" s="1" t="s">
        <v>3009</v>
      </c>
      <c r="J42" s="1"/>
      <c r="K42" s="14">
        <v>10000</v>
      </c>
      <c r="L42" s="11">
        <v>3</v>
      </c>
      <c r="M42" s="12">
        <f>tbl_BOQs[[#This Row],[Cost]]*tbl_BOQs[[#This Row],[Quantities]]</f>
        <v>30000</v>
      </c>
    </row>
    <row r="43" spans="1:13" x14ac:dyDescent="0.25">
      <c r="A43" s="1" t="str">
        <f>tbl_BOQs[[#This Row],[BOQ ID]]&amp;"-"&amp;tbl_BOQs[[#This Row],[Contractor]]</f>
        <v>w5_4-C3</v>
      </c>
      <c r="B43" s="13" t="s">
        <v>3562</v>
      </c>
      <c r="C43" s="116">
        <v>41</v>
      </c>
      <c r="D43" s="1" t="s">
        <v>3508</v>
      </c>
      <c r="E43" s="2" t="s">
        <v>3573</v>
      </c>
      <c r="F43" s="82" t="s">
        <v>3553</v>
      </c>
      <c r="G43" s="32" t="s">
        <v>2900</v>
      </c>
      <c r="H43" s="1" t="s">
        <v>3553</v>
      </c>
      <c r="I43" s="1" t="s">
        <v>2900</v>
      </c>
      <c r="J43" s="1"/>
      <c r="K43" s="14">
        <v>7500</v>
      </c>
      <c r="L43" s="11">
        <v>4</v>
      </c>
      <c r="M43" s="12">
        <f>tbl_BOQs[[#This Row],[Cost]]*tbl_BOQs[[#This Row],[Quantities]]</f>
        <v>30000</v>
      </c>
    </row>
    <row r="44" spans="1:13" x14ac:dyDescent="0.25">
      <c r="A44" s="1" t="str">
        <f>tbl_BOQs[[#This Row],[BOQ ID]]&amp;"-"&amp;tbl_BOQs[[#This Row],[Contractor]]</f>
        <v>w5_5-C3</v>
      </c>
      <c r="B44" s="13" t="s">
        <v>3562</v>
      </c>
      <c r="C44" s="116">
        <v>42</v>
      </c>
      <c r="D44" s="1" t="s">
        <v>3503</v>
      </c>
      <c r="E44" s="2" t="s">
        <v>3573</v>
      </c>
      <c r="F44" s="82" t="s">
        <v>3554</v>
      </c>
      <c r="G44" s="32" t="s">
        <v>2791</v>
      </c>
      <c r="H44" s="1" t="s">
        <v>3554</v>
      </c>
      <c r="I44" s="1" t="s">
        <v>2791</v>
      </c>
      <c r="J44" s="1"/>
      <c r="K44" s="14">
        <v>4500</v>
      </c>
      <c r="L44" s="11">
        <v>5</v>
      </c>
      <c r="M44" s="12">
        <f>tbl_BOQs[[#This Row],[Cost]]*tbl_BOQs[[#This Row],[Quantities]]</f>
        <v>22500</v>
      </c>
    </row>
    <row r="45" spans="1:13" x14ac:dyDescent="0.25">
      <c r="A45" s="1" t="str">
        <f>tbl_BOQs[[#This Row],[BOQ ID]]&amp;"-"&amp;tbl_BOQs[[#This Row],[Contractor]]</f>
        <v>w6_1-C3</v>
      </c>
      <c r="B45" s="13" t="s">
        <v>3563</v>
      </c>
      <c r="C45" s="116">
        <v>43</v>
      </c>
      <c r="D45" s="1" t="s">
        <v>3504</v>
      </c>
      <c r="E45" s="2" t="s">
        <v>3573</v>
      </c>
      <c r="F45" s="82" t="s">
        <v>3555</v>
      </c>
      <c r="G45" s="32" t="s">
        <v>2794</v>
      </c>
      <c r="H45" s="1" t="s">
        <v>3555</v>
      </c>
      <c r="I45" s="1" t="s">
        <v>2794</v>
      </c>
      <c r="J45" s="1"/>
      <c r="K45" s="14">
        <v>29226</v>
      </c>
      <c r="L45" s="11">
        <v>1.7</v>
      </c>
      <c r="M45" s="12">
        <f>tbl_BOQs[[#This Row],[Cost]]*tbl_BOQs[[#This Row],[Quantities]]</f>
        <v>49684.2</v>
      </c>
    </row>
    <row r="46" spans="1:13" x14ac:dyDescent="0.25">
      <c r="A46" s="1" t="str">
        <f>tbl_BOQs[[#This Row],[BOQ ID]]&amp;"-"&amp;tbl_BOQs[[#This Row],[Contractor]]</f>
        <v>w1_1-C1</v>
      </c>
      <c r="B46" s="1" t="s">
        <v>3558</v>
      </c>
      <c r="C46" s="116" t="s">
        <v>3574</v>
      </c>
      <c r="D46" s="1" t="s">
        <v>3494</v>
      </c>
      <c r="E46" s="2" t="s">
        <v>16</v>
      </c>
      <c r="F46" s="82" t="s">
        <v>3513</v>
      </c>
      <c r="G46" s="32" t="s">
        <v>2738</v>
      </c>
      <c r="H46" s="1" t="s">
        <v>3513</v>
      </c>
      <c r="I46" s="1" t="s">
        <v>2738</v>
      </c>
      <c r="J46" s="1"/>
      <c r="K46" s="14">
        <v>5803</v>
      </c>
      <c r="L46" s="11">
        <v>1.2</v>
      </c>
      <c r="M46" s="11">
        <f>tbl_BOQs[[#This Row],[Cost]]*tbl_BOQs[[#This Row],[Quantities]]</f>
        <v>6963.5999999999995</v>
      </c>
    </row>
    <row r="47" spans="1:13" x14ac:dyDescent="0.25">
      <c r="A47" s="1" t="str">
        <f>tbl_BOQs[[#This Row],[BOQ ID]]&amp;"-"&amp;tbl_BOQs[[#This Row],[Contractor]]</f>
        <v>w1_2-C1</v>
      </c>
      <c r="B47" s="1" t="s">
        <v>3558</v>
      </c>
      <c r="C47" s="116" t="s">
        <v>3575</v>
      </c>
      <c r="D47" s="1" t="s">
        <v>3470</v>
      </c>
      <c r="E47" s="2" t="s">
        <v>16</v>
      </c>
      <c r="F47" s="82" t="s">
        <v>3514</v>
      </c>
      <c r="G47" s="32" t="s">
        <v>2562</v>
      </c>
      <c r="H47" s="1" t="s">
        <v>3514</v>
      </c>
      <c r="I47" s="1" t="s">
        <v>2562</v>
      </c>
      <c r="J47" s="1"/>
      <c r="K47" s="14">
        <v>5803</v>
      </c>
      <c r="L47" s="11">
        <v>5</v>
      </c>
      <c r="M47" s="11">
        <f>tbl_BOQs[[#This Row],[Cost]]*tbl_BOQs[[#This Row],[Quantities]]</f>
        <v>29015</v>
      </c>
    </row>
    <row r="48" spans="1:13" x14ac:dyDescent="0.25">
      <c r="A48" s="1" t="str">
        <f>tbl_BOQs[[#This Row],[BOQ ID]]&amp;"-"&amp;tbl_BOQs[[#This Row],[Contractor]]</f>
        <v>w1_3-C1</v>
      </c>
      <c r="B48" s="1" t="s">
        <v>3558</v>
      </c>
      <c r="C48" s="116" t="s">
        <v>3576</v>
      </c>
      <c r="D48" s="1" t="s">
        <v>3471</v>
      </c>
      <c r="E48" s="2" t="s">
        <v>16</v>
      </c>
      <c r="F48" s="82" t="s">
        <v>3515</v>
      </c>
      <c r="G48" s="32" t="s">
        <v>2565</v>
      </c>
      <c r="H48" s="1" t="s">
        <v>3515</v>
      </c>
      <c r="I48" s="1" t="s">
        <v>2565</v>
      </c>
      <c r="J48" s="1"/>
      <c r="K48" s="14">
        <v>5803</v>
      </c>
      <c r="L48" s="11">
        <v>78</v>
      </c>
      <c r="M48" s="11">
        <f>tbl_BOQs[[#This Row],[Cost]]*tbl_BOQs[[#This Row],[Quantities]]</f>
        <v>452634</v>
      </c>
    </row>
    <row r="49" spans="1:13" x14ac:dyDescent="0.25">
      <c r="A49" s="1" t="str">
        <f>tbl_BOQs[[#This Row],[BOQ ID]]&amp;"-"&amp;tbl_BOQs[[#This Row],[Contractor]]</f>
        <v>w1_4-C1</v>
      </c>
      <c r="B49" s="1" t="s">
        <v>3558</v>
      </c>
      <c r="C49" s="116" t="s">
        <v>3577</v>
      </c>
      <c r="D49" s="1" t="s">
        <v>3472</v>
      </c>
      <c r="E49" s="2" t="s">
        <v>16</v>
      </c>
      <c r="F49" s="82" t="s">
        <v>3516</v>
      </c>
      <c r="G49" s="32" t="s">
        <v>2568</v>
      </c>
      <c r="H49" s="1" t="s">
        <v>3516</v>
      </c>
      <c r="I49" s="1" t="s">
        <v>2568</v>
      </c>
      <c r="J49" s="1"/>
      <c r="K49" s="14">
        <v>5803</v>
      </c>
      <c r="L49" s="11">
        <v>60</v>
      </c>
      <c r="M49" s="11">
        <f>tbl_BOQs[[#This Row],[Cost]]*tbl_BOQs[[#This Row],[Quantities]]</f>
        <v>348180</v>
      </c>
    </row>
    <row r="50" spans="1:13" x14ac:dyDescent="0.25">
      <c r="A50" s="1" t="str">
        <f>tbl_BOQs[[#This Row],[BOQ ID]]&amp;"-"&amp;tbl_BOQs[[#This Row],[Contractor]]</f>
        <v>w1_5-C1</v>
      </c>
      <c r="B50" s="1" t="s">
        <v>3558</v>
      </c>
      <c r="C50" s="116" t="s">
        <v>3578</v>
      </c>
      <c r="D50" s="1" t="s">
        <v>3495</v>
      </c>
      <c r="E50" s="2" t="s">
        <v>16</v>
      </c>
      <c r="F50" s="82" t="s">
        <v>3517</v>
      </c>
      <c r="G50" s="32" t="s">
        <v>2745</v>
      </c>
      <c r="H50" s="1" t="s">
        <v>3517</v>
      </c>
      <c r="I50" s="1" t="s">
        <v>2745</v>
      </c>
      <c r="J50" s="1"/>
      <c r="K50" s="14">
        <v>5803</v>
      </c>
      <c r="L50" s="11">
        <v>138</v>
      </c>
      <c r="M50" s="11">
        <f>tbl_BOQs[[#This Row],[Cost]]*tbl_BOQs[[#This Row],[Quantities]]</f>
        <v>800814</v>
      </c>
    </row>
    <row r="51" spans="1:13" x14ac:dyDescent="0.25">
      <c r="A51" s="1" t="str">
        <f>tbl_BOQs[[#This Row],[BOQ ID]]&amp;"-"&amp;tbl_BOQs[[#This Row],[Contractor]]</f>
        <v>w1_6-C1</v>
      </c>
      <c r="B51" s="1" t="s">
        <v>3558</v>
      </c>
      <c r="C51" s="116" t="s">
        <v>3579</v>
      </c>
      <c r="D51" s="1" t="s">
        <v>3473</v>
      </c>
      <c r="E51" s="2" t="s">
        <v>16</v>
      </c>
      <c r="F51" s="82" t="s">
        <v>3518</v>
      </c>
      <c r="G51" s="32" t="s">
        <v>2571</v>
      </c>
      <c r="H51" s="1" t="s">
        <v>3518</v>
      </c>
      <c r="I51" s="1" t="s">
        <v>2571</v>
      </c>
      <c r="J51" s="1"/>
      <c r="K51" s="14">
        <v>9000</v>
      </c>
      <c r="L51" s="11">
        <v>4.5</v>
      </c>
      <c r="M51" s="11">
        <f>tbl_BOQs[[#This Row],[Cost]]*tbl_BOQs[[#This Row],[Quantities]]</f>
        <v>40500</v>
      </c>
    </row>
    <row r="52" spans="1:13" x14ac:dyDescent="0.25">
      <c r="A52" s="1" t="str">
        <f>tbl_BOQs[[#This Row],[BOQ ID]]&amp;"-"&amp;tbl_BOQs[[#This Row],[Contractor]]</f>
        <v>w1_7-C1</v>
      </c>
      <c r="B52" s="1" t="s">
        <v>3558</v>
      </c>
      <c r="C52" s="116" t="s">
        <v>3580</v>
      </c>
      <c r="D52" s="1" t="s">
        <v>3496</v>
      </c>
      <c r="E52" s="2" t="s">
        <v>16</v>
      </c>
      <c r="F52" s="82" t="s">
        <v>3519</v>
      </c>
      <c r="G52" s="32" t="s">
        <v>2750</v>
      </c>
      <c r="H52" s="1" t="s">
        <v>3519</v>
      </c>
      <c r="I52" s="1" t="s">
        <v>2750</v>
      </c>
      <c r="J52" s="1"/>
      <c r="K52" s="14">
        <v>2650</v>
      </c>
      <c r="L52" s="11">
        <v>20</v>
      </c>
      <c r="M52" s="11">
        <f>tbl_BOQs[[#This Row],[Cost]]*tbl_BOQs[[#This Row],[Quantities]]</f>
        <v>53000</v>
      </c>
    </row>
    <row r="53" spans="1:13" x14ac:dyDescent="0.25">
      <c r="A53" s="1" t="str">
        <f>tbl_BOQs[[#This Row],[BOQ ID]]&amp;"-"&amp;tbl_BOQs[[#This Row],[Contractor]]</f>
        <v>w1_8-C1</v>
      </c>
      <c r="B53" s="1" t="s">
        <v>3558</v>
      </c>
      <c r="C53" s="116" t="s">
        <v>3581</v>
      </c>
      <c r="D53" s="1" t="s">
        <v>3497</v>
      </c>
      <c r="E53" s="2" t="s">
        <v>16</v>
      </c>
      <c r="F53" s="82" t="s">
        <v>3520</v>
      </c>
      <c r="G53" s="32" t="s">
        <v>2753</v>
      </c>
      <c r="H53" s="1" t="s">
        <v>3520</v>
      </c>
      <c r="I53" s="1" t="s">
        <v>2753</v>
      </c>
      <c r="J53" s="1"/>
      <c r="K53" s="14">
        <v>528</v>
      </c>
      <c r="L53" s="11">
        <v>10</v>
      </c>
      <c r="M53" s="11">
        <f>tbl_BOQs[[#This Row],[Cost]]*tbl_BOQs[[#This Row],[Quantities]]</f>
        <v>5280</v>
      </c>
    </row>
    <row r="54" spans="1:13" x14ac:dyDescent="0.25">
      <c r="A54" s="1" t="str">
        <f>tbl_BOQs[[#This Row],[BOQ ID]]&amp;"-"&amp;tbl_BOQs[[#This Row],[Contractor]]</f>
        <v>w1_9-C1</v>
      </c>
      <c r="B54" s="1" t="s">
        <v>3558</v>
      </c>
      <c r="C54" s="116" t="s">
        <v>3582</v>
      </c>
      <c r="D54" s="1" t="s">
        <v>3474</v>
      </c>
      <c r="E54" s="2" t="s">
        <v>16</v>
      </c>
      <c r="F54" s="82" t="s">
        <v>3521</v>
      </c>
      <c r="G54" s="32" t="s">
        <v>2574</v>
      </c>
      <c r="H54" s="1" t="s">
        <v>3521</v>
      </c>
      <c r="I54" s="1" t="s">
        <v>2574</v>
      </c>
      <c r="J54" s="1"/>
      <c r="K54" s="14">
        <v>2150</v>
      </c>
      <c r="L54" s="11">
        <v>64</v>
      </c>
      <c r="M54" s="11">
        <f>tbl_BOQs[[#This Row],[Cost]]*tbl_BOQs[[#This Row],[Quantities]]</f>
        <v>137600</v>
      </c>
    </row>
    <row r="55" spans="1:13" x14ac:dyDescent="0.25">
      <c r="A55" s="1" t="str">
        <f>tbl_BOQs[[#This Row],[BOQ ID]]&amp;"-"&amp;tbl_BOQs[[#This Row],[Contractor]]</f>
        <v>w1_10-C1</v>
      </c>
      <c r="B55" s="1" t="s">
        <v>3558</v>
      </c>
      <c r="C55" s="116">
        <v>10</v>
      </c>
      <c r="D55" s="1" t="s">
        <v>3498</v>
      </c>
      <c r="E55" s="2" t="s">
        <v>16</v>
      </c>
      <c r="F55" s="82" t="s">
        <v>3522</v>
      </c>
      <c r="G55" s="32" t="s">
        <v>2758</v>
      </c>
      <c r="H55" s="1" t="s">
        <v>3522</v>
      </c>
      <c r="I55" s="1" t="s">
        <v>2758</v>
      </c>
      <c r="J55" s="1"/>
      <c r="K55" s="14">
        <v>11500</v>
      </c>
      <c r="L55" s="11">
        <v>3</v>
      </c>
      <c r="M55" s="11">
        <f>tbl_BOQs[[#This Row],[Cost]]*tbl_BOQs[[#This Row],[Quantities]]</f>
        <v>34500</v>
      </c>
    </row>
    <row r="56" spans="1:13" x14ac:dyDescent="0.25">
      <c r="A56" s="1" t="str">
        <f>tbl_BOQs[[#This Row],[BOQ ID]]&amp;"-"&amp;tbl_BOQs[[#This Row],[Contractor]]</f>
        <v>w1_11-C1</v>
      </c>
      <c r="B56" s="1" t="s">
        <v>3558</v>
      </c>
      <c r="C56" s="116">
        <v>11</v>
      </c>
      <c r="D56" s="1" t="s">
        <v>3475</v>
      </c>
      <c r="E56" s="2" t="s">
        <v>16</v>
      </c>
      <c r="F56" s="82" t="s">
        <v>3523</v>
      </c>
      <c r="G56" s="32" t="s">
        <v>2577</v>
      </c>
      <c r="H56" s="1" t="s">
        <v>3523</v>
      </c>
      <c r="I56" s="1" t="s">
        <v>2577</v>
      </c>
      <c r="J56" s="1"/>
      <c r="K56" s="14">
        <v>6200</v>
      </c>
      <c r="L56" s="11">
        <v>56</v>
      </c>
      <c r="M56" s="11">
        <f>tbl_BOQs[[#This Row],[Cost]]*tbl_BOQs[[#This Row],[Quantities]]</f>
        <v>347200</v>
      </c>
    </row>
    <row r="57" spans="1:13" x14ac:dyDescent="0.25">
      <c r="A57" s="1" t="str">
        <f>tbl_BOQs[[#This Row],[BOQ ID]]&amp;"-"&amp;tbl_BOQs[[#This Row],[Contractor]]</f>
        <v>w1_12-C1</v>
      </c>
      <c r="B57" s="1" t="s">
        <v>3558</v>
      </c>
      <c r="C57" s="116">
        <v>12</v>
      </c>
      <c r="D57" s="1" t="s">
        <v>3476</v>
      </c>
      <c r="E57" s="2" t="s">
        <v>16</v>
      </c>
      <c r="F57" s="82" t="s">
        <v>3524</v>
      </c>
      <c r="G57" s="32" t="s">
        <v>2580</v>
      </c>
      <c r="H57" s="1" t="s">
        <v>3524</v>
      </c>
      <c r="I57" s="1" t="s">
        <v>2580</v>
      </c>
      <c r="J57" s="1"/>
      <c r="K57" s="14">
        <v>51</v>
      </c>
      <c r="L57" s="11">
        <v>10</v>
      </c>
      <c r="M57" s="11">
        <f>tbl_BOQs[[#This Row],[Cost]]*tbl_BOQs[[#This Row],[Quantities]]</f>
        <v>510</v>
      </c>
    </row>
    <row r="58" spans="1:13" x14ac:dyDescent="0.25">
      <c r="A58" s="1" t="str">
        <f>tbl_BOQs[[#This Row],[BOQ ID]]&amp;"-"&amp;tbl_BOQs[[#This Row],[Contractor]]</f>
        <v>w1_13-C1</v>
      </c>
      <c r="B58" s="1" t="s">
        <v>3558</v>
      </c>
      <c r="C58" s="116">
        <v>13</v>
      </c>
      <c r="D58" s="1" t="s">
        <v>3556</v>
      </c>
      <c r="E58" s="2" t="s">
        <v>16</v>
      </c>
      <c r="F58" s="82" t="s">
        <v>3525</v>
      </c>
      <c r="G58" s="32" t="s">
        <v>3511</v>
      </c>
      <c r="H58" s="1" t="s">
        <v>3525</v>
      </c>
      <c r="I58" s="1" t="s">
        <v>3511</v>
      </c>
      <c r="J58" s="1"/>
      <c r="K58" s="14">
        <v>49</v>
      </c>
      <c r="L58" s="11">
        <v>20</v>
      </c>
      <c r="M58" s="11">
        <f>tbl_BOQs[[#This Row],[Cost]]*tbl_BOQs[[#This Row],[Quantities]]</f>
        <v>980</v>
      </c>
    </row>
    <row r="59" spans="1:13" x14ac:dyDescent="0.25">
      <c r="A59" s="1" t="str">
        <f>tbl_BOQs[[#This Row],[BOQ ID]]&amp;"-"&amp;tbl_BOQs[[#This Row],[Contractor]]</f>
        <v>w1_14-C1</v>
      </c>
      <c r="B59" s="1" t="s">
        <v>3558</v>
      </c>
      <c r="C59" s="116">
        <v>14</v>
      </c>
      <c r="D59" s="1" t="s">
        <v>3557</v>
      </c>
      <c r="E59" s="2" t="s">
        <v>16</v>
      </c>
      <c r="F59" s="82" t="s">
        <v>3526</v>
      </c>
      <c r="G59" s="32" t="s">
        <v>3512</v>
      </c>
      <c r="H59" s="1" t="s">
        <v>3526</v>
      </c>
      <c r="I59" s="1" t="s">
        <v>3512</v>
      </c>
      <c r="J59" s="1"/>
      <c r="K59" s="14">
        <v>32</v>
      </c>
      <c r="L59" s="11">
        <v>20</v>
      </c>
      <c r="M59" s="11">
        <f>tbl_BOQs[[#This Row],[Cost]]*tbl_BOQs[[#This Row],[Quantities]]</f>
        <v>640</v>
      </c>
    </row>
    <row r="60" spans="1:13" x14ac:dyDescent="0.25">
      <c r="A60" s="1" t="str">
        <f>tbl_BOQs[[#This Row],[BOQ ID]]&amp;"-"&amp;tbl_BOQs[[#This Row],[Contractor]]</f>
        <v>w2_1-C1</v>
      </c>
      <c r="B60" s="1" t="s">
        <v>3559</v>
      </c>
      <c r="C60" s="116">
        <v>15</v>
      </c>
      <c r="D60" s="1" t="s">
        <v>3477</v>
      </c>
      <c r="E60" s="2" t="s">
        <v>16</v>
      </c>
      <c r="F60" s="82" t="s">
        <v>3527</v>
      </c>
      <c r="G60" s="32" t="s">
        <v>2583</v>
      </c>
      <c r="H60" s="1" t="s">
        <v>3527</v>
      </c>
      <c r="I60" s="1" t="s">
        <v>2583</v>
      </c>
      <c r="J60" s="1"/>
      <c r="K60" s="14">
        <v>166</v>
      </c>
      <c r="L60" s="11">
        <v>23</v>
      </c>
      <c r="M60" s="11">
        <f>tbl_BOQs[[#This Row],[Cost]]*tbl_BOQs[[#This Row],[Quantities]]</f>
        <v>3818</v>
      </c>
    </row>
    <row r="61" spans="1:13" x14ac:dyDescent="0.25">
      <c r="A61" s="1" t="str">
        <f>tbl_BOQs[[#This Row],[BOQ ID]]&amp;"-"&amp;tbl_BOQs[[#This Row],[Contractor]]</f>
        <v>w2_2-C1</v>
      </c>
      <c r="B61" s="1" t="s">
        <v>3559</v>
      </c>
      <c r="C61" s="116">
        <v>16</v>
      </c>
      <c r="D61" s="1" t="s">
        <v>3478</v>
      </c>
      <c r="E61" s="2" t="s">
        <v>16</v>
      </c>
      <c r="F61" s="82" t="s">
        <v>3528</v>
      </c>
      <c r="G61" s="32" t="s">
        <v>2586</v>
      </c>
      <c r="H61" s="1" t="s">
        <v>3528</v>
      </c>
      <c r="I61" s="1" t="s">
        <v>2586</v>
      </c>
      <c r="J61" s="1"/>
      <c r="K61" s="14">
        <v>650</v>
      </c>
      <c r="L61" s="11">
        <v>12</v>
      </c>
      <c r="M61" s="11">
        <f>tbl_BOQs[[#This Row],[Cost]]*tbl_BOQs[[#This Row],[Quantities]]</f>
        <v>7800</v>
      </c>
    </row>
    <row r="62" spans="1:13" x14ac:dyDescent="0.25">
      <c r="A62" s="1" t="str">
        <f>tbl_BOQs[[#This Row],[BOQ ID]]&amp;"-"&amp;tbl_BOQs[[#This Row],[Contractor]]</f>
        <v>w2_3-C1</v>
      </c>
      <c r="B62" s="1" t="s">
        <v>3559</v>
      </c>
      <c r="C62" s="116">
        <v>17</v>
      </c>
      <c r="D62" s="1" t="s">
        <v>3490</v>
      </c>
      <c r="E62" s="2" t="s">
        <v>16</v>
      </c>
      <c r="F62" s="82" t="s">
        <v>3529</v>
      </c>
      <c r="G62" s="32" t="s">
        <v>2630</v>
      </c>
      <c r="H62" s="1" t="s">
        <v>3529</v>
      </c>
      <c r="I62" s="1" t="s">
        <v>2630</v>
      </c>
      <c r="J62" s="1"/>
      <c r="K62" s="14">
        <v>650</v>
      </c>
      <c r="L62" s="11">
        <v>12</v>
      </c>
      <c r="M62" s="11">
        <f>tbl_BOQs[[#This Row],[Cost]]*tbl_BOQs[[#This Row],[Quantities]]</f>
        <v>7800</v>
      </c>
    </row>
    <row r="63" spans="1:13" x14ac:dyDescent="0.25">
      <c r="A63" s="1" t="str">
        <f>tbl_BOQs[[#This Row],[BOQ ID]]&amp;"-"&amp;tbl_BOQs[[#This Row],[Contractor]]</f>
        <v>w2_4-C1</v>
      </c>
      <c r="B63" s="1" t="s">
        <v>3559</v>
      </c>
      <c r="C63" s="116">
        <v>18</v>
      </c>
      <c r="D63" s="1" t="s">
        <v>3479</v>
      </c>
      <c r="E63" s="2" t="s">
        <v>16</v>
      </c>
      <c r="F63" s="82" t="s">
        <v>3530</v>
      </c>
      <c r="G63" s="32" t="s">
        <v>2589</v>
      </c>
      <c r="H63" s="1" t="s">
        <v>3530</v>
      </c>
      <c r="I63" s="1" t="s">
        <v>2589</v>
      </c>
      <c r="J63" s="1"/>
      <c r="K63" s="14">
        <v>164</v>
      </c>
      <c r="L63" s="11">
        <v>80</v>
      </c>
      <c r="M63" s="11">
        <f>tbl_BOQs[[#This Row],[Cost]]*tbl_BOQs[[#This Row],[Quantities]]</f>
        <v>13120</v>
      </c>
    </row>
    <row r="64" spans="1:13" x14ac:dyDescent="0.25">
      <c r="A64" s="1" t="str">
        <f>tbl_BOQs[[#This Row],[BOQ ID]]&amp;"-"&amp;tbl_BOQs[[#This Row],[Contractor]]</f>
        <v>w2_5-C1</v>
      </c>
      <c r="B64" s="1" t="s">
        <v>3559</v>
      </c>
      <c r="C64" s="116">
        <v>19</v>
      </c>
      <c r="D64" s="1" t="s">
        <v>3491</v>
      </c>
      <c r="E64" s="2" t="s">
        <v>16</v>
      </c>
      <c r="F64" s="82" t="s">
        <v>3531</v>
      </c>
      <c r="G64" s="32" t="s">
        <v>2635</v>
      </c>
      <c r="H64" s="1" t="s">
        <v>3531</v>
      </c>
      <c r="I64" s="1" t="s">
        <v>2635</v>
      </c>
      <c r="J64" s="1"/>
      <c r="K64" s="14">
        <v>32</v>
      </c>
      <c r="L64" s="11">
        <v>40</v>
      </c>
      <c r="M64" s="11">
        <f>tbl_BOQs[[#This Row],[Cost]]*tbl_BOQs[[#This Row],[Quantities]]</f>
        <v>1280</v>
      </c>
    </row>
    <row r="65" spans="1:13" x14ac:dyDescent="0.25">
      <c r="A65" s="1" t="str">
        <f>tbl_BOQs[[#This Row],[BOQ ID]]&amp;"-"&amp;tbl_BOQs[[#This Row],[Contractor]]</f>
        <v>w2_6-C1</v>
      </c>
      <c r="B65" s="1" t="s">
        <v>3559</v>
      </c>
      <c r="C65" s="116">
        <v>20</v>
      </c>
      <c r="D65" s="1" t="s">
        <v>3499</v>
      </c>
      <c r="E65" s="2" t="s">
        <v>16</v>
      </c>
      <c r="F65" s="82" t="s">
        <v>3532</v>
      </c>
      <c r="G65" s="32" t="s">
        <v>2775</v>
      </c>
      <c r="H65" s="1" t="s">
        <v>3532</v>
      </c>
      <c r="I65" s="1" t="s">
        <v>2775</v>
      </c>
      <c r="J65" s="1"/>
      <c r="K65" s="14">
        <v>65</v>
      </c>
      <c r="L65" s="11">
        <v>100</v>
      </c>
      <c r="M65" s="11">
        <f>tbl_BOQs[[#This Row],[Cost]]*tbl_BOQs[[#This Row],[Quantities]]</f>
        <v>6500</v>
      </c>
    </row>
    <row r="66" spans="1:13" x14ac:dyDescent="0.25">
      <c r="A66" s="1" t="str">
        <f>tbl_BOQs[[#This Row],[BOQ ID]]&amp;"-"&amp;tbl_BOQs[[#This Row],[Contractor]]</f>
        <v>w2_7-C1</v>
      </c>
      <c r="B66" s="1" t="s">
        <v>3559</v>
      </c>
      <c r="C66" s="116">
        <v>21</v>
      </c>
      <c r="D66" s="1" t="s">
        <v>3480</v>
      </c>
      <c r="E66" s="2" t="s">
        <v>16</v>
      </c>
      <c r="F66" s="82" t="s">
        <v>3533</v>
      </c>
      <c r="G66" s="32" t="s">
        <v>2592</v>
      </c>
      <c r="H66" s="1" t="s">
        <v>3533</v>
      </c>
      <c r="I66" s="1" t="s">
        <v>2592</v>
      </c>
      <c r="J66" s="1"/>
      <c r="K66" s="14">
        <v>480</v>
      </c>
      <c r="L66" s="11">
        <v>4</v>
      </c>
      <c r="M66" s="11">
        <f>tbl_BOQs[[#This Row],[Cost]]*tbl_BOQs[[#This Row],[Quantities]]</f>
        <v>1920</v>
      </c>
    </row>
    <row r="67" spans="1:13" x14ac:dyDescent="0.25">
      <c r="A67" s="1" t="str">
        <f>tbl_BOQs[[#This Row],[BOQ ID]]&amp;"-"&amp;tbl_BOQs[[#This Row],[Contractor]]</f>
        <v>w2_8-C1</v>
      </c>
      <c r="B67" s="1" t="s">
        <v>3559</v>
      </c>
      <c r="C67" s="116">
        <v>22</v>
      </c>
      <c r="D67" s="1" t="s">
        <v>3493</v>
      </c>
      <c r="E67" s="2" t="s">
        <v>16</v>
      </c>
      <c r="F67" s="82" t="s">
        <v>3534</v>
      </c>
      <c r="G67" s="32" t="s">
        <v>2689</v>
      </c>
      <c r="H67" s="1" t="s">
        <v>3534</v>
      </c>
      <c r="I67" s="1" t="s">
        <v>2689</v>
      </c>
      <c r="J67" s="1"/>
      <c r="K67" s="14">
        <v>156</v>
      </c>
      <c r="L67" s="11">
        <v>65</v>
      </c>
      <c r="M67" s="11">
        <f>tbl_BOQs[[#This Row],[Cost]]*tbl_BOQs[[#This Row],[Quantities]]</f>
        <v>10140</v>
      </c>
    </row>
    <row r="68" spans="1:13" x14ac:dyDescent="0.25">
      <c r="A68" s="1" t="str">
        <f>tbl_BOQs[[#This Row],[BOQ ID]]&amp;"-"&amp;tbl_BOQs[[#This Row],[Contractor]]</f>
        <v>w2_9-C1</v>
      </c>
      <c r="B68" s="1" t="s">
        <v>3559</v>
      </c>
      <c r="C68" s="116">
        <v>23</v>
      </c>
      <c r="D68" s="1" t="s">
        <v>3492</v>
      </c>
      <c r="E68" s="2" t="s">
        <v>16</v>
      </c>
      <c r="F68" s="82" t="s">
        <v>3535</v>
      </c>
      <c r="G68" s="32" t="s">
        <v>2638</v>
      </c>
      <c r="H68" s="1" t="s">
        <v>3535</v>
      </c>
      <c r="I68" s="1" t="s">
        <v>2638</v>
      </c>
      <c r="J68" s="1"/>
      <c r="K68" s="14">
        <v>156</v>
      </c>
      <c r="L68" s="11">
        <v>8</v>
      </c>
      <c r="M68" s="11">
        <f>tbl_BOQs[[#This Row],[Cost]]*tbl_BOQs[[#This Row],[Quantities]]</f>
        <v>1248</v>
      </c>
    </row>
    <row r="69" spans="1:13" x14ac:dyDescent="0.25">
      <c r="A69" s="1" t="str">
        <f>tbl_BOQs[[#This Row],[BOQ ID]]&amp;"-"&amp;tbl_BOQs[[#This Row],[Contractor]]</f>
        <v>w3_1-C1</v>
      </c>
      <c r="B69" s="1" t="s">
        <v>3560</v>
      </c>
      <c r="C69" s="116">
        <v>24</v>
      </c>
      <c r="D69" s="1" t="s">
        <v>3500</v>
      </c>
      <c r="E69" s="2" t="s">
        <v>16</v>
      </c>
      <c r="F69" s="82" t="s">
        <v>3536</v>
      </c>
      <c r="G69" s="32" t="s">
        <v>2782</v>
      </c>
      <c r="H69" s="1" t="s">
        <v>3536</v>
      </c>
      <c r="I69" s="1" t="s">
        <v>2782</v>
      </c>
      <c r="J69" s="1"/>
      <c r="K69" s="14">
        <v>325</v>
      </c>
      <c r="L69" s="11">
        <v>5</v>
      </c>
      <c r="M69" s="11">
        <f>tbl_BOQs[[#This Row],[Cost]]*tbl_BOQs[[#This Row],[Quantities]]</f>
        <v>1625</v>
      </c>
    </row>
    <row r="70" spans="1:13" x14ac:dyDescent="0.25">
      <c r="A70" s="1" t="str">
        <f>tbl_BOQs[[#This Row],[BOQ ID]]&amp;"-"&amp;tbl_BOQs[[#This Row],[Contractor]]</f>
        <v>w3_2-C1</v>
      </c>
      <c r="B70" s="1" t="s">
        <v>3560</v>
      </c>
      <c r="C70" s="116">
        <v>25</v>
      </c>
      <c r="D70" s="1" t="s">
        <v>3481</v>
      </c>
      <c r="E70" s="2" t="s">
        <v>16</v>
      </c>
      <c r="F70" s="82" t="s">
        <v>3537</v>
      </c>
      <c r="G70" s="32" t="s">
        <v>2595</v>
      </c>
      <c r="H70" s="1" t="s">
        <v>3537</v>
      </c>
      <c r="I70" s="1" t="s">
        <v>2595</v>
      </c>
      <c r="J70" s="1"/>
      <c r="K70" s="14">
        <v>3900</v>
      </c>
      <c r="L70" s="11">
        <v>1</v>
      </c>
      <c r="M70" s="11">
        <f>tbl_BOQs[[#This Row],[Cost]]*tbl_BOQs[[#This Row],[Quantities]]</f>
        <v>3900</v>
      </c>
    </row>
    <row r="71" spans="1:13" x14ac:dyDescent="0.25">
      <c r="A71" s="1" t="str">
        <f>tbl_BOQs[[#This Row],[BOQ ID]]&amp;"-"&amp;tbl_BOQs[[#This Row],[Contractor]]</f>
        <v>w3_3-C1</v>
      </c>
      <c r="B71" s="1" t="s">
        <v>3560</v>
      </c>
      <c r="C71" s="116">
        <v>26</v>
      </c>
      <c r="D71" s="1" t="s">
        <v>3482</v>
      </c>
      <c r="E71" s="2" t="s">
        <v>16</v>
      </c>
      <c r="F71" s="82" t="s">
        <v>3538</v>
      </c>
      <c r="G71" s="32" t="s">
        <v>2598</v>
      </c>
      <c r="H71" s="1" t="s">
        <v>3538</v>
      </c>
      <c r="I71" s="1" t="s">
        <v>2598</v>
      </c>
      <c r="J71" s="1"/>
      <c r="K71" s="14">
        <v>496</v>
      </c>
      <c r="L71" s="11">
        <v>5</v>
      </c>
      <c r="M71" s="11">
        <f>tbl_BOQs[[#This Row],[Cost]]*tbl_BOQs[[#This Row],[Quantities]]</f>
        <v>2480</v>
      </c>
    </row>
    <row r="72" spans="1:13" x14ac:dyDescent="0.25">
      <c r="A72" s="1" t="str">
        <f>tbl_BOQs[[#This Row],[BOQ ID]]&amp;"-"&amp;tbl_BOQs[[#This Row],[Contractor]]</f>
        <v>w3_4-C1</v>
      </c>
      <c r="B72" s="1" t="s">
        <v>3560</v>
      </c>
      <c r="C72" s="116">
        <v>27</v>
      </c>
      <c r="D72" s="1" t="s">
        <v>3483</v>
      </c>
      <c r="E72" s="2" t="s">
        <v>16</v>
      </c>
      <c r="F72" s="82" t="s">
        <v>3539</v>
      </c>
      <c r="G72" s="32" t="s">
        <v>2601</v>
      </c>
      <c r="H72" s="1" t="s">
        <v>3539</v>
      </c>
      <c r="I72" s="1" t="s">
        <v>2601</v>
      </c>
      <c r="J72" s="1"/>
      <c r="K72" s="14">
        <v>776</v>
      </c>
      <c r="L72" s="11">
        <v>3</v>
      </c>
      <c r="M72" s="11">
        <f>tbl_BOQs[[#This Row],[Cost]]*tbl_BOQs[[#This Row],[Quantities]]</f>
        <v>2328</v>
      </c>
    </row>
    <row r="73" spans="1:13" x14ac:dyDescent="0.25">
      <c r="A73" s="1" t="str">
        <f>tbl_BOQs[[#This Row],[BOQ ID]]&amp;"-"&amp;tbl_BOQs[[#This Row],[Contractor]]</f>
        <v>w3_5-C1</v>
      </c>
      <c r="B73" s="1" t="s">
        <v>3560</v>
      </c>
      <c r="C73" s="116">
        <v>28</v>
      </c>
      <c r="D73" s="1" t="s">
        <v>3484</v>
      </c>
      <c r="E73" s="2" t="s">
        <v>16</v>
      </c>
      <c r="F73" s="82" t="s">
        <v>3540</v>
      </c>
      <c r="G73" s="32" t="s">
        <v>2604</v>
      </c>
      <c r="H73" s="1" t="s">
        <v>3540</v>
      </c>
      <c r="I73" s="1" t="s">
        <v>2604</v>
      </c>
      <c r="J73" s="1"/>
      <c r="K73" s="14">
        <v>164</v>
      </c>
      <c r="L73" s="11">
        <v>60</v>
      </c>
      <c r="M73" s="11">
        <f>tbl_BOQs[[#This Row],[Cost]]*tbl_BOQs[[#This Row],[Quantities]]</f>
        <v>9840</v>
      </c>
    </row>
    <row r="74" spans="1:13" x14ac:dyDescent="0.25">
      <c r="A74" s="1" t="str">
        <f>tbl_BOQs[[#This Row],[BOQ ID]]&amp;"-"&amp;tbl_BOQs[[#This Row],[Contractor]]</f>
        <v>w3_6-C1</v>
      </c>
      <c r="B74" s="1" t="s">
        <v>3560</v>
      </c>
      <c r="C74" s="116">
        <v>29</v>
      </c>
      <c r="D74" s="1" t="s">
        <v>3485</v>
      </c>
      <c r="E74" s="2" t="s">
        <v>16</v>
      </c>
      <c r="F74" s="82" t="s">
        <v>3541</v>
      </c>
      <c r="G74" s="32" t="s">
        <v>2607</v>
      </c>
      <c r="H74" s="1" t="s">
        <v>3541</v>
      </c>
      <c r="I74" s="1" t="s">
        <v>2607</v>
      </c>
      <c r="J74" s="1"/>
      <c r="K74" s="14">
        <v>288</v>
      </c>
      <c r="L74" s="11">
        <v>20</v>
      </c>
      <c r="M74" s="11">
        <f>tbl_BOQs[[#This Row],[Cost]]*tbl_BOQs[[#This Row],[Quantities]]</f>
        <v>5760</v>
      </c>
    </row>
    <row r="75" spans="1:13" x14ac:dyDescent="0.25">
      <c r="A75" s="1" t="str">
        <f>tbl_BOQs[[#This Row],[BOQ ID]]&amp;"-"&amp;tbl_BOQs[[#This Row],[Contractor]]</f>
        <v>w3_7-C1</v>
      </c>
      <c r="B75" s="1" t="s">
        <v>3560</v>
      </c>
      <c r="C75" s="116">
        <v>30</v>
      </c>
      <c r="D75" s="1" t="s">
        <v>3486</v>
      </c>
      <c r="E75" s="2" t="s">
        <v>16</v>
      </c>
      <c r="F75" s="82" t="s">
        <v>3542</v>
      </c>
      <c r="G75" s="32" t="s">
        <v>2610</v>
      </c>
      <c r="H75" s="1" t="s">
        <v>3542</v>
      </c>
      <c r="I75" s="1" t="s">
        <v>2610</v>
      </c>
      <c r="J75" s="1"/>
      <c r="K75" s="14">
        <v>1800</v>
      </c>
      <c r="L75" s="11">
        <v>2</v>
      </c>
      <c r="M75" s="11">
        <f>tbl_BOQs[[#This Row],[Cost]]*tbl_BOQs[[#This Row],[Quantities]]</f>
        <v>3600</v>
      </c>
    </row>
    <row r="76" spans="1:13" x14ac:dyDescent="0.25">
      <c r="A76" s="1" t="str">
        <f>tbl_BOQs[[#This Row],[BOQ ID]]&amp;"-"&amp;tbl_BOQs[[#This Row],[Contractor]]</f>
        <v>w3_8-C1</v>
      </c>
      <c r="B76" s="1" t="s">
        <v>3560</v>
      </c>
      <c r="C76" s="116">
        <v>31</v>
      </c>
      <c r="D76" s="1" t="s">
        <v>3487</v>
      </c>
      <c r="E76" s="2" t="s">
        <v>16</v>
      </c>
      <c r="F76" s="82" t="s">
        <v>3543</v>
      </c>
      <c r="G76" s="32" t="s">
        <v>2613</v>
      </c>
      <c r="H76" s="1" t="s">
        <v>3543</v>
      </c>
      <c r="I76" s="1" t="s">
        <v>2613</v>
      </c>
      <c r="J76" s="1"/>
      <c r="K76" s="14">
        <v>156</v>
      </c>
      <c r="L76" s="11">
        <v>70</v>
      </c>
      <c r="M76" s="11">
        <f>tbl_BOQs[[#This Row],[Cost]]*tbl_BOQs[[#This Row],[Quantities]]</f>
        <v>10920</v>
      </c>
    </row>
    <row r="77" spans="1:13" x14ac:dyDescent="0.25">
      <c r="A77" s="1" t="str">
        <f>tbl_BOQs[[#This Row],[BOQ ID]]&amp;"-"&amp;tbl_BOQs[[#This Row],[Contractor]]</f>
        <v>w4_1-C1</v>
      </c>
      <c r="B77" s="1" t="s">
        <v>3561</v>
      </c>
      <c r="C77" s="116">
        <v>32</v>
      </c>
      <c r="D77" s="1" t="s">
        <v>3505</v>
      </c>
      <c r="E77" s="2" t="s">
        <v>16</v>
      </c>
      <c r="F77" s="82" t="s">
        <v>3544</v>
      </c>
      <c r="G77" s="32" t="s">
        <v>2809</v>
      </c>
      <c r="H77" s="1" t="s">
        <v>3544</v>
      </c>
      <c r="I77" s="1" t="s">
        <v>2809</v>
      </c>
      <c r="J77" s="1"/>
      <c r="K77" s="14">
        <v>130</v>
      </c>
      <c r="L77" s="11">
        <v>100</v>
      </c>
      <c r="M77" s="11">
        <f>tbl_BOQs[[#This Row],[Cost]]*tbl_BOQs[[#This Row],[Quantities]]</f>
        <v>13000</v>
      </c>
    </row>
    <row r="78" spans="1:13" x14ac:dyDescent="0.25">
      <c r="A78" s="1" t="str">
        <f>tbl_BOQs[[#This Row],[BOQ ID]]&amp;"-"&amp;tbl_BOQs[[#This Row],[Contractor]]</f>
        <v>w4_2-C1</v>
      </c>
      <c r="B78" s="1" t="s">
        <v>3561</v>
      </c>
      <c r="C78" s="116">
        <v>33</v>
      </c>
      <c r="D78" s="1" t="s">
        <v>3506</v>
      </c>
      <c r="E78" s="2" t="s">
        <v>16</v>
      </c>
      <c r="F78" s="82" t="s">
        <v>3545</v>
      </c>
      <c r="G78" s="32" t="s">
        <v>2840</v>
      </c>
      <c r="H78" s="1" t="s">
        <v>3545</v>
      </c>
      <c r="I78" s="1" t="s">
        <v>2840</v>
      </c>
      <c r="J78" s="1"/>
      <c r="K78" s="14">
        <v>149</v>
      </c>
      <c r="L78" s="11">
        <v>2</v>
      </c>
      <c r="M78" s="11">
        <f>tbl_BOQs[[#This Row],[Cost]]*tbl_BOQs[[#This Row],[Quantities]]</f>
        <v>298</v>
      </c>
    </row>
    <row r="79" spans="1:13" x14ac:dyDescent="0.25">
      <c r="A79" s="1" t="str">
        <f>tbl_BOQs[[#This Row],[BOQ ID]]&amp;"-"&amp;tbl_BOQs[[#This Row],[Contractor]]</f>
        <v>w4_3-C1</v>
      </c>
      <c r="B79" s="1" t="s">
        <v>3561</v>
      </c>
      <c r="C79" s="116">
        <v>34</v>
      </c>
      <c r="D79" s="1" t="s">
        <v>3501</v>
      </c>
      <c r="E79" s="2" t="s">
        <v>16</v>
      </c>
      <c r="F79" s="82" t="s">
        <v>3546</v>
      </c>
      <c r="G79" s="32" t="s">
        <v>2785</v>
      </c>
      <c r="H79" s="1" t="s">
        <v>3546</v>
      </c>
      <c r="I79" s="1" t="s">
        <v>2785</v>
      </c>
      <c r="J79" s="1"/>
      <c r="K79" s="14">
        <v>46</v>
      </c>
      <c r="L79" s="11">
        <v>5</v>
      </c>
      <c r="M79" s="11">
        <f>tbl_BOQs[[#This Row],[Cost]]*tbl_BOQs[[#This Row],[Quantities]]</f>
        <v>230</v>
      </c>
    </row>
    <row r="80" spans="1:13" x14ac:dyDescent="0.25">
      <c r="A80" s="1" t="str">
        <f>tbl_BOQs[[#This Row],[BOQ ID]]&amp;"-"&amp;tbl_BOQs[[#This Row],[Contractor]]</f>
        <v>w4_4-C1</v>
      </c>
      <c r="B80" s="1" t="s">
        <v>3561</v>
      </c>
      <c r="C80" s="116">
        <v>35</v>
      </c>
      <c r="D80" s="1" t="s">
        <v>3510</v>
      </c>
      <c r="E80" s="2" t="s">
        <v>16</v>
      </c>
      <c r="F80" s="82" t="s">
        <v>3547</v>
      </c>
      <c r="G80" s="32" t="s">
        <v>3280</v>
      </c>
      <c r="H80" s="1" t="s">
        <v>3547</v>
      </c>
      <c r="I80" s="1" t="s">
        <v>3280</v>
      </c>
      <c r="J80" s="1"/>
      <c r="K80" s="14">
        <v>34</v>
      </c>
      <c r="L80" s="11">
        <v>6</v>
      </c>
      <c r="M80" s="11">
        <f>tbl_BOQs[[#This Row],[Cost]]*tbl_BOQs[[#This Row],[Quantities]]</f>
        <v>204</v>
      </c>
    </row>
    <row r="81" spans="1:13" x14ac:dyDescent="0.25">
      <c r="A81" s="1" t="str">
        <f>tbl_BOQs[[#This Row],[BOQ ID]]&amp;"-"&amp;tbl_BOQs[[#This Row],[Contractor]]</f>
        <v>w4_5-C1</v>
      </c>
      <c r="B81" s="1" t="s">
        <v>3561</v>
      </c>
      <c r="C81" s="116">
        <v>36</v>
      </c>
      <c r="D81" s="1" t="s">
        <v>3507</v>
      </c>
      <c r="E81" s="2" t="s">
        <v>16</v>
      </c>
      <c r="F81" s="82" t="s">
        <v>3548</v>
      </c>
      <c r="G81" s="32" t="s">
        <v>2863</v>
      </c>
      <c r="H81" s="1" t="s">
        <v>3548</v>
      </c>
      <c r="I81" s="1" t="s">
        <v>2863</v>
      </c>
      <c r="J81" s="1"/>
      <c r="K81" s="14">
        <v>149</v>
      </c>
      <c r="L81" s="11">
        <v>10</v>
      </c>
      <c r="M81" s="11">
        <f>tbl_BOQs[[#This Row],[Cost]]*tbl_BOQs[[#This Row],[Quantities]]</f>
        <v>1490</v>
      </c>
    </row>
    <row r="82" spans="1:13" x14ac:dyDescent="0.25">
      <c r="A82" s="1" t="str">
        <f>tbl_BOQs[[#This Row],[BOQ ID]]&amp;"-"&amp;tbl_BOQs[[#This Row],[Contractor]]</f>
        <v>w4_6-C1</v>
      </c>
      <c r="B82" s="1" t="s">
        <v>3561</v>
      </c>
      <c r="C82" s="116">
        <v>37</v>
      </c>
      <c r="D82" s="1" t="s">
        <v>3488</v>
      </c>
      <c r="E82" s="2" t="s">
        <v>16</v>
      </c>
      <c r="F82" s="82" t="s">
        <v>3549</v>
      </c>
      <c r="G82" s="32" t="s">
        <v>2616</v>
      </c>
      <c r="H82" s="1" t="s">
        <v>3549</v>
      </c>
      <c r="I82" s="1" t="s">
        <v>2616</v>
      </c>
      <c r="J82" s="1"/>
      <c r="K82" s="14">
        <v>141</v>
      </c>
      <c r="L82" s="11">
        <v>5</v>
      </c>
      <c r="M82" s="11">
        <f>tbl_BOQs[[#This Row],[Cost]]*tbl_BOQs[[#This Row],[Quantities]]</f>
        <v>705</v>
      </c>
    </row>
    <row r="83" spans="1:13" x14ac:dyDescent="0.25">
      <c r="A83" s="1" t="str">
        <f>tbl_BOQs[[#This Row],[BOQ ID]]&amp;"-"&amp;tbl_BOQs[[#This Row],[Contractor]]</f>
        <v>w5_1-C1</v>
      </c>
      <c r="B83" s="1" t="s">
        <v>3562</v>
      </c>
      <c r="C83" s="116">
        <v>38</v>
      </c>
      <c r="D83" s="1" t="s">
        <v>3489</v>
      </c>
      <c r="E83" s="2" t="s">
        <v>16</v>
      </c>
      <c r="F83" s="82" t="s">
        <v>3550</v>
      </c>
      <c r="G83" s="32" t="s">
        <v>2619</v>
      </c>
      <c r="H83" s="1" t="s">
        <v>3550</v>
      </c>
      <c r="I83" s="1" t="s">
        <v>2619</v>
      </c>
      <c r="J83" s="1"/>
      <c r="K83" s="14">
        <v>261</v>
      </c>
      <c r="L83" s="11">
        <v>90</v>
      </c>
      <c r="M83" s="11">
        <f>tbl_BOQs[[#This Row],[Cost]]*tbl_BOQs[[#This Row],[Quantities]]</f>
        <v>23490</v>
      </c>
    </row>
    <row r="84" spans="1:13" x14ac:dyDescent="0.25">
      <c r="A84" s="1" t="str">
        <f>tbl_BOQs[[#This Row],[BOQ ID]]&amp;"-"&amp;tbl_BOQs[[#This Row],[Contractor]]</f>
        <v>w5_2-C1</v>
      </c>
      <c r="B84" s="1" t="s">
        <v>3562</v>
      </c>
      <c r="C84" s="116">
        <v>39</v>
      </c>
      <c r="D84" s="1" t="s">
        <v>3502</v>
      </c>
      <c r="E84" s="2" t="s">
        <v>16</v>
      </c>
      <c r="F84" s="82" t="s">
        <v>3551</v>
      </c>
      <c r="G84" s="32" t="s">
        <v>2788</v>
      </c>
      <c r="H84" s="1" t="s">
        <v>3551</v>
      </c>
      <c r="I84" s="1" t="s">
        <v>2788</v>
      </c>
      <c r="J84" s="1"/>
      <c r="K84" s="14">
        <v>51</v>
      </c>
      <c r="L84" s="11">
        <v>190</v>
      </c>
      <c r="M84" s="11">
        <f>tbl_BOQs[[#This Row],[Cost]]*tbl_BOQs[[#This Row],[Quantities]]</f>
        <v>9690</v>
      </c>
    </row>
    <row r="85" spans="1:13" x14ac:dyDescent="0.25">
      <c r="A85" s="1" t="str">
        <f>tbl_BOQs[[#This Row],[BOQ ID]]&amp;"-"&amp;tbl_BOQs[[#This Row],[Contractor]]</f>
        <v>w5_3-C1</v>
      </c>
      <c r="B85" s="1" t="s">
        <v>3562</v>
      </c>
      <c r="C85" s="116">
        <v>40</v>
      </c>
      <c r="D85" s="1" t="s">
        <v>3509</v>
      </c>
      <c r="E85" s="2" t="s">
        <v>16</v>
      </c>
      <c r="F85" s="82" t="s">
        <v>3552</v>
      </c>
      <c r="G85" s="32" t="s">
        <v>3009</v>
      </c>
      <c r="H85" s="1" t="s">
        <v>3552</v>
      </c>
      <c r="I85" s="1" t="s">
        <v>3009</v>
      </c>
      <c r="J85" s="1"/>
      <c r="K85" s="14">
        <v>10000</v>
      </c>
      <c r="L85" s="11">
        <v>2</v>
      </c>
      <c r="M85" s="11">
        <f>tbl_BOQs[[#This Row],[Cost]]*tbl_BOQs[[#This Row],[Quantities]]</f>
        <v>20000</v>
      </c>
    </row>
    <row r="86" spans="1:13" x14ac:dyDescent="0.25">
      <c r="A86" s="1" t="str">
        <f>tbl_BOQs[[#This Row],[BOQ ID]]&amp;"-"&amp;tbl_BOQs[[#This Row],[Contractor]]</f>
        <v>w5_4-C1</v>
      </c>
      <c r="B86" s="1" t="s">
        <v>3562</v>
      </c>
      <c r="C86" s="116">
        <v>41</v>
      </c>
      <c r="D86" s="1" t="s">
        <v>3508</v>
      </c>
      <c r="E86" s="2" t="s">
        <v>16</v>
      </c>
      <c r="F86" s="82" t="s">
        <v>3553</v>
      </c>
      <c r="G86" s="32" t="s">
        <v>2900</v>
      </c>
      <c r="H86" s="1" t="s">
        <v>3553</v>
      </c>
      <c r="I86" s="1" t="s">
        <v>2900</v>
      </c>
      <c r="J86" s="1"/>
      <c r="K86" s="14">
        <v>7500</v>
      </c>
      <c r="L86" s="11">
        <v>2.2000000000000002</v>
      </c>
      <c r="M86" s="11">
        <f>tbl_BOQs[[#This Row],[Cost]]*tbl_BOQs[[#This Row],[Quantities]]</f>
        <v>16500</v>
      </c>
    </row>
    <row r="87" spans="1:13" x14ac:dyDescent="0.25">
      <c r="A87" s="1" t="str">
        <f>tbl_BOQs[[#This Row],[BOQ ID]]&amp;"-"&amp;tbl_BOQs[[#This Row],[Contractor]]</f>
        <v>w5_5-C1</v>
      </c>
      <c r="B87" s="1" t="s">
        <v>3562</v>
      </c>
      <c r="C87" s="116">
        <v>42</v>
      </c>
      <c r="D87" s="1" t="s">
        <v>3503</v>
      </c>
      <c r="E87" s="2" t="s">
        <v>16</v>
      </c>
      <c r="F87" s="82" t="s">
        <v>3554</v>
      </c>
      <c r="G87" s="32" t="s">
        <v>2791</v>
      </c>
      <c r="H87" s="1" t="s">
        <v>3554</v>
      </c>
      <c r="I87" s="1" t="s">
        <v>2791</v>
      </c>
      <c r="J87" s="1"/>
      <c r="K87" s="14">
        <v>4500</v>
      </c>
      <c r="L87" s="11">
        <v>2.2999999999999998</v>
      </c>
      <c r="M87" s="11">
        <f>tbl_BOQs[[#This Row],[Cost]]*tbl_BOQs[[#This Row],[Quantities]]</f>
        <v>10350</v>
      </c>
    </row>
    <row r="88" spans="1:13" x14ac:dyDescent="0.25">
      <c r="A88" s="1" t="str">
        <f>tbl_BOQs[[#This Row],[BOQ ID]]&amp;"-"&amp;tbl_BOQs[[#This Row],[Contractor]]</f>
        <v>w6_1-C1</v>
      </c>
      <c r="B88" s="1" t="s">
        <v>3563</v>
      </c>
      <c r="C88" s="116">
        <v>43</v>
      </c>
      <c r="D88" s="1" t="s">
        <v>3504</v>
      </c>
      <c r="E88" s="2" t="s">
        <v>16</v>
      </c>
      <c r="F88" s="82" t="s">
        <v>3555</v>
      </c>
      <c r="G88" s="32" t="s">
        <v>2794</v>
      </c>
      <c r="H88" s="1" t="s">
        <v>3555</v>
      </c>
      <c r="I88" s="1" t="s">
        <v>2794</v>
      </c>
      <c r="J88" s="1"/>
      <c r="K88" s="14">
        <v>29226</v>
      </c>
      <c r="L88" s="11">
        <v>1</v>
      </c>
      <c r="M88" s="11">
        <f>tbl_BOQs[[#This Row],[Cost]]*tbl_BOQs[[#This Row],[Quantities]]</f>
        <v>29226</v>
      </c>
    </row>
  </sheetData>
  <phoneticPr fontId="1" type="noConversion"/>
  <dataValidations count="2">
    <dataValidation type="list" allowBlank="1" showInputMessage="1" showErrorMessage="1" sqref="B3:B88" xr:uid="{E61CF81A-F21A-499C-BDA9-CFFCC07B366F}">
      <formula1>INDIRECT("BOQ_MAIN[item_en]")</formula1>
    </dataValidation>
    <dataValidation type="list" allowBlank="1" showInputMessage="1" showErrorMessage="1" sqref="E3:E88" xr:uid="{37825571-585E-4DBD-98F0-C34D17BAF9E8}">
      <formula1>INDIRECT("tbl_Contractors[Code]")</formula1>
    </dataValidation>
  </dataValidations>
  <pageMargins left="0.7" right="0.7" top="0.75" bottom="0.75" header="0.3" footer="0.3"/>
  <pageSetup paperSize="9" orientation="portrait" r:id="rId2"/>
  <ignoredErrors>
    <ignoredError sqref="C3:C11 C46:C54" numberStoredAsText="1"/>
  </ignoredErrors>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B783-B248-4659-B04E-A23CB0E7BC49}">
  <sheetPr codeName="Sheet4">
    <tabColor rgb="FF1DB9C3"/>
  </sheetPr>
  <dimension ref="A1:E4"/>
  <sheetViews>
    <sheetView showGridLines="0" zoomScale="80" zoomScaleNormal="80" workbookViewId="0">
      <selection activeCell="C9" sqref="C9"/>
    </sheetView>
  </sheetViews>
  <sheetFormatPr defaultRowHeight="15" x14ac:dyDescent="0.25"/>
  <cols>
    <col min="1" max="1" width="6.7109375" bestFit="1" customWidth="1"/>
    <col min="2" max="2" width="10" bestFit="1" customWidth="1"/>
    <col min="3" max="3" width="18.28515625" bestFit="1" customWidth="1"/>
    <col min="4" max="4" width="41.28515625" bestFit="1" customWidth="1"/>
    <col min="5" max="5" width="32.7109375" bestFit="1" customWidth="1"/>
  </cols>
  <sheetData>
    <row r="1" spans="1:5" ht="25.5" customHeight="1" x14ac:dyDescent="0.25">
      <c r="A1" s="10" t="s">
        <v>28</v>
      </c>
      <c r="B1" s="10" t="s">
        <v>29</v>
      </c>
      <c r="C1" s="10" t="s">
        <v>30</v>
      </c>
      <c r="D1" s="10" t="s">
        <v>31</v>
      </c>
      <c r="E1" s="10" t="s">
        <v>32</v>
      </c>
    </row>
    <row r="2" spans="1:5" ht="24.4" customHeight="1" x14ac:dyDescent="0.25">
      <c r="A2" s="24">
        <v>1</v>
      </c>
      <c r="B2" s="24" t="s">
        <v>16</v>
      </c>
      <c r="C2" s="24" t="s">
        <v>15</v>
      </c>
      <c r="D2" s="24"/>
      <c r="E2" s="25"/>
    </row>
    <row r="3" spans="1:5" x14ac:dyDescent="0.25">
      <c r="A3" s="135"/>
      <c r="B3" s="135" t="s">
        <v>3572</v>
      </c>
      <c r="C3" s="135"/>
      <c r="D3" s="135"/>
      <c r="E3" s="136"/>
    </row>
    <row r="4" spans="1:5" x14ac:dyDescent="0.25">
      <c r="A4" s="135"/>
      <c r="B4" s="24" t="s">
        <v>3573</v>
      </c>
      <c r="C4" s="135"/>
      <c r="D4" s="135"/>
      <c r="E4" s="136"/>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EE47-0BD0-4F49-B48A-FCB8B0CFCBB7}">
  <sheetPr codeName="Sheet5">
    <tabColor rgb="FFFF0000"/>
  </sheetPr>
  <dimension ref="B3:M22"/>
  <sheetViews>
    <sheetView showGridLines="0" topLeftCell="C1" zoomScale="115" zoomScaleNormal="115" workbookViewId="0">
      <selection activeCell="M14" sqref="M14"/>
    </sheetView>
  </sheetViews>
  <sheetFormatPr defaultColWidth="8.7109375" defaultRowHeight="15" x14ac:dyDescent="0.25"/>
  <cols>
    <col min="1" max="1" width="2.140625" style="1" customWidth="1"/>
    <col min="2" max="2" width="16.42578125" style="1" bestFit="1" customWidth="1"/>
    <col min="3" max="3" width="3.28515625" style="1" customWidth="1"/>
    <col min="4" max="4" width="8" style="1" bestFit="1" customWidth="1"/>
    <col min="5" max="5" width="17.5703125" style="1" customWidth="1"/>
    <col min="6" max="6" width="25" style="1" bestFit="1" customWidth="1"/>
    <col min="7" max="7" width="53.42578125" style="1" bestFit="1" customWidth="1"/>
    <col min="8" max="8" width="21.7109375" style="1" customWidth="1"/>
    <col min="9" max="9" width="12.28515625" style="1" bestFit="1" customWidth="1"/>
    <col min="10" max="10" width="8.7109375" style="1"/>
    <col min="11" max="11" width="15.7109375" style="1" bestFit="1" customWidth="1"/>
    <col min="12" max="12" width="26.140625" style="1" bestFit="1" customWidth="1"/>
    <col min="13" max="13" width="32.28515625" style="1" bestFit="1" customWidth="1"/>
    <col min="14" max="14" width="40.85546875" style="1" bestFit="1" customWidth="1"/>
    <col min="15" max="15" width="32" style="1" bestFit="1" customWidth="1"/>
    <col min="16" max="16" width="12.140625" style="1" bestFit="1" customWidth="1"/>
    <col min="17" max="16384" width="8.7109375" style="1"/>
  </cols>
  <sheetData>
    <row r="3" spans="2:13" ht="17.45" customHeight="1" x14ac:dyDescent="0.25">
      <c r="B3" s="4" t="s">
        <v>33</v>
      </c>
      <c r="D3" s="1" t="s">
        <v>34</v>
      </c>
      <c r="E3" s="1" t="s">
        <v>35</v>
      </c>
      <c r="F3" s="1" t="s">
        <v>36</v>
      </c>
      <c r="G3" s="1" t="s">
        <v>37</v>
      </c>
      <c r="H3" s="1" t="s">
        <v>38</v>
      </c>
      <c r="I3" s="1" t="s">
        <v>39</v>
      </c>
      <c r="K3" s="1" t="s">
        <v>29</v>
      </c>
      <c r="L3" s="1" t="s">
        <v>3570</v>
      </c>
      <c r="M3" s="1" t="s">
        <v>3571</v>
      </c>
    </row>
    <row r="4" spans="2:13" x14ac:dyDescent="0.25">
      <c r="B4" s="5" t="s">
        <v>40</v>
      </c>
      <c r="D4" s="104">
        <v>1</v>
      </c>
      <c r="E4" s="104" t="s">
        <v>41</v>
      </c>
      <c r="F4" s="104" t="s">
        <v>42</v>
      </c>
      <c r="G4" s="104" t="s">
        <v>43</v>
      </c>
      <c r="H4" s="104" t="str">
        <f>tbl_Damage[[#This Row],[الحالة بالإنجليزية]]&amp;"/"&amp;tbl_Damage[[#This Row],[الحالة بالعربية]]</f>
        <v>No or Negligible Damage/لا يوجد ضرر أو ضرر طفيف جدًا</v>
      </c>
      <c r="I4" s="104" t="s">
        <v>44</v>
      </c>
      <c r="K4" s="1" t="s">
        <v>3564</v>
      </c>
      <c r="L4" s="1" t="s">
        <v>2552</v>
      </c>
      <c r="M4" s="1" t="s">
        <v>3558</v>
      </c>
    </row>
    <row r="5" spans="2:13" x14ac:dyDescent="0.25">
      <c r="B5" s="6" t="s">
        <v>45</v>
      </c>
      <c r="D5" s="105">
        <v>2</v>
      </c>
      <c r="E5" s="105" t="s">
        <v>46</v>
      </c>
      <c r="F5" s="105" t="s">
        <v>47</v>
      </c>
      <c r="G5" s="105" t="s">
        <v>48</v>
      </c>
      <c r="H5" s="105" t="str">
        <f>tbl_Damage[[#This Row],[الحالة بالإنجليزية]]&amp;"/"&amp;tbl_Damage[[#This Row],[الحالة بالعربية]]</f>
        <v>Minor Damage/ضرر خفيف</v>
      </c>
      <c r="I5" s="105" t="s">
        <v>49</v>
      </c>
      <c r="K5" s="1" t="s">
        <v>3565</v>
      </c>
      <c r="L5" s="1" t="s">
        <v>2553</v>
      </c>
      <c r="M5" s="1" t="s">
        <v>3559</v>
      </c>
    </row>
    <row r="6" spans="2:13" x14ac:dyDescent="0.25">
      <c r="B6" s="7" t="s">
        <v>50</v>
      </c>
      <c r="D6" s="106">
        <v>3</v>
      </c>
      <c r="E6" s="106" t="s">
        <v>51</v>
      </c>
      <c r="F6" s="106" t="s">
        <v>52</v>
      </c>
      <c r="G6" s="106" t="s">
        <v>53</v>
      </c>
      <c r="H6" s="106" t="str">
        <f>tbl_Damage[[#This Row],[الحالة بالإنجليزية]]&amp;"/"&amp;tbl_Damage[[#This Row],[الحالة بالعربية]]</f>
        <v>Moderate Damage/ضرر متوسط</v>
      </c>
      <c r="I6" s="106" t="s">
        <v>54</v>
      </c>
      <c r="K6" s="1" t="s">
        <v>3566</v>
      </c>
      <c r="L6" s="1" t="s">
        <v>2554</v>
      </c>
      <c r="M6" s="1" t="s">
        <v>3560</v>
      </c>
    </row>
    <row r="7" spans="2:13" x14ac:dyDescent="0.25">
      <c r="B7" s="6" t="s">
        <v>55</v>
      </c>
      <c r="D7" s="107">
        <v>4</v>
      </c>
      <c r="E7" s="107" t="s">
        <v>56</v>
      </c>
      <c r="F7" s="107" t="s">
        <v>57</v>
      </c>
      <c r="G7" s="107" t="s">
        <v>58</v>
      </c>
      <c r="H7" s="107" t="str">
        <f>tbl_Damage[[#This Row],[الحالة بالإنجليزية]]&amp;"/"&amp;tbl_Damage[[#This Row],[الحالة بالعربية]]</f>
        <v>Heavy Damage/ضرر شديد</v>
      </c>
      <c r="I7" s="107" t="s">
        <v>59</v>
      </c>
      <c r="K7" s="1" t="s">
        <v>3567</v>
      </c>
      <c r="L7" s="1" t="s">
        <v>2555</v>
      </c>
      <c r="M7" s="1" t="s">
        <v>3561</v>
      </c>
    </row>
    <row r="8" spans="2:13" x14ac:dyDescent="0.25">
      <c r="B8" s="5" t="s">
        <v>60</v>
      </c>
      <c r="D8" s="108">
        <v>5</v>
      </c>
      <c r="E8" s="108" t="s">
        <v>61</v>
      </c>
      <c r="F8" s="108" t="s">
        <v>62</v>
      </c>
      <c r="G8" s="108" t="s">
        <v>63</v>
      </c>
      <c r="H8" s="108" t="str">
        <f>tbl_Damage[[#This Row],[الحالة بالإنجليزية]]&amp;"/"&amp;tbl_Damage[[#This Row],[الحالة بالعربية]]</f>
        <v>Severe Damage/ضرر بالغ</v>
      </c>
      <c r="I8" s="108" t="s">
        <v>64</v>
      </c>
      <c r="K8" s="1" t="s">
        <v>3568</v>
      </c>
      <c r="L8" s="1" t="s">
        <v>2556</v>
      </c>
      <c r="M8" s="1" t="s">
        <v>3562</v>
      </c>
    </row>
    <row r="9" spans="2:13" x14ac:dyDescent="0.25">
      <c r="B9" s="8" t="s">
        <v>65</v>
      </c>
      <c r="D9" s="109">
        <v>6</v>
      </c>
      <c r="E9" s="109" t="s">
        <v>66</v>
      </c>
      <c r="F9" s="109" t="s">
        <v>67</v>
      </c>
      <c r="G9" s="109" t="s">
        <v>68</v>
      </c>
      <c r="H9" s="109" t="str">
        <f>tbl_Damage[[#This Row],[الحالة بالإنجليزية]]&amp;"/"&amp;tbl_Damage[[#This Row],[الحالة بالعربية]]</f>
        <v>Destroyed/مهدوم</v>
      </c>
      <c r="I9" s="109" t="s">
        <v>69</v>
      </c>
      <c r="K9" s="1" t="s">
        <v>3569</v>
      </c>
      <c r="L9" s="1" t="s">
        <v>2557</v>
      </c>
      <c r="M9" s="1" t="s">
        <v>3563</v>
      </c>
    </row>
    <row r="10" spans="2:13" x14ac:dyDescent="0.25">
      <c r="B10" s="5" t="s">
        <v>70</v>
      </c>
    </row>
    <row r="11" spans="2:13" x14ac:dyDescent="0.25">
      <c r="B11" s="9" t="s">
        <v>71</v>
      </c>
    </row>
    <row r="12" spans="2:13" x14ac:dyDescent="0.25">
      <c r="B12" s="1" t="s">
        <v>72</v>
      </c>
    </row>
    <row r="13" spans="2:13" x14ac:dyDescent="0.25">
      <c r="D13" s="1" t="s">
        <v>34</v>
      </c>
      <c r="E13" s="1" t="s">
        <v>35</v>
      </c>
      <c r="F13" s="1" t="s">
        <v>36</v>
      </c>
      <c r="G13" s="1" t="s">
        <v>37</v>
      </c>
      <c r="H13" s="1" t="s">
        <v>73</v>
      </c>
      <c r="I13" s="1" t="s">
        <v>39</v>
      </c>
    </row>
    <row r="14" spans="2:13" x14ac:dyDescent="0.25">
      <c r="B14" s="4" t="s">
        <v>74</v>
      </c>
      <c r="D14" s="104">
        <v>1</v>
      </c>
      <c r="E14" s="104" t="s">
        <v>75</v>
      </c>
      <c r="F14" s="104" t="s">
        <v>76</v>
      </c>
      <c r="G14" s="104" t="s">
        <v>77</v>
      </c>
      <c r="H14" s="104" t="str">
        <f>tbl_Assessment_Status[[#This Row],[الحالة بالإنجليزية]]&amp;"/"&amp;tbl_Assessment_Status[[#This Row],[الحالة بالعربية]]</f>
        <v>Accepted/مقبول</v>
      </c>
      <c r="I14" s="104" t="s">
        <v>44</v>
      </c>
    </row>
    <row r="15" spans="2:13" x14ac:dyDescent="0.25">
      <c r="B15" s="3" t="s">
        <v>15</v>
      </c>
      <c r="D15" s="110">
        <v>2</v>
      </c>
      <c r="E15" s="110" t="s">
        <v>78</v>
      </c>
      <c r="F15" s="110" t="s">
        <v>79</v>
      </c>
      <c r="G15" s="110" t="s">
        <v>80</v>
      </c>
      <c r="H15" s="110" t="str">
        <f>tbl_Assessment_Status[[#This Row],[الحالة بالإنجليزية]]&amp;"/"&amp;tbl_Assessment_Status[[#This Row],[الحالة بالعربية]]</f>
        <v>Conditionally Accepted/مقبول شرطي</v>
      </c>
      <c r="I15" s="110" t="s">
        <v>81</v>
      </c>
    </row>
    <row r="16" spans="2:13" x14ac:dyDescent="0.25">
      <c r="D16" s="16">
        <v>3</v>
      </c>
      <c r="E16" s="16" t="s">
        <v>82</v>
      </c>
      <c r="F16" s="16" t="s">
        <v>83</v>
      </c>
      <c r="G16" s="16" t="s">
        <v>84</v>
      </c>
      <c r="H16" s="16" t="str">
        <f>tbl_Assessment_Status[[#This Row],[الحالة بالإنجليزية]]&amp;"/"&amp;tbl_Assessment_Status[[#This Row],[الحالة بالعربية]]</f>
        <v>Rejected/مرفوض</v>
      </c>
      <c r="I16" s="16" t="s">
        <v>85</v>
      </c>
    </row>
    <row r="19" spans="4:8" x14ac:dyDescent="0.25">
      <c r="D19" s="1" t="s">
        <v>34</v>
      </c>
      <c r="E19" s="1" t="s">
        <v>35</v>
      </c>
      <c r="F19" s="1" t="s">
        <v>36</v>
      </c>
      <c r="G19" s="1" t="s">
        <v>86</v>
      </c>
      <c r="H19" s="1" t="s">
        <v>39</v>
      </c>
    </row>
    <row r="20" spans="4:8" x14ac:dyDescent="0.25">
      <c r="D20" s="107">
        <v>2</v>
      </c>
      <c r="E20" s="107" t="s">
        <v>87</v>
      </c>
      <c r="F20" s="107" t="s">
        <v>88</v>
      </c>
      <c r="G20" s="107" t="str">
        <f>tbl_House_Status[[#This Row],[الحالة بالإنجليزية]]&amp;"/"&amp;tbl_House_Status[[#This Row],[الحالة بالعربية]]</f>
        <v>Temporarily Suspended/الترميم متوقف بشكل مؤقت</v>
      </c>
      <c r="H20" s="107" t="s">
        <v>89</v>
      </c>
    </row>
    <row r="21" spans="4:8" x14ac:dyDescent="0.25">
      <c r="D21" s="26">
        <v>3</v>
      </c>
      <c r="E21" s="26" t="s">
        <v>90</v>
      </c>
      <c r="F21" s="26" t="s">
        <v>91</v>
      </c>
      <c r="G21" s="26" t="str">
        <f>tbl_House_Status[[#This Row],[الحالة بالإنجليزية]]&amp;"/"&amp;tbl_House_Status[[#This Row],[الحالة بالعربية]]</f>
        <v>Under Rehabilitation/قيد الترميم</v>
      </c>
      <c r="H21" s="26" t="s">
        <v>92</v>
      </c>
    </row>
    <row r="22" spans="4:8" x14ac:dyDescent="0.25">
      <c r="D22" s="104">
        <v>4</v>
      </c>
      <c r="E22" s="104" t="s">
        <v>93</v>
      </c>
      <c r="F22" s="104" t="s">
        <v>94</v>
      </c>
      <c r="G22" s="104" t="str">
        <f>tbl_House_Status[[#This Row],[الحالة بالإنجليزية]]&amp;"/"&amp;tbl_House_Status[[#This Row],[الحالة بالعربية]]</f>
        <v>Rehabilitation Completed/تم الانتهاء من الترميم</v>
      </c>
      <c r="H22" s="104" t="s">
        <v>44</v>
      </c>
    </row>
  </sheetData>
  <phoneticPr fontId="1" type="noConversion"/>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109A-A08E-4E3A-BA6D-D571DA6A29FB}">
  <dimension ref="A1:DP80"/>
  <sheetViews>
    <sheetView workbookViewId="0">
      <selection sqref="A1:DP80"/>
    </sheetView>
  </sheetViews>
  <sheetFormatPr defaultRowHeight="15" x14ac:dyDescent="0.25"/>
  <cols>
    <col min="1" max="1" width="9.28515625" style="1" bestFit="1" customWidth="1"/>
    <col min="2" max="2" width="12.5703125" style="1" customWidth="1"/>
    <col min="3" max="3" width="12" style="1" bestFit="1" customWidth="1"/>
    <col min="4" max="4" width="10" style="1" bestFit="1" customWidth="1"/>
    <col min="5" max="5" width="8.5703125" style="1" bestFit="1" customWidth="1"/>
    <col min="6" max="6" width="23.140625" style="1" bestFit="1" customWidth="1"/>
    <col min="7" max="7" width="5.85546875" style="1" bestFit="1" customWidth="1"/>
    <col min="8" max="8" width="26.5703125" style="1" bestFit="1" customWidth="1"/>
    <col min="9" max="9" width="13.28515625" style="1" bestFit="1" customWidth="1"/>
    <col min="10" max="10" width="28.42578125" style="1" bestFit="1" customWidth="1"/>
    <col min="11" max="11" width="16.140625" style="1" bestFit="1" customWidth="1"/>
    <col min="12" max="12" width="34.140625" style="1" bestFit="1" customWidth="1"/>
    <col min="13" max="13" width="26.85546875" style="1" bestFit="1" customWidth="1"/>
    <col min="14" max="14" width="27.7109375" style="1" bestFit="1" customWidth="1"/>
    <col min="15" max="15" width="81.140625" style="1" bestFit="1" customWidth="1"/>
    <col min="16" max="16" width="27.5703125" style="1" bestFit="1" customWidth="1"/>
    <col min="17" max="17" width="81.140625" style="1" bestFit="1" customWidth="1"/>
    <col min="18" max="18" width="8.85546875" style="1" bestFit="1" customWidth="1"/>
    <col min="19" max="19" width="12.42578125" style="1" bestFit="1" customWidth="1"/>
    <col min="20" max="20" width="13.5703125" style="1" bestFit="1" customWidth="1"/>
    <col min="21" max="21" width="43" style="1" bestFit="1" customWidth="1"/>
    <col min="22" max="22" width="28.140625" style="1" bestFit="1" customWidth="1"/>
    <col min="23" max="23" width="18" style="1" bestFit="1" customWidth="1"/>
    <col min="24" max="24" width="32.7109375" style="1" bestFit="1" customWidth="1"/>
    <col min="25" max="25" width="79.42578125" style="1" bestFit="1" customWidth="1"/>
    <col min="26" max="26" width="81.140625" style="1" bestFit="1" customWidth="1"/>
    <col min="27" max="27" width="72.5703125" style="1" customWidth="1"/>
    <col min="28" max="28" width="81.140625" style="1" bestFit="1" customWidth="1"/>
    <col min="29" max="29" width="65.7109375" style="1" bestFit="1" customWidth="1"/>
    <col min="30" max="30" width="60.7109375" style="1" bestFit="1" customWidth="1"/>
    <col min="31" max="31" width="81.140625" style="1" bestFit="1" customWidth="1"/>
    <col min="32" max="32" width="27.7109375" style="1" bestFit="1" customWidth="1"/>
    <col min="33" max="33" width="17.85546875" style="1" bestFit="1" customWidth="1"/>
    <col min="34" max="34" width="18.140625" style="1" bestFit="1" customWidth="1"/>
    <col min="35" max="35" width="18.42578125" style="1" bestFit="1" customWidth="1"/>
    <col min="36" max="36" width="24.28515625" style="1" bestFit="1" customWidth="1"/>
    <col min="37" max="37" width="23.42578125" style="1" bestFit="1" customWidth="1"/>
    <col min="38" max="38" width="20.85546875" style="1" bestFit="1" customWidth="1"/>
    <col min="39" max="39" width="30.140625" style="1" bestFit="1" customWidth="1"/>
    <col min="40" max="40" width="35.5703125" style="1" bestFit="1" customWidth="1"/>
    <col min="41" max="41" width="34.28515625" style="1" bestFit="1" customWidth="1"/>
    <col min="42" max="42" width="34.42578125" style="1" bestFit="1" customWidth="1"/>
    <col min="43" max="43" width="36.7109375" style="1" bestFit="1" customWidth="1"/>
    <col min="44" max="44" width="35" style="1" bestFit="1" customWidth="1"/>
    <col min="45" max="45" width="38.7109375" style="1" bestFit="1" customWidth="1"/>
    <col min="46" max="46" width="30.85546875" style="1" bestFit="1" customWidth="1"/>
    <col min="47" max="47" width="26.85546875" style="1" bestFit="1" customWidth="1"/>
    <col min="48" max="48" width="28.42578125" style="1" bestFit="1" customWidth="1"/>
    <col min="49" max="49" width="74.7109375" style="1" bestFit="1" customWidth="1"/>
    <col min="50" max="50" width="26.42578125" style="1" bestFit="1" customWidth="1"/>
    <col min="51" max="51" width="26.140625" style="1" bestFit="1" customWidth="1"/>
    <col min="52" max="52" width="29.140625" style="1" bestFit="1" customWidth="1"/>
    <col min="53" max="53" width="29.28515625" style="1" bestFit="1" customWidth="1"/>
    <col min="54" max="54" width="28.42578125" style="1" bestFit="1" customWidth="1"/>
    <col min="55" max="55" width="28.5703125" style="1" bestFit="1" customWidth="1"/>
    <col min="56" max="56" width="33.42578125" style="1" bestFit="1" customWidth="1"/>
    <col min="57" max="57" width="16.5703125" style="1" bestFit="1" customWidth="1"/>
    <col min="58" max="58" width="14.85546875" style="1" bestFit="1" customWidth="1"/>
    <col min="59" max="59" width="16" style="1" bestFit="1" customWidth="1"/>
    <col min="60" max="60" width="13.85546875" style="1" bestFit="1" customWidth="1"/>
    <col min="61" max="61" width="25.7109375" style="1" bestFit="1" customWidth="1"/>
    <col min="62" max="62" width="23.5703125" style="1" bestFit="1" customWidth="1"/>
    <col min="63" max="63" width="25.85546875" style="1" bestFit="1" customWidth="1"/>
    <col min="64" max="64" width="21" style="1" bestFit="1" customWidth="1"/>
    <col min="65" max="65" width="23" style="1" bestFit="1" customWidth="1"/>
    <col min="66" max="66" width="13.5703125" style="1" bestFit="1" customWidth="1"/>
    <col min="67" max="67" width="47" style="1" bestFit="1" customWidth="1"/>
    <col min="68" max="68" width="38.85546875" style="1" bestFit="1" customWidth="1"/>
    <col min="69" max="69" width="40.42578125" style="1" bestFit="1" customWidth="1"/>
    <col min="70" max="70" width="16" style="1" bestFit="1" customWidth="1"/>
    <col min="71" max="71" width="27.28515625" style="1" bestFit="1" customWidth="1"/>
    <col min="72" max="72" width="20" style="1" bestFit="1" customWidth="1"/>
    <col min="73" max="73" width="19.7109375" style="1" bestFit="1" customWidth="1"/>
    <col min="74" max="74" width="17.5703125" style="1" bestFit="1" customWidth="1"/>
    <col min="75" max="75" width="81.140625" style="1" bestFit="1" customWidth="1"/>
    <col min="76" max="76" width="9.5703125" style="1" bestFit="1" customWidth="1"/>
    <col min="77" max="77" width="22" style="1" bestFit="1" customWidth="1"/>
    <col min="78" max="78" width="22.85546875" style="1" bestFit="1" customWidth="1"/>
    <col min="79" max="79" width="20.28515625" style="1" bestFit="1" customWidth="1"/>
    <col min="80" max="80" width="64.7109375" style="1" bestFit="1" customWidth="1"/>
    <col min="81" max="81" width="64.140625" style="1" bestFit="1" customWidth="1"/>
    <col min="82" max="82" width="40" style="1" bestFit="1" customWidth="1"/>
    <col min="83" max="83" width="34.28515625" style="1" bestFit="1" customWidth="1"/>
    <col min="84" max="84" width="35.85546875" style="1" bestFit="1" customWidth="1"/>
    <col min="85" max="85" width="37.28515625" style="1" bestFit="1" customWidth="1"/>
    <col min="86" max="86" width="38" style="1" bestFit="1" customWidth="1"/>
    <col min="87" max="87" width="20.42578125" style="1" bestFit="1" customWidth="1"/>
    <col min="88" max="88" width="35.140625" style="1" bestFit="1" customWidth="1"/>
    <col min="89" max="89" width="21.42578125" style="1" bestFit="1" customWidth="1"/>
    <col min="90" max="90" width="81.140625" style="1" bestFit="1" customWidth="1"/>
    <col min="91" max="91" width="17.5703125" style="1" bestFit="1" customWidth="1"/>
    <col min="92" max="92" width="81.140625" style="1" bestFit="1" customWidth="1"/>
    <col min="93" max="93" width="19.28515625" style="1" bestFit="1" customWidth="1"/>
    <col min="94" max="94" width="81.140625" style="1" bestFit="1" customWidth="1"/>
    <col min="95" max="95" width="19.140625" style="1" bestFit="1" customWidth="1"/>
    <col min="96" max="96" width="81.140625" style="1" bestFit="1" customWidth="1"/>
    <col min="97" max="97" width="18.85546875" style="1" bestFit="1" customWidth="1"/>
    <col min="98" max="98" width="81.140625" style="1" bestFit="1" customWidth="1"/>
    <col min="99" max="99" width="26" style="1" bestFit="1" customWidth="1"/>
    <col min="100" max="100" width="81.140625" style="1" bestFit="1" customWidth="1"/>
    <col min="101" max="101" width="25.7109375" style="1" bestFit="1" customWidth="1"/>
    <col min="102" max="102" width="81.140625" style="1" bestFit="1" customWidth="1"/>
    <col min="103" max="103" width="26.5703125" style="1" bestFit="1" customWidth="1"/>
    <col min="104" max="104" width="81.140625" style="1" bestFit="1" customWidth="1"/>
    <col min="105" max="105" width="23.85546875" style="1" bestFit="1" customWidth="1"/>
    <col min="106" max="106" width="39.42578125" style="1" bestFit="1" customWidth="1"/>
    <col min="107" max="107" width="70.140625" style="1" bestFit="1" customWidth="1"/>
    <col min="108" max="108" width="59.42578125" style="1" bestFit="1" customWidth="1"/>
    <col min="109" max="109" width="63" style="1" bestFit="1" customWidth="1"/>
    <col min="110" max="110" width="63.42578125" style="1" bestFit="1" customWidth="1"/>
    <col min="111" max="111" width="72.28515625" style="1" customWidth="1"/>
    <col min="112" max="112" width="58" style="1" bestFit="1" customWidth="1"/>
    <col min="113" max="113" width="72.85546875" style="1" customWidth="1"/>
    <col min="114" max="114" width="64.7109375" style="1" bestFit="1" customWidth="1"/>
    <col min="115" max="115" width="65.140625" style="1" bestFit="1" customWidth="1"/>
    <col min="116" max="116" width="56.140625" style="1" bestFit="1" customWidth="1"/>
    <col min="117" max="117" width="22.85546875" style="1" bestFit="1" customWidth="1"/>
    <col min="118" max="118" width="48.85546875" style="1" bestFit="1" customWidth="1"/>
    <col min="119" max="119" width="62.28515625" style="1" bestFit="1" customWidth="1"/>
    <col min="120" max="120" width="62.28515625" style="1" customWidth="1"/>
    <col min="121" max="16384" width="9.140625" style="1"/>
  </cols>
  <sheetData>
    <row r="1" spans="1:120" x14ac:dyDescent="0.25">
      <c r="A1" s="1" t="s">
        <v>476</v>
      </c>
      <c r="B1" s="1" t="s">
        <v>477</v>
      </c>
      <c r="C1" s="1" t="s">
        <v>101</v>
      </c>
      <c r="D1" s="1" t="s">
        <v>102</v>
      </c>
      <c r="E1" s="1" t="s">
        <v>103</v>
      </c>
      <c r="F1" s="1" t="s">
        <v>478</v>
      </c>
      <c r="G1" s="1" t="s">
        <v>105</v>
      </c>
      <c r="H1" s="1" t="s">
        <v>479</v>
      </c>
      <c r="I1" s="1" t="s">
        <v>107</v>
      </c>
      <c r="J1" s="1" t="s">
        <v>480</v>
      </c>
      <c r="K1" s="1" t="s">
        <v>481</v>
      </c>
      <c r="L1" s="1" t="s">
        <v>482</v>
      </c>
      <c r="M1" s="1" t="s">
        <v>483</v>
      </c>
      <c r="N1" s="1" t="s">
        <v>484</v>
      </c>
      <c r="O1" s="1" t="s">
        <v>485</v>
      </c>
      <c r="P1" s="1" t="s">
        <v>486</v>
      </c>
      <c r="Q1" s="1" t="s">
        <v>487</v>
      </c>
      <c r="R1" s="1" t="s">
        <v>114</v>
      </c>
      <c r="S1" s="1" t="s">
        <v>115</v>
      </c>
      <c r="T1" s="1" t="s">
        <v>116</v>
      </c>
      <c r="U1" s="1" t="s">
        <v>488</v>
      </c>
      <c r="V1" s="1" t="s">
        <v>489</v>
      </c>
      <c r="W1" s="1" t="s">
        <v>490</v>
      </c>
      <c r="X1" s="1" t="s">
        <v>491</v>
      </c>
      <c r="Y1" s="1" t="s">
        <v>492</v>
      </c>
      <c r="Z1" s="1" t="s">
        <v>493</v>
      </c>
      <c r="AA1" s="1" t="s">
        <v>494</v>
      </c>
      <c r="AB1" s="1" t="s">
        <v>495</v>
      </c>
      <c r="AC1" s="1" t="s">
        <v>496</v>
      </c>
      <c r="AD1" s="1" t="s">
        <v>497</v>
      </c>
      <c r="AE1" s="1" t="s">
        <v>498</v>
      </c>
      <c r="AF1" s="1" t="s">
        <v>499</v>
      </c>
      <c r="AG1" s="1" t="s">
        <v>500</v>
      </c>
      <c r="AH1" s="1" t="s">
        <v>501</v>
      </c>
      <c r="AI1" s="1" t="s">
        <v>502</v>
      </c>
      <c r="AJ1" s="1" t="s">
        <v>503</v>
      </c>
      <c r="AK1" s="1" t="s">
        <v>504</v>
      </c>
      <c r="AL1" s="1" t="s">
        <v>505</v>
      </c>
      <c r="AM1" s="1" t="s">
        <v>506</v>
      </c>
      <c r="AN1" s="1" t="s">
        <v>507</v>
      </c>
      <c r="AO1" s="1" t="s">
        <v>508</v>
      </c>
      <c r="AP1" s="1" t="s">
        <v>509</v>
      </c>
      <c r="AQ1" s="1" t="s">
        <v>510</v>
      </c>
      <c r="AR1" s="1" t="s">
        <v>511</v>
      </c>
      <c r="AS1" s="1" t="s">
        <v>512</v>
      </c>
      <c r="AT1" s="1" t="s">
        <v>131</v>
      </c>
      <c r="AU1" s="1" t="s">
        <v>513</v>
      </c>
      <c r="AV1" s="1" t="s">
        <v>514</v>
      </c>
      <c r="AW1" s="1" t="s">
        <v>515</v>
      </c>
      <c r="AX1" s="1" t="s">
        <v>516</v>
      </c>
      <c r="AY1" s="1" t="s">
        <v>517</v>
      </c>
      <c r="AZ1" s="1" t="s">
        <v>518</v>
      </c>
      <c r="BA1" s="1" t="s">
        <v>519</v>
      </c>
      <c r="BB1" s="1" t="s">
        <v>520</v>
      </c>
      <c r="BC1" s="1" t="s">
        <v>521</v>
      </c>
      <c r="BD1" s="1" t="s">
        <v>522</v>
      </c>
      <c r="BE1" s="1" t="s">
        <v>140</v>
      </c>
      <c r="BF1" s="1" t="s">
        <v>141</v>
      </c>
      <c r="BG1" s="1" t="s">
        <v>142</v>
      </c>
      <c r="BH1" s="1" t="s">
        <v>143</v>
      </c>
      <c r="BI1" s="1" t="s">
        <v>144</v>
      </c>
      <c r="BJ1" s="1" t="s">
        <v>145</v>
      </c>
      <c r="BK1" s="1" t="s">
        <v>523</v>
      </c>
      <c r="BL1" s="1" t="s">
        <v>524</v>
      </c>
      <c r="BM1" s="1" t="s">
        <v>525</v>
      </c>
      <c r="BN1" s="1" t="s">
        <v>203</v>
      </c>
      <c r="BO1" s="1" t="s">
        <v>526</v>
      </c>
      <c r="BP1" s="1" t="s">
        <v>527</v>
      </c>
      <c r="BQ1" s="1" t="s">
        <v>528</v>
      </c>
      <c r="BR1" s="1" t="s">
        <v>529</v>
      </c>
      <c r="BS1" s="1" t="s">
        <v>530</v>
      </c>
      <c r="BT1" s="1" t="s">
        <v>531</v>
      </c>
      <c r="BU1" s="1" t="s">
        <v>532</v>
      </c>
      <c r="BV1" s="1" t="s">
        <v>533</v>
      </c>
      <c r="BW1" s="1" t="s">
        <v>534</v>
      </c>
      <c r="BX1" s="1" t="s">
        <v>535</v>
      </c>
      <c r="BY1" s="1" t="s">
        <v>536</v>
      </c>
      <c r="BZ1" s="1" t="s">
        <v>537</v>
      </c>
      <c r="CA1" s="1" t="s">
        <v>538</v>
      </c>
      <c r="CB1" s="1" t="s">
        <v>539</v>
      </c>
      <c r="CC1" s="1" t="s">
        <v>540</v>
      </c>
      <c r="CD1" s="1" t="s">
        <v>541</v>
      </c>
      <c r="CE1" s="1" t="s">
        <v>542</v>
      </c>
      <c r="CF1" s="1" t="s">
        <v>543</v>
      </c>
      <c r="CG1" s="1" t="s">
        <v>544</v>
      </c>
      <c r="CH1" s="1" t="s">
        <v>545</v>
      </c>
      <c r="CI1" s="1" t="s">
        <v>546</v>
      </c>
      <c r="CJ1" s="1" t="s">
        <v>547</v>
      </c>
      <c r="CK1" s="1" t="s">
        <v>548</v>
      </c>
      <c r="CL1" s="1" t="s">
        <v>549</v>
      </c>
      <c r="CM1" s="1" t="s">
        <v>550</v>
      </c>
      <c r="CN1" s="1" t="s">
        <v>551</v>
      </c>
      <c r="CO1" s="1" t="s">
        <v>552</v>
      </c>
      <c r="CP1" s="1" t="s">
        <v>553</v>
      </c>
      <c r="CQ1" s="1" t="s">
        <v>554</v>
      </c>
      <c r="CR1" s="1" t="s">
        <v>555</v>
      </c>
      <c r="CS1" s="1" t="s">
        <v>556</v>
      </c>
      <c r="CT1" s="1" t="s">
        <v>557</v>
      </c>
      <c r="CU1" s="1" t="s">
        <v>558</v>
      </c>
      <c r="CV1" s="1" t="s">
        <v>559</v>
      </c>
      <c r="CW1" s="1" t="s">
        <v>560</v>
      </c>
      <c r="CX1" s="1" t="s">
        <v>561</v>
      </c>
      <c r="CY1" s="1" t="s">
        <v>562</v>
      </c>
      <c r="CZ1" s="1" t="s">
        <v>563</v>
      </c>
      <c r="DA1" s="1" t="s">
        <v>564</v>
      </c>
      <c r="DB1" s="1" t="s">
        <v>565</v>
      </c>
      <c r="DC1" s="1" t="s">
        <v>566</v>
      </c>
      <c r="DD1" s="1" t="s">
        <v>567</v>
      </c>
      <c r="DE1" s="1" t="s">
        <v>568</v>
      </c>
      <c r="DF1" s="1" t="s">
        <v>569</v>
      </c>
      <c r="DG1" s="1" t="s">
        <v>570</v>
      </c>
      <c r="DH1" s="1" t="s">
        <v>571</v>
      </c>
      <c r="DI1" s="1" t="s">
        <v>572</v>
      </c>
      <c r="DJ1" s="1" t="s">
        <v>573</v>
      </c>
      <c r="DK1" s="1" t="s">
        <v>574</v>
      </c>
      <c r="DL1" s="1" t="s">
        <v>575</v>
      </c>
      <c r="DM1" s="1" t="s">
        <v>576</v>
      </c>
      <c r="DN1" s="1" t="s">
        <v>577</v>
      </c>
      <c r="DO1" s="1" t="s">
        <v>578</v>
      </c>
      <c r="DP1" t="s">
        <v>4</v>
      </c>
    </row>
    <row r="2" spans="1:120" x14ac:dyDescent="0.25">
      <c r="A2" s="1">
        <v>1</v>
      </c>
      <c r="B2" s="134">
        <v>45993</v>
      </c>
      <c r="C2" s="1" t="s">
        <v>579</v>
      </c>
      <c r="D2" s="1" t="s">
        <v>580</v>
      </c>
      <c r="E2" s="1" t="s">
        <v>581</v>
      </c>
      <c r="F2" s="1" t="s">
        <v>582</v>
      </c>
      <c r="G2" s="1" t="s">
        <v>583</v>
      </c>
      <c r="H2" s="134">
        <v>24873</v>
      </c>
      <c r="I2" s="1" t="s">
        <v>584</v>
      </c>
      <c r="J2" s="1" t="s">
        <v>585</v>
      </c>
      <c r="K2" s="1" t="s">
        <v>586</v>
      </c>
      <c r="L2" s="1" t="s">
        <v>587</v>
      </c>
      <c r="M2" s="1">
        <v>88616312411</v>
      </c>
      <c r="N2" s="1" t="s">
        <v>588</v>
      </c>
      <c r="O2" s="1" t="s">
        <v>589</v>
      </c>
      <c r="P2" s="1" t="s">
        <v>590</v>
      </c>
      <c r="Q2" s="1" t="s">
        <v>591</v>
      </c>
      <c r="R2" s="1" t="s">
        <v>592</v>
      </c>
      <c r="S2" s="1" t="s">
        <v>593</v>
      </c>
      <c r="T2" s="1" t="s">
        <v>594</v>
      </c>
      <c r="U2" s="1" t="s">
        <v>595</v>
      </c>
      <c r="V2" s="1">
        <v>996832217</v>
      </c>
      <c r="X2" s="1" t="s">
        <v>596</v>
      </c>
      <c r="AL2" s="1" t="s">
        <v>596</v>
      </c>
      <c r="AT2" s="1" t="s">
        <v>597</v>
      </c>
      <c r="AU2" s="1">
        <v>2</v>
      </c>
      <c r="AV2" s="1">
        <v>10</v>
      </c>
      <c r="AX2" s="1">
        <v>3</v>
      </c>
      <c r="AY2" s="1">
        <v>3</v>
      </c>
      <c r="AZ2" s="1">
        <v>0</v>
      </c>
      <c r="BA2" s="1">
        <v>2</v>
      </c>
      <c r="BB2" s="1">
        <v>0</v>
      </c>
      <c r="BC2" s="1">
        <v>2</v>
      </c>
      <c r="BD2" s="1">
        <v>0</v>
      </c>
      <c r="BE2" s="1">
        <v>0</v>
      </c>
      <c r="BF2" s="1">
        <v>0</v>
      </c>
      <c r="BG2" s="1">
        <v>1</v>
      </c>
      <c r="BH2" s="1">
        <v>0</v>
      </c>
      <c r="BI2" s="1">
        <v>1</v>
      </c>
      <c r="BJ2" s="1">
        <v>0</v>
      </c>
      <c r="BK2" s="1" t="s">
        <v>586</v>
      </c>
      <c r="BL2" s="1">
        <v>2</v>
      </c>
      <c r="BM2" s="1" t="s">
        <v>598</v>
      </c>
      <c r="BN2" s="1" t="s">
        <v>599</v>
      </c>
      <c r="BO2" s="1" t="s">
        <v>600</v>
      </c>
      <c r="BP2" s="1">
        <v>33.523904999999999</v>
      </c>
      <c r="BQ2" s="1">
        <v>36.359193300000001</v>
      </c>
      <c r="BR2" s="1" t="s">
        <v>601</v>
      </c>
      <c r="BS2" s="1" t="s">
        <v>596</v>
      </c>
      <c r="BU2" s="134"/>
      <c r="BX2" s="1" t="s">
        <v>602</v>
      </c>
      <c r="BY2" s="1">
        <v>3</v>
      </c>
      <c r="BZ2" s="1">
        <v>0</v>
      </c>
      <c r="CA2" s="1">
        <v>70</v>
      </c>
      <c r="CB2" s="1" t="s">
        <v>603</v>
      </c>
      <c r="CC2" s="1" t="s">
        <v>603</v>
      </c>
      <c r="CD2" s="1" t="s">
        <v>596</v>
      </c>
      <c r="CE2" s="1" t="s">
        <v>596</v>
      </c>
      <c r="CF2" s="1" t="s">
        <v>604</v>
      </c>
      <c r="CG2" s="1" t="s">
        <v>603</v>
      </c>
      <c r="CH2" s="1" t="s">
        <v>596</v>
      </c>
      <c r="CI2" s="1" t="s">
        <v>596</v>
      </c>
      <c r="CJ2" s="1" t="s">
        <v>46</v>
      </c>
      <c r="CK2" s="1" t="s">
        <v>605</v>
      </c>
      <c r="CL2" s="1" t="s">
        <v>606</v>
      </c>
      <c r="CM2" s="1" t="s">
        <v>607</v>
      </c>
      <c r="CN2" s="1" t="s">
        <v>608</v>
      </c>
      <c r="CO2" s="1" t="s">
        <v>609</v>
      </c>
      <c r="CP2" s="1" t="s">
        <v>610</v>
      </c>
      <c r="CQ2" s="1" t="s">
        <v>611</v>
      </c>
      <c r="CR2" s="1" t="s">
        <v>612</v>
      </c>
      <c r="CS2" s="1" t="s">
        <v>613</v>
      </c>
      <c r="CT2" s="1" t="s">
        <v>614</v>
      </c>
      <c r="CU2" s="1" t="s">
        <v>615</v>
      </c>
      <c r="CV2" s="1" t="s">
        <v>616</v>
      </c>
      <c r="CW2" s="1" t="s">
        <v>617</v>
      </c>
      <c r="CX2" s="1" t="s">
        <v>618</v>
      </c>
      <c r="CY2" s="1" t="s">
        <v>619</v>
      </c>
      <c r="CZ2" s="1" t="s">
        <v>620</v>
      </c>
      <c r="DA2" s="1" t="s">
        <v>603</v>
      </c>
      <c r="DN2" s="1" t="s">
        <v>596</v>
      </c>
      <c r="DO2" s="1" t="s">
        <v>621</v>
      </c>
      <c r="DP2" t="s">
        <v>3573</v>
      </c>
    </row>
    <row r="3" spans="1:120" x14ac:dyDescent="0.25">
      <c r="A3" s="1">
        <v>2</v>
      </c>
      <c r="B3" s="134">
        <v>45993</v>
      </c>
      <c r="C3" s="1" t="s">
        <v>622</v>
      </c>
      <c r="D3" s="1" t="s">
        <v>623</v>
      </c>
      <c r="E3" s="1" t="s">
        <v>624</v>
      </c>
      <c r="F3" s="1" t="s">
        <v>625</v>
      </c>
      <c r="G3" s="1" t="s">
        <v>583</v>
      </c>
      <c r="H3" s="134">
        <v>31966</v>
      </c>
      <c r="I3" s="1" t="s">
        <v>584</v>
      </c>
      <c r="J3" s="1" t="s">
        <v>626</v>
      </c>
      <c r="K3" s="1" t="s">
        <v>627</v>
      </c>
      <c r="M3" s="1">
        <v>12160045285</v>
      </c>
      <c r="N3" s="1" t="s">
        <v>628</v>
      </c>
      <c r="O3" s="1" t="s">
        <v>629</v>
      </c>
      <c r="P3" s="1" t="s">
        <v>630</v>
      </c>
      <c r="Q3" s="1" t="s">
        <v>631</v>
      </c>
      <c r="R3" s="1" t="s">
        <v>592</v>
      </c>
      <c r="S3" s="1" t="s">
        <v>593</v>
      </c>
      <c r="T3" s="1" t="s">
        <v>594</v>
      </c>
      <c r="U3" s="1" t="s">
        <v>632</v>
      </c>
      <c r="V3" s="1">
        <v>942570442</v>
      </c>
      <c r="X3" s="1" t="s">
        <v>596</v>
      </c>
      <c r="AL3" s="1" t="s">
        <v>603</v>
      </c>
      <c r="AM3" s="1" t="s">
        <v>633</v>
      </c>
      <c r="AN3" s="1">
        <v>1</v>
      </c>
      <c r="AO3" s="1">
        <v>0</v>
      </c>
      <c r="AP3" s="1">
        <v>0</v>
      </c>
      <c r="AQ3" s="1">
        <v>0</v>
      </c>
      <c r="AR3" s="1">
        <v>0</v>
      </c>
      <c r="AT3" s="1" t="s">
        <v>597</v>
      </c>
      <c r="AU3" s="1">
        <v>1</v>
      </c>
      <c r="AV3" s="1">
        <v>6</v>
      </c>
      <c r="AX3" s="1">
        <v>1</v>
      </c>
      <c r="AY3" s="1">
        <v>1</v>
      </c>
      <c r="AZ3" s="1">
        <v>0</v>
      </c>
      <c r="BA3" s="1">
        <v>0</v>
      </c>
      <c r="BB3" s="1">
        <v>1</v>
      </c>
      <c r="BC3" s="1">
        <v>3</v>
      </c>
      <c r="BD3" s="1">
        <v>0</v>
      </c>
      <c r="BE3" s="1">
        <v>0</v>
      </c>
      <c r="BF3" s="1">
        <v>0</v>
      </c>
      <c r="BG3" s="1">
        <v>0</v>
      </c>
      <c r="BH3" s="1">
        <v>0</v>
      </c>
      <c r="BI3" s="1">
        <v>0</v>
      </c>
      <c r="BJ3" s="1">
        <v>0</v>
      </c>
      <c r="BK3" s="1" t="s">
        <v>634</v>
      </c>
      <c r="BL3" s="1">
        <v>0</v>
      </c>
      <c r="BM3" s="1" t="s">
        <v>635</v>
      </c>
      <c r="BN3" s="1" t="s">
        <v>599</v>
      </c>
      <c r="BO3" s="1" t="s">
        <v>636</v>
      </c>
      <c r="BP3" s="1">
        <v>33.524503299999999</v>
      </c>
      <c r="BQ3" s="1">
        <v>36.362383299999998</v>
      </c>
      <c r="BR3" s="1" t="s">
        <v>637</v>
      </c>
      <c r="BS3" s="1" t="s">
        <v>603</v>
      </c>
      <c r="BT3" s="1" t="s">
        <v>638</v>
      </c>
      <c r="BU3" s="134">
        <v>40415</v>
      </c>
      <c r="BV3" s="1" t="s">
        <v>639</v>
      </c>
      <c r="BW3" s="1" t="s">
        <v>640</v>
      </c>
      <c r="BX3" s="1" t="s">
        <v>641</v>
      </c>
      <c r="BY3" s="1">
        <v>2</v>
      </c>
      <c r="BZ3" s="1">
        <v>2</v>
      </c>
      <c r="CA3" s="1">
        <v>45</v>
      </c>
      <c r="CB3" s="1" t="s">
        <v>603</v>
      </c>
      <c r="CC3" s="1" t="s">
        <v>603</v>
      </c>
      <c r="CD3" s="1" t="s">
        <v>603</v>
      </c>
      <c r="CE3" s="1" t="s">
        <v>603</v>
      </c>
      <c r="CF3" s="1" t="s">
        <v>642</v>
      </c>
      <c r="CG3" s="1" t="s">
        <v>596</v>
      </c>
      <c r="CH3" s="1" t="s">
        <v>596</v>
      </c>
      <c r="CI3" s="1" t="s">
        <v>596</v>
      </c>
      <c r="CJ3" s="1" t="s">
        <v>51</v>
      </c>
      <c r="CK3" s="1" t="s">
        <v>643</v>
      </c>
      <c r="CL3" s="1" t="s">
        <v>644</v>
      </c>
      <c r="CM3" s="1" t="s">
        <v>645</v>
      </c>
      <c r="CN3" s="1" t="s">
        <v>646</v>
      </c>
      <c r="CO3" s="1" t="s">
        <v>647</v>
      </c>
      <c r="CP3" s="1" t="s">
        <v>648</v>
      </c>
      <c r="CQ3" s="1" t="s">
        <v>649</v>
      </c>
      <c r="CR3" s="1" t="s">
        <v>650</v>
      </c>
      <c r="CS3" s="1" t="s">
        <v>651</v>
      </c>
      <c r="CT3" s="1" t="s">
        <v>652</v>
      </c>
      <c r="CU3" s="1" t="s">
        <v>653</v>
      </c>
      <c r="CV3" s="1" t="s">
        <v>654</v>
      </c>
      <c r="CW3" s="1" t="s">
        <v>655</v>
      </c>
      <c r="CX3" s="1" t="s">
        <v>656</v>
      </c>
      <c r="CY3" s="1" t="s">
        <v>657</v>
      </c>
      <c r="CZ3" s="1" t="s">
        <v>658</v>
      </c>
      <c r="DA3" s="1" t="s">
        <v>603</v>
      </c>
      <c r="DN3" s="1" t="s">
        <v>596</v>
      </c>
      <c r="DO3" s="1" t="s">
        <v>659</v>
      </c>
      <c r="DP3" t="s">
        <v>3573</v>
      </c>
    </row>
    <row r="4" spans="1:120" x14ac:dyDescent="0.25">
      <c r="A4" s="1">
        <v>3</v>
      </c>
      <c r="B4" s="134">
        <v>45993</v>
      </c>
      <c r="C4" s="1" t="s">
        <v>660</v>
      </c>
      <c r="D4" s="1" t="s">
        <v>661</v>
      </c>
      <c r="E4" s="1" t="s">
        <v>662</v>
      </c>
      <c r="F4" s="1" t="s">
        <v>663</v>
      </c>
      <c r="G4" s="1" t="s">
        <v>664</v>
      </c>
      <c r="H4" s="134">
        <v>27839</v>
      </c>
      <c r="I4" s="1" t="s">
        <v>665</v>
      </c>
      <c r="K4" s="1" t="s">
        <v>666</v>
      </c>
      <c r="M4" s="1">
        <v>3330025285</v>
      </c>
      <c r="N4" s="1" t="s">
        <v>667</v>
      </c>
      <c r="O4" s="1" t="s">
        <v>668</v>
      </c>
      <c r="P4" s="1" t="s">
        <v>669</v>
      </c>
      <c r="Q4" s="1" t="s">
        <v>670</v>
      </c>
      <c r="R4" s="1" t="s">
        <v>592</v>
      </c>
      <c r="S4" s="1" t="s">
        <v>593</v>
      </c>
      <c r="T4" s="1" t="s">
        <v>594</v>
      </c>
      <c r="U4" s="1" t="s">
        <v>671</v>
      </c>
      <c r="V4" s="1">
        <v>953240910</v>
      </c>
      <c r="X4" s="1" t="s">
        <v>596</v>
      </c>
      <c r="AL4" s="1" t="s">
        <v>603</v>
      </c>
      <c r="AM4" s="1" t="s">
        <v>672</v>
      </c>
      <c r="AN4" s="1">
        <v>0</v>
      </c>
      <c r="AO4" s="1">
        <v>0</v>
      </c>
      <c r="AP4" s="1">
        <v>0</v>
      </c>
      <c r="AQ4" s="1">
        <v>0</v>
      </c>
      <c r="AR4" s="1">
        <v>1</v>
      </c>
      <c r="AS4" s="1" t="s">
        <v>673</v>
      </c>
      <c r="AT4" s="1" t="s">
        <v>597</v>
      </c>
      <c r="AU4" s="1">
        <v>1</v>
      </c>
      <c r="AV4" s="1">
        <v>4</v>
      </c>
      <c r="AX4" s="1">
        <v>1</v>
      </c>
      <c r="AY4" s="1">
        <v>2</v>
      </c>
      <c r="AZ4" s="1">
        <v>0</v>
      </c>
      <c r="BA4" s="1">
        <v>1</v>
      </c>
      <c r="BB4" s="1">
        <v>0</v>
      </c>
      <c r="BC4" s="1">
        <v>0</v>
      </c>
      <c r="BD4" s="1">
        <v>1</v>
      </c>
      <c r="BE4" s="1">
        <v>0</v>
      </c>
      <c r="BF4" s="1">
        <v>0</v>
      </c>
      <c r="BG4" s="1">
        <v>0</v>
      </c>
      <c r="BH4" s="1">
        <v>1</v>
      </c>
      <c r="BI4" s="1">
        <v>0</v>
      </c>
      <c r="BJ4" s="1">
        <v>1</v>
      </c>
      <c r="BK4" s="1" t="s">
        <v>674</v>
      </c>
      <c r="BL4" s="1">
        <v>1</v>
      </c>
      <c r="BM4" s="1" t="s">
        <v>598</v>
      </c>
      <c r="BN4" s="1" t="s">
        <v>599</v>
      </c>
      <c r="BO4" s="1" t="s">
        <v>675</v>
      </c>
      <c r="BP4" s="1">
        <v>33.523453099999998</v>
      </c>
      <c r="BQ4" s="1">
        <v>36.360263600000003</v>
      </c>
      <c r="BR4" s="1" t="s">
        <v>637</v>
      </c>
      <c r="BS4" s="1" t="s">
        <v>603</v>
      </c>
      <c r="BT4" s="1" t="s">
        <v>676</v>
      </c>
      <c r="BU4" s="134">
        <v>31628</v>
      </c>
      <c r="BV4" s="1" t="s">
        <v>677</v>
      </c>
      <c r="BW4" s="1" t="s">
        <v>678</v>
      </c>
      <c r="BX4" s="1" t="s">
        <v>641</v>
      </c>
      <c r="BY4" s="1">
        <v>3</v>
      </c>
      <c r="BZ4" s="1">
        <v>0</v>
      </c>
      <c r="CA4" s="1">
        <v>100</v>
      </c>
      <c r="CB4" s="1" t="s">
        <v>603</v>
      </c>
      <c r="CC4" s="1" t="s">
        <v>603</v>
      </c>
      <c r="CD4" s="1" t="s">
        <v>603</v>
      </c>
      <c r="CE4" s="1" t="s">
        <v>596</v>
      </c>
      <c r="CF4" s="1" t="s">
        <v>604</v>
      </c>
      <c r="CG4" s="1" t="s">
        <v>603</v>
      </c>
      <c r="CH4" s="1" t="s">
        <v>596</v>
      </c>
      <c r="CI4" s="1" t="s">
        <v>596</v>
      </c>
      <c r="CJ4" s="1" t="s">
        <v>46</v>
      </c>
      <c r="CK4" s="1" t="s">
        <v>679</v>
      </c>
      <c r="CL4" s="1" t="s">
        <v>680</v>
      </c>
      <c r="CM4" s="1" t="s">
        <v>681</v>
      </c>
      <c r="CN4" s="1" t="s">
        <v>682</v>
      </c>
      <c r="CO4" s="1" t="s">
        <v>683</v>
      </c>
      <c r="CP4" s="1" t="s">
        <v>684</v>
      </c>
      <c r="CQ4" s="1" t="s">
        <v>685</v>
      </c>
      <c r="CR4" s="1" t="s">
        <v>686</v>
      </c>
      <c r="CS4" s="1" t="s">
        <v>687</v>
      </c>
      <c r="CT4" s="1" t="s">
        <v>688</v>
      </c>
      <c r="CU4" s="1" t="s">
        <v>689</v>
      </c>
      <c r="CV4" s="1" t="s">
        <v>690</v>
      </c>
      <c r="CW4" s="1" t="s">
        <v>691</v>
      </c>
      <c r="CX4" s="1" t="s">
        <v>692</v>
      </c>
      <c r="CY4" s="1" t="s">
        <v>693</v>
      </c>
      <c r="CZ4" s="1" t="s">
        <v>694</v>
      </c>
      <c r="DA4" s="1" t="s">
        <v>603</v>
      </c>
      <c r="DN4" s="1" t="s">
        <v>596</v>
      </c>
      <c r="DP4" t="s">
        <v>3573</v>
      </c>
    </row>
    <row r="5" spans="1:120" x14ac:dyDescent="0.25">
      <c r="A5" s="1">
        <v>4</v>
      </c>
      <c r="B5" s="134">
        <v>45993</v>
      </c>
      <c r="C5" s="1" t="s">
        <v>695</v>
      </c>
      <c r="D5" s="1" t="s">
        <v>696</v>
      </c>
      <c r="E5" s="1" t="s">
        <v>697</v>
      </c>
      <c r="F5" s="1" t="s">
        <v>698</v>
      </c>
      <c r="G5" s="1" t="s">
        <v>583</v>
      </c>
      <c r="H5" s="134">
        <v>22985</v>
      </c>
      <c r="I5" s="1" t="s">
        <v>584</v>
      </c>
      <c r="J5" s="1" t="s">
        <v>699</v>
      </c>
      <c r="K5" s="1" t="s">
        <v>666</v>
      </c>
      <c r="M5" s="1">
        <v>3330038428</v>
      </c>
      <c r="N5" s="1" t="s">
        <v>700</v>
      </c>
      <c r="O5" s="1" t="s">
        <v>701</v>
      </c>
      <c r="P5" s="1" t="s">
        <v>702</v>
      </c>
      <c r="Q5" s="1" t="s">
        <v>703</v>
      </c>
      <c r="R5" s="1" t="s">
        <v>592</v>
      </c>
      <c r="S5" s="1" t="s">
        <v>593</v>
      </c>
      <c r="T5" s="1" t="s">
        <v>594</v>
      </c>
      <c r="U5" s="1" t="s">
        <v>704</v>
      </c>
      <c r="V5" s="1">
        <v>931607885</v>
      </c>
      <c r="X5" s="1" t="s">
        <v>596</v>
      </c>
      <c r="AL5" s="1" t="s">
        <v>603</v>
      </c>
      <c r="AM5" s="1" t="s">
        <v>705</v>
      </c>
      <c r="AN5" s="1">
        <v>0</v>
      </c>
      <c r="AO5" s="1">
        <v>1</v>
      </c>
      <c r="AP5" s="1">
        <v>0</v>
      </c>
      <c r="AQ5" s="1">
        <v>0</v>
      </c>
      <c r="AR5" s="1">
        <v>0</v>
      </c>
      <c r="AT5" s="1" t="s">
        <v>706</v>
      </c>
      <c r="AU5" s="1">
        <v>1</v>
      </c>
      <c r="AV5" s="1">
        <v>8</v>
      </c>
      <c r="AX5" s="1">
        <v>3</v>
      </c>
      <c r="AY5" s="1">
        <v>5</v>
      </c>
      <c r="AZ5" s="1">
        <v>0</v>
      </c>
      <c r="BA5" s="1">
        <v>0</v>
      </c>
      <c r="BB5" s="1">
        <v>0</v>
      </c>
      <c r="BC5" s="1">
        <v>0</v>
      </c>
      <c r="BD5" s="1">
        <v>0</v>
      </c>
      <c r="BE5" s="1">
        <v>0</v>
      </c>
      <c r="BF5" s="1">
        <v>0</v>
      </c>
      <c r="BG5" s="1">
        <v>0</v>
      </c>
      <c r="BH5" s="1">
        <v>0</v>
      </c>
      <c r="BI5" s="1">
        <v>0</v>
      </c>
      <c r="BJ5" s="1">
        <v>0</v>
      </c>
      <c r="BK5" s="1" t="s">
        <v>707</v>
      </c>
      <c r="BL5" s="1">
        <v>2</v>
      </c>
      <c r="BM5" s="1" t="s">
        <v>708</v>
      </c>
      <c r="BN5" s="1" t="s">
        <v>599</v>
      </c>
      <c r="BO5" s="1" t="s">
        <v>709</v>
      </c>
      <c r="BP5" s="1">
        <v>33.523600299999998</v>
      </c>
      <c r="BQ5" s="1">
        <v>36.361552400000001</v>
      </c>
      <c r="BR5" s="1" t="s">
        <v>637</v>
      </c>
      <c r="BS5" s="1" t="s">
        <v>603</v>
      </c>
      <c r="BT5" s="1" t="s">
        <v>710</v>
      </c>
      <c r="BU5" s="134">
        <v>36288</v>
      </c>
      <c r="BV5" s="1" t="s">
        <v>711</v>
      </c>
      <c r="BW5" s="1" t="s">
        <v>712</v>
      </c>
      <c r="BX5" s="1" t="s">
        <v>641</v>
      </c>
      <c r="BY5" s="1">
        <v>2</v>
      </c>
      <c r="BZ5" s="1">
        <v>3</v>
      </c>
      <c r="CA5" s="1">
        <v>65</v>
      </c>
      <c r="CB5" s="1" t="s">
        <v>603</v>
      </c>
      <c r="CC5" s="1" t="s">
        <v>603</v>
      </c>
      <c r="CD5" s="1" t="s">
        <v>603</v>
      </c>
      <c r="CE5" s="1" t="s">
        <v>596</v>
      </c>
      <c r="CF5" s="1" t="s">
        <v>604</v>
      </c>
      <c r="CG5" s="1" t="s">
        <v>603</v>
      </c>
      <c r="CH5" s="1" t="s">
        <v>596</v>
      </c>
      <c r="CI5" s="1" t="s">
        <v>603</v>
      </c>
      <c r="CJ5" s="1" t="s">
        <v>51</v>
      </c>
      <c r="CK5" s="1" t="s">
        <v>713</v>
      </c>
      <c r="CL5" s="1" t="s">
        <v>714</v>
      </c>
      <c r="CM5" s="1" t="s">
        <v>715</v>
      </c>
      <c r="CN5" s="1" t="s">
        <v>716</v>
      </c>
      <c r="CO5" s="1" t="s">
        <v>717</v>
      </c>
      <c r="CP5" s="1" t="s">
        <v>718</v>
      </c>
      <c r="CQ5" s="1" t="s">
        <v>719</v>
      </c>
      <c r="CR5" s="1" t="s">
        <v>720</v>
      </c>
      <c r="CS5" s="1" t="s">
        <v>721</v>
      </c>
      <c r="CT5" s="1" t="s">
        <v>722</v>
      </c>
      <c r="CU5" s="1" t="s">
        <v>723</v>
      </c>
      <c r="CV5" s="1" t="s">
        <v>724</v>
      </c>
      <c r="CW5" s="1" t="s">
        <v>725</v>
      </c>
      <c r="CX5" s="1" t="s">
        <v>726</v>
      </c>
      <c r="CY5" s="1" t="s">
        <v>727</v>
      </c>
      <c r="CZ5" s="1" t="s">
        <v>728</v>
      </c>
      <c r="DA5" s="1" t="s">
        <v>603</v>
      </c>
      <c r="DN5" s="1" t="s">
        <v>596</v>
      </c>
      <c r="DP5" t="s">
        <v>3573</v>
      </c>
    </row>
    <row r="6" spans="1:120" x14ac:dyDescent="0.25">
      <c r="A6" s="1">
        <v>5</v>
      </c>
      <c r="B6" s="134">
        <v>45993</v>
      </c>
      <c r="C6" s="1" t="s">
        <v>729</v>
      </c>
      <c r="D6" s="1" t="s">
        <v>730</v>
      </c>
      <c r="E6" s="1" t="s">
        <v>731</v>
      </c>
      <c r="F6" s="1" t="s">
        <v>732</v>
      </c>
      <c r="G6" s="1" t="s">
        <v>583</v>
      </c>
      <c r="H6" s="134">
        <v>27898</v>
      </c>
      <c r="I6" s="1" t="s">
        <v>584</v>
      </c>
      <c r="J6" s="1" t="s">
        <v>733</v>
      </c>
      <c r="K6" s="1" t="s">
        <v>666</v>
      </c>
      <c r="M6" s="1">
        <v>3330039882</v>
      </c>
      <c r="N6" s="1" t="s">
        <v>734</v>
      </c>
      <c r="O6" s="1" t="s">
        <v>735</v>
      </c>
      <c r="P6" s="1" t="s">
        <v>736</v>
      </c>
      <c r="Q6" s="1" t="s">
        <v>737</v>
      </c>
      <c r="R6" s="1" t="s">
        <v>592</v>
      </c>
      <c r="S6" s="1" t="s">
        <v>593</v>
      </c>
      <c r="T6" s="1" t="s">
        <v>594</v>
      </c>
      <c r="U6" s="1" t="s">
        <v>738</v>
      </c>
      <c r="V6" s="1">
        <v>963931800465</v>
      </c>
      <c r="W6" s="1">
        <v>958926814</v>
      </c>
      <c r="X6" s="1" t="s">
        <v>596</v>
      </c>
      <c r="AL6" s="1" t="s">
        <v>603</v>
      </c>
      <c r="AM6" s="1" t="s">
        <v>739</v>
      </c>
      <c r="AN6" s="1">
        <v>1</v>
      </c>
      <c r="AO6" s="1">
        <v>0</v>
      </c>
      <c r="AP6" s="1">
        <v>0</v>
      </c>
      <c r="AQ6" s="1">
        <v>0</v>
      </c>
      <c r="AR6" s="1">
        <v>1</v>
      </c>
      <c r="AS6" s="1" t="s">
        <v>740</v>
      </c>
      <c r="AT6" s="1" t="s">
        <v>597</v>
      </c>
      <c r="AU6" s="1">
        <v>1</v>
      </c>
      <c r="AV6" s="1">
        <v>5</v>
      </c>
      <c r="AX6" s="1">
        <v>2</v>
      </c>
      <c r="AY6" s="1">
        <v>2</v>
      </c>
      <c r="AZ6" s="1">
        <v>0</v>
      </c>
      <c r="BA6" s="1">
        <v>1</v>
      </c>
      <c r="BB6" s="1">
        <v>0</v>
      </c>
      <c r="BC6" s="1">
        <v>0</v>
      </c>
      <c r="BD6" s="1">
        <v>0</v>
      </c>
      <c r="BE6" s="1">
        <v>0</v>
      </c>
      <c r="BF6" s="1">
        <v>0</v>
      </c>
      <c r="BG6" s="1">
        <v>0</v>
      </c>
      <c r="BH6" s="1">
        <v>0</v>
      </c>
      <c r="BI6" s="1">
        <v>0</v>
      </c>
      <c r="BJ6" s="1">
        <v>0</v>
      </c>
      <c r="BK6" s="1" t="s">
        <v>741</v>
      </c>
      <c r="BL6" s="1">
        <v>2</v>
      </c>
      <c r="BM6" s="1" t="s">
        <v>635</v>
      </c>
      <c r="BN6" s="1" t="s">
        <v>599</v>
      </c>
      <c r="BO6" s="1" t="s">
        <v>742</v>
      </c>
      <c r="BP6" s="1">
        <v>33.523885300000003</v>
      </c>
      <c r="BQ6" s="1">
        <v>36.355722900000004</v>
      </c>
      <c r="BR6" s="1" t="s">
        <v>637</v>
      </c>
      <c r="BS6" s="1" t="s">
        <v>596</v>
      </c>
      <c r="BU6" s="134"/>
      <c r="BX6" s="1" t="s">
        <v>641</v>
      </c>
      <c r="BY6" s="1">
        <v>3</v>
      </c>
      <c r="BZ6" s="1">
        <v>4</v>
      </c>
      <c r="CA6" s="1">
        <v>100</v>
      </c>
      <c r="CB6" s="1" t="s">
        <v>596</v>
      </c>
      <c r="CC6" s="1" t="s">
        <v>603</v>
      </c>
      <c r="CD6" s="1" t="s">
        <v>603</v>
      </c>
      <c r="CE6" s="1" t="s">
        <v>596</v>
      </c>
      <c r="CF6" s="1" t="s">
        <v>604</v>
      </c>
      <c r="CG6" s="1" t="s">
        <v>603</v>
      </c>
      <c r="CH6" s="1" t="s">
        <v>596</v>
      </c>
      <c r="CI6" s="1" t="s">
        <v>596</v>
      </c>
      <c r="CJ6" s="1" t="s">
        <v>46</v>
      </c>
      <c r="CK6" s="1" t="s">
        <v>743</v>
      </c>
      <c r="CL6" s="1" t="s">
        <v>744</v>
      </c>
      <c r="CM6" s="1" t="s">
        <v>745</v>
      </c>
      <c r="CN6" s="1" t="s">
        <v>746</v>
      </c>
      <c r="CO6" s="1" t="s">
        <v>747</v>
      </c>
      <c r="CP6" s="1" t="s">
        <v>748</v>
      </c>
      <c r="CQ6" s="1" t="s">
        <v>749</v>
      </c>
      <c r="CR6" s="1" t="s">
        <v>750</v>
      </c>
      <c r="CS6" s="1" t="s">
        <v>751</v>
      </c>
      <c r="CT6" s="1" t="s">
        <v>752</v>
      </c>
      <c r="CU6" s="1" t="s">
        <v>753</v>
      </c>
      <c r="CV6" s="1" t="s">
        <v>754</v>
      </c>
      <c r="CW6" s="1" t="s">
        <v>755</v>
      </c>
      <c r="CX6" s="1" t="s">
        <v>756</v>
      </c>
      <c r="CY6" s="1" t="s">
        <v>757</v>
      </c>
      <c r="CZ6" s="1" t="s">
        <v>758</v>
      </c>
      <c r="DA6" s="1" t="s">
        <v>603</v>
      </c>
      <c r="DN6" s="1" t="s">
        <v>596</v>
      </c>
      <c r="DO6" s="1" t="s">
        <v>759</v>
      </c>
      <c r="DP6" t="s">
        <v>3573</v>
      </c>
    </row>
    <row r="7" spans="1:120" x14ac:dyDescent="0.25">
      <c r="A7" s="1">
        <v>6</v>
      </c>
      <c r="B7" s="134">
        <v>45993</v>
      </c>
      <c r="C7" s="1" t="s">
        <v>760</v>
      </c>
      <c r="D7" s="1" t="s">
        <v>761</v>
      </c>
      <c r="E7" s="1" t="s">
        <v>762</v>
      </c>
      <c r="F7" s="1" t="s">
        <v>763</v>
      </c>
      <c r="G7" s="1" t="s">
        <v>664</v>
      </c>
      <c r="H7" s="134">
        <v>25539</v>
      </c>
      <c r="I7" s="1" t="s">
        <v>764</v>
      </c>
      <c r="K7" s="1" t="s">
        <v>666</v>
      </c>
      <c r="M7" s="1">
        <v>3330004915</v>
      </c>
      <c r="N7" s="1" t="s">
        <v>765</v>
      </c>
      <c r="O7" s="1" t="s">
        <v>766</v>
      </c>
      <c r="P7" s="1" t="s">
        <v>767</v>
      </c>
      <c r="Q7" s="1" t="s">
        <v>768</v>
      </c>
      <c r="R7" s="1" t="s">
        <v>592</v>
      </c>
      <c r="S7" s="1" t="s">
        <v>593</v>
      </c>
      <c r="T7" s="1" t="s">
        <v>594</v>
      </c>
      <c r="U7" s="1" t="s">
        <v>769</v>
      </c>
      <c r="V7" s="1">
        <v>963954297942</v>
      </c>
      <c r="W7" s="1">
        <v>954297947</v>
      </c>
      <c r="X7" s="1" t="s">
        <v>596</v>
      </c>
      <c r="AL7" s="1" t="s">
        <v>603</v>
      </c>
      <c r="AM7" s="1" t="s">
        <v>633</v>
      </c>
      <c r="AN7" s="1">
        <v>1</v>
      </c>
      <c r="AO7" s="1">
        <v>0</v>
      </c>
      <c r="AP7" s="1">
        <v>0</v>
      </c>
      <c r="AQ7" s="1">
        <v>0</v>
      </c>
      <c r="AR7" s="1">
        <v>0</v>
      </c>
      <c r="AT7" s="1" t="s">
        <v>770</v>
      </c>
      <c r="AU7" s="1">
        <v>1</v>
      </c>
      <c r="AV7" s="1">
        <v>2</v>
      </c>
      <c r="AX7" s="1">
        <v>1</v>
      </c>
      <c r="AY7" s="1">
        <v>1</v>
      </c>
      <c r="AZ7" s="1">
        <v>0</v>
      </c>
      <c r="BA7" s="1">
        <v>0</v>
      </c>
      <c r="BB7" s="1">
        <v>0</v>
      </c>
      <c r="BC7" s="1">
        <v>0</v>
      </c>
      <c r="BD7" s="1">
        <v>0</v>
      </c>
      <c r="BE7" s="1">
        <v>0</v>
      </c>
      <c r="BF7" s="1">
        <v>0</v>
      </c>
      <c r="BG7" s="1">
        <v>0</v>
      </c>
      <c r="BH7" s="1">
        <v>0</v>
      </c>
      <c r="BI7" s="1">
        <v>0</v>
      </c>
      <c r="BJ7" s="1">
        <v>0</v>
      </c>
      <c r="BK7" s="1" t="s">
        <v>707</v>
      </c>
      <c r="BL7" s="1">
        <v>0</v>
      </c>
      <c r="BM7" s="1" t="s">
        <v>635</v>
      </c>
      <c r="BN7" s="1" t="s">
        <v>599</v>
      </c>
      <c r="BO7" s="1" t="s">
        <v>771</v>
      </c>
      <c r="BP7" s="1">
        <v>33.524266900000001</v>
      </c>
      <c r="BQ7" s="1">
        <v>36.355183599999997</v>
      </c>
      <c r="BR7" s="1" t="s">
        <v>637</v>
      </c>
      <c r="BS7" s="1" t="s">
        <v>603</v>
      </c>
      <c r="BT7" s="1" t="s">
        <v>638</v>
      </c>
      <c r="BU7" s="134">
        <v>45732</v>
      </c>
      <c r="BV7" s="1" t="s">
        <v>772</v>
      </c>
      <c r="BW7" s="1" t="s">
        <v>773</v>
      </c>
      <c r="BX7" s="1" t="s">
        <v>641</v>
      </c>
      <c r="BY7" s="1">
        <v>2</v>
      </c>
      <c r="BZ7" s="1">
        <v>3</v>
      </c>
      <c r="CA7" s="1">
        <v>70</v>
      </c>
      <c r="CB7" s="1" t="s">
        <v>603</v>
      </c>
      <c r="CC7" s="1" t="s">
        <v>603</v>
      </c>
      <c r="CD7" s="1" t="s">
        <v>603</v>
      </c>
      <c r="CE7" s="1" t="s">
        <v>596</v>
      </c>
      <c r="CF7" s="1" t="s">
        <v>604</v>
      </c>
      <c r="CG7" s="1" t="s">
        <v>603</v>
      </c>
      <c r="CH7" s="1" t="s">
        <v>596</v>
      </c>
      <c r="CI7" s="1" t="s">
        <v>596</v>
      </c>
      <c r="CJ7" s="1" t="s">
        <v>46</v>
      </c>
      <c r="CK7" s="1" t="s">
        <v>774</v>
      </c>
      <c r="CL7" s="1" t="s">
        <v>775</v>
      </c>
      <c r="CM7" s="1" t="s">
        <v>776</v>
      </c>
      <c r="CN7" s="1" t="s">
        <v>777</v>
      </c>
      <c r="CO7" s="1" t="s">
        <v>778</v>
      </c>
      <c r="CP7" s="1" t="s">
        <v>779</v>
      </c>
      <c r="CQ7" s="1" t="s">
        <v>780</v>
      </c>
      <c r="CR7" s="1" t="s">
        <v>781</v>
      </c>
      <c r="CS7" s="1" t="s">
        <v>782</v>
      </c>
      <c r="CT7" s="1" t="s">
        <v>783</v>
      </c>
      <c r="CU7" s="1" t="s">
        <v>784</v>
      </c>
      <c r="CV7" s="1" t="s">
        <v>785</v>
      </c>
      <c r="CW7" s="1" t="s">
        <v>786</v>
      </c>
      <c r="CX7" s="1" t="s">
        <v>787</v>
      </c>
      <c r="CY7" s="1" t="s">
        <v>788</v>
      </c>
      <c r="CZ7" s="1" t="s">
        <v>789</v>
      </c>
      <c r="DA7" s="1" t="s">
        <v>603</v>
      </c>
      <c r="DN7" s="1" t="s">
        <v>596</v>
      </c>
      <c r="DO7" s="1" t="s">
        <v>790</v>
      </c>
      <c r="DP7" t="s">
        <v>3573</v>
      </c>
    </row>
    <row r="8" spans="1:120" x14ac:dyDescent="0.25">
      <c r="A8" s="1">
        <v>7</v>
      </c>
      <c r="B8" s="134">
        <v>45993</v>
      </c>
      <c r="C8" s="1" t="s">
        <v>791</v>
      </c>
      <c r="D8" s="1" t="s">
        <v>792</v>
      </c>
      <c r="E8" s="1" t="s">
        <v>793</v>
      </c>
      <c r="F8" s="1" t="s">
        <v>794</v>
      </c>
      <c r="G8" s="1" t="s">
        <v>583</v>
      </c>
      <c r="H8" s="134">
        <v>24127</v>
      </c>
      <c r="I8" s="1" t="s">
        <v>584</v>
      </c>
      <c r="J8" s="1" t="s">
        <v>795</v>
      </c>
      <c r="K8" s="1" t="s">
        <v>666</v>
      </c>
      <c r="M8" s="1">
        <v>3330027212</v>
      </c>
      <c r="N8" s="1" t="s">
        <v>796</v>
      </c>
      <c r="O8" s="1" t="s">
        <v>797</v>
      </c>
      <c r="P8" s="1" t="s">
        <v>798</v>
      </c>
      <c r="Q8" s="1" t="s">
        <v>799</v>
      </c>
      <c r="R8" s="1" t="s">
        <v>592</v>
      </c>
      <c r="S8" s="1" t="s">
        <v>593</v>
      </c>
      <c r="T8" s="1" t="s">
        <v>594</v>
      </c>
      <c r="U8" s="1" t="s">
        <v>800</v>
      </c>
      <c r="V8" s="1">
        <v>963995659423</v>
      </c>
      <c r="W8" s="1">
        <v>939455905</v>
      </c>
      <c r="X8" s="1" t="s">
        <v>596</v>
      </c>
      <c r="AL8" s="1" t="s">
        <v>596</v>
      </c>
      <c r="AT8" s="1" t="s">
        <v>706</v>
      </c>
      <c r="AU8" s="1">
        <v>1</v>
      </c>
      <c r="AV8" s="1">
        <v>4</v>
      </c>
      <c r="AX8" s="1">
        <v>1</v>
      </c>
      <c r="AY8" s="1">
        <v>2</v>
      </c>
      <c r="AZ8" s="1">
        <v>1</v>
      </c>
      <c r="BA8" s="1">
        <v>0</v>
      </c>
      <c r="BB8" s="1">
        <v>0</v>
      </c>
      <c r="BC8" s="1">
        <v>0</v>
      </c>
      <c r="BD8" s="1">
        <v>1</v>
      </c>
      <c r="BE8" s="1">
        <v>0</v>
      </c>
      <c r="BF8" s="1">
        <v>0</v>
      </c>
      <c r="BG8" s="1">
        <v>0</v>
      </c>
      <c r="BH8" s="1">
        <v>0</v>
      </c>
      <c r="BI8" s="1">
        <v>0</v>
      </c>
      <c r="BJ8" s="1">
        <v>0</v>
      </c>
      <c r="BK8" s="1" t="s">
        <v>707</v>
      </c>
      <c r="BL8" s="1">
        <v>0</v>
      </c>
      <c r="BM8" s="1" t="s">
        <v>598</v>
      </c>
      <c r="BN8" s="1" t="s">
        <v>599</v>
      </c>
      <c r="BO8" s="1" t="s">
        <v>800</v>
      </c>
      <c r="BP8" s="1">
        <v>33.522247100000001</v>
      </c>
      <c r="BQ8" s="1">
        <v>36.355323200000001</v>
      </c>
      <c r="BR8" s="1" t="s">
        <v>637</v>
      </c>
      <c r="BS8" s="1" t="s">
        <v>596</v>
      </c>
      <c r="BU8" s="134"/>
      <c r="BX8" s="1" t="s">
        <v>602</v>
      </c>
      <c r="BY8" s="1">
        <v>2</v>
      </c>
      <c r="BZ8" s="1">
        <v>0</v>
      </c>
      <c r="CA8" s="1">
        <v>80</v>
      </c>
      <c r="CB8" s="1" t="s">
        <v>603</v>
      </c>
      <c r="CC8" s="1" t="s">
        <v>603</v>
      </c>
      <c r="CD8" s="1" t="s">
        <v>603</v>
      </c>
      <c r="CE8" s="1" t="s">
        <v>596</v>
      </c>
      <c r="CF8" s="1" t="s">
        <v>604</v>
      </c>
      <c r="CG8" s="1" t="s">
        <v>603</v>
      </c>
      <c r="CH8" s="1" t="s">
        <v>596</v>
      </c>
      <c r="CI8" s="1" t="s">
        <v>596</v>
      </c>
      <c r="CJ8" s="1" t="s">
        <v>46</v>
      </c>
      <c r="CK8" s="1" t="s">
        <v>801</v>
      </c>
      <c r="CL8" s="1" t="s">
        <v>802</v>
      </c>
      <c r="CM8" s="1" t="s">
        <v>803</v>
      </c>
      <c r="CN8" s="1" t="s">
        <v>804</v>
      </c>
      <c r="CO8" s="1" t="s">
        <v>805</v>
      </c>
      <c r="CP8" s="1" t="s">
        <v>806</v>
      </c>
      <c r="CQ8" s="1" t="s">
        <v>807</v>
      </c>
      <c r="CR8" s="1" t="s">
        <v>808</v>
      </c>
      <c r="CS8" s="1" t="s">
        <v>809</v>
      </c>
      <c r="CT8" s="1" t="s">
        <v>810</v>
      </c>
      <c r="CU8" s="1" t="s">
        <v>811</v>
      </c>
      <c r="CV8" s="1" t="s">
        <v>812</v>
      </c>
      <c r="CW8" s="1" t="s">
        <v>813</v>
      </c>
      <c r="CX8" s="1" t="s">
        <v>814</v>
      </c>
      <c r="CY8" s="1" t="s">
        <v>815</v>
      </c>
      <c r="CZ8" s="1" t="s">
        <v>816</v>
      </c>
      <c r="DA8" s="1" t="s">
        <v>603</v>
      </c>
      <c r="DN8" s="1" t="s">
        <v>596</v>
      </c>
      <c r="DO8" s="1" t="s">
        <v>817</v>
      </c>
      <c r="DP8" t="s">
        <v>3573</v>
      </c>
    </row>
    <row r="9" spans="1:120" x14ac:dyDescent="0.25">
      <c r="A9" s="1">
        <v>8</v>
      </c>
      <c r="B9" s="134">
        <v>45993</v>
      </c>
      <c r="C9" s="1" t="s">
        <v>622</v>
      </c>
      <c r="D9" s="1" t="s">
        <v>818</v>
      </c>
      <c r="E9" s="1" t="s">
        <v>819</v>
      </c>
      <c r="F9" s="1" t="s">
        <v>820</v>
      </c>
      <c r="G9" s="1" t="s">
        <v>583</v>
      </c>
      <c r="H9" s="134">
        <v>28065</v>
      </c>
      <c r="I9" s="1" t="s">
        <v>584</v>
      </c>
      <c r="J9" s="1" t="s">
        <v>821</v>
      </c>
      <c r="K9" s="1" t="s">
        <v>666</v>
      </c>
      <c r="M9" s="1">
        <v>1020000710</v>
      </c>
      <c r="N9" s="1" t="s">
        <v>822</v>
      </c>
      <c r="O9" s="1" t="s">
        <v>823</v>
      </c>
      <c r="P9" s="1" t="s">
        <v>824</v>
      </c>
      <c r="Q9" s="1" t="s">
        <v>825</v>
      </c>
      <c r="R9" s="1" t="s">
        <v>592</v>
      </c>
      <c r="S9" s="1" t="s">
        <v>593</v>
      </c>
      <c r="T9" s="1" t="s">
        <v>594</v>
      </c>
      <c r="U9" s="1" t="s">
        <v>826</v>
      </c>
      <c r="V9" s="1">
        <v>963969285010</v>
      </c>
      <c r="W9" s="1">
        <v>934658682</v>
      </c>
      <c r="X9" s="1" t="s">
        <v>603</v>
      </c>
      <c r="Y9" s="1" t="s">
        <v>827</v>
      </c>
      <c r="Z9" s="1">
        <v>1</v>
      </c>
      <c r="AA9" s="1">
        <v>0</v>
      </c>
      <c r="AB9" s="1">
        <v>0</v>
      </c>
      <c r="AC9" s="1">
        <v>0</v>
      </c>
      <c r="AD9" s="1">
        <v>0</v>
      </c>
      <c r="AE9" s="1">
        <v>0</v>
      </c>
      <c r="AF9" s="1" t="s">
        <v>828</v>
      </c>
      <c r="AL9" s="1" t="s">
        <v>596</v>
      </c>
      <c r="AT9" s="1" t="s">
        <v>597</v>
      </c>
      <c r="AU9" s="1">
        <v>1</v>
      </c>
      <c r="AV9" s="1">
        <v>8</v>
      </c>
      <c r="AX9" s="1">
        <v>2</v>
      </c>
      <c r="AY9" s="1">
        <v>3</v>
      </c>
      <c r="AZ9" s="1">
        <v>1</v>
      </c>
      <c r="BA9" s="1">
        <v>0</v>
      </c>
      <c r="BB9" s="1">
        <v>2</v>
      </c>
      <c r="BC9" s="1">
        <v>0</v>
      </c>
      <c r="BD9" s="1">
        <v>0</v>
      </c>
      <c r="BE9" s="1">
        <v>0</v>
      </c>
      <c r="BF9" s="1">
        <v>0</v>
      </c>
      <c r="BG9" s="1">
        <v>0</v>
      </c>
      <c r="BH9" s="1">
        <v>0</v>
      </c>
      <c r="BI9" s="1">
        <v>0</v>
      </c>
      <c r="BJ9" s="1">
        <v>0</v>
      </c>
      <c r="BK9" s="1" t="s">
        <v>741</v>
      </c>
      <c r="BL9" s="1">
        <v>1</v>
      </c>
      <c r="BM9" s="1" t="s">
        <v>598</v>
      </c>
      <c r="BN9" s="1" t="s">
        <v>599</v>
      </c>
      <c r="BO9" s="1" t="s">
        <v>826</v>
      </c>
      <c r="BP9" s="1">
        <v>33.5238826</v>
      </c>
      <c r="BQ9" s="1">
        <v>36.3559445</v>
      </c>
      <c r="BR9" s="1" t="s">
        <v>637</v>
      </c>
      <c r="BS9" s="1" t="s">
        <v>603</v>
      </c>
      <c r="BT9" s="1" t="s">
        <v>638</v>
      </c>
      <c r="BU9" s="134">
        <v>37682</v>
      </c>
      <c r="BV9" s="1" t="s">
        <v>829</v>
      </c>
      <c r="BW9" s="1" t="s">
        <v>830</v>
      </c>
      <c r="BX9" s="1" t="s">
        <v>641</v>
      </c>
      <c r="BY9" s="1">
        <v>2</v>
      </c>
      <c r="BZ9" s="1">
        <v>4</v>
      </c>
      <c r="CA9" s="1">
        <v>100</v>
      </c>
      <c r="CB9" s="1" t="s">
        <v>603</v>
      </c>
      <c r="CC9" s="1" t="s">
        <v>603</v>
      </c>
      <c r="CD9" s="1" t="s">
        <v>596</v>
      </c>
      <c r="CE9" s="1" t="s">
        <v>596</v>
      </c>
      <c r="CF9" s="1" t="s">
        <v>604</v>
      </c>
      <c r="CG9" s="1" t="s">
        <v>603</v>
      </c>
      <c r="CH9" s="1" t="s">
        <v>596</v>
      </c>
      <c r="CI9" s="1" t="s">
        <v>596</v>
      </c>
      <c r="CJ9" s="1" t="s">
        <v>46</v>
      </c>
      <c r="CK9" s="1" t="s">
        <v>831</v>
      </c>
      <c r="CL9" s="1" t="s">
        <v>832</v>
      </c>
      <c r="CM9" s="1" t="s">
        <v>833</v>
      </c>
      <c r="CN9" s="1" t="s">
        <v>834</v>
      </c>
      <c r="CO9" s="1" t="s">
        <v>835</v>
      </c>
      <c r="CP9" s="1" t="s">
        <v>836</v>
      </c>
      <c r="CQ9" s="1" t="s">
        <v>837</v>
      </c>
      <c r="CR9" s="1" t="s">
        <v>838</v>
      </c>
      <c r="CS9" s="1" t="s">
        <v>839</v>
      </c>
      <c r="CT9" s="1" t="s">
        <v>840</v>
      </c>
      <c r="CU9" s="1" t="s">
        <v>841</v>
      </c>
      <c r="CV9" s="1" t="s">
        <v>842</v>
      </c>
      <c r="CW9" s="1" t="s">
        <v>843</v>
      </c>
      <c r="CX9" s="1" t="s">
        <v>844</v>
      </c>
      <c r="CY9" s="1" t="s">
        <v>845</v>
      </c>
      <c r="CZ9" s="1" t="s">
        <v>846</v>
      </c>
      <c r="DA9" s="1" t="s">
        <v>603</v>
      </c>
      <c r="DN9" s="1" t="s">
        <v>596</v>
      </c>
      <c r="DO9" s="1" t="s">
        <v>847</v>
      </c>
      <c r="DP9" t="s">
        <v>3573</v>
      </c>
    </row>
    <row r="10" spans="1:120" x14ac:dyDescent="0.25">
      <c r="A10" s="1">
        <v>9</v>
      </c>
      <c r="B10" s="134">
        <v>45993</v>
      </c>
      <c r="C10" s="1" t="s">
        <v>848</v>
      </c>
      <c r="D10" s="1" t="s">
        <v>849</v>
      </c>
      <c r="E10" s="1" t="s">
        <v>793</v>
      </c>
      <c r="F10" s="1" t="s">
        <v>850</v>
      </c>
      <c r="G10" s="1" t="s">
        <v>583</v>
      </c>
      <c r="H10" s="134">
        <v>22426</v>
      </c>
      <c r="I10" s="1" t="s">
        <v>584</v>
      </c>
      <c r="J10" s="1" t="s">
        <v>851</v>
      </c>
      <c r="K10" s="1" t="s">
        <v>666</v>
      </c>
      <c r="M10" s="1">
        <v>3330027219</v>
      </c>
      <c r="N10" s="1" t="s">
        <v>852</v>
      </c>
      <c r="O10" s="1" t="s">
        <v>853</v>
      </c>
      <c r="P10" s="1" t="s">
        <v>854</v>
      </c>
      <c r="Q10" s="1" t="s">
        <v>855</v>
      </c>
      <c r="R10" s="1" t="s">
        <v>592</v>
      </c>
      <c r="S10" s="1" t="s">
        <v>593</v>
      </c>
      <c r="T10" s="1" t="s">
        <v>594</v>
      </c>
      <c r="U10" s="1" t="s">
        <v>856</v>
      </c>
      <c r="V10" s="1">
        <v>963958682134</v>
      </c>
      <c r="W10" s="1">
        <v>953801038</v>
      </c>
      <c r="X10" s="1" t="s">
        <v>596</v>
      </c>
      <c r="AL10" s="1" t="s">
        <v>596</v>
      </c>
      <c r="AT10" s="1" t="s">
        <v>597</v>
      </c>
      <c r="AU10" s="1">
        <v>1</v>
      </c>
      <c r="AV10" s="1">
        <v>3</v>
      </c>
      <c r="AX10" s="1">
        <v>2</v>
      </c>
      <c r="AY10" s="1">
        <v>1</v>
      </c>
      <c r="AZ10" s="1">
        <v>0</v>
      </c>
      <c r="BA10" s="1">
        <v>0</v>
      </c>
      <c r="BB10" s="1">
        <v>0</v>
      </c>
      <c r="BC10" s="1">
        <v>0</v>
      </c>
      <c r="BD10" s="1">
        <v>0</v>
      </c>
      <c r="BE10" s="1">
        <v>0</v>
      </c>
      <c r="BF10" s="1">
        <v>0</v>
      </c>
      <c r="BG10" s="1">
        <v>0</v>
      </c>
      <c r="BH10" s="1">
        <v>0</v>
      </c>
      <c r="BI10" s="1">
        <v>0</v>
      </c>
      <c r="BJ10" s="1">
        <v>0</v>
      </c>
      <c r="BK10" s="1" t="s">
        <v>707</v>
      </c>
      <c r="BL10" s="1">
        <v>2</v>
      </c>
      <c r="BM10" s="1" t="s">
        <v>598</v>
      </c>
      <c r="BN10" s="1" t="s">
        <v>599</v>
      </c>
      <c r="BO10" s="1" t="s">
        <v>856</v>
      </c>
      <c r="BP10" s="1">
        <v>33.528889499999998</v>
      </c>
      <c r="BQ10" s="1">
        <v>36.353391899999998</v>
      </c>
      <c r="BR10" s="1" t="s">
        <v>637</v>
      </c>
      <c r="BS10" s="1" t="s">
        <v>603</v>
      </c>
      <c r="BT10" s="1" t="s">
        <v>857</v>
      </c>
      <c r="BU10" s="134">
        <v>36522</v>
      </c>
      <c r="BV10" s="1" t="s">
        <v>858</v>
      </c>
      <c r="BW10" s="1" t="s">
        <v>859</v>
      </c>
      <c r="BX10" s="1" t="s">
        <v>641</v>
      </c>
      <c r="BY10" s="1">
        <v>2</v>
      </c>
      <c r="BZ10" s="1">
        <v>5</v>
      </c>
      <c r="CA10" s="1">
        <v>55</v>
      </c>
      <c r="CB10" s="1" t="s">
        <v>596</v>
      </c>
      <c r="CC10" s="1" t="s">
        <v>596</v>
      </c>
      <c r="CD10" s="1" t="s">
        <v>596</v>
      </c>
      <c r="CE10" s="1" t="s">
        <v>596</v>
      </c>
      <c r="CF10" s="1" t="s">
        <v>604</v>
      </c>
      <c r="CG10" s="1" t="s">
        <v>603</v>
      </c>
      <c r="CH10" s="1" t="s">
        <v>596</v>
      </c>
      <c r="CI10" s="1" t="s">
        <v>596</v>
      </c>
      <c r="CJ10" s="1" t="s">
        <v>860</v>
      </c>
      <c r="CK10" s="1" t="s">
        <v>861</v>
      </c>
      <c r="CL10" s="1" t="s">
        <v>862</v>
      </c>
      <c r="CM10" s="1" t="s">
        <v>863</v>
      </c>
      <c r="CN10" s="1" t="s">
        <v>864</v>
      </c>
      <c r="CO10" s="1" t="s">
        <v>865</v>
      </c>
      <c r="CP10" s="1" t="s">
        <v>866</v>
      </c>
      <c r="CQ10" s="1" t="s">
        <v>867</v>
      </c>
      <c r="CR10" s="1" t="s">
        <v>868</v>
      </c>
      <c r="CS10" s="1" t="s">
        <v>869</v>
      </c>
      <c r="CT10" s="1" t="s">
        <v>870</v>
      </c>
      <c r="CU10" s="1" t="s">
        <v>871</v>
      </c>
      <c r="CV10" s="1" t="s">
        <v>872</v>
      </c>
      <c r="CW10" s="1" t="s">
        <v>873</v>
      </c>
      <c r="CX10" s="1" t="s">
        <v>874</v>
      </c>
      <c r="CY10" s="1" t="s">
        <v>875</v>
      </c>
      <c r="CZ10" s="1" t="s">
        <v>876</v>
      </c>
      <c r="DA10" s="1" t="s">
        <v>603</v>
      </c>
      <c r="DN10" s="1" t="s">
        <v>596</v>
      </c>
      <c r="DO10" s="1" t="s">
        <v>877</v>
      </c>
      <c r="DP10" t="s">
        <v>3573</v>
      </c>
    </row>
    <row r="11" spans="1:120" x14ac:dyDescent="0.25">
      <c r="A11" s="1">
        <v>10</v>
      </c>
      <c r="B11" s="134">
        <v>45993</v>
      </c>
      <c r="C11" s="1" t="s">
        <v>878</v>
      </c>
      <c r="D11" s="1" t="s">
        <v>879</v>
      </c>
      <c r="E11" s="1" t="s">
        <v>880</v>
      </c>
      <c r="F11" s="1" t="s">
        <v>881</v>
      </c>
      <c r="G11" s="1" t="s">
        <v>583</v>
      </c>
      <c r="H11" s="134">
        <v>21976</v>
      </c>
      <c r="I11" s="1" t="s">
        <v>584</v>
      </c>
      <c r="J11" s="1" t="s">
        <v>882</v>
      </c>
      <c r="K11" s="1" t="s">
        <v>666</v>
      </c>
      <c r="M11" s="1">
        <v>3330020460</v>
      </c>
      <c r="N11" s="1" t="s">
        <v>883</v>
      </c>
      <c r="O11" s="1" t="s">
        <v>884</v>
      </c>
      <c r="P11" s="1" t="s">
        <v>885</v>
      </c>
      <c r="Q11" s="1" t="s">
        <v>886</v>
      </c>
      <c r="R11" s="1" t="s">
        <v>592</v>
      </c>
      <c r="S11" s="1" t="s">
        <v>593</v>
      </c>
      <c r="T11" s="1" t="s">
        <v>594</v>
      </c>
      <c r="U11" s="1" t="s">
        <v>887</v>
      </c>
      <c r="V11" s="1">
        <v>963967145663</v>
      </c>
      <c r="W11" s="1">
        <v>944847583</v>
      </c>
      <c r="X11" s="1" t="s">
        <v>596</v>
      </c>
      <c r="AL11" s="1" t="s">
        <v>596</v>
      </c>
      <c r="AT11" s="1" t="s">
        <v>597</v>
      </c>
      <c r="AU11" s="1">
        <v>1</v>
      </c>
      <c r="AV11" s="1">
        <v>4</v>
      </c>
      <c r="AX11" s="1">
        <v>3</v>
      </c>
      <c r="AY11" s="1">
        <v>1</v>
      </c>
      <c r="AZ11" s="1">
        <v>0</v>
      </c>
      <c r="BA11" s="1">
        <v>0</v>
      </c>
      <c r="BB11" s="1">
        <v>0</v>
      </c>
      <c r="BC11" s="1">
        <v>0</v>
      </c>
      <c r="BD11" s="1">
        <v>0</v>
      </c>
      <c r="BE11" s="1">
        <v>0</v>
      </c>
      <c r="BF11" s="1">
        <v>0</v>
      </c>
      <c r="BG11" s="1">
        <v>0</v>
      </c>
      <c r="BH11" s="1">
        <v>0</v>
      </c>
      <c r="BI11" s="1">
        <v>0</v>
      </c>
      <c r="BJ11" s="1">
        <v>0</v>
      </c>
      <c r="BK11" s="1" t="s">
        <v>707</v>
      </c>
      <c r="BL11" s="1">
        <v>2</v>
      </c>
      <c r="BM11" s="1" t="s">
        <v>598</v>
      </c>
      <c r="BN11" s="1" t="s">
        <v>599</v>
      </c>
      <c r="BO11" s="1" t="s">
        <v>888</v>
      </c>
      <c r="BP11" s="1">
        <v>33.526632599999999</v>
      </c>
      <c r="BQ11" s="1">
        <v>36.352705100000001</v>
      </c>
      <c r="BR11" s="1" t="s">
        <v>637</v>
      </c>
      <c r="BS11" s="1" t="s">
        <v>603</v>
      </c>
      <c r="BT11" s="1" t="s">
        <v>889</v>
      </c>
      <c r="BU11" s="134">
        <v>45070</v>
      </c>
      <c r="BV11" s="1" t="s">
        <v>890</v>
      </c>
      <c r="BW11" s="1" t="s">
        <v>891</v>
      </c>
      <c r="BX11" s="1" t="s">
        <v>641</v>
      </c>
      <c r="BY11" s="1">
        <v>2</v>
      </c>
      <c r="BZ11" s="1">
        <v>2</v>
      </c>
      <c r="CA11" s="1">
        <v>55</v>
      </c>
      <c r="CB11" s="1" t="s">
        <v>603</v>
      </c>
      <c r="CC11" s="1" t="s">
        <v>603</v>
      </c>
      <c r="CD11" s="1" t="s">
        <v>603</v>
      </c>
      <c r="CE11" s="1" t="s">
        <v>596</v>
      </c>
      <c r="CF11" s="1" t="s">
        <v>604</v>
      </c>
      <c r="CG11" s="1" t="s">
        <v>603</v>
      </c>
      <c r="CH11" s="1" t="s">
        <v>596</v>
      </c>
      <c r="CI11" s="1" t="s">
        <v>596</v>
      </c>
      <c r="CJ11" s="1" t="s">
        <v>46</v>
      </c>
      <c r="CK11" s="1" t="s">
        <v>892</v>
      </c>
      <c r="CL11" s="1" t="s">
        <v>893</v>
      </c>
      <c r="CM11" s="1" t="s">
        <v>894</v>
      </c>
      <c r="CN11" s="1" t="s">
        <v>895</v>
      </c>
      <c r="CO11" s="1" t="s">
        <v>896</v>
      </c>
      <c r="CP11" s="1" t="s">
        <v>897</v>
      </c>
      <c r="CQ11" s="1" t="s">
        <v>898</v>
      </c>
      <c r="CR11" s="1" t="s">
        <v>899</v>
      </c>
      <c r="CS11" s="1" t="s">
        <v>900</v>
      </c>
      <c r="CT11" s="1" t="s">
        <v>901</v>
      </c>
      <c r="CU11" s="1" t="s">
        <v>902</v>
      </c>
      <c r="CV11" s="1" t="s">
        <v>903</v>
      </c>
      <c r="CW11" s="1" t="s">
        <v>904</v>
      </c>
      <c r="CX11" s="1" t="s">
        <v>905</v>
      </c>
      <c r="CY11" s="1" t="s">
        <v>906</v>
      </c>
      <c r="CZ11" s="1" t="s">
        <v>907</v>
      </c>
      <c r="DA11" s="1" t="s">
        <v>603</v>
      </c>
      <c r="DN11" s="1" t="s">
        <v>596</v>
      </c>
      <c r="DO11" s="1" t="s">
        <v>908</v>
      </c>
      <c r="DP11" t="s">
        <v>3573</v>
      </c>
    </row>
    <row r="12" spans="1:120" x14ac:dyDescent="0.25">
      <c r="A12" s="1">
        <v>11</v>
      </c>
      <c r="B12" s="134">
        <v>45993</v>
      </c>
      <c r="C12" s="1" t="s">
        <v>909</v>
      </c>
      <c r="D12" s="1" t="s">
        <v>910</v>
      </c>
      <c r="E12" s="1" t="s">
        <v>911</v>
      </c>
      <c r="F12" s="1" t="s">
        <v>912</v>
      </c>
      <c r="G12" s="1" t="s">
        <v>583</v>
      </c>
      <c r="H12" s="134">
        <v>29191</v>
      </c>
      <c r="I12" s="1" t="s">
        <v>584</v>
      </c>
      <c r="J12" s="1" t="s">
        <v>913</v>
      </c>
      <c r="K12" s="1" t="s">
        <v>666</v>
      </c>
      <c r="M12" s="1">
        <v>3330012750</v>
      </c>
      <c r="N12" s="1" t="s">
        <v>914</v>
      </c>
      <c r="O12" s="1" t="s">
        <v>915</v>
      </c>
      <c r="P12" s="1" t="s">
        <v>916</v>
      </c>
      <c r="Q12" s="1" t="s">
        <v>917</v>
      </c>
      <c r="R12" s="1" t="s">
        <v>592</v>
      </c>
      <c r="S12" s="1" t="s">
        <v>593</v>
      </c>
      <c r="T12" s="1" t="s">
        <v>594</v>
      </c>
      <c r="U12" s="1" t="s">
        <v>918</v>
      </c>
      <c r="V12" s="1">
        <v>946670447</v>
      </c>
      <c r="X12" s="1" t="s">
        <v>596</v>
      </c>
      <c r="AL12" s="1" t="s">
        <v>596</v>
      </c>
      <c r="AT12" s="1" t="s">
        <v>597</v>
      </c>
      <c r="AU12" s="1">
        <v>1</v>
      </c>
      <c r="AV12" s="1">
        <v>6</v>
      </c>
      <c r="AX12" s="1">
        <v>2</v>
      </c>
      <c r="AY12" s="1">
        <v>2</v>
      </c>
      <c r="AZ12" s="1">
        <v>1</v>
      </c>
      <c r="BA12" s="1">
        <v>1</v>
      </c>
      <c r="BB12" s="1">
        <v>0</v>
      </c>
      <c r="BC12" s="1">
        <v>0</v>
      </c>
      <c r="BD12" s="1">
        <v>0</v>
      </c>
      <c r="BE12" s="1">
        <v>0</v>
      </c>
      <c r="BF12" s="1">
        <v>0</v>
      </c>
      <c r="BG12" s="1">
        <v>0</v>
      </c>
      <c r="BH12" s="1">
        <v>0</v>
      </c>
      <c r="BI12" s="1">
        <v>0</v>
      </c>
      <c r="BJ12" s="1">
        <v>0</v>
      </c>
      <c r="BK12" s="1" t="s">
        <v>741</v>
      </c>
      <c r="BL12" s="1">
        <v>0</v>
      </c>
      <c r="BM12" s="1" t="s">
        <v>919</v>
      </c>
      <c r="BN12" s="1" t="s">
        <v>599</v>
      </c>
      <c r="BO12" s="1" t="s">
        <v>920</v>
      </c>
      <c r="BP12" s="1">
        <v>33.531639200000001</v>
      </c>
      <c r="BQ12" s="1">
        <v>36.353237499999999</v>
      </c>
      <c r="BR12" s="1" t="s">
        <v>637</v>
      </c>
      <c r="BS12" s="1" t="s">
        <v>603</v>
      </c>
      <c r="BT12" s="1" t="s">
        <v>638</v>
      </c>
      <c r="BU12" s="134">
        <v>38272</v>
      </c>
      <c r="BV12" s="1" t="s">
        <v>921</v>
      </c>
      <c r="BW12" s="1" t="s">
        <v>922</v>
      </c>
      <c r="BX12" s="1" t="s">
        <v>602</v>
      </c>
      <c r="BY12" s="1">
        <v>2</v>
      </c>
      <c r="BZ12" s="1">
        <v>0</v>
      </c>
      <c r="CA12" s="1">
        <v>50</v>
      </c>
      <c r="CB12" s="1" t="s">
        <v>596</v>
      </c>
      <c r="CC12" s="1" t="s">
        <v>596</v>
      </c>
      <c r="CD12" s="1" t="s">
        <v>596</v>
      </c>
      <c r="CE12" s="1" t="s">
        <v>596</v>
      </c>
      <c r="CF12" s="1" t="s">
        <v>604</v>
      </c>
      <c r="CG12" s="1" t="s">
        <v>603</v>
      </c>
      <c r="CH12" s="1" t="s">
        <v>596</v>
      </c>
      <c r="CI12" s="1" t="s">
        <v>596</v>
      </c>
      <c r="CJ12" s="1" t="s">
        <v>56</v>
      </c>
      <c r="CK12" s="1" t="s">
        <v>923</v>
      </c>
      <c r="CL12" s="1" t="s">
        <v>924</v>
      </c>
      <c r="CM12" s="1" t="s">
        <v>925</v>
      </c>
      <c r="CN12" s="1" t="s">
        <v>926</v>
      </c>
      <c r="CO12" s="1" t="s">
        <v>927</v>
      </c>
      <c r="CP12" s="1" t="s">
        <v>928</v>
      </c>
      <c r="CQ12" s="1" t="s">
        <v>929</v>
      </c>
      <c r="CR12" s="1" t="s">
        <v>930</v>
      </c>
      <c r="CS12" s="1" t="s">
        <v>931</v>
      </c>
      <c r="CT12" s="1" t="s">
        <v>932</v>
      </c>
      <c r="CU12" s="1" t="s">
        <v>933</v>
      </c>
      <c r="CV12" s="1" t="s">
        <v>934</v>
      </c>
      <c r="CW12" s="1" t="s">
        <v>935</v>
      </c>
      <c r="CX12" s="1" t="s">
        <v>936</v>
      </c>
      <c r="CY12" s="1" t="s">
        <v>937</v>
      </c>
      <c r="CZ12" s="1" t="s">
        <v>938</v>
      </c>
      <c r="DA12" s="1" t="s">
        <v>603</v>
      </c>
      <c r="DN12" s="1" t="s">
        <v>596</v>
      </c>
      <c r="DP12" t="s">
        <v>3573</v>
      </c>
    </row>
    <row r="13" spans="1:120" x14ac:dyDescent="0.25">
      <c r="A13" s="1">
        <v>12</v>
      </c>
      <c r="B13" s="134">
        <v>45993</v>
      </c>
      <c r="C13" s="1" t="s">
        <v>939</v>
      </c>
      <c r="D13" s="1" t="s">
        <v>940</v>
      </c>
      <c r="E13" s="1" t="s">
        <v>941</v>
      </c>
      <c r="F13" s="1" t="s">
        <v>942</v>
      </c>
      <c r="G13" s="1" t="s">
        <v>583</v>
      </c>
      <c r="H13" s="134">
        <v>32210</v>
      </c>
      <c r="I13" s="1" t="s">
        <v>584</v>
      </c>
      <c r="J13" s="1" t="s">
        <v>943</v>
      </c>
      <c r="K13" s="1" t="s">
        <v>666</v>
      </c>
      <c r="M13" s="1">
        <v>3330004901</v>
      </c>
      <c r="N13" s="1" t="s">
        <v>944</v>
      </c>
      <c r="O13" s="1" t="s">
        <v>945</v>
      </c>
      <c r="P13" s="1" t="s">
        <v>946</v>
      </c>
      <c r="Q13" s="1" t="s">
        <v>947</v>
      </c>
      <c r="R13" s="1" t="s">
        <v>592</v>
      </c>
      <c r="S13" s="1" t="s">
        <v>593</v>
      </c>
      <c r="T13" s="1" t="s">
        <v>594</v>
      </c>
      <c r="U13" s="1" t="s">
        <v>948</v>
      </c>
      <c r="V13" s="1">
        <v>960087954</v>
      </c>
      <c r="X13" s="1" t="s">
        <v>596</v>
      </c>
      <c r="AL13" s="1" t="s">
        <v>596</v>
      </c>
      <c r="AT13" s="1" t="s">
        <v>597</v>
      </c>
      <c r="AU13" s="1">
        <v>1</v>
      </c>
      <c r="AV13" s="1">
        <v>5</v>
      </c>
      <c r="AX13" s="1">
        <v>1</v>
      </c>
      <c r="AY13" s="1">
        <v>1</v>
      </c>
      <c r="AZ13" s="1">
        <v>0</v>
      </c>
      <c r="BA13" s="1">
        <v>0</v>
      </c>
      <c r="BB13" s="1">
        <v>1</v>
      </c>
      <c r="BC13" s="1">
        <v>2</v>
      </c>
      <c r="BD13" s="1">
        <v>0</v>
      </c>
      <c r="BE13" s="1">
        <v>0</v>
      </c>
      <c r="BF13" s="1">
        <v>0</v>
      </c>
      <c r="BG13" s="1">
        <v>0</v>
      </c>
      <c r="BH13" s="1">
        <v>0</v>
      </c>
      <c r="BI13" s="1">
        <v>0</v>
      </c>
      <c r="BJ13" s="1">
        <v>0</v>
      </c>
      <c r="BK13" s="1" t="s">
        <v>741</v>
      </c>
      <c r="BL13" s="1">
        <v>1</v>
      </c>
      <c r="BM13" s="1" t="s">
        <v>708</v>
      </c>
      <c r="BN13" s="1" t="s">
        <v>599</v>
      </c>
      <c r="BO13" s="1" t="s">
        <v>949</v>
      </c>
      <c r="BP13" s="1">
        <v>33.529818300000002</v>
      </c>
      <c r="BQ13" s="1">
        <v>36.351754999999997</v>
      </c>
      <c r="BR13" s="1" t="s">
        <v>637</v>
      </c>
      <c r="BS13" s="1" t="s">
        <v>603</v>
      </c>
      <c r="BT13" s="1" t="s">
        <v>889</v>
      </c>
      <c r="BU13" s="134">
        <v>44594</v>
      </c>
      <c r="BV13" s="1" t="s">
        <v>950</v>
      </c>
      <c r="BW13" s="1" t="s">
        <v>951</v>
      </c>
      <c r="BX13" s="1" t="s">
        <v>602</v>
      </c>
      <c r="BY13" s="1">
        <v>2</v>
      </c>
      <c r="BZ13" s="1">
        <v>0</v>
      </c>
      <c r="CA13" s="1">
        <v>100</v>
      </c>
      <c r="CB13" s="1" t="s">
        <v>603</v>
      </c>
      <c r="CC13" s="1" t="s">
        <v>603</v>
      </c>
      <c r="CD13" s="1" t="s">
        <v>603</v>
      </c>
      <c r="CE13" s="1" t="s">
        <v>596</v>
      </c>
      <c r="CF13" s="1" t="s">
        <v>604</v>
      </c>
      <c r="CG13" s="1" t="s">
        <v>603</v>
      </c>
      <c r="CH13" s="1" t="s">
        <v>603</v>
      </c>
      <c r="CI13" s="1" t="s">
        <v>596</v>
      </c>
      <c r="CJ13" s="1" t="s">
        <v>46</v>
      </c>
      <c r="CK13" s="1" t="s">
        <v>952</v>
      </c>
      <c r="CL13" s="1" t="s">
        <v>953</v>
      </c>
      <c r="CM13" s="1" t="s">
        <v>954</v>
      </c>
      <c r="CN13" s="1" t="s">
        <v>955</v>
      </c>
      <c r="CO13" s="1" t="s">
        <v>956</v>
      </c>
      <c r="CP13" s="1" t="s">
        <v>957</v>
      </c>
      <c r="CQ13" s="1" t="s">
        <v>958</v>
      </c>
      <c r="CR13" s="1" t="s">
        <v>959</v>
      </c>
      <c r="CS13" s="1" t="s">
        <v>960</v>
      </c>
      <c r="CT13" s="1" t="s">
        <v>961</v>
      </c>
      <c r="CU13" s="1" t="s">
        <v>962</v>
      </c>
      <c r="CV13" s="1" t="s">
        <v>963</v>
      </c>
      <c r="CW13" s="1" t="s">
        <v>964</v>
      </c>
      <c r="CX13" s="1" t="s">
        <v>965</v>
      </c>
      <c r="CY13" s="1" t="s">
        <v>966</v>
      </c>
      <c r="CZ13" s="1" t="s">
        <v>967</v>
      </c>
      <c r="DA13" s="1" t="s">
        <v>603</v>
      </c>
      <c r="DN13" s="1" t="s">
        <v>596</v>
      </c>
      <c r="DP13" t="s">
        <v>3573</v>
      </c>
    </row>
    <row r="14" spans="1:120" x14ac:dyDescent="0.25">
      <c r="A14" s="1">
        <v>13</v>
      </c>
      <c r="B14" s="134">
        <v>45993</v>
      </c>
      <c r="C14" s="1" t="s">
        <v>968</v>
      </c>
      <c r="D14" s="1" t="s">
        <v>969</v>
      </c>
      <c r="E14" s="1" t="s">
        <v>970</v>
      </c>
      <c r="F14" s="1" t="s">
        <v>971</v>
      </c>
      <c r="G14" s="1" t="s">
        <v>583</v>
      </c>
      <c r="H14" s="134">
        <v>32157</v>
      </c>
      <c r="I14" s="1" t="s">
        <v>584</v>
      </c>
      <c r="J14" s="1" t="s">
        <v>972</v>
      </c>
      <c r="K14" s="1" t="s">
        <v>666</v>
      </c>
      <c r="M14" s="1">
        <v>3330020473</v>
      </c>
      <c r="N14" s="1" t="s">
        <v>973</v>
      </c>
      <c r="O14" s="1" t="s">
        <v>974</v>
      </c>
      <c r="P14" s="1" t="s">
        <v>975</v>
      </c>
      <c r="Q14" s="1" t="s">
        <v>976</v>
      </c>
      <c r="R14" s="1" t="s">
        <v>592</v>
      </c>
      <c r="S14" s="1" t="s">
        <v>593</v>
      </c>
      <c r="T14" s="1" t="s">
        <v>594</v>
      </c>
      <c r="U14" s="1" t="s">
        <v>977</v>
      </c>
      <c r="V14" s="1">
        <v>945179765</v>
      </c>
      <c r="X14" s="1" t="s">
        <v>596</v>
      </c>
      <c r="AL14" s="1" t="s">
        <v>603</v>
      </c>
      <c r="AM14" s="1" t="s">
        <v>705</v>
      </c>
      <c r="AN14" s="1">
        <v>0</v>
      </c>
      <c r="AO14" s="1">
        <v>1</v>
      </c>
      <c r="AP14" s="1">
        <v>0</v>
      </c>
      <c r="AQ14" s="1">
        <v>0</v>
      </c>
      <c r="AR14" s="1">
        <v>0</v>
      </c>
      <c r="AT14" s="1" t="s">
        <v>597</v>
      </c>
      <c r="AU14" s="1">
        <v>2</v>
      </c>
      <c r="AV14" s="1">
        <v>7</v>
      </c>
      <c r="AX14" s="1">
        <v>2</v>
      </c>
      <c r="AY14" s="1">
        <v>2</v>
      </c>
      <c r="AZ14" s="1">
        <v>2</v>
      </c>
      <c r="BA14" s="1">
        <v>1</v>
      </c>
      <c r="BB14" s="1">
        <v>0</v>
      </c>
      <c r="BC14" s="1">
        <v>0</v>
      </c>
      <c r="BD14" s="1">
        <v>0</v>
      </c>
      <c r="BE14" s="1">
        <v>0</v>
      </c>
      <c r="BF14" s="1">
        <v>0</v>
      </c>
      <c r="BG14" s="1">
        <v>0</v>
      </c>
      <c r="BH14" s="1">
        <v>0</v>
      </c>
      <c r="BI14" s="1">
        <v>0</v>
      </c>
      <c r="BJ14" s="1">
        <v>0</v>
      </c>
      <c r="BK14" s="1" t="s">
        <v>741</v>
      </c>
      <c r="BL14" s="1">
        <v>2</v>
      </c>
      <c r="BM14" s="1" t="s">
        <v>635</v>
      </c>
      <c r="BN14" s="1" t="s">
        <v>599</v>
      </c>
      <c r="BO14" s="1" t="s">
        <v>978</v>
      </c>
      <c r="BP14" s="1">
        <v>33.529896399999998</v>
      </c>
      <c r="BQ14" s="1">
        <v>36.352302899999998</v>
      </c>
      <c r="BR14" s="1" t="s">
        <v>601</v>
      </c>
      <c r="BS14" s="1" t="s">
        <v>603</v>
      </c>
      <c r="BT14" s="1" t="s">
        <v>710</v>
      </c>
      <c r="BU14" s="134">
        <v>35409</v>
      </c>
      <c r="BV14" s="1" t="s">
        <v>979</v>
      </c>
      <c r="BW14" s="1" t="s">
        <v>980</v>
      </c>
      <c r="BX14" s="1" t="s">
        <v>602</v>
      </c>
      <c r="BY14" s="1">
        <v>3</v>
      </c>
      <c r="BZ14" s="1">
        <v>0</v>
      </c>
      <c r="CA14" s="1">
        <v>110</v>
      </c>
      <c r="CB14" s="1" t="s">
        <v>596</v>
      </c>
      <c r="CC14" s="1" t="s">
        <v>603</v>
      </c>
      <c r="CD14" s="1" t="s">
        <v>596</v>
      </c>
      <c r="CE14" s="1" t="s">
        <v>603</v>
      </c>
      <c r="CF14" s="1" t="s">
        <v>642</v>
      </c>
      <c r="CG14" s="1" t="s">
        <v>603</v>
      </c>
      <c r="CH14" s="1" t="s">
        <v>596</v>
      </c>
      <c r="CI14" s="1" t="s">
        <v>596</v>
      </c>
      <c r="CJ14" s="1" t="s">
        <v>56</v>
      </c>
      <c r="CK14" s="1" t="s">
        <v>981</v>
      </c>
      <c r="CL14" s="1" t="s">
        <v>982</v>
      </c>
      <c r="CM14" s="1" t="s">
        <v>983</v>
      </c>
      <c r="CN14" s="1" t="s">
        <v>984</v>
      </c>
      <c r="CO14" s="1" t="s">
        <v>985</v>
      </c>
      <c r="CP14" s="1" t="s">
        <v>986</v>
      </c>
      <c r="CQ14" s="1" t="s">
        <v>987</v>
      </c>
      <c r="CR14" s="1" t="s">
        <v>988</v>
      </c>
      <c r="CS14" s="1" t="s">
        <v>989</v>
      </c>
      <c r="CT14" s="1" t="s">
        <v>990</v>
      </c>
      <c r="CU14" s="1" t="s">
        <v>991</v>
      </c>
      <c r="CV14" s="1" t="s">
        <v>992</v>
      </c>
      <c r="CW14" s="1" t="s">
        <v>993</v>
      </c>
      <c r="CX14" s="1" t="s">
        <v>994</v>
      </c>
      <c r="CY14" s="1" t="s">
        <v>995</v>
      </c>
      <c r="CZ14" s="1" t="s">
        <v>996</v>
      </c>
      <c r="DA14" s="1" t="s">
        <v>603</v>
      </c>
      <c r="DN14" s="1" t="s">
        <v>596</v>
      </c>
      <c r="DO14" s="1" t="s">
        <v>997</v>
      </c>
      <c r="DP14" t="s">
        <v>3573</v>
      </c>
    </row>
    <row r="15" spans="1:120" x14ac:dyDescent="0.25">
      <c r="A15" s="1">
        <v>14</v>
      </c>
      <c r="B15" s="134">
        <v>45993</v>
      </c>
      <c r="C15" s="1" t="s">
        <v>998</v>
      </c>
      <c r="D15" s="1" t="s">
        <v>999</v>
      </c>
      <c r="E15" s="1" t="s">
        <v>1000</v>
      </c>
      <c r="F15" s="1" t="s">
        <v>1001</v>
      </c>
      <c r="G15" s="1" t="s">
        <v>583</v>
      </c>
      <c r="H15" s="134">
        <v>31492</v>
      </c>
      <c r="I15" s="1" t="s">
        <v>584</v>
      </c>
      <c r="J15" s="1" t="s">
        <v>1002</v>
      </c>
      <c r="K15" s="1" t="s">
        <v>666</v>
      </c>
      <c r="M15" s="1">
        <v>3330040434</v>
      </c>
      <c r="N15" s="1" t="s">
        <v>1003</v>
      </c>
      <c r="O15" s="1" t="s">
        <v>1004</v>
      </c>
      <c r="P15" s="1" t="s">
        <v>1005</v>
      </c>
      <c r="Q15" s="1" t="s">
        <v>1006</v>
      </c>
      <c r="R15" s="1" t="s">
        <v>592</v>
      </c>
      <c r="S15" s="1" t="s">
        <v>593</v>
      </c>
      <c r="T15" s="1" t="s">
        <v>594</v>
      </c>
      <c r="U15" s="1" t="s">
        <v>1007</v>
      </c>
      <c r="V15" s="1">
        <v>966673321</v>
      </c>
      <c r="X15" s="1" t="s">
        <v>596</v>
      </c>
      <c r="AL15" s="1" t="s">
        <v>596</v>
      </c>
      <c r="AT15" s="1" t="s">
        <v>597</v>
      </c>
      <c r="AU15" s="1">
        <v>3</v>
      </c>
      <c r="AV15" s="1">
        <v>10</v>
      </c>
      <c r="AX15" s="1">
        <v>4</v>
      </c>
      <c r="AY15" s="1">
        <v>3</v>
      </c>
      <c r="AZ15" s="1">
        <v>2</v>
      </c>
      <c r="BA15" s="1">
        <v>0</v>
      </c>
      <c r="BB15" s="1">
        <v>1</v>
      </c>
      <c r="BC15" s="1">
        <v>0</v>
      </c>
      <c r="BD15" s="1">
        <v>0</v>
      </c>
      <c r="BE15" s="1">
        <v>0</v>
      </c>
      <c r="BF15" s="1">
        <v>0</v>
      </c>
      <c r="BG15" s="1">
        <v>0</v>
      </c>
      <c r="BH15" s="1">
        <v>0</v>
      </c>
      <c r="BI15" s="1">
        <v>0</v>
      </c>
      <c r="BJ15" s="1">
        <v>0</v>
      </c>
      <c r="BK15" s="1" t="s">
        <v>741</v>
      </c>
      <c r="BL15" s="1">
        <v>2</v>
      </c>
      <c r="BM15" s="1" t="s">
        <v>598</v>
      </c>
      <c r="BN15" s="1" t="s">
        <v>599</v>
      </c>
      <c r="BO15" s="1" t="s">
        <v>1008</v>
      </c>
      <c r="BP15" s="1">
        <v>33.529927299999997</v>
      </c>
      <c r="BQ15" s="1">
        <v>36.353301899999998</v>
      </c>
      <c r="BR15" s="1" t="s">
        <v>637</v>
      </c>
      <c r="BS15" s="1" t="s">
        <v>603</v>
      </c>
      <c r="BT15" s="1" t="s">
        <v>889</v>
      </c>
      <c r="BU15" s="134">
        <v>46099</v>
      </c>
      <c r="BV15" s="1" t="s">
        <v>1009</v>
      </c>
      <c r="BW15" s="1" t="s">
        <v>1010</v>
      </c>
      <c r="BX15" s="1" t="s">
        <v>641</v>
      </c>
      <c r="BY15" s="1">
        <v>4</v>
      </c>
      <c r="BZ15" s="1">
        <v>1</v>
      </c>
      <c r="CA15" s="1">
        <v>120</v>
      </c>
      <c r="CB15" s="1" t="s">
        <v>596</v>
      </c>
      <c r="CC15" s="1" t="s">
        <v>603</v>
      </c>
      <c r="CD15" s="1" t="s">
        <v>603</v>
      </c>
      <c r="CE15" s="1" t="s">
        <v>596</v>
      </c>
      <c r="CF15" s="1" t="s">
        <v>604</v>
      </c>
      <c r="CG15" s="1" t="s">
        <v>603</v>
      </c>
      <c r="CH15" s="1" t="s">
        <v>596</v>
      </c>
      <c r="CI15" s="1" t="s">
        <v>596</v>
      </c>
      <c r="CJ15" s="1" t="s">
        <v>46</v>
      </c>
      <c r="CK15" s="1" t="s">
        <v>1011</v>
      </c>
      <c r="CL15" s="1" t="s">
        <v>1012</v>
      </c>
      <c r="CM15" s="1" t="s">
        <v>1013</v>
      </c>
      <c r="CN15" s="1" t="s">
        <v>1014</v>
      </c>
      <c r="CO15" s="1" t="s">
        <v>1015</v>
      </c>
      <c r="CP15" s="1" t="s">
        <v>1016</v>
      </c>
      <c r="CQ15" s="1" t="s">
        <v>1017</v>
      </c>
      <c r="CR15" s="1" t="s">
        <v>1018</v>
      </c>
      <c r="CS15" s="1" t="s">
        <v>1019</v>
      </c>
      <c r="CT15" s="1" t="s">
        <v>1020</v>
      </c>
      <c r="CU15" s="1" t="s">
        <v>1021</v>
      </c>
      <c r="CV15" s="1" t="s">
        <v>1022</v>
      </c>
      <c r="CW15" s="1" t="s">
        <v>1023</v>
      </c>
      <c r="CX15" s="1" t="s">
        <v>1024</v>
      </c>
      <c r="CY15" s="1" t="s">
        <v>1025</v>
      </c>
      <c r="CZ15" s="1" t="s">
        <v>1026</v>
      </c>
      <c r="DA15" s="1" t="s">
        <v>603</v>
      </c>
      <c r="DN15" s="1" t="s">
        <v>596</v>
      </c>
      <c r="DP15" t="s">
        <v>3573</v>
      </c>
    </row>
    <row r="16" spans="1:120" x14ac:dyDescent="0.25">
      <c r="A16" s="1">
        <v>15</v>
      </c>
      <c r="B16" s="134">
        <v>45993</v>
      </c>
      <c r="C16" s="1" t="s">
        <v>1027</v>
      </c>
      <c r="D16" s="1" t="s">
        <v>1028</v>
      </c>
      <c r="E16" s="1" t="s">
        <v>1029</v>
      </c>
      <c r="F16" s="1" t="s">
        <v>1001</v>
      </c>
      <c r="G16" s="1" t="s">
        <v>583</v>
      </c>
      <c r="H16" s="134">
        <v>32113</v>
      </c>
      <c r="I16" s="1" t="s">
        <v>584</v>
      </c>
      <c r="J16" s="1" t="s">
        <v>1030</v>
      </c>
      <c r="K16" s="1" t="s">
        <v>666</v>
      </c>
      <c r="M16" s="1">
        <v>89123244295</v>
      </c>
      <c r="N16" s="1" t="s">
        <v>1031</v>
      </c>
      <c r="O16" s="1" t="s">
        <v>1032</v>
      </c>
      <c r="P16" s="1" t="s">
        <v>1033</v>
      </c>
      <c r="Q16" s="1" t="s">
        <v>1034</v>
      </c>
      <c r="R16" s="1" t="s">
        <v>592</v>
      </c>
      <c r="S16" s="1" t="s">
        <v>593</v>
      </c>
      <c r="T16" s="1" t="s">
        <v>594</v>
      </c>
      <c r="U16" s="1" t="s">
        <v>1035</v>
      </c>
      <c r="V16" s="1">
        <v>954297926</v>
      </c>
      <c r="X16" s="1" t="s">
        <v>596</v>
      </c>
      <c r="AL16" s="1" t="s">
        <v>596</v>
      </c>
      <c r="AT16" s="1" t="s">
        <v>597</v>
      </c>
      <c r="AU16" s="1">
        <v>3</v>
      </c>
      <c r="AV16" s="1">
        <v>13</v>
      </c>
      <c r="AX16" s="1">
        <v>4</v>
      </c>
      <c r="AY16" s="1">
        <v>3</v>
      </c>
      <c r="AZ16" s="1">
        <v>0</v>
      </c>
      <c r="BA16" s="1">
        <v>5</v>
      </c>
      <c r="BB16" s="1">
        <v>1</v>
      </c>
      <c r="BC16" s="1">
        <v>0</v>
      </c>
      <c r="BD16" s="1">
        <v>0</v>
      </c>
      <c r="BE16" s="1">
        <v>0</v>
      </c>
      <c r="BF16" s="1">
        <v>0</v>
      </c>
      <c r="BG16" s="1">
        <v>0</v>
      </c>
      <c r="BH16" s="1">
        <v>0</v>
      </c>
      <c r="BI16" s="1">
        <v>0</v>
      </c>
      <c r="BJ16" s="1">
        <v>0</v>
      </c>
      <c r="BK16" s="1" t="s">
        <v>741</v>
      </c>
      <c r="BL16" s="1">
        <v>2</v>
      </c>
      <c r="BM16" s="1" t="s">
        <v>598</v>
      </c>
      <c r="BN16" s="1" t="s">
        <v>599</v>
      </c>
      <c r="BO16" s="1" t="s">
        <v>1008</v>
      </c>
      <c r="BP16" s="1">
        <v>33.530066699999999</v>
      </c>
      <c r="BQ16" s="1">
        <v>36.353188099999997</v>
      </c>
      <c r="BR16" s="1" t="s">
        <v>637</v>
      </c>
      <c r="BS16" s="1" t="s">
        <v>603</v>
      </c>
      <c r="BT16" s="1" t="s">
        <v>889</v>
      </c>
      <c r="BU16" s="134">
        <v>46040</v>
      </c>
      <c r="BV16" s="1" t="s">
        <v>1036</v>
      </c>
      <c r="BW16" s="1" t="s">
        <v>1037</v>
      </c>
      <c r="BX16" s="1" t="s">
        <v>641</v>
      </c>
      <c r="BY16" s="1">
        <v>4</v>
      </c>
      <c r="BZ16" s="1">
        <v>0</v>
      </c>
      <c r="CA16" s="1">
        <v>120</v>
      </c>
      <c r="CB16" s="1" t="s">
        <v>603</v>
      </c>
      <c r="CC16" s="1" t="s">
        <v>603</v>
      </c>
      <c r="CD16" s="1" t="s">
        <v>603</v>
      </c>
      <c r="CE16" s="1" t="s">
        <v>596</v>
      </c>
      <c r="CF16" s="1" t="s">
        <v>604</v>
      </c>
      <c r="CG16" s="1" t="s">
        <v>603</v>
      </c>
      <c r="CH16" s="1" t="s">
        <v>596</v>
      </c>
      <c r="CI16" s="1" t="s">
        <v>596</v>
      </c>
      <c r="CJ16" s="1" t="s">
        <v>860</v>
      </c>
      <c r="CK16" s="1" t="s">
        <v>1038</v>
      </c>
      <c r="CL16" s="1" t="s">
        <v>1039</v>
      </c>
      <c r="CM16" s="1" t="s">
        <v>1040</v>
      </c>
      <c r="CN16" s="1" t="s">
        <v>1041</v>
      </c>
      <c r="CO16" s="1" t="s">
        <v>1042</v>
      </c>
      <c r="CP16" s="1" t="s">
        <v>1043</v>
      </c>
      <c r="CQ16" s="1" t="s">
        <v>1044</v>
      </c>
      <c r="CR16" s="1" t="s">
        <v>1045</v>
      </c>
      <c r="CS16" s="1" t="s">
        <v>1046</v>
      </c>
      <c r="CT16" s="1" t="s">
        <v>1047</v>
      </c>
      <c r="CU16" s="1" t="s">
        <v>1048</v>
      </c>
      <c r="CV16" s="1" t="s">
        <v>1049</v>
      </c>
      <c r="CW16" s="1" t="s">
        <v>1050</v>
      </c>
      <c r="CX16" s="1" t="s">
        <v>1051</v>
      </c>
      <c r="CY16" s="1" t="s">
        <v>1052</v>
      </c>
      <c r="CZ16" s="1" t="s">
        <v>1053</v>
      </c>
      <c r="DA16" s="1" t="s">
        <v>603</v>
      </c>
      <c r="DN16" s="1" t="s">
        <v>596</v>
      </c>
      <c r="DP16" t="s">
        <v>3573</v>
      </c>
    </row>
    <row r="17" spans="1:120" x14ac:dyDescent="0.25">
      <c r="A17" s="1">
        <v>16</v>
      </c>
      <c r="B17" s="134">
        <v>45993</v>
      </c>
      <c r="C17" s="1" t="s">
        <v>1054</v>
      </c>
      <c r="D17" s="1" t="s">
        <v>1055</v>
      </c>
      <c r="E17" s="1" t="s">
        <v>1056</v>
      </c>
      <c r="F17" s="1" t="s">
        <v>1057</v>
      </c>
      <c r="G17" s="1" t="s">
        <v>583</v>
      </c>
      <c r="H17" s="134">
        <v>24808</v>
      </c>
      <c r="I17" s="1" t="s">
        <v>584</v>
      </c>
      <c r="J17" s="1" t="s">
        <v>1058</v>
      </c>
      <c r="K17" s="1" t="s">
        <v>627</v>
      </c>
      <c r="M17" s="1">
        <v>7220014618</v>
      </c>
      <c r="N17" s="1" t="s">
        <v>1059</v>
      </c>
      <c r="O17" s="1" t="s">
        <v>1060</v>
      </c>
      <c r="P17" s="1" t="s">
        <v>1061</v>
      </c>
      <c r="Q17" s="1" t="s">
        <v>1062</v>
      </c>
      <c r="R17" s="1" t="s">
        <v>592</v>
      </c>
      <c r="S17" s="1" t="s">
        <v>593</v>
      </c>
      <c r="T17" s="1" t="s">
        <v>594</v>
      </c>
      <c r="U17" s="1" t="s">
        <v>1063</v>
      </c>
      <c r="V17" s="1">
        <v>994980552</v>
      </c>
      <c r="X17" s="1" t="s">
        <v>596</v>
      </c>
      <c r="AL17" s="1" t="s">
        <v>596</v>
      </c>
      <c r="AT17" s="1" t="s">
        <v>706</v>
      </c>
      <c r="AU17" s="1">
        <v>1</v>
      </c>
      <c r="AV17" s="1">
        <v>7</v>
      </c>
      <c r="AX17" s="1">
        <v>1</v>
      </c>
      <c r="AY17" s="1">
        <v>1</v>
      </c>
      <c r="AZ17" s="1">
        <v>0</v>
      </c>
      <c r="BA17" s="1">
        <v>4</v>
      </c>
      <c r="BB17" s="1">
        <v>0</v>
      </c>
      <c r="BC17" s="1">
        <v>1</v>
      </c>
      <c r="BD17" s="1">
        <v>0</v>
      </c>
      <c r="BE17" s="1">
        <v>0</v>
      </c>
      <c r="BF17" s="1">
        <v>0</v>
      </c>
      <c r="BG17" s="1">
        <v>0</v>
      </c>
      <c r="BH17" s="1">
        <v>0</v>
      </c>
      <c r="BI17" s="1">
        <v>0</v>
      </c>
      <c r="BJ17" s="1">
        <v>0</v>
      </c>
      <c r="BK17" s="1" t="s">
        <v>634</v>
      </c>
      <c r="BL17" s="1">
        <v>1</v>
      </c>
      <c r="BM17" s="1" t="s">
        <v>598</v>
      </c>
      <c r="BN17" s="1" t="s">
        <v>599</v>
      </c>
      <c r="BO17" s="1" t="s">
        <v>1064</v>
      </c>
      <c r="BP17" s="1">
        <v>33.530246900000002</v>
      </c>
      <c r="BQ17" s="1">
        <v>36.353703600000003</v>
      </c>
      <c r="BR17" s="1" t="s">
        <v>637</v>
      </c>
      <c r="BS17" s="1" t="s">
        <v>596</v>
      </c>
      <c r="BU17" s="134"/>
      <c r="BX17" s="1" t="s">
        <v>641</v>
      </c>
      <c r="BY17" s="1">
        <v>2</v>
      </c>
      <c r="BZ17" s="1">
        <v>2</v>
      </c>
      <c r="CA17" s="1">
        <v>70</v>
      </c>
      <c r="CB17" s="1" t="s">
        <v>603</v>
      </c>
      <c r="CC17" s="1" t="s">
        <v>603</v>
      </c>
      <c r="CD17" s="1" t="s">
        <v>603</v>
      </c>
      <c r="CE17" s="1" t="s">
        <v>596</v>
      </c>
      <c r="CF17" s="1" t="s">
        <v>642</v>
      </c>
      <c r="CG17" s="1" t="s">
        <v>603</v>
      </c>
      <c r="CH17" s="1" t="s">
        <v>596</v>
      </c>
      <c r="CI17" s="1" t="s">
        <v>596</v>
      </c>
      <c r="CJ17" s="1" t="s">
        <v>51</v>
      </c>
      <c r="CK17" s="1" t="s">
        <v>1065</v>
      </c>
      <c r="CL17" s="1" t="s">
        <v>1066</v>
      </c>
      <c r="CM17" s="1" t="s">
        <v>1067</v>
      </c>
      <c r="CN17" s="1" t="s">
        <v>1068</v>
      </c>
      <c r="CO17" s="1" t="s">
        <v>1069</v>
      </c>
      <c r="CP17" s="1" t="s">
        <v>1070</v>
      </c>
      <c r="CQ17" s="1" t="s">
        <v>1071</v>
      </c>
      <c r="CR17" s="1" t="s">
        <v>1072</v>
      </c>
      <c r="CS17" s="1" t="s">
        <v>1073</v>
      </c>
      <c r="CT17" s="1" t="s">
        <v>1074</v>
      </c>
      <c r="CU17" s="1" t="s">
        <v>1075</v>
      </c>
      <c r="CV17" s="1" t="s">
        <v>1076</v>
      </c>
      <c r="CW17" s="1" t="s">
        <v>1077</v>
      </c>
      <c r="CX17" s="1" t="s">
        <v>1078</v>
      </c>
      <c r="CY17" s="1" t="s">
        <v>1079</v>
      </c>
      <c r="CZ17" s="1" t="s">
        <v>1080</v>
      </c>
      <c r="DA17" s="1" t="s">
        <v>603</v>
      </c>
      <c r="DN17" s="1" t="s">
        <v>596</v>
      </c>
      <c r="DO17" s="1" t="s">
        <v>1081</v>
      </c>
      <c r="DP17" t="s">
        <v>3573</v>
      </c>
    </row>
    <row r="18" spans="1:120" x14ac:dyDescent="0.25">
      <c r="A18" s="1">
        <v>17</v>
      </c>
      <c r="B18" s="134">
        <v>45993</v>
      </c>
      <c r="C18" s="1" t="s">
        <v>1082</v>
      </c>
      <c r="D18" s="1" t="s">
        <v>580</v>
      </c>
      <c r="E18" s="1" t="s">
        <v>1083</v>
      </c>
      <c r="F18" s="1" t="s">
        <v>1084</v>
      </c>
      <c r="G18" s="1" t="s">
        <v>583</v>
      </c>
      <c r="H18" s="134">
        <v>31664</v>
      </c>
      <c r="I18" s="1" t="s">
        <v>764</v>
      </c>
      <c r="K18" s="1" t="s">
        <v>666</v>
      </c>
      <c r="M18" s="1">
        <v>7220014973</v>
      </c>
      <c r="N18" s="1" t="s">
        <v>1085</v>
      </c>
      <c r="O18" s="1" t="s">
        <v>1086</v>
      </c>
      <c r="P18" s="1" t="s">
        <v>1087</v>
      </c>
      <c r="Q18" s="1" t="s">
        <v>1088</v>
      </c>
      <c r="R18" s="1" t="s">
        <v>592</v>
      </c>
      <c r="S18" s="1" t="s">
        <v>593</v>
      </c>
      <c r="T18" s="1" t="s">
        <v>594</v>
      </c>
      <c r="U18" s="1" t="s">
        <v>1089</v>
      </c>
      <c r="V18" s="1">
        <v>969793906</v>
      </c>
      <c r="X18" s="1" t="s">
        <v>596</v>
      </c>
      <c r="AL18" s="1" t="s">
        <v>596</v>
      </c>
      <c r="AT18" s="1" t="s">
        <v>770</v>
      </c>
      <c r="AU18" s="1">
        <v>2</v>
      </c>
      <c r="AV18" s="1">
        <v>9</v>
      </c>
      <c r="AX18" s="1">
        <v>0</v>
      </c>
      <c r="AY18" s="1">
        <v>2</v>
      </c>
      <c r="AZ18" s="1">
        <v>1</v>
      </c>
      <c r="BA18" s="1">
        <v>3</v>
      </c>
      <c r="BB18" s="1">
        <v>1</v>
      </c>
      <c r="BC18" s="1">
        <v>2</v>
      </c>
      <c r="BD18" s="1">
        <v>0</v>
      </c>
      <c r="BE18" s="1">
        <v>0</v>
      </c>
      <c r="BF18" s="1">
        <v>0</v>
      </c>
      <c r="BG18" s="1">
        <v>1</v>
      </c>
      <c r="BH18" s="1">
        <v>0</v>
      </c>
      <c r="BI18" s="1">
        <v>0</v>
      </c>
      <c r="BJ18" s="1">
        <v>0</v>
      </c>
      <c r="BK18" s="1" t="s">
        <v>674</v>
      </c>
      <c r="BL18" s="1">
        <v>0</v>
      </c>
      <c r="BM18" s="1" t="s">
        <v>598</v>
      </c>
      <c r="BN18" s="1" t="s">
        <v>599</v>
      </c>
      <c r="BO18" s="1" t="s">
        <v>1090</v>
      </c>
      <c r="BP18" s="1">
        <v>33.530171699999997</v>
      </c>
      <c r="BQ18" s="1">
        <v>36.353188299999999</v>
      </c>
      <c r="BR18" s="1" t="s">
        <v>637</v>
      </c>
      <c r="BS18" s="1" t="s">
        <v>596</v>
      </c>
      <c r="BU18" s="134"/>
      <c r="BX18" s="1" t="s">
        <v>602</v>
      </c>
      <c r="BY18" s="1">
        <v>2</v>
      </c>
      <c r="BZ18" s="1">
        <v>0</v>
      </c>
      <c r="CA18" s="1">
        <v>50</v>
      </c>
      <c r="CB18" s="1" t="s">
        <v>603</v>
      </c>
      <c r="CC18" s="1" t="s">
        <v>603</v>
      </c>
      <c r="CD18" s="1" t="s">
        <v>603</v>
      </c>
      <c r="CE18" s="1" t="s">
        <v>596</v>
      </c>
      <c r="CF18" s="1" t="s">
        <v>604</v>
      </c>
      <c r="CG18" s="1" t="s">
        <v>603</v>
      </c>
      <c r="CH18" s="1" t="s">
        <v>596</v>
      </c>
      <c r="CI18" s="1" t="s">
        <v>596</v>
      </c>
      <c r="CJ18" s="1" t="s">
        <v>860</v>
      </c>
      <c r="CK18" s="1" t="s">
        <v>1091</v>
      </c>
      <c r="CL18" s="1" t="s">
        <v>1092</v>
      </c>
      <c r="CM18" s="1" t="s">
        <v>1093</v>
      </c>
      <c r="CN18" s="1" t="s">
        <v>1094</v>
      </c>
      <c r="CO18" s="1" t="s">
        <v>1095</v>
      </c>
      <c r="CP18" s="1" t="s">
        <v>1096</v>
      </c>
      <c r="CQ18" s="1" t="s">
        <v>1097</v>
      </c>
      <c r="CR18" s="1" t="s">
        <v>1098</v>
      </c>
      <c r="CS18" s="1" t="s">
        <v>1099</v>
      </c>
      <c r="CT18" s="1" t="s">
        <v>1100</v>
      </c>
      <c r="CU18" s="1" t="s">
        <v>1101</v>
      </c>
      <c r="CV18" s="1" t="s">
        <v>1102</v>
      </c>
      <c r="CW18" s="1" t="s">
        <v>1103</v>
      </c>
      <c r="CX18" s="1" t="s">
        <v>1104</v>
      </c>
      <c r="CY18" s="1" t="s">
        <v>1105</v>
      </c>
      <c r="CZ18" s="1" t="s">
        <v>1106</v>
      </c>
      <c r="DA18" s="1" t="s">
        <v>603</v>
      </c>
      <c r="DN18" s="1" t="s">
        <v>596</v>
      </c>
      <c r="DO18" s="1" t="s">
        <v>1107</v>
      </c>
      <c r="DP18" t="s">
        <v>3573</v>
      </c>
    </row>
    <row r="19" spans="1:120" x14ac:dyDescent="0.25">
      <c r="A19" s="1">
        <v>18</v>
      </c>
      <c r="B19" s="134">
        <v>45993</v>
      </c>
      <c r="C19" s="1" t="s">
        <v>1108</v>
      </c>
      <c r="D19" s="1" t="s">
        <v>1109</v>
      </c>
      <c r="E19" s="1" t="s">
        <v>1110</v>
      </c>
      <c r="F19" s="1" t="s">
        <v>1111</v>
      </c>
      <c r="G19" s="1" t="s">
        <v>583</v>
      </c>
      <c r="H19" s="134">
        <v>33475</v>
      </c>
      <c r="I19" s="1" t="s">
        <v>584</v>
      </c>
      <c r="J19" s="1" t="s">
        <v>1112</v>
      </c>
      <c r="K19" s="1" t="s">
        <v>666</v>
      </c>
      <c r="M19" s="1">
        <v>1020153422</v>
      </c>
      <c r="N19" s="1" t="s">
        <v>1113</v>
      </c>
      <c r="O19" s="1" t="s">
        <v>1114</v>
      </c>
      <c r="P19" s="1" t="s">
        <v>1115</v>
      </c>
      <c r="Q19" s="1" t="s">
        <v>1116</v>
      </c>
      <c r="R19" s="1" t="s">
        <v>592</v>
      </c>
      <c r="S19" s="1" t="s">
        <v>593</v>
      </c>
      <c r="T19" s="1" t="s">
        <v>594</v>
      </c>
      <c r="U19" s="1" t="s">
        <v>1117</v>
      </c>
      <c r="V19" s="1">
        <v>950502542</v>
      </c>
      <c r="X19" s="1" t="s">
        <v>596</v>
      </c>
      <c r="AL19" s="1" t="s">
        <v>596</v>
      </c>
      <c r="AT19" s="1" t="s">
        <v>597</v>
      </c>
      <c r="AU19" s="1">
        <v>1</v>
      </c>
      <c r="AV19" s="1">
        <v>4</v>
      </c>
      <c r="AX19" s="1">
        <v>1</v>
      </c>
      <c r="AY19" s="1">
        <v>2</v>
      </c>
      <c r="AZ19" s="1">
        <v>0</v>
      </c>
      <c r="BA19" s="1">
        <v>0</v>
      </c>
      <c r="BB19" s="1">
        <v>1</v>
      </c>
      <c r="BC19" s="1">
        <v>0</v>
      </c>
      <c r="BD19" s="1">
        <v>0</v>
      </c>
      <c r="BE19" s="1">
        <v>0</v>
      </c>
      <c r="BF19" s="1">
        <v>0</v>
      </c>
      <c r="BG19" s="1">
        <v>0</v>
      </c>
      <c r="BH19" s="1">
        <v>0</v>
      </c>
      <c r="BI19" s="1">
        <v>0</v>
      </c>
      <c r="BJ19" s="1">
        <v>0</v>
      </c>
      <c r="BK19" s="1" t="s">
        <v>1118</v>
      </c>
      <c r="BL19" s="1">
        <v>1</v>
      </c>
      <c r="BM19" s="1" t="s">
        <v>598</v>
      </c>
      <c r="BN19" s="1" t="s">
        <v>599</v>
      </c>
      <c r="BO19" s="1" t="s">
        <v>1117</v>
      </c>
      <c r="BP19" s="1">
        <v>33.532193700000001</v>
      </c>
      <c r="BQ19" s="1">
        <v>36.355504099999997</v>
      </c>
      <c r="BR19" s="1" t="s">
        <v>637</v>
      </c>
      <c r="BS19" s="1" t="s">
        <v>596</v>
      </c>
      <c r="BU19" s="134"/>
      <c r="BX19" s="1" t="s">
        <v>641</v>
      </c>
      <c r="BY19" s="1">
        <v>3</v>
      </c>
      <c r="BZ19" s="1">
        <v>1</v>
      </c>
      <c r="CA19" s="1">
        <v>85</v>
      </c>
      <c r="CB19" s="1" t="s">
        <v>603</v>
      </c>
      <c r="CC19" s="1" t="s">
        <v>603</v>
      </c>
      <c r="CD19" s="1" t="s">
        <v>603</v>
      </c>
      <c r="CE19" s="1" t="s">
        <v>596</v>
      </c>
      <c r="CF19" s="1" t="s">
        <v>604</v>
      </c>
      <c r="CG19" s="1" t="s">
        <v>603</v>
      </c>
      <c r="CH19" s="1" t="s">
        <v>596</v>
      </c>
      <c r="CI19" s="1" t="s">
        <v>596</v>
      </c>
      <c r="CJ19" s="1" t="s">
        <v>860</v>
      </c>
      <c r="CK19" s="1" t="s">
        <v>1119</v>
      </c>
      <c r="CL19" s="1" t="s">
        <v>1120</v>
      </c>
      <c r="CM19" s="1" t="s">
        <v>1121</v>
      </c>
      <c r="CN19" s="1" t="s">
        <v>1122</v>
      </c>
      <c r="CO19" s="1" t="s">
        <v>1123</v>
      </c>
      <c r="CP19" s="1" t="s">
        <v>1124</v>
      </c>
      <c r="CQ19" s="1" t="s">
        <v>1125</v>
      </c>
      <c r="CR19" s="1" t="s">
        <v>1126</v>
      </c>
      <c r="CS19" s="1" t="s">
        <v>1127</v>
      </c>
      <c r="CT19" s="1" t="s">
        <v>1128</v>
      </c>
      <c r="CU19" s="1" t="s">
        <v>1129</v>
      </c>
      <c r="CV19" s="1" t="s">
        <v>1130</v>
      </c>
      <c r="CW19" s="1" t="s">
        <v>1131</v>
      </c>
      <c r="CX19" s="1" t="s">
        <v>1132</v>
      </c>
      <c r="CY19" s="1" t="s">
        <v>1133</v>
      </c>
      <c r="CZ19" s="1" t="s">
        <v>1134</v>
      </c>
      <c r="DA19" s="1" t="s">
        <v>603</v>
      </c>
      <c r="DN19" s="1" t="s">
        <v>596</v>
      </c>
      <c r="DO19" s="1" t="s">
        <v>1135</v>
      </c>
      <c r="DP19" t="s">
        <v>3573</v>
      </c>
    </row>
    <row r="20" spans="1:120" x14ac:dyDescent="0.25">
      <c r="A20" s="1">
        <v>19</v>
      </c>
      <c r="B20" s="134">
        <v>45993</v>
      </c>
      <c r="C20" s="1" t="s">
        <v>1136</v>
      </c>
      <c r="D20" s="1" t="s">
        <v>1137</v>
      </c>
      <c r="E20" s="1" t="s">
        <v>1138</v>
      </c>
      <c r="F20" s="1" t="s">
        <v>1139</v>
      </c>
      <c r="G20" s="1" t="s">
        <v>583</v>
      </c>
      <c r="H20" s="134">
        <v>21947</v>
      </c>
      <c r="I20" s="1" t="s">
        <v>584</v>
      </c>
      <c r="J20" s="1" t="s">
        <v>1140</v>
      </c>
      <c r="K20" s="1" t="s">
        <v>666</v>
      </c>
      <c r="M20" s="1">
        <v>3330029357</v>
      </c>
      <c r="N20" s="1" t="s">
        <v>1141</v>
      </c>
      <c r="O20" s="1" t="s">
        <v>1142</v>
      </c>
      <c r="P20" s="1" t="s">
        <v>1143</v>
      </c>
      <c r="Q20" s="1" t="s">
        <v>1144</v>
      </c>
      <c r="R20" s="1" t="s">
        <v>592</v>
      </c>
      <c r="S20" s="1" t="s">
        <v>593</v>
      </c>
      <c r="T20" s="1" t="s">
        <v>594</v>
      </c>
      <c r="U20" s="1" t="s">
        <v>1145</v>
      </c>
      <c r="V20" s="1">
        <v>963938937881</v>
      </c>
      <c r="W20" s="1">
        <v>951319228</v>
      </c>
      <c r="X20" s="1" t="s">
        <v>596</v>
      </c>
      <c r="AL20" s="1" t="s">
        <v>596</v>
      </c>
      <c r="AT20" s="1" t="s">
        <v>597</v>
      </c>
      <c r="AU20" s="1">
        <v>2</v>
      </c>
      <c r="AV20" s="1">
        <v>5</v>
      </c>
      <c r="AX20" s="1">
        <v>2</v>
      </c>
      <c r="AY20" s="1">
        <v>2</v>
      </c>
      <c r="AZ20" s="1">
        <v>0</v>
      </c>
      <c r="BA20" s="1">
        <v>0</v>
      </c>
      <c r="BB20" s="1">
        <v>0</v>
      </c>
      <c r="BC20" s="1">
        <v>1</v>
      </c>
      <c r="BD20" s="1">
        <v>0</v>
      </c>
      <c r="BE20" s="1">
        <v>0</v>
      </c>
      <c r="BF20" s="1">
        <v>0</v>
      </c>
      <c r="BG20" s="1">
        <v>0</v>
      </c>
      <c r="BH20" s="1">
        <v>0</v>
      </c>
      <c r="BI20" s="1">
        <v>0</v>
      </c>
      <c r="BJ20" s="1">
        <v>0</v>
      </c>
      <c r="BK20" s="1" t="s">
        <v>741</v>
      </c>
      <c r="BL20" s="1">
        <v>1</v>
      </c>
      <c r="BM20" s="1" t="s">
        <v>598</v>
      </c>
      <c r="BN20" s="1" t="s">
        <v>599</v>
      </c>
      <c r="BO20" s="1" t="s">
        <v>1146</v>
      </c>
      <c r="BP20" s="1">
        <v>33.523622099999997</v>
      </c>
      <c r="BQ20" s="1">
        <v>36.345979499999999</v>
      </c>
      <c r="BR20" s="1" t="s">
        <v>637</v>
      </c>
      <c r="BS20" s="1" t="s">
        <v>603</v>
      </c>
      <c r="BT20" s="1" t="s">
        <v>889</v>
      </c>
      <c r="BU20" s="134">
        <v>40868</v>
      </c>
      <c r="BV20" s="1" t="s">
        <v>1147</v>
      </c>
      <c r="BW20" s="1" t="s">
        <v>1148</v>
      </c>
      <c r="BX20" s="1" t="s">
        <v>641</v>
      </c>
      <c r="BY20" s="1">
        <v>2</v>
      </c>
      <c r="BZ20" s="1">
        <v>1</v>
      </c>
      <c r="CA20" s="1">
        <v>100</v>
      </c>
      <c r="CB20" s="1" t="s">
        <v>603</v>
      </c>
      <c r="CC20" s="1" t="s">
        <v>603</v>
      </c>
      <c r="CD20" s="1" t="s">
        <v>603</v>
      </c>
      <c r="CE20" s="1" t="s">
        <v>596</v>
      </c>
      <c r="CF20" s="1" t="s">
        <v>604</v>
      </c>
      <c r="CG20" s="1" t="s">
        <v>603</v>
      </c>
      <c r="CH20" s="1" t="s">
        <v>596</v>
      </c>
      <c r="CI20" s="1" t="s">
        <v>596</v>
      </c>
      <c r="CJ20" s="1" t="s">
        <v>46</v>
      </c>
      <c r="CK20" s="1" t="s">
        <v>1149</v>
      </c>
      <c r="CL20" s="1" t="s">
        <v>1150</v>
      </c>
      <c r="CM20" s="1" t="s">
        <v>1151</v>
      </c>
      <c r="CN20" s="1" t="s">
        <v>1152</v>
      </c>
      <c r="CO20" s="1" t="s">
        <v>1153</v>
      </c>
      <c r="CP20" s="1" t="s">
        <v>1154</v>
      </c>
      <c r="CQ20" s="1" t="s">
        <v>1155</v>
      </c>
      <c r="CR20" s="1" t="s">
        <v>1156</v>
      </c>
      <c r="CS20" s="1" t="s">
        <v>1157</v>
      </c>
      <c r="CT20" s="1" t="s">
        <v>1158</v>
      </c>
      <c r="CU20" s="1" t="s">
        <v>1159</v>
      </c>
      <c r="CV20" s="1" t="s">
        <v>1160</v>
      </c>
      <c r="CW20" s="1" t="s">
        <v>1161</v>
      </c>
      <c r="CX20" s="1" t="s">
        <v>1162</v>
      </c>
      <c r="CY20" s="1" t="s">
        <v>1163</v>
      </c>
      <c r="CZ20" s="1" t="s">
        <v>1164</v>
      </c>
      <c r="DA20" s="1" t="s">
        <v>603</v>
      </c>
      <c r="DN20" s="1" t="s">
        <v>596</v>
      </c>
      <c r="DO20" s="1" t="s">
        <v>1165</v>
      </c>
      <c r="DP20" t="s">
        <v>3573</v>
      </c>
    </row>
    <row r="21" spans="1:120" x14ac:dyDescent="0.25">
      <c r="A21" s="1">
        <v>20</v>
      </c>
      <c r="B21" s="134">
        <v>45993</v>
      </c>
      <c r="C21" s="1" t="s">
        <v>1166</v>
      </c>
      <c r="D21" s="1" t="s">
        <v>1167</v>
      </c>
      <c r="E21" s="1" t="s">
        <v>1168</v>
      </c>
      <c r="F21" s="1" t="s">
        <v>1169</v>
      </c>
      <c r="G21" s="1" t="s">
        <v>583</v>
      </c>
      <c r="H21" s="134">
        <v>32212</v>
      </c>
      <c r="I21" s="1" t="s">
        <v>1170</v>
      </c>
      <c r="K21" s="1" t="s">
        <v>666</v>
      </c>
      <c r="M21" s="1">
        <v>3330003652</v>
      </c>
      <c r="N21" s="1" t="s">
        <v>1171</v>
      </c>
      <c r="O21" s="1" t="s">
        <v>1172</v>
      </c>
      <c r="P21" s="1" t="s">
        <v>1173</v>
      </c>
      <c r="Q21" s="1" t="s">
        <v>1174</v>
      </c>
      <c r="R21" s="1" t="s">
        <v>592</v>
      </c>
      <c r="S21" s="1" t="s">
        <v>593</v>
      </c>
      <c r="T21" s="1" t="s">
        <v>594</v>
      </c>
      <c r="U21" s="1" t="s">
        <v>1175</v>
      </c>
      <c r="V21" s="1">
        <v>967313096</v>
      </c>
      <c r="X21" s="1" t="s">
        <v>596</v>
      </c>
      <c r="AL21" s="1" t="s">
        <v>596</v>
      </c>
      <c r="AT21" s="1" t="s">
        <v>597</v>
      </c>
      <c r="AU21" s="1">
        <v>1</v>
      </c>
      <c r="AV21" s="1">
        <v>4</v>
      </c>
      <c r="AX21" s="1">
        <v>1</v>
      </c>
      <c r="AY21" s="1">
        <v>1</v>
      </c>
      <c r="AZ21" s="1">
        <v>1</v>
      </c>
      <c r="BA21" s="1">
        <v>1</v>
      </c>
      <c r="BB21" s="1">
        <v>0</v>
      </c>
      <c r="BC21" s="1">
        <v>0</v>
      </c>
      <c r="BD21" s="1">
        <v>0</v>
      </c>
      <c r="BE21" s="1">
        <v>0</v>
      </c>
      <c r="BF21" s="1">
        <v>0</v>
      </c>
      <c r="BG21" s="1">
        <v>0</v>
      </c>
      <c r="BH21" s="1">
        <v>0</v>
      </c>
      <c r="BI21" s="1">
        <v>0</v>
      </c>
      <c r="BJ21" s="1">
        <v>0</v>
      </c>
      <c r="BK21" s="1" t="s">
        <v>741</v>
      </c>
      <c r="BL21" s="1">
        <v>1</v>
      </c>
      <c r="BM21" s="1" t="s">
        <v>598</v>
      </c>
      <c r="BN21" s="1" t="s">
        <v>599</v>
      </c>
      <c r="BO21" s="1" t="s">
        <v>1175</v>
      </c>
      <c r="BP21" s="1">
        <v>33.531322299999999</v>
      </c>
      <c r="BQ21" s="1">
        <v>36.356022500000002</v>
      </c>
      <c r="BR21" s="1" t="s">
        <v>637</v>
      </c>
      <c r="BS21" s="1" t="s">
        <v>596</v>
      </c>
      <c r="BU21" s="134"/>
      <c r="BX21" s="1" t="s">
        <v>641</v>
      </c>
      <c r="BY21" s="1">
        <v>2</v>
      </c>
      <c r="BZ21" s="1">
        <v>4</v>
      </c>
      <c r="CA21" s="1">
        <v>65</v>
      </c>
      <c r="CB21" s="1" t="s">
        <v>603</v>
      </c>
      <c r="CC21" s="1" t="s">
        <v>603</v>
      </c>
      <c r="CD21" s="1" t="s">
        <v>603</v>
      </c>
      <c r="CE21" s="1" t="s">
        <v>596</v>
      </c>
      <c r="CF21" s="1" t="s">
        <v>604</v>
      </c>
      <c r="CG21" s="1" t="s">
        <v>603</v>
      </c>
      <c r="CH21" s="1" t="s">
        <v>596</v>
      </c>
      <c r="CI21" s="1" t="s">
        <v>596</v>
      </c>
      <c r="CJ21" s="1" t="s">
        <v>860</v>
      </c>
      <c r="CK21" s="1" t="s">
        <v>1176</v>
      </c>
      <c r="CL21" s="1" t="s">
        <v>1177</v>
      </c>
      <c r="CM21" s="1" t="s">
        <v>1178</v>
      </c>
      <c r="CN21" s="1" t="s">
        <v>1179</v>
      </c>
      <c r="CO21" s="1" t="s">
        <v>1180</v>
      </c>
      <c r="CP21" s="1" t="s">
        <v>1181</v>
      </c>
      <c r="CQ21" s="1" t="s">
        <v>1182</v>
      </c>
      <c r="CR21" s="1" t="s">
        <v>1183</v>
      </c>
      <c r="CS21" s="1" t="s">
        <v>1184</v>
      </c>
      <c r="CT21" s="1" t="s">
        <v>1185</v>
      </c>
      <c r="CU21" s="1" t="s">
        <v>1186</v>
      </c>
      <c r="CV21" s="1" t="s">
        <v>1187</v>
      </c>
      <c r="CW21" s="1" t="s">
        <v>1188</v>
      </c>
      <c r="CX21" s="1" t="s">
        <v>1189</v>
      </c>
      <c r="CY21" s="1" t="s">
        <v>1190</v>
      </c>
      <c r="CZ21" s="1" t="s">
        <v>1191</v>
      </c>
      <c r="DA21" s="1" t="s">
        <v>603</v>
      </c>
      <c r="DN21" s="1" t="s">
        <v>596</v>
      </c>
      <c r="DO21" s="1" t="s">
        <v>1192</v>
      </c>
      <c r="DP21" t="s">
        <v>3573</v>
      </c>
    </row>
    <row r="22" spans="1:120" x14ac:dyDescent="0.25">
      <c r="A22" s="1">
        <v>21</v>
      </c>
      <c r="B22" s="134">
        <v>45993</v>
      </c>
      <c r="C22" s="1" t="s">
        <v>1193</v>
      </c>
      <c r="D22" s="1" t="s">
        <v>1194</v>
      </c>
      <c r="E22" s="1" t="s">
        <v>1195</v>
      </c>
      <c r="F22" s="1" t="s">
        <v>1196</v>
      </c>
      <c r="G22" s="1" t="s">
        <v>583</v>
      </c>
      <c r="H22" s="134">
        <v>29256</v>
      </c>
      <c r="I22" s="1" t="s">
        <v>584</v>
      </c>
      <c r="J22" s="1" t="s">
        <v>1197</v>
      </c>
      <c r="K22" s="1" t="s">
        <v>666</v>
      </c>
      <c r="M22" s="1">
        <v>3330040499</v>
      </c>
      <c r="N22" s="1" t="s">
        <v>1198</v>
      </c>
      <c r="O22" s="1" t="s">
        <v>1199</v>
      </c>
      <c r="P22" s="1" t="s">
        <v>1200</v>
      </c>
      <c r="Q22" s="1" t="s">
        <v>1201</v>
      </c>
      <c r="R22" s="1" t="s">
        <v>592</v>
      </c>
      <c r="S22" s="1" t="s">
        <v>593</v>
      </c>
      <c r="T22" s="1" t="s">
        <v>594</v>
      </c>
      <c r="U22" s="1" t="s">
        <v>1202</v>
      </c>
      <c r="V22" s="1">
        <v>940437059</v>
      </c>
      <c r="X22" s="1" t="s">
        <v>596</v>
      </c>
      <c r="AL22" s="1" t="s">
        <v>596</v>
      </c>
      <c r="AT22" s="1" t="s">
        <v>597</v>
      </c>
      <c r="AU22" s="1">
        <v>1</v>
      </c>
      <c r="AV22" s="1">
        <v>6</v>
      </c>
      <c r="AX22" s="1">
        <v>1</v>
      </c>
      <c r="AY22" s="1">
        <v>1</v>
      </c>
      <c r="AZ22" s="1">
        <v>1</v>
      </c>
      <c r="BA22" s="1">
        <v>1</v>
      </c>
      <c r="BB22" s="1">
        <v>1</v>
      </c>
      <c r="BC22" s="1">
        <v>1</v>
      </c>
      <c r="BD22" s="1">
        <v>0</v>
      </c>
      <c r="BE22" s="1">
        <v>0</v>
      </c>
      <c r="BF22" s="1">
        <v>0</v>
      </c>
      <c r="BG22" s="1">
        <v>0</v>
      </c>
      <c r="BH22" s="1">
        <v>0</v>
      </c>
      <c r="BI22" s="1">
        <v>0</v>
      </c>
      <c r="BJ22" s="1">
        <v>0</v>
      </c>
      <c r="BK22" s="1" t="s">
        <v>741</v>
      </c>
      <c r="BL22" s="1">
        <v>1</v>
      </c>
      <c r="BM22" s="1" t="s">
        <v>919</v>
      </c>
      <c r="BN22" s="1" t="s">
        <v>599</v>
      </c>
      <c r="BO22" s="1" t="s">
        <v>1203</v>
      </c>
      <c r="BP22" s="1">
        <v>33.525984999999999</v>
      </c>
      <c r="BQ22" s="1">
        <v>36.345370000000003</v>
      </c>
      <c r="BR22" s="1" t="s">
        <v>637</v>
      </c>
      <c r="BS22" s="1" t="s">
        <v>603</v>
      </c>
      <c r="BT22" s="1" t="s">
        <v>710</v>
      </c>
      <c r="BU22" s="134">
        <v>45628</v>
      </c>
      <c r="BV22" s="1" t="s">
        <v>1204</v>
      </c>
      <c r="BW22" s="1" t="s">
        <v>1205</v>
      </c>
      <c r="BX22" s="1" t="s">
        <v>641</v>
      </c>
      <c r="BY22" s="1">
        <v>3</v>
      </c>
      <c r="BZ22" s="1">
        <v>2</v>
      </c>
      <c r="CA22" s="1">
        <v>65</v>
      </c>
      <c r="CB22" s="1" t="s">
        <v>603</v>
      </c>
      <c r="CC22" s="1" t="s">
        <v>603</v>
      </c>
      <c r="CD22" s="1" t="s">
        <v>603</v>
      </c>
      <c r="CE22" s="1" t="s">
        <v>596</v>
      </c>
      <c r="CF22" s="1" t="s">
        <v>604</v>
      </c>
      <c r="CG22" s="1" t="s">
        <v>603</v>
      </c>
      <c r="CH22" s="1" t="s">
        <v>596</v>
      </c>
      <c r="CI22" s="1" t="s">
        <v>596</v>
      </c>
      <c r="CJ22" s="1" t="s">
        <v>860</v>
      </c>
      <c r="CK22" s="1" t="s">
        <v>1206</v>
      </c>
      <c r="CL22" s="1" t="s">
        <v>1207</v>
      </c>
      <c r="CM22" s="1" t="s">
        <v>1208</v>
      </c>
      <c r="CN22" s="1" t="s">
        <v>1209</v>
      </c>
      <c r="CO22" s="1" t="s">
        <v>1210</v>
      </c>
      <c r="CP22" s="1" t="s">
        <v>1211</v>
      </c>
      <c r="CQ22" s="1" t="s">
        <v>1212</v>
      </c>
      <c r="CR22" s="1" t="s">
        <v>1213</v>
      </c>
      <c r="CS22" s="1" t="s">
        <v>1214</v>
      </c>
      <c r="CT22" s="1" t="s">
        <v>1215</v>
      </c>
      <c r="CU22" s="1" t="s">
        <v>1216</v>
      </c>
      <c r="CV22" s="1" t="s">
        <v>1217</v>
      </c>
      <c r="CW22" s="1" t="s">
        <v>1218</v>
      </c>
      <c r="CX22" s="1" t="s">
        <v>1219</v>
      </c>
      <c r="CY22" s="1" t="s">
        <v>1220</v>
      </c>
      <c r="CZ22" s="1" t="s">
        <v>1221</v>
      </c>
      <c r="DA22" s="1" t="s">
        <v>603</v>
      </c>
      <c r="DN22" s="1" t="s">
        <v>596</v>
      </c>
      <c r="DO22" s="1" t="s">
        <v>1222</v>
      </c>
      <c r="DP22" t="s">
        <v>3573</v>
      </c>
    </row>
    <row r="23" spans="1:120" x14ac:dyDescent="0.25">
      <c r="A23" s="1">
        <v>22</v>
      </c>
      <c r="B23" s="134">
        <v>45993</v>
      </c>
      <c r="C23" s="1" t="s">
        <v>1108</v>
      </c>
      <c r="D23" s="1" t="s">
        <v>1223</v>
      </c>
      <c r="E23" s="1" t="s">
        <v>1195</v>
      </c>
      <c r="F23" s="1" t="s">
        <v>1224</v>
      </c>
      <c r="G23" s="1" t="s">
        <v>583</v>
      </c>
      <c r="H23" s="134">
        <v>33052</v>
      </c>
      <c r="I23" s="1" t="s">
        <v>584</v>
      </c>
      <c r="J23" s="1" t="s">
        <v>1225</v>
      </c>
      <c r="K23" s="1" t="s">
        <v>666</v>
      </c>
      <c r="M23" s="1">
        <v>3330040521</v>
      </c>
      <c r="N23" s="1" t="s">
        <v>1226</v>
      </c>
      <c r="O23" s="1" t="s">
        <v>1227</v>
      </c>
      <c r="P23" s="1" t="s">
        <v>1228</v>
      </c>
      <c r="Q23" s="1" t="s">
        <v>1229</v>
      </c>
      <c r="R23" s="1" t="s">
        <v>592</v>
      </c>
      <c r="S23" s="1" t="s">
        <v>593</v>
      </c>
      <c r="T23" s="1" t="s">
        <v>594</v>
      </c>
      <c r="U23" s="1" t="s">
        <v>1230</v>
      </c>
      <c r="V23" s="1">
        <v>958615824</v>
      </c>
      <c r="X23" s="1" t="s">
        <v>596</v>
      </c>
      <c r="AL23" s="1" t="s">
        <v>596</v>
      </c>
      <c r="AT23" s="1" t="s">
        <v>597</v>
      </c>
      <c r="AU23" s="1">
        <v>1</v>
      </c>
      <c r="AV23" s="1">
        <v>5</v>
      </c>
      <c r="AX23" s="1">
        <v>1</v>
      </c>
      <c r="AY23" s="1">
        <v>1</v>
      </c>
      <c r="AZ23" s="1">
        <v>1</v>
      </c>
      <c r="BA23" s="1">
        <v>0</v>
      </c>
      <c r="BB23" s="1">
        <v>2</v>
      </c>
      <c r="BC23" s="1">
        <v>0</v>
      </c>
      <c r="BD23" s="1">
        <v>0</v>
      </c>
      <c r="BE23" s="1">
        <v>0</v>
      </c>
      <c r="BF23" s="1">
        <v>0</v>
      </c>
      <c r="BG23" s="1">
        <v>0</v>
      </c>
      <c r="BH23" s="1">
        <v>0</v>
      </c>
      <c r="BI23" s="1">
        <v>0</v>
      </c>
      <c r="BJ23" s="1">
        <v>0</v>
      </c>
      <c r="BK23" s="1" t="s">
        <v>741</v>
      </c>
      <c r="BL23" s="1">
        <v>1</v>
      </c>
      <c r="BM23" s="1" t="s">
        <v>919</v>
      </c>
      <c r="BN23" s="1" t="s">
        <v>599</v>
      </c>
      <c r="BO23" s="1" t="s">
        <v>1231</v>
      </c>
      <c r="BP23" s="1">
        <v>33.525984999999999</v>
      </c>
      <c r="BQ23" s="1">
        <v>36.345403300000001</v>
      </c>
      <c r="BR23" s="1" t="s">
        <v>637</v>
      </c>
      <c r="BS23" s="1" t="s">
        <v>596</v>
      </c>
      <c r="BU23" s="134"/>
      <c r="BX23" s="1" t="s">
        <v>641</v>
      </c>
      <c r="BY23" s="1">
        <v>4</v>
      </c>
      <c r="BZ23" s="1">
        <v>5</v>
      </c>
      <c r="CA23" s="1">
        <v>60</v>
      </c>
      <c r="CB23" s="1" t="s">
        <v>603</v>
      </c>
      <c r="CC23" s="1" t="s">
        <v>603</v>
      </c>
      <c r="CD23" s="1" t="s">
        <v>603</v>
      </c>
      <c r="CE23" s="1" t="s">
        <v>596</v>
      </c>
      <c r="CF23" s="1" t="s">
        <v>604</v>
      </c>
      <c r="CG23" s="1" t="s">
        <v>603</v>
      </c>
      <c r="CH23" s="1" t="s">
        <v>596</v>
      </c>
      <c r="CI23" s="1" t="s">
        <v>596</v>
      </c>
      <c r="CJ23" s="1" t="s">
        <v>46</v>
      </c>
      <c r="CK23" s="1" t="s">
        <v>1232</v>
      </c>
      <c r="CL23" s="1" t="s">
        <v>1233</v>
      </c>
      <c r="CM23" s="1" t="s">
        <v>1234</v>
      </c>
      <c r="CN23" s="1" t="s">
        <v>1235</v>
      </c>
      <c r="CO23" s="1" t="s">
        <v>1236</v>
      </c>
      <c r="CP23" s="1" t="s">
        <v>1237</v>
      </c>
      <c r="CQ23" s="1" t="s">
        <v>1238</v>
      </c>
      <c r="CR23" s="1" t="s">
        <v>1239</v>
      </c>
      <c r="CS23" s="1" t="s">
        <v>1240</v>
      </c>
      <c r="CT23" s="1" t="s">
        <v>1241</v>
      </c>
      <c r="CU23" s="1" t="s">
        <v>1242</v>
      </c>
      <c r="CV23" s="1" t="s">
        <v>1243</v>
      </c>
      <c r="CW23" s="1" t="s">
        <v>1244</v>
      </c>
      <c r="CX23" s="1" t="s">
        <v>1245</v>
      </c>
      <c r="CY23" s="1" t="s">
        <v>1246</v>
      </c>
      <c r="CZ23" s="1" t="s">
        <v>1247</v>
      </c>
      <c r="DA23" s="1" t="s">
        <v>603</v>
      </c>
      <c r="DN23" s="1" t="s">
        <v>596</v>
      </c>
      <c r="DO23" s="1" t="s">
        <v>1248</v>
      </c>
      <c r="DP23" t="s">
        <v>3573</v>
      </c>
    </row>
    <row r="24" spans="1:120" x14ac:dyDescent="0.25">
      <c r="A24" s="1">
        <v>23</v>
      </c>
      <c r="B24" s="134">
        <v>45993</v>
      </c>
      <c r="C24" s="1" t="s">
        <v>1249</v>
      </c>
      <c r="D24" s="1" t="s">
        <v>910</v>
      </c>
      <c r="E24" s="1" t="s">
        <v>1195</v>
      </c>
      <c r="F24" s="1" t="s">
        <v>1250</v>
      </c>
      <c r="G24" s="1" t="s">
        <v>583</v>
      </c>
      <c r="H24" s="134">
        <v>30812</v>
      </c>
      <c r="I24" s="1" t="s">
        <v>584</v>
      </c>
      <c r="J24" s="1" t="s">
        <v>1251</v>
      </c>
      <c r="K24" s="1" t="s">
        <v>666</v>
      </c>
      <c r="M24" s="1">
        <v>3330000318</v>
      </c>
      <c r="N24" s="1" t="s">
        <v>1252</v>
      </c>
      <c r="O24" s="1" t="s">
        <v>1253</v>
      </c>
      <c r="P24" s="1" t="s">
        <v>1254</v>
      </c>
      <c r="Q24" s="1" t="s">
        <v>1255</v>
      </c>
      <c r="R24" s="1" t="s">
        <v>592</v>
      </c>
      <c r="S24" s="1" t="s">
        <v>593</v>
      </c>
      <c r="T24" s="1" t="s">
        <v>594</v>
      </c>
      <c r="U24" s="1" t="s">
        <v>1256</v>
      </c>
      <c r="V24" s="1">
        <v>933326844</v>
      </c>
      <c r="X24" s="1" t="s">
        <v>596</v>
      </c>
      <c r="AL24" s="1" t="s">
        <v>596</v>
      </c>
      <c r="AT24" s="1" t="s">
        <v>597</v>
      </c>
      <c r="AU24" s="1">
        <v>1</v>
      </c>
      <c r="AV24" s="1">
        <v>6</v>
      </c>
      <c r="AX24" s="1">
        <v>1</v>
      </c>
      <c r="AY24" s="1">
        <v>1</v>
      </c>
      <c r="AZ24" s="1">
        <v>1</v>
      </c>
      <c r="BA24" s="1">
        <v>1</v>
      </c>
      <c r="BB24" s="1">
        <v>1</v>
      </c>
      <c r="BC24" s="1">
        <v>1</v>
      </c>
      <c r="BD24" s="1">
        <v>0</v>
      </c>
      <c r="BE24" s="1">
        <v>0</v>
      </c>
      <c r="BF24" s="1">
        <v>0</v>
      </c>
      <c r="BG24" s="1">
        <v>0</v>
      </c>
      <c r="BH24" s="1">
        <v>0</v>
      </c>
      <c r="BI24" s="1">
        <v>0</v>
      </c>
      <c r="BJ24" s="1">
        <v>0</v>
      </c>
      <c r="BK24" s="1" t="s">
        <v>707</v>
      </c>
      <c r="BL24" s="1">
        <v>0</v>
      </c>
      <c r="BM24" s="1" t="s">
        <v>919</v>
      </c>
      <c r="BN24" s="1" t="s">
        <v>599</v>
      </c>
      <c r="BO24" s="1" t="s">
        <v>1257</v>
      </c>
      <c r="BP24" s="1">
        <v>33.526008300000001</v>
      </c>
      <c r="BQ24" s="1">
        <v>36.345443299999999</v>
      </c>
      <c r="BR24" s="1" t="s">
        <v>637</v>
      </c>
      <c r="BS24" s="1" t="s">
        <v>596</v>
      </c>
      <c r="BU24" s="134"/>
      <c r="BX24" s="1" t="s">
        <v>641</v>
      </c>
      <c r="BY24" s="1">
        <v>3</v>
      </c>
      <c r="BZ24" s="1">
        <v>1</v>
      </c>
      <c r="CA24" s="1">
        <v>65</v>
      </c>
      <c r="CB24" s="1" t="s">
        <v>603</v>
      </c>
      <c r="CC24" s="1" t="s">
        <v>603</v>
      </c>
      <c r="CD24" s="1" t="s">
        <v>603</v>
      </c>
      <c r="CE24" s="1" t="s">
        <v>596</v>
      </c>
      <c r="CF24" s="1" t="s">
        <v>604</v>
      </c>
      <c r="CG24" s="1" t="s">
        <v>603</v>
      </c>
      <c r="CH24" s="1" t="s">
        <v>596</v>
      </c>
      <c r="CI24" s="1" t="s">
        <v>596</v>
      </c>
      <c r="CJ24" s="1" t="s">
        <v>46</v>
      </c>
      <c r="CK24" s="1" t="s">
        <v>1258</v>
      </c>
      <c r="CL24" s="1" t="s">
        <v>1259</v>
      </c>
      <c r="CM24" s="1" t="s">
        <v>1260</v>
      </c>
      <c r="CN24" s="1" t="s">
        <v>1261</v>
      </c>
      <c r="CO24" s="1" t="s">
        <v>1262</v>
      </c>
      <c r="CP24" s="1" t="s">
        <v>1263</v>
      </c>
      <c r="CQ24" s="1" t="s">
        <v>1264</v>
      </c>
      <c r="CR24" s="1" t="s">
        <v>1265</v>
      </c>
      <c r="CS24" s="1" t="s">
        <v>1266</v>
      </c>
      <c r="CT24" s="1" t="s">
        <v>1267</v>
      </c>
      <c r="CU24" s="1" t="s">
        <v>1268</v>
      </c>
      <c r="CV24" s="1" t="s">
        <v>1269</v>
      </c>
      <c r="CW24" s="1" t="s">
        <v>1270</v>
      </c>
      <c r="CX24" s="1" t="s">
        <v>1271</v>
      </c>
      <c r="CY24" s="1" t="s">
        <v>1272</v>
      </c>
      <c r="CZ24" s="1" t="s">
        <v>1273</v>
      </c>
      <c r="DA24" s="1" t="s">
        <v>603</v>
      </c>
      <c r="DN24" s="1" t="s">
        <v>596</v>
      </c>
      <c r="DO24" s="1" t="s">
        <v>1274</v>
      </c>
      <c r="DP24" t="s">
        <v>3573</v>
      </c>
    </row>
    <row r="25" spans="1:120" x14ac:dyDescent="0.25">
      <c r="A25" s="1">
        <v>24</v>
      </c>
      <c r="B25" s="134">
        <v>45994</v>
      </c>
      <c r="C25" s="1" t="s">
        <v>1275</v>
      </c>
      <c r="D25" s="1" t="s">
        <v>1194</v>
      </c>
      <c r="E25" s="1" t="s">
        <v>1276</v>
      </c>
      <c r="F25" s="1" t="s">
        <v>1277</v>
      </c>
      <c r="G25" s="1" t="s">
        <v>583</v>
      </c>
      <c r="H25" s="134">
        <v>17900</v>
      </c>
      <c r="I25" s="1" t="s">
        <v>584</v>
      </c>
      <c r="J25" s="1" t="s">
        <v>1278</v>
      </c>
      <c r="K25" s="1" t="s">
        <v>1279</v>
      </c>
      <c r="M25" s="1">
        <v>3330042146</v>
      </c>
      <c r="N25" s="1" t="s">
        <v>1280</v>
      </c>
      <c r="O25" s="1" t="s">
        <v>1281</v>
      </c>
      <c r="P25" s="1" t="s">
        <v>1282</v>
      </c>
      <c r="Q25" s="1" t="s">
        <v>1283</v>
      </c>
      <c r="R25" s="1" t="s">
        <v>592</v>
      </c>
      <c r="S25" s="1" t="s">
        <v>593</v>
      </c>
      <c r="T25" s="1" t="s">
        <v>594</v>
      </c>
      <c r="U25" s="1" t="s">
        <v>1284</v>
      </c>
      <c r="V25" s="1">
        <v>988021469</v>
      </c>
      <c r="X25" s="1" t="s">
        <v>596</v>
      </c>
      <c r="AL25" s="1" t="s">
        <v>596</v>
      </c>
      <c r="AT25" s="1" t="s">
        <v>597</v>
      </c>
      <c r="AU25" s="1">
        <v>1</v>
      </c>
      <c r="AV25" s="1">
        <v>5</v>
      </c>
      <c r="AX25" s="1">
        <v>1</v>
      </c>
      <c r="AY25" s="1">
        <v>1</v>
      </c>
      <c r="AZ25" s="1">
        <v>0</v>
      </c>
      <c r="BA25" s="1">
        <v>0</v>
      </c>
      <c r="BB25" s="1">
        <v>1</v>
      </c>
      <c r="BC25" s="1">
        <v>2</v>
      </c>
      <c r="BD25" s="1">
        <v>0</v>
      </c>
      <c r="BE25" s="1">
        <v>0</v>
      </c>
      <c r="BF25" s="1">
        <v>0</v>
      </c>
      <c r="BG25" s="1">
        <v>0</v>
      </c>
      <c r="BH25" s="1">
        <v>0</v>
      </c>
      <c r="BI25" s="1">
        <v>0</v>
      </c>
      <c r="BJ25" s="1">
        <v>0</v>
      </c>
      <c r="BK25" s="1" t="s">
        <v>634</v>
      </c>
      <c r="BL25" s="1">
        <v>1</v>
      </c>
      <c r="BM25" s="1" t="s">
        <v>598</v>
      </c>
      <c r="BN25" s="1" t="s">
        <v>599</v>
      </c>
      <c r="BO25" s="1" t="s">
        <v>1284</v>
      </c>
      <c r="BP25" s="1">
        <v>33.526524100000003</v>
      </c>
      <c r="BQ25" s="1">
        <v>36.359291800000001</v>
      </c>
      <c r="BR25" s="1" t="s">
        <v>637</v>
      </c>
      <c r="BS25" s="1" t="s">
        <v>596</v>
      </c>
      <c r="BU25" s="134"/>
      <c r="BX25" s="1" t="s">
        <v>602</v>
      </c>
      <c r="BY25" s="1">
        <v>3</v>
      </c>
      <c r="BZ25" s="1">
        <v>0</v>
      </c>
      <c r="CA25" s="1">
        <v>75</v>
      </c>
      <c r="CB25" s="1" t="s">
        <v>603</v>
      </c>
      <c r="CC25" s="1" t="s">
        <v>603</v>
      </c>
      <c r="CD25" s="1" t="s">
        <v>596</v>
      </c>
      <c r="CE25" s="1" t="s">
        <v>596</v>
      </c>
      <c r="CF25" s="1" t="s">
        <v>642</v>
      </c>
      <c r="CG25" s="1" t="s">
        <v>603</v>
      </c>
      <c r="CH25" s="1" t="s">
        <v>596</v>
      </c>
      <c r="CI25" s="1" t="s">
        <v>596</v>
      </c>
      <c r="CJ25" s="1" t="s">
        <v>46</v>
      </c>
      <c r="CK25" s="1" t="s">
        <v>1285</v>
      </c>
      <c r="CL25" s="1" t="s">
        <v>1286</v>
      </c>
      <c r="CM25" s="1" t="s">
        <v>1287</v>
      </c>
      <c r="CN25" s="1" t="s">
        <v>1288</v>
      </c>
      <c r="CO25" s="1" t="s">
        <v>1289</v>
      </c>
      <c r="CP25" s="1" t="s">
        <v>1290</v>
      </c>
      <c r="CQ25" s="1" t="s">
        <v>1291</v>
      </c>
      <c r="CR25" s="1" t="s">
        <v>1292</v>
      </c>
      <c r="CS25" s="1" t="s">
        <v>1293</v>
      </c>
      <c r="CT25" s="1" t="s">
        <v>1294</v>
      </c>
      <c r="CU25" s="1" t="s">
        <v>1295</v>
      </c>
      <c r="CV25" s="1" t="s">
        <v>1296</v>
      </c>
      <c r="CW25" s="1" t="s">
        <v>1297</v>
      </c>
      <c r="CX25" s="1" t="s">
        <v>1298</v>
      </c>
      <c r="CY25" s="1" t="s">
        <v>1299</v>
      </c>
      <c r="CZ25" s="1" t="s">
        <v>1300</v>
      </c>
      <c r="DA25" s="1" t="s">
        <v>603</v>
      </c>
      <c r="DN25" s="1" t="s">
        <v>596</v>
      </c>
      <c r="DO25" s="1" t="s">
        <v>1301</v>
      </c>
      <c r="DP25" t="s">
        <v>3573</v>
      </c>
    </row>
    <row r="26" spans="1:120" x14ac:dyDescent="0.25">
      <c r="A26" s="1">
        <v>25</v>
      </c>
      <c r="B26" s="134">
        <v>45994</v>
      </c>
      <c r="C26" s="1" t="s">
        <v>761</v>
      </c>
      <c r="D26" s="1" t="s">
        <v>1302</v>
      </c>
      <c r="E26" s="1" t="s">
        <v>1303</v>
      </c>
      <c r="F26" s="1" t="s">
        <v>1304</v>
      </c>
      <c r="G26" s="1" t="s">
        <v>583</v>
      </c>
      <c r="H26" s="134">
        <v>27352</v>
      </c>
      <c r="I26" s="1" t="s">
        <v>584</v>
      </c>
      <c r="J26" s="1" t="s">
        <v>1305</v>
      </c>
      <c r="K26" s="1" t="s">
        <v>666</v>
      </c>
      <c r="M26" s="1">
        <v>3280045435</v>
      </c>
      <c r="N26" s="1" t="s">
        <v>1306</v>
      </c>
      <c r="O26" s="1" t="s">
        <v>1307</v>
      </c>
      <c r="P26" s="1" t="s">
        <v>1308</v>
      </c>
      <c r="Q26" s="1" t="s">
        <v>1309</v>
      </c>
      <c r="R26" s="1" t="s">
        <v>592</v>
      </c>
      <c r="S26" s="1" t="s">
        <v>593</v>
      </c>
      <c r="T26" s="1" t="s">
        <v>594</v>
      </c>
      <c r="U26" s="1" t="s">
        <v>636</v>
      </c>
      <c r="V26" s="1">
        <v>992857827</v>
      </c>
      <c r="X26" s="1" t="s">
        <v>596</v>
      </c>
      <c r="AL26" s="1" t="s">
        <v>596</v>
      </c>
      <c r="AT26" s="1" t="s">
        <v>597</v>
      </c>
      <c r="AU26" s="1">
        <v>1</v>
      </c>
      <c r="AV26" s="1">
        <v>10</v>
      </c>
      <c r="AX26" s="1">
        <v>2</v>
      </c>
      <c r="AY26" s="1">
        <v>6</v>
      </c>
      <c r="AZ26" s="1">
        <v>1</v>
      </c>
      <c r="BA26" s="1">
        <v>0</v>
      </c>
      <c r="BB26" s="1">
        <v>1</v>
      </c>
      <c r="BC26" s="1">
        <v>0</v>
      </c>
      <c r="BD26" s="1">
        <v>0</v>
      </c>
      <c r="BE26" s="1">
        <v>0</v>
      </c>
      <c r="BF26" s="1">
        <v>0</v>
      </c>
      <c r="BG26" s="1">
        <v>0</v>
      </c>
      <c r="BH26" s="1">
        <v>0</v>
      </c>
      <c r="BI26" s="1">
        <v>0</v>
      </c>
      <c r="BJ26" s="1">
        <v>0</v>
      </c>
      <c r="BK26" s="1" t="s">
        <v>634</v>
      </c>
      <c r="BL26" s="1">
        <v>2</v>
      </c>
      <c r="BM26" s="1" t="s">
        <v>598</v>
      </c>
      <c r="BN26" s="1" t="s">
        <v>599</v>
      </c>
      <c r="BO26" s="1" t="s">
        <v>1310</v>
      </c>
      <c r="BP26" s="1">
        <v>33.526239199999999</v>
      </c>
      <c r="BQ26" s="1">
        <v>36.364812899999997</v>
      </c>
      <c r="BR26" s="1" t="s">
        <v>637</v>
      </c>
      <c r="BS26" s="1" t="s">
        <v>596</v>
      </c>
      <c r="BU26" s="134"/>
      <c r="BX26" s="1" t="s">
        <v>641</v>
      </c>
      <c r="BY26" s="1">
        <v>3</v>
      </c>
      <c r="BZ26" s="1">
        <v>1</v>
      </c>
      <c r="CA26" s="1">
        <v>70</v>
      </c>
      <c r="CB26" s="1" t="s">
        <v>603</v>
      </c>
      <c r="CC26" s="1" t="s">
        <v>603</v>
      </c>
      <c r="CD26" s="1" t="s">
        <v>603</v>
      </c>
      <c r="CE26" s="1" t="s">
        <v>596</v>
      </c>
      <c r="CF26" s="1" t="s">
        <v>642</v>
      </c>
      <c r="CG26" s="1" t="s">
        <v>596</v>
      </c>
      <c r="CH26" s="1" t="s">
        <v>596</v>
      </c>
      <c r="CI26" s="1" t="s">
        <v>596</v>
      </c>
      <c r="CJ26" s="1" t="s">
        <v>860</v>
      </c>
      <c r="CK26" s="1" t="s">
        <v>1311</v>
      </c>
      <c r="CL26" s="1" t="s">
        <v>1312</v>
      </c>
      <c r="CM26" s="1" t="s">
        <v>1313</v>
      </c>
      <c r="CN26" s="1" t="s">
        <v>1314</v>
      </c>
      <c r="CO26" s="1" t="s">
        <v>1315</v>
      </c>
      <c r="CP26" s="1" t="s">
        <v>1316</v>
      </c>
      <c r="CQ26" s="1" t="s">
        <v>1317</v>
      </c>
      <c r="CR26" s="1" t="s">
        <v>1318</v>
      </c>
      <c r="CS26" s="1" t="s">
        <v>1319</v>
      </c>
      <c r="CT26" s="1" t="s">
        <v>1320</v>
      </c>
      <c r="CU26" s="1" t="s">
        <v>1321</v>
      </c>
      <c r="CV26" s="1" t="s">
        <v>1322</v>
      </c>
      <c r="CW26" s="1" t="s">
        <v>1323</v>
      </c>
      <c r="CX26" s="1" t="s">
        <v>1324</v>
      </c>
      <c r="CY26" s="1" t="s">
        <v>1325</v>
      </c>
      <c r="CZ26" s="1" t="s">
        <v>1326</v>
      </c>
      <c r="DA26" s="1" t="s">
        <v>603</v>
      </c>
      <c r="DN26" s="1" t="s">
        <v>596</v>
      </c>
      <c r="DO26" s="1" t="s">
        <v>1327</v>
      </c>
      <c r="DP26" t="s">
        <v>3573</v>
      </c>
    </row>
    <row r="27" spans="1:120" x14ac:dyDescent="0.25">
      <c r="A27" s="1">
        <v>26</v>
      </c>
      <c r="B27" s="134">
        <v>45994</v>
      </c>
      <c r="C27" s="1" t="s">
        <v>580</v>
      </c>
      <c r="D27" s="1" t="s">
        <v>1328</v>
      </c>
      <c r="E27" s="1" t="s">
        <v>1329</v>
      </c>
      <c r="F27" s="1" t="s">
        <v>1330</v>
      </c>
      <c r="G27" s="1" t="s">
        <v>583</v>
      </c>
      <c r="H27" s="134">
        <v>24902</v>
      </c>
      <c r="I27" s="1" t="s">
        <v>584</v>
      </c>
      <c r="J27" s="1" t="s">
        <v>1331</v>
      </c>
      <c r="K27" s="1" t="s">
        <v>666</v>
      </c>
      <c r="M27" s="1">
        <v>1010350790</v>
      </c>
      <c r="N27" s="1" t="s">
        <v>1332</v>
      </c>
      <c r="O27" s="1" t="s">
        <v>1333</v>
      </c>
      <c r="P27" s="1" t="s">
        <v>1334</v>
      </c>
      <c r="Q27" s="1" t="s">
        <v>1335</v>
      </c>
      <c r="R27" s="1" t="s">
        <v>592</v>
      </c>
      <c r="S27" s="1" t="s">
        <v>593</v>
      </c>
      <c r="T27" s="1" t="s">
        <v>594</v>
      </c>
      <c r="U27" s="1" t="s">
        <v>1336</v>
      </c>
      <c r="V27" s="1">
        <v>956802740</v>
      </c>
      <c r="X27" s="1" t="s">
        <v>596</v>
      </c>
      <c r="AL27" s="1" t="s">
        <v>596</v>
      </c>
      <c r="AT27" s="1" t="s">
        <v>597</v>
      </c>
      <c r="AU27" s="1">
        <v>1</v>
      </c>
      <c r="AV27" s="1">
        <v>4</v>
      </c>
      <c r="AX27" s="1">
        <v>2</v>
      </c>
      <c r="AY27" s="1">
        <v>2</v>
      </c>
      <c r="AZ27" s="1">
        <v>0</v>
      </c>
      <c r="BA27" s="1">
        <v>0</v>
      </c>
      <c r="BB27" s="1">
        <v>0</v>
      </c>
      <c r="BC27" s="1">
        <v>0</v>
      </c>
      <c r="BD27" s="1">
        <v>0</v>
      </c>
      <c r="BE27" s="1">
        <v>0</v>
      </c>
      <c r="BF27" s="1">
        <v>0</v>
      </c>
      <c r="BG27" s="1">
        <v>0</v>
      </c>
      <c r="BH27" s="1">
        <v>0</v>
      </c>
      <c r="BI27" s="1">
        <v>0</v>
      </c>
      <c r="BJ27" s="1">
        <v>0</v>
      </c>
      <c r="BK27" s="1" t="s">
        <v>741</v>
      </c>
      <c r="BL27" s="1">
        <v>1</v>
      </c>
      <c r="BM27" s="1" t="s">
        <v>635</v>
      </c>
      <c r="BN27" s="1" t="s">
        <v>599</v>
      </c>
      <c r="BO27" s="1" t="s">
        <v>1337</v>
      </c>
      <c r="BP27" s="1">
        <v>33.525939200000003</v>
      </c>
      <c r="BQ27" s="1">
        <v>36.363837799999999</v>
      </c>
      <c r="BR27" s="1" t="s">
        <v>637</v>
      </c>
      <c r="BS27" s="1" t="s">
        <v>596</v>
      </c>
      <c r="BU27" s="134"/>
      <c r="BX27" s="1" t="s">
        <v>641</v>
      </c>
      <c r="BY27" s="1">
        <v>5</v>
      </c>
      <c r="BZ27" s="1">
        <v>0</v>
      </c>
      <c r="CA27" s="1">
        <v>1002</v>
      </c>
      <c r="CB27" s="1" t="s">
        <v>603</v>
      </c>
      <c r="CC27" s="1" t="s">
        <v>603</v>
      </c>
      <c r="CD27" s="1" t="s">
        <v>603</v>
      </c>
      <c r="CE27" s="1" t="s">
        <v>596</v>
      </c>
      <c r="CF27" s="1" t="s">
        <v>604</v>
      </c>
      <c r="CG27" s="1" t="s">
        <v>603</v>
      </c>
      <c r="CH27" s="1" t="s">
        <v>596</v>
      </c>
      <c r="CI27" s="1" t="s">
        <v>596</v>
      </c>
      <c r="CJ27" s="1" t="s">
        <v>46</v>
      </c>
      <c r="CK27" s="1" t="s">
        <v>1338</v>
      </c>
      <c r="CL27" s="1" t="s">
        <v>1339</v>
      </c>
      <c r="CM27" s="1" t="s">
        <v>1340</v>
      </c>
      <c r="CN27" s="1" t="s">
        <v>1341</v>
      </c>
      <c r="CO27" s="1" t="s">
        <v>1342</v>
      </c>
      <c r="CP27" s="1" t="s">
        <v>1343</v>
      </c>
      <c r="CQ27" s="1" t="s">
        <v>1344</v>
      </c>
      <c r="CR27" s="1" t="s">
        <v>1345</v>
      </c>
      <c r="CS27" s="1" t="s">
        <v>1346</v>
      </c>
      <c r="CT27" s="1" t="s">
        <v>1347</v>
      </c>
      <c r="CU27" s="1" t="s">
        <v>1348</v>
      </c>
      <c r="CV27" s="1" t="s">
        <v>1349</v>
      </c>
      <c r="CW27" s="1" t="s">
        <v>1350</v>
      </c>
      <c r="CX27" s="1" t="s">
        <v>1351</v>
      </c>
      <c r="CY27" s="1" t="s">
        <v>1352</v>
      </c>
      <c r="CZ27" s="1" t="s">
        <v>1353</v>
      </c>
      <c r="DA27" s="1" t="s">
        <v>603</v>
      </c>
      <c r="DN27" s="1" t="s">
        <v>596</v>
      </c>
      <c r="DO27" s="1" t="s">
        <v>1354</v>
      </c>
      <c r="DP27" t="s">
        <v>3573</v>
      </c>
    </row>
    <row r="28" spans="1:120" x14ac:dyDescent="0.25">
      <c r="A28" s="1">
        <v>27</v>
      </c>
      <c r="B28" s="134">
        <v>45994</v>
      </c>
      <c r="C28" s="1" t="s">
        <v>1355</v>
      </c>
      <c r="D28" s="1" t="s">
        <v>1356</v>
      </c>
      <c r="E28" s="1" t="s">
        <v>662</v>
      </c>
      <c r="F28" s="1" t="s">
        <v>1304</v>
      </c>
      <c r="G28" s="1" t="s">
        <v>583</v>
      </c>
      <c r="H28" s="134">
        <v>18255</v>
      </c>
      <c r="I28" s="1" t="s">
        <v>584</v>
      </c>
      <c r="J28" s="1" t="s">
        <v>1357</v>
      </c>
      <c r="K28" s="1" t="s">
        <v>666</v>
      </c>
      <c r="M28" s="1">
        <v>3330027307</v>
      </c>
      <c r="N28" s="1" t="s">
        <v>1358</v>
      </c>
      <c r="O28" s="1" t="s">
        <v>1359</v>
      </c>
      <c r="P28" s="1" t="s">
        <v>1360</v>
      </c>
      <c r="Q28" s="1" t="s">
        <v>1361</v>
      </c>
      <c r="R28" s="1" t="s">
        <v>592</v>
      </c>
      <c r="S28" s="1" t="s">
        <v>593</v>
      </c>
      <c r="T28" s="1" t="s">
        <v>594</v>
      </c>
      <c r="U28" s="1" t="s">
        <v>1362</v>
      </c>
      <c r="V28" s="1">
        <v>962848088</v>
      </c>
      <c r="X28" s="1" t="s">
        <v>596</v>
      </c>
      <c r="AL28" s="1" t="s">
        <v>596</v>
      </c>
      <c r="AT28" s="1" t="s">
        <v>706</v>
      </c>
      <c r="AU28" s="1">
        <v>1</v>
      </c>
      <c r="AV28" s="1">
        <v>8</v>
      </c>
      <c r="AX28" s="1">
        <v>3</v>
      </c>
      <c r="AY28" s="1">
        <v>2</v>
      </c>
      <c r="AZ28" s="1">
        <v>2</v>
      </c>
      <c r="BA28" s="1">
        <v>0</v>
      </c>
      <c r="BB28" s="1">
        <v>1</v>
      </c>
      <c r="BC28" s="1">
        <v>0</v>
      </c>
      <c r="BD28" s="1">
        <v>0</v>
      </c>
      <c r="BE28" s="1">
        <v>0</v>
      </c>
      <c r="BF28" s="1">
        <v>0</v>
      </c>
      <c r="BG28" s="1">
        <v>1</v>
      </c>
      <c r="BH28" s="1">
        <v>0</v>
      </c>
      <c r="BI28" s="1">
        <v>0</v>
      </c>
      <c r="BJ28" s="1">
        <v>0</v>
      </c>
      <c r="BK28" s="1" t="s">
        <v>741</v>
      </c>
      <c r="BL28" s="1">
        <v>3</v>
      </c>
      <c r="BM28" s="1" t="s">
        <v>708</v>
      </c>
      <c r="BN28" s="1" t="s">
        <v>599</v>
      </c>
      <c r="BO28" s="1" t="s">
        <v>1310</v>
      </c>
      <c r="BP28" s="1">
        <v>33.526666599999999</v>
      </c>
      <c r="BQ28" s="1">
        <v>36.363998899999999</v>
      </c>
      <c r="BR28" s="1" t="s">
        <v>637</v>
      </c>
      <c r="BS28" s="1" t="s">
        <v>596</v>
      </c>
      <c r="BU28" s="134"/>
      <c r="BX28" s="1" t="s">
        <v>641</v>
      </c>
      <c r="BY28" s="1">
        <v>2</v>
      </c>
      <c r="BZ28" s="1">
        <v>1</v>
      </c>
      <c r="CA28" s="1">
        <v>70</v>
      </c>
      <c r="CB28" s="1" t="s">
        <v>603</v>
      </c>
      <c r="CC28" s="1" t="s">
        <v>603</v>
      </c>
      <c r="CD28" s="1" t="s">
        <v>603</v>
      </c>
      <c r="CE28" s="1" t="s">
        <v>596</v>
      </c>
      <c r="CF28" s="1" t="s">
        <v>604</v>
      </c>
      <c r="CG28" s="1" t="s">
        <v>603</v>
      </c>
      <c r="CH28" s="1" t="s">
        <v>596</v>
      </c>
      <c r="CI28" s="1" t="s">
        <v>596</v>
      </c>
      <c r="CJ28" s="1" t="s">
        <v>46</v>
      </c>
      <c r="CK28" s="1" t="s">
        <v>1363</v>
      </c>
      <c r="CL28" s="1" t="s">
        <v>1364</v>
      </c>
      <c r="CM28" s="1" t="s">
        <v>1365</v>
      </c>
      <c r="CN28" s="1" t="s">
        <v>1366</v>
      </c>
      <c r="CO28" s="1" t="s">
        <v>1367</v>
      </c>
      <c r="CP28" s="1" t="s">
        <v>1368</v>
      </c>
      <c r="CQ28" s="1" t="s">
        <v>1369</v>
      </c>
      <c r="CR28" s="1" t="s">
        <v>1370</v>
      </c>
      <c r="CS28" s="1" t="s">
        <v>1371</v>
      </c>
      <c r="CT28" s="1" t="s">
        <v>1372</v>
      </c>
      <c r="CU28" s="1" t="s">
        <v>1373</v>
      </c>
      <c r="CV28" s="1" t="s">
        <v>1374</v>
      </c>
      <c r="CW28" s="1" t="s">
        <v>1375</v>
      </c>
      <c r="CX28" s="1" t="s">
        <v>1376</v>
      </c>
      <c r="CY28" s="1" t="s">
        <v>1377</v>
      </c>
      <c r="CZ28" s="1" t="s">
        <v>1378</v>
      </c>
      <c r="DA28" s="1" t="s">
        <v>603</v>
      </c>
      <c r="DN28" s="1" t="s">
        <v>596</v>
      </c>
      <c r="DO28" s="1" t="s">
        <v>1379</v>
      </c>
      <c r="DP28" t="s">
        <v>3573</v>
      </c>
    </row>
    <row r="29" spans="1:120" x14ac:dyDescent="0.25">
      <c r="A29" s="1">
        <v>28</v>
      </c>
      <c r="B29" s="134">
        <v>45994</v>
      </c>
      <c r="C29" s="1" t="s">
        <v>1380</v>
      </c>
      <c r="D29" s="1" t="s">
        <v>1328</v>
      </c>
      <c r="E29" s="1" t="s">
        <v>1329</v>
      </c>
      <c r="F29" s="1" t="s">
        <v>1330</v>
      </c>
      <c r="G29" s="1" t="s">
        <v>583</v>
      </c>
      <c r="H29" s="134">
        <v>25659</v>
      </c>
      <c r="I29" s="1" t="s">
        <v>584</v>
      </c>
      <c r="J29" s="1" t="s">
        <v>1381</v>
      </c>
      <c r="K29" s="1" t="s">
        <v>666</v>
      </c>
      <c r="M29" s="1">
        <v>1010356146</v>
      </c>
      <c r="N29" s="1" t="s">
        <v>1382</v>
      </c>
      <c r="O29" s="1" t="s">
        <v>1383</v>
      </c>
      <c r="P29" s="1" t="s">
        <v>1384</v>
      </c>
      <c r="Q29" s="1" t="s">
        <v>1385</v>
      </c>
      <c r="R29" s="1" t="s">
        <v>592</v>
      </c>
      <c r="S29" s="1" t="s">
        <v>593</v>
      </c>
      <c r="T29" s="1" t="s">
        <v>594</v>
      </c>
      <c r="U29" s="1" t="s">
        <v>1386</v>
      </c>
      <c r="V29" s="1">
        <v>953507680</v>
      </c>
      <c r="X29" s="1" t="s">
        <v>596</v>
      </c>
      <c r="AL29" s="1" t="s">
        <v>596</v>
      </c>
      <c r="AT29" s="1" t="s">
        <v>597</v>
      </c>
      <c r="AU29" s="1">
        <v>2</v>
      </c>
      <c r="AV29" s="1">
        <v>8</v>
      </c>
      <c r="AX29" s="1">
        <v>3</v>
      </c>
      <c r="AY29" s="1">
        <v>2</v>
      </c>
      <c r="AZ29" s="1">
        <v>0</v>
      </c>
      <c r="BA29" s="1">
        <v>1</v>
      </c>
      <c r="BB29" s="1">
        <v>1</v>
      </c>
      <c r="BC29" s="1">
        <v>1</v>
      </c>
      <c r="BD29" s="1">
        <v>1</v>
      </c>
      <c r="BE29" s="1">
        <v>0</v>
      </c>
      <c r="BF29" s="1">
        <v>0</v>
      </c>
      <c r="BG29" s="1">
        <v>0</v>
      </c>
      <c r="BH29" s="1">
        <v>0</v>
      </c>
      <c r="BI29" s="1">
        <v>2</v>
      </c>
      <c r="BJ29" s="1">
        <v>0</v>
      </c>
      <c r="BK29" s="1" t="s">
        <v>741</v>
      </c>
      <c r="BL29" s="1">
        <v>1</v>
      </c>
      <c r="BM29" s="1" t="s">
        <v>598</v>
      </c>
      <c r="BN29" s="1" t="s">
        <v>599</v>
      </c>
      <c r="BO29" s="1" t="s">
        <v>1386</v>
      </c>
      <c r="BP29" s="1">
        <v>33.526511599999999</v>
      </c>
      <c r="BQ29" s="1">
        <v>36.362600999999998</v>
      </c>
      <c r="BR29" s="1" t="s">
        <v>637</v>
      </c>
      <c r="BS29" s="1" t="s">
        <v>596</v>
      </c>
      <c r="BU29" s="134"/>
      <c r="BX29" s="1" t="s">
        <v>641</v>
      </c>
      <c r="BY29" s="1">
        <v>5</v>
      </c>
      <c r="BZ29" s="1">
        <v>1</v>
      </c>
      <c r="CA29" s="1">
        <v>100</v>
      </c>
      <c r="CB29" s="1" t="s">
        <v>603</v>
      </c>
      <c r="CC29" s="1" t="s">
        <v>603</v>
      </c>
      <c r="CD29" s="1" t="s">
        <v>603</v>
      </c>
      <c r="CE29" s="1" t="s">
        <v>596</v>
      </c>
      <c r="CF29" s="1" t="s">
        <v>604</v>
      </c>
      <c r="CG29" s="1" t="s">
        <v>603</v>
      </c>
      <c r="CH29" s="1" t="s">
        <v>596</v>
      </c>
      <c r="CI29" s="1" t="s">
        <v>596</v>
      </c>
      <c r="CJ29" s="1" t="s">
        <v>46</v>
      </c>
      <c r="CK29" s="1" t="s">
        <v>1387</v>
      </c>
      <c r="CL29" s="1" t="s">
        <v>1388</v>
      </c>
      <c r="CM29" s="1" t="s">
        <v>1389</v>
      </c>
      <c r="CN29" s="1" t="s">
        <v>1390</v>
      </c>
      <c r="CO29" s="1" t="s">
        <v>1391</v>
      </c>
      <c r="CP29" s="1" t="s">
        <v>1392</v>
      </c>
      <c r="CQ29" s="1" t="s">
        <v>1393</v>
      </c>
      <c r="CR29" s="1" t="s">
        <v>1394</v>
      </c>
      <c r="CS29" s="1" t="s">
        <v>1395</v>
      </c>
      <c r="CT29" s="1" t="s">
        <v>1396</v>
      </c>
      <c r="CU29" s="1" t="s">
        <v>1397</v>
      </c>
      <c r="CV29" s="1" t="s">
        <v>1398</v>
      </c>
      <c r="CW29" s="1" t="s">
        <v>1399</v>
      </c>
      <c r="CX29" s="1" t="s">
        <v>1400</v>
      </c>
      <c r="CY29" s="1" t="s">
        <v>1401</v>
      </c>
      <c r="CZ29" s="1" t="s">
        <v>1402</v>
      </c>
      <c r="DA29" s="1" t="s">
        <v>603</v>
      </c>
      <c r="DN29" s="1" t="s">
        <v>596</v>
      </c>
      <c r="DO29" s="1" t="s">
        <v>1403</v>
      </c>
      <c r="DP29" t="s">
        <v>3573</v>
      </c>
    </row>
    <row r="30" spans="1:120" x14ac:dyDescent="0.25">
      <c r="A30" s="1">
        <v>29</v>
      </c>
      <c r="B30" s="134">
        <v>45994</v>
      </c>
      <c r="C30" s="1" t="s">
        <v>1404</v>
      </c>
      <c r="D30" s="1" t="s">
        <v>580</v>
      </c>
      <c r="E30" s="1" t="s">
        <v>662</v>
      </c>
      <c r="F30" s="1" t="s">
        <v>1405</v>
      </c>
      <c r="G30" s="1" t="s">
        <v>583</v>
      </c>
      <c r="H30" s="134">
        <v>30204</v>
      </c>
      <c r="I30" s="1" t="s">
        <v>584</v>
      </c>
      <c r="J30" s="1" t="s">
        <v>1406</v>
      </c>
      <c r="K30" s="1" t="s">
        <v>666</v>
      </c>
      <c r="M30" s="1">
        <v>98288640927</v>
      </c>
      <c r="N30" s="1" t="s">
        <v>1407</v>
      </c>
      <c r="O30" s="1" t="s">
        <v>1408</v>
      </c>
      <c r="P30" s="1" t="s">
        <v>1409</v>
      </c>
      <c r="Q30" s="1" t="s">
        <v>1410</v>
      </c>
      <c r="R30" s="1" t="s">
        <v>592</v>
      </c>
      <c r="S30" s="1" t="s">
        <v>593</v>
      </c>
      <c r="T30" s="1" t="s">
        <v>594</v>
      </c>
      <c r="U30" s="1" t="s">
        <v>1411</v>
      </c>
      <c r="V30" s="1">
        <v>994802114</v>
      </c>
      <c r="X30" s="1" t="s">
        <v>596</v>
      </c>
      <c r="AL30" s="1" t="s">
        <v>596</v>
      </c>
      <c r="AT30" s="1" t="s">
        <v>597</v>
      </c>
      <c r="AU30" s="1">
        <v>1</v>
      </c>
      <c r="AV30" s="1">
        <v>6</v>
      </c>
      <c r="AX30" s="1">
        <v>1</v>
      </c>
      <c r="AY30" s="1">
        <v>2</v>
      </c>
      <c r="AZ30" s="1">
        <v>0</v>
      </c>
      <c r="BA30" s="1">
        <v>0</v>
      </c>
      <c r="BB30" s="1">
        <v>1</v>
      </c>
      <c r="BC30" s="1">
        <v>2</v>
      </c>
      <c r="BD30" s="1">
        <v>1</v>
      </c>
      <c r="BE30" s="1">
        <v>0</v>
      </c>
      <c r="BF30" s="1">
        <v>0</v>
      </c>
      <c r="BG30" s="1">
        <v>0</v>
      </c>
      <c r="BH30" s="1">
        <v>0</v>
      </c>
      <c r="BI30" s="1">
        <v>0</v>
      </c>
      <c r="BJ30" s="1">
        <v>0</v>
      </c>
      <c r="BK30" s="1" t="s">
        <v>741</v>
      </c>
      <c r="BL30" s="1">
        <v>1</v>
      </c>
      <c r="BM30" s="1" t="s">
        <v>919</v>
      </c>
      <c r="BN30" s="1" t="s">
        <v>599</v>
      </c>
      <c r="BO30" s="1" t="s">
        <v>1412</v>
      </c>
      <c r="BP30" s="1">
        <v>33.526140699999999</v>
      </c>
      <c r="BQ30" s="1">
        <v>36.362684399999999</v>
      </c>
      <c r="BR30" s="1" t="s">
        <v>601</v>
      </c>
      <c r="BS30" s="1" t="s">
        <v>596</v>
      </c>
      <c r="BU30" s="134"/>
      <c r="BX30" s="1" t="s">
        <v>641</v>
      </c>
      <c r="BY30" s="1">
        <v>3</v>
      </c>
      <c r="BZ30" s="1">
        <v>2</v>
      </c>
      <c r="CA30" s="1">
        <v>75</v>
      </c>
      <c r="CB30" s="1" t="s">
        <v>603</v>
      </c>
      <c r="CC30" s="1" t="s">
        <v>603</v>
      </c>
      <c r="CD30" s="1" t="s">
        <v>603</v>
      </c>
      <c r="CE30" s="1" t="s">
        <v>596</v>
      </c>
      <c r="CF30" s="1" t="s">
        <v>642</v>
      </c>
      <c r="CG30" s="1" t="s">
        <v>596</v>
      </c>
      <c r="CH30" s="1" t="s">
        <v>596</v>
      </c>
      <c r="CI30" s="1" t="s">
        <v>596</v>
      </c>
      <c r="CJ30" s="1" t="s">
        <v>46</v>
      </c>
      <c r="CK30" s="1" t="s">
        <v>1413</v>
      </c>
      <c r="CL30" s="1" t="s">
        <v>1414</v>
      </c>
      <c r="CM30" s="1" t="s">
        <v>1415</v>
      </c>
      <c r="CN30" s="1" t="s">
        <v>1416</v>
      </c>
      <c r="CO30" s="1" t="s">
        <v>1417</v>
      </c>
      <c r="CP30" s="1" t="s">
        <v>1418</v>
      </c>
      <c r="CQ30" s="1" t="s">
        <v>1419</v>
      </c>
      <c r="CR30" s="1" t="s">
        <v>1420</v>
      </c>
      <c r="CS30" s="1" t="s">
        <v>1421</v>
      </c>
      <c r="CT30" s="1" t="s">
        <v>1422</v>
      </c>
      <c r="CU30" s="1" t="s">
        <v>1423</v>
      </c>
      <c r="CV30" s="1" t="s">
        <v>1424</v>
      </c>
      <c r="CW30" s="1" t="s">
        <v>1425</v>
      </c>
      <c r="CX30" s="1" t="s">
        <v>1426</v>
      </c>
      <c r="CY30" s="1" t="s">
        <v>1427</v>
      </c>
      <c r="CZ30" s="1" t="s">
        <v>1428</v>
      </c>
      <c r="DA30" s="1" t="s">
        <v>603</v>
      </c>
      <c r="DN30" s="1" t="s">
        <v>596</v>
      </c>
      <c r="DO30" s="1" t="s">
        <v>1429</v>
      </c>
      <c r="DP30" t="s">
        <v>3573</v>
      </c>
    </row>
    <row r="31" spans="1:120" x14ac:dyDescent="0.25">
      <c r="A31" s="1">
        <v>30</v>
      </c>
      <c r="B31" s="134">
        <v>45994</v>
      </c>
      <c r="C31" s="1" t="s">
        <v>1430</v>
      </c>
      <c r="D31" s="1" t="s">
        <v>580</v>
      </c>
      <c r="E31" s="1" t="s">
        <v>662</v>
      </c>
      <c r="F31" s="1" t="s">
        <v>1431</v>
      </c>
      <c r="G31" s="1" t="s">
        <v>583</v>
      </c>
      <c r="H31" s="134">
        <v>29587</v>
      </c>
      <c r="I31" s="1" t="s">
        <v>584</v>
      </c>
      <c r="J31" s="1" t="s">
        <v>1432</v>
      </c>
      <c r="K31" s="1" t="s">
        <v>666</v>
      </c>
      <c r="M31" s="1">
        <v>3330071378</v>
      </c>
      <c r="N31" s="1" t="s">
        <v>1433</v>
      </c>
      <c r="O31" s="1" t="s">
        <v>1434</v>
      </c>
      <c r="P31" s="1" t="s">
        <v>1435</v>
      </c>
      <c r="Q31" s="1" t="s">
        <v>1436</v>
      </c>
      <c r="R31" s="1" t="s">
        <v>592</v>
      </c>
      <c r="S31" s="1" t="s">
        <v>593</v>
      </c>
      <c r="T31" s="1" t="s">
        <v>594</v>
      </c>
      <c r="U31" s="1" t="s">
        <v>1411</v>
      </c>
      <c r="V31" s="1">
        <v>994802114</v>
      </c>
      <c r="X31" s="1" t="s">
        <v>596</v>
      </c>
      <c r="AL31" s="1" t="s">
        <v>596</v>
      </c>
      <c r="AT31" s="1" t="s">
        <v>597</v>
      </c>
      <c r="AU31" s="1">
        <v>1</v>
      </c>
      <c r="AV31" s="1">
        <v>4</v>
      </c>
      <c r="AX31" s="1">
        <v>2</v>
      </c>
      <c r="AY31" s="1">
        <v>0</v>
      </c>
      <c r="AZ31" s="1">
        <v>0</v>
      </c>
      <c r="BA31" s="1">
        <v>1</v>
      </c>
      <c r="BB31" s="1">
        <v>1</v>
      </c>
      <c r="BC31" s="1">
        <v>0</v>
      </c>
      <c r="BD31" s="1">
        <v>0</v>
      </c>
      <c r="BE31" s="1">
        <v>0</v>
      </c>
      <c r="BF31" s="1">
        <v>0</v>
      </c>
      <c r="BG31" s="1">
        <v>0</v>
      </c>
      <c r="BH31" s="1">
        <v>0</v>
      </c>
      <c r="BI31" s="1">
        <v>0</v>
      </c>
      <c r="BJ31" s="1">
        <v>0</v>
      </c>
      <c r="BK31" s="1" t="s">
        <v>707</v>
      </c>
      <c r="BL31" s="1">
        <v>0</v>
      </c>
      <c r="BM31" s="1" t="s">
        <v>708</v>
      </c>
      <c r="BN31" s="1" t="s">
        <v>599</v>
      </c>
      <c r="BO31" s="1" t="s">
        <v>1337</v>
      </c>
      <c r="BP31" s="1">
        <v>33.526138099999997</v>
      </c>
      <c r="BQ31" s="1">
        <v>36.362710100000001</v>
      </c>
      <c r="BR31" s="1" t="s">
        <v>637</v>
      </c>
      <c r="BS31" s="1" t="s">
        <v>596</v>
      </c>
      <c r="BU31" s="134"/>
      <c r="BX31" s="1" t="s">
        <v>641</v>
      </c>
      <c r="BY31" s="1">
        <v>3</v>
      </c>
      <c r="BZ31" s="1">
        <v>0</v>
      </c>
      <c r="CA31" s="1">
        <v>75</v>
      </c>
      <c r="CB31" s="1" t="s">
        <v>603</v>
      </c>
      <c r="CC31" s="1" t="s">
        <v>603</v>
      </c>
      <c r="CD31" s="1" t="s">
        <v>603</v>
      </c>
      <c r="CE31" s="1" t="s">
        <v>596</v>
      </c>
      <c r="CF31" s="1" t="s">
        <v>604</v>
      </c>
      <c r="CG31" s="1" t="s">
        <v>603</v>
      </c>
      <c r="CH31" s="1" t="s">
        <v>596</v>
      </c>
      <c r="CI31" s="1" t="s">
        <v>596</v>
      </c>
      <c r="CJ31" s="1" t="s">
        <v>46</v>
      </c>
      <c r="CK31" s="1" t="s">
        <v>1437</v>
      </c>
      <c r="CL31" s="1" t="s">
        <v>1438</v>
      </c>
      <c r="CM31" s="1" t="s">
        <v>1439</v>
      </c>
      <c r="CN31" s="1" t="s">
        <v>1440</v>
      </c>
      <c r="CO31" s="1" t="s">
        <v>1441</v>
      </c>
      <c r="CP31" s="1" t="s">
        <v>1442</v>
      </c>
      <c r="CQ31" s="1" t="s">
        <v>1443</v>
      </c>
      <c r="CR31" s="1" t="s">
        <v>1444</v>
      </c>
      <c r="CS31" s="1" t="s">
        <v>1445</v>
      </c>
      <c r="CT31" s="1" t="s">
        <v>1446</v>
      </c>
      <c r="CU31" s="1" t="s">
        <v>1447</v>
      </c>
      <c r="CV31" s="1" t="s">
        <v>1448</v>
      </c>
      <c r="CW31" s="1" t="s">
        <v>1449</v>
      </c>
      <c r="CX31" s="1" t="s">
        <v>1450</v>
      </c>
      <c r="CY31" s="1" t="s">
        <v>1451</v>
      </c>
      <c r="CZ31" s="1" t="s">
        <v>1452</v>
      </c>
      <c r="DA31" s="1" t="s">
        <v>603</v>
      </c>
      <c r="DN31" s="1" t="s">
        <v>596</v>
      </c>
      <c r="DO31" s="1" t="s">
        <v>1453</v>
      </c>
      <c r="DP31" t="s">
        <v>3573</v>
      </c>
    </row>
    <row r="32" spans="1:120" x14ac:dyDescent="0.25">
      <c r="A32" s="1">
        <v>31</v>
      </c>
      <c r="B32" s="134">
        <v>45994</v>
      </c>
      <c r="C32" s="1" t="s">
        <v>1454</v>
      </c>
      <c r="D32" s="1" t="s">
        <v>1455</v>
      </c>
      <c r="E32" s="1" t="s">
        <v>1456</v>
      </c>
      <c r="F32" s="1" t="s">
        <v>1457</v>
      </c>
      <c r="G32" s="1" t="s">
        <v>583</v>
      </c>
      <c r="H32" s="134">
        <v>35796</v>
      </c>
      <c r="I32" s="1" t="s">
        <v>584</v>
      </c>
      <c r="J32" s="1" t="s">
        <v>1458</v>
      </c>
      <c r="K32" s="1" t="s">
        <v>627</v>
      </c>
      <c r="M32" s="1">
        <v>7090096325</v>
      </c>
      <c r="N32" s="1" t="s">
        <v>1459</v>
      </c>
      <c r="O32" s="1" t="s">
        <v>1460</v>
      </c>
      <c r="P32" s="1" t="s">
        <v>1461</v>
      </c>
      <c r="Q32" s="1" t="s">
        <v>1462</v>
      </c>
      <c r="R32" s="1" t="s">
        <v>1463</v>
      </c>
      <c r="S32" s="1" t="s">
        <v>1464</v>
      </c>
      <c r="T32" s="1" t="s">
        <v>1465</v>
      </c>
      <c r="U32" s="1" t="s">
        <v>1466</v>
      </c>
      <c r="V32" s="1">
        <v>963951888420</v>
      </c>
      <c r="W32" s="1">
        <v>905415368924</v>
      </c>
      <c r="X32" s="1" t="s">
        <v>596</v>
      </c>
      <c r="AL32" s="1" t="s">
        <v>603</v>
      </c>
      <c r="AM32" s="1" t="s">
        <v>672</v>
      </c>
      <c r="AN32" s="1">
        <v>0</v>
      </c>
      <c r="AO32" s="1">
        <v>0</v>
      </c>
      <c r="AP32" s="1">
        <v>0</v>
      </c>
      <c r="AQ32" s="1">
        <v>0</v>
      </c>
      <c r="AR32" s="1">
        <v>1</v>
      </c>
      <c r="AS32" s="1" t="s">
        <v>1467</v>
      </c>
      <c r="AT32" s="1" t="s">
        <v>597</v>
      </c>
      <c r="AU32" s="1">
        <v>1</v>
      </c>
      <c r="AV32" s="1">
        <v>6</v>
      </c>
      <c r="AX32" s="1">
        <v>1</v>
      </c>
      <c r="AY32" s="1">
        <v>2</v>
      </c>
      <c r="AZ32" s="1">
        <v>0</v>
      </c>
      <c r="BA32" s="1">
        <v>0</v>
      </c>
      <c r="BB32" s="1">
        <v>2</v>
      </c>
      <c r="BC32" s="1">
        <v>1</v>
      </c>
      <c r="BD32" s="1">
        <v>1</v>
      </c>
      <c r="BE32" s="1">
        <v>0</v>
      </c>
      <c r="BF32" s="1">
        <v>0</v>
      </c>
      <c r="BG32" s="1">
        <v>0</v>
      </c>
      <c r="BH32" s="1">
        <v>0</v>
      </c>
      <c r="BI32" s="1">
        <v>0</v>
      </c>
      <c r="BJ32" s="1">
        <v>0</v>
      </c>
      <c r="BK32" s="1" t="s">
        <v>634</v>
      </c>
      <c r="BL32" s="1">
        <v>1</v>
      </c>
      <c r="BM32" s="1" t="s">
        <v>598</v>
      </c>
      <c r="BN32" s="1" t="s">
        <v>1465</v>
      </c>
      <c r="BO32" s="1" t="s">
        <v>1468</v>
      </c>
      <c r="BP32" s="1">
        <v>35.646686699999997</v>
      </c>
      <c r="BQ32" s="1">
        <v>36.688347800000003</v>
      </c>
      <c r="BR32" s="1" t="s">
        <v>637</v>
      </c>
      <c r="BS32" s="1" t="s">
        <v>596</v>
      </c>
      <c r="BU32" s="134"/>
      <c r="BX32" s="1" t="s">
        <v>602</v>
      </c>
      <c r="BY32" s="1">
        <v>4</v>
      </c>
      <c r="BZ32" s="1">
        <v>1</v>
      </c>
      <c r="CA32" s="1">
        <v>175</v>
      </c>
      <c r="CB32" s="1" t="s">
        <v>603</v>
      </c>
      <c r="CC32" s="1" t="s">
        <v>603</v>
      </c>
      <c r="CD32" s="1" t="s">
        <v>596</v>
      </c>
      <c r="CE32" s="1" t="s">
        <v>596</v>
      </c>
      <c r="CF32" s="1" t="s">
        <v>604</v>
      </c>
      <c r="CG32" s="1" t="s">
        <v>603</v>
      </c>
      <c r="CH32" s="1" t="s">
        <v>596</v>
      </c>
      <c r="CI32" s="1" t="s">
        <v>596</v>
      </c>
      <c r="CJ32" s="1" t="s">
        <v>46</v>
      </c>
      <c r="CK32" s="1" t="s">
        <v>1469</v>
      </c>
      <c r="CL32" s="1" t="s">
        <v>1470</v>
      </c>
      <c r="CM32" s="1" t="s">
        <v>1471</v>
      </c>
      <c r="CN32" s="1" t="s">
        <v>1472</v>
      </c>
      <c r="CO32" s="1" t="s">
        <v>1473</v>
      </c>
      <c r="CP32" s="1" t="s">
        <v>1474</v>
      </c>
      <c r="CQ32" s="1" t="s">
        <v>1475</v>
      </c>
      <c r="CR32" s="1" t="s">
        <v>1476</v>
      </c>
      <c r="CS32" s="1" t="s">
        <v>1477</v>
      </c>
      <c r="CT32" s="1" t="s">
        <v>1478</v>
      </c>
      <c r="CU32" s="1" t="s">
        <v>1479</v>
      </c>
      <c r="CV32" s="1" t="s">
        <v>1480</v>
      </c>
      <c r="CW32" s="1" t="s">
        <v>1481</v>
      </c>
      <c r="CX32" s="1" t="s">
        <v>1482</v>
      </c>
      <c r="CY32" s="1" t="s">
        <v>1483</v>
      </c>
      <c r="CZ32" s="1" t="s">
        <v>1484</v>
      </c>
      <c r="DA32" s="1" t="s">
        <v>603</v>
      </c>
      <c r="DN32" s="1" t="s">
        <v>596</v>
      </c>
      <c r="DP32" t="s">
        <v>16</v>
      </c>
    </row>
    <row r="33" spans="1:120" x14ac:dyDescent="0.25">
      <c r="A33" s="1">
        <v>32</v>
      </c>
      <c r="B33" s="134">
        <v>45994</v>
      </c>
      <c r="C33" s="1" t="s">
        <v>1485</v>
      </c>
      <c r="D33" s="1" t="s">
        <v>1486</v>
      </c>
      <c r="E33" s="1" t="s">
        <v>1487</v>
      </c>
      <c r="F33" s="1" t="s">
        <v>1488</v>
      </c>
      <c r="G33" s="1" t="s">
        <v>583</v>
      </c>
      <c r="H33" s="134">
        <v>29221</v>
      </c>
      <c r="I33" s="1" t="s">
        <v>584</v>
      </c>
      <c r="J33" s="1" t="s">
        <v>1489</v>
      </c>
      <c r="K33" s="1" t="s">
        <v>1490</v>
      </c>
      <c r="M33" s="1">
        <v>53500176531</v>
      </c>
      <c r="N33" s="1" t="s">
        <v>1491</v>
      </c>
      <c r="O33" s="1" t="s">
        <v>1492</v>
      </c>
      <c r="P33" s="1" t="s">
        <v>1493</v>
      </c>
      <c r="Q33" s="1" t="s">
        <v>1494</v>
      </c>
      <c r="R33" s="1" t="s">
        <v>1463</v>
      </c>
      <c r="S33" s="1" t="s">
        <v>1464</v>
      </c>
      <c r="T33" s="1" t="s">
        <v>1465</v>
      </c>
      <c r="U33" s="1" t="s">
        <v>1495</v>
      </c>
      <c r="V33" s="1">
        <v>963982383196</v>
      </c>
      <c r="W33" s="1">
        <v>352681510179</v>
      </c>
      <c r="X33" s="1" t="s">
        <v>596</v>
      </c>
      <c r="AL33" s="1" t="s">
        <v>596</v>
      </c>
      <c r="AT33" s="1" t="s">
        <v>597</v>
      </c>
      <c r="AU33" s="1">
        <v>1</v>
      </c>
      <c r="AV33" s="1">
        <v>9</v>
      </c>
      <c r="AX33" s="1">
        <v>2</v>
      </c>
      <c r="AY33" s="1">
        <v>2</v>
      </c>
      <c r="AZ33" s="1">
        <v>1</v>
      </c>
      <c r="BA33" s="1">
        <v>3</v>
      </c>
      <c r="BB33" s="1">
        <v>1</v>
      </c>
      <c r="BC33" s="1">
        <v>0</v>
      </c>
      <c r="BD33" s="1">
        <v>0</v>
      </c>
      <c r="BE33" s="1">
        <v>0</v>
      </c>
      <c r="BF33" s="1">
        <v>0</v>
      </c>
      <c r="BG33" s="1">
        <v>0</v>
      </c>
      <c r="BH33" s="1">
        <v>0</v>
      </c>
      <c r="BI33" s="1">
        <v>0</v>
      </c>
      <c r="BJ33" s="1">
        <v>0</v>
      </c>
      <c r="BK33" s="1" t="s">
        <v>1118</v>
      </c>
      <c r="BL33" s="1">
        <v>2</v>
      </c>
      <c r="BM33" s="1" t="s">
        <v>598</v>
      </c>
      <c r="BN33" s="1" t="s">
        <v>1465</v>
      </c>
      <c r="BO33" s="1" t="s">
        <v>1496</v>
      </c>
      <c r="BP33" s="1">
        <v>35.646751000000002</v>
      </c>
      <c r="BQ33" s="1">
        <v>36.688225799999998</v>
      </c>
      <c r="BR33" s="1" t="s">
        <v>637</v>
      </c>
      <c r="BS33" s="1" t="s">
        <v>596</v>
      </c>
      <c r="BU33" s="134"/>
      <c r="BX33" s="1" t="s">
        <v>602</v>
      </c>
      <c r="BY33" s="1">
        <v>4</v>
      </c>
      <c r="BZ33" s="1">
        <v>0</v>
      </c>
      <c r="CA33" s="1">
        <v>220</v>
      </c>
      <c r="CB33" s="1" t="s">
        <v>603</v>
      </c>
      <c r="CC33" s="1" t="s">
        <v>603</v>
      </c>
      <c r="CD33" s="1" t="s">
        <v>603</v>
      </c>
      <c r="CE33" s="1" t="s">
        <v>596</v>
      </c>
      <c r="CF33" s="1" t="s">
        <v>604</v>
      </c>
      <c r="CG33" s="1" t="s">
        <v>603</v>
      </c>
      <c r="CH33" s="1" t="s">
        <v>596</v>
      </c>
      <c r="CI33" s="1" t="s">
        <v>596</v>
      </c>
      <c r="CJ33" s="1" t="s">
        <v>860</v>
      </c>
      <c r="CK33" s="1" t="s">
        <v>1497</v>
      </c>
      <c r="CL33" s="1" t="s">
        <v>1498</v>
      </c>
      <c r="CM33" s="1" t="s">
        <v>1499</v>
      </c>
      <c r="CN33" s="1" t="s">
        <v>1500</v>
      </c>
      <c r="CO33" s="1" t="s">
        <v>1501</v>
      </c>
      <c r="CP33" s="1" t="s">
        <v>1502</v>
      </c>
      <c r="CQ33" s="1" t="s">
        <v>1503</v>
      </c>
      <c r="CR33" s="1" t="s">
        <v>1504</v>
      </c>
      <c r="CS33" s="1" t="s">
        <v>1505</v>
      </c>
      <c r="CT33" s="1" t="s">
        <v>1506</v>
      </c>
      <c r="CU33" s="1" t="s">
        <v>1507</v>
      </c>
      <c r="CV33" s="1" t="s">
        <v>1508</v>
      </c>
      <c r="CW33" s="1" t="s">
        <v>1509</v>
      </c>
      <c r="CX33" s="1" t="s">
        <v>1510</v>
      </c>
      <c r="CY33" s="1" t="s">
        <v>1511</v>
      </c>
      <c r="CZ33" s="1" t="s">
        <v>1512</v>
      </c>
      <c r="DA33" s="1" t="s">
        <v>603</v>
      </c>
      <c r="DN33" s="1" t="s">
        <v>596</v>
      </c>
      <c r="DO33" s="1" t="s">
        <v>1513</v>
      </c>
      <c r="DP33" t="s">
        <v>16</v>
      </c>
    </row>
    <row r="34" spans="1:120" x14ac:dyDescent="0.25">
      <c r="A34" s="1">
        <v>33</v>
      </c>
      <c r="B34" s="134">
        <v>45994</v>
      </c>
      <c r="C34" s="1" t="s">
        <v>1514</v>
      </c>
      <c r="D34" s="1" t="s">
        <v>579</v>
      </c>
      <c r="E34" s="1" t="s">
        <v>1515</v>
      </c>
      <c r="F34" s="1" t="s">
        <v>1516</v>
      </c>
      <c r="G34" s="1" t="s">
        <v>583</v>
      </c>
      <c r="H34" s="134">
        <v>29558</v>
      </c>
      <c r="I34" s="1" t="s">
        <v>584</v>
      </c>
      <c r="J34" s="1" t="s">
        <v>1517</v>
      </c>
      <c r="K34" s="1" t="s">
        <v>1279</v>
      </c>
      <c r="M34" s="1">
        <v>7090106971</v>
      </c>
      <c r="N34" s="1" t="s">
        <v>1518</v>
      </c>
      <c r="O34" s="1" t="s">
        <v>1519</v>
      </c>
      <c r="P34" s="1" t="s">
        <v>1520</v>
      </c>
      <c r="Q34" s="1" t="s">
        <v>1521</v>
      </c>
      <c r="R34" s="1" t="s">
        <v>1463</v>
      </c>
      <c r="S34" s="1" t="s">
        <v>1464</v>
      </c>
      <c r="T34" s="1" t="s">
        <v>1465</v>
      </c>
      <c r="U34" s="1" t="s">
        <v>1522</v>
      </c>
      <c r="V34" s="1">
        <v>963993884168</v>
      </c>
      <c r="W34" s="1">
        <v>963993921866</v>
      </c>
      <c r="X34" s="1" t="s">
        <v>596</v>
      </c>
      <c r="AL34" s="1" t="s">
        <v>603</v>
      </c>
      <c r="AM34" s="1" t="s">
        <v>672</v>
      </c>
      <c r="AN34" s="1">
        <v>0</v>
      </c>
      <c r="AO34" s="1">
        <v>0</v>
      </c>
      <c r="AP34" s="1">
        <v>0</v>
      </c>
      <c r="AQ34" s="1">
        <v>0</v>
      </c>
      <c r="AR34" s="1">
        <v>1</v>
      </c>
      <c r="AS34" s="1" t="s">
        <v>1523</v>
      </c>
      <c r="AT34" s="1" t="s">
        <v>597</v>
      </c>
      <c r="AU34" s="1">
        <v>1</v>
      </c>
      <c r="AV34" s="1">
        <v>8</v>
      </c>
      <c r="AX34" s="1">
        <v>2</v>
      </c>
      <c r="AY34" s="1">
        <v>1</v>
      </c>
      <c r="AZ34" s="1">
        <v>0</v>
      </c>
      <c r="BA34" s="1">
        <v>2</v>
      </c>
      <c r="BB34" s="1">
        <v>0</v>
      </c>
      <c r="BC34" s="1">
        <v>3</v>
      </c>
      <c r="BD34" s="1">
        <v>0</v>
      </c>
      <c r="BE34" s="1">
        <v>1</v>
      </c>
      <c r="BF34" s="1">
        <v>0</v>
      </c>
      <c r="BG34" s="1">
        <v>0</v>
      </c>
      <c r="BH34" s="1">
        <v>0</v>
      </c>
      <c r="BI34" s="1">
        <v>0</v>
      </c>
      <c r="BJ34" s="1">
        <v>0</v>
      </c>
      <c r="BK34" s="1" t="s">
        <v>1118</v>
      </c>
      <c r="BL34" s="1">
        <v>1</v>
      </c>
      <c r="BM34" s="1" t="s">
        <v>598</v>
      </c>
      <c r="BN34" s="1" t="s">
        <v>1465</v>
      </c>
      <c r="BO34" s="1" t="s">
        <v>1466</v>
      </c>
      <c r="BP34" s="1">
        <v>35.646408800000003</v>
      </c>
      <c r="BQ34" s="1">
        <v>36.688923000000003</v>
      </c>
      <c r="BR34" s="1" t="s">
        <v>637</v>
      </c>
      <c r="BS34" s="1" t="s">
        <v>596</v>
      </c>
      <c r="BU34" s="134"/>
      <c r="BX34" s="1" t="s">
        <v>641</v>
      </c>
      <c r="BY34" s="1">
        <v>4</v>
      </c>
      <c r="BZ34" s="1">
        <v>1</v>
      </c>
      <c r="CA34" s="1">
        <v>190</v>
      </c>
      <c r="CB34" s="1" t="s">
        <v>603</v>
      </c>
      <c r="CC34" s="1" t="s">
        <v>596</v>
      </c>
      <c r="CD34" s="1" t="s">
        <v>603</v>
      </c>
      <c r="CE34" s="1" t="s">
        <v>596</v>
      </c>
      <c r="CF34" s="1" t="s">
        <v>604</v>
      </c>
      <c r="CG34" s="1" t="s">
        <v>603</v>
      </c>
      <c r="CH34" s="1" t="s">
        <v>596</v>
      </c>
      <c r="CI34" s="1" t="s">
        <v>596</v>
      </c>
      <c r="CJ34" s="1" t="s">
        <v>46</v>
      </c>
      <c r="CK34" s="1" t="s">
        <v>1524</v>
      </c>
      <c r="CL34" s="1" t="s">
        <v>1525</v>
      </c>
      <c r="CM34" s="1" t="s">
        <v>1526</v>
      </c>
      <c r="CN34" s="1" t="s">
        <v>1527</v>
      </c>
      <c r="CO34" s="1" t="s">
        <v>1528</v>
      </c>
      <c r="CP34" s="1" t="s">
        <v>1529</v>
      </c>
      <c r="CQ34" s="1" t="s">
        <v>1530</v>
      </c>
      <c r="CR34" s="1" t="s">
        <v>1531</v>
      </c>
      <c r="CS34" s="1" t="s">
        <v>1532</v>
      </c>
      <c r="CT34" s="1" t="s">
        <v>1533</v>
      </c>
      <c r="CU34" s="1" t="s">
        <v>1534</v>
      </c>
      <c r="CV34" s="1" t="s">
        <v>1535</v>
      </c>
      <c r="CW34" s="1" t="s">
        <v>1536</v>
      </c>
      <c r="CX34" s="1" t="s">
        <v>1537</v>
      </c>
      <c r="CY34" s="1" t="s">
        <v>1538</v>
      </c>
      <c r="CZ34" s="1" t="s">
        <v>1539</v>
      </c>
      <c r="DA34" s="1" t="s">
        <v>603</v>
      </c>
      <c r="DN34" s="1" t="s">
        <v>596</v>
      </c>
      <c r="DP34" t="s">
        <v>16</v>
      </c>
    </row>
    <row r="35" spans="1:120" x14ac:dyDescent="0.25">
      <c r="A35" s="1">
        <v>34</v>
      </c>
      <c r="B35" s="134">
        <v>45994</v>
      </c>
      <c r="C35" s="1" t="s">
        <v>1540</v>
      </c>
      <c r="D35" s="1" t="s">
        <v>580</v>
      </c>
      <c r="E35" s="1" t="s">
        <v>662</v>
      </c>
      <c r="F35" s="1" t="s">
        <v>1405</v>
      </c>
      <c r="G35" s="1" t="s">
        <v>583</v>
      </c>
      <c r="H35" s="134">
        <v>29891</v>
      </c>
      <c r="I35" s="1" t="s">
        <v>584</v>
      </c>
      <c r="J35" s="1" t="s">
        <v>1541</v>
      </c>
      <c r="K35" s="1" t="s">
        <v>586</v>
      </c>
      <c r="L35" s="1" t="s">
        <v>1542</v>
      </c>
      <c r="M35" s="1">
        <v>77480006441</v>
      </c>
      <c r="N35" s="1" t="s">
        <v>1543</v>
      </c>
      <c r="O35" s="1" t="s">
        <v>1544</v>
      </c>
      <c r="P35" s="1" t="s">
        <v>1545</v>
      </c>
      <c r="Q35" s="1" t="s">
        <v>1546</v>
      </c>
      <c r="R35" s="1" t="s">
        <v>592</v>
      </c>
      <c r="S35" s="1" t="s">
        <v>593</v>
      </c>
      <c r="T35" s="1" t="s">
        <v>594</v>
      </c>
      <c r="U35" s="1" t="s">
        <v>1547</v>
      </c>
      <c r="V35" s="1">
        <v>959032863</v>
      </c>
      <c r="X35" s="1" t="s">
        <v>596</v>
      </c>
      <c r="AL35" s="1" t="s">
        <v>596</v>
      </c>
      <c r="AT35" s="1" t="s">
        <v>597</v>
      </c>
      <c r="AU35" s="1">
        <v>1</v>
      </c>
      <c r="AV35" s="1">
        <v>5</v>
      </c>
      <c r="AX35" s="1">
        <v>1</v>
      </c>
      <c r="AY35" s="1">
        <v>1</v>
      </c>
      <c r="AZ35" s="1">
        <v>1</v>
      </c>
      <c r="BA35" s="1">
        <v>0</v>
      </c>
      <c r="BB35" s="1">
        <v>2</v>
      </c>
      <c r="BC35" s="1">
        <v>0</v>
      </c>
      <c r="BD35" s="1">
        <v>0</v>
      </c>
      <c r="BE35" s="1">
        <v>0</v>
      </c>
      <c r="BF35" s="1">
        <v>0</v>
      </c>
      <c r="BG35" s="1">
        <v>0</v>
      </c>
      <c r="BH35" s="1">
        <v>0</v>
      </c>
      <c r="BI35" s="1">
        <v>0</v>
      </c>
      <c r="BJ35" s="1">
        <v>0</v>
      </c>
      <c r="BK35" s="1" t="s">
        <v>707</v>
      </c>
      <c r="BL35" s="1">
        <v>0</v>
      </c>
      <c r="BM35" s="1" t="s">
        <v>598</v>
      </c>
      <c r="BN35" s="1" t="s">
        <v>599</v>
      </c>
      <c r="BO35" s="1" t="s">
        <v>1337</v>
      </c>
      <c r="BP35" s="1">
        <v>33.526132699999998</v>
      </c>
      <c r="BQ35" s="1">
        <v>36.362476299999997</v>
      </c>
      <c r="BR35" s="1" t="s">
        <v>637</v>
      </c>
      <c r="BS35" s="1" t="s">
        <v>596</v>
      </c>
      <c r="BU35" s="134"/>
      <c r="BX35" s="1" t="s">
        <v>641</v>
      </c>
      <c r="BY35" s="1">
        <v>3</v>
      </c>
      <c r="BZ35" s="1">
        <v>1</v>
      </c>
      <c r="CA35" s="1">
        <v>100</v>
      </c>
      <c r="CB35" s="1" t="s">
        <v>603</v>
      </c>
      <c r="CC35" s="1" t="s">
        <v>603</v>
      </c>
      <c r="CD35" s="1" t="s">
        <v>603</v>
      </c>
      <c r="CE35" s="1" t="s">
        <v>596</v>
      </c>
      <c r="CF35" s="1" t="s">
        <v>604</v>
      </c>
      <c r="CG35" s="1" t="s">
        <v>603</v>
      </c>
      <c r="CH35" s="1" t="s">
        <v>596</v>
      </c>
      <c r="CI35" s="1" t="s">
        <v>596</v>
      </c>
      <c r="CJ35" s="1" t="s">
        <v>46</v>
      </c>
      <c r="CK35" s="1" t="s">
        <v>1548</v>
      </c>
      <c r="CL35" s="1" t="s">
        <v>1549</v>
      </c>
      <c r="CM35" s="1" t="s">
        <v>1550</v>
      </c>
      <c r="CN35" s="1" t="s">
        <v>1551</v>
      </c>
      <c r="CO35" s="1" t="s">
        <v>1552</v>
      </c>
      <c r="CP35" s="1" t="s">
        <v>1553</v>
      </c>
      <c r="CQ35" s="1" t="s">
        <v>1554</v>
      </c>
      <c r="CR35" s="1" t="s">
        <v>1555</v>
      </c>
      <c r="CS35" s="1" t="s">
        <v>1556</v>
      </c>
      <c r="CT35" s="1" t="s">
        <v>1557</v>
      </c>
      <c r="CU35" s="1" t="s">
        <v>1558</v>
      </c>
      <c r="CV35" s="1" t="s">
        <v>1559</v>
      </c>
      <c r="CW35" s="1" t="s">
        <v>1560</v>
      </c>
      <c r="CX35" s="1" t="s">
        <v>1561</v>
      </c>
      <c r="CY35" s="1" t="s">
        <v>1562</v>
      </c>
      <c r="CZ35" s="1" t="s">
        <v>1563</v>
      </c>
      <c r="DA35" s="1" t="s">
        <v>603</v>
      </c>
      <c r="DN35" s="1" t="s">
        <v>596</v>
      </c>
      <c r="DO35" s="1" t="s">
        <v>1564</v>
      </c>
      <c r="DP35" t="s">
        <v>3573</v>
      </c>
    </row>
    <row r="36" spans="1:120" x14ac:dyDescent="0.25">
      <c r="A36" s="1">
        <v>35</v>
      </c>
      <c r="B36" s="134">
        <v>45994</v>
      </c>
      <c r="C36" s="1" t="s">
        <v>1565</v>
      </c>
      <c r="D36" s="1" t="s">
        <v>580</v>
      </c>
      <c r="E36" s="1" t="s">
        <v>662</v>
      </c>
      <c r="F36" s="1" t="s">
        <v>1431</v>
      </c>
      <c r="G36" s="1" t="s">
        <v>583</v>
      </c>
      <c r="H36" s="134">
        <v>32460</v>
      </c>
      <c r="I36" s="1" t="s">
        <v>1170</v>
      </c>
      <c r="K36" s="1" t="s">
        <v>627</v>
      </c>
      <c r="M36" s="1">
        <v>3330027530</v>
      </c>
      <c r="N36" s="1" t="s">
        <v>1566</v>
      </c>
      <c r="O36" s="1" t="s">
        <v>1567</v>
      </c>
      <c r="P36" s="1" t="s">
        <v>1568</v>
      </c>
      <c r="Q36" s="1" t="s">
        <v>1569</v>
      </c>
      <c r="R36" s="1" t="s">
        <v>592</v>
      </c>
      <c r="S36" s="1" t="s">
        <v>593</v>
      </c>
      <c r="T36" s="1" t="s">
        <v>594</v>
      </c>
      <c r="U36" s="1" t="s">
        <v>1411</v>
      </c>
      <c r="V36" s="1">
        <v>958716318</v>
      </c>
      <c r="X36" s="1" t="s">
        <v>596</v>
      </c>
      <c r="AL36" s="1" t="s">
        <v>596</v>
      </c>
      <c r="AT36" s="1" t="s">
        <v>597</v>
      </c>
      <c r="AU36" s="1">
        <v>1</v>
      </c>
      <c r="AV36" s="1">
        <v>1</v>
      </c>
      <c r="AX36" s="1">
        <v>1</v>
      </c>
      <c r="AY36" s="1">
        <v>0</v>
      </c>
      <c r="AZ36" s="1">
        <v>0</v>
      </c>
      <c r="BA36" s="1">
        <v>0</v>
      </c>
      <c r="BB36" s="1">
        <v>0</v>
      </c>
      <c r="BC36" s="1">
        <v>0</v>
      </c>
      <c r="BD36" s="1">
        <v>0</v>
      </c>
      <c r="BE36" s="1">
        <v>0</v>
      </c>
      <c r="BF36" s="1">
        <v>0</v>
      </c>
      <c r="BG36" s="1">
        <v>0</v>
      </c>
      <c r="BH36" s="1">
        <v>0</v>
      </c>
      <c r="BI36" s="1">
        <v>0</v>
      </c>
      <c r="BJ36" s="1">
        <v>0</v>
      </c>
      <c r="BK36" s="1" t="s">
        <v>707</v>
      </c>
      <c r="BL36" s="1">
        <v>0</v>
      </c>
      <c r="BM36" s="1" t="s">
        <v>598</v>
      </c>
      <c r="BN36" s="1" t="s">
        <v>599</v>
      </c>
      <c r="BO36" s="1" t="s">
        <v>1337</v>
      </c>
      <c r="BP36" s="1">
        <v>33.526277499999999</v>
      </c>
      <c r="BQ36" s="1">
        <v>36.362634</v>
      </c>
      <c r="BR36" s="1" t="s">
        <v>637</v>
      </c>
      <c r="BS36" s="1" t="s">
        <v>596</v>
      </c>
      <c r="BU36" s="134"/>
      <c r="BX36" s="1" t="s">
        <v>641</v>
      </c>
      <c r="BY36" s="1">
        <v>1</v>
      </c>
      <c r="BZ36" s="1">
        <v>0</v>
      </c>
      <c r="CA36" s="1">
        <v>100</v>
      </c>
      <c r="CB36" s="1" t="s">
        <v>603</v>
      </c>
      <c r="CC36" s="1" t="s">
        <v>596</v>
      </c>
      <c r="CD36" s="1" t="s">
        <v>596</v>
      </c>
      <c r="CE36" s="1" t="s">
        <v>596</v>
      </c>
      <c r="CF36" s="1" t="s">
        <v>604</v>
      </c>
      <c r="CG36" s="1" t="s">
        <v>596</v>
      </c>
      <c r="CH36" s="1" t="s">
        <v>596</v>
      </c>
      <c r="CI36" s="1" t="s">
        <v>596</v>
      </c>
      <c r="CJ36" s="1" t="s">
        <v>46</v>
      </c>
      <c r="CK36" s="1" t="s">
        <v>1570</v>
      </c>
      <c r="CL36" s="1" t="s">
        <v>1571</v>
      </c>
      <c r="CM36" s="1" t="s">
        <v>1572</v>
      </c>
      <c r="CN36" s="1" t="s">
        <v>1573</v>
      </c>
      <c r="CO36" s="1" t="s">
        <v>1574</v>
      </c>
      <c r="CP36" s="1" t="s">
        <v>1575</v>
      </c>
      <c r="CQ36" s="1" t="s">
        <v>1576</v>
      </c>
      <c r="CR36" s="1" t="s">
        <v>1577</v>
      </c>
      <c r="CS36" s="1" t="s">
        <v>1578</v>
      </c>
      <c r="CT36" s="1" t="s">
        <v>1579</v>
      </c>
      <c r="CU36" s="1" t="s">
        <v>1580</v>
      </c>
      <c r="CV36" s="1" t="s">
        <v>1581</v>
      </c>
      <c r="CW36" s="1" t="s">
        <v>1582</v>
      </c>
      <c r="CX36" s="1" t="s">
        <v>1583</v>
      </c>
      <c r="CY36" s="1" t="s">
        <v>1584</v>
      </c>
      <c r="CZ36" s="1" t="s">
        <v>1585</v>
      </c>
      <c r="DA36" s="1" t="s">
        <v>603</v>
      </c>
      <c r="DN36" s="1" t="s">
        <v>596</v>
      </c>
      <c r="DO36" s="1" t="s">
        <v>1586</v>
      </c>
      <c r="DP36" t="s">
        <v>3573</v>
      </c>
    </row>
    <row r="37" spans="1:120" x14ac:dyDescent="0.25">
      <c r="A37" s="1">
        <v>36</v>
      </c>
      <c r="B37" s="134">
        <v>45994</v>
      </c>
      <c r="C37" s="1" t="s">
        <v>580</v>
      </c>
      <c r="D37" s="1" t="s">
        <v>1587</v>
      </c>
      <c r="E37" s="1" t="s">
        <v>1588</v>
      </c>
      <c r="F37" s="1" t="s">
        <v>1589</v>
      </c>
      <c r="G37" s="1" t="s">
        <v>583</v>
      </c>
      <c r="H37" s="134">
        <v>22647</v>
      </c>
      <c r="I37" s="1" t="s">
        <v>584</v>
      </c>
      <c r="J37" s="1" t="s">
        <v>1590</v>
      </c>
      <c r="K37" s="1" t="s">
        <v>666</v>
      </c>
      <c r="M37" s="1">
        <v>3330033906</v>
      </c>
      <c r="N37" s="1" t="s">
        <v>1591</v>
      </c>
      <c r="O37" s="1" t="s">
        <v>1592</v>
      </c>
      <c r="P37" s="1" t="s">
        <v>1593</v>
      </c>
      <c r="Q37" s="1" t="s">
        <v>1594</v>
      </c>
      <c r="R37" s="1" t="s">
        <v>592</v>
      </c>
      <c r="S37" s="1" t="s">
        <v>593</v>
      </c>
      <c r="T37" s="1" t="s">
        <v>594</v>
      </c>
      <c r="U37" s="1" t="s">
        <v>1595</v>
      </c>
      <c r="V37" s="1">
        <v>997023902</v>
      </c>
      <c r="X37" s="1" t="s">
        <v>596</v>
      </c>
      <c r="AL37" s="1" t="s">
        <v>596</v>
      </c>
      <c r="AT37" s="1" t="s">
        <v>597</v>
      </c>
      <c r="AU37" s="1">
        <v>1</v>
      </c>
      <c r="AV37" s="1">
        <v>7</v>
      </c>
      <c r="AX37" s="1">
        <v>2</v>
      </c>
      <c r="AY37" s="1">
        <v>5</v>
      </c>
      <c r="AZ37" s="1">
        <v>0</v>
      </c>
      <c r="BA37" s="1">
        <v>0</v>
      </c>
      <c r="BB37" s="1">
        <v>0</v>
      </c>
      <c r="BC37" s="1">
        <v>0</v>
      </c>
      <c r="BD37" s="1">
        <v>1</v>
      </c>
      <c r="BE37" s="1">
        <v>0</v>
      </c>
      <c r="BF37" s="1">
        <v>0</v>
      </c>
      <c r="BG37" s="1">
        <v>0</v>
      </c>
      <c r="BH37" s="1">
        <v>0</v>
      </c>
      <c r="BI37" s="1">
        <v>0</v>
      </c>
      <c r="BJ37" s="1">
        <v>0</v>
      </c>
      <c r="BK37" s="1" t="s">
        <v>707</v>
      </c>
      <c r="BL37" s="1">
        <v>2</v>
      </c>
      <c r="BM37" s="1" t="s">
        <v>598</v>
      </c>
      <c r="BN37" s="1" t="s">
        <v>599</v>
      </c>
      <c r="BO37" s="1" t="s">
        <v>1337</v>
      </c>
      <c r="BP37" s="1">
        <v>33.5270115</v>
      </c>
      <c r="BQ37" s="1">
        <v>36.3619816</v>
      </c>
      <c r="BR37" s="1" t="s">
        <v>601</v>
      </c>
      <c r="BS37" s="1" t="s">
        <v>596</v>
      </c>
      <c r="BU37" s="134"/>
      <c r="BX37" s="1" t="s">
        <v>602</v>
      </c>
      <c r="BY37" s="1">
        <v>2</v>
      </c>
      <c r="BZ37" s="1">
        <v>0</v>
      </c>
      <c r="CA37" s="1">
        <v>50</v>
      </c>
      <c r="CB37" s="1" t="s">
        <v>603</v>
      </c>
      <c r="CC37" s="1" t="s">
        <v>603</v>
      </c>
      <c r="CD37" s="1" t="s">
        <v>603</v>
      </c>
      <c r="CE37" s="1" t="s">
        <v>596</v>
      </c>
      <c r="CF37" s="1" t="s">
        <v>604</v>
      </c>
      <c r="CG37" s="1" t="s">
        <v>603</v>
      </c>
      <c r="CH37" s="1" t="s">
        <v>596</v>
      </c>
      <c r="CI37" s="1" t="s">
        <v>596</v>
      </c>
      <c r="CJ37" s="1" t="s">
        <v>46</v>
      </c>
      <c r="CK37" s="1" t="s">
        <v>1596</v>
      </c>
      <c r="CL37" s="1" t="s">
        <v>1597</v>
      </c>
      <c r="CM37" s="1" t="s">
        <v>1598</v>
      </c>
      <c r="CN37" s="1" t="s">
        <v>1599</v>
      </c>
      <c r="CO37" s="1" t="s">
        <v>1600</v>
      </c>
      <c r="CP37" s="1" t="s">
        <v>1601</v>
      </c>
      <c r="CQ37" s="1" t="s">
        <v>1602</v>
      </c>
      <c r="CR37" s="1" t="s">
        <v>1603</v>
      </c>
      <c r="CS37" s="1" t="s">
        <v>1604</v>
      </c>
      <c r="CT37" s="1" t="s">
        <v>1605</v>
      </c>
      <c r="CU37" s="1" t="s">
        <v>1606</v>
      </c>
      <c r="CV37" s="1" t="s">
        <v>1607</v>
      </c>
      <c r="CW37" s="1" t="s">
        <v>1608</v>
      </c>
      <c r="CX37" s="1" t="s">
        <v>1609</v>
      </c>
      <c r="CY37" s="1" t="s">
        <v>1610</v>
      </c>
      <c r="CZ37" s="1" t="s">
        <v>1611</v>
      </c>
      <c r="DA37" s="1" t="s">
        <v>603</v>
      </c>
      <c r="DN37" s="1" t="s">
        <v>596</v>
      </c>
      <c r="DO37" s="1" t="s">
        <v>1612</v>
      </c>
      <c r="DP37" t="s">
        <v>3573</v>
      </c>
    </row>
    <row r="38" spans="1:120" x14ac:dyDescent="0.25">
      <c r="A38" s="1">
        <v>37</v>
      </c>
      <c r="B38" s="134">
        <v>45994</v>
      </c>
      <c r="C38" s="1" t="s">
        <v>1109</v>
      </c>
      <c r="D38" s="1" t="s">
        <v>1613</v>
      </c>
      <c r="E38" s="1" t="s">
        <v>1614</v>
      </c>
      <c r="F38" s="1" t="s">
        <v>1304</v>
      </c>
      <c r="G38" s="1" t="s">
        <v>583</v>
      </c>
      <c r="H38" s="134">
        <v>19426</v>
      </c>
      <c r="I38" s="1" t="s">
        <v>584</v>
      </c>
      <c r="J38" s="1" t="s">
        <v>1615</v>
      </c>
      <c r="K38" s="1" t="s">
        <v>666</v>
      </c>
      <c r="M38" s="1">
        <v>3330027425</v>
      </c>
      <c r="N38" s="1" t="s">
        <v>1616</v>
      </c>
      <c r="O38" s="1" t="s">
        <v>1617</v>
      </c>
      <c r="P38" s="1" t="s">
        <v>1618</v>
      </c>
      <c r="Q38" s="1" t="s">
        <v>1619</v>
      </c>
      <c r="R38" s="1" t="s">
        <v>592</v>
      </c>
      <c r="S38" s="1" t="s">
        <v>593</v>
      </c>
      <c r="T38" s="1" t="s">
        <v>594</v>
      </c>
      <c r="U38" s="1" t="s">
        <v>1620</v>
      </c>
      <c r="V38" s="1">
        <v>959310723</v>
      </c>
      <c r="X38" s="1" t="s">
        <v>596</v>
      </c>
      <c r="AL38" s="1" t="s">
        <v>596</v>
      </c>
      <c r="AT38" s="1" t="s">
        <v>706</v>
      </c>
      <c r="AU38" s="1">
        <v>1</v>
      </c>
      <c r="AV38" s="1">
        <v>7</v>
      </c>
      <c r="AX38" s="1">
        <v>5</v>
      </c>
      <c r="AY38" s="1">
        <v>2</v>
      </c>
      <c r="AZ38" s="1">
        <v>0</v>
      </c>
      <c r="BA38" s="1">
        <v>0</v>
      </c>
      <c r="BB38" s="1">
        <v>0</v>
      </c>
      <c r="BC38" s="1">
        <v>0</v>
      </c>
      <c r="BD38" s="1">
        <v>0</v>
      </c>
      <c r="BE38" s="1">
        <v>0</v>
      </c>
      <c r="BF38" s="1">
        <v>0</v>
      </c>
      <c r="BG38" s="1">
        <v>0</v>
      </c>
      <c r="BH38" s="1">
        <v>0</v>
      </c>
      <c r="BI38" s="1">
        <v>0</v>
      </c>
      <c r="BJ38" s="1">
        <v>0</v>
      </c>
      <c r="BK38" s="1" t="s">
        <v>707</v>
      </c>
      <c r="BL38" s="1">
        <v>0</v>
      </c>
      <c r="BM38" s="1" t="s">
        <v>708</v>
      </c>
      <c r="BN38" s="1" t="s">
        <v>599</v>
      </c>
      <c r="BO38" s="1" t="s">
        <v>1337</v>
      </c>
      <c r="BP38" s="1">
        <v>33.524433700000003</v>
      </c>
      <c r="BQ38" s="1">
        <v>36.362435699999999</v>
      </c>
      <c r="BR38" s="1" t="s">
        <v>637</v>
      </c>
      <c r="BS38" s="1" t="s">
        <v>596</v>
      </c>
      <c r="BU38" s="134"/>
      <c r="BX38" s="1" t="s">
        <v>602</v>
      </c>
      <c r="BY38" s="1">
        <v>5</v>
      </c>
      <c r="BZ38" s="1">
        <v>0</v>
      </c>
      <c r="CA38" s="1">
        <v>160</v>
      </c>
      <c r="CB38" s="1" t="s">
        <v>603</v>
      </c>
      <c r="CC38" s="1" t="s">
        <v>603</v>
      </c>
      <c r="CD38" s="1" t="s">
        <v>603</v>
      </c>
      <c r="CE38" s="1" t="s">
        <v>596</v>
      </c>
      <c r="CF38" s="1" t="s">
        <v>604</v>
      </c>
      <c r="CG38" s="1" t="s">
        <v>603</v>
      </c>
      <c r="CH38" s="1" t="s">
        <v>596</v>
      </c>
      <c r="CI38" s="1" t="s">
        <v>596</v>
      </c>
      <c r="CJ38" s="1" t="s">
        <v>46</v>
      </c>
      <c r="CK38" s="1" t="s">
        <v>1621</v>
      </c>
      <c r="CL38" s="1" t="s">
        <v>1622</v>
      </c>
      <c r="CM38" s="1" t="s">
        <v>1623</v>
      </c>
      <c r="CN38" s="1" t="s">
        <v>1624</v>
      </c>
      <c r="CO38" s="1" t="s">
        <v>1625</v>
      </c>
      <c r="CP38" s="1" t="s">
        <v>1626</v>
      </c>
      <c r="CQ38" s="1" t="s">
        <v>1627</v>
      </c>
      <c r="CR38" s="1" t="s">
        <v>1628</v>
      </c>
      <c r="CS38" s="1" t="s">
        <v>1629</v>
      </c>
      <c r="CT38" s="1" t="s">
        <v>1630</v>
      </c>
      <c r="CU38" s="1" t="s">
        <v>1631</v>
      </c>
      <c r="CV38" s="1" t="s">
        <v>1632</v>
      </c>
      <c r="CW38" s="1" t="s">
        <v>1633</v>
      </c>
      <c r="CX38" s="1" t="s">
        <v>1634</v>
      </c>
      <c r="CY38" s="1" t="s">
        <v>1635</v>
      </c>
      <c r="CZ38" s="1" t="s">
        <v>1636</v>
      </c>
      <c r="DA38" s="1" t="s">
        <v>603</v>
      </c>
      <c r="DN38" s="1" t="s">
        <v>596</v>
      </c>
      <c r="DO38" s="1" t="s">
        <v>1637</v>
      </c>
      <c r="DP38" t="s">
        <v>3573</v>
      </c>
    </row>
    <row r="39" spans="1:120" x14ac:dyDescent="0.25">
      <c r="A39" s="1">
        <v>38</v>
      </c>
      <c r="B39" s="134">
        <v>45994</v>
      </c>
      <c r="C39" s="1" t="s">
        <v>1638</v>
      </c>
      <c r="D39" s="1" t="s">
        <v>1540</v>
      </c>
      <c r="E39" s="1" t="s">
        <v>1456</v>
      </c>
      <c r="F39" s="1" t="s">
        <v>1304</v>
      </c>
      <c r="G39" s="1" t="s">
        <v>583</v>
      </c>
      <c r="H39" s="134">
        <v>28200</v>
      </c>
      <c r="I39" s="1" t="s">
        <v>584</v>
      </c>
      <c r="J39" s="1" t="s">
        <v>1639</v>
      </c>
      <c r="K39" s="1" t="s">
        <v>666</v>
      </c>
      <c r="M39" s="1">
        <v>7090093067</v>
      </c>
      <c r="N39" s="1" t="s">
        <v>1640</v>
      </c>
      <c r="O39" s="1" t="s">
        <v>1641</v>
      </c>
      <c r="P39" s="1" t="s">
        <v>1642</v>
      </c>
      <c r="Q39" s="1" t="s">
        <v>1643</v>
      </c>
      <c r="R39" s="1" t="s">
        <v>1463</v>
      </c>
      <c r="S39" s="1" t="s">
        <v>1464</v>
      </c>
      <c r="T39" s="1" t="s">
        <v>1465</v>
      </c>
      <c r="U39" s="1" t="s">
        <v>1644</v>
      </c>
      <c r="V39" s="1">
        <v>963945088024</v>
      </c>
      <c r="X39" s="1" t="s">
        <v>596</v>
      </c>
      <c r="AL39" s="1" t="s">
        <v>596</v>
      </c>
      <c r="AT39" s="1" t="s">
        <v>597</v>
      </c>
      <c r="AU39" s="1">
        <v>1</v>
      </c>
      <c r="AV39" s="1">
        <v>9</v>
      </c>
      <c r="AX39" s="1">
        <v>3</v>
      </c>
      <c r="AY39" s="1">
        <v>1</v>
      </c>
      <c r="AZ39" s="1">
        <v>1</v>
      </c>
      <c r="BA39" s="1">
        <v>2</v>
      </c>
      <c r="BB39" s="1">
        <v>1</v>
      </c>
      <c r="BC39" s="1">
        <v>1</v>
      </c>
      <c r="BD39" s="1">
        <v>0</v>
      </c>
      <c r="BE39" s="1">
        <v>0</v>
      </c>
      <c r="BF39" s="1">
        <v>0</v>
      </c>
      <c r="BG39" s="1">
        <v>0</v>
      </c>
      <c r="BH39" s="1">
        <v>0</v>
      </c>
      <c r="BI39" s="1">
        <v>0</v>
      </c>
      <c r="BJ39" s="1">
        <v>1</v>
      </c>
      <c r="BK39" s="1" t="s">
        <v>741</v>
      </c>
      <c r="BL39" s="1">
        <v>2</v>
      </c>
      <c r="BM39" s="1" t="s">
        <v>598</v>
      </c>
      <c r="BN39" s="1" t="s">
        <v>1465</v>
      </c>
      <c r="BO39" s="1" t="s">
        <v>1644</v>
      </c>
      <c r="BP39" s="1">
        <v>35.646215099999999</v>
      </c>
      <c r="BQ39" s="1">
        <v>36.688088399999998</v>
      </c>
      <c r="BR39" s="1" t="s">
        <v>637</v>
      </c>
      <c r="BS39" s="1" t="s">
        <v>603</v>
      </c>
      <c r="BT39" s="1" t="s">
        <v>676</v>
      </c>
      <c r="BU39" s="134">
        <v>38689</v>
      </c>
      <c r="BV39" s="1" t="s">
        <v>1645</v>
      </c>
      <c r="BW39" s="1" t="s">
        <v>1646</v>
      </c>
      <c r="BX39" s="1" t="s">
        <v>641</v>
      </c>
      <c r="BY39" s="1">
        <v>5</v>
      </c>
      <c r="BZ39" s="1">
        <v>0</v>
      </c>
      <c r="CA39" s="1">
        <v>150</v>
      </c>
      <c r="CB39" s="1" t="s">
        <v>603</v>
      </c>
      <c r="CC39" s="1" t="s">
        <v>603</v>
      </c>
      <c r="CD39" s="1" t="s">
        <v>603</v>
      </c>
      <c r="CE39" s="1" t="s">
        <v>596</v>
      </c>
      <c r="CF39" s="1" t="s">
        <v>604</v>
      </c>
      <c r="CG39" s="1" t="s">
        <v>603</v>
      </c>
      <c r="CH39" s="1" t="s">
        <v>596</v>
      </c>
      <c r="CI39" s="1" t="s">
        <v>596</v>
      </c>
      <c r="CJ39" s="1" t="s">
        <v>860</v>
      </c>
      <c r="CK39" s="1" t="s">
        <v>1647</v>
      </c>
      <c r="CL39" s="1" t="s">
        <v>1648</v>
      </c>
      <c r="CM39" s="1" t="s">
        <v>1649</v>
      </c>
      <c r="CN39" s="1" t="s">
        <v>1650</v>
      </c>
      <c r="CO39" s="1" t="s">
        <v>1651</v>
      </c>
      <c r="CP39" s="1" t="s">
        <v>1652</v>
      </c>
      <c r="CQ39" s="1" t="s">
        <v>1653</v>
      </c>
      <c r="CR39" s="1" t="s">
        <v>1654</v>
      </c>
      <c r="CS39" s="1" t="s">
        <v>1655</v>
      </c>
      <c r="CT39" s="1" t="s">
        <v>1656</v>
      </c>
      <c r="CU39" s="1" t="s">
        <v>1657</v>
      </c>
      <c r="CV39" s="1" t="s">
        <v>1658</v>
      </c>
      <c r="CW39" s="1" t="s">
        <v>1659</v>
      </c>
      <c r="CX39" s="1" t="s">
        <v>1660</v>
      </c>
      <c r="CY39" s="1" t="s">
        <v>1661</v>
      </c>
      <c r="CZ39" s="1" t="s">
        <v>1662</v>
      </c>
      <c r="DA39" s="1" t="s">
        <v>603</v>
      </c>
      <c r="DN39" s="1" t="s">
        <v>596</v>
      </c>
      <c r="DP39" t="s">
        <v>16</v>
      </c>
    </row>
    <row r="40" spans="1:120" x14ac:dyDescent="0.25">
      <c r="A40" s="1">
        <v>39</v>
      </c>
      <c r="B40" s="134">
        <v>45994</v>
      </c>
      <c r="C40" s="1" t="s">
        <v>1663</v>
      </c>
      <c r="D40" s="1" t="s">
        <v>1664</v>
      </c>
      <c r="E40" s="1" t="s">
        <v>1665</v>
      </c>
      <c r="F40" s="1" t="s">
        <v>1666</v>
      </c>
      <c r="G40" s="1" t="s">
        <v>583</v>
      </c>
      <c r="H40" s="134">
        <v>29784</v>
      </c>
      <c r="I40" s="1" t="s">
        <v>584</v>
      </c>
      <c r="J40" s="1" t="s">
        <v>1667</v>
      </c>
      <c r="K40" s="1" t="s">
        <v>666</v>
      </c>
      <c r="M40" s="1">
        <v>3330039898</v>
      </c>
      <c r="N40" s="1" t="s">
        <v>1668</v>
      </c>
      <c r="O40" s="1" t="s">
        <v>1669</v>
      </c>
      <c r="P40" s="1" t="s">
        <v>1670</v>
      </c>
      <c r="Q40" s="1" t="s">
        <v>1671</v>
      </c>
      <c r="R40" s="1" t="s">
        <v>592</v>
      </c>
      <c r="S40" s="1" t="s">
        <v>593</v>
      </c>
      <c r="T40" s="1" t="s">
        <v>594</v>
      </c>
      <c r="U40" s="1" t="s">
        <v>1672</v>
      </c>
      <c r="V40" s="1">
        <v>959320631</v>
      </c>
      <c r="X40" s="1" t="s">
        <v>596</v>
      </c>
      <c r="AL40" s="1" t="s">
        <v>596</v>
      </c>
      <c r="AT40" s="1" t="s">
        <v>597</v>
      </c>
      <c r="AU40" s="1">
        <v>1</v>
      </c>
      <c r="AV40" s="1">
        <v>6</v>
      </c>
      <c r="AX40" s="1">
        <v>1</v>
      </c>
      <c r="AY40" s="1">
        <v>1</v>
      </c>
      <c r="AZ40" s="1">
        <v>1</v>
      </c>
      <c r="BA40" s="1">
        <v>0</v>
      </c>
      <c r="BB40" s="1">
        <v>2</v>
      </c>
      <c r="BC40" s="1">
        <v>1</v>
      </c>
      <c r="BD40" s="1">
        <v>0</v>
      </c>
      <c r="BE40" s="1">
        <v>0</v>
      </c>
      <c r="BF40" s="1">
        <v>0</v>
      </c>
      <c r="BG40" s="1">
        <v>0</v>
      </c>
      <c r="BH40" s="1">
        <v>0</v>
      </c>
      <c r="BI40" s="1">
        <v>0</v>
      </c>
      <c r="BJ40" s="1">
        <v>0</v>
      </c>
      <c r="BK40" s="1" t="s">
        <v>741</v>
      </c>
      <c r="BL40" s="1">
        <v>1</v>
      </c>
      <c r="BM40" s="1" t="s">
        <v>919</v>
      </c>
      <c r="BN40" s="1" t="s">
        <v>599</v>
      </c>
      <c r="BO40" s="1" t="s">
        <v>1337</v>
      </c>
      <c r="BP40" s="1">
        <v>33.5252804</v>
      </c>
      <c r="BQ40" s="1">
        <v>36.361859899999999</v>
      </c>
      <c r="BR40" s="1" t="s">
        <v>637</v>
      </c>
      <c r="BS40" s="1" t="s">
        <v>596</v>
      </c>
      <c r="BU40" s="134"/>
      <c r="BX40" s="1" t="s">
        <v>602</v>
      </c>
      <c r="BY40" s="1">
        <v>2</v>
      </c>
      <c r="BZ40" s="1">
        <v>1</v>
      </c>
      <c r="CA40" s="1">
        <v>70</v>
      </c>
      <c r="CB40" s="1" t="s">
        <v>603</v>
      </c>
      <c r="CC40" s="1" t="s">
        <v>603</v>
      </c>
      <c r="CD40" s="1" t="s">
        <v>603</v>
      </c>
      <c r="CE40" s="1" t="s">
        <v>596</v>
      </c>
      <c r="CF40" s="1" t="s">
        <v>604</v>
      </c>
      <c r="CG40" s="1" t="s">
        <v>603</v>
      </c>
      <c r="CH40" s="1" t="s">
        <v>596</v>
      </c>
      <c r="CI40" s="1" t="s">
        <v>596</v>
      </c>
      <c r="CJ40" s="1" t="s">
        <v>46</v>
      </c>
      <c r="CK40" s="1" t="s">
        <v>1673</v>
      </c>
      <c r="CL40" s="1" t="s">
        <v>1674</v>
      </c>
      <c r="CM40" s="1" t="s">
        <v>1675</v>
      </c>
      <c r="CN40" s="1" t="s">
        <v>1676</v>
      </c>
      <c r="CO40" s="1" t="s">
        <v>1677</v>
      </c>
      <c r="CP40" s="1" t="s">
        <v>1678</v>
      </c>
      <c r="CQ40" s="1" t="s">
        <v>1679</v>
      </c>
      <c r="CR40" s="1" t="s">
        <v>1680</v>
      </c>
      <c r="CS40" s="1" t="s">
        <v>1681</v>
      </c>
      <c r="CT40" s="1" t="s">
        <v>1682</v>
      </c>
      <c r="CU40" s="1" t="s">
        <v>1683</v>
      </c>
      <c r="CV40" s="1" t="s">
        <v>1684</v>
      </c>
      <c r="CW40" s="1" t="s">
        <v>1685</v>
      </c>
      <c r="CX40" s="1" t="s">
        <v>1686</v>
      </c>
      <c r="CY40" s="1" t="s">
        <v>1687</v>
      </c>
      <c r="CZ40" s="1" t="s">
        <v>1688</v>
      </c>
      <c r="DA40" s="1" t="s">
        <v>603</v>
      </c>
      <c r="DN40" s="1" t="s">
        <v>596</v>
      </c>
      <c r="DO40" s="1" t="s">
        <v>1689</v>
      </c>
      <c r="DP40" t="s">
        <v>3573</v>
      </c>
    </row>
    <row r="41" spans="1:120" x14ac:dyDescent="0.25">
      <c r="A41" s="1">
        <v>40</v>
      </c>
      <c r="B41" s="134">
        <v>45994</v>
      </c>
      <c r="C41" s="1" t="s">
        <v>1690</v>
      </c>
      <c r="D41" s="1" t="s">
        <v>1691</v>
      </c>
      <c r="E41" s="1" t="s">
        <v>1692</v>
      </c>
      <c r="F41" s="1" t="s">
        <v>1693</v>
      </c>
      <c r="G41" s="1" t="s">
        <v>664</v>
      </c>
      <c r="H41" s="134">
        <v>33298</v>
      </c>
      <c r="I41" s="1" t="s">
        <v>665</v>
      </c>
      <c r="K41" s="1" t="s">
        <v>666</v>
      </c>
      <c r="M41" s="1">
        <v>3330029600</v>
      </c>
      <c r="N41" s="1" t="s">
        <v>1694</v>
      </c>
      <c r="O41" s="1" t="s">
        <v>1695</v>
      </c>
      <c r="P41" s="1" t="s">
        <v>1696</v>
      </c>
      <c r="Q41" s="1" t="s">
        <v>1697</v>
      </c>
      <c r="R41" s="1" t="s">
        <v>592</v>
      </c>
      <c r="S41" s="1" t="s">
        <v>593</v>
      </c>
      <c r="T41" s="1" t="s">
        <v>594</v>
      </c>
      <c r="U41" s="1" t="s">
        <v>1698</v>
      </c>
      <c r="V41" s="1">
        <v>944545091</v>
      </c>
      <c r="W41" s="1">
        <v>967752781</v>
      </c>
      <c r="X41" s="1" t="s">
        <v>596</v>
      </c>
      <c r="AL41" s="1" t="s">
        <v>596</v>
      </c>
      <c r="AT41" s="1" t="s">
        <v>770</v>
      </c>
      <c r="AU41" s="1">
        <v>1</v>
      </c>
      <c r="AV41" s="1">
        <v>6</v>
      </c>
      <c r="AX41" s="1">
        <v>0</v>
      </c>
      <c r="AY41" s="1">
        <v>1</v>
      </c>
      <c r="AZ41" s="1">
        <v>1</v>
      </c>
      <c r="BA41" s="1">
        <v>2</v>
      </c>
      <c r="BB41" s="1">
        <v>1</v>
      </c>
      <c r="BC41" s="1">
        <v>1</v>
      </c>
      <c r="BD41" s="1">
        <v>0</v>
      </c>
      <c r="BE41" s="1">
        <v>0</v>
      </c>
      <c r="BF41" s="1">
        <v>0</v>
      </c>
      <c r="BG41" s="1">
        <v>0</v>
      </c>
      <c r="BH41" s="1">
        <v>1</v>
      </c>
      <c r="BI41" s="1">
        <v>0</v>
      </c>
      <c r="BJ41" s="1">
        <v>0</v>
      </c>
      <c r="BK41" s="1" t="s">
        <v>674</v>
      </c>
      <c r="BL41" s="1">
        <v>0</v>
      </c>
      <c r="BM41" s="1" t="s">
        <v>708</v>
      </c>
      <c r="BN41" s="1" t="s">
        <v>599</v>
      </c>
      <c r="BO41" s="1" t="s">
        <v>1699</v>
      </c>
      <c r="BP41" s="1">
        <v>33.526313199999997</v>
      </c>
      <c r="BQ41" s="1">
        <v>36.3482506</v>
      </c>
      <c r="BR41" s="1" t="s">
        <v>637</v>
      </c>
      <c r="BS41" s="1" t="s">
        <v>603</v>
      </c>
      <c r="BT41" s="1" t="s">
        <v>889</v>
      </c>
      <c r="BU41" s="134">
        <v>28995</v>
      </c>
      <c r="BV41" s="1" t="s">
        <v>1700</v>
      </c>
      <c r="BW41" s="1" t="s">
        <v>1701</v>
      </c>
      <c r="BX41" s="1" t="s">
        <v>641</v>
      </c>
      <c r="BY41" s="1">
        <v>3</v>
      </c>
      <c r="BZ41" s="1">
        <v>4</v>
      </c>
      <c r="CA41" s="1">
        <v>60</v>
      </c>
      <c r="CB41" s="1" t="s">
        <v>603</v>
      </c>
      <c r="CC41" s="1" t="s">
        <v>603</v>
      </c>
      <c r="CD41" s="1" t="s">
        <v>603</v>
      </c>
      <c r="CE41" s="1" t="s">
        <v>596</v>
      </c>
      <c r="CF41" s="1" t="s">
        <v>604</v>
      </c>
      <c r="CG41" s="1" t="s">
        <v>603</v>
      </c>
      <c r="CH41" s="1" t="s">
        <v>596</v>
      </c>
      <c r="CI41" s="1" t="s">
        <v>596</v>
      </c>
      <c r="CJ41" s="1" t="s">
        <v>860</v>
      </c>
      <c r="CK41" s="1" t="s">
        <v>1702</v>
      </c>
      <c r="CL41" s="1" t="s">
        <v>1703</v>
      </c>
      <c r="CM41" s="1" t="s">
        <v>1704</v>
      </c>
      <c r="CN41" s="1" t="s">
        <v>1705</v>
      </c>
      <c r="CO41" s="1" t="s">
        <v>1706</v>
      </c>
      <c r="CP41" s="1" t="s">
        <v>1707</v>
      </c>
      <c r="CQ41" s="1" t="s">
        <v>1708</v>
      </c>
      <c r="CR41" s="1" t="s">
        <v>1709</v>
      </c>
      <c r="CS41" s="1" t="s">
        <v>1710</v>
      </c>
      <c r="CT41" s="1" t="s">
        <v>1711</v>
      </c>
      <c r="CU41" s="1" t="s">
        <v>1712</v>
      </c>
      <c r="CV41" s="1" t="s">
        <v>1713</v>
      </c>
      <c r="CW41" s="1" t="s">
        <v>1714</v>
      </c>
      <c r="CX41" s="1" t="s">
        <v>1715</v>
      </c>
      <c r="CY41" s="1" t="s">
        <v>1716</v>
      </c>
      <c r="CZ41" s="1" t="s">
        <v>1717</v>
      </c>
      <c r="DA41" s="1" t="s">
        <v>603</v>
      </c>
      <c r="DN41" s="1" t="s">
        <v>596</v>
      </c>
      <c r="DO41" s="1" t="s">
        <v>1718</v>
      </c>
      <c r="DP41" t="s">
        <v>3573</v>
      </c>
    </row>
    <row r="42" spans="1:120" x14ac:dyDescent="0.25">
      <c r="A42" s="1">
        <v>41</v>
      </c>
      <c r="B42" s="134">
        <v>45994</v>
      </c>
      <c r="C42" s="1" t="s">
        <v>1719</v>
      </c>
      <c r="D42" s="1" t="s">
        <v>1720</v>
      </c>
      <c r="E42" s="1" t="s">
        <v>1721</v>
      </c>
      <c r="F42" s="1" t="s">
        <v>1722</v>
      </c>
      <c r="G42" s="1" t="s">
        <v>583</v>
      </c>
      <c r="H42" s="134">
        <v>28277</v>
      </c>
      <c r="I42" s="1" t="s">
        <v>584</v>
      </c>
      <c r="J42" s="1" t="s">
        <v>1723</v>
      </c>
      <c r="K42" s="1" t="s">
        <v>666</v>
      </c>
      <c r="M42" s="1">
        <v>3330043051</v>
      </c>
      <c r="N42" s="1" t="s">
        <v>1724</v>
      </c>
      <c r="O42" s="1" t="s">
        <v>1725</v>
      </c>
      <c r="P42" s="1" t="s">
        <v>1726</v>
      </c>
      <c r="Q42" s="1" t="s">
        <v>1727</v>
      </c>
      <c r="R42" s="1" t="s">
        <v>592</v>
      </c>
      <c r="S42" s="1" t="s">
        <v>593</v>
      </c>
      <c r="T42" s="1" t="s">
        <v>594</v>
      </c>
      <c r="U42" s="1" t="s">
        <v>1728</v>
      </c>
      <c r="V42" s="1">
        <v>963968542183</v>
      </c>
      <c r="W42" s="1">
        <v>996729848</v>
      </c>
      <c r="X42" s="1" t="s">
        <v>596</v>
      </c>
      <c r="AL42" s="1" t="s">
        <v>603</v>
      </c>
      <c r="AM42" s="1" t="s">
        <v>1729</v>
      </c>
      <c r="AN42" s="1">
        <v>1</v>
      </c>
      <c r="AO42" s="1">
        <v>1</v>
      </c>
      <c r="AP42" s="1">
        <v>0</v>
      </c>
      <c r="AQ42" s="1">
        <v>0</v>
      </c>
      <c r="AR42" s="1">
        <v>0</v>
      </c>
      <c r="AT42" s="1" t="s">
        <v>597</v>
      </c>
      <c r="AU42" s="1">
        <v>1</v>
      </c>
      <c r="AV42" s="1">
        <v>6</v>
      </c>
      <c r="AX42" s="1">
        <v>2</v>
      </c>
      <c r="AY42" s="1">
        <v>2</v>
      </c>
      <c r="AZ42" s="1">
        <v>1</v>
      </c>
      <c r="BA42" s="1">
        <v>1</v>
      </c>
      <c r="BB42" s="1">
        <v>0</v>
      </c>
      <c r="BC42" s="1">
        <v>0</v>
      </c>
      <c r="BD42" s="1">
        <v>0</v>
      </c>
      <c r="BE42" s="1">
        <v>0</v>
      </c>
      <c r="BF42" s="1">
        <v>0</v>
      </c>
      <c r="BG42" s="1">
        <v>0</v>
      </c>
      <c r="BH42" s="1">
        <v>0</v>
      </c>
      <c r="BI42" s="1">
        <v>0</v>
      </c>
      <c r="BJ42" s="1">
        <v>0</v>
      </c>
      <c r="BK42" s="1" t="s">
        <v>741</v>
      </c>
      <c r="BL42" s="1">
        <v>2</v>
      </c>
      <c r="BM42" s="1" t="s">
        <v>635</v>
      </c>
      <c r="BN42" s="1" t="s">
        <v>599</v>
      </c>
      <c r="BO42" s="1" t="s">
        <v>1730</v>
      </c>
      <c r="BP42" s="1">
        <v>33.5281576</v>
      </c>
      <c r="BQ42" s="1">
        <v>36.347179199999999</v>
      </c>
      <c r="BR42" s="1" t="s">
        <v>637</v>
      </c>
      <c r="BS42" s="1" t="s">
        <v>603</v>
      </c>
      <c r="BT42" s="1" t="s">
        <v>638</v>
      </c>
      <c r="BU42" s="134">
        <v>40706</v>
      </c>
      <c r="BV42" s="1" t="s">
        <v>1731</v>
      </c>
      <c r="BW42" s="1" t="s">
        <v>1732</v>
      </c>
      <c r="BX42" s="1" t="s">
        <v>641</v>
      </c>
      <c r="BY42" s="1">
        <v>2</v>
      </c>
      <c r="BZ42" s="1">
        <v>5</v>
      </c>
      <c r="CA42" s="1">
        <v>196</v>
      </c>
      <c r="CB42" s="1" t="s">
        <v>596</v>
      </c>
      <c r="CC42" s="1" t="s">
        <v>603</v>
      </c>
      <c r="CD42" s="1" t="s">
        <v>603</v>
      </c>
      <c r="CE42" s="1" t="s">
        <v>596</v>
      </c>
      <c r="CF42" s="1" t="s">
        <v>604</v>
      </c>
      <c r="CG42" s="1" t="s">
        <v>603</v>
      </c>
      <c r="CH42" s="1" t="s">
        <v>596</v>
      </c>
      <c r="CI42" s="1" t="s">
        <v>596</v>
      </c>
      <c r="CJ42" s="1" t="s">
        <v>51</v>
      </c>
      <c r="CK42" s="1" t="s">
        <v>1733</v>
      </c>
      <c r="CL42" s="1" t="s">
        <v>1734</v>
      </c>
      <c r="CM42" s="1" t="s">
        <v>1735</v>
      </c>
      <c r="CN42" s="1" t="s">
        <v>1736</v>
      </c>
      <c r="CO42" s="1" t="s">
        <v>1737</v>
      </c>
      <c r="CP42" s="1" t="s">
        <v>1738</v>
      </c>
      <c r="CQ42" s="1" t="s">
        <v>1739</v>
      </c>
      <c r="CR42" s="1" t="s">
        <v>1740</v>
      </c>
      <c r="CS42" s="1" t="s">
        <v>1741</v>
      </c>
      <c r="CT42" s="1" t="s">
        <v>1742</v>
      </c>
      <c r="CU42" s="1" t="s">
        <v>1743</v>
      </c>
      <c r="CV42" s="1" t="s">
        <v>1744</v>
      </c>
      <c r="CW42" s="1" t="s">
        <v>1745</v>
      </c>
      <c r="CX42" s="1" t="s">
        <v>1746</v>
      </c>
      <c r="CY42" s="1" t="s">
        <v>1747</v>
      </c>
      <c r="CZ42" s="1" t="s">
        <v>1748</v>
      </c>
      <c r="DA42" s="1" t="s">
        <v>603</v>
      </c>
      <c r="DN42" s="1" t="s">
        <v>596</v>
      </c>
      <c r="DO42" s="1" t="s">
        <v>1749</v>
      </c>
      <c r="DP42" t="s">
        <v>3573</v>
      </c>
    </row>
    <row r="43" spans="1:120" x14ac:dyDescent="0.25">
      <c r="A43" s="1">
        <v>42</v>
      </c>
      <c r="B43" s="134">
        <v>45994</v>
      </c>
      <c r="C43" s="1" t="s">
        <v>1750</v>
      </c>
      <c r="D43" s="1" t="s">
        <v>1751</v>
      </c>
      <c r="E43" s="1" t="s">
        <v>1752</v>
      </c>
      <c r="F43" s="1" t="s">
        <v>1753</v>
      </c>
      <c r="G43" s="1" t="s">
        <v>583</v>
      </c>
      <c r="H43" s="134">
        <v>34704</v>
      </c>
      <c r="I43" s="1" t="s">
        <v>584</v>
      </c>
      <c r="J43" s="1" t="s">
        <v>1754</v>
      </c>
      <c r="K43" s="1" t="s">
        <v>627</v>
      </c>
      <c r="M43" s="1">
        <v>1010061374</v>
      </c>
      <c r="N43" s="1" t="s">
        <v>1755</v>
      </c>
      <c r="O43" s="1" t="s">
        <v>1756</v>
      </c>
      <c r="P43" s="1" t="s">
        <v>1757</v>
      </c>
      <c r="Q43" s="1" t="s">
        <v>1758</v>
      </c>
      <c r="R43" s="1" t="s">
        <v>592</v>
      </c>
      <c r="S43" s="1" t="s">
        <v>593</v>
      </c>
      <c r="T43" s="1" t="s">
        <v>594</v>
      </c>
      <c r="U43" s="1" t="s">
        <v>1759</v>
      </c>
      <c r="V43" s="1">
        <v>963945497713</v>
      </c>
      <c r="W43" s="1">
        <v>9699041360</v>
      </c>
      <c r="X43" s="1" t="s">
        <v>596</v>
      </c>
      <c r="AL43" s="1" t="s">
        <v>603</v>
      </c>
      <c r="AM43" s="1" t="s">
        <v>1760</v>
      </c>
      <c r="AN43" s="1">
        <v>1</v>
      </c>
      <c r="AO43" s="1">
        <v>0</v>
      </c>
      <c r="AP43" s="1">
        <v>0</v>
      </c>
      <c r="AQ43" s="1">
        <v>1</v>
      </c>
      <c r="AR43" s="1">
        <v>0</v>
      </c>
      <c r="AT43" s="1" t="s">
        <v>597</v>
      </c>
      <c r="AU43" s="1">
        <v>2</v>
      </c>
      <c r="AV43" s="1">
        <v>5</v>
      </c>
      <c r="AX43" s="1">
        <v>3</v>
      </c>
      <c r="AY43" s="1">
        <v>2</v>
      </c>
      <c r="AZ43" s="1">
        <v>0</v>
      </c>
      <c r="BA43" s="1">
        <v>0</v>
      </c>
      <c r="BB43" s="1">
        <v>0</v>
      </c>
      <c r="BC43" s="1">
        <v>0</v>
      </c>
      <c r="BD43" s="1">
        <v>0</v>
      </c>
      <c r="BE43" s="1">
        <v>0</v>
      </c>
      <c r="BF43" s="1">
        <v>0</v>
      </c>
      <c r="BG43" s="1">
        <v>0</v>
      </c>
      <c r="BH43" s="1">
        <v>0</v>
      </c>
      <c r="BI43" s="1">
        <v>0</v>
      </c>
      <c r="BJ43" s="1">
        <v>0</v>
      </c>
      <c r="BK43" s="1" t="s">
        <v>707</v>
      </c>
      <c r="BL43" s="1">
        <v>1</v>
      </c>
      <c r="BM43" s="1" t="s">
        <v>635</v>
      </c>
      <c r="BN43" s="1" t="s">
        <v>599</v>
      </c>
      <c r="BO43" s="1" t="s">
        <v>1759</v>
      </c>
      <c r="BP43" s="1">
        <v>33.527529100000002</v>
      </c>
      <c r="BQ43" s="1">
        <v>36.346993500000004</v>
      </c>
      <c r="BR43" s="1" t="s">
        <v>637</v>
      </c>
      <c r="BS43" s="1" t="s">
        <v>603</v>
      </c>
      <c r="BT43" s="1" t="s">
        <v>857</v>
      </c>
      <c r="BU43" s="134">
        <v>40150</v>
      </c>
      <c r="BV43" s="1" t="s">
        <v>1761</v>
      </c>
      <c r="BW43" s="1" t="s">
        <v>1762</v>
      </c>
      <c r="BX43" s="1" t="s">
        <v>641</v>
      </c>
      <c r="BY43" s="1">
        <v>1</v>
      </c>
      <c r="BZ43" s="1">
        <v>2</v>
      </c>
      <c r="CA43" s="1">
        <v>70</v>
      </c>
      <c r="CB43" s="1" t="s">
        <v>603</v>
      </c>
      <c r="CC43" s="1" t="s">
        <v>603</v>
      </c>
      <c r="CD43" s="1" t="s">
        <v>603</v>
      </c>
      <c r="CE43" s="1" t="s">
        <v>596</v>
      </c>
      <c r="CF43" s="1" t="s">
        <v>604</v>
      </c>
      <c r="CG43" s="1" t="s">
        <v>603</v>
      </c>
      <c r="CH43" s="1" t="s">
        <v>596</v>
      </c>
      <c r="CI43" s="1" t="s">
        <v>596</v>
      </c>
      <c r="CJ43" s="1" t="s">
        <v>46</v>
      </c>
      <c r="CK43" s="1" t="s">
        <v>1763</v>
      </c>
      <c r="CL43" s="1" t="s">
        <v>1764</v>
      </c>
      <c r="CM43" s="1" t="s">
        <v>1765</v>
      </c>
      <c r="CN43" s="1" t="s">
        <v>1766</v>
      </c>
      <c r="CO43" s="1" t="s">
        <v>1767</v>
      </c>
      <c r="CP43" s="1" t="s">
        <v>1768</v>
      </c>
      <c r="CQ43" s="1" t="s">
        <v>1769</v>
      </c>
      <c r="CR43" s="1" t="s">
        <v>1770</v>
      </c>
      <c r="CS43" s="1" t="s">
        <v>1771</v>
      </c>
      <c r="CT43" s="1" t="s">
        <v>1772</v>
      </c>
      <c r="CU43" s="1" t="s">
        <v>1773</v>
      </c>
      <c r="CV43" s="1" t="s">
        <v>1774</v>
      </c>
      <c r="CW43" s="1" t="s">
        <v>1775</v>
      </c>
      <c r="CX43" s="1" t="s">
        <v>1776</v>
      </c>
      <c r="CY43" s="1" t="s">
        <v>1777</v>
      </c>
      <c r="CZ43" s="1" t="s">
        <v>1778</v>
      </c>
      <c r="DA43" s="1" t="s">
        <v>603</v>
      </c>
      <c r="DN43" s="1" t="s">
        <v>596</v>
      </c>
      <c r="DO43" s="1" t="s">
        <v>1779</v>
      </c>
      <c r="DP43" t="s">
        <v>3573</v>
      </c>
    </row>
    <row r="44" spans="1:120" x14ac:dyDescent="0.25">
      <c r="A44" s="1">
        <v>43</v>
      </c>
      <c r="B44" s="134">
        <v>45994</v>
      </c>
      <c r="C44" s="1" t="s">
        <v>1780</v>
      </c>
      <c r="D44" s="1" t="s">
        <v>580</v>
      </c>
      <c r="E44" s="1" t="s">
        <v>1781</v>
      </c>
      <c r="F44" s="1" t="s">
        <v>1782</v>
      </c>
      <c r="G44" s="1" t="s">
        <v>583</v>
      </c>
      <c r="H44" s="134">
        <v>25486</v>
      </c>
      <c r="I44" s="1" t="s">
        <v>584</v>
      </c>
      <c r="J44" s="1" t="s">
        <v>1783</v>
      </c>
      <c r="K44" s="1" t="s">
        <v>586</v>
      </c>
      <c r="L44" s="1" t="s">
        <v>1784</v>
      </c>
      <c r="M44" s="1">
        <v>8620000282</v>
      </c>
      <c r="N44" s="1" t="s">
        <v>1785</v>
      </c>
      <c r="O44" s="1" t="s">
        <v>1786</v>
      </c>
      <c r="P44" s="1" t="s">
        <v>1787</v>
      </c>
      <c r="Q44" s="1" t="s">
        <v>1788</v>
      </c>
      <c r="R44" s="1" t="s">
        <v>592</v>
      </c>
      <c r="S44" s="1" t="s">
        <v>593</v>
      </c>
      <c r="T44" s="1" t="s">
        <v>594</v>
      </c>
      <c r="U44" s="1" t="s">
        <v>1789</v>
      </c>
      <c r="V44" s="1">
        <v>963968915030</v>
      </c>
      <c r="W44" s="1">
        <v>951540559</v>
      </c>
      <c r="X44" s="1" t="s">
        <v>596</v>
      </c>
      <c r="AL44" s="1" t="s">
        <v>596</v>
      </c>
      <c r="AT44" s="1" t="s">
        <v>597</v>
      </c>
      <c r="AU44" s="1">
        <v>1</v>
      </c>
      <c r="AV44" s="1">
        <v>5</v>
      </c>
      <c r="AX44" s="1">
        <v>2</v>
      </c>
      <c r="AY44" s="1">
        <v>2</v>
      </c>
      <c r="AZ44" s="1">
        <v>1</v>
      </c>
      <c r="BA44" s="1">
        <v>0</v>
      </c>
      <c r="BB44" s="1">
        <v>0</v>
      </c>
      <c r="BC44" s="1">
        <v>0</v>
      </c>
      <c r="BD44" s="1">
        <v>0</v>
      </c>
      <c r="BE44" s="1">
        <v>0</v>
      </c>
      <c r="BF44" s="1">
        <v>0</v>
      </c>
      <c r="BG44" s="1">
        <v>0</v>
      </c>
      <c r="BH44" s="1">
        <v>0</v>
      </c>
      <c r="BI44" s="1">
        <v>0</v>
      </c>
      <c r="BJ44" s="1">
        <v>0</v>
      </c>
      <c r="BK44" s="1" t="s">
        <v>707</v>
      </c>
      <c r="BL44" s="1">
        <v>2</v>
      </c>
      <c r="BM44" s="1" t="s">
        <v>598</v>
      </c>
      <c r="BN44" s="1" t="s">
        <v>599</v>
      </c>
      <c r="BO44" s="1" t="s">
        <v>1789</v>
      </c>
      <c r="BP44" s="1">
        <v>33.528489700000002</v>
      </c>
      <c r="BQ44" s="1">
        <v>36.353119100000001</v>
      </c>
      <c r="BR44" s="1" t="s">
        <v>637</v>
      </c>
      <c r="BS44" s="1" t="s">
        <v>603</v>
      </c>
      <c r="BT44" s="1" t="s">
        <v>638</v>
      </c>
      <c r="BU44" s="134">
        <v>45051</v>
      </c>
      <c r="BV44" s="1" t="s">
        <v>1790</v>
      </c>
      <c r="BW44" s="1" t="s">
        <v>1791</v>
      </c>
      <c r="BX44" s="1" t="s">
        <v>641</v>
      </c>
      <c r="BY44" s="1">
        <v>3</v>
      </c>
      <c r="BZ44" s="1">
        <v>3</v>
      </c>
      <c r="CA44" s="1">
        <v>90</v>
      </c>
      <c r="CB44" s="1" t="s">
        <v>603</v>
      </c>
      <c r="CC44" s="1" t="s">
        <v>603</v>
      </c>
      <c r="CD44" s="1" t="s">
        <v>603</v>
      </c>
      <c r="CE44" s="1" t="s">
        <v>596</v>
      </c>
      <c r="CF44" s="1" t="s">
        <v>604</v>
      </c>
      <c r="CG44" s="1" t="s">
        <v>603</v>
      </c>
      <c r="CH44" s="1" t="s">
        <v>596</v>
      </c>
      <c r="CI44" s="1" t="s">
        <v>596</v>
      </c>
      <c r="CJ44" s="1" t="s">
        <v>46</v>
      </c>
      <c r="CK44" s="1" t="s">
        <v>1792</v>
      </c>
      <c r="CL44" s="1" t="s">
        <v>1793</v>
      </c>
      <c r="CM44" s="1" t="s">
        <v>1794</v>
      </c>
      <c r="CN44" s="1" t="s">
        <v>1795</v>
      </c>
      <c r="CO44" s="1" t="s">
        <v>1796</v>
      </c>
      <c r="CP44" s="1" t="s">
        <v>1797</v>
      </c>
      <c r="CQ44" s="1" t="s">
        <v>1798</v>
      </c>
      <c r="CR44" s="1" t="s">
        <v>1799</v>
      </c>
      <c r="CS44" s="1" t="s">
        <v>1800</v>
      </c>
      <c r="CT44" s="1" t="s">
        <v>1801</v>
      </c>
      <c r="CU44" s="1" t="s">
        <v>1802</v>
      </c>
      <c r="CV44" s="1" t="s">
        <v>1803</v>
      </c>
      <c r="CW44" s="1" t="s">
        <v>1804</v>
      </c>
      <c r="CX44" s="1" t="s">
        <v>1805</v>
      </c>
      <c r="CY44" s="1" t="s">
        <v>1806</v>
      </c>
      <c r="CZ44" s="1" t="s">
        <v>1807</v>
      </c>
      <c r="DA44" s="1" t="s">
        <v>603</v>
      </c>
      <c r="DN44" s="1" t="s">
        <v>596</v>
      </c>
      <c r="DO44" s="1" t="s">
        <v>1808</v>
      </c>
      <c r="DP44" t="s">
        <v>3573</v>
      </c>
    </row>
    <row r="45" spans="1:120" x14ac:dyDescent="0.25">
      <c r="A45" s="1">
        <v>44</v>
      </c>
      <c r="B45" s="134">
        <v>45994</v>
      </c>
      <c r="C45" s="1" t="s">
        <v>1166</v>
      </c>
      <c r="D45" s="1" t="s">
        <v>1809</v>
      </c>
      <c r="E45" s="1" t="s">
        <v>793</v>
      </c>
      <c r="F45" s="1" t="s">
        <v>1810</v>
      </c>
      <c r="G45" s="1" t="s">
        <v>664</v>
      </c>
      <c r="H45" s="134">
        <v>27120</v>
      </c>
      <c r="I45" s="1" t="s">
        <v>665</v>
      </c>
      <c r="K45" s="1" t="s">
        <v>666</v>
      </c>
      <c r="M45" s="1">
        <v>3330034550</v>
      </c>
      <c r="N45" s="1" t="s">
        <v>1811</v>
      </c>
      <c r="O45" s="1" t="s">
        <v>1812</v>
      </c>
      <c r="P45" s="1" t="s">
        <v>1813</v>
      </c>
      <c r="Q45" s="1" t="s">
        <v>1814</v>
      </c>
      <c r="R45" s="1" t="s">
        <v>592</v>
      </c>
      <c r="S45" s="1" t="s">
        <v>593</v>
      </c>
      <c r="T45" s="1" t="s">
        <v>594</v>
      </c>
      <c r="U45" s="1" t="s">
        <v>1815</v>
      </c>
      <c r="V45" s="1">
        <v>963930384267</v>
      </c>
      <c r="W45" s="1">
        <v>966538410</v>
      </c>
      <c r="X45" s="1" t="s">
        <v>596</v>
      </c>
      <c r="AL45" s="1" t="s">
        <v>596</v>
      </c>
      <c r="AT45" s="1" t="s">
        <v>597</v>
      </c>
      <c r="AU45" s="1">
        <v>1</v>
      </c>
      <c r="AV45" s="1">
        <v>5</v>
      </c>
      <c r="AX45" s="1">
        <v>1</v>
      </c>
      <c r="AY45" s="1">
        <v>3</v>
      </c>
      <c r="AZ45" s="1">
        <v>0</v>
      </c>
      <c r="BA45" s="1">
        <v>1</v>
      </c>
      <c r="BB45" s="1">
        <v>0</v>
      </c>
      <c r="BC45" s="1">
        <v>0</v>
      </c>
      <c r="BD45" s="1">
        <v>0</v>
      </c>
      <c r="BE45" s="1">
        <v>0</v>
      </c>
      <c r="BF45" s="1">
        <v>0</v>
      </c>
      <c r="BG45" s="1">
        <v>0</v>
      </c>
      <c r="BH45" s="1">
        <v>0</v>
      </c>
      <c r="BI45" s="1">
        <v>0</v>
      </c>
      <c r="BJ45" s="1">
        <v>0</v>
      </c>
      <c r="BK45" s="1" t="s">
        <v>1118</v>
      </c>
      <c r="BL45" s="1">
        <v>1</v>
      </c>
      <c r="BM45" s="1" t="s">
        <v>598</v>
      </c>
      <c r="BN45" s="1" t="s">
        <v>599</v>
      </c>
      <c r="BO45" s="1" t="s">
        <v>1815</v>
      </c>
      <c r="BP45" s="1">
        <v>33.526400600000002</v>
      </c>
      <c r="BQ45" s="1">
        <v>36.348490599999998</v>
      </c>
      <c r="BR45" s="1" t="s">
        <v>637</v>
      </c>
      <c r="BS45" s="1" t="s">
        <v>603</v>
      </c>
      <c r="BT45" s="1" t="s">
        <v>676</v>
      </c>
      <c r="BU45" s="134">
        <v>41052</v>
      </c>
      <c r="BV45" s="1" t="s">
        <v>1816</v>
      </c>
      <c r="BW45" s="1" t="s">
        <v>1817</v>
      </c>
      <c r="BX45" s="1" t="s">
        <v>641</v>
      </c>
      <c r="BY45" s="1">
        <v>3</v>
      </c>
      <c r="BZ45" s="1">
        <v>2</v>
      </c>
      <c r="CA45" s="1">
        <v>100</v>
      </c>
      <c r="CB45" s="1" t="s">
        <v>603</v>
      </c>
      <c r="CC45" s="1" t="s">
        <v>603</v>
      </c>
      <c r="CD45" s="1" t="s">
        <v>603</v>
      </c>
      <c r="CE45" s="1" t="s">
        <v>596</v>
      </c>
      <c r="CF45" s="1" t="s">
        <v>604</v>
      </c>
      <c r="CG45" s="1" t="s">
        <v>603</v>
      </c>
      <c r="CH45" s="1" t="s">
        <v>596</v>
      </c>
      <c r="CI45" s="1" t="s">
        <v>596</v>
      </c>
      <c r="CJ45" s="1" t="s">
        <v>46</v>
      </c>
      <c r="CK45" s="1" t="s">
        <v>1818</v>
      </c>
      <c r="CL45" s="1" t="s">
        <v>1819</v>
      </c>
      <c r="CM45" s="1" t="s">
        <v>1820</v>
      </c>
      <c r="CN45" s="1" t="s">
        <v>1821</v>
      </c>
      <c r="CO45" s="1" t="s">
        <v>1822</v>
      </c>
      <c r="CP45" s="1" t="s">
        <v>1823</v>
      </c>
      <c r="CQ45" s="1" t="s">
        <v>1824</v>
      </c>
      <c r="CR45" s="1" t="s">
        <v>1825</v>
      </c>
      <c r="CS45" s="1" t="s">
        <v>1826</v>
      </c>
      <c r="CT45" s="1" t="s">
        <v>1827</v>
      </c>
      <c r="CU45" s="1" t="s">
        <v>1828</v>
      </c>
      <c r="CV45" s="1" t="s">
        <v>1829</v>
      </c>
      <c r="CW45" s="1" t="s">
        <v>1830</v>
      </c>
      <c r="CX45" s="1" t="s">
        <v>1831</v>
      </c>
      <c r="CY45" s="1" t="s">
        <v>1832</v>
      </c>
      <c r="CZ45" s="1" t="s">
        <v>1833</v>
      </c>
      <c r="DA45" s="1" t="s">
        <v>603</v>
      </c>
      <c r="DN45" s="1" t="s">
        <v>596</v>
      </c>
      <c r="DO45" s="1" t="s">
        <v>1834</v>
      </c>
      <c r="DP45" t="s">
        <v>3573</v>
      </c>
    </row>
    <row r="46" spans="1:120" x14ac:dyDescent="0.25">
      <c r="A46" s="1">
        <v>45</v>
      </c>
      <c r="B46" s="134">
        <v>45994</v>
      </c>
      <c r="C46" s="1" t="s">
        <v>580</v>
      </c>
      <c r="D46" s="1" t="s">
        <v>1835</v>
      </c>
      <c r="E46" s="1" t="s">
        <v>1835</v>
      </c>
      <c r="F46" s="1" t="s">
        <v>1836</v>
      </c>
      <c r="G46" s="1" t="s">
        <v>583</v>
      </c>
      <c r="H46" s="134">
        <v>29092</v>
      </c>
      <c r="I46" s="1" t="s">
        <v>584</v>
      </c>
      <c r="J46" s="1" t="s">
        <v>1837</v>
      </c>
      <c r="K46" s="1" t="s">
        <v>666</v>
      </c>
      <c r="M46" s="1">
        <v>3330040501</v>
      </c>
      <c r="N46" s="1" t="s">
        <v>1838</v>
      </c>
      <c r="O46" s="1" t="s">
        <v>1839</v>
      </c>
      <c r="P46" s="1" t="s">
        <v>1840</v>
      </c>
      <c r="Q46" s="1" t="s">
        <v>1841</v>
      </c>
      <c r="R46" s="1" t="s">
        <v>592</v>
      </c>
      <c r="S46" s="1" t="s">
        <v>593</v>
      </c>
      <c r="T46" s="1" t="s">
        <v>594</v>
      </c>
      <c r="U46" s="1" t="s">
        <v>1842</v>
      </c>
      <c r="V46" s="1">
        <v>963951896778</v>
      </c>
      <c r="W46" s="1">
        <v>951896778</v>
      </c>
      <c r="X46" s="1" t="s">
        <v>596</v>
      </c>
      <c r="AL46" s="1" t="s">
        <v>596</v>
      </c>
      <c r="AT46" s="1" t="s">
        <v>597</v>
      </c>
      <c r="AU46" s="1">
        <v>2</v>
      </c>
      <c r="AV46" s="1">
        <v>7</v>
      </c>
      <c r="AX46" s="1">
        <v>1</v>
      </c>
      <c r="AY46" s="1">
        <v>2</v>
      </c>
      <c r="AZ46" s="1">
        <v>1</v>
      </c>
      <c r="BA46" s="1">
        <v>1</v>
      </c>
      <c r="BB46" s="1">
        <v>0</v>
      </c>
      <c r="BC46" s="1">
        <v>2</v>
      </c>
      <c r="BD46" s="1">
        <v>0</v>
      </c>
      <c r="BE46" s="1">
        <v>0</v>
      </c>
      <c r="BF46" s="1">
        <v>0</v>
      </c>
      <c r="BG46" s="1">
        <v>0</v>
      </c>
      <c r="BH46" s="1">
        <v>0</v>
      </c>
      <c r="BI46" s="1">
        <v>0</v>
      </c>
      <c r="BJ46" s="1">
        <v>0</v>
      </c>
      <c r="BK46" s="1" t="s">
        <v>707</v>
      </c>
      <c r="BL46" s="1">
        <v>0</v>
      </c>
      <c r="BM46" s="1" t="s">
        <v>598</v>
      </c>
      <c r="BN46" s="1" t="s">
        <v>599</v>
      </c>
      <c r="BO46" s="1" t="s">
        <v>1842</v>
      </c>
      <c r="BP46" s="1">
        <v>33.527768199999997</v>
      </c>
      <c r="BQ46" s="1">
        <v>36.347718100000002</v>
      </c>
      <c r="BR46" s="1" t="s">
        <v>637</v>
      </c>
      <c r="BS46" s="1" t="s">
        <v>603</v>
      </c>
      <c r="BT46" s="1" t="s">
        <v>1843</v>
      </c>
      <c r="BU46" s="134">
        <v>45994</v>
      </c>
      <c r="BV46" s="1" t="s">
        <v>1844</v>
      </c>
      <c r="BW46" s="1" t="s">
        <v>1845</v>
      </c>
      <c r="BX46" s="1" t="s">
        <v>641</v>
      </c>
      <c r="BY46" s="1">
        <v>3</v>
      </c>
      <c r="BZ46" s="1">
        <v>1</v>
      </c>
      <c r="CA46" s="1">
        <v>105</v>
      </c>
      <c r="CB46" s="1" t="s">
        <v>603</v>
      </c>
      <c r="CC46" s="1" t="s">
        <v>603</v>
      </c>
      <c r="CD46" s="1" t="s">
        <v>603</v>
      </c>
      <c r="CE46" s="1" t="s">
        <v>596</v>
      </c>
      <c r="CF46" s="1" t="s">
        <v>604</v>
      </c>
      <c r="CG46" s="1" t="s">
        <v>603</v>
      </c>
      <c r="CH46" s="1" t="s">
        <v>596</v>
      </c>
      <c r="CI46" s="1" t="s">
        <v>596</v>
      </c>
      <c r="CJ46" s="1" t="s">
        <v>46</v>
      </c>
      <c r="CK46" s="1" t="s">
        <v>1846</v>
      </c>
      <c r="CL46" s="1" t="s">
        <v>1847</v>
      </c>
      <c r="CM46" s="1" t="s">
        <v>1848</v>
      </c>
      <c r="CN46" s="1" t="s">
        <v>1849</v>
      </c>
      <c r="CO46" s="1" t="s">
        <v>1850</v>
      </c>
      <c r="CP46" s="1" t="s">
        <v>1851</v>
      </c>
      <c r="CQ46" s="1" t="s">
        <v>1852</v>
      </c>
      <c r="CR46" s="1" t="s">
        <v>1853</v>
      </c>
      <c r="CS46" s="1" t="s">
        <v>1854</v>
      </c>
      <c r="CT46" s="1" t="s">
        <v>1855</v>
      </c>
      <c r="CU46" s="1" t="s">
        <v>1856</v>
      </c>
      <c r="CV46" s="1" t="s">
        <v>1857</v>
      </c>
      <c r="CW46" s="1" t="s">
        <v>1858</v>
      </c>
      <c r="CX46" s="1" t="s">
        <v>1859</v>
      </c>
      <c r="CY46" s="1" t="s">
        <v>1860</v>
      </c>
      <c r="CZ46" s="1" t="s">
        <v>1861</v>
      </c>
      <c r="DA46" s="1" t="s">
        <v>603</v>
      </c>
      <c r="DN46" s="1" t="s">
        <v>596</v>
      </c>
      <c r="DO46" s="1" t="s">
        <v>1862</v>
      </c>
      <c r="DP46" t="s">
        <v>3573</v>
      </c>
    </row>
    <row r="47" spans="1:120" x14ac:dyDescent="0.25">
      <c r="A47" s="1">
        <v>46</v>
      </c>
      <c r="B47" s="134">
        <v>45994</v>
      </c>
      <c r="C47" s="1" t="s">
        <v>1356</v>
      </c>
      <c r="D47" s="1" t="s">
        <v>580</v>
      </c>
      <c r="E47" s="1" t="s">
        <v>1863</v>
      </c>
      <c r="F47" s="1" t="s">
        <v>1864</v>
      </c>
      <c r="G47" s="1" t="s">
        <v>583</v>
      </c>
      <c r="H47" s="134">
        <v>21226</v>
      </c>
      <c r="I47" s="1" t="s">
        <v>584</v>
      </c>
      <c r="J47" s="1" t="s">
        <v>1865</v>
      </c>
      <c r="K47" s="1" t="s">
        <v>666</v>
      </c>
      <c r="M47" s="1">
        <v>3330040462</v>
      </c>
      <c r="N47" s="1" t="s">
        <v>1866</v>
      </c>
      <c r="O47" s="1" t="s">
        <v>1867</v>
      </c>
      <c r="P47" s="1" t="s">
        <v>1868</v>
      </c>
      <c r="Q47" s="1" t="s">
        <v>1869</v>
      </c>
      <c r="R47" s="1" t="s">
        <v>592</v>
      </c>
      <c r="S47" s="1" t="s">
        <v>593</v>
      </c>
      <c r="T47" s="1" t="s">
        <v>594</v>
      </c>
      <c r="U47" s="1" t="s">
        <v>1870</v>
      </c>
      <c r="V47" s="1">
        <v>963954053256</v>
      </c>
      <c r="W47" s="1">
        <v>959547384</v>
      </c>
      <c r="X47" s="1" t="s">
        <v>596</v>
      </c>
      <c r="AL47" s="1" t="s">
        <v>596</v>
      </c>
      <c r="AT47" s="1" t="s">
        <v>706</v>
      </c>
      <c r="AU47" s="1">
        <v>1</v>
      </c>
      <c r="AV47" s="1">
        <v>6</v>
      </c>
      <c r="AX47" s="1">
        <v>2</v>
      </c>
      <c r="AY47" s="1">
        <v>2</v>
      </c>
      <c r="AZ47" s="1">
        <v>0</v>
      </c>
      <c r="BA47" s="1">
        <v>0</v>
      </c>
      <c r="BB47" s="1">
        <v>0</v>
      </c>
      <c r="BC47" s="1">
        <v>2</v>
      </c>
      <c r="BD47" s="1">
        <v>0</v>
      </c>
      <c r="BE47" s="1">
        <v>1</v>
      </c>
      <c r="BF47" s="1">
        <v>0</v>
      </c>
      <c r="BG47" s="1">
        <v>0</v>
      </c>
      <c r="BH47" s="1">
        <v>0</v>
      </c>
      <c r="BI47" s="1">
        <v>0</v>
      </c>
      <c r="BJ47" s="1">
        <v>0</v>
      </c>
      <c r="BK47" s="1" t="s">
        <v>1118</v>
      </c>
      <c r="BL47" s="1">
        <v>2</v>
      </c>
      <c r="BM47" s="1" t="s">
        <v>708</v>
      </c>
      <c r="BN47" s="1" t="s">
        <v>599</v>
      </c>
      <c r="BO47" s="1" t="s">
        <v>1870</v>
      </c>
      <c r="BP47" s="1">
        <v>33.523752700000003</v>
      </c>
      <c r="BQ47" s="1">
        <v>36.352587900000003</v>
      </c>
      <c r="BR47" s="1" t="s">
        <v>637</v>
      </c>
      <c r="BS47" s="1" t="s">
        <v>603</v>
      </c>
      <c r="BT47" s="1" t="s">
        <v>638</v>
      </c>
      <c r="BU47" s="134">
        <v>43230</v>
      </c>
      <c r="BV47" s="1" t="s">
        <v>1871</v>
      </c>
      <c r="BW47" s="1" t="s">
        <v>1872</v>
      </c>
      <c r="BX47" s="1" t="s">
        <v>641</v>
      </c>
      <c r="BY47" s="1">
        <v>3</v>
      </c>
      <c r="BZ47" s="1">
        <v>2</v>
      </c>
      <c r="CA47" s="1">
        <v>110</v>
      </c>
      <c r="CB47" s="1" t="s">
        <v>596</v>
      </c>
      <c r="CC47" s="1" t="s">
        <v>603</v>
      </c>
      <c r="CD47" s="1" t="s">
        <v>603</v>
      </c>
      <c r="CE47" s="1" t="s">
        <v>596</v>
      </c>
      <c r="CF47" s="1" t="s">
        <v>604</v>
      </c>
      <c r="CG47" s="1" t="s">
        <v>603</v>
      </c>
      <c r="CH47" s="1" t="s">
        <v>596</v>
      </c>
      <c r="CI47" s="1" t="s">
        <v>596</v>
      </c>
      <c r="CJ47" s="1" t="s">
        <v>860</v>
      </c>
      <c r="CK47" s="1" t="s">
        <v>1873</v>
      </c>
      <c r="CL47" s="1" t="s">
        <v>1874</v>
      </c>
      <c r="CM47" s="1" t="s">
        <v>1875</v>
      </c>
      <c r="CN47" s="1" t="s">
        <v>1876</v>
      </c>
      <c r="CO47" s="1" t="s">
        <v>1877</v>
      </c>
      <c r="CP47" s="1" t="s">
        <v>1878</v>
      </c>
      <c r="CQ47" s="1" t="s">
        <v>1879</v>
      </c>
      <c r="CR47" s="1" t="s">
        <v>1880</v>
      </c>
      <c r="CS47" s="1" t="s">
        <v>1881</v>
      </c>
      <c r="CT47" s="1" t="s">
        <v>1882</v>
      </c>
      <c r="CU47" s="1" t="s">
        <v>1883</v>
      </c>
      <c r="CV47" s="1" t="s">
        <v>1884</v>
      </c>
      <c r="CW47" s="1" t="s">
        <v>1885</v>
      </c>
      <c r="CX47" s="1" t="s">
        <v>1886</v>
      </c>
      <c r="CY47" s="1" t="s">
        <v>1887</v>
      </c>
      <c r="CZ47" s="1" t="s">
        <v>1888</v>
      </c>
      <c r="DA47" s="1" t="s">
        <v>603</v>
      </c>
      <c r="DN47" s="1" t="s">
        <v>596</v>
      </c>
      <c r="DO47" s="1" t="s">
        <v>1889</v>
      </c>
      <c r="DP47" t="s">
        <v>3573</v>
      </c>
    </row>
    <row r="48" spans="1:120" x14ac:dyDescent="0.25">
      <c r="A48" s="1">
        <v>47</v>
      </c>
      <c r="B48" s="134">
        <v>45994</v>
      </c>
      <c r="C48" s="1" t="s">
        <v>1890</v>
      </c>
      <c r="D48" s="1" t="s">
        <v>1663</v>
      </c>
      <c r="E48" s="1" t="s">
        <v>1891</v>
      </c>
      <c r="F48" s="1" t="s">
        <v>1892</v>
      </c>
      <c r="G48" s="1" t="s">
        <v>583</v>
      </c>
      <c r="H48" s="134">
        <v>27034</v>
      </c>
      <c r="I48" s="1" t="s">
        <v>584</v>
      </c>
      <c r="J48" s="1" t="s">
        <v>1893</v>
      </c>
      <c r="K48" s="1" t="s">
        <v>666</v>
      </c>
      <c r="M48" s="1">
        <v>91786122513</v>
      </c>
      <c r="N48" s="1" t="s">
        <v>1894</v>
      </c>
      <c r="O48" s="1" t="s">
        <v>1895</v>
      </c>
      <c r="P48" s="1" t="s">
        <v>1896</v>
      </c>
      <c r="Q48" s="1" t="s">
        <v>1897</v>
      </c>
      <c r="R48" s="1" t="s">
        <v>592</v>
      </c>
      <c r="S48" s="1" t="s">
        <v>593</v>
      </c>
      <c r="T48" s="1" t="s">
        <v>594</v>
      </c>
      <c r="U48" s="1" t="s">
        <v>1898</v>
      </c>
      <c r="V48" s="1">
        <v>963981733266</v>
      </c>
      <c r="W48" s="1">
        <v>993785351</v>
      </c>
      <c r="X48" s="1" t="s">
        <v>596</v>
      </c>
      <c r="AL48" s="1" t="s">
        <v>603</v>
      </c>
      <c r="AM48" s="1" t="s">
        <v>672</v>
      </c>
      <c r="AN48" s="1">
        <v>0</v>
      </c>
      <c r="AO48" s="1">
        <v>0</v>
      </c>
      <c r="AP48" s="1">
        <v>0</v>
      </c>
      <c r="AQ48" s="1">
        <v>0</v>
      </c>
      <c r="AR48" s="1">
        <v>1</v>
      </c>
      <c r="AS48" s="1" t="s">
        <v>1899</v>
      </c>
      <c r="AT48" s="1" t="s">
        <v>597</v>
      </c>
      <c r="AU48" s="1">
        <v>1</v>
      </c>
      <c r="AV48" s="1">
        <v>5</v>
      </c>
      <c r="AX48" s="1">
        <v>1</v>
      </c>
      <c r="AY48" s="1">
        <v>2</v>
      </c>
      <c r="AZ48" s="1">
        <v>0</v>
      </c>
      <c r="BA48" s="1">
        <v>1</v>
      </c>
      <c r="BB48" s="1">
        <v>0</v>
      </c>
      <c r="BC48" s="1">
        <v>1</v>
      </c>
      <c r="BD48" s="1">
        <v>0</v>
      </c>
      <c r="BE48" s="1">
        <v>0</v>
      </c>
      <c r="BF48" s="1">
        <v>0</v>
      </c>
      <c r="BG48" s="1">
        <v>0</v>
      </c>
      <c r="BH48" s="1">
        <v>0</v>
      </c>
      <c r="BI48" s="1">
        <v>0</v>
      </c>
      <c r="BJ48" s="1">
        <v>0</v>
      </c>
      <c r="BK48" s="1" t="s">
        <v>707</v>
      </c>
      <c r="BL48" s="1">
        <v>0</v>
      </c>
      <c r="BM48" s="1" t="s">
        <v>598</v>
      </c>
      <c r="BN48" s="1" t="s">
        <v>599</v>
      </c>
      <c r="BO48" s="1" t="s">
        <v>1898</v>
      </c>
      <c r="BP48" s="1">
        <v>33.527354699999997</v>
      </c>
      <c r="BQ48" s="1">
        <v>36.352848299999998</v>
      </c>
      <c r="BR48" s="1" t="s">
        <v>637</v>
      </c>
      <c r="BS48" s="1" t="s">
        <v>603</v>
      </c>
      <c r="BT48" s="1" t="s">
        <v>1843</v>
      </c>
      <c r="BU48" s="134">
        <v>45994</v>
      </c>
      <c r="BV48" s="1" t="s">
        <v>1900</v>
      </c>
      <c r="BW48" s="1" t="s">
        <v>1901</v>
      </c>
      <c r="BX48" s="1" t="s">
        <v>641</v>
      </c>
      <c r="BY48" s="1">
        <v>2</v>
      </c>
      <c r="BZ48" s="1">
        <v>2</v>
      </c>
      <c r="CA48" s="1">
        <v>95</v>
      </c>
      <c r="CB48" s="1" t="s">
        <v>603</v>
      </c>
      <c r="CC48" s="1" t="s">
        <v>603</v>
      </c>
      <c r="CD48" s="1" t="s">
        <v>603</v>
      </c>
      <c r="CE48" s="1" t="s">
        <v>596</v>
      </c>
      <c r="CF48" s="1" t="s">
        <v>604</v>
      </c>
      <c r="CG48" s="1" t="s">
        <v>603</v>
      </c>
      <c r="CH48" s="1" t="s">
        <v>596</v>
      </c>
      <c r="CI48" s="1" t="s">
        <v>596</v>
      </c>
      <c r="CJ48" s="1" t="s">
        <v>860</v>
      </c>
      <c r="CK48" s="1" t="s">
        <v>1902</v>
      </c>
      <c r="CL48" s="1" t="s">
        <v>1903</v>
      </c>
      <c r="CM48" s="1" t="s">
        <v>1904</v>
      </c>
      <c r="CN48" s="1" t="s">
        <v>1905</v>
      </c>
      <c r="CO48" s="1" t="s">
        <v>1906</v>
      </c>
      <c r="CP48" s="1" t="s">
        <v>1907</v>
      </c>
      <c r="CQ48" s="1" t="s">
        <v>1908</v>
      </c>
      <c r="CR48" s="1" t="s">
        <v>1909</v>
      </c>
      <c r="CS48" s="1" t="s">
        <v>1910</v>
      </c>
      <c r="CT48" s="1" t="s">
        <v>1911</v>
      </c>
      <c r="CU48" s="1" t="s">
        <v>1912</v>
      </c>
      <c r="CV48" s="1" t="s">
        <v>1913</v>
      </c>
      <c r="CW48" s="1" t="s">
        <v>1914</v>
      </c>
      <c r="CX48" s="1" t="s">
        <v>1915</v>
      </c>
      <c r="CY48" s="1" t="s">
        <v>1916</v>
      </c>
      <c r="CZ48" s="1" t="s">
        <v>1917</v>
      </c>
      <c r="DA48" s="1" t="s">
        <v>603</v>
      </c>
      <c r="DN48" s="1" t="s">
        <v>596</v>
      </c>
      <c r="DO48" s="1" t="s">
        <v>1918</v>
      </c>
      <c r="DP48" t="s">
        <v>3573</v>
      </c>
    </row>
    <row r="49" spans="1:120" x14ac:dyDescent="0.25">
      <c r="A49" s="1">
        <v>48</v>
      </c>
      <c r="B49" s="134">
        <v>45994</v>
      </c>
      <c r="C49" s="1" t="s">
        <v>1919</v>
      </c>
      <c r="D49" s="1" t="s">
        <v>1920</v>
      </c>
      <c r="E49" s="1" t="s">
        <v>1921</v>
      </c>
      <c r="F49" s="1" t="s">
        <v>1922</v>
      </c>
      <c r="G49" s="1" t="s">
        <v>583</v>
      </c>
      <c r="H49" s="134">
        <v>34004</v>
      </c>
      <c r="I49" s="1" t="s">
        <v>1170</v>
      </c>
      <c r="K49" s="1" t="s">
        <v>627</v>
      </c>
      <c r="M49" s="1">
        <v>3330030801</v>
      </c>
      <c r="N49" s="1" t="s">
        <v>1923</v>
      </c>
      <c r="O49" s="1" t="s">
        <v>1924</v>
      </c>
      <c r="P49" s="1" t="s">
        <v>1925</v>
      </c>
      <c r="Q49" s="1" t="s">
        <v>1926</v>
      </c>
      <c r="R49" s="1" t="s">
        <v>592</v>
      </c>
      <c r="S49" s="1" t="s">
        <v>1927</v>
      </c>
      <c r="T49" s="1" t="s">
        <v>1928</v>
      </c>
      <c r="U49" s="1" t="s">
        <v>1929</v>
      </c>
      <c r="V49" s="1">
        <v>940354402</v>
      </c>
      <c r="X49" s="1" t="s">
        <v>596</v>
      </c>
      <c r="AL49" s="1" t="s">
        <v>596</v>
      </c>
      <c r="AT49" s="1" t="s">
        <v>597</v>
      </c>
      <c r="AU49" s="1">
        <v>1</v>
      </c>
      <c r="AV49" s="1">
        <v>5</v>
      </c>
      <c r="AX49" s="1">
        <v>2</v>
      </c>
      <c r="AY49" s="1">
        <v>3</v>
      </c>
      <c r="AZ49" s="1">
        <v>0</v>
      </c>
      <c r="BA49" s="1">
        <v>0</v>
      </c>
      <c r="BB49" s="1">
        <v>0</v>
      </c>
      <c r="BC49" s="1">
        <v>0</v>
      </c>
      <c r="BD49" s="1">
        <v>0</v>
      </c>
      <c r="BE49" s="1">
        <v>0</v>
      </c>
      <c r="BF49" s="1">
        <v>0</v>
      </c>
      <c r="BG49" s="1">
        <v>0</v>
      </c>
      <c r="BH49" s="1">
        <v>0</v>
      </c>
      <c r="BI49" s="1">
        <v>0</v>
      </c>
      <c r="BJ49" s="1">
        <v>0</v>
      </c>
      <c r="BK49" s="1" t="s">
        <v>707</v>
      </c>
      <c r="BL49" s="1">
        <v>0</v>
      </c>
      <c r="BM49" s="1" t="s">
        <v>919</v>
      </c>
      <c r="BN49" s="1" t="s">
        <v>599</v>
      </c>
      <c r="BO49" s="1" t="s">
        <v>1930</v>
      </c>
      <c r="BP49" s="1">
        <v>33.522536700000003</v>
      </c>
      <c r="BQ49" s="1">
        <v>36.348070999999997</v>
      </c>
      <c r="BR49" s="1" t="s">
        <v>637</v>
      </c>
      <c r="BS49" s="1" t="s">
        <v>603</v>
      </c>
      <c r="BT49" s="1" t="s">
        <v>889</v>
      </c>
      <c r="BU49" s="134">
        <v>45606</v>
      </c>
      <c r="BV49" s="1" t="s">
        <v>1931</v>
      </c>
      <c r="BW49" s="1" t="s">
        <v>1932</v>
      </c>
      <c r="BX49" s="1" t="s">
        <v>602</v>
      </c>
      <c r="BY49" s="1">
        <v>2</v>
      </c>
      <c r="BZ49" s="1">
        <v>0</v>
      </c>
      <c r="CA49" s="1">
        <v>65</v>
      </c>
      <c r="CB49" s="1" t="s">
        <v>596</v>
      </c>
      <c r="CC49" s="1" t="s">
        <v>603</v>
      </c>
      <c r="CD49" s="1" t="s">
        <v>596</v>
      </c>
      <c r="CE49" s="1" t="s">
        <v>603</v>
      </c>
      <c r="CF49" s="1" t="s">
        <v>642</v>
      </c>
      <c r="CG49" s="1" t="s">
        <v>596</v>
      </c>
      <c r="CH49" s="1" t="s">
        <v>596</v>
      </c>
      <c r="CI49" s="1" t="s">
        <v>596</v>
      </c>
      <c r="CJ49" s="1" t="s">
        <v>56</v>
      </c>
      <c r="CK49" s="1" t="s">
        <v>1933</v>
      </c>
      <c r="CL49" s="1" t="s">
        <v>1934</v>
      </c>
      <c r="CM49" s="1" t="s">
        <v>1935</v>
      </c>
      <c r="CN49" s="1" t="s">
        <v>1936</v>
      </c>
      <c r="CO49" s="1" t="s">
        <v>1937</v>
      </c>
      <c r="CP49" s="1" t="s">
        <v>1938</v>
      </c>
      <c r="CQ49" s="1" t="s">
        <v>1939</v>
      </c>
      <c r="CR49" s="1" t="s">
        <v>1940</v>
      </c>
      <c r="CS49" s="1" t="s">
        <v>1941</v>
      </c>
      <c r="CT49" s="1" t="s">
        <v>1942</v>
      </c>
      <c r="CU49" s="1" t="s">
        <v>1943</v>
      </c>
      <c r="CV49" s="1" t="s">
        <v>1944</v>
      </c>
      <c r="CW49" s="1" t="s">
        <v>1945</v>
      </c>
      <c r="CX49" s="1" t="s">
        <v>1946</v>
      </c>
      <c r="CY49" s="1" t="s">
        <v>1947</v>
      </c>
      <c r="CZ49" s="1" t="s">
        <v>1948</v>
      </c>
      <c r="DA49" s="1" t="s">
        <v>603</v>
      </c>
      <c r="DN49" s="1" t="s">
        <v>596</v>
      </c>
      <c r="DO49" s="1" t="s">
        <v>1949</v>
      </c>
      <c r="DP49" t="s">
        <v>3573</v>
      </c>
    </row>
    <row r="50" spans="1:120" x14ac:dyDescent="0.25">
      <c r="A50" s="1">
        <v>49</v>
      </c>
      <c r="B50" s="134">
        <v>45994</v>
      </c>
      <c r="C50" s="1" t="s">
        <v>1950</v>
      </c>
      <c r="D50" s="1" t="s">
        <v>1951</v>
      </c>
      <c r="E50" s="1" t="s">
        <v>1952</v>
      </c>
      <c r="F50" s="1" t="s">
        <v>1953</v>
      </c>
      <c r="G50" s="1" t="s">
        <v>583</v>
      </c>
      <c r="H50" s="134">
        <v>21894</v>
      </c>
      <c r="I50" s="1" t="s">
        <v>584</v>
      </c>
      <c r="J50" s="1" t="s">
        <v>1954</v>
      </c>
      <c r="K50" s="1" t="s">
        <v>666</v>
      </c>
      <c r="M50" s="1">
        <v>3330031010</v>
      </c>
      <c r="N50" s="1" t="s">
        <v>1955</v>
      </c>
      <c r="O50" s="1" t="s">
        <v>1956</v>
      </c>
      <c r="P50" s="1" t="s">
        <v>1957</v>
      </c>
      <c r="Q50" s="1" t="s">
        <v>1958</v>
      </c>
      <c r="R50" s="1" t="s">
        <v>592</v>
      </c>
      <c r="S50" s="1" t="s">
        <v>593</v>
      </c>
      <c r="T50" s="1" t="s">
        <v>594</v>
      </c>
      <c r="U50" s="1" t="s">
        <v>1959</v>
      </c>
      <c r="V50" s="1">
        <v>951387642</v>
      </c>
      <c r="X50" s="1" t="s">
        <v>596</v>
      </c>
      <c r="AL50" s="1" t="s">
        <v>603</v>
      </c>
      <c r="AM50" s="1" t="s">
        <v>672</v>
      </c>
      <c r="AN50" s="1">
        <v>0</v>
      </c>
      <c r="AO50" s="1">
        <v>0</v>
      </c>
      <c r="AP50" s="1">
        <v>0</v>
      </c>
      <c r="AQ50" s="1">
        <v>0</v>
      </c>
      <c r="AR50" s="1">
        <v>1</v>
      </c>
      <c r="AS50" s="1" t="s">
        <v>1960</v>
      </c>
      <c r="AT50" s="1" t="s">
        <v>706</v>
      </c>
      <c r="AU50" s="1">
        <v>2</v>
      </c>
      <c r="AV50" s="1">
        <v>6</v>
      </c>
      <c r="AX50" s="1">
        <v>3</v>
      </c>
      <c r="AY50" s="1">
        <v>3</v>
      </c>
      <c r="AZ50" s="1">
        <v>0</v>
      </c>
      <c r="BA50" s="1">
        <v>0</v>
      </c>
      <c r="BB50" s="1">
        <v>0</v>
      </c>
      <c r="BC50" s="1">
        <v>0</v>
      </c>
      <c r="BD50" s="1">
        <v>1</v>
      </c>
      <c r="BE50" s="1">
        <v>0</v>
      </c>
      <c r="BF50" s="1">
        <v>0</v>
      </c>
      <c r="BG50" s="1">
        <v>0</v>
      </c>
      <c r="BH50" s="1">
        <v>0</v>
      </c>
      <c r="BI50" s="1">
        <v>0</v>
      </c>
      <c r="BJ50" s="1">
        <v>0</v>
      </c>
      <c r="BK50" s="1" t="s">
        <v>586</v>
      </c>
      <c r="BL50" s="1">
        <v>2</v>
      </c>
      <c r="BM50" s="1" t="s">
        <v>598</v>
      </c>
      <c r="BN50" s="1" t="s">
        <v>599</v>
      </c>
      <c r="BO50" s="1" t="s">
        <v>1930</v>
      </c>
      <c r="BP50" s="1">
        <v>33.522599</v>
      </c>
      <c r="BQ50" s="1">
        <v>36.348092100000002</v>
      </c>
      <c r="BR50" s="1" t="s">
        <v>637</v>
      </c>
      <c r="BS50" s="1" t="s">
        <v>603</v>
      </c>
      <c r="BT50" s="1" t="s">
        <v>889</v>
      </c>
      <c r="BU50" s="134">
        <v>45971</v>
      </c>
      <c r="BV50" s="1" t="s">
        <v>1961</v>
      </c>
      <c r="BW50" s="1" t="s">
        <v>1962</v>
      </c>
      <c r="BX50" s="1" t="s">
        <v>602</v>
      </c>
      <c r="BY50" s="1">
        <v>7</v>
      </c>
      <c r="BZ50" s="1">
        <v>0</v>
      </c>
      <c r="CA50" s="1">
        <v>130</v>
      </c>
      <c r="CB50" s="1" t="s">
        <v>603</v>
      </c>
      <c r="CC50" s="1" t="s">
        <v>603</v>
      </c>
      <c r="CD50" s="1" t="s">
        <v>603</v>
      </c>
      <c r="CE50" s="1" t="s">
        <v>603</v>
      </c>
      <c r="CF50" s="1" t="s">
        <v>604</v>
      </c>
      <c r="CG50" s="1" t="s">
        <v>603</v>
      </c>
      <c r="CH50" s="1" t="s">
        <v>596</v>
      </c>
      <c r="CI50" s="1" t="s">
        <v>596</v>
      </c>
      <c r="CJ50" s="1" t="s">
        <v>51</v>
      </c>
      <c r="CK50" s="1" t="s">
        <v>1963</v>
      </c>
      <c r="CL50" s="1" t="s">
        <v>1964</v>
      </c>
      <c r="CM50" s="1" t="s">
        <v>1965</v>
      </c>
      <c r="CN50" s="1" t="s">
        <v>1966</v>
      </c>
      <c r="CO50" s="1" t="s">
        <v>1967</v>
      </c>
      <c r="CP50" s="1" t="s">
        <v>1968</v>
      </c>
      <c r="CQ50" s="1" t="s">
        <v>1969</v>
      </c>
      <c r="CR50" s="1" t="s">
        <v>1970</v>
      </c>
      <c r="CS50" s="1" t="s">
        <v>1971</v>
      </c>
      <c r="CT50" s="1" t="s">
        <v>1972</v>
      </c>
      <c r="CU50" s="1" t="s">
        <v>1973</v>
      </c>
      <c r="CV50" s="1" t="s">
        <v>1974</v>
      </c>
      <c r="CW50" s="1" t="s">
        <v>1975</v>
      </c>
      <c r="CX50" s="1" t="s">
        <v>1976</v>
      </c>
      <c r="CY50" s="1" t="s">
        <v>1977</v>
      </c>
      <c r="CZ50" s="1" t="s">
        <v>1978</v>
      </c>
      <c r="DA50" s="1" t="s">
        <v>603</v>
      </c>
      <c r="DN50" s="1" t="s">
        <v>596</v>
      </c>
      <c r="DO50" s="1" t="s">
        <v>1979</v>
      </c>
      <c r="DP50" t="s">
        <v>3573</v>
      </c>
    </row>
    <row r="51" spans="1:120" x14ac:dyDescent="0.25">
      <c r="A51" s="1">
        <v>50</v>
      </c>
      <c r="B51" s="134">
        <v>45994</v>
      </c>
      <c r="C51" s="1" t="s">
        <v>1540</v>
      </c>
      <c r="D51" s="1" t="s">
        <v>1980</v>
      </c>
      <c r="E51" s="1" t="s">
        <v>1952</v>
      </c>
      <c r="F51" s="1" t="s">
        <v>1953</v>
      </c>
      <c r="G51" s="1" t="s">
        <v>583</v>
      </c>
      <c r="H51" s="134">
        <v>23814</v>
      </c>
      <c r="I51" s="1" t="s">
        <v>584</v>
      </c>
      <c r="J51" s="1" t="s">
        <v>1981</v>
      </c>
      <c r="K51" s="1" t="s">
        <v>666</v>
      </c>
      <c r="M51" s="1">
        <v>3330030909</v>
      </c>
      <c r="N51" s="1" t="s">
        <v>1982</v>
      </c>
      <c r="O51" s="1" t="s">
        <v>1983</v>
      </c>
      <c r="P51" s="1" t="s">
        <v>1984</v>
      </c>
      <c r="Q51" s="1" t="s">
        <v>1985</v>
      </c>
      <c r="R51" s="1" t="s">
        <v>592</v>
      </c>
      <c r="S51" s="1" t="s">
        <v>593</v>
      </c>
      <c r="T51" s="1" t="s">
        <v>594</v>
      </c>
      <c r="U51" s="1" t="s">
        <v>1986</v>
      </c>
      <c r="V51" s="1">
        <v>960635262</v>
      </c>
      <c r="X51" s="1" t="s">
        <v>596</v>
      </c>
      <c r="AL51" s="1" t="s">
        <v>603</v>
      </c>
      <c r="AM51" s="1" t="s">
        <v>705</v>
      </c>
      <c r="AN51" s="1">
        <v>0</v>
      </c>
      <c r="AO51" s="1">
        <v>1</v>
      </c>
      <c r="AP51" s="1">
        <v>0</v>
      </c>
      <c r="AQ51" s="1">
        <v>0</v>
      </c>
      <c r="AR51" s="1">
        <v>0</v>
      </c>
      <c r="AT51" s="1" t="s">
        <v>597</v>
      </c>
      <c r="AU51" s="1">
        <v>2</v>
      </c>
      <c r="AV51" s="1">
        <v>7</v>
      </c>
      <c r="AX51" s="1">
        <v>2</v>
      </c>
      <c r="AY51" s="1">
        <v>2</v>
      </c>
      <c r="AZ51" s="1">
        <v>0</v>
      </c>
      <c r="BA51" s="1">
        <v>1</v>
      </c>
      <c r="BB51" s="1">
        <v>2</v>
      </c>
      <c r="BC51" s="1">
        <v>0</v>
      </c>
      <c r="BD51" s="1">
        <v>0</v>
      </c>
      <c r="BE51" s="1">
        <v>0</v>
      </c>
      <c r="BF51" s="1">
        <v>0</v>
      </c>
      <c r="BG51" s="1">
        <v>0</v>
      </c>
      <c r="BH51" s="1">
        <v>1</v>
      </c>
      <c r="BI51" s="1">
        <v>0</v>
      </c>
      <c r="BJ51" s="1">
        <v>0</v>
      </c>
      <c r="BK51" s="1" t="s">
        <v>741</v>
      </c>
      <c r="BL51" s="1">
        <v>2</v>
      </c>
      <c r="BM51" s="1" t="s">
        <v>919</v>
      </c>
      <c r="BN51" s="1" t="s">
        <v>599</v>
      </c>
      <c r="BO51" s="1" t="s">
        <v>1987</v>
      </c>
      <c r="BP51" s="1">
        <v>33.522250499999998</v>
      </c>
      <c r="BQ51" s="1">
        <v>36.348388999999997</v>
      </c>
      <c r="BR51" s="1" t="s">
        <v>637</v>
      </c>
      <c r="BS51" s="1" t="s">
        <v>603</v>
      </c>
      <c r="BT51" s="1" t="s">
        <v>889</v>
      </c>
      <c r="BU51" s="134">
        <v>45606</v>
      </c>
      <c r="BV51" s="1" t="s">
        <v>1988</v>
      </c>
      <c r="BW51" s="1" t="s">
        <v>1989</v>
      </c>
      <c r="BX51" s="1" t="s">
        <v>602</v>
      </c>
      <c r="BY51" s="1">
        <v>4</v>
      </c>
      <c r="BZ51" s="1">
        <v>0</v>
      </c>
      <c r="CA51" s="1">
        <v>100</v>
      </c>
      <c r="CB51" s="1" t="s">
        <v>596</v>
      </c>
      <c r="CC51" s="1" t="s">
        <v>603</v>
      </c>
      <c r="CD51" s="1" t="s">
        <v>603</v>
      </c>
      <c r="CE51" s="1" t="s">
        <v>596</v>
      </c>
      <c r="CF51" s="1" t="s">
        <v>604</v>
      </c>
      <c r="CG51" s="1" t="s">
        <v>603</v>
      </c>
      <c r="CH51" s="1" t="s">
        <v>596</v>
      </c>
      <c r="CI51" s="1" t="s">
        <v>596</v>
      </c>
      <c r="CJ51" s="1" t="s">
        <v>51</v>
      </c>
      <c r="CK51" s="1" t="s">
        <v>1990</v>
      </c>
      <c r="CL51" s="1" t="s">
        <v>1991</v>
      </c>
      <c r="CM51" s="1" t="s">
        <v>1992</v>
      </c>
      <c r="CN51" s="1" t="s">
        <v>1993</v>
      </c>
      <c r="CO51" s="1" t="s">
        <v>1994</v>
      </c>
      <c r="CP51" s="1" t="s">
        <v>1995</v>
      </c>
      <c r="CQ51" s="1" t="s">
        <v>1996</v>
      </c>
      <c r="CR51" s="1" t="s">
        <v>1997</v>
      </c>
      <c r="CS51" s="1" t="s">
        <v>1998</v>
      </c>
      <c r="CT51" s="1" t="s">
        <v>1999</v>
      </c>
      <c r="CU51" s="1" t="s">
        <v>2000</v>
      </c>
      <c r="CV51" s="1" t="s">
        <v>2001</v>
      </c>
      <c r="CW51" s="1" t="s">
        <v>2002</v>
      </c>
      <c r="CX51" s="1" t="s">
        <v>2003</v>
      </c>
      <c r="CY51" s="1" t="s">
        <v>2004</v>
      </c>
      <c r="CZ51" s="1" t="s">
        <v>2005</v>
      </c>
      <c r="DA51" s="1" t="s">
        <v>603</v>
      </c>
      <c r="DN51" s="1" t="s">
        <v>596</v>
      </c>
      <c r="DO51" s="1" t="s">
        <v>2006</v>
      </c>
      <c r="DP51" t="s">
        <v>3573</v>
      </c>
    </row>
    <row r="52" spans="1:120" x14ac:dyDescent="0.25">
      <c r="A52" s="1">
        <v>51</v>
      </c>
      <c r="B52" s="134">
        <v>45994</v>
      </c>
      <c r="C52" s="1" t="s">
        <v>2007</v>
      </c>
      <c r="D52" s="1" t="s">
        <v>2008</v>
      </c>
      <c r="E52" s="1" t="s">
        <v>2009</v>
      </c>
      <c r="F52" s="1" t="s">
        <v>2010</v>
      </c>
      <c r="G52" s="1" t="s">
        <v>664</v>
      </c>
      <c r="H52" s="134">
        <v>26018</v>
      </c>
      <c r="I52" s="1" t="s">
        <v>665</v>
      </c>
      <c r="K52" s="1" t="s">
        <v>666</v>
      </c>
      <c r="M52" s="1">
        <v>3330025318</v>
      </c>
      <c r="N52" s="1" t="s">
        <v>2011</v>
      </c>
      <c r="O52" s="1" t="s">
        <v>2012</v>
      </c>
      <c r="P52" s="1" t="s">
        <v>2013</v>
      </c>
      <c r="Q52" s="1" t="s">
        <v>2014</v>
      </c>
      <c r="R52" s="1" t="s">
        <v>592</v>
      </c>
      <c r="S52" s="1" t="s">
        <v>593</v>
      </c>
      <c r="T52" s="1" t="s">
        <v>594</v>
      </c>
      <c r="U52" s="1" t="s">
        <v>2015</v>
      </c>
      <c r="V52" s="1">
        <v>938043143</v>
      </c>
      <c r="X52" s="1" t="s">
        <v>596</v>
      </c>
      <c r="AL52" s="1" t="s">
        <v>603</v>
      </c>
      <c r="AM52" s="1" t="s">
        <v>633</v>
      </c>
      <c r="AN52" s="1">
        <v>1</v>
      </c>
      <c r="AO52" s="1">
        <v>0</v>
      </c>
      <c r="AP52" s="1">
        <v>0</v>
      </c>
      <c r="AQ52" s="1">
        <v>0</v>
      </c>
      <c r="AR52" s="1">
        <v>0</v>
      </c>
      <c r="AT52" s="1" t="s">
        <v>597</v>
      </c>
      <c r="AU52" s="1">
        <v>2</v>
      </c>
      <c r="AV52" s="1">
        <v>10</v>
      </c>
      <c r="AX52" s="1">
        <v>1</v>
      </c>
      <c r="AY52" s="1">
        <v>2</v>
      </c>
      <c r="AZ52" s="1">
        <v>2</v>
      </c>
      <c r="BA52" s="1">
        <v>0</v>
      </c>
      <c r="BB52" s="1">
        <v>3</v>
      </c>
      <c r="BC52" s="1">
        <v>2</v>
      </c>
      <c r="BD52" s="1">
        <v>0</v>
      </c>
      <c r="BE52" s="1">
        <v>0</v>
      </c>
      <c r="BF52" s="1">
        <v>0</v>
      </c>
      <c r="BG52" s="1">
        <v>0</v>
      </c>
      <c r="BH52" s="1">
        <v>0</v>
      </c>
      <c r="BI52" s="1">
        <v>0</v>
      </c>
      <c r="BJ52" s="1">
        <v>0</v>
      </c>
      <c r="BK52" s="1" t="s">
        <v>741</v>
      </c>
      <c r="BL52" s="1">
        <v>1</v>
      </c>
      <c r="BM52" s="1" t="s">
        <v>598</v>
      </c>
      <c r="BN52" s="1" t="s">
        <v>599</v>
      </c>
      <c r="BO52" s="1" t="s">
        <v>2016</v>
      </c>
      <c r="BP52" s="1">
        <v>33.522255999999999</v>
      </c>
      <c r="BQ52" s="1">
        <v>36.348779</v>
      </c>
      <c r="BR52" s="1" t="s">
        <v>637</v>
      </c>
      <c r="BS52" s="1" t="s">
        <v>603</v>
      </c>
      <c r="BT52" s="1" t="s">
        <v>889</v>
      </c>
      <c r="BU52" s="134">
        <v>39000</v>
      </c>
      <c r="BV52" s="1" t="s">
        <v>2017</v>
      </c>
      <c r="BW52" s="1" t="s">
        <v>2018</v>
      </c>
      <c r="BX52" s="1" t="s">
        <v>602</v>
      </c>
      <c r="BY52" s="1">
        <v>2</v>
      </c>
      <c r="BZ52" s="1">
        <v>0</v>
      </c>
      <c r="CA52" s="1">
        <v>160</v>
      </c>
      <c r="CB52" s="1" t="s">
        <v>603</v>
      </c>
      <c r="CC52" s="1" t="s">
        <v>603</v>
      </c>
      <c r="CD52" s="1" t="s">
        <v>603</v>
      </c>
      <c r="CE52" s="1" t="s">
        <v>596</v>
      </c>
      <c r="CF52" s="1" t="s">
        <v>604</v>
      </c>
      <c r="CG52" s="1" t="s">
        <v>603</v>
      </c>
      <c r="CH52" s="1" t="s">
        <v>596</v>
      </c>
      <c r="CI52" s="1" t="s">
        <v>596</v>
      </c>
      <c r="CJ52" s="1" t="s">
        <v>860</v>
      </c>
      <c r="CK52" s="1" t="s">
        <v>2019</v>
      </c>
      <c r="CL52" s="1" t="s">
        <v>2020</v>
      </c>
      <c r="CM52" s="1" t="s">
        <v>2021</v>
      </c>
      <c r="CN52" s="1" t="s">
        <v>2022</v>
      </c>
      <c r="CO52" s="1" t="s">
        <v>2023</v>
      </c>
      <c r="CP52" s="1" t="s">
        <v>2024</v>
      </c>
      <c r="CQ52" s="1" t="s">
        <v>2025</v>
      </c>
      <c r="CR52" s="1" t="s">
        <v>2026</v>
      </c>
      <c r="CS52" s="1" t="s">
        <v>2027</v>
      </c>
      <c r="CT52" s="1" t="s">
        <v>2028</v>
      </c>
      <c r="CU52" s="1" t="s">
        <v>2029</v>
      </c>
      <c r="CV52" s="1" t="s">
        <v>2030</v>
      </c>
      <c r="CW52" s="1" t="s">
        <v>2031</v>
      </c>
      <c r="CX52" s="1" t="s">
        <v>2032</v>
      </c>
      <c r="CY52" s="1" t="s">
        <v>2033</v>
      </c>
      <c r="CZ52" s="1" t="s">
        <v>2034</v>
      </c>
      <c r="DA52" s="1" t="s">
        <v>603</v>
      </c>
      <c r="DN52" s="1" t="s">
        <v>596</v>
      </c>
      <c r="DO52" s="1" t="s">
        <v>2035</v>
      </c>
      <c r="DP52" t="s">
        <v>3573</v>
      </c>
    </row>
    <row r="53" spans="1:120" x14ac:dyDescent="0.25">
      <c r="A53" s="1">
        <v>52</v>
      </c>
      <c r="B53" s="134">
        <v>45994</v>
      </c>
      <c r="C53" s="1" t="s">
        <v>1455</v>
      </c>
      <c r="D53" s="1" t="s">
        <v>2036</v>
      </c>
      <c r="E53" s="1" t="s">
        <v>2037</v>
      </c>
      <c r="F53" s="1" t="s">
        <v>2038</v>
      </c>
      <c r="G53" s="1" t="s">
        <v>583</v>
      </c>
      <c r="H53" s="134">
        <v>32143</v>
      </c>
      <c r="I53" s="1" t="s">
        <v>584</v>
      </c>
      <c r="J53" s="1" t="s">
        <v>2039</v>
      </c>
      <c r="K53" s="1" t="s">
        <v>666</v>
      </c>
      <c r="M53" s="1">
        <v>27890909757</v>
      </c>
      <c r="N53" s="1" t="s">
        <v>2040</v>
      </c>
      <c r="O53" s="1" t="s">
        <v>2041</v>
      </c>
      <c r="P53" s="1" t="s">
        <v>2042</v>
      </c>
      <c r="Q53" s="1" t="s">
        <v>2043</v>
      </c>
      <c r="R53" s="1" t="s">
        <v>592</v>
      </c>
      <c r="S53" s="1" t="s">
        <v>593</v>
      </c>
      <c r="T53" s="1" t="s">
        <v>594</v>
      </c>
      <c r="U53" s="1" t="s">
        <v>2044</v>
      </c>
      <c r="V53" s="1">
        <v>967752781</v>
      </c>
      <c r="X53" s="1" t="s">
        <v>596</v>
      </c>
      <c r="AL53" s="1" t="s">
        <v>596</v>
      </c>
      <c r="AT53" s="1" t="s">
        <v>597</v>
      </c>
      <c r="AU53" s="1">
        <v>2</v>
      </c>
      <c r="AV53" s="1">
        <v>8</v>
      </c>
      <c r="AX53" s="1">
        <v>2</v>
      </c>
      <c r="AY53" s="1">
        <v>2</v>
      </c>
      <c r="AZ53" s="1">
        <v>0</v>
      </c>
      <c r="BA53" s="1">
        <v>0</v>
      </c>
      <c r="BB53" s="1">
        <v>3</v>
      </c>
      <c r="BC53" s="1">
        <v>1</v>
      </c>
      <c r="BD53" s="1">
        <v>0</v>
      </c>
      <c r="BE53" s="1">
        <v>0</v>
      </c>
      <c r="BF53" s="1">
        <v>0</v>
      </c>
      <c r="BG53" s="1">
        <v>0</v>
      </c>
      <c r="BH53" s="1">
        <v>0</v>
      </c>
      <c r="BI53" s="1">
        <v>0</v>
      </c>
      <c r="BJ53" s="1">
        <v>0</v>
      </c>
      <c r="BK53" s="1" t="s">
        <v>741</v>
      </c>
      <c r="BL53" s="1">
        <v>1</v>
      </c>
      <c r="BM53" s="1" t="s">
        <v>919</v>
      </c>
      <c r="BN53" s="1" t="s">
        <v>599</v>
      </c>
      <c r="BO53" s="1" t="s">
        <v>2045</v>
      </c>
      <c r="BP53" s="1">
        <v>33.523175899999998</v>
      </c>
      <c r="BQ53" s="1">
        <v>36.3490173</v>
      </c>
      <c r="BR53" s="1" t="s">
        <v>637</v>
      </c>
      <c r="BS53" s="1" t="s">
        <v>603</v>
      </c>
      <c r="BT53" s="1" t="s">
        <v>889</v>
      </c>
      <c r="BU53" s="134">
        <v>29361</v>
      </c>
      <c r="BV53" s="1" t="s">
        <v>2046</v>
      </c>
      <c r="BW53" s="1" t="s">
        <v>2047</v>
      </c>
      <c r="BX53" s="1" t="s">
        <v>641</v>
      </c>
      <c r="BY53" s="1">
        <v>2</v>
      </c>
      <c r="BZ53" s="1">
        <v>4</v>
      </c>
      <c r="CA53" s="1">
        <v>60</v>
      </c>
      <c r="CB53" s="1" t="s">
        <v>603</v>
      </c>
      <c r="CC53" s="1" t="s">
        <v>603</v>
      </c>
      <c r="CD53" s="1" t="s">
        <v>603</v>
      </c>
      <c r="CE53" s="1" t="s">
        <v>596</v>
      </c>
      <c r="CF53" s="1" t="s">
        <v>604</v>
      </c>
      <c r="CG53" s="1" t="s">
        <v>603</v>
      </c>
      <c r="CH53" s="1" t="s">
        <v>596</v>
      </c>
      <c r="CI53" s="1" t="s">
        <v>596</v>
      </c>
      <c r="CJ53" s="1" t="s">
        <v>860</v>
      </c>
      <c r="CK53" s="1" t="s">
        <v>2048</v>
      </c>
      <c r="CL53" s="1" t="s">
        <v>2049</v>
      </c>
      <c r="CM53" s="1" t="s">
        <v>2050</v>
      </c>
      <c r="CN53" s="1" t="s">
        <v>2051</v>
      </c>
      <c r="CO53" s="1" t="s">
        <v>2052</v>
      </c>
      <c r="CP53" s="1" t="s">
        <v>2053</v>
      </c>
      <c r="CQ53" s="1" t="s">
        <v>2054</v>
      </c>
      <c r="CR53" s="1" t="s">
        <v>2055</v>
      </c>
      <c r="CS53" s="1" t="s">
        <v>2056</v>
      </c>
      <c r="CT53" s="1" t="s">
        <v>2057</v>
      </c>
      <c r="CU53" s="1" t="s">
        <v>2058</v>
      </c>
      <c r="CV53" s="1" t="s">
        <v>2059</v>
      </c>
      <c r="CW53" s="1" t="s">
        <v>2060</v>
      </c>
      <c r="CX53" s="1" t="s">
        <v>2061</v>
      </c>
      <c r="CY53" s="1" t="s">
        <v>2062</v>
      </c>
      <c r="CZ53" s="1" t="s">
        <v>2063</v>
      </c>
      <c r="DA53" s="1" t="s">
        <v>603</v>
      </c>
      <c r="DN53" s="1" t="s">
        <v>596</v>
      </c>
      <c r="DO53" s="1" t="s">
        <v>2064</v>
      </c>
      <c r="DP53" t="s">
        <v>3573</v>
      </c>
    </row>
    <row r="54" spans="1:120" x14ac:dyDescent="0.25">
      <c r="A54" s="1">
        <v>53</v>
      </c>
      <c r="B54" s="134">
        <v>45994</v>
      </c>
      <c r="C54" s="1" t="s">
        <v>2065</v>
      </c>
      <c r="D54" s="1" t="s">
        <v>2066</v>
      </c>
      <c r="E54" s="1" t="s">
        <v>1952</v>
      </c>
      <c r="F54" s="1" t="s">
        <v>2067</v>
      </c>
      <c r="G54" s="1" t="s">
        <v>583</v>
      </c>
      <c r="H54" s="134">
        <v>18720</v>
      </c>
      <c r="I54" s="1" t="s">
        <v>584</v>
      </c>
      <c r="J54" s="1" t="s">
        <v>2068</v>
      </c>
      <c r="K54" s="1" t="s">
        <v>666</v>
      </c>
      <c r="M54" s="1">
        <v>3330034507</v>
      </c>
      <c r="N54" s="1" t="s">
        <v>2069</v>
      </c>
      <c r="O54" s="1" t="s">
        <v>2070</v>
      </c>
      <c r="P54" s="1" t="s">
        <v>2071</v>
      </c>
      <c r="Q54" s="1" t="s">
        <v>2072</v>
      </c>
      <c r="R54" s="1" t="s">
        <v>592</v>
      </c>
      <c r="S54" s="1" t="s">
        <v>593</v>
      </c>
      <c r="T54" s="1" t="s">
        <v>594</v>
      </c>
      <c r="U54" s="1" t="s">
        <v>2045</v>
      </c>
      <c r="V54" s="1">
        <v>943691458</v>
      </c>
      <c r="X54" s="1" t="s">
        <v>596</v>
      </c>
      <c r="AL54" s="1" t="s">
        <v>596</v>
      </c>
      <c r="AT54" s="1" t="s">
        <v>706</v>
      </c>
      <c r="AU54" s="1">
        <v>3</v>
      </c>
      <c r="AV54" s="1">
        <v>8</v>
      </c>
      <c r="AX54" s="1">
        <v>3</v>
      </c>
      <c r="AY54" s="1">
        <v>4</v>
      </c>
      <c r="AZ54" s="1">
        <v>0</v>
      </c>
      <c r="BA54" s="1">
        <v>0</v>
      </c>
      <c r="BB54" s="1">
        <v>1</v>
      </c>
      <c r="BC54" s="1">
        <v>0</v>
      </c>
      <c r="BD54" s="1">
        <v>1</v>
      </c>
      <c r="BE54" s="1">
        <v>0</v>
      </c>
      <c r="BF54" s="1">
        <v>0</v>
      </c>
      <c r="BG54" s="1">
        <v>0</v>
      </c>
      <c r="BH54" s="1">
        <v>0</v>
      </c>
      <c r="BI54" s="1">
        <v>0</v>
      </c>
      <c r="BJ54" s="1">
        <v>0</v>
      </c>
      <c r="BK54" s="1" t="s">
        <v>707</v>
      </c>
      <c r="BL54" s="1">
        <v>0</v>
      </c>
      <c r="BM54" s="1" t="s">
        <v>598</v>
      </c>
      <c r="BN54" s="1" t="s">
        <v>599</v>
      </c>
      <c r="BO54" s="1" t="s">
        <v>2045</v>
      </c>
      <c r="BP54" s="1">
        <v>33.523284500000003</v>
      </c>
      <c r="BQ54" s="1">
        <v>36.349512699999998</v>
      </c>
      <c r="BR54" s="1" t="s">
        <v>637</v>
      </c>
      <c r="BS54" s="1" t="s">
        <v>603</v>
      </c>
      <c r="BT54" s="1" t="s">
        <v>889</v>
      </c>
      <c r="BU54" s="134">
        <v>29361</v>
      </c>
      <c r="BV54" s="1" t="s">
        <v>2073</v>
      </c>
      <c r="BW54" s="1" t="s">
        <v>2074</v>
      </c>
      <c r="BX54" s="1" t="s">
        <v>641</v>
      </c>
      <c r="BY54" s="1">
        <v>3</v>
      </c>
      <c r="BZ54" s="1">
        <v>4</v>
      </c>
      <c r="CA54" s="1">
        <v>107</v>
      </c>
      <c r="CB54" s="1" t="s">
        <v>603</v>
      </c>
      <c r="CC54" s="1" t="s">
        <v>603</v>
      </c>
      <c r="CD54" s="1" t="s">
        <v>603</v>
      </c>
      <c r="CE54" s="1" t="s">
        <v>596</v>
      </c>
      <c r="CF54" s="1" t="s">
        <v>604</v>
      </c>
      <c r="CG54" s="1" t="s">
        <v>603</v>
      </c>
      <c r="CH54" s="1" t="s">
        <v>596</v>
      </c>
      <c r="CI54" s="1" t="s">
        <v>596</v>
      </c>
      <c r="CJ54" s="1" t="s">
        <v>860</v>
      </c>
      <c r="CK54" s="1" t="s">
        <v>2075</v>
      </c>
      <c r="CL54" s="1" t="s">
        <v>2076</v>
      </c>
      <c r="CM54" s="1" t="s">
        <v>2077</v>
      </c>
      <c r="CN54" s="1" t="s">
        <v>2078</v>
      </c>
      <c r="CO54" s="1" t="s">
        <v>2079</v>
      </c>
      <c r="CP54" s="1" t="s">
        <v>2080</v>
      </c>
      <c r="CQ54" s="1" t="s">
        <v>2081</v>
      </c>
      <c r="CR54" s="1" t="s">
        <v>2082</v>
      </c>
      <c r="CS54" s="1" t="s">
        <v>2083</v>
      </c>
      <c r="CT54" s="1" t="s">
        <v>2084</v>
      </c>
      <c r="CU54" s="1" t="s">
        <v>2085</v>
      </c>
      <c r="CV54" s="1" t="s">
        <v>2086</v>
      </c>
      <c r="CW54" s="1" t="s">
        <v>2087</v>
      </c>
      <c r="CX54" s="1" t="s">
        <v>2088</v>
      </c>
      <c r="CY54" s="1" t="s">
        <v>2089</v>
      </c>
      <c r="CZ54" s="1" t="s">
        <v>2090</v>
      </c>
      <c r="DA54" s="1" t="s">
        <v>603</v>
      </c>
      <c r="DN54" s="1" t="s">
        <v>596</v>
      </c>
      <c r="DO54" s="1" t="s">
        <v>2091</v>
      </c>
      <c r="DP54" t="s">
        <v>3573</v>
      </c>
    </row>
    <row r="55" spans="1:120" x14ac:dyDescent="0.25">
      <c r="A55" s="1">
        <v>54</v>
      </c>
      <c r="B55" s="134">
        <v>45994</v>
      </c>
      <c r="C55" s="1" t="s">
        <v>2092</v>
      </c>
      <c r="D55" s="1" t="s">
        <v>2093</v>
      </c>
      <c r="E55" s="1" t="s">
        <v>2094</v>
      </c>
      <c r="F55" s="1" t="s">
        <v>2095</v>
      </c>
      <c r="G55" s="1" t="s">
        <v>583</v>
      </c>
      <c r="H55" s="134">
        <v>31055</v>
      </c>
      <c r="I55" s="1" t="s">
        <v>584</v>
      </c>
      <c r="J55" s="1" t="s">
        <v>2096</v>
      </c>
      <c r="K55" s="1" t="s">
        <v>666</v>
      </c>
      <c r="M55" s="1">
        <v>1040241583</v>
      </c>
      <c r="N55" s="1" t="s">
        <v>2097</v>
      </c>
      <c r="O55" s="1" t="s">
        <v>2098</v>
      </c>
      <c r="P55" s="1" t="s">
        <v>2099</v>
      </c>
      <c r="Q55" s="1" t="s">
        <v>2100</v>
      </c>
      <c r="R55" s="1" t="s">
        <v>592</v>
      </c>
      <c r="S55" s="1" t="s">
        <v>593</v>
      </c>
      <c r="T55" s="1" t="s">
        <v>594</v>
      </c>
      <c r="U55" s="1" t="s">
        <v>2101</v>
      </c>
      <c r="V55" s="1">
        <v>953617585</v>
      </c>
      <c r="X55" s="1" t="s">
        <v>596</v>
      </c>
      <c r="AL55" s="1" t="s">
        <v>596</v>
      </c>
      <c r="AT55" s="1" t="s">
        <v>597</v>
      </c>
      <c r="AU55" s="1">
        <v>1</v>
      </c>
      <c r="AV55" s="1">
        <v>5</v>
      </c>
      <c r="AX55" s="1">
        <v>1</v>
      </c>
      <c r="AY55" s="1">
        <v>1</v>
      </c>
      <c r="AZ55" s="1">
        <v>1</v>
      </c>
      <c r="BA55" s="1">
        <v>1</v>
      </c>
      <c r="BB55" s="1">
        <v>0</v>
      </c>
      <c r="BC55" s="1">
        <v>1</v>
      </c>
      <c r="BD55" s="1">
        <v>0</v>
      </c>
      <c r="BE55" s="1">
        <v>0</v>
      </c>
      <c r="BF55" s="1">
        <v>0</v>
      </c>
      <c r="BG55" s="1">
        <v>0</v>
      </c>
      <c r="BH55" s="1">
        <v>0</v>
      </c>
      <c r="BI55" s="1">
        <v>0</v>
      </c>
      <c r="BJ55" s="1">
        <v>0</v>
      </c>
      <c r="BK55" s="1" t="s">
        <v>707</v>
      </c>
      <c r="BL55" s="1">
        <v>1</v>
      </c>
      <c r="BM55" s="1" t="s">
        <v>598</v>
      </c>
      <c r="BN55" s="1" t="s">
        <v>599</v>
      </c>
      <c r="BO55" s="1" t="s">
        <v>2101</v>
      </c>
      <c r="BP55" s="1">
        <v>33.522948900000003</v>
      </c>
      <c r="BQ55" s="1">
        <v>36.3490422</v>
      </c>
      <c r="BR55" s="1" t="s">
        <v>637</v>
      </c>
      <c r="BS55" s="1" t="s">
        <v>603</v>
      </c>
      <c r="BT55" s="1" t="s">
        <v>710</v>
      </c>
      <c r="BU55" s="134">
        <v>45729</v>
      </c>
      <c r="BV55" s="1" t="s">
        <v>2102</v>
      </c>
      <c r="BW55" s="1" t="s">
        <v>2103</v>
      </c>
      <c r="BX55" s="1" t="s">
        <v>602</v>
      </c>
      <c r="BY55" s="1">
        <v>2</v>
      </c>
      <c r="BZ55" s="1">
        <v>0</v>
      </c>
      <c r="CA55" s="1">
        <v>72</v>
      </c>
      <c r="CB55" s="1" t="s">
        <v>596</v>
      </c>
      <c r="CC55" s="1" t="s">
        <v>603</v>
      </c>
      <c r="CD55" s="1" t="s">
        <v>603</v>
      </c>
      <c r="CE55" s="1" t="s">
        <v>596</v>
      </c>
      <c r="CF55" s="1" t="s">
        <v>604</v>
      </c>
      <c r="CG55" s="1" t="s">
        <v>603</v>
      </c>
      <c r="CH55" s="1" t="s">
        <v>596</v>
      </c>
      <c r="CI55" s="1" t="s">
        <v>596</v>
      </c>
      <c r="CJ55" s="1" t="s">
        <v>46</v>
      </c>
      <c r="CK55" s="1" t="s">
        <v>2104</v>
      </c>
      <c r="CL55" s="1" t="s">
        <v>2105</v>
      </c>
      <c r="CM55" s="1" t="s">
        <v>2106</v>
      </c>
      <c r="CN55" s="1" t="s">
        <v>2107</v>
      </c>
      <c r="CO55" s="1" t="s">
        <v>2108</v>
      </c>
      <c r="CP55" s="1" t="s">
        <v>2109</v>
      </c>
      <c r="CQ55" s="1" t="s">
        <v>2110</v>
      </c>
      <c r="CR55" s="1" t="s">
        <v>2111</v>
      </c>
      <c r="CS55" s="1" t="s">
        <v>2112</v>
      </c>
      <c r="CT55" s="1" t="s">
        <v>2113</v>
      </c>
      <c r="CU55" s="1" t="s">
        <v>2114</v>
      </c>
      <c r="CV55" s="1" t="s">
        <v>2115</v>
      </c>
      <c r="CW55" s="1" t="s">
        <v>2116</v>
      </c>
      <c r="CX55" s="1" t="s">
        <v>2117</v>
      </c>
      <c r="CY55" s="1" t="s">
        <v>2118</v>
      </c>
      <c r="CZ55" s="1" t="s">
        <v>2119</v>
      </c>
      <c r="DA55" s="1" t="s">
        <v>603</v>
      </c>
      <c r="DN55" s="1" t="s">
        <v>596</v>
      </c>
      <c r="DO55" s="1" t="s">
        <v>2120</v>
      </c>
      <c r="DP55" t="s">
        <v>3573</v>
      </c>
    </row>
    <row r="56" spans="1:120" x14ac:dyDescent="0.25">
      <c r="A56" s="1">
        <v>55</v>
      </c>
      <c r="B56" s="134">
        <v>45994</v>
      </c>
      <c r="C56" s="1" t="s">
        <v>2121</v>
      </c>
      <c r="D56" s="1" t="s">
        <v>580</v>
      </c>
      <c r="E56" s="1" t="s">
        <v>2122</v>
      </c>
      <c r="F56" s="1" t="s">
        <v>2123</v>
      </c>
      <c r="G56" s="1" t="s">
        <v>583</v>
      </c>
      <c r="H56" s="134">
        <v>25394</v>
      </c>
      <c r="I56" s="1" t="s">
        <v>584</v>
      </c>
      <c r="J56" s="1" t="s">
        <v>2124</v>
      </c>
      <c r="K56" s="1" t="s">
        <v>666</v>
      </c>
      <c r="M56" s="1">
        <v>3330027720</v>
      </c>
      <c r="N56" s="1" t="s">
        <v>2125</v>
      </c>
      <c r="O56" s="1" t="s">
        <v>2126</v>
      </c>
      <c r="P56" s="1" t="s">
        <v>2127</v>
      </c>
      <c r="Q56" s="1" t="s">
        <v>2128</v>
      </c>
      <c r="R56" s="1" t="s">
        <v>592</v>
      </c>
      <c r="S56" s="1" t="s">
        <v>593</v>
      </c>
      <c r="T56" s="1" t="s">
        <v>594</v>
      </c>
      <c r="U56" s="1" t="s">
        <v>2129</v>
      </c>
      <c r="V56" s="1">
        <v>998882490</v>
      </c>
      <c r="X56" s="1" t="s">
        <v>596</v>
      </c>
      <c r="AL56" s="1" t="s">
        <v>603</v>
      </c>
      <c r="AM56" s="1" t="s">
        <v>2130</v>
      </c>
      <c r="AN56" s="1">
        <v>1</v>
      </c>
      <c r="AO56" s="1">
        <v>1</v>
      </c>
      <c r="AP56" s="1">
        <v>0</v>
      </c>
      <c r="AQ56" s="1">
        <v>0</v>
      </c>
      <c r="AR56" s="1">
        <v>0</v>
      </c>
      <c r="AT56" s="1" t="s">
        <v>597</v>
      </c>
      <c r="AU56" s="1">
        <v>1</v>
      </c>
      <c r="AV56" s="1">
        <v>6</v>
      </c>
      <c r="AX56" s="1">
        <v>3</v>
      </c>
      <c r="AY56" s="1">
        <v>2</v>
      </c>
      <c r="AZ56" s="1">
        <v>0</v>
      </c>
      <c r="BA56" s="1">
        <v>0</v>
      </c>
      <c r="BB56" s="1">
        <v>1</v>
      </c>
      <c r="BC56" s="1">
        <v>0</v>
      </c>
      <c r="BD56" s="1">
        <v>0</v>
      </c>
      <c r="BE56" s="1">
        <v>0</v>
      </c>
      <c r="BF56" s="1">
        <v>0</v>
      </c>
      <c r="BG56" s="1">
        <v>0</v>
      </c>
      <c r="BH56" s="1">
        <v>0</v>
      </c>
      <c r="BI56" s="1">
        <v>0</v>
      </c>
      <c r="BJ56" s="1">
        <v>0</v>
      </c>
      <c r="BK56" s="1" t="s">
        <v>707</v>
      </c>
      <c r="BL56" s="1">
        <v>2</v>
      </c>
      <c r="BM56" s="1" t="s">
        <v>635</v>
      </c>
      <c r="BN56" s="1" t="s">
        <v>599</v>
      </c>
      <c r="BO56" s="1" t="s">
        <v>2131</v>
      </c>
      <c r="BP56" s="1">
        <v>33.523074999999999</v>
      </c>
      <c r="BQ56" s="1">
        <v>36.349229999999999</v>
      </c>
      <c r="BR56" s="1" t="s">
        <v>637</v>
      </c>
      <c r="BS56" s="1" t="s">
        <v>603</v>
      </c>
      <c r="BT56" s="1" t="s">
        <v>889</v>
      </c>
      <c r="BU56" s="134">
        <v>28262</v>
      </c>
      <c r="BV56" s="1" t="s">
        <v>2132</v>
      </c>
      <c r="BW56" s="1" t="s">
        <v>2133</v>
      </c>
      <c r="BX56" s="1" t="s">
        <v>602</v>
      </c>
      <c r="BY56" s="1">
        <v>3</v>
      </c>
      <c r="BZ56" s="1">
        <v>0</v>
      </c>
      <c r="CA56" s="1">
        <v>100</v>
      </c>
      <c r="CB56" s="1" t="s">
        <v>603</v>
      </c>
      <c r="CC56" s="1" t="s">
        <v>603</v>
      </c>
      <c r="CD56" s="1" t="s">
        <v>603</v>
      </c>
      <c r="CE56" s="1" t="s">
        <v>596</v>
      </c>
      <c r="CF56" s="1" t="s">
        <v>604</v>
      </c>
      <c r="CG56" s="1" t="s">
        <v>603</v>
      </c>
      <c r="CH56" s="1" t="s">
        <v>596</v>
      </c>
      <c r="CI56" s="1" t="s">
        <v>596</v>
      </c>
      <c r="CJ56" s="1" t="s">
        <v>46</v>
      </c>
      <c r="CK56" s="1" t="s">
        <v>2134</v>
      </c>
      <c r="CL56" s="1" t="s">
        <v>2135</v>
      </c>
      <c r="CM56" s="1" t="s">
        <v>2136</v>
      </c>
      <c r="CN56" s="1" t="s">
        <v>2137</v>
      </c>
      <c r="CO56" s="1" t="s">
        <v>2138</v>
      </c>
      <c r="CP56" s="1" t="s">
        <v>2139</v>
      </c>
      <c r="CQ56" s="1" t="s">
        <v>2140</v>
      </c>
      <c r="CR56" s="1" t="s">
        <v>2141</v>
      </c>
      <c r="CS56" s="1" t="s">
        <v>2142</v>
      </c>
      <c r="CT56" s="1" t="s">
        <v>2143</v>
      </c>
      <c r="CU56" s="1" t="s">
        <v>2144</v>
      </c>
      <c r="CV56" s="1" t="s">
        <v>2145</v>
      </c>
      <c r="CW56" s="1" t="s">
        <v>2146</v>
      </c>
      <c r="CX56" s="1" t="s">
        <v>2147</v>
      </c>
      <c r="CY56" s="1" t="s">
        <v>2148</v>
      </c>
      <c r="CZ56" s="1" t="s">
        <v>2149</v>
      </c>
      <c r="DA56" s="1" t="s">
        <v>603</v>
      </c>
      <c r="DN56" s="1" t="s">
        <v>596</v>
      </c>
      <c r="DO56" s="1" t="s">
        <v>2150</v>
      </c>
      <c r="DP56" t="s">
        <v>3573</v>
      </c>
    </row>
    <row r="57" spans="1:120" x14ac:dyDescent="0.25">
      <c r="A57" s="1">
        <v>56</v>
      </c>
      <c r="B57" s="134">
        <v>45994</v>
      </c>
      <c r="C57" s="1" t="s">
        <v>2121</v>
      </c>
      <c r="D57" s="1" t="s">
        <v>1663</v>
      </c>
      <c r="E57" s="1" t="s">
        <v>2151</v>
      </c>
      <c r="F57" s="1" t="s">
        <v>2152</v>
      </c>
      <c r="G57" s="1" t="s">
        <v>583</v>
      </c>
      <c r="H57" s="134">
        <v>29295</v>
      </c>
      <c r="I57" s="1" t="s">
        <v>1170</v>
      </c>
      <c r="K57" s="1" t="s">
        <v>666</v>
      </c>
      <c r="M57" s="1">
        <v>12417507929</v>
      </c>
      <c r="N57" s="1" t="s">
        <v>2153</v>
      </c>
      <c r="O57" s="1" t="s">
        <v>2154</v>
      </c>
      <c r="P57" s="1" t="s">
        <v>2155</v>
      </c>
      <c r="Q57" s="1" t="s">
        <v>2156</v>
      </c>
      <c r="R57" s="1" t="s">
        <v>592</v>
      </c>
      <c r="S57" s="1" t="s">
        <v>593</v>
      </c>
      <c r="T57" s="1" t="s">
        <v>594</v>
      </c>
      <c r="U57" s="1" t="s">
        <v>2157</v>
      </c>
      <c r="V57" s="1">
        <v>947962073</v>
      </c>
      <c r="X57" s="1" t="s">
        <v>596</v>
      </c>
      <c r="AL57" s="1" t="s">
        <v>603</v>
      </c>
      <c r="AM57" s="1" t="s">
        <v>1729</v>
      </c>
      <c r="AN57" s="1">
        <v>1</v>
      </c>
      <c r="AO57" s="1">
        <v>1</v>
      </c>
      <c r="AP57" s="1">
        <v>0</v>
      </c>
      <c r="AQ57" s="1">
        <v>0</v>
      </c>
      <c r="AR57" s="1">
        <v>0</v>
      </c>
      <c r="AT57" s="1" t="s">
        <v>597</v>
      </c>
      <c r="AU57" s="1">
        <v>1</v>
      </c>
      <c r="AV57" s="1">
        <v>3</v>
      </c>
      <c r="AX57" s="1">
        <v>1</v>
      </c>
      <c r="AY57" s="1">
        <v>2</v>
      </c>
      <c r="AZ57" s="1">
        <v>0</v>
      </c>
      <c r="BA57" s="1">
        <v>0</v>
      </c>
      <c r="BB57" s="1">
        <v>0</v>
      </c>
      <c r="BC57" s="1">
        <v>0</v>
      </c>
      <c r="BD57" s="1">
        <v>1</v>
      </c>
      <c r="BE57" s="1">
        <v>0</v>
      </c>
      <c r="BF57" s="1">
        <v>0</v>
      </c>
      <c r="BG57" s="1">
        <v>0</v>
      </c>
      <c r="BH57" s="1">
        <v>0</v>
      </c>
      <c r="BI57" s="1">
        <v>0</v>
      </c>
      <c r="BJ57" s="1">
        <v>0</v>
      </c>
      <c r="BK57" s="1" t="s">
        <v>634</v>
      </c>
      <c r="BL57" s="1">
        <v>1</v>
      </c>
      <c r="BM57" s="1" t="s">
        <v>598</v>
      </c>
      <c r="BN57" s="1" t="s">
        <v>599</v>
      </c>
      <c r="BO57" s="1" t="s">
        <v>2158</v>
      </c>
      <c r="BP57" s="1">
        <v>33.524061699999997</v>
      </c>
      <c r="BQ57" s="1">
        <v>36.348502699999997</v>
      </c>
      <c r="BR57" s="1" t="s">
        <v>637</v>
      </c>
      <c r="BS57" s="1" t="s">
        <v>596</v>
      </c>
      <c r="BU57" s="134"/>
      <c r="BX57" s="1" t="s">
        <v>602</v>
      </c>
      <c r="BY57" s="1">
        <v>2</v>
      </c>
      <c r="BZ57" s="1">
        <v>0</v>
      </c>
      <c r="CA57" s="1">
        <v>65</v>
      </c>
      <c r="CB57" s="1" t="s">
        <v>603</v>
      </c>
      <c r="CC57" s="1" t="s">
        <v>603</v>
      </c>
      <c r="CD57" s="1" t="s">
        <v>603</v>
      </c>
      <c r="CE57" s="1" t="s">
        <v>596</v>
      </c>
      <c r="CF57" s="1" t="s">
        <v>642</v>
      </c>
      <c r="CG57" s="1" t="s">
        <v>596</v>
      </c>
      <c r="CH57" s="1" t="s">
        <v>596</v>
      </c>
      <c r="CI57" s="1" t="s">
        <v>596</v>
      </c>
      <c r="CJ57" s="1" t="s">
        <v>51</v>
      </c>
      <c r="CK57" s="1" t="s">
        <v>2159</v>
      </c>
      <c r="CL57" s="1" t="s">
        <v>2160</v>
      </c>
      <c r="CM57" s="1" t="s">
        <v>2161</v>
      </c>
      <c r="CN57" s="1" t="s">
        <v>2162</v>
      </c>
      <c r="CO57" s="1" t="s">
        <v>2163</v>
      </c>
      <c r="CP57" s="1" t="s">
        <v>2164</v>
      </c>
      <c r="CQ57" s="1" t="s">
        <v>2165</v>
      </c>
      <c r="CR57" s="1" t="s">
        <v>2166</v>
      </c>
      <c r="CS57" s="1" t="s">
        <v>2167</v>
      </c>
      <c r="CT57" s="1" t="s">
        <v>2168</v>
      </c>
      <c r="CU57" s="1" t="s">
        <v>2169</v>
      </c>
      <c r="CV57" s="1" t="s">
        <v>2170</v>
      </c>
      <c r="CW57" s="1" t="s">
        <v>2171</v>
      </c>
      <c r="CX57" s="1" t="s">
        <v>2172</v>
      </c>
      <c r="CY57" s="1" t="s">
        <v>2173</v>
      </c>
      <c r="CZ57" s="1" t="s">
        <v>2174</v>
      </c>
      <c r="DA57" s="1" t="s">
        <v>603</v>
      </c>
      <c r="DN57" s="1" t="s">
        <v>596</v>
      </c>
      <c r="DO57" s="1" t="s">
        <v>2175</v>
      </c>
      <c r="DP57" t="s">
        <v>3573</v>
      </c>
    </row>
    <row r="58" spans="1:120" x14ac:dyDescent="0.25">
      <c r="A58" s="1">
        <v>57</v>
      </c>
      <c r="B58" s="134">
        <v>45994</v>
      </c>
      <c r="C58" s="1" t="s">
        <v>2176</v>
      </c>
      <c r="D58" s="1" t="s">
        <v>2177</v>
      </c>
      <c r="E58" s="1" t="s">
        <v>662</v>
      </c>
      <c r="F58" s="1" t="s">
        <v>2178</v>
      </c>
      <c r="G58" s="1" t="s">
        <v>583</v>
      </c>
      <c r="H58" s="134">
        <v>26260</v>
      </c>
      <c r="I58" s="1" t="s">
        <v>584</v>
      </c>
      <c r="J58" s="1" t="s">
        <v>2179</v>
      </c>
      <c r="K58" s="1" t="s">
        <v>666</v>
      </c>
      <c r="M58" s="1">
        <v>13041068183</v>
      </c>
      <c r="N58" s="1" t="s">
        <v>2180</v>
      </c>
      <c r="O58" s="1" t="s">
        <v>2181</v>
      </c>
      <c r="P58" s="1" t="s">
        <v>2182</v>
      </c>
      <c r="Q58" s="1" t="s">
        <v>2183</v>
      </c>
      <c r="R58" s="1" t="s">
        <v>592</v>
      </c>
      <c r="S58" s="1" t="s">
        <v>593</v>
      </c>
      <c r="T58" s="1" t="s">
        <v>594</v>
      </c>
      <c r="U58" s="1" t="s">
        <v>2184</v>
      </c>
      <c r="V58" s="1">
        <v>447853471944</v>
      </c>
      <c r="W58" s="1">
        <v>980487531</v>
      </c>
      <c r="X58" s="1" t="s">
        <v>596</v>
      </c>
      <c r="AL58" s="1" t="s">
        <v>603</v>
      </c>
      <c r="AM58" s="1" t="s">
        <v>672</v>
      </c>
      <c r="AN58" s="1">
        <v>0</v>
      </c>
      <c r="AO58" s="1">
        <v>0</v>
      </c>
      <c r="AP58" s="1">
        <v>0</v>
      </c>
      <c r="AQ58" s="1">
        <v>0</v>
      </c>
      <c r="AR58" s="1">
        <v>1</v>
      </c>
      <c r="AS58" s="1" t="s">
        <v>2185</v>
      </c>
      <c r="AT58" s="1" t="s">
        <v>597</v>
      </c>
      <c r="AU58" s="1">
        <v>1</v>
      </c>
      <c r="AV58" s="1">
        <v>4</v>
      </c>
      <c r="AX58" s="1">
        <v>1</v>
      </c>
      <c r="AY58" s="1">
        <v>1</v>
      </c>
      <c r="AZ58" s="1">
        <v>2</v>
      </c>
      <c r="BA58" s="1">
        <v>0</v>
      </c>
      <c r="BB58" s="1">
        <v>0</v>
      </c>
      <c r="BC58" s="1">
        <v>0</v>
      </c>
      <c r="BD58" s="1">
        <v>0</v>
      </c>
      <c r="BE58" s="1">
        <v>0</v>
      </c>
      <c r="BF58" s="1">
        <v>0</v>
      </c>
      <c r="BG58" s="1">
        <v>0</v>
      </c>
      <c r="BH58" s="1">
        <v>0</v>
      </c>
      <c r="BI58" s="1">
        <v>0</v>
      </c>
      <c r="BJ58" s="1">
        <v>0</v>
      </c>
      <c r="BK58" s="1" t="s">
        <v>741</v>
      </c>
      <c r="BL58" s="1">
        <v>1</v>
      </c>
      <c r="BM58" s="1" t="s">
        <v>598</v>
      </c>
      <c r="BN58" s="1" t="s">
        <v>599</v>
      </c>
      <c r="BO58" s="1" t="s">
        <v>2186</v>
      </c>
      <c r="BP58" s="1">
        <v>33.5244602</v>
      </c>
      <c r="BQ58" s="1">
        <v>36.347147</v>
      </c>
      <c r="BR58" s="1" t="s">
        <v>637</v>
      </c>
      <c r="BS58" s="1" t="s">
        <v>603</v>
      </c>
      <c r="BT58" s="1" t="s">
        <v>889</v>
      </c>
      <c r="BU58" s="134">
        <v>45959</v>
      </c>
      <c r="BV58" s="1" t="s">
        <v>2187</v>
      </c>
      <c r="BW58" s="1" t="s">
        <v>2188</v>
      </c>
      <c r="BX58" s="1" t="s">
        <v>641</v>
      </c>
      <c r="BY58" s="1">
        <v>4</v>
      </c>
      <c r="BZ58" s="1">
        <v>2</v>
      </c>
      <c r="CA58" s="1">
        <v>70</v>
      </c>
      <c r="CB58" s="1" t="s">
        <v>603</v>
      </c>
      <c r="CC58" s="1" t="s">
        <v>603</v>
      </c>
      <c r="CD58" s="1" t="s">
        <v>603</v>
      </c>
      <c r="CE58" s="1" t="s">
        <v>596</v>
      </c>
      <c r="CF58" s="1" t="s">
        <v>604</v>
      </c>
      <c r="CG58" s="1" t="s">
        <v>603</v>
      </c>
      <c r="CH58" s="1" t="s">
        <v>596</v>
      </c>
      <c r="CI58" s="1" t="s">
        <v>596</v>
      </c>
      <c r="CJ58" s="1" t="s">
        <v>46</v>
      </c>
      <c r="CK58" s="1" t="s">
        <v>2189</v>
      </c>
      <c r="CL58" s="1" t="s">
        <v>2190</v>
      </c>
      <c r="CM58" s="1" t="s">
        <v>2191</v>
      </c>
      <c r="CN58" s="1" t="s">
        <v>2192</v>
      </c>
      <c r="CO58" s="1" t="s">
        <v>2193</v>
      </c>
      <c r="CP58" s="1" t="s">
        <v>2194</v>
      </c>
      <c r="CQ58" s="1" t="s">
        <v>2195</v>
      </c>
      <c r="CR58" s="1" t="s">
        <v>2196</v>
      </c>
      <c r="CS58" s="1" t="s">
        <v>2197</v>
      </c>
      <c r="CT58" s="1" t="s">
        <v>2198</v>
      </c>
      <c r="CU58" s="1" t="s">
        <v>2199</v>
      </c>
      <c r="CV58" s="1" t="s">
        <v>2200</v>
      </c>
      <c r="CW58" s="1" t="s">
        <v>2201</v>
      </c>
      <c r="CX58" s="1" t="s">
        <v>2202</v>
      </c>
      <c r="CY58" s="1" t="s">
        <v>2203</v>
      </c>
      <c r="CZ58" s="1" t="s">
        <v>2204</v>
      </c>
      <c r="DA58" s="1" t="s">
        <v>603</v>
      </c>
      <c r="DN58" s="1" t="s">
        <v>596</v>
      </c>
      <c r="DO58" s="1" t="s">
        <v>2205</v>
      </c>
      <c r="DP58" t="s">
        <v>3573</v>
      </c>
    </row>
    <row r="59" spans="1:120" x14ac:dyDescent="0.25">
      <c r="A59" s="1">
        <v>58</v>
      </c>
      <c r="B59" s="134">
        <v>45994</v>
      </c>
      <c r="C59" s="1" t="s">
        <v>2206</v>
      </c>
      <c r="D59" s="1" t="s">
        <v>2207</v>
      </c>
      <c r="E59" s="1" t="s">
        <v>662</v>
      </c>
      <c r="F59" s="1" t="s">
        <v>2208</v>
      </c>
      <c r="G59" s="1" t="s">
        <v>664</v>
      </c>
      <c r="H59" s="134">
        <v>32218</v>
      </c>
      <c r="I59" s="1" t="s">
        <v>665</v>
      </c>
      <c r="K59" s="1" t="s">
        <v>666</v>
      </c>
      <c r="M59" s="1">
        <v>3330010239</v>
      </c>
      <c r="N59" s="1" t="s">
        <v>2209</v>
      </c>
      <c r="O59" s="1" t="s">
        <v>2210</v>
      </c>
      <c r="P59" s="1" t="s">
        <v>2211</v>
      </c>
      <c r="Q59" s="1" t="s">
        <v>2212</v>
      </c>
      <c r="R59" s="1" t="s">
        <v>592</v>
      </c>
      <c r="S59" s="1" t="s">
        <v>593</v>
      </c>
      <c r="T59" s="1" t="s">
        <v>594</v>
      </c>
      <c r="U59" s="1" t="s">
        <v>2213</v>
      </c>
      <c r="V59" s="1">
        <v>958743012</v>
      </c>
      <c r="W59" s="1">
        <v>932333440</v>
      </c>
      <c r="X59" s="1" t="s">
        <v>596</v>
      </c>
      <c r="AL59" s="1" t="s">
        <v>596</v>
      </c>
      <c r="AT59" s="1" t="s">
        <v>770</v>
      </c>
      <c r="AU59" s="1">
        <v>1</v>
      </c>
      <c r="AV59" s="1">
        <v>3</v>
      </c>
      <c r="AX59" s="1">
        <v>1</v>
      </c>
      <c r="AY59" s="1">
        <v>1</v>
      </c>
      <c r="AZ59" s="1">
        <v>0</v>
      </c>
      <c r="BA59" s="1">
        <v>1</v>
      </c>
      <c r="BB59" s="1">
        <v>0</v>
      </c>
      <c r="BC59" s="1">
        <v>0</v>
      </c>
      <c r="BD59" s="1">
        <v>0</v>
      </c>
      <c r="BE59" s="1">
        <v>0</v>
      </c>
      <c r="BF59" s="1">
        <v>0</v>
      </c>
      <c r="BG59" s="1">
        <v>0</v>
      </c>
      <c r="BH59" s="1">
        <v>0</v>
      </c>
      <c r="BI59" s="1">
        <v>0</v>
      </c>
      <c r="BJ59" s="1">
        <v>0</v>
      </c>
      <c r="BK59" s="1" t="s">
        <v>707</v>
      </c>
      <c r="BL59" s="1">
        <v>0</v>
      </c>
      <c r="BM59" s="1" t="s">
        <v>598</v>
      </c>
      <c r="BN59" s="1" t="s">
        <v>599</v>
      </c>
      <c r="BO59" s="1" t="s">
        <v>2045</v>
      </c>
      <c r="BP59" s="1">
        <v>33.524333900000002</v>
      </c>
      <c r="BQ59" s="1">
        <v>36.346763500000002</v>
      </c>
      <c r="BR59" s="1" t="s">
        <v>637</v>
      </c>
      <c r="BS59" s="1" t="s">
        <v>603</v>
      </c>
      <c r="BT59" s="1" t="s">
        <v>638</v>
      </c>
      <c r="BU59" s="134">
        <v>40082</v>
      </c>
      <c r="BV59" s="1" t="s">
        <v>2214</v>
      </c>
      <c r="BW59" s="1" t="s">
        <v>2215</v>
      </c>
      <c r="BX59" s="1" t="s">
        <v>641</v>
      </c>
      <c r="BY59" s="1">
        <v>2</v>
      </c>
      <c r="BZ59" s="1">
        <v>2</v>
      </c>
      <c r="CA59" s="1">
        <v>50</v>
      </c>
      <c r="CB59" s="1" t="s">
        <v>603</v>
      </c>
      <c r="CC59" s="1" t="s">
        <v>603</v>
      </c>
      <c r="CD59" s="1" t="s">
        <v>603</v>
      </c>
      <c r="CE59" s="1" t="s">
        <v>596</v>
      </c>
      <c r="CF59" s="1" t="s">
        <v>604</v>
      </c>
      <c r="CG59" s="1" t="s">
        <v>596</v>
      </c>
      <c r="CH59" s="1" t="s">
        <v>596</v>
      </c>
      <c r="CI59" s="1" t="s">
        <v>596</v>
      </c>
      <c r="CJ59" s="1" t="s">
        <v>46</v>
      </c>
      <c r="CK59" s="1" t="s">
        <v>2216</v>
      </c>
      <c r="CL59" s="1" t="s">
        <v>2217</v>
      </c>
      <c r="CM59" s="1" t="s">
        <v>2218</v>
      </c>
      <c r="CN59" s="1" t="s">
        <v>2219</v>
      </c>
      <c r="CO59" s="1" t="s">
        <v>2220</v>
      </c>
      <c r="CP59" s="1" t="s">
        <v>2221</v>
      </c>
      <c r="CQ59" s="1" t="s">
        <v>2222</v>
      </c>
      <c r="CR59" s="1" t="s">
        <v>2223</v>
      </c>
      <c r="CS59" s="1" t="s">
        <v>2224</v>
      </c>
      <c r="CT59" s="1" t="s">
        <v>2225</v>
      </c>
      <c r="CU59" s="1" t="s">
        <v>2226</v>
      </c>
      <c r="CV59" s="1" t="s">
        <v>2227</v>
      </c>
      <c r="CW59" s="1" t="s">
        <v>2228</v>
      </c>
      <c r="CX59" s="1" t="s">
        <v>2229</v>
      </c>
      <c r="CY59" s="1" t="s">
        <v>2230</v>
      </c>
      <c r="CZ59" s="1" t="s">
        <v>2231</v>
      </c>
      <c r="DA59" s="1" t="s">
        <v>603</v>
      </c>
      <c r="DN59" s="1" t="s">
        <v>596</v>
      </c>
      <c r="DO59" s="1" t="s">
        <v>2232</v>
      </c>
      <c r="DP59" t="s">
        <v>3573</v>
      </c>
    </row>
    <row r="60" spans="1:120" x14ac:dyDescent="0.25">
      <c r="A60" s="1">
        <v>59</v>
      </c>
      <c r="B60" s="134">
        <v>45995</v>
      </c>
      <c r="C60" s="1" t="s">
        <v>2233</v>
      </c>
      <c r="D60" s="1" t="s">
        <v>580</v>
      </c>
      <c r="E60" s="1" t="s">
        <v>1329</v>
      </c>
      <c r="F60" s="1" t="s">
        <v>2234</v>
      </c>
      <c r="G60" s="1" t="s">
        <v>583</v>
      </c>
      <c r="H60" s="134">
        <v>34844</v>
      </c>
      <c r="I60" s="1" t="s">
        <v>584</v>
      </c>
      <c r="J60" s="1" t="s">
        <v>2235</v>
      </c>
      <c r="K60" s="1" t="s">
        <v>666</v>
      </c>
      <c r="M60" s="1">
        <v>1010355713</v>
      </c>
      <c r="N60" s="1" t="s">
        <v>2236</v>
      </c>
      <c r="O60" s="1" t="s">
        <v>2237</v>
      </c>
      <c r="P60" s="1" t="s">
        <v>2238</v>
      </c>
      <c r="Q60" s="1" t="s">
        <v>2239</v>
      </c>
      <c r="R60" s="1" t="s">
        <v>592</v>
      </c>
      <c r="S60" s="1" t="s">
        <v>593</v>
      </c>
      <c r="T60" s="1" t="s">
        <v>594</v>
      </c>
      <c r="U60" s="1" t="s">
        <v>2240</v>
      </c>
      <c r="V60" s="1">
        <v>994843926</v>
      </c>
      <c r="X60" s="1" t="s">
        <v>596</v>
      </c>
      <c r="AL60" s="1" t="s">
        <v>596</v>
      </c>
      <c r="AT60" s="1" t="s">
        <v>597</v>
      </c>
      <c r="AU60" s="1">
        <v>1</v>
      </c>
      <c r="AV60" s="1">
        <v>4</v>
      </c>
      <c r="AX60" s="1">
        <v>1</v>
      </c>
      <c r="AY60" s="1">
        <v>1</v>
      </c>
      <c r="AZ60" s="1">
        <v>0</v>
      </c>
      <c r="BA60" s="1">
        <v>0</v>
      </c>
      <c r="BB60" s="1">
        <v>1</v>
      </c>
      <c r="BC60" s="1">
        <v>1</v>
      </c>
      <c r="BD60" s="1">
        <v>0</v>
      </c>
      <c r="BE60" s="1">
        <v>0</v>
      </c>
      <c r="BF60" s="1">
        <v>0</v>
      </c>
      <c r="BG60" s="1">
        <v>0</v>
      </c>
      <c r="BH60" s="1">
        <v>0</v>
      </c>
      <c r="BI60" s="1">
        <v>0</v>
      </c>
      <c r="BJ60" s="1">
        <v>0</v>
      </c>
      <c r="BK60" s="1" t="s">
        <v>1118</v>
      </c>
      <c r="BL60" s="1">
        <v>1</v>
      </c>
      <c r="BM60" s="1" t="s">
        <v>635</v>
      </c>
      <c r="BN60" s="1" t="s">
        <v>599</v>
      </c>
      <c r="BO60" s="1" t="s">
        <v>1386</v>
      </c>
      <c r="BP60" s="1">
        <v>33.525941500000002</v>
      </c>
      <c r="BQ60" s="1">
        <v>36.3638288</v>
      </c>
      <c r="BR60" s="1" t="s">
        <v>637</v>
      </c>
      <c r="BS60" s="1" t="s">
        <v>596</v>
      </c>
      <c r="BU60" s="134"/>
      <c r="BX60" s="1" t="s">
        <v>641</v>
      </c>
      <c r="BY60" s="1">
        <v>2</v>
      </c>
      <c r="BZ60" s="1">
        <v>2</v>
      </c>
      <c r="CA60" s="1">
        <v>50</v>
      </c>
      <c r="CB60" s="1" t="s">
        <v>603</v>
      </c>
      <c r="CC60" s="1" t="s">
        <v>603</v>
      </c>
      <c r="CD60" s="1" t="s">
        <v>603</v>
      </c>
      <c r="CE60" s="1" t="s">
        <v>596</v>
      </c>
      <c r="CF60" s="1" t="s">
        <v>604</v>
      </c>
      <c r="CG60" s="1" t="s">
        <v>603</v>
      </c>
      <c r="CH60" s="1" t="s">
        <v>596</v>
      </c>
      <c r="CI60" s="1" t="s">
        <v>596</v>
      </c>
      <c r="CJ60" s="1" t="s">
        <v>51</v>
      </c>
      <c r="CK60" s="1" t="s">
        <v>2241</v>
      </c>
      <c r="CL60" s="1" t="s">
        <v>2242</v>
      </c>
      <c r="CM60" s="1" t="s">
        <v>2243</v>
      </c>
      <c r="CN60" s="1" t="s">
        <v>2244</v>
      </c>
      <c r="CO60" s="1" t="s">
        <v>2245</v>
      </c>
      <c r="CP60" s="1" t="s">
        <v>2246</v>
      </c>
      <c r="CQ60" s="1" t="s">
        <v>2247</v>
      </c>
      <c r="CR60" s="1" t="s">
        <v>2248</v>
      </c>
      <c r="CS60" s="1" t="s">
        <v>2249</v>
      </c>
      <c r="CT60" s="1" t="s">
        <v>2250</v>
      </c>
      <c r="CU60" s="1" t="s">
        <v>2251</v>
      </c>
      <c r="CV60" s="1" t="s">
        <v>2252</v>
      </c>
      <c r="CW60" s="1" t="s">
        <v>2253</v>
      </c>
      <c r="CX60" s="1" t="s">
        <v>2254</v>
      </c>
      <c r="CY60" s="1" t="s">
        <v>2255</v>
      </c>
      <c r="CZ60" s="1" t="s">
        <v>2256</v>
      </c>
      <c r="DA60" s="1" t="s">
        <v>603</v>
      </c>
      <c r="DN60" s="1" t="s">
        <v>596</v>
      </c>
      <c r="DO60" s="1" t="s">
        <v>2257</v>
      </c>
      <c r="DP60" t="s">
        <v>3573</v>
      </c>
    </row>
    <row r="61" spans="1:120" x14ac:dyDescent="0.25">
      <c r="A61" s="1">
        <v>60</v>
      </c>
      <c r="B61" s="134">
        <v>45995</v>
      </c>
      <c r="C61" s="1" t="s">
        <v>2258</v>
      </c>
      <c r="D61" s="1" t="s">
        <v>1638</v>
      </c>
      <c r="E61" s="1" t="s">
        <v>1276</v>
      </c>
      <c r="F61" s="1" t="s">
        <v>2259</v>
      </c>
      <c r="G61" s="1" t="s">
        <v>583</v>
      </c>
      <c r="H61" s="134">
        <v>30471</v>
      </c>
      <c r="I61" s="1" t="s">
        <v>584</v>
      </c>
      <c r="J61" s="1" t="s">
        <v>2260</v>
      </c>
      <c r="K61" s="1" t="s">
        <v>666</v>
      </c>
      <c r="M61" s="1">
        <v>3330044015</v>
      </c>
      <c r="N61" s="1" t="s">
        <v>2261</v>
      </c>
      <c r="O61" s="1" t="s">
        <v>2262</v>
      </c>
      <c r="P61" s="1" t="s">
        <v>2263</v>
      </c>
      <c r="Q61" s="1" t="s">
        <v>2264</v>
      </c>
      <c r="R61" s="1" t="s">
        <v>592</v>
      </c>
      <c r="S61" s="1" t="s">
        <v>593</v>
      </c>
      <c r="T61" s="1" t="s">
        <v>594</v>
      </c>
      <c r="U61" s="1" t="s">
        <v>2265</v>
      </c>
      <c r="V61" s="1">
        <v>998734809</v>
      </c>
      <c r="X61" s="1" t="s">
        <v>596</v>
      </c>
      <c r="AL61" s="1" t="s">
        <v>596</v>
      </c>
      <c r="AT61" s="1" t="s">
        <v>597</v>
      </c>
      <c r="AU61" s="1">
        <v>1</v>
      </c>
      <c r="AV61" s="1">
        <v>5</v>
      </c>
      <c r="AX61" s="1">
        <v>1</v>
      </c>
      <c r="AY61" s="1">
        <v>1</v>
      </c>
      <c r="AZ61" s="1">
        <v>1</v>
      </c>
      <c r="BA61" s="1">
        <v>0</v>
      </c>
      <c r="BB61" s="1">
        <v>1</v>
      </c>
      <c r="BC61" s="1">
        <v>1</v>
      </c>
      <c r="BD61" s="1">
        <v>0</v>
      </c>
      <c r="BE61" s="1">
        <v>0</v>
      </c>
      <c r="BF61" s="1">
        <v>0</v>
      </c>
      <c r="BG61" s="1">
        <v>0</v>
      </c>
      <c r="BH61" s="1">
        <v>0</v>
      </c>
      <c r="BI61" s="1">
        <v>0</v>
      </c>
      <c r="BJ61" s="1">
        <v>0</v>
      </c>
      <c r="BK61" s="1" t="s">
        <v>634</v>
      </c>
      <c r="BL61" s="1">
        <v>1</v>
      </c>
      <c r="BM61" s="1" t="s">
        <v>598</v>
      </c>
      <c r="BN61" s="1" t="s">
        <v>599</v>
      </c>
      <c r="BO61" s="1" t="s">
        <v>2266</v>
      </c>
      <c r="BP61" s="1">
        <v>33.5265019</v>
      </c>
      <c r="BQ61" s="1">
        <v>36.359181200000002</v>
      </c>
      <c r="BR61" s="1" t="s">
        <v>637</v>
      </c>
      <c r="BS61" s="1" t="s">
        <v>603</v>
      </c>
      <c r="BT61" s="1" t="s">
        <v>710</v>
      </c>
      <c r="BU61" s="134">
        <v>28651</v>
      </c>
      <c r="BV61" s="1" t="s">
        <v>2267</v>
      </c>
      <c r="BW61" s="1" t="s">
        <v>2268</v>
      </c>
      <c r="BX61" s="1" t="s">
        <v>641</v>
      </c>
      <c r="BY61" s="1">
        <v>2</v>
      </c>
      <c r="BZ61" s="1">
        <v>0</v>
      </c>
      <c r="CA61" s="1">
        <v>50</v>
      </c>
      <c r="CB61" s="1" t="s">
        <v>603</v>
      </c>
      <c r="CC61" s="1" t="s">
        <v>603</v>
      </c>
      <c r="CD61" s="1" t="s">
        <v>603</v>
      </c>
      <c r="CE61" s="1" t="s">
        <v>596</v>
      </c>
      <c r="CF61" s="1" t="s">
        <v>604</v>
      </c>
      <c r="CG61" s="1" t="s">
        <v>603</v>
      </c>
      <c r="CH61" s="1" t="s">
        <v>596</v>
      </c>
      <c r="CI61" s="1" t="s">
        <v>596</v>
      </c>
      <c r="CJ61" s="1" t="s">
        <v>51</v>
      </c>
      <c r="CK61" s="1" t="s">
        <v>2269</v>
      </c>
      <c r="CL61" s="1" t="s">
        <v>2270</v>
      </c>
      <c r="CM61" s="1" t="s">
        <v>2271</v>
      </c>
      <c r="CN61" s="1" t="s">
        <v>2272</v>
      </c>
      <c r="CO61" s="1" t="s">
        <v>2273</v>
      </c>
      <c r="CP61" s="1" t="s">
        <v>2274</v>
      </c>
      <c r="CQ61" s="1" t="s">
        <v>2275</v>
      </c>
      <c r="CR61" s="1" t="s">
        <v>2276</v>
      </c>
      <c r="CS61" s="1" t="s">
        <v>2277</v>
      </c>
      <c r="CT61" s="1" t="s">
        <v>2278</v>
      </c>
      <c r="CU61" s="1" t="s">
        <v>2279</v>
      </c>
      <c r="CV61" s="1" t="s">
        <v>2280</v>
      </c>
      <c r="CW61" s="1" t="s">
        <v>2281</v>
      </c>
      <c r="CX61" s="1" t="s">
        <v>2282</v>
      </c>
      <c r="CY61" s="1" t="s">
        <v>2283</v>
      </c>
      <c r="CZ61" s="1" t="s">
        <v>2284</v>
      </c>
      <c r="DA61" s="1" t="s">
        <v>603</v>
      </c>
      <c r="DN61" s="1" t="s">
        <v>596</v>
      </c>
      <c r="DO61" s="1" t="s">
        <v>2285</v>
      </c>
      <c r="DP61" t="s">
        <v>3573</v>
      </c>
    </row>
    <row r="62" spans="1:120" x14ac:dyDescent="0.25">
      <c r="A62" s="1">
        <v>61</v>
      </c>
      <c r="B62" s="134">
        <v>45995</v>
      </c>
      <c r="C62" s="1" t="s">
        <v>2286</v>
      </c>
      <c r="D62" s="1" t="s">
        <v>1355</v>
      </c>
      <c r="E62" s="1" t="s">
        <v>662</v>
      </c>
      <c r="F62" s="1" t="s">
        <v>2287</v>
      </c>
      <c r="G62" s="1" t="s">
        <v>583</v>
      </c>
      <c r="H62" s="134">
        <v>26299</v>
      </c>
      <c r="I62" s="1" t="s">
        <v>584</v>
      </c>
      <c r="J62" s="1" t="s">
        <v>2288</v>
      </c>
      <c r="K62" s="1" t="s">
        <v>666</v>
      </c>
      <c r="M62" s="1">
        <v>3330027512</v>
      </c>
      <c r="N62" s="1" t="s">
        <v>2289</v>
      </c>
      <c r="O62" s="1" t="s">
        <v>2290</v>
      </c>
      <c r="P62" s="1" t="s">
        <v>2291</v>
      </c>
      <c r="Q62" s="1" t="s">
        <v>2292</v>
      </c>
      <c r="R62" s="1" t="s">
        <v>592</v>
      </c>
      <c r="S62" s="1" t="s">
        <v>593</v>
      </c>
      <c r="T62" s="1" t="s">
        <v>594</v>
      </c>
      <c r="U62" s="1" t="s">
        <v>2293</v>
      </c>
      <c r="V62" s="1">
        <v>59460407</v>
      </c>
      <c r="X62" s="1" t="s">
        <v>596</v>
      </c>
      <c r="AL62" s="1" t="s">
        <v>596</v>
      </c>
      <c r="AT62" s="1" t="s">
        <v>597</v>
      </c>
      <c r="AU62" s="1">
        <v>1</v>
      </c>
      <c r="AV62" s="1">
        <v>9</v>
      </c>
      <c r="AX62" s="1">
        <v>3</v>
      </c>
      <c r="AY62" s="1">
        <v>3</v>
      </c>
      <c r="AZ62" s="1">
        <v>0</v>
      </c>
      <c r="BA62" s="1">
        <v>1</v>
      </c>
      <c r="BB62" s="1">
        <v>2</v>
      </c>
      <c r="BC62" s="1">
        <v>0</v>
      </c>
      <c r="BD62" s="1">
        <v>0</v>
      </c>
      <c r="BE62" s="1">
        <v>0</v>
      </c>
      <c r="BF62" s="1">
        <v>0</v>
      </c>
      <c r="BG62" s="1">
        <v>0</v>
      </c>
      <c r="BH62" s="1">
        <v>0</v>
      </c>
      <c r="BI62" s="1">
        <v>0</v>
      </c>
      <c r="BJ62" s="1">
        <v>0</v>
      </c>
      <c r="BK62" s="1" t="s">
        <v>741</v>
      </c>
      <c r="BL62" s="1">
        <v>2</v>
      </c>
      <c r="BM62" s="1" t="s">
        <v>598</v>
      </c>
      <c r="BN62" s="1" t="s">
        <v>599</v>
      </c>
      <c r="BO62" s="1" t="s">
        <v>2294</v>
      </c>
      <c r="BP62" s="1">
        <v>33.527084500000001</v>
      </c>
      <c r="BQ62" s="1">
        <v>36.363693099999999</v>
      </c>
      <c r="BR62" s="1" t="s">
        <v>637</v>
      </c>
      <c r="BS62" s="1" t="s">
        <v>603</v>
      </c>
      <c r="BT62" s="1" t="s">
        <v>889</v>
      </c>
      <c r="BU62" s="134">
        <v>43227</v>
      </c>
      <c r="BV62" s="1" t="s">
        <v>2295</v>
      </c>
      <c r="BW62" s="1" t="s">
        <v>2296</v>
      </c>
      <c r="BX62" s="1" t="s">
        <v>641</v>
      </c>
      <c r="BY62" s="1">
        <v>2</v>
      </c>
      <c r="BZ62" s="1">
        <v>0</v>
      </c>
      <c r="CA62" s="1">
        <v>75</v>
      </c>
      <c r="CB62" s="1" t="s">
        <v>603</v>
      </c>
      <c r="CC62" s="1" t="s">
        <v>603</v>
      </c>
      <c r="CD62" s="1" t="s">
        <v>603</v>
      </c>
      <c r="CE62" s="1" t="s">
        <v>596</v>
      </c>
      <c r="CF62" s="1" t="s">
        <v>604</v>
      </c>
      <c r="CG62" s="1" t="s">
        <v>603</v>
      </c>
      <c r="CH62" s="1" t="s">
        <v>596</v>
      </c>
      <c r="CI62" s="1" t="s">
        <v>596</v>
      </c>
      <c r="CJ62" s="1" t="s">
        <v>46</v>
      </c>
      <c r="CK62" s="1" t="s">
        <v>2297</v>
      </c>
      <c r="CL62" s="1" t="s">
        <v>2298</v>
      </c>
      <c r="CM62" s="1" t="s">
        <v>2299</v>
      </c>
      <c r="CN62" s="1" t="s">
        <v>2300</v>
      </c>
      <c r="CO62" s="1" t="s">
        <v>2301</v>
      </c>
      <c r="CP62" s="1" t="s">
        <v>2302</v>
      </c>
      <c r="CQ62" s="1" t="s">
        <v>2303</v>
      </c>
      <c r="CR62" s="1" t="s">
        <v>2304</v>
      </c>
      <c r="CS62" s="1" t="s">
        <v>2305</v>
      </c>
      <c r="CT62" s="1" t="s">
        <v>2306</v>
      </c>
      <c r="CU62" s="1" t="s">
        <v>2307</v>
      </c>
      <c r="CV62" s="1" t="s">
        <v>2308</v>
      </c>
      <c r="CW62" s="1" t="s">
        <v>2309</v>
      </c>
      <c r="CX62" s="1" t="s">
        <v>2310</v>
      </c>
      <c r="CY62" s="1" t="s">
        <v>2311</v>
      </c>
      <c r="CZ62" s="1" t="s">
        <v>2312</v>
      </c>
      <c r="DA62" s="1" t="s">
        <v>603</v>
      </c>
      <c r="DN62" s="1" t="s">
        <v>596</v>
      </c>
      <c r="DP62" t="s">
        <v>3573</v>
      </c>
    </row>
    <row r="63" spans="1:120" x14ac:dyDescent="0.25">
      <c r="A63" s="1">
        <v>62</v>
      </c>
      <c r="B63" s="134">
        <v>45995</v>
      </c>
      <c r="C63" s="1" t="s">
        <v>623</v>
      </c>
      <c r="D63" s="1" t="s">
        <v>2313</v>
      </c>
      <c r="E63" s="1" t="s">
        <v>624</v>
      </c>
      <c r="F63" s="1" t="s">
        <v>1304</v>
      </c>
      <c r="G63" s="1" t="s">
        <v>583</v>
      </c>
      <c r="H63" s="134">
        <v>20641</v>
      </c>
      <c r="I63" s="1" t="s">
        <v>584</v>
      </c>
      <c r="J63" s="1" t="s">
        <v>2314</v>
      </c>
      <c r="K63" s="1" t="s">
        <v>586</v>
      </c>
      <c r="L63" s="1" t="s">
        <v>587</v>
      </c>
      <c r="M63" s="1">
        <v>44458345109</v>
      </c>
      <c r="N63" s="1" t="s">
        <v>2315</v>
      </c>
      <c r="O63" s="1" t="s">
        <v>2316</v>
      </c>
      <c r="P63" s="1" t="s">
        <v>2317</v>
      </c>
      <c r="Q63" s="1" t="s">
        <v>2318</v>
      </c>
      <c r="R63" s="1" t="s">
        <v>592</v>
      </c>
      <c r="S63" s="1" t="s">
        <v>593</v>
      </c>
      <c r="T63" s="1" t="s">
        <v>594</v>
      </c>
      <c r="U63" s="1" t="s">
        <v>636</v>
      </c>
      <c r="V63" s="1">
        <v>942570442</v>
      </c>
      <c r="W63" s="1">
        <v>942570441</v>
      </c>
      <c r="X63" s="1" t="s">
        <v>596</v>
      </c>
      <c r="AL63" s="1" t="s">
        <v>603</v>
      </c>
      <c r="AM63" s="1" t="s">
        <v>633</v>
      </c>
      <c r="AN63" s="1">
        <v>1</v>
      </c>
      <c r="AO63" s="1">
        <v>0</v>
      </c>
      <c r="AP63" s="1">
        <v>0</v>
      </c>
      <c r="AQ63" s="1">
        <v>0</v>
      </c>
      <c r="AR63" s="1">
        <v>0</v>
      </c>
      <c r="AT63" s="1" t="s">
        <v>706</v>
      </c>
      <c r="AU63" s="1">
        <v>1</v>
      </c>
      <c r="AV63" s="1">
        <v>6</v>
      </c>
      <c r="AX63" s="1">
        <v>2</v>
      </c>
      <c r="AY63" s="1">
        <v>2</v>
      </c>
      <c r="AZ63" s="1">
        <v>0</v>
      </c>
      <c r="BA63" s="1">
        <v>0</v>
      </c>
      <c r="BB63" s="1">
        <v>2</v>
      </c>
      <c r="BC63" s="1">
        <v>0</v>
      </c>
      <c r="BD63" s="1">
        <v>1</v>
      </c>
      <c r="BE63" s="1">
        <v>0</v>
      </c>
      <c r="BF63" s="1">
        <v>0</v>
      </c>
      <c r="BG63" s="1">
        <v>0</v>
      </c>
      <c r="BH63" s="1">
        <v>0</v>
      </c>
      <c r="BI63" s="1">
        <v>0</v>
      </c>
      <c r="BJ63" s="1">
        <v>0</v>
      </c>
      <c r="BK63" s="1" t="s">
        <v>707</v>
      </c>
      <c r="BL63" s="1">
        <v>1</v>
      </c>
      <c r="BM63" s="1" t="s">
        <v>598</v>
      </c>
      <c r="BN63" s="1" t="s">
        <v>599</v>
      </c>
      <c r="BO63" s="1" t="s">
        <v>1310</v>
      </c>
      <c r="BP63" s="1">
        <v>33.5252324</v>
      </c>
      <c r="BQ63" s="1">
        <v>36.361151200000002</v>
      </c>
      <c r="BR63" s="1" t="s">
        <v>637</v>
      </c>
      <c r="BS63" s="1" t="s">
        <v>596</v>
      </c>
      <c r="BU63" s="134"/>
      <c r="BX63" s="1" t="s">
        <v>602</v>
      </c>
      <c r="BY63" s="1">
        <v>2</v>
      </c>
      <c r="BZ63" s="1">
        <v>0</v>
      </c>
      <c r="CA63" s="1">
        <v>70</v>
      </c>
      <c r="CB63" s="1" t="s">
        <v>596</v>
      </c>
      <c r="CC63" s="1" t="s">
        <v>603</v>
      </c>
      <c r="CD63" s="1" t="s">
        <v>603</v>
      </c>
      <c r="CE63" s="1" t="s">
        <v>596</v>
      </c>
      <c r="CF63" s="1" t="s">
        <v>642</v>
      </c>
      <c r="CG63" s="1" t="s">
        <v>603</v>
      </c>
      <c r="CH63" s="1" t="s">
        <v>596</v>
      </c>
      <c r="CI63" s="1" t="s">
        <v>596</v>
      </c>
      <c r="CJ63" s="1" t="s">
        <v>46</v>
      </c>
      <c r="CK63" s="1" t="s">
        <v>2319</v>
      </c>
      <c r="CL63" s="1" t="s">
        <v>2320</v>
      </c>
      <c r="CM63" s="1" t="s">
        <v>2321</v>
      </c>
      <c r="CN63" s="1" t="s">
        <v>2322</v>
      </c>
      <c r="CO63" s="1" t="s">
        <v>2323</v>
      </c>
      <c r="CP63" s="1" t="s">
        <v>2324</v>
      </c>
      <c r="CQ63" s="1" t="s">
        <v>2325</v>
      </c>
      <c r="CR63" s="1" t="s">
        <v>2326</v>
      </c>
      <c r="CS63" s="1" t="s">
        <v>2327</v>
      </c>
      <c r="CT63" s="1" t="s">
        <v>2328</v>
      </c>
      <c r="CU63" s="1" t="s">
        <v>2329</v>
      </c>
      <c r="CV63" s="1" t="s">
        <v>2330</v>
      </c>
      <c r="CW63" s="1" t="s">
        <v>2331</v>
      </c>
      <c r="CX63" s="1" t="s">
        <v>2332</v>
      </c>
      <c r="CY63" s="1" t="s">
        <v>2333</v>
      </c>
      <c r="CZ63" s="1" t="s">
        <v>2334</v>
      </c>
      <c r="DA63" s="1" t="s">
        <v>603</v>
      </c>
      <c r="DN63" s="1" t="s">
        <v>596</v>
      </c>
      <c r="DO63" s="1" t="s">
        <v>2335</v>
      </c>
      <c r="DP63" t="s">
        <v>3573</v>
      </c>
    </row>
    <row r="64" spans="1:120" x14ac:dyDescent="0.25">
      <c r="A64" s="1">
        <v>63</v>
      </c>
      <c r="B64" s="134">
        <v>45995</v>
      </c>
      <c r="C64" s="1" t="s">
        <v>1109</v>
      </c>
      <c r="D64" s="1" t="s">
        <v>580</v>
      </c>
      <c r="E64" s="1" t="s">
        <v>2336</v>
      </c>
      <c r="F64" s="1" t="s">
        <v>2337</v>
      </c>
      <c r="G64" s="1" t="s">
        <v>583</v>
      </c>
      <c r="H64" s="134">
        <v>24400</v>
      </c>
      <c r="I64" s="1" t="s">
        <v>584</v>
      </c>
      <c r="J64" s="1" t="s">
        <v>2338</v>
      </c>
      <c r="K64" s="1" t="s">
        <v>666</v>
      </c>
      <c r="M64" s="1">
        <v>3330035306</v>
      </c>
      <c r="N64" s="1" t="s">
        <v>2339</v>
      </c>
      <c r="O64" s="1" t="s">
        <v>2340</v>
      </c>
      <c r="P64" s="1" t="s">
        <v>2341</v>
      </c>
      <c r="Q64" s="1" t="s">
        <v>2342</v>
      </c>
      <c r="R64" s="1" t="s">
        <v>592</v>
      </c>
      <c r="S64" s="1" t="s">
        <v>593</v>
      </c>
      <c r="T64" s="1" t="s">
        <v>594</v>
      </c>
      <c r="U64" s="1" t="s">
        <v>2343</v>
      </c>
      <c r="V64" s="1">
        <v>997738194</v>
      </c>
      <c r="X64" s="1" t="s">
        <v>596</v>
      </c>
      <c r="AL64" s="1" t="s">
        <v>596</v>
      </c>
      <c r="AT64" s="1" t="s">
        <v>597</v>
      </c>
      <c r="AU64" s="1">
        <v>1</v>
      </c>
      <c r="AV64" s="1">
        <v>5</v>
      </c>
      <c r="AX64" s="1">
        <v>2</v>
      </c>
      <c r="AY64" s="1">
        <v>2</v>
      </c>
      <c r="AZ64" s="1">
        <v>0</v>
      </c>
      <c r="BA64" s="1">
        <v>1</v>
      </c>
      <c r="BB64" s="1">
        <v>0</v>
      </c>
      <c r="BC64" s="1">
        <v>0</v>
      </c>
      <c r="BD64" s="1">
        <v>0</v>
      </c>
      <c r="BE64" s="1">
        <v>0</v>
      </c>
      <c r="BF64" s="1">
        <v>0</v>
      </c>
      <c r="BG64" s="1">
        <v>0</v>
      </c>
      <c r="BH64" s="1">
        <v>0</v>
      </c>
      <c r="BI64" s="1">
        <v>0</v>
      </c>
      <c r="BJ64" s="1">
        <v>0</v>
      </c>
      <c r="BK64" s="1" t="s">
        <v>634</v>
      </c>
      <c r="BL64" s="1">
        <v>2</v>
      </c>
      <c r="BM64" s="1" t="s">
        <v>708</v>
      </c>
      <c r="BN64" s="1" t="s">
        <v>599</v>
      </c>
      <c r="BO64" s="1" t="s">
        <v>2344</v>
      </c>
      <c r="BP64" s="1">
        <v>33.5251643</v>
      </c>
      <c r="BQ64" s="1">
        <v>36.360909999999997</v>
      </c>
      <c r="BR64" s="1" t="s">
        <v>637</v>
      </c>
      <c r="BS64" s="1" t="s">
        <v>603</v>
      </c>
      <c r="BT64" s="1" t="s">
        <v>638</v>
      </c>
      <c r="BU64" s="134">
        <v>34617</v>
      </c>
      <c r="BV64" s="1" t="s">
        <v>2345</v>
      </c>
      <c r="BW64" s="1" t="s">
        <v>2346</v>
      </c>
      <c r="BX64" s="1" t="s">
        <v>641</v>
      </c>
      <c r="BY64" s="1">
        <v>2</v>
      </c>
      <c r="BZ64" s="1">
        <v>0</v>
      </c>
      <c r="CA64" s="1">
        <v>70</v>
      </c>
      <c r="CB64" s="1" t="s">
        <v>603</v>
      </c>
      <c r="CC64" s="1" t="s">
        <v>603</v>
      </c>
      <c r="CD64" s="1" t="s">
        <v>603</v>
      </c>
      <c r="CE64" s="1" t="s">
        <v>596</v>
      </c>
      <c r="CF64" s="1" t="s">
        <v>604</v>
      </c>
      <c r="CG64" s="1" t="s">
        <v>603</v>
      </c>
      <c r="CH64" s="1" t="s">
        <v>596</v>
      </c>
      <c r="CI64" s="1" t="s">
        <v>596</v>
      </c>
      <c r="CJ64" s="1" t="s">
        <v>46</v>
      </c>
      <c r="CK64" s="1" t="s">
        <v>2347</v>
      </c>
      <c r="CL64" s="1" t="s">
        <v>2348</v>
      </c>
      <c r="CM64" s="1" t="s">
        <v>2349</v>
      </c>
      <c r="CN64" s="1" t="s">
        <v>2350</v>
      </c>
      <c r="CO64" s="1" t="s">
        <v>2351</v>
      </c>
      <c r="CP64" s="1" t="s">
        <v>2352</v>
      </c>
      <c r="CQ64" s="1" t="s">
        <v>2353</v>
      </c>
      <c r="CR64" s="1" t="s">
        <v>2354</v>
      </c>
      <c r="CS64" s="1" t="s">
        <v>2355</v>
      </c>
      <c r="CT64" s="1" t="s">
        <v>2356</v>
      </c>
      <c r="CU64" s="1" t="s">
        <v>2357</v>
      </c>
      <c r="CV64" s="1" t="s">
        <v>2358</v>
      </c>
      <c r="CW64" s="1" t="s">
        <v>2359</v>
      </c>
      <c r="CX64" s="1" t="s">
        <v>2360</v>
      </c>
      <c r="CY64" s="1" t="s">
        <v>2361</v>
      </c>
      <c r="CZ64" s="1" t="s">
        <v>2362</v>
      </c>
      <c r="DA64" s="1" t="s">
        <v>603</v>
      </c>
      <c r="DN64" s="1" t="s">
        <v>596</v>
      </c>
      <c r="DO64" s="1" t="s">
        <v>2363</v>
      </c>
      <c r="DP64" t="s">
        <v>3573</v>
      </c>
    </row>
    <row r="65" spans="1:120" x14ac:dyDescent="0.25">
      <c r="A65" s="1">
        <v>64</v>
      </c>
      <c r="B65" s="134">
        <v>45995</v>
      </c>
      <c r="C65" s="1" t="s">
        <v>2364</v>
      </c>
      <c r="D65" s="1" t="s">
        <v>581</v>
      </c>
      <c r="E65" s="1" t="s">
        <v>1665</v>
      </c>
      <c r="F65" s="1" t="s">
        <v>1304</v>
      </c>
      <c r="G65" s="1" t="s">
        <v>583</v>
      </c>
      <c r="H65" s="134">
        <v>18158</v>
      </c>
      <c r="I65" s="1" t="s">
        <v>584</v>
      </c>
      <c r="J65" s="1" t="s">
        <v>2365</v>
      </c>
      <c r="K65" s="1" t="s">
        <v>666</v>
      </c>
      <c r="M65" s="1">
        <v>3330039899</v>
      </c>
      <c r="N65" s="1" t="s">
        <v>2366</v>
      </c>
      <c r="O65" s="1" t="s">
        <v>2367</v>
      </c>
      <c r="P65" s="1" t="s">
        <v>2368</v>
      </c>
      <c r="Q65" s="1" t="s">
        <v>2369</v>
      </c>
      <c r="R65" s="1" t="s">
        <v>592</v>
      </c>
      <c r="S65" s="1" t="s">
        <v>593</v>
      </c>
      <c r="T65" s="1" t="s">
        <v>594</v>
      </c>
      <c r="U65" s="1" t="s">
        <v>2370</v>
      </c>
      <c r="V65" s="1">
        <v>969389611</v>
      </c>
      <c r="X65" s="1" t="s">
        <v>596</v>
      </c>
      <c r="AL65" s="1" t="s">
        <v>596</v>
      </c>
      <c r="AT65" s="1" t="s">
        <v>597</v>
      </c>
      <c r="AU65" s="1">
        <v>1</v>
      </c>
      <c r="AV65" s="1">
        <v>2</v>
      </c>
      <c r="AX65" s="1">
        <v>1</v>
      </c>
      <c r="AY65" s="1">
        <v>1</v>
      </c>
      <c r="AZ65" s="1">
        <v>0</v>
      </c>
      <c r="BA65" s="1">
        <v>0</v>
      </c>
      <c r="BB65" s="1">
        <v>0</v>
      </c>
      <c r="BC65" s="1">
        <v>0</v>
      </c>
      <c r="BD65" s="1">
        <v>1</v>
      </c>
      <c r="BE65" s="1">
        <v>0</v>
      </c>
      <c r="BF65" s="1">
        <v>0</v>
      </c>
      <c r="BG65" s="1">
        <v>0</v>
      </c>
      <c r="BH65" s="1">
        <v>0</v>
      </c>
      <c r="BI65" s="1">
        <v>0</v>
      </c>
      <c r="BJ65" s="1">
        <v>0</v>
      </c>
      <c r="BK65" s="1" t="s">
        <v>707</v>
      </c>
      <c r="BL65" s="1">
        <v>0</v>
      </c>
      <c r="BM65" s="1" t="s">
        <v>598</v>
      </c>
      <c r="BN65" s="1" t="s">
        <v>599</v>
      </c>
      <c r="BO65" s="1" t="s">
        <v>2371</v>
      </c>
      <c r="BP65" s="1">
        <v>33.525271199999999</v>
      </c>
      <c r="BQ65" s="1">
        <v>36.361857499999999</v>
      </c>
      <c r="BR65" s="1" t="s">
        <v>637</v>
      </c>
      <c r="BS65" s="1" t="s">
        <v>603</v>
      </c>
      <c r="BT65" s="1" t="s">
        <v>638</v>
      </c>
      <c r="BU65" s="134">
        <v>35245</v>
      </c>
      <c r="BV65" s="1" t="s">
        <v>2372</v>
      </c>
      <c r="BW65" s="1" t="s">
        <v>2373</v>
      </c>
      <c r="BX65" s="1" t="s">
        <v>641</v>
      </c>
      <c r="BY65" s="1">
        <v>2</v>
      </c>
      <c r="BZ65" s="1">
        <v>0</v>
      </c>
      <c r="CA65" s="1">
        <v>70</v>
      </c>
      <c r="CB65" s="1" t="s">
        <v>603</v>
      </c>
      <c r="CC65" s="1" t="s">
        <v>596</v>
      </c>
      <c r="CD65" s="1" t="s">
        <v>596</v>
      </c>
      <c r="CE65" s="1" t="s">
        <v>603</v>
      </c>
      <c r="CF65" s="1" t="s">
        <v>604</v>
      </c>
      <c r="CG65" s="1" t="s">
        <v>603</v>
      </c>
      <c r="CH65" s="1" t="s">
        <v>596</v>
      </c>
      <c r="CI65" s="1" t="s">
        <v>596</v>
      </c>
      <c r="CJ65" s="1" t="s">
        <v>46</v>
      </c>
      <c r="CK65" s="1" t="s">
        <v>2374</v>
      </c>
      <c r="CL65" s="1" t="s">
        <v>2375</v>
      </c>
      <c r="CM65" s="1" t="s">
        <v>2376</v>
      </c>
      <c r="CN65" s="1" t="s">
        <v>2377</v>
      </c>
      <c r="CO65" s="1" t="s">
        <v>2378</v>
      </c>
      <c r="CP65" s="1" t="s">
        <v>2379</v>
      </c>
      <c r="CQ65" s="1" t="s">
        <v>2380</v>
      </c>
      <c r="CR65" s="1" t="s">
        <v>2381</v>
      </c>
      <c r="CS65" s="1" t="s">
        <v>2382</v>
      </c>
      <c r="CT65" s="1" t="s">
        <v>2383</v>
      </c>
      <c r="CU65" s="1" t="s">
        <v>2384</v>
      </c>
      <c r="CV65" s="1" t="s">
        <v>2385</v>
      </c>
      <c r="CW65" s="1" t="s">
        <v>2386</v>
      </c>
      <c r="CX65" s="1" t="s">
        <v>2387</v>
      </c>
      <c r="CY65" s="1" t="s">
        <v>2388</v>
      </c>
      <c r="CZ65" s="1" t="s">
        <v>2389</v>
      </c>
      <c r="DA65" s="1" t="s">
        <v>603</v>
      </c>
      <c r="DN65" s="1" t="s">
        <v>596</v>
      </c>
      <c r="DO65" s="1" t="s">
        <v>2390</v>
      </c>
      <c r="DP65" t="s">
        <v>3573</v>
      </c>
    </row>
    <row r="66" spans="1:120" x14ac:dyDescent="0.25">
      <c r="A66" s="1">
        <v>65</v>
      </c>
      <c r="B66" s="134">
        <v>45995</v>
      </c>
      <c r="C66" s="1" t="s">
        <v>2391</v>
      </c>
      <c r="D66" s="1" t="s">
        <v>1380</v>
      </c>
      <c r="E66" s="1" t="s">
        <v>2392</v>
      </c>
      <c r="F66" s="1" t="s">
        <v>2393</v>
      </c>
      <c r="G66" s="1" t="s">
        <v>664</v>
      </c>
      <c r="H66" s="134">
        <v>26039</v>
      </c>
      <c r="I66" s="1" t="s">
        <v>584</v>
      </c>
      <c r="J66" s="1" t="s">
        <v>2394</v>
      </c>
      <c r="K66" s="1" t="s">
        <v>666</v>
      </c>
      <c r="M66" s="1">
        <v>1010413503</v>
      </c>
      <c r="N66" s="1" t="s">
        <v>2395</v>
      </c>
      <c r="O66" s="1" t="s">
        <v>2396</v>
      </c>
      <c r="P66" s="1" t="s">
        <v>2397</v>
      </c>
      <c r="Q66" s="1" t="s">
        <v>2398</v>
      </c>
      <c r="R66" s="1" t="s">
        <v>592</v>
      </c>
      <c r="S66" s="1" t="s">
        <v>593</v>
      </c>
      <c r="T66" s="1" t="s">
        <v>594</v>
      </c>
      <c r="U66" s="1" t="s">
        <v>2399</v>
      </c>
      <c r="V66" s="1">
        <v>931844680</v>
      </c>
      <c r="X66" s="1" t="s">
        <v>596</v>
      </c>
      <c r="AL66" s="1" t="s">
        <v>596</v>
      </c>
      <c r="AT66" s="1" t="s">
        <v>597</v>
      </c>
      <c r="AU66" s="1">
        <v>1</v>
      </c>
      <c r="AV66" s="1">
        <v>4</v>
      </c>
      <c r="AX66" s="1">
        <v>3</v>
      </c>
      <c r="AY66" s="1">
        <v>1</v>
      </c>
      <c r="AZ66" s="1">
        <v>0</v>
      </c>
      <c r="BA66" s="1">
        <v>0</v>
      </c>
      <c r="BB66" s="1">
        <v>0</v>
      </c>
      <c r="BC66" s="1">
        <v>0</v>
      </c>
      <c r="BD66" s="1">
        <v>0</v>
      </c>
      <c r="BE66" s="1">
        <v>0</v>
      </c>
      <c r="BF66" s="1">
        <v>0</v>
      </c>
      <c r="BG66" s="1">
        <v>0</v>
      </c>
      <c r="BH66" s="1">
        <v>0</v>
      </c>
      <c r="BI66" s="1">
        <v>0</v>
      </c>
      <c r="BJ66" s="1">
        <v>0</v>
      </c>
      <c r="BK66" s="1" t="s">
        <v>1118</v>
      </c>
      <c r="BL66" s="1">
        <v>3</v>
      </c>
      <c r="BM66" s="1" t="s">
        <v>598</v>
      </c>
      <c r="BN66" s="1" t="s">
        <v>599</v>
      </c>
      <c r="BO66" s="1" t="s">
        <v>2399</v>
      </c>
      <c r="BP66" s="1">
        <v>33.524133800000001</v>
      </c>
      <c r="BQ66" s="1">
        <v>36.359038699999999</v>
      </c>
      <c r="BR66" s="1" t="s">
        <v>637</v>
      </c>
      <c r="BS66" s="1" t="s">
        <v>603</v>
      </c>
      <c r="BT66" s="1" t="s">
        <v>638</v>
      </c>
      <c r="BU66" s="134">
        <v>45579</v>
      </c>
      <c r="BV66" s="1" t="s">
        <v>2400</v>
      </c>
      <c r="BW66" s="1" t="s">
        <v>2401</v>
      </c>
      <c r="BX66" s="1" t="s">
        <v>641</v>
      </c>
      <c r="BY66" s="1">
        <v>2</v>
      </c>
      <c r="BZ66" s="1">
        <v>0</v>
      </c>
      <c r="CA66" s="1">
        <v>50</v>
      </c>
      <c r="CB66" s="1" t="s">
        <v>603</v>
      </c>
      <c r="CC66" s="1" t="s">
        <v>596</v>
      </c>
      <c r="CD66" s="1" t="s">
        <v>603</v>
      </c>
      <c r="CE66" s="1" t="s">
        <v>596</v>
      </c>
      <c r="CF66" s="1" t="s">
        <v>604</v>
      </c>
      <c r="CG66" s="1" t="s">
        <v>603</v>
      </c>
      <c r="CH66" s="1" t="s">
        <v>596</v>
      </c>
      <c r="CI66" s="1" t="s">
        <v>596</v>
      </c>
      <c r="CJ66" s="1" t="s">
        <v>46</v>
      </c>
      <c r="CK66" s="1" t="s">
        <v>2402</v>
      </c>
      <c r="CL66" s="1" t="s">
        <v>2403</v>
      </c>
      <c r="CM66" s="1" t="s">
        <v>2404</v>
      </c>
      <c r="CN66" s="1" t="s">
        <v>2405</v>
      </c>
      <c r="CO66" s="1" t="s">
        <v>2406</v>
      </c>
      <c r="CP66" s="1" t="s">
        <v>2407</v>
      </c>
      <c r="CQ66" s="1" t="s">
        <v>2408</v>
      </c>
      <c r="CR66" s="1" t="s">
        <v>2409</v>
      </c>
      <c r="CS66" s="1" t="s">
        <v>2410</v>
      </c>
      <c r="CT66" s="1" t="s">
        <v>2411</v>
      </c>
      <c r="CU66" s="1" t="s">
        <v>2412</v>
      </c>
      <c r="CV66" s="1" t="s">
        <v>2413</v>
      </c>
      <c r="CW66" s="1" t="s">
        <v>2414</v>
      </c>
      <c r="CX66" s="1" t="s">
        <v>2415</v>
      </c>
      <c r="CY66" s="1" t="s">
        <v>2416</v>
      </c>
      <c r="CZ66" s="1" t="s">
        <v>2417</v>
      </c>
      <c r="DA66" s="1" t="s">
        <v>603</v>
      </c>
      <c r="DN66" s="1" t="s">
        <v>596</v>
      </c>
      <c r="DO66" s="1" t="s">
        <v>2418</v>
      </c>
      <c r="DP66" t="s">
        <v>3573</v>
      </c>
    </row>
    <row r="67" spans="1:120" x14ac:dyDescent="0.25">
      <c r="A67" s="1">
        <v>66</v>
      </c>
      <c r="B67" s="134">
        <v>45995</v>
      </c>
      <c r="C67" s="1" t="s">
        <v>2419</v>
      </c>
      <c r="D67" s="1" t="s">
        <v>2420</v>
      </c>
      <c r="E67" s="1" t="s">
        <v>2421</v>
      </c>
      <c r="F67" s="1" t="s">
        <v>2422</v>
      </c>
      <c r="G67" s="1" t="s">
        <v>664</v>
      </c>
      <c r="H67" s="134">
        <v>33608</v>
      </c>
      <c r="I67" s="1" t="s">
        <v>584</v>
      </c>
      <c r="J67" s="1" t="s">
        <v>2423</v>
      </c>
      <c r="K67" s="1" t="s">
        <v>666</v>
      </c>
      <c r="M67" s="1">
        <v>1010534756</v>
      </c>
      <c r="N67" s="1" t="s">
        <v>2424</v>
      </c>
      <c r="O67" s="1" t="s">
        <v>2425</v>
      </c>
      <c r="P67" s="1" t="s">
        <v>2426</v>
      </c>
      <c r="Q67" s="1" t="s">
        <v>2427</v>
      </c>
      <c r="R67" s="1" t="s">
        <v>592</v>
      </c>
      <c r="S67" s="1" t="s">
        <v>593</v>
      </c>
      <c r="T67" s="1" t="s">
        <v>594</v>
      </c>
      <c r="U67" s="1" t="s">
        <v>2428</v>
      </c>
      <c r="V67" s="1">
        <v>951819077</v>
      </c>
      <c r="X67" s="1" t="s">
        <v>596</v>
      </c>
      <c r="AL67" s="1" t="s">
        <v>596</v>
      </c>
      <c r="AT67" s="1" t="s">
        <v>597</v>
      </c>
      <c r="AU67" s="1">
        <v>1</v>
      </c>
      <c r="AV67" s="1">
        <v>5</v>
      </c>
      <c r="AX67" s="1">
        <v>1</v>
      </c>
      <c r="AY67" s="1">
        <v>1</v>
      </c>
      <c r="AZ67" s="1">
        <v>1</v>
      </c>
      <c r="BA67" s="1">
        <v>1</v>
      </c>
      <c r="BB67" s="1">
        <v>1</v>
      </c>
      <c r="BC67" s="1">
        <v>0</v>
      </c>
      <c r="BD67" s="1">
        <v>0</v>
      </c>
      <c r="BE67" s="1">
        <v>0</v>
      </c>
      <c r="BF67" s="1">
        <v>0</v>
      </c>
      <c r="BG67" s="1">
        <v>0</v>
      </c>
      <c r="BH67" s="1">
        <v>0</v>
      </c>
      <c r="BI67" s="1">
        <v>0</v>
      </c>
      <c r="BJ67" s="1">
        <v>0</v>
      </c>
      <c r="BK67" s="1" t="s">
        <v>741</v>
      </c>
      <c r="BL67" s="1">
        <v>0</v>
      </c>
      <c r="BM67" s="1" t="s">
        <v>635</v>
      </c>
      <c r="BN67" s="1" t="s">
        <v>599</v>
      </c>
      <c r="BO67" s="1" t="s">
        <v>2429</v>
      </c>
      <c r="BP67" s="1">
        <v>33.527868599999998</v>
      </c>
      <c r="BQ67" s="1">
        <v>36.362550499999998</v>
      </c>
      <c r="BR67" s="1" t="s">
        <v>637</v>
      </c>
      <c r="BS67" s="1" t="s">
        <v>603</v>
      </c>
      <c r="BT67" s="1" t="s">
        <v>638</v>
      </c>
      <c r="BU67" s="134">
        <v>45778</v>
      </c>
      <c r="BV67" s="1" t="s">
        <v>2430</v>
      </c>
      <c r="BW67" s="1" t="s">
        <v>2431</v>
      </c>
      <c r="BX67" s="1" t="s">
        <v>602</v>
      </c>
      <c r="BY67" s="1">
        <v>3</v>
      </c>
      <c r="BZ67" s="1">
        <v>0</v>
      </c>
      <c r="CA67" s="1">
        <v>55</v>
      </c>
      <c r="CB67" s="1" t="s">
        <v>603</v>
      </c>
      <c r="CC67" s="1" t="s">
        <v>603</v>
      </c>
      <c r="CD67" s="1" t="s">
        <v>596</v>
      </c>
      <c r="CE67" s="1" t="s">
        <v>596</v>
      </c>
      <c r="CF67" s="1" t="s">
        <v>642</v>
      </c>
      <c r="CG67" s="1" t="s">
        <v>596</v>
      </c>
      <c r="CH67" s="1" t="s">
        <v>596</v>
      </c>
      <c r="CI67" s="1" t="s">
        <v>596</v>
      </c>
      <c r="CJ67" s="1" t="s">
        <v>46</v>
      </c>
      <c r="CK67" s="1" t="s">
        <v>2432</v>
      </c>
      <c r="CL67" s="1" t="s">
        <v>2433</v>
      </c>
      <c r="CM67" s="1" t="s">
        <v>2434</v>
      </c>
      <c r="CN67" s="1" t="s">
        <v>2435</v>
      </c>
      <c r="CO67" s="1" t="s">
        <v>2436</v>
      </c>
      <c r="CP67" s="1" t="s">
        <v>2437</v>
      </c>
      <c r="CQ67" s="1" t="s">
        <v>2438</v>
      </c>
      <c r="CR67" s="1" t="s">
        <v>2439</v>
      </c>
      <c r="CS67" s="1" t="s">
        <v>2440</v>
      </c>
      <c r="CT67" s="1" t="s">
        <v>2441</v>
      </c>
      <c r="CU67" s="1" t="s">
        <v>2442</v>
      </c>
      <c r="CV67" s="1" t="s">
        <v>2443</v>
      </c>
      <c r="CW67" s="1" t="s">
        <v>2444</v>
      </c>
      <c r="CX67" s="1" t="s">
        <v>2445</v>
      </c>
      <c r="CY67" s="1" t="s">
        <v>2446</v>
      </c>
      <c r="CZ67" s="1" t="s">
        <v>2447</v>
      </c>
      <c r="DA67" s="1" t="s">
        <v>603</v>
      </c>
      <c r="DN67" s="1" t="s">
        <v>603</v>
      </c>
      <c r="DO67" s="1" t="s">
        <v>2448</v>
      </c>
      <c r="DP67" t="s">
        <v>3573</v>
      </c>
    </row>
    <row r="68" spans="1:120" x14ac:dyDescent="0.25">
      <c r="A68" s="1">
        <v>67</v>
      </c>
      <c r="B68" s="134">
        <v>45995</v>
      </c>
      <c r="C68" s="1" t="s">
        <v>580</v>
      </c>
      <c r="D68" s="1" t="s">
        <v>2449</v>
      </c>
      <c r="E68" s="1" t="s">
        <v>2450</v>
      </c>
      <c r="F68" s="1" t="s">
        <v>2451</v>
      </c>
      <c r="G68" s="1" t="s">
        <v>583</v>
      </c>
      <c r="H68" s="134">
        <v>28126</v>
      </c>
      <c r="I68" s="1" t="s">
        <v>584</v>
      </c>
      <c r="J68" s="1" t="s">
        <v>2452</v>
      </c>
      <c r="K68" s="1" t="s">
        <v>666</v>
      </c>
      <c r="M68" s="1">
        <v>1010420298</v>
      </c>
      <c r="N68" s="1" t="s">
        <v>2453</v>
      </c>
      <c r="O68" s="1" t="s">
        <v>2454</v>
      </c>
      <c r="P68" s="1" t="s">
        <v>2455</v>
      </c>
      <c r="Q68" s="1" t="s">
        <v>2456</v>
      </c>
      <c r="R68" s="1" t="s">
        <v>592</v>
      </c>
      <c r="S68" s="1" t="s">
        <v>593</v>
      </c>
      <c r="T68" s="1" t="s">
        <v>594</v>
      </c>
      <c r="U68" s="1" t="s">
        <v>636</v>
      </c>
      <c r="V68" s="1">
        <v>99751320</v>
      </c>
      <c r="X68" s="1" t="s">
        <v>596</v>
      </c>
      <c r="AL68" s="1" t="s">
        <v>596</v>
      </c>
      <c r="AT68" s="1" t="s">
        <v>597</v>
      </c>
      <c r="AU68" s="1">
        <v>1</v>
      </c>
      <c r="AV68" s="1">
        <v>7</v>
      </c>
      <c r="AX68" s="1">
        <v>4</v>
      </c>
      <c r="AY68" s="1">
        <v>1</v>
      </c>
      <c r="AZ68" s="1">
        <v>1</v>
      </c>
      <c r="BA68" s="1">
        <v>1</v>
      </c>
      <c r="BB68" s="1">
        <v>0</v>
      </c>
      <c r="BC68" s="1">
        <v>0</v>
      </c>
      <c r="BD68" s="1">
        <v>0</v>
      </c>
      <c r="BE68" s="1">
        <v>0</v>
      </c>
      <c r="BF68" s="1">
        <v>0</v>
      </c>
      <c r="BG68" s="1">
        <v>0</v>
      </c>
      <c r="BH68" s="1">
        <v>0</v>
      </c>
      <c r="BI68" s="1">
        <v>0</v>
      </c>
      <c r="BJ68" s="1">
        <v>0</v>
      </c>
      <c r="BK68" s="1" t="s">
        <v>741</v>
      </c>
      <c r="BL68" s="1">
        <v>2</v>
      </c>
      <c r="BM68" s="1" t="s">
        <v>598</v>
      </c>
      <c r="BN68" s="1" t="s">
        <v>599</v>
      </c>
      <c r="BO68" s="1" t="s">
        <v>1310</v>
      </c>
      <c r="BP68" s="1">
        <v>33.523828600000002</v>
      </c>
      <c r="BQ68" s="1">
        <v>36.361590499999998</v>
      </c>
      <c r="BR68" s="1" t="s">
        <v>637</v>
      </c>
      <c r="BS68" s="1" t="s">
        <v>596</v>
      </c>
      <c r="BU68" s="134"/>
      <c r="BX68" s="1" t="s">
        <v>641</v>
      </c>
      <c r="BY68" s="1">
        <v>2</v>
      </c>
      <c r="BZ68" s="1">
        <v>0</v>
      </c>
      <c r="CA68" s="1">
        <v>60</v>
      </c>
      <c r="CB68" s="1" t="s">
        <v>603</v>
      </c>
      <c r="CC68" s="1" t="s">
        <v>603</v>
      </c>
      <c r="CD68" s="1" t="s">
        <v>603</v>
      </c>
      <c r="CE68" s="1" t="s">
        <v>596</v>
      </c>
      <c r="CF68" s="1" t="s">
        <v>604</v>
      </c>
      <c r="CG68" s="1" t="s">
        <v>603</v>
      </c>
      <c r="CH68" s="1" t="s">
        <v>596</v>
      </c>
      <c r="CI68" s="1" t="s">
        <v>596</v>
      </c>
      <c r="CJ68" s="1" t="s">
        <v>46</v>
      </c>
      <c r="CK68" s="1" t="s">
        <v>2457</v>
      </c>
      <c r="CL68" s="1" t="s">
        <v>2458</v>
      </c>
      <c r="CM68" s="1" t="s">
        <v>2459</v>
      </c>
      <c r="CN68" s="1" t="s">
        <v>2460</v>
      </c>
      <c r="CO68" s="1" t="s">
        <v>2461</v>
      </c>
      <c r="CP68" s="1" t="s">
        <v>2462</v>
      </c>
      <c r="CQ68" s="1" t="s">
        <v>2463</v>
      </c>
      <c r="CR68" s="1" t="s">
        <v>2464</v>
      </c>
      <c r="CS68" s="1" t="s">
        <v>2465</v>
      </c>
      <c r="CT68" s="1" t="s">
        <v>2466</v>
      </c>
      <c r="CU68" s="1" t="s">
        <v>2467</v>
      </c>
      <c r="CV68" s="1" t="s">
        <v>2468</v>
      </c>
      <c r="CW68" s="1" t="s">
        <v>2469</v>
      </c>
      <c r="CX68" s="1" t="s">
        <v>2470</v>
      </c>
      <c r="CY68" s="1" t="s">
        <v>2471</v>
      </c>
      <c r="CZ68" s="1" t="s">
        <v>2472</v>
      </c>
      <c r="DA68" s="1" t="s">
        <v>603</v>
      </c>
      <c r="DN68" s="1" t="s">
        <v>596</v>
      </c>
      <c r="DO68" s="1" t="s">
        <v>2473</v>
      </c>
      <c r="DP68" t="s">
        <v>3573</v>
      </c>
    </row>
    <row r="69" spans="1:120" x14ac:dyDescent="0.25">
      <c r="A69" s="1">
        <v>68</v>
      </c>
      <c r="B69" s="134">
        <v>45995</v>
      </c>
      <c r="C69" s="1" t="s">
        <v>2474</v>
      </c>
      <c r="D69" s="1" t="s">
        <v>696</v>
      </c>
      <c r="E69" s="1" t="s">
        <v>1588</v>
      </c>
      <c r="F69" s="1" t="s">
        <v>2475</v>
      </c>
      <c r="G69" s="1" t="s">
        <v>583</v>
      </c>
      <c r="H69" s="134">
        <v>22985</v>
      </c>
      <c r="I69" s="1" t="s">
        <v>584</v>
      </c>
      <c r="J69" s="1" t="s">
        <v>2476</v>
      </c>
      <c r="K69" s="1" t="s">
        <v>666</v>
      </c>
      <c r="M69" s="1">
        <v>3330038428</v>
      </c>
      <c r="N69" s="1" t="s">
        <v>2477</v>
      </c>
      <c r="O69" s="1" t="s">
        <v>2478</v>
      </c>
      <c r="P69" s="1" t="s">
        <v>2479</v>
      </c>
      <c r="Q69" s="1" t="s">
        <v>2480</v>
      </c>
      <c r="R69" s="1" t="s">
        <v>592</v>
      </c>
      <c r="S69" s="1" t="s">
        <v>593</v>
      </c>
      <c r="T69" s="1" t="s">
        <v>594</v>
      </c>
      <c r="U69" s="1" t="s">
        <v>1672</v>
      </c>
      <c r="V69" s="1">
        <v>931607885</v>
      </c>
      <c r="X69" s="1" t="s">
        <v>596</v>
      </c>
      <c r="AL69" s="1" t="s">
        <v>596</v>
      </c>
      <c r="AT69" s="1" t="s">
        <v>706</v>
      </c>
      <c r="AU69" s="1">
        <v>1</v>
      </c>
      <c r="AV69" s="1">
        <v>8</v>
      </c>
      <c r="AX69" s="1">
        <v>3</v>
      </c>
      <c r="AY69" s="1">
        <v>5</v>
      </c>
      <c r="AZ69" s="1">
        <v>0</v>
      </c>
      <c r="BA69" s="1">
        <v>0</v>
      </c>
      <c r="BB69" s="1">
        <v>0</v>
      </c>
      <c r="BC69" s="1">
        <v>0</v>
      </c>
      <c r="BD69" s="1">
        <v>0</v>
      </c>
      <c r="BE69" s="1">
        <v>0</v>
      </c>
      <c r="BF69" s="1">
        <v>0</v>
      </c>
      <c r="BG69" s="1">
        <v>0</v>
      </c>
      <c r="BH69" s="1">
        <v>0</v>
      </c>
      <c r="BI69" s="1">
        <v>0</v>
      </c>
      <c r="BJ69" s="1">
        <v>0</v>
      </c>
      <c r="BK69" s="1" t="s">
        <v>707</v>
      </c>
      <c r="BL69" s="1">
        <v>0</v>
      </c>
      <c r="BM69" s="1" t="s">
        <v>708</v>
      </c>
      <c r="BN69" s="1" t="s">
        <v>599</v>
      </c>
      <c r="BO69" s="1" t="s">
        <v>1337</v>
      </c>
      <c r="BP69" s="1">
        <v>33.5236564</v>
      </c>
      <c r="BQ69" s="1">
        <v>36.361566600000003</v>
      </c>
      <c r="BR69" s="1" t="s">
        <v>637</v>
      </c>
      <c r="BS69" s="1" t="s">
        <v>596</v>
      </c>
      <c r="BU69" s="134"/>
      <c r="BX69" s="1" t="s">
        <v>2481</v>
      </c>
      <c r="BY69" s="1">
        <v>2</v>
      </c>
      <c r="BZ69" s="1">
        <v>3</v>
      </c>
      <c r="CA69" s="1">
        <v>65</v>
      </c>
      <c r="CB69" s="1" t="s">
        <v>603</v>
      </c>
      <c r="CC69" s="1" t="s">
        <v>603</v>
      </c>
      <c r="CD69" s="1" t="s">
        <v>603</v>
      </c>
      <c r="CE69" s="1" t="s">
        <v>596</v>
      </c>
      <c r="CF69" s="1" t="s">
        <v>604</v>
      </c>
      <c r="CG69" s="1" t="s">
        <v>603</v>
      </c>
      <c r="CH69" s="1" t="s">
        <v>596</v>
      </c>
      <c r="CI69" s="1" t="s">
        <v>603</v>
      </c>
      <c r="CJ69" s="1" t="s">
        <v>46</v>
      </c>
      <c r="CK69" s="1" t="s">
        <v>2482</v>
      </c>
      <c r="CL69" s="1" t="s">
        <v>2483</v>
      </c>
      <c r="CM69" s="1" t="s">
        <v>2484</v>
      </c>
      <c r="CN69" s="1" t="s">
        <v>2485</v>
      </c>
      <c r="CO69" s="1" t="s">
        <v>2486</v>
      </c>
      <c r="CP69" s="1" t="s">
        <v>2487</v>
      </c>
      <c r="CQ69" s="1" t="s">
        <v>2488</v>
      </c>
      <c r="CR69" s="1" t="s">
        <v>2489</v>
      </c>
      <c r="CS69" s="1" t="s">
        <v>2490</v>
      </c>
      <c r="CT69" s="1" t="s">
        <v>2491</v>
      </c>
      <c r="CU69" s="1" t="s">
        <v>2492</v>
      </c>
      <c r="CV69" s="1" t="s">
        <v>2493</v>
      </c>
      <c r="CW69" s="1" t="s">
        <v>2494</v>
      </c>
      <c r="CX69" s="1" t="s">
        <v>2495</v>
      </c>
      <c r="CY69" s="1" t="s">
        <v>2496</v>
      </c>
      <c r="CZ69" s="1" t="s">
        <v>2497</v>
      </c>
      <c r="DA69" s="1" t="s">
        <v>603</v>
      </c>
      <c r="DN69" s="1" t="s">
        <v>596</v>
      </c>
      <c r="DO69" s="1" t="s">
        <v>2498</v>
      </c>
      <c r="DP69" t="s">
        <v>3573</v>
      </c>
    </row>
    <row r="70" spans="1:120" x14ac:dyDescent="0.25">
      <c r="A70" s="1">
        <v>69</v>
      </c>
      <c r="B70" s="134">
        <v>45995</v>
      </c>
      <c r="C70" s="1" t="s">
        <v>1356</v>
      </c>
      <c r="D70" s="1" t="s">
        <v>2233</v>
      </c>
      <c r="E70" s="1" t="s">
        <v>2499</v>
      </c>
      <c r="F70" s="1" t="s">
        <v>2500</v>
      </c>
      <c r="G70" s="1" t="s">
        <v>583</v>
      </c>
      <c r="H70" s="134">
        <v>32143</v>
      </c>
      <c r="I70" s="1" t="s">
        <v>584</v>
      </c>
      <c r="J70" s="1" t="s">
        <v>2501</v>
      </c>
      <c r="K70" s="1" t="s">
        <v>666</v>
      </c>
      <c r="M70" s="1">
        <v>1040404886</v>
      </c>
      <c r="N70" s="1" t="s">
        <v>2502</v>
      </c>
      <c r="O70" s="1" t="s">
        <v>2503</v>
      </c>
      <c r="P70" s="1" t="s">
        <v>2504</v>
      </c>
      <c r="Q70" s="1" t="s">
        <v>2505</v>
      </c>
      <c r="R70" s="1" t="s">
        <v>592</v>
      </c>
      <c r="S70" s="1" t="s">
        <v>593</v>
      </c>
      <c r="T70" s="1" t="s">
        <v>594</v>
      </c>
      <c r="U70" s="1" t="s">
        <v>2506</v>
      </c>
      <c r="V70" s="1">
        <v>988389480</v>
      </c>
      <c r="X70" s="1" t="s">
        <v>596</v>
      </c>
      <c r="AL70" s="1" t="s">
        <v>596</v>
      </c>
      <c r="AT70" s="1" t="s">
        <v>597</v>
      </c>
      <c r="AU70" s="1">
        <v>1</v>
      </c>
      <c r="AV70" s="1">
        <v>5</v>
      </c>
      <c r="AX70" s="1">
        <v>1</v>
      </c>
      <c r="AY70" s="1">
        <v>1</v>
      </c>
      <c r="AZ70" s="1">
        <v>0</v>
      </c>
      <c r="BA70" s="1">
        <v>0</v>
      </c>
      <c r="BB70" s="1">
        <v>2</v>
      </c>
      <c r="BC70" s="1">
        <v>1</v>
      </c>
      <c r="BD70" s="1">
        <v>0</v>
      </c>
      <c r="BE70" s="1">
        <v>0</v>
      </c>
      <c r="BF70" s="1">
        <v>0</v>
      </c>
      <c r="BG70" s="1">
        <v>0</v>
      </c>
      <c r="BH70" s="1">
        <v>0</v>
      </c>
      <c r="BI70" s="1">
        <v>0</v>
      </c>
      <c r="BJ70" s="1">
        <v>0</v>
      </c>
      <c r="BK70" s="1" t="s">
        <v>741</v>
      </c>
      <c r="BL70" s="1">
        <v>0</v>
      </c>
      <c r="BM70" s="1" t="s">
        <v>708</v>
      </c>
      <c r="BN70" s="1" t="s">
        <v>599</v>
      </c>
      <c r="BO70" s="1" t="s">
        <v>2371</v>
      </c>
      <c r="BP70" s="1">
        <v>33.525392099999998</v>
      </c>
      <c r="BQ70" s="1">
        <v>36.362124999999999</v>
      </c>
      <c r="BR70" s="1" t="s">
        <v>637</v>
      </c>
      <c r="BS70" s="1" t="s">
        <v>596</v>
      </c>
      <c r="BU70" s="134"/>
      <c r="BX70" s="1" t="s">
        <v>602</v>
      </c>
      <c r="BY70" s="1">
        <v>4</v>
      </c>
      <c r="BZ70" s="1">
        <v>0</v>
      </c>
      <c r="CA70" s="1">
        <v>110</v>
      </c>
      <c r="CB70" s="1" t="s">
        <v>603</v>
      </c>
      <c r="CC70" s="1" t="s">
        <v>603</v>
      </c>
      <c r="CD70" s="1" t="s">
        <v>603</v>
      </c>
      <c r="CE70" s="1" t="s">
        <v>596</v>
      </c>
      <c r="CF70" s="1" t="s">
        <v>642</v>
      </c>
      <c r="CG70" s="1" t="s">
        <v>603</v>
      </c>
      <c r="CH70" s="1" t="s">
        <v>596</v>
      </c>
      <c r="CI70" s="1" t="s">
        <v>596</v>
      </c>
      <c r="CJ70" s="1" t="s">
        <v>46</v>
      </c>
      <c r="CK70" s="1" t="s">
        <v>2507</v>
      </c>
      <c r="CL70" s="1" t="s">
        <v>2508</v>
      </c>
      <c r="CM70" s="1" t="s">
        <v>2509</v>
      </c>
      <c r="CN70" s="1" t="s">
        <v>2510</v>
      </c>
      <c r="CO70" s="1" t="s">
        <v>2511</v>
      </c>
      <c r="CP70" s="1" t="s">
        <v>2512</v>
      </c>
      <c r="CQ70" s="1" t="s">
        <v>2513</v>
      </c>
      <c r="CR70" s="1" t="s">
        <v>2514</v>
      </c>
      <c r="CS70" s="1" t="s">
        <v>2515</v>
      </c>
      <c r="CT70" s="1" t="s">
        <v>2516</v>
      </c>
      <c r="CU70" s="1" t="s">
        <v>2517</v>
      </c>
      <c r="CV70" s="1" t="s">
        <v>2518</v>
      </c>
      <c r="CW70" s="1" t="s">
        <v>2519</v>
      </c>
      <c r="CX70" s="1" t="s">
        <v>2520</v>
      </c>
      <c r="CY70" s="1" t="s">
        <v>2521</v>
      </c>
      <c r="CZ70" s="1" t="s">
        <v>2522</v>
      </c>
      <c r="DA70" s="1" t="s">
        <v>603</v>
      </c>
      <c r="DN70" s="1" t="s">
        <v>596</v>
      </c>
      <c r="DO70" s="1" t="s">
        <v>2523</v>
      </c>
      <c r="DP70" t="s">
        <v>3573</v>
      </c>
    </row>
    <row r="71" spans="1:120" x14ac:dyDescent="0.25">
      <c r="A71" s="1">
        <v>70</v>
      </c>
      <c r="B71" s="134">
        <v>45995</v>
      </c>
      <c r="C71" s="1" t="s">
        <v>2524</v>
      </c>
      <c r="D71" s="1" t="s">
        <v>2525</v>
      </c>
      <c r="E71" s="1" t="s">
        <v>2526</v>
      </c>
      <c r="F71" s="1" t="s">
        <v>2527</v>
      </c>
      <c r="G71" s="1" t="s">
        <v>664</v>
      </c>
      <c r="H71" s="134">
        <v>23993</v>
      </c>
      <c r="I71" s="1" t="s">
        <v>584</v>
      </c>
      <c r="J71" s="1" t="s">
        <v>2528</v>
      </c>
      <c r="K71" s="1" t="s">
        <v>666</v>
      </c>
      <c r="M71" s="1">
        <v>1010642313</v>
      </c>
      <c r="N71" s="1" t="s">
        <v>2529</v>
      </c>
      <c r="O71" s="1" t="s">
        <v>2530</v>
      </c>
      <c r="P71" s="1" t="s">
        <v>2531</v>
      </c>
      <c r="Q71" s="1" t="s">
        <v>2532</v>
      </c>
      <c r="R71" s="1" t="s">
        <v>592</v>
      </c>
      <c r="S71" s="1" t="s">
        <v>593</v>
      </c>
      <c r="T71" s="1" t="s">
        <v>594</v>
      </c>
      <c r="U71" s="1" t="s">
        <v>1672</v>
      </c>
      <c r="V71" s="1">
        <v>992404911</v>
      </c>
      <c r="X71" s="1" t="s">
        <v>596</v>
      </c>
      <c r="AL71" s="1" t="s">
        <v>596</v>
      </c>
      <c r="AT71" s="1" t="s">
        <v>706</v>
      </c>
      <c r="AU71" s="1">
        <v>1</v>
      </c>
      <c r="AV71" s="1">
        <v>7</v>
      </c>
      <c r="AX71" s="1">
        <v>3</v>
      </c>
      <c r="AY71" s="1">
        <v>4</v>
      </c>
      <c r="AZ71" s="1">
        <v>0</v>
      </c>
      <c r="BA71" s="1">
        <v>0</v>
      </c>
      <c r="BB71" s="1">
        <v>0</v>
      </c>
      <c r="BC71" s="1">
        <v>0</v>
      </c>
      <c r="BD71" s="1">
        <v>0</v>
      </c>
      <c r="BE71" s="1">
        <v>0</v>
      </c>
      <c r="BF71" s="1">
        <v>0</v>
      </c>
      <c r="BG71" s="1">
        <v>0</v>
      </c>
      <c r="BH71" s="1">
        <v>0</v>
      </c>
      <c r="BI71" s="1">
        <v>0</v>
      </c>
      <c r="BJ71" s="1">
        <v>0</v>
      </c>
      <c r="BK71" s="1" t="s">
        <v>707</v>
      </c>
      <c r="BL71" s="1">
        <v>0</v>
      </c>
      <c r="BM71" s="1" t="s">
        <v>635</v>
      </c>
      <c r="BN71" s="1" t="s">
        <v>599</v>
      </c>
      <c r="BO71" s="1" t="s">
        <v>1337</v>
      </c>
      <c r="BP71" s="1">
        <v>33.524666799999999</v>
      </c>
      <c r="BQ71" s="1">
        <v>36.360520399999999</v>
      </c>
      <c r="BR71" s="1" t="s">
        <v>637</v>
      </c>
      <c r="BS71" s="1" t="s">
        <v>596</v>
      </c>
      <c r="BU71" s="134"/>
      <c r="BX71" s="1" t="s">
        <v>602</v>
      </c>
      <c r="BY71" s="1">
        <v>4</v>
      </c>
      <c r="BZ71" s="1">
        <v>0</v>
      </c>
      <c r="CA71" s="1">
        <v>140</v>
      </c>
      <c r="CB71" s="1" t="s">
        <v>603</v>
      </c>
      <c r="CC71" s="1" t="s">
        <v>603</v>
      </c>
      <c r="CD71" s="1" t="s">
        <v>603</v>
      </c>
      <c r="CE71" s="1" t="s">
        <v>603</v>
      </c>
      <c r="CF71" s="1" t="s">
        <v>604</v>
      </c>
      <c r="CG71" s="1" t="s">
        <v>603</v>
      </c>
      <c r="CH71" s="1" t="s">
        <v>596</v>
      </c>
      <c r="CI71" s="1" t="s">
        <v>596</v>
      </c>
      <c r="CJ71" s="1" t="s">
        <v>51</v>
      </c>
      <c r="CK71" s="1" t="s">
        <v>2533</v>
      </c>
      <c r="CL71" s="1" t="s">
        <v>2534</v>
      </c>
      <c r="CM71" s="1" t="s">
        <v>2535</v>
      </c>
      <c r="CN71" s="1" t="s">
        <v>2536</v>
      </c>
      <c r="CO71" s="1" t="s">
        <v>2537</v>
      </c>
      <c r="CP71" s="1" t="s">
        <v>2538</v>
      </c>
      <c r="CQ71" s="1" t="s">
        <v>2539</v>
      </c>
      <c r="CR71" s="1" t="s">
        <v>2540</v>
      </c>
      <c r="CS71" s="1" t="s">
        <v>2541</v>
      </c>
      <c r="CT71" s="1" t="s">
        <v>2542</v>
      </c>
      <c r="CU71" s="1" t="s">
        <v>2543</v>
      </c>
      <c r="CV71" s="1" t="s">
        <v>2544</v>
      </c>
      <c r="CW71" s="1" t="s">
        <v>2545</v>
      </c>
      <c r="CX71" s="1" t="s">
        <v>2546</v>
      </c>
      <c r="CY71" s="1" t="s">
        <v>2547</v>
      </c>
      <c r="CZ71" s="1" t="s">
        <v>2548</v>
      </c>
      <c r="DA71" s="1" t="s">
        <v>603</v>
      </c>
      <c r="DN71" s="1" t="s">
        <v>596</v>
      </c>
      <c r="DO71" s="1" t="s">
        <v>2549</v>
      </c>
      <c r="DP71" t="s">
        <v>3573</v>
      </c>
    </row>
    <row r="72" spans="1:120" x14ac:dyDescent="0.25">
      <c r="A72" s="1">
        <v>71</v>
      </c>
      <c r="B72" s="134">
        <v>45995</v>
      </c>
      <c r="C72" s="1" t="s">
        <v>3585</v>
      </c>
      <c r="D72" s="1" t="s">
        <v>1328</v>
      </c>
      <c r="E72" s="1" t="s">
        <v>1329</v>
      </c>
      <c r="F72" s="1" t="s">
        <v>1330</v>
      </c>
      <c r="G72" s="1" t="s">
        <v>583</v>
      </c>
      <c r="H72" s="134">
        <v>26694</v>
      </c>
      <c r="I72" s="1" t="s">
        <v>584</v>
      </c>
      <c r="J72" s="1" t="s">
        <v>3586</v>
      </c>
      <c r="K72" s="1" t="s">
        <v>666</v>
      </c>
      <c r="M72" s="1">
        <v>1010356163</v>
      </c>
      <c r="N72" s="1" t="s">
        <v>3587</v>
      </c>
      <c r="O72" s="1" t="s">
        <v>3588</v>
      </c>
      <c r="P72" s="1" t="s">
        <v>3589</v>
      </c>
      <c r="Q72" s="1" t="s">
        <v>3590</v>
      </c>
      <c r="R72" s="1" t="s">
        <v>592</v>
      </c>
      <c r="S72" s="1" t="s">
        <v>593</v>
      </c>
      <c r="T72" s="1" t="s">
        <v>594</v>
      </c>
      <c r="U72" s="1" t="s">
        <v>3591</v>
      </c>
      <c r="V72" s="1">
        <v>995915287</v>
      </c>
      <c r="X72" s="1" t="s">
        <v>596</v>
      </c>
      <c r="AL72" s="1" t="s">
        <v>596</v>
      </c>
      <c r="AT72" s="1" t="s">
        <v>597</v>
      </c>
      <c r="AU72" s="1">
        <v>1</v>
      </c>
      <c r="AV72" s="1">
        <v>6</v>
      </c>
      <c r="AX72" s="1">
        <v>1</v>
      </c>
      <c r="AY72" s="1">
        <v>1</v>
      </c>
      <c r="AZ72" s="1">
        <v>1</v>
      </c>
      <c r="BA72" s="1">
        <v>1</v>
      </c>
      <c r="BB72" s="1">
        <v>2</v>
      </c>
      <c r="BC72" s="1">
        <v>0</v>
      </c>
      <c r="BD72" s="1">
        <v>0</v>
      </c>
      <c r="BE72" s="1">
        <v>0</v>
      </c>
      <c r="BF72" s="1">
        <v>0</v>
      </c>
      <c r="BG72" s="1">
        <v>0</v>
      </c>
      <c r="BH72" s="1">
        <v>0</v>
      </c>
      <c r="BI72" s="1">
        <v>0</v>
      </c>
      <c r="BJ72" s="1">
        <v>0</v>
      </c>
      <c r="BK72" s="1" t="s">
        <v>741</v>
      </c>
      <c r="BL72" s="1">
        <v>1</v>
      </c>
      <c r="BM72" s="1" t="s">
        <v>635</v>
      </c>
      <c r="BN72" s="1" t="s">
        <v>599</v>
      </c>
      <c r="BO72" s="1" t="s">
        <v>1337</v>
      </c>
      <c r="BP72" s="1">
        <v>33.5259456</v>
      </c>
      <c r="BQ72" s="1">
        <v>36.363847200000002</v>
      </c>
      <c r="BR72" s="1" t="s">
        <v>637</v>
      </c>
      <c r="BS72" s="1" t="s">
        <v>596</v>
      </c>
      <c r="BU72" s="134"/>
      <c r="BX72" s="1" t="s">
        <v>641</v>
      </c>
      <c r="BY72" s="1">
        <v>2</v>
      </c>
      <c r="BZ72" s="1">
        <v>2</v>
      </c>
      <c r="CA72" s="1">
        <v>50</v>
      </c>
      <c r="CB72" s="1" t="s">
        <v>603</v>
      </c>
      <c r="CC72" s="1" t="s">
        <v>603</v>
      </c>
      <c r="CD72" s="1" t="s">
        <v>603</v>
      </c>
      <c r="CE72" s="1" t="s">
        <v>596</v>
      </c>
      <c r="CF72" s="1" t="s">
        <v>642</v>
      </c>
      <c r="CG72" s="1" t="s">
        <v>603</v>
      </c>
      <c r="CH72" s="1" t="s">
        <v>603</v>
      </c>
      <c r="CI72" s="1" t="s">
        <v>596</v>
      </c>
      <c r="CJ72" s="1" t="s">
        <v>46</v>
      </c>
      <c r="CK72" s="1" t="s">
        <v>3592</v>
      </c>
      <c r="CL72" s="1" t="s">
        <v>3593</v>
      </c>
      <c r="CM72" s="1" t="s">
        <v>3594</v>
      </c>
      <c r="CN72" s="1" t="s">
        <v>3595</v>
      </c>
      <c r="CO72" s="1" t="s">
        <v>3596</v>
      </c>
      <c r="CP72" s="1" t="s">
        <v>3597</v>
      </c>
      <c r="CQ72" s="1" t="s">
        <v>3598</v>
      </c>
      <c r="CR72" s="1" t="s">
        <v>3599</v>
      </c>
      <c r="CS72" s="1" t="s">
        <v>3600</v>
      </c>
      <c r="CT72" s="1" t="s">
        <v>3601</v>
      </c>
      <c r="CU72" s="1" t="s">
        <v>3602</v>
      </c>
      <c r="CV72" s="1" t="s">
        <v>3603</v>
      </c>
      <c r="CW72" s="1" t="s">
        <v>3604</v>
      </c>
      <c r="CX72" s="1" t="s">
        <v>3605</v>
      </c>
      <c r="CY72" s="1" t="s">
        <v>3606</v>
      </c>
      <c r="CZ72" s="1" t="s">
        <v>3607</v>
      </c>
      <c r="DA72" s="1" t="s">
        <v>603</v>
      </c>
      <c r="DN72" s="1" t="s">
        <v>596</v>
      </c>
      <c r="DO72" s="1" t="s">
        <v>3608</v>
      </c>
      <c r="DP72" t="s">
        <v>3573</v>
      </c>
    </row>
    <row r="73" spans="1:120" x14ac:dyDescent="0.25">
      <c r="A73" s="1">
        <v>72</v>
      </c>
      <c r="B73" s="134">
        <v>45995</v>
      </c>
      <c r="C73" s="1" t="s">
        <v>3609</v>
      </c>
      <c r="D73" s="1" t="s">
        <v>580</v>
      </c>
      <c r="E73" s="1" t="s">
        <v>3610</v>
      </c>
      <c r="F73" s="1" t="s">
        <v>3611</v>
      </c>
      <c r="G73" s="1" t="s">
        <v>583</v>
      </c>
      <c r="H73" s="134">
        <v>27359</v>
      </c>
      <c r="I73" s="1" t="s">
        <v>584</v>
      </c>
      <c r="J73" s="1" t="s">
        <v>3612</v>
      </c>
      <c r="K73" s="1" t="s">
        <v>666</v>
      </c>
      <c r="M73" s="1">
        <v>1010409068</v>
      </c>
      <c r="N73" s="1" t="s">
        <v>3613</v>
      </c>
      <c r="O73" s="1" t="s">
        <v>3614</v>
      </c>
      <c r="P73" s="1" t="s">
        <v>3615</v>
      </c>
      <c r="Q73" s="1" t="s">
        <v>3616</v>
      </c>
      <c r="R73" s="1" t="s">
        <v>592</v>
      </c>
      <c r="S73" s="1" t="s">
        <v>593</v>
      </c>
      <c r="T73" s="1" t="s">
        <v>594</v>
      </c>
      <c r="U73" s="1" t="s">
        <v>1672</v>
      </c>
      <c r="V73" s="1">
        <v>946497202</v>
      </c>
      <c r="X73" s="1" t="s">
        <v>596</v>
      </c>
      <c r="AL73" s="1" t="s">
        <v>596</v>
      </c>
      <c r="AT73" s="1" t="s">
        <v>770</v>
      </c>
      <c r="AU73" s="1">
        <v>1</v>
      </c>
      <c r="AV73" s="1">
        <v>4</v>
      </c>
      <c r="AX73" s="1">
        <v>1</v>
      </c>
      <c r="AY73" s="1">
        <v>1</v>
      </c>
      <c r="AZ73" s="1">
        <v>2</v>
      </c>
      <c r="BA73" s="1">
        <v>0</v>
      </c>
      <c r="BB73" s="1">
        <v>0</v>
      </c>
      <c r="BC73" s="1">
        <v>0</v>
      </c>
      <c r="BD73" s="1">
        <v>0</v>
      </c>
      <c r="BE73" s="1">
        <v>0</v>
      </c>
      <c r="BF73" s="1">
        <v>0</v>
      </c>
      <c r="BG73" s="1">
        <v>0</v>
      </c>
      <c r="BH73" s="1">
        <v>0</v>
      </c>
      <c r="BI73" s="1">
        <v>0</v>
      </c>
      <c r="BJ73" s="1">
        <v>0</v>
      </c>
      <c r="BK73" s="1" t="s">
        <v>707</v>
      </c>
      <c r="BL73" s="1">
        <v>0</v>
      </c>
      <c r="BM73" s="1" t="s">
        <v>598</v>
      </c>
      <c r="BN73" s="1" t="s">
        <v>599</v>
      </c>
      <c r="BO73" s="1" t="s">
        <v>1337</v>
      </c>
      <c r="BP73" s="1">
        <v>33.524429599999998</v>
      </c>
      <c r="BQ73" s="1">
        <v>36.362236500000002</v>
      </c>
      <c r="BR73" s="1" t="s">
        <v>637</v>
      </c>
      <c r="BS73" s="1" t="s">
        <v>596</v>
      </c>
      <c r="BU73" s="134"/>
      <c r="BX73" s="1" t="s">
        <v>641</v>
      </c>
      <c r="BY73" s="1">
        <v>2</v>
      </c>
      <c r="BZ73" s="1">
        <v>1</v>
      </c>
      <c r="CA73" s="1">
        <v>40</v>
      </c>
      <c r="CB73" s="1" t="s">
        <v>603</v>
      </c>
      <c r="CC73" s="1" t="s">
        <v>603</v>
      </c>
      <c r="CD73" s="1" t="s">
        <v>603</v>
      </c>
      <c r="CE73" s="1" t="s">
        <v>596</v>
      </c>
      <c r="CF73" s="1" t="s">
        <v>604</v>
      </c>
      <c r="CG73" s="1" t="s">
        <v>603</v>
      </c>
      <c r="CH73" s="1" t="s">
        <v>596</v>
      </c>
      <c r="CI73" s="1" t="s">
        <v>596</v>
      </c>
      <c r="CJ73" s="1" t="s">
        <v>46</v>
      </c>
      <c r="CK73" s="1" t="s">
        <v>3617</v>
      </c>
      <c r="CL73" s="1" t="s">
        <v>3618</v>
      </c>
      <c r="CM73" s="1" t="s">
        <v>3619</v>
      </c>
      <c r="CN73" s="1" t="s">
        <v>3620</v>
      </c>
      <c r="CO73" s="1" t="s">
        <v>3621</v>
      </c>
      <c r="CP73" s="1" t="s">
        <v>3622</v>
      </c>
      <c r="CQ73" s="1" t="s">
        <v>3623</v>
      </c>
      <c r="CR73" s="1" t="s">
        <v>3624</v>
      </c>
      <c r="CS73" s="1" t="s">
        <v>3625</v>
      </c>
      <c r="CT73" s="1" t="s">
        <v>3626</v>
      </c>
      <c r="CU73" s="1" t="s">
        <v>3627</v>
      </c>
      <c r="CV73" s="1" t="s">
        <v>3628</v>
      </c>
      <c r="CW73" s="1" t="s">
        <v>3629</v>
      </c>
      <c r="CX73" s="1" t="s">
        <v>3630</v>
      </c>
      <c r="CY73" s="1" t="s">
        <v>3631</v>
      </c>
      <c r="CZ73" s="1" t="s">
        <v>3632</v>
      </c>
      <c r="DA73" s="1" t="s">
        <v>603</v>
      </c>
      <c r="DN73" s="1" t="s">
        <v>596</v>
      </c>
      <c r="DO73" s="1" t="s">
        <v>3633</v>
      </c>
      <c r="DP73" t="s">
        <v>3573</v>
      </c>
    </row>
    <row r="74" spans="1:120" x14ac:dyDescent="0.25">
      <c r="A74" s="1">
        <v>73</v>
      </c>
      <c r="B74" s="134">
        <v>45995</v>
      </c>
      <c r="C74" s="1" t="s">
        <v>3634</v>
      </c>
      <c r="D74" s="1" t="s">
        <v>3635</v>
      </c>
      <c r="E74" s="1" t="s">
        <v>3636</v>
      </c>
      <c r="F74" s="1" t="s">
        <v>3637</v>
      </c>
      <c r="G74" s="1" t="s">
        <v>583</v>
      </c>
      <c r="H74" s="134">
        <v>38367</v>
      </c>
      <c r="I74" s="1" t="s">
        <v>1170</v>
      </c>
      <c r="K74" s="1" t="s">
        <v>666</v>
      </c>
      <c r="M74" s="1">
        <v>1040385060</v>
      </c>
      <c r="N74" s="1" t="s">
        <v>3638</v>
      </c>
      <c r="O74" s="1" t="s">
        <v>3639</v>
      </c>
      <c r="P74" s="1" t="s">
        <v>3640</v>
      </c>
      <c r="Q74" s="1" t="s">
        <v>3641</v>
      </c>
      <c r="R74" s="1" t="s">
        <v>592</v>
      </c>
      <c r="S74" s="1" t="s">
        <v>593</v>
      </c>
      <c r="T74" s="1" t="s">
        <v>594</v>
      </c>
      <c r="U74" s="1" t="s">
        <v>2371</v>
      </c>
      <c r="V74" s="1">
        <v>962430645</v>
      </c>
      <c r="X74" s="1" t="s">
        <v>596</v>
      </c>
      <c r="AL74" s="1" t="s">
        <v>596</v>
      </c>
      <c r="AT74" s="1" t="s">
        <v>597</v>
      </c>
      <c r="AU74" s="1">
        <v>1</v>
      </c>
      <c r="AV74" s="1">
        <v>2</v>
      </c>
      <c r="AX74" s="1">
        <v>2</v>
      </c>
      <c r="AY74" s="1">
        <v>0</v>
      </c>
      <c r="AZ74" s="1">
        <v>0</v>
      </c>
      <c r="BA74" s="1">
        <v>0</v>
      </c>
      <c r="BB74" s="1">
        <v>0</v>
      </c>
      <c r="BC74" s="1">
        <v>0</v>
      </c>
      <c r="BD74" s="1">
        <v>1</v>
      </c>
      <c r="BE74" s="1">
        <v>0</v>
      </c>
      <c r="BF74" s="1">
        <v>0</v>
      </c>
      <c r="BG74" s="1">
        <v>0</v>
      </c>
      <c r="BH74" s="1">
        <v>0</v>
      </c>
      <c r="BI74" s="1">
        <v>0</v>
      </c>
      <c r="BJ74" s="1">
        <v>0</v>
      </c>
      <c r="BK74" s="1" t="s">
        <v>1118</v>
      </c>
      <c r="BL74" s="1">
        <v>1</v>
      </c>
      <c r="BM74" s="1" t="s">
        <v>708</v>
      </c>
      <c r="BN74" s="1" t="s">
        <v>599</v>
      </c>
      <c r="BO74" s="1" t="s">
        <v>2371</v>
      </c>
      <c r="BP74" s="1">
        <v>33.524483500000002</v>
      </c>
      <c r="BQ74" s="1">
        <v>36.362722499999997</v>
      </c>
      <c r="BR74" s="1" t="s">
        <v>637</v>
      </c>
      <c r="BS74" s="1" t="s">
        <v>603</v>
      </c>
      <c r="BT74" s="1" t="s">
        <v>710</v>
      </c>
      <c r="BU74" s="134">
        <v>45803</v>
      </c>
      <c r="BV74" s="1" t="s">
        <v>3642</v>
      </c>
      <c r="BW74" s="1" t="s">
        <v>3643</v>
      </c>
      <c r="BX74" s="1" t="s">
        <v>641</v>
      </c>
      <c r="BY74" s="1">
        <v>4</v>
      </c>
      <c r="BZ74" s="1">
        <v>0</v>
      </c>
      <c r="CA74" s="1">
        <v>80</v>
      </c>
      <c r="CB74" s="1" t="s">
        <v>603</v>
      </c>
      <c r="CC74" s="1" t="s">
        <v>603</v>
      </c>
      <c r="CD74" s="1" t="s">
        <v>596</v>
      </c>
      <c r="CE74" s="1" t="s">
        <v>603</v>
      </c>
      <c r="CF74" s="1" t="s">
        <v>604</v>
      </c>
      <c r="CG74" s="1" t="s">
        <v>596</v>
      </c>
      <c r="CH74" s="1" t="s">
        <v>596</v>
      </c>
      <c r="CI74" s="1" t="s">
        <v>596</v>
      </c>
      <c r="CJ74" s="1" t="s">
        <v>46</v>
      </c>
      <c r="CK74" s="1" t="s">
        <v>3644</v>
      </c>
      <c r="CL74" s="1" t="s">
        <v>3645</v>
      </c>
      <c r="CM74" s="1" t="s">
        <v>3646</v>
      </c>
      <c r="CN74" s="1" t="s">
        <v>3647</v>
      </c>
      <c r="CO74" s="1" t="s">
        <v>3648</v>
      </c>
      <c r="CP74" s="1" t="s">
        <v>3649</v>
      </c>
      <c r="CQ74" s="1" t="s">
        <v>3650</v>
      </c>
      <c r="CR74" s="1" t="s">
        <v>3651</v>
      </c>
      <c r="CS74" s="1" t="s">
        <v>3652</v>
      </c>
      <c r="CT74" s="1" t="s">
        <v>3653</v>
      </c>
      <c r="CU74" s="1" t="s">
        <v>3654</v>
      </c>
      <c r="CV74" s="1" t="s">
        <v>3655</v>
      </c>
      <c r="CW74" s="1" t="s">
        <v>3656</v>
      </c>
      <c r="CX74" s="1" t="s">
        <v>3657</v>
      </c>
      <c r="CY74" s="1" t="s">
        <v>3658</v>
      </c>
      <c r="CZ74" s="1" t="s">
        <v>3659</v>
      </c>
      <c r="DA74" s="1" t="s">
        <v>603</v>
      </c>
      <c r="DN74" s="1" t="s">
        <v>596</v>
      </c>
      <c r="DO74" s="1" t="s">
        <v>3660</v>
      </c>
      <c r="DP74" t="s">
        <v>3573</v>
      </c>
    </row>
    <row r="75" spans="1:120" x14ac:dyDescent="0.25">
      <c r="A75" s="1">
        <v>74</v>
      </c>
      <c r="B75" s="134">
        <v>45995</v>
      </c>
      <c r="C75" s="1" t="s">
        <v>3661</v>
      </c>
      <c r="D75" s="1" t="s">
        <v>1565</v>
      </c>
      <c r="E75" s="1" t="s">
        <v>3662</v>
      </c>
      <c r="F75" s="1" t="s">
        <v>3663</v>
      </c>
      <c r="G75" s="1" t="s">
        <v>664</v>
      </c>
      <c r="H75" s="134">
        <v>24852</v>
      </c>
      <c r="I75" s="1" t="s">
        <v>764</v>
      </c>
      <c r="K75" s="1" t="s">
        <v>666</v>
      </c>
      <c r="M75" s="1">
        <v>4070008349</v>
      </c>
      <c r="N75" s="1" t="s">
        <v>3664</v>
      </c>
      <c r="O75" s="1" t="s">
        <v>3665</v>
      </c>
      <c r="P75" s="1" t="s">
        <v>3666</v>
      </c>
      <c r="Q75" s="1" t="s">
        <v>3667</v>
      </c>
      <c r="R75" s="1" t="s">
        <v>592</v>
      </c>
      <c r="S75" s="1" t="s">
        <v>593</v>
      </c>
      <c r="T75" s="1" t="s">
        <v>594</v>
      </c>
      <c r="U75" s="1" t="s">
        <v>3668</v>
      </c>
      <c r="V75" s="1">
        <v>936597361</v>
      </c>
      <c r="X75" s="1" t="s">
        <v>596</v>
      </c>
      <c r="AL75" s="1" t="s">
        <v>596</v>
      </c>
      <c r="AT75" s="1" t="s">
        <v>597</v>
      </c>
      <c r="AU75" s="1">
        <v>2</v>
      </c>
      <c r="AV75" s="1">
        <v>6</v>
      </c>
      <c r="AX75" s="1">
        <v>1</v>
      </c>
      <c r="AY75" s="1">
        <v>4</v>
      </c>
      <c r="AZ75" s="1">
        <v>0</v>
      </c>
      <c r="BA75" s="1">
        <v>0</v>
      </c>
      <c r="BB75" s="1">
        <v>0</v>
      </c>
      <c r="BC75" s="1">
        <v>1</v>
      </c>
      <c r="BD75" s="1">
        <v>1</v>
      </c>
      <c r="BE75" s="1">
        <v>1</v>
      </c>
      <c r="BF75" s="1">
        <v>0</v>
      </c>
      <c r="BG75" s="1">
        <v>0</v>
      </c>
      <c r="BH75" s="1">
        <v>0</v>
      </c>
      <c r="BI75" s="1">
        <v>0</v>
      </c>
      <c r="BJ75" s="1">
        <v>1</v>
      </c>
      <c r="BK75" s="1" t="s">
        <v>634</v>
      </c>
      <c r="BL75" s="1">
        <v>1</v>
      </c>
      <c r="BM75" s="1" t="s">
        <v>598</v>
      </c>
      <c r="BN75" s="1" t="s">
        <v>599</v>
      </c>
      <c r="BO75" s="1" t="s">
        <v>3669</v>
      </c>
      <c r="BP75" s="1">
        <v>33.524531099999997</v>
      </c>
      <c r="BQ75" s="1">
        <v>36.362848499999998</v>
      </c>
      <c r="BR75" s="1" t="s">
        <v>637</v>
      </c>
      <c r="BS75" s="1" t="s">
        <v>603</v>
      </c>
      <c r="BT75" s="1" t="s">
        <v>638</v>
      </c>
      <c r="BU75" s="134">
        <v>45703</v>
      </c>
      <c r="BV75" s="1" t="s">
        <v>3670</v>
      </c>
      <c r="BW75" s="1" t="s">
        <v>3671</v>
      </c>
      <c r="BX75" s="1" t="s">
        <v>641</v>
      </c>
      <c r="BY75" s="1">
        <v>3</v>
      </c>
      <c r="BZ75" s="1">
        <v>3</v>
      </c>
      <c r="CA75" s="1">
        <v>80</v>
      </c>
      <c r="CB75" s="1" t="s">
        <v>603</v>
      </c>
      <c r="CC75" s="1" t="s">
        <v>603</v>
      </c>
      <c r="CD75" s="1" t="s">
        <v>603</v>
      </c>
      <c r="CE75" s="1" t="s">
        <v>596</v>
      </c>
      <c r="CF75" s="1" t="s">
        <v>642</v>
      </c>
      <c r="CG75" s="1" t="s">
        <v>603</v>
      </c>
      <c r="CH75" s="1" t="s">
        <v>596</v>
      </c>
      <c r="CI75" s="1" t="s">
        <v>596</v>
      </c>
      <c r="CJ75" s="1" t="s">
        <v>46</v>
      </c>
      <c r="CK75" s="1" t="s">
        <v>3672</v>
      </c>
      <c r="CL75" s="1" t="s">
        <v>3673</v>
      </c>
      <c r="CM75" s="1" t="s">
        <v>3674</v>
      </c>
      <c r="CN75" s="1" t="s">
        <v>3675</v>
      </c>
      <c r="CO75" s="1" t="s">
        <v>3676</v>
      </c>
      <c r="CP75" s="1" t="s">
        <v>3677</v>
      </c>
      <c r="CQ75" s="1" t="s">
        <v>3678</v>
      </c>
      <c r="CR75" s="1" t="s">
        <v>3679</v>
      </c>
      <c r="CS75" s="1" t="s">
        <v>3680</v>
      </c>
      <c r="CT75" s="1" t="s">
        <v>3681</v>
      </c>
      <c r="CU75" s="1" t="s">
        <v>3682</v>
      </c>
      <c r="CV75" s="1" t="s">
        <v>3683</v>
      </c>
      <c r="CW75" s="1" t="s">
        <v>3684</v>
      </c>
      <c r="CX75" s="1" t="s">
        <v>3685</v>
      </c>
      <c r="CY75" s="1" t="s">
        <v>3686</v>
      </c>
      <c r="CZ75" s="1" t="s">
        <v>3687</v>
      </c>
      <c r="DA75" s="1" t="s">
        <v>603</v>
      </c>
      <c r="DN75" s="1" t="s">
        <v>596</v>
      </c>
      <c r="DO75" s="1" t="s">
        <v>3688</v>
      </c>
      <c r="DP75" t="s">
        <v>3573</v>
      </c>
    </row>
    <row r="76" spans="1:120" x14ac:dyDescent="0.25">
      <c r="A76" s="1">
        <v>75</v>
      </c>
      <c r="B76" s="134">
        <v>45995</v>
      </c>
      <c r="C76" s="1" t="s">
        <v>3689</v>
      </c>
      <c r="D76" s="1" t="s">
        <v>3690</v>
      </c>
      <c r="E76" s="1" t="s">
        <v>3691</v>
      </c>
      <c r="F76" s="1" t="s">
        <v>3692</v>
      </c>
      <c r="G76" s="1" t="s">
        <v>583</v>
      </c>
      <c r="H76" s="134">
        <v>25065</v>
      </c>
      <c r="I76" s="1" t="s">
        <v>584</v>
      </c>
      <c r="J76" s="1" t="s">
        <v>3693</v>
      </c>
      <c r="K76" s="1" t="s">
        <v>666</v>
      </c>
      <c r="M76" s="1">
        <v>3330001430</v>
      </c>
      <c r="N76" s="1" t="s">
        <v>3694</v>
      </c>
      <c r="O76" s="1" t="s">
        <v>3695</v>
      </c>
      <c r="P76" s="1" t="s">
        <v>3696</v>
      </c>
      <c r="Q76" s="1" t="s">
        <v>3697</v>
      </c>
      <c r="R76" s="1" t="s">
        <v>592</v>
      </c>
      <c r="S76" s="1" t="s">
        <v>593</v>
      </c>
      <c r="T76" s="1" t="s">
        <v>594</v>
      </c>
      <c r="U76" s="1" t="s">
        <v>3698</v>
      </c>
      <c r="V76" s="1">
        <v>946104802</v>
      </c>
      <c r="X76" s="1" t="s">
        <v>596</v>
      </c>
      <c r="AL76" s="1" t="s">
        <v>596</v>
      </c>
      <c r="AT76" s="1" t="s">
        <v>597</v>
      </c>
      <c r="AU76" s="1">
        <v>1</v>
      </c>
      <c r="AV76" s="1">
        <v>3</v>
      </c>
      <c r="AX76" s="1">
        <v>1</v>
      </c>
      <c r="AY76" s="1">
        <v>1</v>
      </c>
      <c r="AZ76" s="1">
        <v>0</v>
      </c>
      <c r="BA76" s="1">
        <v>1</v>
      </c>
      <c r="BB76" s="1">
        <v>0</v>
      </c>
      <c r="BC76" s="1">
        <v>0</v>
      </c>
      <c r="BD76" s="1">
        <v>0</v>
      </c>
      <c r="BE76" s="1">
        <v>0</v>
      </c>
      <c r="BF76" s="1">
        <v>0</v>
      </c>
      <c r="BG76" s="1">
        <v>0</v>
      </c>
      <c r="BH76" s="1">
        <v>0</v>
      </c>
      <c r="BI76" s="1">
        <v>0</v>
      </c>
      <c r="BJ76" s="1">
        <v>0</v>
      </c>
      <c r="BK76" s="1" t="s">
        <v>741</v>
      </c>
      <c r="BL76" s="1">
        <v>1</v>
      </c>
      <c r="BM76" s="1" t="s">
        <v>708</v>
      </c>
      <c r="BN76" s="1" t="s">
        <v>599</v>
      </c>
      <c r="BO76" s="1" t="s">
        <v>3699</v>
      </c>
      <c r="BP76" s="1">
        <v>33.523637800000003</v>
      </c>
      <c r="BQ76" s="1">
        <v>36.360174700000002</v>
      </c>
      <c r="BR76" s="1" t="s">
        <v>637</v>
      </c>
      <c r="BS76" s="1" t="s">
        <v>603</v>
      </c>
      <c r="BT76" s="1" t="s">
        <v>638</v>
      </c>
      <c r="BU76" s="134">
        <v>45953</v>
      </c>
      <c r="BV76" s="1" t="s">
        <v>3700</v>
      </c>
      <c r="BW76" s="1" t="s">
        <v>3701</v>
      </c>
      <c r="BX76" s="1" t="s">
        <v>641</v>
      </c>
      <c r="BY76" s="1">
        <v>3</v>
      </c>
      <c r="BZ76" s="1">
        <v>0</v>
      </c>
      <c r="CA76" s="1">
        <v>50</v>
      </c>
      <c r="CB76" s="1" t="s">
        <v>603</v>
      </c>
      <c r="CC76" s="1" t="s">
        <v>603</v>
      </c>
      <c r="CD76" s="1" t="s">
        <v>603</v>
      </c>
      <c r="CE76" s="1" t="s">
        <v>596</v>
      </c>
      <c r="CF76" s="1" t="s">
        <v>604</v>
      </c>
      <c r="CG76" s="1" t="s">
        <v>603</v>
      </c>
      <c r="CH76" s="1" t="s">
        <v>596</v>
      </c>
      <c r="CI76" s="1" t="s">
        <v>596</v>
      </c>
      <c r="CJ76" s="1" t="s">
        <v>46</v>
      </c>
      <c r="CK76" s="1" t="s">
        <v>3702</v>
      </c>
      <c r="CL76" s="1" t="s">
        <v>3703</v>
      </c>
      <c r="CM76" s="1" t="s">
        <v>3704</v>
      </c>
      <c r="CN76" s="1" t="s">
        <v>3705</v>
      </c>
      <c r="CO76" s="1" t="s">
        <v>3706</v>
      </c>
      <c r="CP76" s="1" t="s">
        <v>3707</v>
      </c>
      <c r="CQ76" s="1" t="s">
        <v>3708</v>
      </c>
      <c r="CR76" s="1" t="s">
        <v>3709</v>
      </c>
      <c r="CS76" s="1" t="s">
        <v>3710</v>
      </c>
      <c r="CT76" s="1" t="s">
        <v>3711</v>
      </c>
      <c r="CU76" s="1" t="s">
        <v>3712</v>
      </c>
      <c r="CV76" s="1" t="s">
        <v>3713</v>
      </c>
      <c r="CW76" s="1" t="s">
        <v>3714</v>
      </c>
      <c r="CX76" s="1" t="s">
        <v>3715</v>
      </c>
      <c r="CY76" s="1" t="s">
        <v>3716</v>
      </c>
      <c r="CZ76" s="1" t="s">
        <v>3717</v>
      </c>
      <c r="DA76" s="1" t="s">
        <v>603</v>
      </c>
      <c r="DN76" s="1" t="s">
        <v>596</v>
      </c>
      <c r="DO76" s="1" t="s">
        <v>3718</v>
      </c>
      <c r="DP76" t="s">
        <v>3573</v>
      </c>
    </row>
    <row r="77" spans="1:120" x14ac:dyDescent="0.25">
      <c r="A77" s="1">
        <v>76</v>
      </c>
      <c r="B77" s="134">
        <v>45995</v>
      </c>
      <c r="C77" s="1" t="s">
        <v>580</v>
      </c>
      <c r="D77" s="1" t="s">
        <v>1663</v>
      </c>
      <c r="E77" s="1" t="s">
        <v>581</v>
      </c>
      <c r="F77" s="1" t="s">
        <v>3719</v>
      </c>
      <c r="G77" s="1" t="s">
        <v>583</v>
      </c>
      <c r="H77" s="134">
        <v>30697</v>
      </c>
      <c r="I77" s="1" t="s">
        <v>584</v>
      </c>
      <c r="J77" s="1" t="s">
        <v>3720</v>
      </c>
      <c r="K77" s="1" t="s">
        <v>586</v>
      </c>
      <c r="M77" s="1">
        <v>66160911731</v>
      </c>
      <c r="N77" s="1" t="s">
        <v>3721</v>
      </c>
      <c r="O77" s="1" t="s">
        <v>3722</v>
      </c>
      <c r="P77" s="1" t="s">
        <v>3723</v>
      </c>
      <c r="Q77" s="1" t="s">
        <v>3724</v>
      </c>
      <c r="R77" s="1" t="s">
        <v>592</v>
      </c>
      <c r="S77" s="1" t="s">
        <v>593</v>
      </c>
      <c r="T77" s="1" t="s">
        <v>594</v>
      </c>
      <c r="U77" s="1" t="s">
        <v>1672</v>
      </c>
      <c r="V77" s="1">
        <v>968919431</v>
      </c>
      <c r="X77" s="1" t="s">
        <v>596</v>
      </c>
      <c r="AL77" s="1" t="s">
        <v>596</v>
      </c>
      <c r="AT77" s="1" t="s">
        <v>597</v>
      </c>
      <c r="AU77" s="1">
        <v>1</v>
      </c>
      <c r="AV77" s="1">
        <v>7</v>
      </c>
      <c r="AX77" s="1">
        <v>1</v>
      </c>
      <c r="AY77" s="1">
        <v>1</v>
      </c>
      <c r="AZ77" s="1">
        <v>0</v>
      </c>
      <c r="BA77" s="1">
        <v>3</v>
      </c>
      <c r="BB77" s="1">
        <v>2</v>
      </c>
      <c r="BC77" s="1">
        <v>0</v>
      </c>
      <c r="BD77" s="1">
        <v>0</v>
      </c>
      <c r="BE77" s="1">
        <v>0</v>
      </c>
      <c r="BF77" s="1">
        <v>0</v>
      </c>
      <c r="BG77" s="1">
        <v>0</v>
      </c>
      <c r="BH77" s="1">
        <v>0</v>
      </c>
      <c r="BI77" s="1">
        <v>0</v>
      </c>
      <c r="BJ77" s="1">
        <v>0</v>
      </c>
      <c r="BK77" s="1" t="s">
        <v>707</v>
      </c>
      <c r="BL77" s="1">
        <v>0</v>
      </c>
      <c r="BM77" s="1" t="s">
        <v>598</v>
      </c>
      <c r="BN77" s="1" t="s">
        <v>599</v>
      </c>
      <c r="BO77" s="1" t="s">
        <v>1337</v>
      </c>
      <c r="BP77" s="1">
        <v>33.5258678</v>
      </c>
      <c r="BQ77" s="1">
        <v>36.3605144</v>
      </c>
      <c r="BR77" s="1" t="s">
        <v>637</v>
      </c>
      <c r="BS77" s="1" t="s">
        <v>596</v>
      </c>
      <c r="BU77" s="134"/>
      <c r="BX77" s="1" t="s">
        <v>602</v>
      </c>
      <c r="BY77" s="1">
        <v>1</v>
      </c>
      <c r="BZ77" s="1">
        <v>0</v>
      </c>
      <c r="CA77" s="1">
        <v>50</v>
      </c>
      <c r="CB77" s="1" t="s">
        <v>603</v>
      </c>
      <c r="CC77" s="1" t="s">
        <v>603</v>
      </c>
      <c r="CD77" s="1" t="s">
        <v>603</v>
      </c>
      <c r="CE77" s="1" t="s">
        <v>596</v>
      </c>
      <c r="CF77" s="1" t="s">
        <v>604</v>
      </c>
      <c r="CG77" s="1" t="s">
        <v>603</v>
      </c>
      <c r="CH77" s="1" t="s">
        <v>596</v>
      </c>
      <c r="CI77" s="1" t="s">
        <v>596</v>
      </c>
      <c r="CJ77" s="1" t="s">
        <v>46</v>
      </c>
      <c r="CK77" s="1" t="s">
        <v>3725</v>
      </c>
      <c r="CL77" s="1" t="s">
        <v>3726</v>
      </c>
      <c r="CM77" s="1" t="s">
        <v>3727</v>
      </c>
      <c r="CN77" s="1" t="s">
        <v>3728</v>
      </c>
      <c r="CO77" s="1" t="s">
        <v>3729</v>
      </c>
      <c r="CP77" s="1" t="s">
        <v>3730</v>
      </c>
      <c r="CQ77" s="1" t="s">
        <v>3731</v>
      </c>
      <c r="CR77" s="1" t="s">
        <v>3732</v>
      </c>
      <c r="CS77" s="1" t="s">
        <v>3733</v>
      </c>
      <c r="CT77" s="1" t="s">
        <v>3734</v>
      </c>
      <c r="CU77" s="1" t="s">
        <v>3735</v>
      </c>
      <c r="CV77" s="1" t="s">
        <v>3736</v>
      </c>
      <c r="CW77" s="1" t="s">
        <v>3737</v>
      </c>
      <c r="CX77" s="1" t="s">
        <v>3738</v>
      </c>
      <c r="CY77" s="1" t="s">
        <v>3739</v>
      </c>
      <c r="CZ77" s="1" t="s">
        <v>3740</v>
      </c>
      <c r="DA77" s="1" t="s">
        <v>603</v>
      </c>
      <c r="DN77" s="1" t="s">
        <v>596</v>
      </c>
      <c r="DO77" s="1" t="s">
        <v>3741</v>
      </c>
      <c r="DP77" t="s">
        <v>3573</v>
      </c>
    </row>
    <row r="78" spans="1:120" x14ac:dyDescent="0.25">
      <c r="A78" s="1">
        <v>77</v>
      </c>
      <c r="B78" s="134">
        <v>45995</v>
      </c>
      <c r="C78" s="1" t="s">
        <v>2233</v>
      </c>
      <c r="D78" s="1" t="s">
        <v>3742</v>
      </c>
      <c r="E78" s="1" t="s">
        <v>3743</v>
      </c>
      <c r="F78" s="1" t="s">
        <v>3744</v>
      </c>
      <c r="G78" s="1" t="s">
        <v>583</v>
      </c>
      <c r="H78" s="134">
        <v>29409</v>
      </c>
      <c r="I78" s="1" t="s">
        <v>584</v>
      </c>
      <c r="J78" s="1" t="s">
        <v>3745</v>
      </c>
      <c r="K78" s="1" t="s">
        <v>666</v>
      </c>
      <c r="M78" s="1">
        <v>1040134613</v>
      </c>
      <c r="N78" s="1" t="s">
        <v>3746</v>
      </c>
      <c r="O78" s="1" t="s">
        <v>3747</v>
      </c>
      <c r="P78" s="1" t="s">
        <v>3748</v>
      </c>
      <c r="Q78" s="1" t="s">
        <v>3749</v>
      </c>
      <c r="R78" s="1" t="s">
        <v>592</v>
      </c>
      <c r="S78" s="1" t="s">
        <v>593</v>
      </c>
      <c r="T78" s="1" t="s">
        <v>594</v>
      </c>
      <c r="U78" s="1" t="s">
        <v>3750</v>
      </c>
      <c r="V78" s="1">
        <v>997921877</v>
      </c>
      <c r="X78" s="1" t="s">
        <v>596</v>
      </c>
      <c r="AL78" s="1" t="s">
        <v>596</v>
      </c>
      <c r="AT78" s="1" t="s">
        <v>597</v>
      </c>
      <c r="AU78" s="1">
        <v>1</v>
      </c>
      <c r="AV78" s="1">
        <v>5</v>
      </c>
      <c r="AX78" s="1">
        <v>2</v>
      </c>
      <c r="AY78" s="1">
        <v>1</v>
      </c>
      <c r="AZ78" s="1">
        <v>1</v>
      </c>
      <c r="BA78" s="1">
        <v>0</v>
      </c>
      <c r="BB78" s="1">
        <v>1</v>
      </c>
      <c r="BC78" s="1">
        <v>0</v>
      </c>
      <c r="BD78" s="1">
        <v>0</v>
      </c>
      <c r="BE78" s="1">
        <v>0</v>
      </c>
      <c r="BF78" s="1">
        <v>0</v>
      </c>
      <c r="BG78" s="1">
        <v>0</v>
      </c>
      <c r="BH78" s="1">
        <v>0</v>
      </c>
      <c r="BI78" s="1">
        <v>0</v>
      </c>
      <c r="BJ78" s="1">
        <v>0</v>
      </c>
      <c r="BK78" s="1" t="s">
        <v>741</v>
      </c>
      <c r="BL78" s="1">
        <v>1</v>
      </c>
      <c r="BM78" s="1" t="s">
        <v>635</v>
      </c>
      <c r="BN78" s="1" t="s">
        <v>599</v>
      </c>
      <c r="BO78" s="1" t="s">
        <v>3751</v>
      </c>
      <c r="BP78" s="1">
        <v>33.5231791</v>
      </c>
      <c r="BQ78" s="1">
        <v>36.359266099999999</v>
      </c>
      <c r="BR78" s="1" t="s">
        <v>637</v>
      </c>
      <c r="BS78" s="1" t="s">
        <v>596</v>
      </c>
      <c r="BU78" s="134"/>
      <c r="BX78" s="1" t="s">
        <v>641</v>
      </c>
      <c r="BY78" s="1">
        <v>3</v>
      </c>
      <c r="BZ78" s="1">
        <v>1</v>
      </c>
      <c r="CA78" s="1">
        <v>70</v>
      </c>
      <c r="CB78" s="1" t="s">
        <v>603</v>
      </c>
      <c r="CC78" s="1" t="s">
        <v>603</v>
      </c>
      <c r="CD78" s="1" t="s">
        <v>596</v>
      </c>
      <c r="CE78" s="1" t="s">
        <v>596</v>
      </c>
      <c r="CF78" s="1" t="s">
        <v>642</v>
      </c>
      <c r="CG78" s="1" t="s">
        <v>596</v>
      </c>
      <c r="CH78" s="1" t="s">
        <v>596</v>
      </c>
      <c r="CI78" s="1" t="s">
        <v>596</v>
      </c>
      <c r="CJ78" s="1" t="s">
        <v>51</v>
      </c>
      <c r="CK78" s="1" t="s">
        <v>3752</v>
      </c>
      <c r="CL78" s="1" t="s">
        <v>3753</v>
      </c>
      <c r="CM78" s="1" t="s">
        <v>3754</v>
      </c>
      <c r="CN78" s="1" t="s">
        <v>3755</v>
      </c>
      <c r="CO78" s="1" t="s">
        <v>3756</v>
      </c>
      <c r="CP78" s="1" t="s">
        <v>3757</v>
      </c>
      <c r="CQ78" s="1" t="s">
        <v>3758</v>
      </c>
      <c r="CR78" s="1" t="s">
        <v>3759</v>
      </c>
      <c r="CS78" s="1" t="s">
        <v>3760</v>
      </c>
      <c r="CT78" s="1" t="s">
        <v>3761</v>
      </c>
      <c r="CU78" s="1" t="s">
        <v>3762</v>
      </c>
      <c r="CV78" s="1" t="s">
        <v>3763</v>
      </c>
      <c r="CW78" s="1" t="s">
        <v>3764</v>
      </c>
      <c r="CX78" s="1" t="s">
        <v>3765</v>
      </c>
      <c r="CY78" s="1" t="s">
        <v>3766</v>
      </c>
      <c r="CZ78" s="1" t="s">
        <v>3767</v>
      </c>
      <c r="DA78" s="1" t="s">
        <v>603</v>
      </c>
      <c r="DN78" s="1" t="s">
        <v>596</v>
      </c>
      <c r="DO78" s="1" t="s">
        <v>3768</v>
      </c>
      <c r="DP78" t="s">
        <v>3573</v>
      </c>
    </row>
    <row r="79" spans="1:120" x14ac:dyDescent="0.25">
      <c r="A79" s="1">
        <v>78</v>
      </c>
      <c r="B79" s="134">
        <v>45995</v>
      </c>
      <c r="C79" s="1" t="s">
        <v>3769</v>
      </c>
      <c r="D79" s="1" t="s">
        <v>580</v>
      </c>
      <c r="E79" s="1" t="s">
        <v>3770</v>
      </c>
      <c r="F79" s="1" t="s">
        <v>3771</v>
      </c>
      <c r="G79" s="1" t="s">
        <v>583</v>
      </c>
      <c r="H79" s="134">
        <v>27568</v>
      </c>
      <c r="I79" s="1" t="s">
        <v>665</v>
      </c>
      <c r="K79" s="1" t="s">
        <v>666</v>
      </c>
      <c r="M79" s="1">
        <v>1040203459</v>
      </c>
      <c r="N79" s="1" t="s">
        <v>3772</v>
      </c>
      <c r="O79" s="1" t="s">
        <v>3773</v>
      </c>
      <c r="P79" s="1" t="s">
        <v>3774</v>
      </c>
      <c r="Q79" s="1" t="s">
        <v>3775</v>
      </c>
      <c r="R79" s="1" t="s">
        <v>592</v>
      </c>
      <c r="S79" s="1" t="s">
        <v>593</v>
      </c>
      <c r="T79" s="1" t="s">
        <v>594</v>
      </c>
      <c r="U79" s="1" t="s">
        <v>1672</v>
      </c>
      <c r="V79" s="1">
        <v>967766418</v>
      </c>
      <c r="X79" s="1" t="s">
        <v>596</v>
      </c>
      <c r="AL79" s="1" t="s">
        <v>596</v>
      </c>
      <c r="AT79" s="1" t="s">
        <v>770</v>
      </c>
      <c r="AU79" s="1">
        <v>1</v>
      </c>
      <c r="AV79" s="1">
        <v>3</v>
      </c>
      <c r="AX79" s="1">
        <v>0</v>
      </c>
      <c r="AY79" s="1">
        <v>2</v>
      </c>
      <c r="AZ79" s="1">
        <v>1</v>
      </c>
      <c r="BA79" s="1">
        <v>0</v>
      </c>
      <c r="BB79" s="1">
        <v>0</v>
      </c>
      <c r="BC79" s="1">
        <v>0</v>
      </c>
      <c r="BD79" s="1">
        <v>0</v>
      </c>
      <c r="BE79" s="1">
        <v>0</v>
      </c>
      <c r="BF79" s="1">
        <v>0</v>
      </c>
      <c r="BG79" s="1">
        <v>0</v>
      </c>
      <c r="BH79" s="1">
        <v>0</v>
      </c>
      <c r="BI79" s="1">
        <v>0</v>
      </c>
      <c r="BJ79" s="1">
        <v>0</v>
      </c>
      <c r="BK79" s="1" t="s">
        <v>707</v>
      </c>
      <c r="BL79" s="1">
        <v>0</v>
      </c>
      <c r="BM79" s="1" t="s">
        <v>598</v>
      </c>
      <c r="BN79" s="1" t="s">
        <v>599</v>
      </c>
      <c r="BO79" s="1" t="s">
        <v>1337</v>
      </c>
      <c r="BP79" s="1">
        <v>33.523684099999997</v>
      </c>
      <c r="BQ79" s="1">
        <v>36.362266200000001</v>
      </c>
      <c r="BR79" s="1" t="s">
        <v>637</v>
      </c>
      <c r="BS79" s="1" t="s">
        <v>596</v>
      </c>
      <c r="BU79" s="134"/>
      <c r="BX79" s="1" t="s">
        <v>602</v>
      </c>
      <c r="BY79" s="1">
        <v>3</v>
      </c>
      <c r="BZ79" s="1">
        <v>0</v>
      </c>
      <c r="CA79" s="1">
        <v>70</v>
      </c>
      <c r="CB79" s="1" t="s">
        <v>603</v>
      </c>
      <c r="CC79" s="1" t="s">
        <v>603</v>
      </c>
      <c r="CD79" s="1" t="s">
        <v>596</v>
      </c>
      <c r="CE79" s="1" t="s">
        <v>596</v>
      </c>
      <c r="CF79" s="1" t="s">
        <v>604</v>
      </c>
      <c r="CG79" s="1" t="s">
        <v>603</v>
      </c>
      <c r="CH79" s="1" t="s">
        <v>596</v>
      </c>
      <c r="CI79" s="1" t="s">
        <v>596</v>
      </c>
      <c r="CJ79" s="1" t="s">
        <v>46</v>
      </c>
      <c r="CK79" s="1" t="s">
        <v>3776</v>
      </c>
      <c r="CL79" s="1" t="s">
        <v>3777</v>
      </c>
      <c r="CM79" s="1" t="s">
        <v>3778</v>
      </c>
      <c r="CN79" s="1" t="s">
        <v>3779</v>
      </c>
      <c r="CO79" s="1" t="s">
        <v>3780</v>
      </c>
      <c r="CP79" s="1" t="s">
        <v>3781</v>
      </c>
      <c r="CQ79" s="1" t="s">
        <v>3782</v>
      </c>
      <c r="CR79" s="1" t="s">
        <v>3783</v>
      </c>
      <c r="CS79" s="1" t="s">
        <v>3784</v>
      </c>
      <c r="CT79" s="1" t="s">
        <v>3785</v>
      </c>
      <c r="CU79" s="1" t="s">
        <v>3786</v>
      </c>
      <c r="CV79" s="1" t="s">
        <v>3787</v>
      </c>
      <c r="CW79" s="1" t="s">
        <v>3788</v>
      </c>
      <c r="CX79" s="1" t="s">
        <v>3789</v>
      </c>
      <c r="CY79" s="1" t="s">
        <v>3790</v>
      </c>
      <c r="CZ79" s="1" t="s">
        <v>3791</v>
      </c>
      <c r="DA79" s="1" t="s">
        <v>603</v>
      </c>
      <c r="DN79" s="1" t="s">
        <v>596</v>
      </c>
      <c r="DO79" s="1" t="s">
        <v>3792</v>
      </c>
      <c r="DP79" t="s">
        <v>3573</v>
      </c>
    </row>
    <row r="80" spans="1:120" x14ac:dyDescent="0.25">
      <c r="A80" s="1">
        <v>79</v>
      </c>
      <c r="B80" s="134">
        <v>45995</v>
      </c>
      <c r="C80" s="1" t="s">
        <v>3793</v>
      </c>
      <c r="D80" s="1" t="s">
        <v>3794</v>
      </c>
      <c r="E80" s="1" t="s">
        <v>3795</v>
      </c>
      <c r="F80" s="1" t="s">
        <v>3796</v>
      </c>
      <c r="G80" s="1" t="s">
        <v>583</v>
      </c>
      <c r="H80" s="134">
        <v>33604</v>
      </c>
      <c r="I80" s="1" t="s">
        <v>584</v>
      </c>
      <c r="J80" s="1" t="s">
        <v>3797</v>
      </c>
      <c r="K80" s="1" t="s">
        <v>666</v>
      </c>
      <c r="M80" s="1">
        <v>97575553681</v>
      </c>
      <c r="N80" s="1" t="s">
        <v>3798</v>
      </c>
      <c r="O80" s="1" t="s">
        <v>3799</v>
      </c>
      <c r="P80" s="1" t="s">
        <v>3800</v>
      </c>
      <c r="Q80" s="1" t="s">
        <v>3801</v>
      </c>
      <c r="R80" s="1" t="s">
        <v>592</v>
      </c>
      <c r="S80" s="1" t="s">
        <v>593</v>
      </c>
      <c r="T80" s="1" t="s">
        <v>594</v>
      </c>
      <c r="U80" s="1" t="s">
        <v>3802</v>
      </c>
      <c r="V80" s="1">
        <v>963959456155</v>
      </c>
      <c r="W80" s="1">
        <v>969880798</v>
      </c>
      <c r="X80" s="1" t="s">
        <v>596</v>
      </c>
      <c r="AL80" s="1" t="s">
        <v>596</v>
      </c>
      <c r="AT80" s="1" t="s">
        <v>597</v>
      </c>
      <c r="AU80" s="1">
        <v>1</v>
      </c>
      <c r="AV80" s="1">
        <v>4</v>
      </c>
      <c r="AX80" s="1">
        <v>1</v>
      </c>
      <c r="AY80" s="1">
        <v>1</v>
      </c>
      <c r="AZ80" s="1">
        <v>0</v>
      </c>
      <c r="BA80" s="1">
        <v>0</v>
      </c>
      <c r="BB80" s="1">
        <v>0</v>
      </c>
      <c r="BC80" s="1">
        <v>2</v>
      </c>
      <c r="BD80" s="1">
        <v>0</v>
      </c>
      <c r="BE80" s="1">
        <v>0</v>
      </c>
      <c r="BF80" s="1">
        <v>0</v>
      </c>
      <c r="BG80" s="1">
        <v>0</v>
      </c>
      <c r="BH80" s="1">
        <v>0</v>
      </c>
      <c r="BI80" s="1">
        <v>0</v>
      </c>
      <c r="BJ80" s="1">
        <v>0</v>
      </c>
      <c r="BK80" s="1" t="s">
        <v>634</v>
      </c>
      <c r="BL80" s="1">
        <v>1</v>
      </c>
      <c r="BM80" s="1" t="s">
        <v>598</v>
      </c>
      <c r="BN80" s="1" t="s">
        <v>599</v>
      </c>
      <c r="BO80" s="1" t="s">
        <v>3803</v>
      </c>
      <c r="BP80" s="1">
        <v>33.525534200000003</v>
      </c>
      <c r="BQ80" s="1">
        <v>36.355514700000001</v>
      </c>
      <c r="BR80" s="1" t="s">
        <v>637</v>
      </c>
      <c r="BS80" s="1" t="s">
        <v>603</v>
      </c>
      <c r="BT80" s="1" t="s">
        <v>1843</v>
      </c>
      <c r="BU80" s="134">
        <v>45995</v>
      </c>
      <c r="BV80" s="1" t="s">
        <v>3804</v>
      </c>
      <c r="BX80" s="1" t="s">
        <v>641</v>
      </c>
      <c r="BY80" s="1">
        <v>1</v>
      </c>
      <c r="BZ80" s="1">
        <v>5</v>
      </c>
      <c r="CA80" s="1">
        <v>70</v>
      </c>
      <c r="CB80" s="1" t="s">
        <v>603</v>
      </c>
      <c r="CC80" s="1" t="s">
        <v>603</v>
      </c>
      <c r="CD80" s="1" t="s">
        <v>603</v>
      </c>
      <c r="CE80" s="1" t="s">
        <v>596</v>
      </c>
      <c r="CF80" s="1" t="s">
        <v>604</v>
      </c>
      <c r="CG80" s="1" t="s">
        <v>603</v>
      </c>
      <c r="CH80" s="1" t="s">
        <v>596</v>
      </c>
      <c r="CI80" s="1" t="s">
        <v>596</v>
      </c>
      <c r="CJ80" s="1" t="s">
        <v>46</v>
      </c>
      <c r="CK80" s="1" t="s">
        <v>3805</v>
      </c>
      <c r="CM80" s="1" t="s">
        <v>3806</v>
      </c>
      <c r="CO80" s="1" t="s">
        <v>3807</v>
      </c>
      <c r="CP80" s="1" t="s">
        <v>3808</v>
      </c>
      <c r="CQ80" s="1" t="s">
        <v>3809</v>
      </c>
      <c r="CS80" s="1" t="s">
        <v>3810</v>
      </c>
      <c r="CU80" s="1" t="s">
        <v>3811</v>
      </c>
      <c r="CW80" s="1" t="s">
        <v>3812</v>
      </c>
      <c r="CY80" s="1" t="s">
        <v>3813</v>
      </c>
      <c r="DA80" s="1" t="s">
        <v>603</v>
      </c>
      <c r="DN80" s="1" t="s">
        <v>596</v>
      </c>
      <c r="DO80" s="1" t="s">
        <v>3814</v>
      </c>
      <c r="DP80" t="s">
        <v>3573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9ECB-F2F6-4604-899A-0B02673580B5}">
  <dimension ref="A1:L1283"/>
  <sheetViews>
    <sheetView tabSelected="1" workbookViewId="0">
      <selection sqref="A1:L1283"/>
    </sheetView>
  </sheetViews>
  <sheetFormatPr defaultRowHeight="15" x14ac:dyDescent="0.25"/>
  <cols>
    <col min="1" max="1" width="9.28515625" style="1" bestFit="1" customWidth="1"/>
    <col min="2" max="2" width="9.7109375" style="1" customWidth="1"/>
    <col min="3" max="3" width="13.140625" style="1" customWidth="1"/>
    <col min="4" max="4" width="35.140625" style="1" customWidth="1"/>
    <col min="5" max="5" width="40.85546875" style="1" bestFit="1" customWidth="1"/>
    <col min="6" max="6" width="17.5703125" style="1" bestFit="1" customWidth="1"/>
    <col min="7" max="7" width="25" style="1" customWidth="1"/>
    <col min="8" max="8" width="9.85546875" style="1" bestFit="1" customWidth="1"/>
    <col min="9" max="9" width="16.5703125" style="1" bestFit="1" customWidth="1"/>
    <col min="10" max="10" width="12.28515625" style="1" bestFit="1" customWidth="1"/>
    <col min="11" max="12" width="12.28515625" style="1" customWidth="1"/>
    <col min="13" max="17" width="33.5703125" style="1" customWidth="1"/>
    <col min="18" max="16384" width="9.140625" style="1"/>
  </cols>
  <sheetData>
    <row r="1" spans="1:12" s="137" customFormat="1" ht="24" customHeight="1" x14ac:dyDescent="0.25">
      <c r="A1" s="137" t="s">
        <v>476</v>
      </c>
      <c r="B1" s="137" t="s">
        <v>2550</v>
      </c>
      <c r="C1" s="137" t="s">
        <v>3469</v>
      </c>
      <c r="D1" s="137" t="s">
        <v>2551</v>
      </c>
      <c r="E1" s="1" t="s">
        <v>3815</v>
      </c>
      <c r="F1" s="137" t="s">
        <v>2558</v>
      </c>
      <c r="G1" s="1" t="s">
        <v>3816</v>
      </c>
      <c r="H1" s="137" t="s">
        <v>2560</v>
      </c>
      <c r="I1" s="137" t="s">
        <v>2561</v>
      </c>
      <c r="J1" s="137" t="s">
        <v>2559</v>
      </c>
      <c r="K1" s="137" t="s">
        <v>3583</v>
      </c>
      <c r="L1" s="137" t="s">
        <v>3584</v>
      </c>
    </row>
    <row r="2" spans="1:12" x14ac:dyDescent="0.25">
      <c r="A2" s="1">
        <v>1</v>
      </c>
      <c r="B2" s="1">
        <v>1</v>
      </c>
      <c r="C2" s="232" t="s">
        <v>3470</v>
      </c>
      <c r="D2" s="232" t="s">
        <v>2552</v>
      </c>
      <c r="E2" s="1" t="s">
        <v>3558</v>
      </c>
      <c r="F2" s="232" t="s">
        <v>2562</v>
      </c>
      <c r="G2" s="1" t="s">
        <v>3514</v>
      </c>
      <c r="H2" s="232" t="s">
        <v>2563</v>
      </c>
      <c r="I2" s="233" t="s">
        <v>2564</v>
      </c>
      <c r="J2" s="14">
        <v>5</v>
      </c>
      <c r="K2" s="138">
        <v>6</v>
      </c>
      <c r="L2" s="138">
        <v>30</v>
      </c>
    </row>
    <row r="3" spans="1:12" x14ac:dyDescent="0.25">
      <c r="A3" s="1">
        <v>21</v>
      </c>
      <c r="B3" s="1">
        <v>6</v>
      </c>
      <c r="C3" s="232" t="s">
        <v>3470</v>
      </c>
      <c r="D3" s="232" t="s">
        <v>2552</v>
      </c>
      <c r="E3" s="1" t="s">
        <v>3558</v>
      </c>
      <c r="F3" s="232" t="s">
        <v>2562</v>
      </c>
      <c r="G3" s="1" t="s">
        <v>3514</v>
      </c>
      <c r="H3" s="232" t="s">
        <v>2622</v>
      </c>
      <c r="I3" s="233" t="s">
        <v>2623</v>
      </c>
      <c r="J3" s="14">
        <v>2</v>
      </c>
      <c r="K3" s="138">
        <v>6</v>
      </c>
      <c r="L3" s="138">
        <v>12</v>
      </c>
    </row>
    <row r="4" spans="1:12" x14ac:dyDescent="0.25">
      <c r="A4" s="1">
        <v>36</v>
      </c>
      <c r="B4" s="1">
        <v>11</v>
      </c>
      <c r="C4" s="232" t="s">
        <v>3470</v>
      </c>
      <c r="D4" s="232" t="s">
        <v>2552</v>
      </c>
      <c r="E4" s="1" t="s">
        <v>3558</v>
      </c>
      <c r="F4" s="232" t="s">
        <v>2562</v>
      </c>
      <c r="G4" s="1" t="s">
        <v>3514</v>
      </c>
      <c r="H4" s="232" t="s">
        <v>2655</v>
      </c>
      <c r="I4" s="233" t="s">
        <v>2656</v>
      </c>
      <c r="J4" s="14">
        <v>2</v>
      </c>
      <c r="K4" s="138">
        <v>6</v>
      </c>
      <c r="L4" s="138">
        <v>12</v>
      </c>
    </row>
    <row r="5" spans="1:12" x14ac:dyDescent="0.25">
      <c r="A5" s="1">
        <v>78</v>
      </c>
      <c r="B5" s="1">
        <v>26</v>
      </c>
      <c r="C5" s="232" t="s">
        <v>3470</v>
      </c>
      <c r="D5" s="232" t="s">
        <v>2552</v>
      </c>
      <c r="E5" s="1" t="s">
        <v>3558</v>
      </c>
      <c r="F5" s="232" t="s">
        <v>2562</v>
      </c>
      <c r="G5" s="1" t="s">
        <v>3514</v>
      </c>
      <c r="H5" s="232"/>
      <c r="I5" s="233"/>
      <c r="J5" s="14">
        <v>1</v>
      </c>
      <c r="K5" s="138">
        <v>6</v>
      </c>
      <c r="L5" s="138">
        <v>6</v>
      </c>
    </row>
    <row r="6" spans="1:12" x14ac:dyDescent="0.25">
      <c r="A6" s="1">
        <v>77</v>
      </c>
      <c r="B6" s="1">
        <v>26</v>
      </c>
      <c r="C6" s="232" t="s">
        <v>3494</v>
      </c>
      <c r="D6" s="232" t="s">
        <v>2552</v>
      </c>
      <c r="E6" s="1" t="s">
        <v>3558</v>
      </c>
      <c r="F6" s="232" t="s">
        <v>2738</v>
      </c>
      <c r="G6" s="1" t="s">
        <v>3513</v>
      </c>
      <c r="H6" s="232" t="s">
        <v>2739</v>
      </c>
      <c r="I6" s="233" t="s">
        <v>2740</v>
      </c>
      <c r="J6" s="14">
        <v>1</v>
      </c>
      <c r="K6" s="138">
        <v>7</v>
      </c>
      <c r="L6" s="138">
        <v>7</v>
      </c>
    </row>
    <row r="7" spans="1:12" x14ac:dyDescent="0.25">
      <c r="A7" s="1">
        <v>2</v>
      </c>
      <c r="B7" s="1">
        <v>1</v>
      </c>
      <c r="C7" s="232" t="s">
        <v>3471</v>
      </c>
      <c r="D7" s="232" t="s">
        <v>2552</v>
      </c>
      <c r="E7" s="1" t="s">
        <v>3558</v>
      </c>
      <c r="F7" s="232" t="s">
        <v>2565</v>
      </c>
      <c r="G7" s="1" t="s">
        <v>3515</v>
      </c>
      <c r="H7" s="232" t="s">
        <v>2566</v>
      </c>
      <c r="I7" s="233" t="s">
        <v>2567</v>
      </c>
      <c r="J7" s="14">
        <v>3</v>
      </c>
      <c r="K7" s="138">
        <v>75</v>
      </c>
      <c r="L7" s="138">
        <v>225</v>
      </c>
    </row>
    <row r="8" spans="1:12" x14ac:dyDescent="0.25">
      <c r="A8" s="1">
        <v>79</v>
      </c>
      <c r="B8" s="1">
        <v>26</v>
      </c>
      <c r="C8" s="232" t="s">
        <v>3471</v>
      </c>
      <c r="D8" s="232" t="s">
        <v>2552</v>
      </c>
      <c r="E8" s="1" t="s">
        <v>3558</v>
      </c>
      <c r="F8" s="232" t="s">
        <v>2565</v>
      </c>
      <c r="G8" s="1" t="s">
        <v>3515</v>
      </c>
      <c r="H8" s="232" t="s">
        <v>2741</v>
      </c>
      <c r="I8" s="233" t="s">
        <v>2742</v>
      </c>
      <c r="J8" s="14">
        <v>1</v>
      </c>
      <c r="K8" s="138">
        <v>75</v>
      </c>
      <c r="L8" s="138">
        <v>75</v>
      </c>
    </row>
    <row r="9" spans="1:12" x14ac:dyDescent="0.25">
      <c r="A9" s="1">
        <v>3</v>
      </c>
      <c r="B9" s="1">
        <v>1</v>
      </c>
      <c r="C9" s="232" t="s">
        <v>3472</v>
      </c>
      <c r="D9" s="232" t="s">
        <v>2552</v>
      </c>
      <c r="E9" s="1" t="s">
        <v>3558</v>
      </c>
      <c r="F9" s="232" t="s">
        <v>2568</v>
      </c>
      <c r="G9" s="1" t="s">
        <v>3516</v>
      </c>
      <c r="H9" s="232" t="s">
        <v>2569</v>
      </c>
      <c r="I9" s="233" t="s">
        <v>2570</v>
      </c>
      <c r="J9" s="14">
        <v>120</v>
      </c>
      <c r="K9" s="138">
        <v>75</v>
      </c>
      <c r="L9" s="138">
        <v>9000</v>
      </c>
    </row>
    <row r="10" spans="1:12" x14ac:dyDescent="0.25">
      <c r="A10" s="1">
        <v>40</v>
      </c>
      <c r="B10" s="1">
        <v>11</v>
      </c>
      <c r="C10" s="232" t="s">
        <v>3472</v>
      </c>
      <c r="D10" s="232" t="s">
        <v>2552</v>
      </c>
      <c r="E10" s="1" t="s">
        <v>3558</v>
      </c>
      <c r="F10" s="232" t="s">
        <v>2568</v>
      </c>
      <c r="G10" s="1" t="s">
        <v>3516</v>
      </c>
      <c r="H10" s="232" t="s">
        <v>2663</v>
      </c>
      <c r="I10" s="233" t="s">
        <v>2664</v>
      </c>
      <c r="J10" s="14">
        <v>80</v>
      </c>
      <c r="K10" s="138">
        <v>75</v>
      </c>
      <c r="L10" s="138">
        <v>6000</v>
      </c>
    </row>
    <row r="11" spans="1:12" x14ac:dyDescent="0.25">
      <c r="A11" s="1">
        <v>80</v>
      </c>
      <c r="B11" s="1">
        <v>26</v>
      </c>
      <c r="C11" s="232" t="s">
        <v>3472</v>
      </c>
      <c r="D11" s="232" t="s">
        <v>2552</v>
      </c>
      <c r="E11" s="1" t="s">
        <v>3558</v>
      </c>
      <c r="F11" s="232" t="s">
        <v>2568</v>
      </c>
      <c r="G11" s="1" t="s">
        <v>3516</v>
      </c>
      <c r="H11" s="232" t="s">
        <v>2743</v>
      </c>
      <c r="I11" s="233" t="s">
        <v>2744</v>
      </c>
      <c r="J11" s="14">
        <v>1</v>
      </c>
      <c r="K11" s="138">
        <v>75</v>
      </c>
      <c r="L11" s="138">
        <v>75</v>
      </c>
    </row>
    <row r="12" spans="1:12" x14ac:dyDescent="0.25">
      <c r="A12" s="1">
        <v>4</v>
      </c>
      <c r="B12" s="1">
        <v>1</v>
      </c>
      <c r="C12" s="232" t="s">
        <v>3473</v>
      </c>
      <c r="D12" s="232" t="s">
        <v>2552</v>
      </c>
      <c r="E12" s="1" t="s">
        <v>3558</v>
      </c>
      <c r="F12" s="232" t="s">
        <v>2571</v>
      </c>
      <c r="G12" s="1" t="s">
        <v>3518</v>
      </c>
      <c r="H12" s="232" t="s">
        <v>2572</v>
      </c>
      <c r="I12" s="233" t="s">
        <v>2573</v>
      </c>
      <c r="J12" s="14">
        <v>50</v>
      </c>
      <c r="K12" s="138">
        <v>5</v>
      </c>
      <c r="L12" s="138">
        <v>250</v>
      </c>
    </row>
    <row r="13" spans="1:12" x14ac:dyDescent="0.25">
      <c r="A13" s="1">
        <v>37</v>
      </c>
      <c r="B13" s="1">
        <v>11</v>
      </c>
      <c r="C13" s="232" t="s">
        <v>3473</v>
      </c>
      <c r="D13" s="232" t="s">
        <v>2552</v>
      </c>
      <c r="E13" s="1" t="s">
        <v>3558</v>
      </c>
      <c r="F13" s="232" t="s">
        <v>2571</v>
      </c>
      <c r="G13" s="1" t="s">
        <v>3518</v>
      </c>
      <c r="H13" s="232" t="s">
        <v>2657</v>
      </c>
      <c r="I13" s="233" t="s">
        <v>2658</v>
      </c>
      <c r="J13" s="14">
        <v>2</v>
      </c>
      <c r="K13" s="138">
        <v>5</v>
      </c>
      <c r="L13" s="138">
        <v>10</v>
      </c>
    </row>
    <row r="14" spans="1:12" x14ac:dyDescent="0.25">
      <c r="A14" s="1">
        <v>65</v>
      </c>
      <c r="B14" s="1">
        <v>23</v>
      </c>
      <c r="C14" s="232" t="s">
        <v>3473</v>
      </c>
      <c r="D14" s="232" t="s">
        <v>2552</v>
      </c>
      <c r="E14" s="1" t="s">
        <v>3558</v>
      </c>
      <c r="F14" s="232" t="s">
        <v>2571</v>
      </c>
      <c r="G14" s="1" t="s">
        <v>3518</v>
      </c>
      <c r="H14" s="232" t="s">
        <v>2714</v>
      </c>
      <c r="I14" s="233" t="s">
        <v>2715</v>
      </c>
      <c r="J14" s="14">
        <v>60</v>
      </c>
      <c r="K14" s="138">
        <v>5</v>
      </c>
      <c r="L14" s="138">
        <v>300</v>
      </c>
    </row>
    <row r="15" spans="1:12" x14ac:dyDescent="0.25">
      <c r="A15" s="1">
        <v>82</v>
      </c>
      <c r="B15" s="1">
        <v>26</v>
      </c>
      <c r="C15" s="232" t="s">
        <v>3473</v>
      </c>
      <c r="D15" s="232" t="s">
        <v>2552</v>
      </c>
      <c r="E15" s="1" t="s">
        <v>3558</v>
      </c>
      <c r="F15" s="232" t="s">
        <v>2571</v>
      </c>
      <c r="G15" s="1" t="s">
        <v>3518</v>
      </c>
      <c r="H15" s="232" t="s">
        <v>2748</v>
      </c>
      <c r="I15" s="233" t="s">
        <v>2749</v>
      </c>
      <c r="J15" s="14">
        <v>1</v>
      </c>
      <c r="K15" s="138">
        <v>5</v>
      </c>
      <c r="L15" s="138">
        <v>5</v>
      </c>
    </row>
    <row r="16" spans="1:12" x14ac:dyDescent="0.25">
      <c r="A16" s="1">
        <v>5</v>
      </c>
      <c r="B16" s="1">
        <v>1</v>
      </c>
      <c r="C16" s="232" t="s">
        <v>3474</v>
      </c>
      <c r="D16" s="232" t="s">
        <v>2552</v>
      </c>
      <c r="E16" s="1" t="s">
        <v>3558</v>
      </c>
      <c r="F16" s="232" t="s">
        <v>2574</v>
      </c>
      <c r="G16" s="1" t="s">
        <v>3521</v>
      </c>
      <c r="H16" s="232" t="s">
        <v>2575</v>
      </c>
      <c r="I16" s="233" t="s">
        <v>2576</v>
      </c>
      <c r="J16" s="14">
        <v>3</v>
      </c>
      <c r="K16" s="138">
        <v>77</v>
      </c>
      <c r="L16" s="138">
        <v>231</v>
      </c>
    </row>
    <row r="17" spans="1:12" x14ac:dyDescent="0.25">
      <c r="A17" s="1">
        <v>22</v>
      </c>
      <c r="B17" s="1">
        <v>6</v>
      </c>
      <c r="C17" s="232" t="s">
        <v>3474</v>
      </c>
      <c r="D17" s="232" t="s">
        <v>2552</v>
      </c>
      <c r="E17" s="1" t="s">
        <v>3558</v>
      </c>
      <c r="F17" s="232" t="s">
        <v>2574</v>
      </c>
      <c r="G17" s="1" t="s">
        <v>3521</v>
      </c>
      <c r="H17" s="232" t="s">
        <v>2624</v>
      </c>
      <c r="I17" s="233" t="s">
        <v>2625</v>
      </c>
      <c r="J17" s="14">
        <v>4</v>
      </c>
      <c r="K17" s="138">
        <v>77</v>
      </c>
      <c r="L17" s="138">
        <v>308</v>
      </c>
    </row>
    <row r="18" spans="1:12" x14ac:dyDescent="0.25">
      <c r="A18" s="1">
        <v>38</v>
      </c>
      <c r="B18" s="1">
        <v>11</v>
      </c>
      <c r="C18" s="232" t="s">
        <v>3474</v>
      </c>
      <c r="D18" s="232" t="s">
        <v>2552</v>
      </c>
      <c r="E18" s="1" t="s">
        <v>3558</v>
      </c>
      <c r="F18" s="232" t="s">
        <v>2574</v>
      </c>
      <c r="G18" s="1" t="s">
        <v>3521</v>
      </c>
      <c r="H18" s="232" t="s">
        <v>2659</v>
      </c>
      <c r="I18" s="233" t="s">
        <v>2660</v>
      </c>
      <c r="J18" s="14">
        <v>4</v>
      </c>
      <c r="K18" s="138">
        <v>77</v>
      </c>
      <c r="L18" s="138">
        <v>308</v>
      </c>
    </row>
    <row r="19" spans="1:12" x14ac:dyDescent="0.25">
      <c r="A19" s="1">
        <v>48</v>
      </c>
      <c r="B19" s="1">
        <v>15</v>
      </c>
      <c r="C19" s="232" t="s">
        <v>3474</v>
      </c>
      <c r="D19" s="232" t="s">
        <v>2552</v>
      </c>
      <c r="E19" s="1" t="s">
        <v>3558</v>
      </c>
      <c r="F19" s="232" t="s">
        <v>2574</v>
      </c>
      <c r="G19" s="1" t="s">
        <v>3521</v>
      </c>
      <c r="H19" s="232" t="s">
        <v>2679</v>
      </c>
      <c r="I19" s="233" t="s">
        <v>2680</v>
      </c>
      <c r="J19" s="14">
        <v>3</v>
      </c>
      <c r="K19" s="138">
        <v>77</v>
      </c>
      <c r="L19" s="138">
        <v>231</v>
      </c>
    </row>
    <row r="20" spans="1:12" x14ac:dyDescent="0.25">
      <c r="A20" s="1">
        <v>55</v>
      </c>
      <c r="B20" s="1">
        <v>18</v>
      </c>
      <c r="C20" s="232" t="s">
        <v>3474</v>
      </c>
      <c r="D20" s="232" t="s">
        <v>2552</v>
      </c>
      <c r="E20" s="1" t="s">
        <v>3558</v>
      </c>
      <c r="F20" s="232" t="s">
        <v>2574</v>
      </c>
      <c r="G20" s="1" t="s">
        <v>3521</v>
      </c>
      <c r="H20" s="232" t="s">
        <v>2694</v>
      </c>
      <c r="I20" s="233" t="s">
        <v>2695</v>
      </c>
      <c r="J20" s="14">
        <v>3</v>
      </c>
      <c r="K20" s="138">
        <v>77</v>
      </c>
      <c r="L20" s="138">
        <v>231</v>
      </c>
    </row>
    <row r="21" spans="1:12" x14ac:dyDescent="0.25">
      <c r="A21" s="1">
        <v>67</v>
      </c>
      <c r="B21" s="1">
        <v>23</v>
      </c>
      <c r="C21" s="232" t="s">
        <v>3474</v>
      </c>
      <c r="D21" s="232" t="s">
        <v>2552</v>
      </c>
      <c r="E21" s="1" t="s">
        <v>3558</v>
      </c>
      <c r="F21" s="232" t="s">
        <v>2574</v>
      </c>
      <c r="G21" s="1" t="s">
        <v>3521</v>
      </c>
      <c r="H21" s="232" t="s">
        <v>2718</v>
      </c>
      <c r="I21" s="233" t="s">
        <v>2719</v>
      </c>
      <c r="J21" s="14">
        <v>5</v>
      </c>
      <c r="K21" s="138">
        <v>77</v>
      </c>
      <c r="L21" s="138">
        <v>385</v>
      </c>
    </row>
    <row r="22" spans="1:12" x14ac:dyDescent="0.25">
      <c r="A22" s="1">
        <v>85</v>
      </c>
      <c r="B22" s="1">
        <v>26</v>
      </c>
      <c r="C22" s="232" t="s">
        <v>3474</v>
      </c>
      <c r="D22" s="232" t="s">
        <v>2552</v>
      </c>
      <c r="E22" s="1" t="s">
        <v>3558</v>
      </c>
      <c r="F22" s="232" t="s">
        <v>2574</v>
      </c>
      <c r="G22" s="1" t="s">
        <v>3521</v>
      </c>
      <c r="H22" s="232" t="s">
        <v>2756</v>
      </c>
      <c r="I22" s="233" t="s">
        <v>2757</v>
      </c>
      <c r="J22" s="14">
        <v>1</v>
      </c>
      <c r="K22" s="138">
        <v>77</v>
      </c>
      <c r="L22" s="138">
        <v>77</v>
      </c>
    </row>
    <row r="23" spans="1:12" x14ac:dyDescent="0.25">
      <c r="A23" s="1">
        <v>81</v>
      </c>
      <c r="B23" s="1">
        <v>26</v>
      </c>
      <c r="C23" s="232" t="s">
        <v>3495</v>
      </c>
      <c r="D23" s="232" t="s">
        <v>2552</v>
      </c>
      <c r="E23" s="1" t="s">
        <v>3558</v>
      </c>
      <c r="F23" s="232" t="s">
        <v>2745</v>
      </c>
      <c r="G23" s="1" t="s">
        <v>3517</v>
      </c>
      <c r="H23" s="232" t="s">
        <v>2746</v>
      </c>
      <c r="I23" s="233" t="s">
        <v>2747</v>
      </c>
      <c r="J23" s="14">
        <v>1</v>
      </c>
      <c r="K23" s="138">
        <v>148</v>
      </c>
      <c r="L23" s="138">
        <v>148</v>
      </c>
    </row>
    <row r="24" spans="1:12" x14ac:dyDescent="0.25">
      <c r="A24" s="1">
        <v>6</v>
      </c>
      <c r="B24" s="1">
        <v>1</v>
      </c>
      <c r="C24" s="232" t="s">
        <v>3475</v>
      </c>
      <c r="D24" s="232" t="s">
        <v>2552</v>
      </c>
      <c r="E24" s="1" t="s">
        <v>3558</v>
      </c>
      <c r="F24" s="232" t="s">
        <v>2577</v>
      </c>
      <c r="G24" s="1" t="s">
        <v>3523</v>
      </c>
      <c r="H24" s="232" t="s">
        <v>2578</v>
      </c>
      <c r="I24" s="233" t="s">
        <v>2579</v>
      </c>
      <c r="J24" s="14">
        <v>6</v>
      </c>
      <c r="K24" s="138">
        <v>42</v>
      </c>
      <c r="L24" s="138">
        <v>252</v>
      </c>
    </row>
    <row r="25" spans="1:12" x14ac:dyDescent="0.25">
      <c r="A25" s="1">
        <v>23</v>
      </c>
      <c r="B25" s="1">
        <v>6</v>
      </c>
      <c r="C25" s="232" t="s">
        <v>3475</v>
      </c>
      <c r="D25" s="232" t="s">
        <v>2552</v>
      </c>
      <c r="E25" s="1" t="s">
        <v>3558</v>
      </c>
      <c r="F25" s="232" t="s">
        <v>2577</v>
      </c>
      <c r="G25" s="1" t="s">
        <v>3523</v>
      </c>
      <c r="H25" s="232" t="s">
        <v>2626</v>
      </c>
      <c r="I25" s="233" t="s">
        <v>2627</v>
      </c>
      <c r="J25" s="14">
        <v>7</v>
      </c>
      <c r="K25" s="138">
        <v>42</v>
      </c>
      <c r="L25" s="138">
        <v>294</v>
      </c>
    </row>
    <row r="26" spans="1:12" x14ac:dyDescent="0.25">
      <c r="A26" s="1">
        <v>39</v>
      </c>
      <c r="B26" s="1">
        <v>11</v>
      </c>
      <c r="C26" s="232" t="s">
        <v>3475</v>
      </c>
      <c r="D26" s="232" t="s">
        <v>2552</v>
      </c>
      <c r="E26" s="1" t="s">
        <v>3558</v>
      </c>
      <c r="F26" s="232" t="s">
        <v>2577</v>
      </c>
      <c r="G26" s="1" t="s">
        <v>3523</v>
      </c>
      <c r="H26" s="232" t="s">
        <v>2661</v>
      </c>
      <c r="I26" s="233" t="s">
        <v>2662</v>
      </c>
      <c r="J26" s="14">
        <v>6</v>
      </c>
      <c r="K26" s="138">
        <v>42</v>
      </c>
      <c r="L26" s="138">
        <v>252</v>
      </c>
    </row>
    <row r="27" spans="1:12" x14ac:dyDescent="0.25">
      <c r="A27" s="1">
        <v>49</v>
      </c>
      <c r="B27" s="1">
        <v>15</v>
      </c>
      <c r="C27" s="232" t="s">
        <v>3475</v>
      </c>
      <c r="D27" s="232" t="s">
        <v>2552</v>
      </c>
      <c r="E27" s="1" t="s">
        <v>3558</v>
      </c>
      <c r="F27" s="232" t="s">
        <v>2577</v>
      </c>
      <c r="G27" s="1" t="s">
        <v>3523</v>
      </c>
      <c r="H27" s="232" t="s">
        <v>2681</v>
      </c>
      <c r="I27" s="233" t="s">
        <v>2682</v>
      </c>
      <c r="J27" s="14">
        <v>5</v>
      </c>
      <c r="K27" s="138">
        <v>42</v>
      </c>
      <c r="L27" s="138">
        <v>210</v>
      </c>
    </row>
    <row r="28" spans="1:12" x14ac:dyDescent="0.25">
      <c r="A28" s="1">
        <v>56</v>
      </c>
      <c r="B28" s="1">
        <v>18</v>
      </c>
      <c r="C28" s="232" t="s">
        <v>3475</v>
      </c>
      <c r="D28" s="232" t="s">
        <v>2552</v>
      </c>
      <c r="E28" s="1" t="s">
        <v>3558</v>
      </c>
      <c r="F28" s="232" t="s">
        <v>2577</v>
      </c>
      <c r="G28" s="1" t="s">
        <v>3523</v>
      </c>
      <c r="H28" s="232" t="s">
        <v>2696</v>
      </c>
      <c r="I28" s="233" t="s">
        <v>2697</v>
      </c>
      <c r="J28" s="14">
        <v>6</v>
      </c>
      <c r="K28" s="138">
        <v>42</v>
      </c>
      <c r="L28" s="138">
        <v>252</v>
      </c>
    </row>
    <row r="29" spans="1:12" x14ac:dyDescent="0.25">
      <c r="A29" s="1">
        <v>66</v>
      </c>
      <c r="B29" s="1">
        <v>23</v>
      </c>
      <c r="C29" s="232" t="s">
        <v>3475</v>
      </c>
      <c r="D29" s="232" t="s">
        <v>2552</v>
      </c>
      <c r="E29" s="1" t="s">
        <v>3558</v>
      </c>
      <c r="F29" s="232" t="s">
        <v>2577</v>
      </c>
      <c r="G29" s="1" t="s">
        <v>3523</v>
      </c>
      <c r="H29" s="232" t="s">
        <v>2716</v>
      </c>
      <c r="I29" s="233" t="s">
        <v>2717</v>
      </c>
      <c r="J29" s="14">
        <v>3</v>
      </c>
      <c r="K29" s="138">
        <v>42</v>
      </c>
      <c r="L29" s="138">
        <v>126</v>
      </c>
    </row>
    <row r="30" spans="1:12" x14ac:dyDescent="0.25">
      <c r="A30" s="1">
        <v>87</v>
      </c>
      <c r="B30" s="1">
        <v>26</v>
      </c>
      <c r="C30" s="232" t="s">
        <v>3475</v>
      </c>
      <c r="D30" s="232" t="s">
        <v>2552</v>
      </c>
      <c r="E30" s="1" t="s">
        <v>3558</v>
      </c>
      <c r="F30" s="232" t="s">
        <v>2577</v>
      </c>
      <c r="G30" s="1" t="s">
        <v>3523</v>
      </c>
      <c r="H30" s="232" t="s">
        <v>2761</v>
      </c>
      <c r="I30" s="233" t="s">
        <v>2762</v>
      </c>
      <c r="J30" s="14">
        <v>1</v>
      </c>
      <c r="K30" s="138">
        <v>42</v>
      </c>
      <c r="L30" s="138">
        <v>42</v>
      </c>
    </row>
    <row r="31" spans="1:12" x14ac:dyDescent="0.25">
      <c r="A31" s="1">
        <v>7</v>
      </c>
      <c r="B31" s="1">
        <v>1</v>
      </c>
      <c r="C31" s="232" t="s">
        <v>3476</v>
      </c>
      <c r="D31" s="232" t="s">
        <v>2552</v>
      </c>
      <c r="E31" s="1" t="s">
        <v>3558</v>
      </c>
      <c r="F31" s="232" t="s">
        <v>2580</v>
      </c>
      <c r="G31" s="1" t="s">
        <v>3524</v>
      </c>
      <c r="H31" s="232" t="s">
        <v>2581</v>
      </c>
      <c r="I31" s="233" t="s">
        <v>2582</v>
      </c>
      <c r="J31" s="14">
        <v>100</v>
      </c>
      <c r="K31" s="138">
        <v>6</v>
      </c>
      <c r="L31" s="138">
        <v>600</v>
      </c>
    </row>
    <row r="32" spans="1:12" x14ac:dyDescent="0.25">
      <c r="A32" s="1">
        <v>83</v>
      </c>
      <c r="B32" s="1">
        <v>26</v>
      </c>
      <c r="C32" s="232" t="s">
        <v>3496</v>
      </c>
      <c r="D32" s="232" t="s">
        <v>2552</v>
      </c>
      <c r="E32" s="1" t="s">
        <v>3558</v>
      </c>
      <c r="F32" s="232" t="s">
        <v>2750</v>
      </c>
      <c r="G32" s="1" t="s">
        <v>3519</v>
      </c>
      <c r="H32" s="232" t="s">
        <v>2751</v>
      </c>
      <c r="I32" s="233" t="s">
        <v>2752</v>
      </c>
      <c r="J32" s="14">
        <v>1</v>
      </c>
      <c r="K32" s="138">
        <v>25</v>
      </c>
      <c r="L32" s="138">
        <v>25</v>
      </c>
    </row>
    <row r="33" spans="1:12" x14ac:dyDescent="0.25">
      <c r="A33" s="1">
        <v>8</v>
      </c>
      <c r="B33" s="1">
        <v>2</v>
      </c>
      <c r="C33" s="232" t="s">
        <v>3477</v>
      </c>
      <c r="D33" s="232" t="s">
        <v>2553</v>
      </c>
      <c r="E33" s="1" t="s">
        <v>3559</v>
      </c>
      <c r="F33" s="232" t="s">
        <v>2583</v>
      </c>
      <c r="G33" s="1" t="s">
        <v>3527</v>
      </c>
      <c r="H33" s="232" t="s">
        <v>2584</v>
      </c>
      <c r="I33" s="233" t="s">
        <v>2585</v>
      </c>
      <c r="J33" s="14">
        <v>2</v>
      </c>
      <c r="K33" s="138">
        <v>20</v>
      </c>
      <c r="L33" s="138">
        <v>40</v>
      </c>
    </row>
    <row r="34" spans="1:12" x14ac:dyDescent="0.25">
      <c r="A34" s="1">
        <v>29</v>
      </c>
      <c r="B34" s="1">
        <v>7</v>
      </c>
      <c r="C34" s="232" t="s">
        <v>3477</v>
      </c>
      <c r="D34" s="232" t="s">
        <v>2553</v>
      </c>
      <c r="E34" s="1" t="s">
        <v>3559</v>
      </c>
      <c r="F34" s="232" t="s">
        <v>2583</v>
      </c>
      <c r="G34" s="1" t="s">
        <v>3527</v>
      </c>
      <c r="H34" s="232" t="s">
        <v>2641</v>
      </c>
      <c r="I34" s="233" t="s">
        <v>2642</v>
      </c>
      <c r="J34" s="14">
        <v>4</v>
      </c>
      <c r="K34" s="138">
        <v>20</v>
      </c>
      <c r="L34" s="138">
        <v>80</v>
      </c>
    </row>
    <row r="35" spans="1:12" x14ac:dyDescent="0.25">
      <c r="A35" s="1">
        <v>52</v>
      </c>
      <c r="B35" s="1">
        <v>17</v>
      </c>
      <c r="C35" s="232" t="s">
        <v>3477</v>
      </c>
      <c r="D35" s="232" t="s">
        <v>2553</v>
      </c>
      <c r="E35" s="1" t="s">
        <v>3559</v>
      </c>
      <c r="F35" s="232" t="s">
        <v>2583</v>
      </c>
      <c r="G35" s="1" t="s">
        <v>3527</v>
      </c>
      <c r="H35" s="232" t="s">
        <v>2687</v>
      </c>
      <c r="I35" s="233" t="s">
        <v>2688</v>
      </c>
      <c r="J35" s="14">
        <v>4</v>
      </c>
      <c r="K35" s="138">
        <v>20</v>
      </c>
      <c r="L35" s="138">
        <v>80</v>
      </c>
    </row>
    <row r="36" spans="1:12" x14ac:dyDescent="0.25">
      <c r="A36" s="1">
        <v>61</v>
      </c>
      <c r="B36" s="1">
        <v>21</v>
      </c>
      <c r="C36" s="232" t="s">
        <v>3477</v>
      </c>
      <c r="D36" s="232" t="s">
        <v>2553</v>
      </c>
      <c r="E36" s="1" t="s">
        <v>3559</v>
      </c>
      <c r="F36" s="232" t="s">
        <v>2583</v>
      </c>
      <c r="G36" s="1" t="s">
        <v>3527</v>
      </c>
      <c r="H36" s="232" t="s">
        <v>2706</v>
      </c>
      <c r="I36" s="233" t="s">
        <v>2707</v>
      </c>
      <c r="J36" s="14">
        <v>4</v>
      </c>
      <c r="K36" s="138">
        <v>20</v>
      </c>
      <c r="L36" s="138">
        <v>80</v>
      </c>
    </row>
    <row r="37" spans="1:12" x14ac:dyDescent="0.25">
      <c r="A37" s="1">
        <v>71</v>
      </c>
      <c r="B37" s="1">
        <v>25</v>
      </c>
      <c r="C37" s="232" t="s">
        <v>3477</v>
      </c>
      <c r="D37" s="232" t="s">
        <v>2553</v>
      </c>
      <c r="E37" s="1" t="s">
        <v>3559</v>
      </c>
      <c r="F37" s="232" t="s">
        <v>2583</v>
      </c>
      <c r="G37" s="1" t="s">
        <v>3527</v>
      </c>
      <c r="H37" s="232" t="s">
        <v>2726</v>
      </c>
      <c r="I37" s="233" t="s">
        <v>2727</v>
      </c>
      <c r="J37" s="14">
        <v>4</v>
      </c>
      <c r="K37" s="138">
        <v>20</v>
      </c>
      <c r="L37" s="138">
        <v>80</v>
      </c>
    </row>
    <row r="38" spans="1:12" x14ac:dyDescent="0.25">
      <c r="A38" s="1">
        <v>84</v>
      </c>
      <c r="B38" s="1">
        <v>26</v>
      </c>
      <c r="C38" s="232" t="s">
        <v>3497</v>
      </c>
      <c r="D38" s="232" t="s">
        <v>2552</v>
      </c>
      <c r="E38" s="1" t="s">
        <v>3558</v>
      </c>
      <c r="F38" s="232" t="s">
        <v>2753</v>
      </c>
      <c r="G38" s="1" t="s">
        <v>3520</v>
      </c>
      <c r="H38" s="232" t="s">
        <v>2754</v>
      </c>
      <c r="I38" s="233" t="s">
        <v>2755</v>
      </c>
      <c r="J38" s="14">
        <v>1</v>
      </c>
      <c r="K38" s="138">
        <v>10</v>
      </c>
      <c r="L38" s="138">
        <v>10</v>
      </c>
    </row>
    <row r="39" spans="1:12" x14ac:dyDescent="0.25">
      <c r="A39" s="1">
        <v>9</v>
      </c>
      <c r="B39" s="1">
        <v>2</v>
      </c>
      <c r="C39" s="232" t="s">
        <v>3478</v>
      </c>
      <c r="D39" s="232" t="s">
        <v>2553</v>
      </c>
      <c r="E39" s="1" t="s">
        <v>3559</v>
      </c>
      <c r="F39" s="232" t="s">
        <v>2586</v>
      </c>
      <c r="G39" s="1" t="s">
        <v>3528</v>
      </c>
      <c r="H39" s="232" t="s">
        <v>2587</v>
      </c>
      <c r="I39" s="233" t="s">
        <v>2588</v>
      </c>
      <c r="J39" s="14">
        <v>120</v>
      </c>
      <c r="K39" s="138">
        <v>18</v>
      </c>
      <c r="L39" s="138">
        <v>2160</v>
      </c>
    </row>
    <row r="40" spans="1:12" x14ac:dyDescent="0.25">
      <c r="A40" s="1">
        <v>26</v>
      </c>
      <c r="B40" s="1">
        <v>7</v>
      </c>
      <c r="C40" s="232" t="s">
        <v>3478</v>
      </c>
      <c r="D40" s="232" t="s">
        <v>2553</v>
      </c>
      <c r="E40" s="1" t="s">
        <v>3559</v>
      </c>
      <c r="F40" s="232" t="s">
        <v>2586</v>
      </c>
      <c r="G40" s="1" t="s">
        <v>3528</v>
      </c>
      <c r="H40" s="232" t="s">
        <v>2633</v>
      </c>
      <c r="I40" s="233" t="s">
        <v>2634</v>
      </c>
      <c r="J40" s="14">
        <v>60</v>
      </c>
      <c r="K40" s="138">
        <v>18</v>
      </c>
      <c r="L40" s="138">
        <v>1080</v>
      </c>
    </row>
    <row r="41" spans="1:12" x14ac:dyDescent="0.25">
      <c r="A41" s="1">
        <v>45</v>
      </c>
      <c r="B41" s="1">
        <v>14</v>
      </c>
      <c r="C41" s="232" t="s">
        <v>3478</v>
      </c>
      <c r="D41" s="232" t="s">
        <v>2553</v>
      </c>
      <c r="E41" s="1" t="s">
        <v>3559</v>
      </c>
      <c r="F41" s="232" t="s">
        <v>2586</v>
      </c>
      <c r="G41" s="1" t="s">
        <v>3528</v>
      </c>
      <c r="H41" s="232" t="s">
        <v>2673</v>
      </c>
      <c r="I41" s="233" t="s">
        <v>2674</v>
      </c>
      <c r="J41" s="14">
        <v>60</v>
      </c>
      <c r="K41" s="138">
        <v>18</v>
      </c>
      <c r="L41" s="138">
        <v>1080</v>
      </c>
    </row>
    <row r="42" spans="1:12" x14ac:dyDescent="0.25">
      <c r="A42" s="1">
        <v>72</v>
      </c>
      <c r="B42" s="1">
        <v>25</v>
      </c>
      <c r="C42" s="232" t="s">
        <v>3478</v>
      </c>
      <c r="D42" s="232" t="s">
        <v>2553</v>
      </c>
      <c r="E42" s="1" t="s">
        <v>3559</v>
      </c>
      <c r="F42" s="232" t="s">
        <v>2586</v>
      </c>
      <c r="G42" s="1" t="s">
        <v>3528</v>
      </c>
      <c r="H42" s="232" t="s">
        <v>2728</v>
      </c>
      <c r="I42" s="233" t="s">
        <v>2729</v>
      </c>
      <c r="J42" s="14">
        <v>55</v>
      </c>
      <c r="K42" s="138">
        <v>18</v>
      </c>
      <c r="L42" s="138">
        <v>990</v>
      </c>
    </row>
    <row r="43" spans="1:12" x14ac:dyDescent="0.25">
      <c r="A43" s="1">
        <v>10</v>
      </c>
      <c r="B43" s="1">
        <v>2</v>
      </c>
      <c r="C43" s="232" t="s">
        <v>3479</v>
      </c>
      <c r="D43" s="232" t="s">
        <v>2553</v>
      </c>
      <c r="E43" s="1" t="s">
        <v>3559</v>
      </c>
      <c r="F43" s="232" t="s">
        <v>2589</v>
      </c>
      <c r="G43" s="1" t="s">
        <v>3530</v>
      </c>
      <c r="H43" s="232" t="s">
        <v>2590</v>
      </c>
      <c r="I43" s="233" t="s">
        <v>2591</v>
      </c>
      <c r="J43" s="14">
        <v>5</v>
      </c>
      <c r="K43" s="138">
        <v>70</v>
      </c>
      <c r="L43" s="138">
        <v>350</v>
      </c>
    </row>
    <row r="44" spans="1:12" x14ac:dyDescent="0.25">
      <c r="A44" s="1">
        <v>24</v>
      </c>
      <c r="B44" s="1">
        <v>7</v>
      </c>
      <c r="C44" s="232" t="s">
        <v>3479</v>
      </c>
      <c r="D44" s="232" t="s">
        <v>2553</v>
      </c>
      <c r="E44" s="1" t="s">
        <v>3559</v>
      </c>
      <c r="F44" s="232" t="s">
        <v>2589</v>
      </c>
      <c r="G44" s="1" t="s">
        <v>3530</v>
      </c>
      <c r="H44" s="232" t="s">
        <v>2628</v>
      </c>
      <c r="I44" s="233" t="s">
        <v>2629</v>
      </c>
      <c r="J44" s="14">
        <v>1</v>
      </c>
      <c r="K44" s="138">
        <v>70</v>
      </c>
      <c r="L44" s="138">
        <v>70</v>
      </c>
    </row>
    <row r="45" spans="1:12" x14ac:dyDescent="0.25">
      <c r="A45" s="1">
        <v>46</v>
      </c>
      <c r="B45" s="1">
        <v>14</v>
      </c>
      <c r="C45" s="232" t="s">
        <v>3479</v>
      </c>
      <c r="D45" s="232" t="s">
        <v>2553</v>
      </c>
      <c r="E45" s="1" t="s">
        <v>3559</v>
      </c>
      <c r="F45" s="232" t="s">
        <v>2589</v>
      </c>
      <c r="G45" s="1" t="s">
        <v>3530</v>
      </c>
      <c r="H45" s="232" t="s">
        <v>2675</v>
      </c>
      <c r="I45" s="233" t="s">
        <v>2676</v>
      </c>
      <c r="J45" s="14">
        <v>1</v>
      </c>
      <c r="K45" s="138">
        <v>70</v>
      </c>
      <c r="L45" s="138">
        <v>70</v>
      </c>
    </row>
    <row r="46" spans="1:12" x14ac:dyDescent="0.25">
      <c r="A46" s="1">
        <v>73</v>
      </c>
      <c r="B46" s="1">
        <v>25</v>
      </c>
      <c r="C46" s="232" t="s">
        <v>3479</v>
      </c>
      <c r="D46" s="232" t="s">
        <v>2553</v>
      </c>
      <c r="E46" s="1" t="s">
        <v>3559</v>
      </c>
      <c r="F46" s="232" t="s">
        <v>2589</v>
      </c>
      <c r="G46" s="1" t="s">
        <v>3530</v>
      </c>
      <c r="H46" s="232" t="s">
        <v>2730</v>
      </c>
      <c r="I46" s="233" t="s">
        <v>2731</v>
      </c>
      <c r="J46" s="14">
        <v>1</v>
      </c>
      <c r="K46" s="138">
        <v>70</v>
      </c>
      <c r="L46" s="138">
        <v>70</v>
      </c>
    </row>
    <row r="47" spans="1:12" x14ac:dyDescent="0.25">
      <c r="A47" s="1">
        <v>86</v>
      </c>
      <c r="B47" s="1">
        <v>26</v>
      </c>
      <c r="C47" s="232" t="s">
        <v>3498</v>
      </c>
      <c r="D47" s="232" t="s">
        <v>2552</v>
      </c>
      <c r="E47" s="1" t="s">
        <v>3558</v>
      </c>
      <c r="F47" s="232" t="s">
        <v>2758</v>
      </c>
      <c r="G47" s="1" t="s">
        <v>3522</v>
      </c>
      <c r="H47" s="232" t="s">
        <v>2759</v>
      </c>
      <c r="I47" s="233" t="s">
        <v>2760</v>
      </c>
      <c r="J47" s="14">
        <v>1</v>
      </c>
      <c r="K47" s="138">
        <v>1.6</v>
      </c>
      <c r="L47" s="138">
        <v>1.6</v>
      </c>
    </row>
    <row r="48" spans="1:12" x14ac:dyDescent="0.25">
      <c r="A48" s="1">
        <v>11</v>
      </c>
      <c r="B48" s="1">
        <v>2</v>
      </c>
      <c r="C48" s="232" t="s">
        <v>3480</v>
      </c>
      <c r="D48" s="232" t="s">
        <v>2553</v>
      </c>
      <c r="E48" s="1" t="s">
        <v>3559</v>
      </c>
      <c r="F48" s="232" t="s">
        <v>2592</v>
      </c>
      <c r="G48" s="1" t="s">
        <v>3533</v>
      </c>
      <c r="H48" s="232" t="s">
        <v>2593</v>
      </c>
      <c r="I48" s="233" t="s">
        <v>2594</v>
      </c>
      <c r="J48" s="14">
        <v>2</v>
      </c>
      <c r="K48" s="138">
        <v>7</v>
      </c>
      <c r="L48" s="138">
        <v>14</v>
      </c>
    </row>
    <row r="49" spans="1:12" x14ac:dyDescent="0.25">
      <c r="A49" s="1">
        <v>30</v>
      </c>
      <c r="B49" s="1">
        <v>7</v>
      </c>
      <c r="C49" s="232" t="s">
        <v>3480</v>
      </c>
      <c r="D49" s="232" t="s">
        <v>2553</v>
      </c>
      <c r="E49" s="1" t="s">
        <v>3559</v>
      </c>
      <c r="F49" s="232" t="s">
        <v>2592</v>
      </c>
      <c r="G49" s="1" t="s">
        <v>3533</v>
      </c>
      <c r="H49" s="232" t="s">
        <v>2643</v>
      </c>
      <c r="I49" s="233" t="s">
        <v>2644</v>
      </c>
      <c r="J49" s="14">
        <v>3</v>
      </c>
      <c r="K49" s="138">
        <v>7</v>
      </c>
      <c r="L49" s="138">
        <v>21</v>
      </c>
    </row>
    <row r="50" spans="1:12" x14ac:dyDescent="0.25">
      <c r="A50" s="1">
        <v>47</v>
      </c>
      <c r="B50" s="1">
        <v>14</v>
      </c>
      <c r="C50" s="232" t="s">
        <v>3480</v>
      </c>
      <c r="D50" s="232" t="s">
        <v>2553</v>
      </c>
      <c r="E50" s="1" t="s">
        <v>3559</v>
      </c>
      <c r="F50" s="232" t="s">
        <v>2592</v>
      </c>
      <c r="G50" s="1" t="s">
        <v>3533</v>
      </c>
      <c r="H50" s="232" t="s">
        <v>2677</v>
      </c>
      <c r="I50" s="233" t="s">
        <v>2678</v>
      </c>
      <c r="J50" s="14">
        <v>3</v>
      </c>
      <c r="K50" s="138">
        <v>7</v>
      </c>
      <c r="L50" s="138">
        <v>21</v>
      </c>
    </row>
    <row r="51" spans="1:12" x14ac:dyDescent="0.25">
      <c r="A51" s="1">
        <v>54</v>
      </c>
      <c r="B51" s="1">
        <v>17</v>
      </c>
      <c r="C51" s="232" t="s">
        <v>3480</v>
      </c>
      <c r="D51" s="232" t="s">
        <v>2553</v>
      </c>
      <c r="E51" s="1" t="s">
        <v>3559</v>
      </c>
      <c r="F51" s="232" t="s">
        <v>2592</v>
      </c>
      <c r="G51" s="1" t="s">
        <v>3533</v>
      </c>
      <c r="H51" s="232" t="s">
        <v>2692</v>
      </c>
      <c r="I51" s="233" t="s">
        <v>2693</v>
      </c>
      <c r="J51" s="14">
        <v>2</v>
      </c>
      <c r="K51" s="138">
        <v>7</v>
      </c>
      <c r="L51" s="138">
        <v>14</v>
      </c>
    </row>
    <row r="52" spans="1:12" x14ac:dyDescent="0.25">
      <c r="A52" s="1">
        <v>63</v>
      </c>
      <c r="B52" s="1">
        <v>21</v>
      </c>
      <c r="C52" s="232" t="s">
        <v>3480</v>
      </c>
      <c r="D52" s="232" t="s">
        <v>2553</v>
      </c>
      <c r="E52" s="1" t="s">
        <v>3559</v>
      </c>
      <c r="F52" s="232" t="s">
        <v>2592</v>
      </c>
      <c r="G52" s="1" t="s">
        <v>3533</v>
      </c>
      <c r="H52" s="232" t="s">
        <v>2710</v>
      </c>
      <c r="I52" s="233" t="s">
        <v>2711</v>
      </c>
      <c r="J52" s="14">
        <v>3</v>
      </c>
      <c r="K52" s="138">
        <v>7</v>
      </c>
      <c r="L52" s="138">
        <v>21</v>
      </c>
    </row>
    <row r="53" spans="1:12" x14ac:dyDescent="0.25">
      <c r="A53" s="1">
        <v>76</v>
      </c>
      <c r="B53" s="1">
        <v>25</v>
      </c>
      <c r="C53" s="232" t="s">
        <v>3480</v>
      </c>
      <c r="D53" s="232" t="s">
        <v>2553</v>
      </c>
      <c r="E53" s="1" t="s">
        <v>3559</v>
      </c>
      <c r="F53" s="232" t="s">
        <v>2592</v>
      </c>
      <c r="G53" s="1" t="s">
        <v>3533</v>
      </c>
      <c r="H53" s="232" t="s">
        <v>2736</v>
      </c>
      <c r="I53" s="233" t="s">
        <v>2737</v>
      </c>
      <c r="J53" s="14">
        <v>3</v>
      </c>
      <c r="K53" s="138">
        <v>7</v>
      </c>
      <c r="L53" s="138">
        <v>21</v>
      </c>
    </row>
    <row r="54" spans="1:12" x14ac:dyDescent="0.25">
      <c r="A54" s="1">
        <v>12</v>
      </c>
      <c r="B54" s="1">
        <v>3</v>
      </c>
      <c r="C54" s="232" t="s">
        <v>3481</v>
      </c>
      <c r="D54" s="232" t="s">
        <v>2554</v>
      </c>
      <c r="E54" s="1" t="s">
        <v>3560</v>
      </c>
      <c r="F54" s="232" t="s">
        <v>2595</v>
      </c>
      <c r="G54" s="1" t="s">
        <v>3537</v>
      </c>
      <c r="H54" s="232" t="s">
        <v>2596</v>
      </c>
      <c r="I54" s="233" t="s">
        <v>2597</v>
      </c>
      <c r="J54" s="14">
        <v>700</v>
      </c>
      <c r="K54" s="138">
        <v>0.5</v>
      </c>
      <c r="L54" s="138">
        <v>350</v>
      </c>
    </row>
    <row r="55" spans="1:12" x14ac:dyDescent="0.25">
      <c r="A55" s="1">
        <v>31</v>
      </c>
      <c r="B55" s="1">
        <v>8</v>
      </c>
      <c r="C55" s="232" t="s">
        <v>3481</v>
      </c>
      <c r="D55" s="232" t="s">
        <v>2554</v>
      </c>
      <c r="E55" s="1" t="s">
        <v>3560</v>
      </c>
      <c r="F55" s="232" t="s">
        <v>2595</v>
      </c>
      <c r="G55" s="1" t="s">
        <v>3537</v>
      </c>
      <c r="H55" s="232" t="s">
        <v>2645</v>
      </c>
      <c r="I55" s="233" t="s">
        <v>2646</v>
      </c>
      <c r="J55" s="14">
        <v>600</v>
      </c>
      <c r="K55" s="138">
        <v>0.5</v>
      </c>
      <c r="L55" s="138">
        <v>300</v>
      </c>
    </row>
    <row r="56" spans="1:12" x14ac:dyDescent="0.25">
      <c r="A56" s="1">
        <v>41</v>
      </c>
      <c r="B56" s="1">
        <v>12</v>
      </c>
      <c r="C56" s="232" t="s">
        <v>3481</v>
      </c>
      <c r="D56" s="232" t="s">
        <v>2554</v>
      </c>
      <c r="E56" s="1" t="s">
        <v>3560</v>
      </c>
      <c r="F56" s="232" t="s">
        <v>2595</v>
      </c>
      <c r="G56" s="1" t="s">
        <v>3537</v>
      </c>
      <c r="H56" s="232" t="s">
        <v>2665</v>
      </c>
      <c r="I56" s="233" t="s">
        <v>2666</v>
      </c>
      <c r="J56" s="14">
        <v>500</v>
      </c>
      <c r="K56" s="138">
        <v>0.5</v>
      </c>
      <c r="L56" s="138">
        <v>250</v>
      </c>
    </row>
    <row r="57" spans="1:12" x14ac:dyDescent="0.25">
      <c r="A57" s="1">
        <v>59</v>
      </c>
      <c r="B57" s="1">
        <v>19</v>
      </c>
      <c r="C57" s="232" t="s">
        <v>3481</v>
      </c>
      <c r="D57" s="232" t="s">
        <v>2554</v>
      </c>
      <c r="E57" s="1" t="s">
        <v>3560</v>
      </c>
      <c r="F57" s="232" t="s">
        <v>2595</v>
      </c>
      <c r="G57" s="1" t="s">
        <v>3537</v>
      </c>
      <c r="H57" s="232" t="s">
        <v>2702</v>
      </c>
      <c r="I57" s="233" t="s">
        <v>2703</v>
      </c>
      <c r="J57" s="14">
        <v>400</v>
      </c>
      <c r="K57" s="138">
        <v>0.5</v>
      </c>
      <c r="L57" s="138">
        <v>200</v>
      </c>
    </row>
    <row r="58" spans="1:12" x14ac:dyDescent="0.25">
      <c r="A58" s="1">
        <v>68</v>
      </c>
      <c r="B58" s="1">
        <v>24</v>
      </c>
      <c r="C58" s="232" t="s">
        <v>3481</v>
      </c>
      <c r="D58" s="232" t="s">
        <v>2554</v>
      </c>
      <c r="E58" s="1" t="s">
        <v>3560</v>
      </c>
      <c r="F58" s="232" t="s">
        <v>2595</v>
      </c>
      <c r="G58" s="1" t="s">
        <v>3537</v>
      </c>
      <c r="H58" s="232" t="s">
        <v>2720</v>
      </c>
      <c r="I58" s="233" t="s">
        <v>2721</v>
      </c>
      <c r="J58" s="14">
        <v>400</v>
      </c>
      <c r="K58" s="138">
        <v>0.5</v>
      </c>
      <c r="L58" s="138">
        <v>200</v>
      </c>
    </row>
    <row r="59" spans="1:12" x14ac:dyDescent="0.25">
      <c r="A59" s="1">
        <v>13</v>
      </c>
      <c r="B59" s="1">
        <v>3</v>
      </c>
      <c r="C59" s="232" t="s">
        <v>3482</v>
      </c>
      <c r="D59" s="232" t="s">
        <v>2554</v>
      </c>
      <c r="E59" s="1" t="s">
        <v>3560</v>
      </c>
      <c r="F59" s="232" t="s">
        <v>2598</v>
      </c>
      <c r="G59" s="1" t="s">
        <v>3538</v>
      </c>
      <c r="H59" s="232" t="s">
        <v>2599</v>
      </c>
      <c r="I59" s="233" t="s">
        <v>2600</v>
      </c>
      <c r="J59" s="14">
        <v>125</v>
      </c>
      <c r="K59" s="138">
        <v>3</v>
      </c>
      <c r="L59" s="138">
        <v>375</v>
      </c>
    </row>
    <row r="60" spans="1:12" x14ac:dyDescent="0.25">
      <c r="A60" s="1">
        <v>32</v>
      </c>
      <c r="B60" s="1">
        <v>8</v>
      </c>
      <c r="C60" s="232" t="s">
        <v>3482</v>
      </c>
      <c r="D60" s="232" t="s">
        <v>2554</v>
      </c>
      <c r="E60" s="1" t="s">
        <v>3560</v>
      </c>
      <c r="F60" s="232" t="s">
        <v>2598</v>
      </c>
      <c r="G60" s="1" t="s">
        <v>3538</v>
      </c>
      <c r="H60" s="232" t="s">
        <v>2647</v>
      </c>
      <c r="I60" s="233" t="s">
        <v>2648</v>
      </c>
      <c r="J60" s="14">
        <v>75</v>
      </c>
      <c r="K60" s="138">
        <v>3</v>
      </c>
      <c r="L60" s="138">
        <v>225</v>
      </c>
    </row>
    <row r="61" spans="1:12" x14ac:dyDescent="0.25">
      <c r="A61" s="1">
        <v>42</v>
      </c>
      <c r="B61" s="1">
        <v>12</v>
      </c>
      <c r="C61" s="232" t="s">
        <v>3482</v>
      </c>
      <c r="D61" s="232" t="s">
        <v>2554</v>
      </c>
      <c r="E61" s="1" t="s">
        <v>3560</v>
      </c>
      <c r="F61" s="232" t="s">
        <v>2598</v>
      </c>
      <c r="G61" s="1" t="s">
        <v>3538</v>
      </c>
      <c r="H61" s="232" t="s">
        <v>2667</v>
      </c>
      <c r="I61" s="233" t="s">
        <v>2668</v>
      </c>
      <c r="J61" s="14">
        <v>75</v>
      </c>
      <c r="K61" s="138">
        <v>3</v>
      </c>
      <c r="L61" s="138">
        <v>225</v>
      </c>
    </row>
    <row r="62" spans="1:12" x14ac:dyDescent="0.25">
      <c r="A62" s="1">
        <v>50</v>
      </c>
      <c r="B62" s="1">
        <v>16</v>
      </c>
      <c r="C62" s="232" t="s">
        <v>3482</v>
      </c>
      <c r="D62" s="232" t="s">
        <v>2554</v>
      </c>
      <c r="E62" s="1" t="s">
        <v>3560</v>
      </c>
      <c r="F62" s="232" t="s">
        <v>2598</v>
      </c>
      <c r="G62" s="1" t="s">
        <v>3538</v>
      </c>
      <c r="H62" s="232" t="s">
        <v>2683</v>
      </c>
      <c r="I62" s="233" t="s">
        <v>2684</v>
      </c>
      <c r="J62" s="14">
        <v>80</v>
      </c>
      <c r="K62" s="138">
        <v>3</v>
      </c>
      <c r="L62" s="138">
        <v>240</v>
      </c>
    </row>
    <row r="63" spans="1:12" x14ac:dyDescent="0.25">
      <c r="A63" s="1">
        <v>57</v>
      </c>
      <c r="B63" s="1">
        <v>19</v>
      </c>
      <c r="C63" s="232" t="s">
        <v>3482</v>
      </c>
      <c r="D63" s="232" t="s">
        <v>2554</v>
      </c>
      <c r="E63" s="1" t="s">
        <v>3560</v>
      </c>
      <c r="F63" s="232" t="s">
        <v>2598</v>
      </c>
      <c r="G63" s="1" t="s">
        <v>3538</v>
      </c>
      <c r="H63" s="232" t="s">
        <v>2698</v>
      </c>
      <c r="I63" s="233" t="s">
        <v>2699</v>
      </c>
      <c r="J63" s="14">
        <v>80</v>
      </c>
      <c r="K63" s="138">
        <v>3</v>
      </c>
      <c r="L63" s="138">
        <v>240</v>
      </c>
    </row>
    <row r="64" spans="1:12" x14ac:dyDescent="0.25">
      <c r="A64" s="1">
        <v>69</v>
      </c>
      <c r="B64" s="1">
        <v>24</v>
      </c>
      <c r="C64" s="232" t="s">
        <v>3482</v>
      </c>
      <c r="D64" s="232" t="s">
        <v>2554</v>
      </c>
      <c r="E64" s="1" t="s">
        <v>3560</v>
      </c>
      <c r="F64" s="232" t="s">
        <v>2598</v>
      </c>
      <c r="G64" s="1" t="s">
        <v>3538</v>
      </c>
      <c r="H64" s="232" t="s">
        <v>2722</v>
      </c>
      <c r="I64" s="233" t="s">
        <v>2723</v>
      </c>
      <c r="J64" s="14">
        <v>75</v>
      </c>
      <c r="K64" s="138">
        <v>3</v>
      </c>
      <c r="L64" s="138">
        <v>225</v>
      </c>
    </row>
    <row r="65" spans="1:12" x14ac:dyDescent="0.25">
      <c r="A65" s="1">
        <v>14</v>
      </c>
      <c r="B65" s="1">
        <v>3</v>
      </c>
      <c r="C65" s="232" t="s">
        <v>3483</v>
      </c>
      <c r="D65" s="232" t="s">
        <v>2554</v>
      </c>
      <c r="E65" s="1" t="s">
        <v>3560</v>
      </c>
      <c r="F65" s="232" t="s">
        <v>2601</v>
      </c>
      <c r="G65" s="1" t="s">
        <v>3539</v>
      </c>
      <c r="H65" s="232" t="s">
        <v>2602</v>
      </c>
      <c r="I65" s="233" t="s">
        <v>2603</v>
      </c>
      <c r="J65" s="14">
        <v>12</v>
      </c>
      <c r="K65" s="138">
        <v>3</v>
      </c>
      <c r="L65" s="138">
        <v>36</v>
      </c>
    </row>
    <row r="66" spans="1:12" x14ac:dyDescent="0.25">
      <c r="A66" s="1">
        <v>33</v>
      </c>
      <c r="B66" s="1">
        <v>8</v>
      </c>
      <c r="C66" s="232" t="s">
        <v>3483</v>
      </c>
      <c r="D66" s="232" t="s">
        <v>2554</v>
      </c>
      <c r="E66" s="1" t="s">
        <v>3560</v>
      </c>
      <c r="F66" s="232" t="s">
        <v>2601</v>
      </c>
      <c r="G66" s="1" t="s">
        <v>3539</v>
      </c>
      <c r="H66" s="232" t="s">
        <v>2649</v>
      </c>
      <c r="I66" s="233" t="s">
        <v>2650</v>
      </c>
      <c r="J66" s="14">
        <v>12</v>
      </c>
      <c r="K66" s="138">
        <v>3</v>
      </c>
      <c r="L66" s="138">
        <v>36</v>
      </c>
    </row>
    <row r="67" spans="1:12" x14ac:dyDescent="0.25">
      <c r="A67" s="1">
        <v>43</v>
      </c>
      <c r="B67" s="1">
        <v>12</v>
      </c>
      <c r="C67" s="232" t="s">
        <v>3483</v>
      </c>
      <c r="D67" s="232" t="s">
        <v>2554</v>
      </c>
      <c r="E67" s="1" t="s">
        <v>3560</v>
      </c>
      <c r="F67" s="232" t="s">
        <v>2601</v>
      </c>
      <c r="G67" s="1" t="s">
        <v>3539</v>
      </c>
      <c r="H67" s="232" t="s">
        <v>2669</v>
      </c>
      <c r="I67" s="233" t="s">
        <v>2670</v>
      </c>
      <c r="J67" s="14">
        <v>12</v>
      </c>
      <c r="K67" s="138">
        <v>3</v>
      </c>
      <c r="L67" s="138">
        <v>36</v>
      </c>
    </row>
    <row r="68" spans="1:12" x14ac:dyDescent="0.25">
      <c r="A68" s="1">
        <v>51</v>
      </c>
      <c r="B68" s="1">
        <v>16</v>
      </c>
      <c r="C68" s="232" t="s">
        <v>3483</v>
      </c>
      <c r="D68" s="232" t="s">
        <v>2554</v>
      </c>
      <c r="E68" s="1" t="s">
        <v>3560</v>
      </c>
      <c r="F68" s="232" t="s">
        <v>2601</v>
      </c>
      <c r="G68" s="1" t="s">
        <v>3539</v>
      </c>
      <c r="H68" s="232" t="s">
        <v>2685</v>
      </c>
      <c r="I68" s="233" t="s">
        <v>2686</v>
      </c>
      <c r="J68" s="14">
        <v>10</v>
      </c>
      <c r="K68" s="138">
        <v>3</v>
      </c>
      <c r="L68" s="138">
        <v>30</v>
      </c>
    </row>
    <row r="69" spans="1:12" x14ac:dyDescent="0.25">
      <c r="A69" s="1">
        <v>58</v>
      </c>
      <c r="B69" s="1">
        <v>19</v>
      </c>
      <c r="C69" s="232" t="s">
        <v>3483</v>
      </c>
      <c r="D69" s="232" t="s">
        <v>2554</v>
      </c>
      <c r="E69" s="1" t="s">
        <v>3560</v>
      </c>
      <c r="F69" s="232" t="s">
        <v>2601</v>
      </c>
      <c r="G69" s="1" t="s">
        <v>3539</v>
      </c>
      <c r="H69" s="232" t="s">
        <v>2700</v>
      </c>
      <c r="I69" s="233" t="s">
        <v>2701</v>
      </c>
      <c r="J69" s="14">
        <v>10</v>
      </c>
      <c r="K69" s="138">
        <v>3</v>
      </c>
      <c r="L69" s="138">
        <v>30</v>
      </c>
    </row>
    <row r="70" spans="1:12" x14ac:dyDescent="0.25">
      <c r="A70" s="1">
        <v>70</v>
      </c>
      <c r="B70" s="1">
        <v>24</v>
      </c>
      <c r="C70" s="232" t="s">
        <v>3483</v>
      </c>
      <c r="D70" s="232" t="s">
        <v>2554</v>
      </c>
      <c r="E70" s="1" t="s">
        <v>3560</v>
      </c>
      <c r="F70" s="232" t="s">
        <v>2601</v>
      </c>
      <c r="G70" s="1" t="s">
        <v>3539</v>
      </c>
      <c r="H70" s="232" t="s">
        <v>2724</v>
      </c>
      <c r="I70" s="233" t="s">
        <v>2725</v>
      </c>
      <c r="J70" s="14">
        <v>10</v>
      </c>
      <c r="K70" s="138">
        <v>3</v>
      </c>
      <c r="L70" s="138">
        <v>30</v>
      </c>
    </row>
    <row r="71" spans="1:12" x14ac:dyDescent="0.25">
      <c r="A71" s="1">
        <v>15</v>
      </c>
      <c r="B71" s="1">
        <v>3</v>
      </c>
      <c r="C71" s="232" t="s">
        <v>3484</v>
      </c>
      <c r="D71" s="232" t="s">
        <v>2554</v>
      </c>
      <c r="E71" s="1" t="s">
        <v>3560</v>
      </c>
      <c r="F71" s="232" t="s">
        <v>2604</v>
      </c>
      <c r="G71" s="1" t="s">
        <v>3540</v>
      </c>
      <c r="H71" s="232" t="s">
        <v>2605</v>
      </c>
      <c r="I71" s="233" t="s">
        <v>2606</v>
      </c>
      <c r="J71" s="14">
        <v>1</v>
      </c>
      <c r="K71" s="138">
        <v>77</v>
      </c>
      <c r="L71" s="138">
        <v>77</v>
      </c>
    </row>
    <row r="72" spans="1:12" x14ac:dyDescent="0.25">
      <c r="A72" s="1">
        <v>16</v>
      </c>
      <c r="B72" s="1">
        <v>3</v>
      </c>
      <c r="C72" s="232" t="s">
        <v>3485</v>
      </c>
      <c r="D72" s="232" t="s">
        <v>2554</v>
      </c>
      <c r="E72" s="1" t="s">
        <v>3560</v>
      </c>
      <c r="F72" s="232" t="s">
        <v>2607</v>
      </c>
      <c r="G72" s="1" t="s">
        <v>3541</v>
      </c>
      <c r="H72" s="232" t="s">
        <v>2608</v>
      </c>
      <c r="I72" s="233" t="s">
        <v>2609</v>
      </c>
      <c r="J72" s="14">
        <v>1</v>
      </c>
      <c r="K72" s="138">
        <v>22</v>
      </c>
      <c r="L72" s="138">
        <v>22</v>
      </c>
    </row>
    <row r="73" spans="1:12" x14ac:dyDescent="0.25">
      <c r="A73" s="1">
        <v>17</v>
      </c>
      <c r="B73" s="1">
        <v>3</v>
      </c>
      <c r="C73" s="232" t="s">
        <v>3486</v>
      </c>
      <c r="D73" s="232" t="s">
        <v>2554</v>
      </c>
      <c r="E73" s="1" t="s">
        <v>3560</v>
      </c>
      <c r="F73" s="232" t="s">
        <v>2610</v>
      </c>
      <c r="G73" s="1" t="s">
        <v>3542</v>
      </c>
      <c r="H73" s="232" t="s">
        <v>2611</v>
      </c>
      <c r="I73" s="233" t="s">
        <v>2612</v>
      </c>
      <c r="J73" s="14">
        <v>700</v>
      </c>
      <c r="K73" s="138">
        <v>0.4</v>
      </c>
      <c r="L73" s="138">
        <v>280</v>
      </c>
    </row>
    <row r="74" spans="1:12" x14ac:dyDescent="0.25">
      <c r="A74" s="1">
        <v>25</v>
      </c>
      <c r="B74" s="1">
        <v>7</v>
      </c>
      <c r="C74" s="232" t="s">
        <v>3490</v>
      </c>
      <c r="D74" s="232" t="s">
        <v>2553</v>
      </c>
      <c r="E74" s="1" t="s">
        <v>3559</v>
      </c>
      <c r="F74" s="232" t="s">
        <v>2630</v>
      </c>
      <c r="G74" s="1" t="s">
        <v>3529</v>
      </c>
      <c r="H74" s="232" t="s">
        <v>2631</v>
      </c>
      <c r="I74" s="233" t="s">
        <v>2632</v>
      </c>
      <c r="J74" s="14">
        <v>25</v>
      </c>
      <c r="K74" s="138">
        <v>18</v>
      </c>
      <c r="L74" s="138">
        <v>450</v>
      </c>
    </row>
    <row r="75" spans="1:12" x14ac:dyDescent="0.25">
      <c r="A75" s="1">
        <v>18</v>
      </c>
      <c r="B75" s="1">
        <v>3</v>
      </c>
      <c r="C75" s="232" t="s">
        <v>3487</v>
      </c>
      <c r="D75" s="232" t="s">
        <v>2554</v>
      </c>
      <c r="E75" s="1" t="s">
        <v>3560</v>
      </c>
      <c r="F75" s="232" t="s">
        <v>2613</v>
      </c>
      <c r="G75" s="1" t="s">
        <v>3543</v>
      </c>
      <c r="H75" s="232" t="s">
        <v>2614</v>
      </c>
      <c r="I75" s="233" t="s">
        <v>2615</v>
      </c>
      <c r="J75" s="14">
        <v>6</v>
      </c>
      <c r="K75" s="138">
        <v>45</v>
      </c>
      <c r="L75" s="138">
        <v>270</v>
      </c>
    </row>
    <row r="76" spans="1:12" x14ac:dyDescent="0.25">
      <c r="A76" s="1">
        <v>19</v>
      </c>
      <c r="B76" s="1">
        <v>4</v>
      </c>
      <c r="C76" s="232" t="s">
        <v>3488</v>
      </c>
      <c r="D76" s="232" t="s">
        <v>2555</v>
      </c>
      <c r="E76" s="1" t="s">
        <v>3561</v>
      </c>
      <c r="F76" s="232" t="s">
        <v>2616</v>
      </c>
      <c r="G76" s="1" t="s">
        <v>3549</v>
      </c>
      <c r="H76" s="232" t="s">
        <v>2617</v>
      </c>
      <c r="I76" s="233" t="s">
        <v>2618</v>
      </c>
      <c r="J76" s="14">
        <v>5</v>
      </c>
      <c r="K76" s="138">
        <v>3</v>
      </c>
      <c r="L76" s="138">
        <v>15</v>
      </c>
    </row>
    <row r="77" spans="1:12" x14ac:dyDescent="0.25">
      <c r="A77" s="1">
        <v>34</v>
      </c>
      <c r="B77" s="1">
        <v>9</v>
      </c>
      <c r="C77" s="232" t="s">
        <v>3488</v>
      </c>
      <c r="D77" s="232" t="s">
        <v>2555</v>
      </c>
      <c r="E77" s="1" t="s">
        <v>3561</v>
      </c>
      <c r="F77" s="232" t="s">
        <v>2616</v>
      </c>
      <c r="G77" s="1" t="s">
        <v>3549</v>
      </c>
      <c r="H77" s="232" t="s">
        <v>2651</v>
      </c>
      <c r="I77" s="233" t="s">
        <v>2652</v>
      </c>
      <c r="J77" s="14">
        <v>3</v>
      </c>
      <c r="K77" s="138">
        <v>3</v>
      </c>
      <c r="L77" s="138">
        <v>9</v>
      </c>
    </row>
    <row r="78" spans="1:12" x14ac:dyDescent="0.25">
      <c r="A78" s="1">
        <v>44</v>
      </c>
      <c r="B78" s="1">
        <v>13</v>
      </c>
      <c r="C78" s="232" t="s">
        <v>3488</v>
      </c>
      <c r="D78" s="232" t="s">
        <v>2555</v>
      </c>
      <c r="E78" s="1" t="s">
        <v>3561</v>
      </c>
      <c r="F78" s="232" t="s">
        <v>2616</v>
      </c>
      <c r="G78" s="1" t="s">
        <v>3549</v>
      </c>
      <c r="H78" s="232" t="s">
        <v>2671</v>
      </c>
      <c r="I78" s="233" t="s">
        <v>2672</v>
      </c>
      <c r="J78" s="14">
        <v>2</v>
      </c>
      <c r="K78" s="138">
        <v>3</v>
      </c>
      <c r="L78" s="138">
        <v>6</v>
      </c>
    </row>
    <row r="79" spans="1:12" x14ac:dyDescent="0.25">
      <c r="A79" s="1">
        <v>60</v>
      </c>
      <c r="B79" s="1">
        <v>20</v>
      </c>
      <c r="C79" s="232" t="s">
        <v>3488</v>
      </c>
      <c r="D79" s="232" t="s">
        <v>2555</v>
      </c>
      <c r="E79" s="1" t="s">
        <v>3561</v>
      </c>
      <c r="F79" s="232" t="s">
        <v>2616</v>
      </c>
      <c r="G79" s="1" t="s">
        <v>3549</v>
      </c>
      <c r="H79" s="232" t="s">
        <v>2704</v>
      </c>
      <c r="I79" s="233" t="s">
        <v>2705</v>
      </c>
      <c r="J79" s="14">
        <v>4</v>
      </c>
      <c r="K79" s="138">
        <v>3</v>
      </c>
      <c r="L79" s="138">
        <v>12</v>
      </c>
    </row>
    <row r="80" spans="1:12" x14ac:dyDescent="0.25">
      <c r="A80" s="1">
        <v>27</v>
      </c>
      <c r="B80" s="1">
        <v>7</v>
      </c>
      <c r="C80" s="232" t="s">
        <v>3491</v>
      </c>
      <c r="D80" s="232" t="s">
        <v>2553</v>
      </c>
      <c r="E80" s="1" t="s">
        <v>3559</v>
      </c>
      <c r="F80" s="232" t="s">
        <v>2635</v>
      </c>
      <c r="G80" s="1" t="s">
        <v>3531</v>
      </c>
      <c r="H80" s="232" t="s">
        <v>2636</v>
      </c>
      <c r="I80" s="233" t="s">
        <v>2637</v>
      </c>
      <c r="J80" s="14">
        <v>1</v>
      </c>
      <c r="K80" s="138">
        <v>40</v>
      </c>
      <c r="L80" s="138">
        <v>40</v>
      </c>
    </row>
    <row r="81" spans="1:12" x14ac:dyDescent="0.25">
      <c r="A81" s="1">
        <v>74</v>
      </c>
      <c r="B81" s="1">
        <v>25</v>
      </c>
      <c r="C81" s="232" t="s">
        <v>3491</v>
      </c>
      <c r="D81" s="232" t="s">
        <v>2553</v>
      </c>
      <c r="E81" s="1" t="s">
        <v>3559</v>
      </c>
      <c r="F81" s="232" t="s">
        <v>2635</v>
      </c>
      <c r="G81" s="1" t="s">
        <v>3531</v>
      </c>
      <c r="H81" s="232" t="s">
        <v>2732</v>
      </c>
      <c r="I81" s="233" t="s">
        <v>2733</v>
      </c>
      <c r="J81" s="14">
        <v>1</v>
      </c>
      <c r="K81" s="138">
        <v>40</v>
      </c>
      <c r="L81" s="138">
        <v>40</v>
      </c>
    </row>
    <row r="82" spans="1:12" x14ac:dyDescent="0.25">
      <c r="A82" s="1">
        <v>20</v>
      </c>
      <c r="B82" s="1">
        <v>5</v>
      </c>
      <c r="C82" s="232" t="s">
        <v>3489</v>
      </c>
      <c r="D82" s="232" t="s">
        <v>2556</v>
      </c>
      <c r="E82" s="1" t="s">
        <v>3562</v>
      </c>
      <c r="F82" s="232" t="s">
        <v>2619</v>
      </c>
      <c r="G82" s="1" t="s">
        <v>3550</v>
      </c>
      <c r="H82" s="232" t="s">
        <v>2620</v>
      </c>
      <c r="I82" s="233" t="s">
        <v>2621</v>
      </c>
      <c r="J82" s="14">
        <v>1</v>
      </c>
      <c r="K82" s="138">
        <v>95</v>
      </c>
      <c r="L82" s="138">
        <v>95</v>
      </c>
    </row>
    <row r="83" spans="1:12" x14ac:dyDescent="0.25">
      <c r="A83" s="1">
        <v>35</v>
      </c>
      <c r="B83" s="1">
        <v>10</v>
      </c>
      <c r="C83" s="232" t="s">
        <v>3489</v>
      </c>
      <c r="D83" s="232" t="s">
        <v>2556</v>
      </c>
      <c r="E83" s="1" t="s">
        <v>3562</v>
      </c>
      <c r="F83" s="232" t="s">
        <v>2619</v>
      </c>
      <c r="G83" s="1" t="s">
        <v>3550</v>
      </c>
      <c r="H83" s="232" t="s">
        <v>2653</v>
      </c>
      <c r="I83" s="233" t="s">
        <v>2654</v>
      </c>
      <c r="J83" s="14">
        <v>1</v>
      </c>
      <c r="K83" s="138">
        <v>95</v>
      </c>
      <c r="L83" s="138">
        <v>95</v>
      </c>
    </row>
    <row r="84" spans="1:12" x14ac:dyDescent="0.25">
      <c r="A84" s="1">
        <v>64</v>
      </c>
      <c r="B84" s="1">
        <v>22</v>
      </c>
      <c r="C84" s="232" t="s">
        <v>3489</v>
      </c>
      <c r="D84" s="232" t="s">
        <v>2556</v>
      </c>
      <c r="E84" s="1" t="s">
        <v>3562</v>
      </c>
      <c r="F84" s="232" t="s">
        <v>2619</v>
      </c>
      <c r="G84" s="1" t="s">
        <v>3550</v>
      </c>
      <c r="H84" s="232" t="s">
        <v>2712</v>
      </c>
      <c r="I84" s="233" t="s">
        <v>2713</v>
      </c>
      <c r="J84" s="14">
        <v>1</v>
      </c>
      <c r="K84" s="138">
        <v>95</v>
      </c>
      <c r="L84" s="138">
        <v>95</v>
      </c>
    </row>
    <row r="85" spans="1:12" x14ac:dyDescent="0.25">
      <c r="A85" s="1">
        <v>53</v>
      </c>
      <c r="B85" s="1">
        <v>17</v>
      </c>
      <c r="C85" s="232" t="s">
        <v>3493</v>
      </c>
      <c r="D85" s="232" t="s">
        <v>2553</v>
      </c>
      <c r="E85" s="1" t="s">
        <v>3559</v>
      </c>
      <c r="F85" s="232" t="s">
        <v>2689</v>
      </c>
      <c r="G85" s="1" t="s">
        <v>3534</v>
      </c>
      <c r="H85" s="232" t="s">
        <v>2690</v>
      </c>
      <c r="I85" s="233" t="s">
        <v>2691</v>
      </c>
      <c r="J85" s="14">
        <v>1</v>
      </c>
      <c r="K85" s="138">
        <v>50</v>
      </c>
      <c r="L85" s="138">
        <v>50</v>
      </c>
    </row>
    <row r="86" spans="1:12" x14ac:dyDescent="0.25">
      <c r="A86" s="1">
        <v>62</v>
      </c>
      <c r="B86" s="1">
        <v>21</v>
      </c>
      <c r="C86" s="232" t="s">
        <v>3493</v>
      </c>
      <c r="D86" s="232" t="s">
        <v>2553</v>
      </c>
      <c r="E86" s="1" t="s">
        <v>3559</v>
      </c>
      <c r="F86" s="232" t="s">
        <v>2689</v>
      </c>
      <c r="G86" s="1" t="s">
        <v>3534</v>
      </c>
      <c r="H86" s="232" t="s">
        <v>2708</v>
      </c>
      <c r="I86" s="233" t="s">
        <v>2709</v>
      </c>
      <c r="J86" s="14">
        <v>1</v>
      </c>
      <c r="K86" s="138">
        <v>50</v>
      </c>
      <c r="L86" s="138">
        <v>50</v>
      </c>
    </row>
    <row r="87" spans="1:12" x14ac:dyDescent="0.25">
      <c r="A87" s="1">
        <v>75</v>
      </c>
      <c r="B87" s="1">
        <v>25</v>
      </c>
      <c r="C87" s="232" t="s">
        <v>3493</v>
      </c>
      <c r="D87" s="232" t="s">
        <v>2553</v>
      </c>
      <c r="E87" s="1" t="s">
        <v>3559</v>
      </c>
      <c r="F87" s="232" t="s">
        <v>2689</v>
      </c>
      <c r="G87" s="1" t="s">
        <v>3534</v>
      </c>
      <c r="H87" s="232" t="s">
        <v>2734</v>
      </c>
      <c r="I87" s="233" t="s">
        <v>2735</v>
      </c>
      <c r="J87" s="14">
        <v>1</v>
      </c>
      <c r="K87" s="138">
        <v>50</v>
      </c>
      <c r="L87" s="138">
        <v>50</v>
      </c>
    </row>
    <row r="88" spans="1:12" x14ac:dyDescent="0.25">
      <c r="A88" s="1">
        <v>28</v>
      </c>
      <c r="B88" s="1">
        <v>7</v>
      </c>
      <c r="C88" s="232" t="s">
        <v>3492</v>
      </c>
      <c r="D88" s="232" t="s">
        <v>2553</v>
      </c>
      <c r="E88" s="1" t="s">
        <v>3559</v>
      </c>
      <c r="F88" s="232" t="s">
        <v>2638</v>
      </c>
      <c r="G88" s="1" t="s">
        <v>3535</v>
      </c>
      <c r="H88" s="232" t="s">
        <v>2639</v>
      </c>
      <c r="I88" s="233" t="s">
        <v>2640</v>
      </c>
      <c r="J88" s="14">
        <v>1</v>
      </c>
      <c r="K88" s="138">
        <v>12</v>
      </c>
      <c r="L88" s="138">
        <v>12</v>
      </c>
    </row>
    <row r="89" spans="1:12" x14ac:dyDescent="0.25">
      <c r="A89" s="1">
        <v>88</v>
      </c>
      <c r="B89" s="1">
        <v>26</v>
      </c>
      <c r="C89" s="232" t="s">
        <v>3476</v>
      </c>
      <c r="D89" s="232" t="s">
        <v>2552</v>
      </c>
      <c r="E89" s="1" t="s">
        <v>3558</v>
      </c>
      <c r="F89" s="232" t="s">
        <v>2580</v>
      </c>
      <c r="G89" s="1" t="s">
        <v>3524</v>
      </c>
      <c r="H89" s="232" t="s">
        <v>2763</v>
      </c>
      <c r="I89" s="233" t="s">
        <v>2764</v>
      </c>
      <c r="J89" s="14">
        <v>1</v>
      </c>
      <c r="K89" s="138">
        <v>6</v>
      </c>
      <c r="L89" s="138">
        <v>6</v>
      </c>
    </row>
    <row r="90" spans="1:12" x14ac:dyDescent="0.25">
      <c r="A90" s="1">
        <v>89</v>
      </c>
      <c r="B90" s="1">
        <v>27</v>
      </c>
      <c r="C90" s="232" t="s">
        <v>3477</v>
      </c>
      <c r="D90" s="232" t="s">
        <v>2553</v>
      </c>
      <c r="E90" s="1" t="s">
        <v>3559</v>
      </c>
      <c r="F90" s="232" t="s">
        <v>2583</v>
      </c>
      <c r="G90" s="1" t="s">
        <v>3527</v>
      </c>
      <c r="H90" s="232" t="s">
        <v>2765</v>
      </c>
      <c r="I90" s="233" t="s">
        <v>2766</v>
      </c>
      <c r="J90" s="14">
        <v>1</v>
      </c>
      <c r="K90" s="138">
        <v>20</v>
      </c>
      <c r="L90" s="138">
        <v>20</v>
      </c>
    </row>
    <row r="91" spans="1:12" x14ac:dyDescent="0.25">
      <c r="A91" s="1">
        <v>90</v>
      </c>
      <c r="B91" s="1">
        <v>27</v>
      </c>
      <c r="C91" s="232" t="s">
        <v>3478</v>
      </c>
      <c r="D91" s="232" t="s">
        <v>2553</v>
      </c>
      <c r="E91" s="1" t="s">
        <v>3559</v>
      </c>
      <c r="F91" s="232" t="s">
        <v>2586</v>
      </c>
      <c r="G91" s="1" t="s">
        <v>3528</v>
      </c>
      <c r="H91" s="232" t="s">
        <v>2767</v>
      </c>
      <c r="I91" s="233" t="s">
        <v>2768</v>
      </c>
      <c r="J91" s="14">
        <v>1</v>
      </c>
      <c r="K91" s="138">
        <v>18</v>
      </c>
      <c r="L91" s="138">
        <v>18</v>
      </c>
    </row>
    <row r="92" spans="1:12" x14ac:dyDescent="0.25">
      <c r="A92" s="1">
        <v>91</v>
      </c>
      <c r="B92" s="1">
        <v>27</v>
      </c>
      <c r="C92" s="232" t="s">
        <v>3490</v>
      </c>
      <c r="D92" s="232" t="s">
        <v>2553</v>
      </c>
      <c r="E92" s="1" t="s">
        <v>3559</v>
      </c>
      <c r="F92" s="232" t="s">
        <v>2630</v>
      </c>
      <c r="G92" s="1" t="s">
        <v>3529</v>
      </c>
      <c r="H92" s="232" t="s">
        <v>2769</v>
      </c>
      <c r="I92" s="233" t="s">
        <v>2770</v>
      </c>
      <c r="J92" s="14">
        <v>1</v>
      </c>
      <c r="K92" s="138">
        <v>18</v>
      </c>
      <c r="L92" s="138">
        <v>18</v>
      </c>
    </row>
    <row r="93" spans="1:12" x14ac:dyDescent="0.25">
      <c r="A93" s="1">
        <v>92</v>
      </c>
      <c r="B93" s="1">
        <v>27</v>
      </c>
      <c r="C93" s="232" t="s">
        <v>3479</v>
      </c>
      <c r="D93" s="232" t="s">
        <v>2553</v>
      </c>
      <c r="E93" s="1" t="s">
        <v>3559</v>
      </c>
      <c r="F93" s="232" t="s">
        <v>2589</v>
      </c>
      <c r="G93" s="1" t="s">
        <v>3530</v>
      </c>
      <c r="H93" s="232" t="s">
        <v>2771</v>
      </c>
      <c r="I93" s="233" t="s">
        <v>2772</v>
      </c>
      <c r="J93" s="14">
        <v>1</v>
      </c>
      <c r="K93" s="138">
        <v>70</v>
      </c>
      <c r="L93" s="138">
        <v>70</v>
      </c>
    </row>
    <row r="94" spans="1:12" x14ac:dyDescent="0.25">
      <c r="A94" s="1">
        <v>93</v>
      </c>
      <c r="B94" s="1">
        <v>27</v>
      </c>
      <c r="C94" s="232" t="s">
        <v>3491</v>
      </c>
      <c r="D94" s="232" t="s">
        <v>2553</v>
      </c>
      <c r="E94" s="1" t="s">
        <v>3559</v>
      </c>
      <c r="F94" s="232" t="s">
        <v>2635</v>
      </c>
      <c r="G94" s="1" t="s">
        <v>3531</v>
      </c>
      <c r="H94" s="232" t="s">
        <v>2773</v>
      </c>
      <c r="I94" s="233" t="s">
        <v>2774</v>
      </c>
      <c r="J94" s="14">
        <v>1</v>
      </c>
      <c r="K94" s="138">
        <v>40</v>
      </c>
      <c r="L94" s="138">
        <v>40</v>
      </c>
    </row>
    <row r="95" spans="1:12" x14ac:dyDescent="0.25">
      <c r="A95" s="1">
        <v>94</v>
      </c>
      <c r="B95" s="1">
        <v>27</v>
      </c>
      <c r="C95" s="232" t="s">
        <v>3499</v>
      </c>
      <c r="D95" s="232" t="s">
        <v>2553</v>
      </c>
      <c r="E95" s="1" t="s">
        <v>3559</v>
      </c>
      <c r="F95" s="232" t="s">
        <v>2775</v>
      </c>
      <c r="G95" s="1" t="s">
        <v>3532</v>
      </c>
      <c r="H95" s="232" t="s">
        <v>2776</v>
      </c>
      <c r="I95" s="233" t="s">
        <v>2777</v>
      </c>
      <c r="J95" s="14">
        <v>1</v>
      </c>
      <c r="K95" s="138">
        <v>100</v>
      </c>
      <c r="L95" s="138">
        <v>100</v>
      </c>
    </row>
    <row r="96" spans="1:12" x14ac:dyDescent="0.25">
      <c r="A96" s="1">
        <v>95</v>
      </c>
      <c r="B96" s="1">
        <v>27</v>
      </c>
      <c r="C96" s="232" t="s">
        <v>3480</v>
      </c>
      <c r="D96" s="232" t="s">
        <v>2553</v>
      </c>
      <c r="E96" s="1" t="s">
        <v>3559</v>
      </c>
      <c r="F96" s="232" t="s">
        <v>2592</v>
      </c>
      <c r="G96" s="1" t="s">
        <v>3533</v>
      </c>
      <c r="H96" s="232" t="s">
        <v>2778</v>
      </c>
      <c r="I96" s="233" t="s">
        <v>2779</v>
      </c>
      <c r="J96" s="14">
        <v>1</v>
      </c>
      <c r="K96" s="138">
        <v>7</v>
      </c>
      <c r="L96" s="138">
        <v>7</v>
      </c>
    </row>
    <row r="97" spans="1:12" x14ac:dyDescent="0.25">
      <c r="A97" s="1">
        <v>96</v>
      </c>
      <c r="B97" s="1">
        <v>27</v>
      </c>
      <c r="C97" s="232" t="s">
        <v>3493</v>
      </c>
      <c r="D97" s="232" t="s">
        <v>2553</v>
      </c>
      <c r="E97" s="1" t="s">
        <v>3559</v>
      </c>
      <c r="F97" s="232" t="s">
        <v>2689</v>
      </c>
      <c r="G97" s="1" t="s">
        <v>3534</v>
      </c>
      <c r="H97" s="232" t="s">
        <v>2780</v>
      </c>
      <c r="I97" s="233" t="s">
        <v>2781</v>
      </c>
      <c r="J97" s="14">
        <v>1</v>
      </c>
      <c r="K97" s="138">
        <v>50</v>
      </c>
      <c r="L97" s="138">
        <v>50</v>
      </c>
    </row>
    <row r="98" spans="1:12" x14ac:dyDescent="0.25">
      <c r="A98" s="1">
        <v>97</v>
      </c>
      <c r="B98" s="1">
        <v>28</v>
      </c>
      <c r="C98" s="232" t="s">
        <v>3500</v>
      </c>
      <c r="D98" s="232" t="s">
        <v>2554</v>
      </c>
      <c r="E98" s="1" t="s">
        <v>3560</v>
      </c>
      <c r="F98" s="232" t="s">
        <v>2782</v>
      </c>
      <c r="G98" s="1" t="s">
        <v>3536</v>
      </c>
      <c r="H98" s="232" t="s">
        <v>2783</v>
      </c>
      <c r="I98" s="233" t="s">
        <v>2784</v>
      </c>
      <c r="J98" s="14">
        <v>1</v>
      </c>
      <c r="K98" s="138">
        <v>10</v>
      </c>
      <c r="L98" s="138">
        <v>10</v>
      </c>
    </row>
    <row r="99" spans="1:12" x14ac:dyDescent="0.25">
      <c r="A99" s="1">
        <v>98</v>
      </c>
      <c r="B99" s="1">
        <v>29</v>
      </c>
      <c r="C99" s="232" t="s">
        <v>3501</v>
      </c>
      <c r="D99" s="232" t="s">
        <v>2555</v>
      </c>
      <c r="E99" s="1" t="s">
        <v>3561</v>
      </c>
      <c r="F99" s="232" t="s">
        <v>2785</v>
      </c>
      <c r="G99" s="1" t="s">
        <v>3546</v>
      </c>
      <c r="H99" s="232" t="s">
        <v>2786</v>
      </c>
      <c r="I99" s="233" t="s">
        <v>2787</v>
      </c>
      <c r="J99" s="14">
        <v>1</v>
      </c>
      <c r="K99" s="138">
        <v>10</v>
      </c>
      <c r="L99" s="138">
        <v>10</v>
      </c>
    </row>
    <row r="100" spans="1:12" x14ac:dyDescent="0.25">
      <c r="A100" s="1">
        <v>99</v>
      </c>
      <c r="B100" s="1">
        <v>30</v>
      </c>
      <c r="C100" s="232" t="s">
        <v>3502</v>
      </c>
      <c r="D100" s="232" t="s">
        <v>2556</v>
      </c>
      <c r="E100" s="1" t="s">
        <v>3562</v>
      </c>
      <c r="F100" s="232" t="s">
        <v>2788</v>
      </c>
      <c r="G100" s="1" t="s">
        <v>3551</v>
      </c>
      <c r="H100" s="232" t="s">
        <v>2789</v>
      </c>
      <c r="I100" s="233" t="s">
        <v>2790</v>
      </c>
      <c r="J100" s="14">
        <v>1</v>
      </c>
      <c r="K100" s="138">
        <v>150</v>
      </c>
      <c r="L100" s="138">
        <v>150</v>
      </c>
    </row>
    <row r="101" spans="1:12" x14ac:dyDescent="0.25">
      <c r="A101" s="1">
        <v>100</v>
      </c>
      <c r="B101" s="1">
        <v>30</v>
      </c>
      <c r="C101" s="232" t="s">
        <v>3503</v>
      </c>
      <c r="D101" s="232" t="s">
        <v>2556</v>
      </c>
      <c r="E101" s="1" t="s">
        <v>3562</v>
      </c>
      <c r="F101" s="232" t="s">
        <v>2791</v>
      </c>
      <c r="G101" s="1" t="s">
        <v>3554</v>
      </c>
      <c r="H101" s="232" t="s">
        <v>2792</v>
      </c>
      <c r="I101" s="233" t="s">
        <v>2793</v>
      </c>
      <c r="J101" s="14">
        <v>1</v>
      </c>
      <c r="K101" s="138">
        <v>5</v>
      </c>
      <c r="L101" s="138">
        <v>5</v>
      </c>
    </row>
    <row r="102" spans="1:12" x14ac:dyDescent="0.25">
      <c r="A102" s="1">
        <v>101</v>
      </c>
      <c r="B102" s="1">
        <v>31</v>
      </c>
      <c r="C102" s="232" t="s">
        <v>3504</v>
      </c>
      <c r="D102" s="232" t="s">
        <v>2557</v>
      </c>
      <c r="E102" s="1" t="s">
        <v>3563</v>
      </c>
      <c r="F102" s="232" t="s">
        <v>2794</v>
      </c>
      <c r="G102" s="1" t="s">
        <v>3555</v>
      </c>
      <c r="H102" s="232" t="s">
        <v>2795</v>
      </c>
      <c r="I102" s="233" t="s">
        <v>2796</v>
      </c>
      <c r="J102" s="14">
        <v>1</v>
      </c>
      <c r="K102" s="138">
        <v>1.7</v>
      </c>
      <c r="L102" s="138">
        <v>1.7</v>
      </c>
    </row>
    <row r="103" spans="1:12" x14ac:dyDescent="0.25">
      <c r="A103" s="1">
        <v>102</v>
      </c>
      <c r="B103" s="1">
        <v>32</v>
      </c>
      <c r="C103" s="232" t="s">
        <v>3504</v>
      </c>
      <c r="D103" s="232" t="s">
        <v>2557</v>
      </c>
      <c r="E103" s="1" t="s">
        <v>3563</v>
      </c>
      <c r="F103" s="232" t="s">
        <v>2794</v>
      </c>
      <c r="G103" s="1" t="s">
        <v>3555</v>
      </c>
      <c r="H103" s="232" t="s">
        <v>2797</v>
      </c>
      <c r="I103" s="233" t="s">
        <v>2798</v>
      </c>
      <c r="J103" s="14">
        <v>1</v>
      </c>
      <c r="K103" s="138">
        <v>1.7</v>
      </c>
      <c r="L103" s="138">
        <v>1.7</v>
      </c>
    </row>
    <row r="104" spans="1:12" x14ac:dyDescent="0.25">
      <c r="A104" s="1">
        <v>103</v>
      </c>
      <c r="B104" s="1">
        <v>33</v>
      </c>
      <c r="C104" s="232" t="s">
        <v>3473</v>
      </c>
      <c r="D104" s="232" t="s">
        <v>2552</v>
      </c>
      <c r="E104" s="1" t="s">
        <v>3558</v>
      </c>
      <c r="F104" s="232" t="s">
        <v>2571</v>
      </c>
      <c r="G104" s="1" t="s">
        <v>3518</v>
      </c>
      <c r="H104" s="232" t="s">
        <v>2799</v>
      </c>
      <c r="I104" s="233" t="s">
        <v>2800</v>
      </c>
      <c r="J104" s="14">
        <v>1</v>
      </c>
      <c r="K104" s="138">
        <v>5</v>
      </c>
      <c r="L104" s="138">
        <v>5</v>
      </c>
    </row>
    <row r="105" spans="1:12" x14ac:dyDescent="0.25">
      <c r="A105" s="1">
        <v>104</v>
      </c>
      <c r="B105" s="1">
        <v>33</v>
      </c>
      <c r="C105" s="232" t="s">
        <v>3476</v>
      </c>
      <c r="D105" s="232" t="s">
        <v>2552</v>
      </c>
      <c r="E105" s="1" t="s">
        <v>3558</v>
      </c>
      <c r="F105" s="232" t="s">
        <v>2580</v>
      </c>
      <c r="G105" s="1" t="s">
        <v>3524</v>
      </c>
      <c r="H105" s="232" t="s">
        <v>2801</v>
      </c>
      <c r="I105" s="233" t="s">
        <v>2802</v>
      </c>
      <c r="J105" s="14">
        <v>5</v>
      </c>
      <c r="K105" s="138">
        <v>6</v>
      </c>
      <c r="L105" s="138">
        <v>30</v>
      </c>
    </row>
    <row r="106" spans="1:12" x14ac:dyDescent="0.25">
      <c r="A106" s="1">
        <v>105</v>
      </c>
      <c r="B106" s="1">
        <v>33</v>
      </c>
      <c r="C106" s="232" t="s">
        <v>3496</v>
      </c>
      <c r="D106" s="232" t="s">
        <v>2552</v>
      </c>
      <c r="E106" s="1" t="s">
        <v>3558</v>
      </c>
      <c r="F106" s="232" t="s">
        <v>2750</v>
      </c>
      <c r="G106" s="1" t="s">
        <v>3519</v>
      </c>
      <c r="H106" s="232" t="s">
        <v>2803</v>
      </c>
      <c r="I106" s="233" t="s">
        <v>2804</v>
      </c>
      <c r="J106" s="14">
        <v>1</v>
      </c>
      <c r="K106" s="138">
        <v>25</v>
      </c>
      <c r="L106" s="138">
        <v>25</v>
      </c>
    </row>
    <row r="107" spans="1:12" x14ac:dyDescent="0.25">
      <c r="A107" s="1">
        <v>106</v>
      </c>
      <c r="B107" s="1">
        <v>34</v>
      </c>
      <c r="C107" s="232" t="s">
        <v>3490</v>
      </c>
      <c r="D107" s="232" t="s">
        <v>2553</v>
      </c>
      <c r="E107" s="1" t="s">
        <v>3559</v>
      </c>
      <c r="F107" s="232" t="s">
        <v>2630</v>
      </c>
      <c r="G107" s="1" t="s">
        <v>3529</v>
      </c>
      <c r="H107" s="232" t="s">
        <v>2805</v>
      </c>
      <c r="I107" s="233" t="s">
        <v>2806</v>
      </c>
      <c r="J107" s="14">
        <v>1</v>
      </c>
      <c r="K107" s="138">
        <v>18</v>
      </c>
      <c r="L107" s="138">
        <v>18</v>
      </c>
    </row>
    <row r="108" spans="1:12" x14ac:dyDescent="0.25">
      <c r="A108" s="1">
        <v>107</v>
      </c>
      <c r="B108" s="1">
        <v>35</v>
      </c>
      <c r="C108" s="232" t="s">
        <v>3500</v>
      </c>
      <c r="D108" s="232" t="s">
        <v>2554</v>
      </c>
      <c r="E108" s="1" t="s">
        <v>3560</v>
      </c>
      <c r="F108" s="232" t="s">
        <v>2782</v>
      </c>
      <c r="G108" s="1" t="s">
        <v>3536</v>
      </c>
      <c r="H108" s="232" t="s">
        <v>2807</v>
      </c>
      <c r="I108" s="233" t="s">
        <v>2808</v>
      </c>
      <c r="J108" s="14">
        <v>1</v>
      </c>
      <c r="K108" s="138">
        <v>10</v>
      </c>
      <c r="L108" s="138">
        <v>10</v>
      </c>
    </row>
    <row r="109" spans="1:12" x14ac:dyDescent="0.25">
      <c r="A109" s="1">
        <v>108</v>
      </c>
      <c r="B109" s="1">
        <v>36</v>
      </c>
      <c r="C109" s="232" t="s">
        <v>3505</v>
      </c>
      <c r="D109" s="232" t="s">
        <v>2555</v>
      </c>
      <c r="E109" s="1" t="s">
        <v>3561</v>
      </c>
      <c r="F109" s="232" t="s">
        <v>2809</v>
      </c>
      <c r="G109" s="1" t="s">
        <v>3544</v>
      </c>
      <c r="H109" s="232" t="s">
        <v>2810</v>
      </c>
      <c r="I109" s="233" t="s">
        <v>2811</v>
      </c>
      <c r="J109" s="14">
        <v>1</v>
      </c>
      <c r="K109" s="138">
        <v>200</v>
      </c>
      <c r="L109" s="138">
        <v>200</v>
      </c>
    </row>
    <row r="110" spans="1:12" x14ac:dyDescent="0.25">
      <c r="A110" s="1">
        <v>109</v>
      </c>
      <c r="B110" s="1">
        <v>37</v>
      </c>
      <c r="C110" s="232" t="s">
        <v>3504</v>
      </c>
      <c r="D110" s="232" t="s">
        <v>2557</v>
      </c>
      <c r="E110" s="1" t="s">
        <v>3563</v>
      </c>
      <c r="F110" s="232" t="s">
        <v>2794</v>
      </c>
      <c r="G110" s="1" t="s">
        <v>3555</v>
      </c>
      <c r="H110" s="232" t="s">
        <v>2812</v>
      </c>
      <c r="I110" s="233" t="s">
        <v>2813</v>
      </c>
      <c r="J110" s="14">
        <v>1</v>
      </c>
      <c r="K110" s="138">
        <v>1.7</v>
      </c>
      <c r="L110" s="138">
        <v>1.7</v>
      </c>
    </row>
    <row r="111" spans="1:12" x14ac:dyDescent="0.25">
      <c r="A111" s="1">
        <v>110</v>
      </c>
      <c r="B111" s="1">
        <v>38</v>
      </c>
      <c r="C111" s="232" t="s">
        <v>3470</v>
      </c>
      <c r="D111" s="232" t="s">
        <v>2552</v>
      </c>
      <c r="E111" s="1" t="s">
        <v>3558</v>
      </c>
      <c r="F111" s="232" t="s">
        <v>2562</v>
      </c>
      <c r="G111" s="1" t="s">
        <v>3514</v>
      </c>
      <c r="H111" s="232" t="s">
        <v>2814</v>
      </c>
      <c r="I111" s="233" t="s">
        <v>2815</v>
      </c>
      <c r="J111" s="14">
        <v>1</v>
      </c>
      <c r="K111" s="138">
        <v>6</v>
      </c>
      <c r="L111" s="138">
        <v>6</v>
      </c>
    </row>
    <row r="112" spans="1:12" x14ac:dyDescent="0.25">
      <c r="A112" s="1">
        <v>111</v>
      </c>
      <c r="B112" s="1">
        <v>38</v>
      </c>
      <c r="C112" s="232" t="s">
        <v>3471</v>
      </c>
      <c r="D112" s="232" t="s">
        <v>2552</v>
      </c>
      <c r="E112" s="1" t="s">
        <v>3558</v>
      </c>
      <c r="F112" s="232" t="s">
        <v>2565</v>
      </c>
      <c r="G112" s="1" t="s">
        <v>3515</v>
      </c>
      <c r="H112" s="232" t="s">
        <v>2816</v>
      </c>
      <c r="I112" s="233" t="s">
        <v>2817</v>
      </c>
      <c r="J112" s="14">
        <v>1</v>
      </c>
      <c r="K112" s="138">
        <v>75</v>
      </c>
      <c r="L112" s="138">
        <v>75</v>
      </c>
    </row>
    <row r="113" spans="1:12" x14ac:dyDescent="0.25">
      <c r="A113" s="1">
        <v>112</v>
      </c>
      <c r="B113" s="1">
        <v>38</v>
      </c>
      <c r="C113" s="232" t="s">
        <v>3495</v>
      </c>
      <c r="D113" s="232" t="s">
        <v>2552</v>
      </c>
      <c r="E113" s="1" t="s">
        <v>3558</v>
      </c>
      <c r="F113" s="232" t="s">
        <v>2745</v>
      </c>
      <c r="G113" s="1" t="s">
        <v>3517</v>
      </c>
      <c r="H113" s="232" t="s">
        <v>2818</v>
      </c>
      <c r="I113" s="233" t="s">
        <v>2819</v>
      </c>
      <c r="J113" s="14">
        <v>1</v>
      </c>
      <c r="K113" s="138">
        <v>148</v>
      </c>
      <c r="L113" s="138">
        <v>148</v>
      </c>
    </row>
    <row r="114" spans="1:12" x14ac:dyDescent="0.25">
      <c r="A114" s="1">
        <v>113</v>
      </c>
      <c r="B114" s="1">
        <v>38</v>
      </c>
      <c r="C114" s="232" t="s">
        <v>3473</v>
      </c>
      <c r="D114" s="232" t="s">
        <v>2552</v>
      </c>
      <c r="E114" s="1" t="s">
        <v>3558</v>
      </c>
      <c r="F114" s="232" t="s">
        <v>2571</v>
      </c>
      <c r="G114" s="1" t="s">
        <v>3518</v>
      </c>
      <c r="H114" s="232" t="s">
        <v>2820</v>
      </c>
      <c r="I114" s="233" t="s">
        <v>2821</v>
      </c>
      <c r="J114" s="14">
        <v>1</v>
      </c>
      <c r="K114" s="138">
        <v>5</v>
      </c>
      <c r="L114" s="138">
        <v>5</v>
      </c>
    </row>
    <row r="115" spans="1:12" x14ac:dyDescent="0.25">
      <c r="A115" s="1">
        <v>114</v>
      </c>
      <c r="B115" s="1">
        <v>38</v>
      </c>
      <c r="C115" s="232" t="s">
        <v>3496</v>
      </c>
      <c r="D115" s="232" t="s">
        <v>2552</v>
      </c>
      <c r="E115" s="1" t="s">
        <v>3558</v>
      </c>
      <c r="F115" s="232" t="s">
        <v>2750</v>
      </c>
      <c r="G115" s="1" t="s">
        <v>3519</v>
      </c>
      <c r="H115" s="232" t="s">
        <v>2822</v>
      </c>
      <c r="I115" s="233" t="s">
        <v>2823</v>
      </c>
      <c r="J115" s="14">
        <v>1</v>
      </c>
      <c r="K115" s="138">
        <v>25</v>
      </c>
      <c r="L115" s="138">
        <v>25</v>
      </c>
    </row>
    <row r="116" spans="1:12" x14ac:dyDescent="0.25">
      <c r="A116" s="1">
        <v>115</v>
      </c>
      <c r="B116" s="1">
        <v>38</v>
      </c>
      <c r="C116" s="232" t="s">
        <v>3474</v>
      </c>
      <c r="D116" s="232" t="s">
        <v>2552</v>
      </c>
      <c r="E116" s="1" t="s">
        <v>3558</v>
      </c>
      <c r="F116" s="232" t="s">
        <v>2574</v>
      </c>
      <c r="G116" s="1" t="s">
        <v>3521</v>
      </c>
      <c r="H116" s="232" t="s">
        <v>2824</v>
      </c>
      <c r="I116" s="233" t="s">
        <v>2825</v>
      </c>
      <c r="J116" s="14">
        <v>1</v>
      </c>
      <c r="K116" s="138">
        <v>77</v>
      </c>
      <c r="L116" s="138">
        <v>77</v>
      </c>
    </row>
    <row r="117" spans="1:12" x14ac:dyDescent="0.25">
      <c r="A117" s="1">
        <v>116</v>
      </c>
      <c r="B117" s="1">
        <v>38</v>
      </c>
      <c r="C117" s="232" t="s">
        <v>3476</v>
      </c>
      <c r="D117" s="232" t="s">
        <v>2552</v>
      </c>
      <c r="E117" s="1" t="s">
        <v>3558</v>
      </c>
      <c r="F117" s="232" t="s">
        <v>2580</v>
      </c>
      <c r="G117" s="1" t="s">
        <v>3524</v>
      </c>
      <c r="H117" s="232" t="s">
        <v>2826</v>
      </c>
      <c r="I117" s="233" t="s">
        <v>2827</v>
      </c>
      <c r="J117" s="14">
        <v>5</v>
      </c>
      <c r="K117" s="138">
        <v>6</v>
      </c>
      <c r="L117" s="138">
        <v>30</v>
      </c>
    </row>
    <row r="118" spans="1:12" x14ac:dyDescent="0.25">
      <c r="A118" s="1">
        <v>117</v>
      </c>
      <c r="B118" s="1">
        <v>39</v>
      </c>
      <c r="C118" s="232" t="s">
        <v>3478</v>
      </c>
      <c r="D118" s="232" t="s">
        <v>2553</v>
      </c>
      <c r="E118" s="1" t="s">
        <v>3559</v>
      </c>
      <c r="F118" s="232" t="s">
        <v>2586</v>
      </c>
      <c r="G118" s="1" t="s">
        <v>3528</v>
      </c>
      <c r="H118" s="232" t="s">
        <v>2828</v>
      </c>
      <c r="I118" s="233" t="s">
        <v>2829</v>
      </c>
      <c r="J118" s="14">
        <v>1</v>
      </c>
      <c r="K118" s="138">
        <v>18</v>
      </c>
      <c r="L118" s="138">
        <v>18</v>
      </c>
    </row>
    <row r="119" spans="1:12" x14ac:dyDescent="0.25">
      <c r="A119" s="1">
        <v>118</v>
      </c>
      <c r="B119" s="1">
        <v>39</v>
      </c>
      <c r="C119" s="232" t="s">
        <v>3490</v>
      </c>
      <c r="D119" s="232" t="s">
        <v>2553</v>
      </c>
      <c r="E119" s="1" t="s">
        <v>3559</v>
      </c>
      <c r="F119" s="232" t="s">
        <v>2630</v>
      </c>
      <c r="G119" s="1" t="s">
        <v>3529</v>
      </c>
      <c r="H119" s="232" t="s">
        <v>2830</v>
      </c>
      <c r="I119" s="233" t="s">
        <v>2831</v>
      </c>
      <c r="J119" s="14">
        <v>1</v>
      </c>
      <c r="K119" s="138">
        <v>18</v>
      </c>
      <c r="L119" s="138">
        <v>18</v>
      </c>
    </row>
    <row r="120" spans="1:12" x14ac:dyDescent="0.25">
      <c r="A120" s="1">
        <v>119</v>
      </c>
      <c r="B120" s="1">
        <v>39</v>
      </c>
      <c r="C120" s="232" t="s">
        <v>3499</v>
      </c>
      <c r="D120" s="232" t="s">
        <v>2553</v>
      </c>
      <c r="E120" s="1" t="s">
        <v>3559</v>
      </c>
      <c r="F120" s="232" t="s">
        <v>2775</v>
      </c>
      <c r="G120" s="1" t="s">
        <v>3532</v>
      </c>
      <c r="H120" s="232" t="s">
        <v>2832</v>
      </c>
      <c r="I120" s="233" t="s">
        <v>2833</v>
      </c>
      <c r="J120" s="14">
        <v>1</v>
      </c>
      <c r="K120" s="138">
        <v>100</v>
      </c>
      <c r="L120" s="138">
        <v>100</v>
      </c>
    </row>
    <row r="121" spans="1:12" x14ac:dyDescent="0.25">
      <c r="A121" s="1">
        <v>120</v>
      </c>
      <c r="B121" s="1">
        <v>39</v>
      </c>
      <c r="C121" s="232" t="s">
        <v>3493</v>
      </c>
      <c r="D121" s="232" t="s">
        <v>2553</v>
      </c>
      <c r="E121" s="1" t="s">
        <v>3559</v>
      </c>
      <c r="F121" s="232" t="s">
        <v>2689</v>
      </c>
      <c r="G121" s="1" t="s">
        <v>3534</v>
      </c>
      <c r="H121" s="232" t="s">
        <v>2834</v>
      </c>
      <c r="I121" s="233" t="s">
        <v>2835</v>
      </c>
      <c r="J121" s="14">
        <v>1</v>
      </c>
      <c r="K121" s="138">
        <v>50</v>
      </c>
      <c r="L121" s="138">
        <v>50</v>
      </c>
    </row>
    <row r="122" spans="1:12" x14ac:dyDescent="0.25">
      <c r="A122" s="1">
        <v>121</v>
      </c>
      <c r="B122" s="1">
        <v>40</v>
      </c>
      <c r="C122" s="232" t="s">
        <v>3500</v>
      </c>
      <c r="D122" s="232" t="s">
        <v>2554</v>
      </c>
      <c r="E122" s="1" t="s">
        <v>3560</v>
      </c>
      <c r="F122" s="232" t="s">
        <v>2782</v>
      </c>
      <c r="G122" s="1" t="s">
        <v>3536</v>
      </c>
      <c r="H122" s="232" t="s">
        <v>2836</v>
      </c>
      <c r="I122" s="233" t="s">
        <v>2837</v>
      </c>
      <c r="J122" s="14">
        <v>1</v>
      </c>
      <c r="K122" s="138">
        <v>10</v>
      </c>
      <c r="L122" s="138">
        <v>10</v>
      </c>
    </row>
    <row r="123" spans="1:12" x14ac:dyDescent="0.25">
      <c r="A123" s="1">
        <v>122</v>
      </c>
      <c r="B123" s="1">
        <v>41</v>
      </c>
      <c r="C123" s="232" t="s">
        <v>3501</v>
      </c>
      <c r="D123" s="232" t="s">
        <v>2555</v>
      </c>
      <c r="E123" s="1" t="s">
        <v>3561</v>
      </c>
      <c r="F123" s="232" t="s">
        <v>2785</v>
      </c>
      <c r="G123" s="1" t="s">
        <v>3546</v>
      </c>
      <c r="H123" s="232" t="s">
        <v>2838</v>
      </c>
      <c r="I123" s="233" t="s">
        <v>2839</v>
      </c>
      <c r="J123" s="14">
        <v>1</v>
      </c>
      <c r="K123" s="138">
        <v>10</v>
      </c>
      <c r="L123" s="138">
        <v>10</v>
      </c>
    </row>
    <row r="124" spans="1:12" x14ac:dyDescent="0.25">
      <c r="A124" s="1">
        <v>123</v>
      </c>
      <c r="B124" s="1">
        <v>41</v>
      </c>
      <c r="C124" s="232" t="s">
        <v>3506</v>
      </c>
      <c r="D124" s="232" t="s">
        <v>2555</v>
      </c>
      <c r="E124" s="1" t="s">
        <v>3561</v>
      </c>
      <c r="F124" s="232" t="s">
        <v>2840</v>
      </c>
      <c r="G124" s="1" t="s">
        <v>3545</v>
      </c>
      <c r="H124" s="232" t="s">
        <v>2841</v>
      </c>
      <c r="I124" s="233" t="s">
        <v>2842</v>
      </c>
      <c r="J124" s="14">
        <v>1</v>
      </c>
      <c r="K124" s="138">
        <v>6</v>
      </c>
      <c r="L124" s="138">
        <v>6</v>
      </c>
    </row>
    <row r="125" spans="1:12" x14ac:dyDescent="0.25">
      <c r="A125" s="1">
        <v>124</v>
      </c>
      <c r="B125" s="1">
        <v>41</v>
      </c>
      <c r="C125" s="232" t="s">
        <v>3488</v>
      </c>
      <c r="D125" s="232" t="s">
        <v>2555</v>
      </c>
      <c r="E125" s="1" t="s">
        <v>3561</v>
      </c>
      <c r="F125" s="232" t="s">
        <v>2616</v>
      </c>
      <c r="G125" s="1" t="s">
        <v>3549</v>
      </c>
      <c r="H125" s="232" t="s">
        <v>2843</v>
      </c>
      <c r="I125" s="233" t="s">
        <v>2844</v>
      </c>
      <c r="J125" s="14">
        <v>1</v>
      </c>
      <c r="K125" s="138">
        <v>3</v>
      </c>
      <c r="L125" s="138">
        <v>3</v>
      </c>
    </row>
    <row r="126" spans="1:12" x14ac:dyDescent="0.25">
      <c r="A126" s="1">
        <v>125</v>
      </c>
      <c r="B126" s="1">
        <v>42</v>
      </c>
      <c r="C126" s="232" t="s">
        <v>3502</v>
      </c>
      <c r="D126" s="232" t="s">
        <v>2556</v>
      </c>
      <c r="E126" s="1" t="s">
        <v>3562</v>
      </c>
      <c r="F126" s="232" t="s">
        <v>2788</v>
      </c>
      <c r="G126" s="1" t="s">
        <v>3551</v>
      </c>
      <c r="H126" s="232" t="s">
        <v>2845</v>
      </c>
      <c r="I126" s="233" t="s">
        <v>2846</v>
      </c>
      <c r="J126" s="14">
        <v>1</v>
      </c>
      <c r="K126" s="138">
        <v>150</v>
      </c>
      <c r="L126" s="138">
        <v>150</v>
      </c>
    </row>
    <row r="127" spans="1:12" x14ac:dyDescent="0.25">
      <c r="A127" s="1">
        <v>126</v>
      </c>
      <c r="B127" s="1">
        <v>42</v>
      </c>
      <c r="C127" s="232" t="s">
        <v>3503</v>
      </c>
      <c r="D127" s="232" t="s">
        <v>2556</v>
      </c>
      <c r="E127" s="1" t="s">
        <v>3562</v>
      </c>
      <c r="F127" s="232" t="s">
        <v>2791</v>
      </c>
      <c r="G127" s="1" t="s">
        <v>3554</v>
      </c>
      <c r="H127" s="232" t="s">
        <v>2847</v>
      </c>
      <c r="I127" s="233" t="s">
        <v>2848</v>
      </c>
      <c r="J127" s="14">
        <v>1</v>
      </c>
      <c r="K127" s="138">
        <v>5</v>
      </c>
      <c r="L127" s="138">
        <v>5</v>
      </c>
    </row>
    <row r="128" spans="1:12" x14ac:dyDescent="0.25">
      <c r="A128" s="1">
        <v>127</v>
      </c>
      <c r="B128" s="1">
        <v>43</v>
      </c>
      <c r="C128" s="232" t="s">
        <v>3504</v>
      </c>
      <c r="D128" s="232" t="s">
        <v>2557</v>
      </c>
      <c r="E128" s="1" t="s">
        <v>3563</v>
      </c>
      <c r="F128" s="232" t="s">
        <v>2794</v>
      </c>
      <c r="G128" s="1" t="s">
        <v>3555</v>
      </c>
      <c r="H128" s="232" t="s">
        <v>2849</v>
      </c>
      <c r="I128" s="233" t="s">
        <v>2850</v>
      </c>
      <c r="J128" s="14">
        <v>1</v>
      </c>
      <c r="K128" s="138">
        <v>1.7</v>
      </c>
      <c r="L128" s="138">
        <v>1.7</v>
      </c>
    </row>
    <row r="129" spans="1:12" x14ac:dyDescent="0.25">
      <c r="A129" s="1">
        <v>128</v>
      </c>
      <c r="B129" s="1">
        <v>44</v>
      </c>
      <c r="C129" s="232" t="s">
        <v>3471</v>
      </c>
      <c r="D129" s="232" t="s">
        <v>2552</v>
      </c>
      <c r="E129" s="1" t="s">
        <v>3558</v>
      </c>
      <c r="F129" s="232" t="s">
        <v>2565</v>
      </c>
      <c r="G129" s="1" t="s">
        <v>3515</v>
      </c>
      <c r="H129" s="232" t="s">
        <v>2851</v>
      </c>
      <c r="I129" s="233" t="s">
        <v>2852</v>
      </c>
      <c r="J129" s="14">
        <v>1</v>
      </c>
      <c r="K129" s="138">
        <v>75</v>
      </c>
      <c r="L129" s="138">
        <v>75</v>
      </c>
    </row>
    <row r="130" spans="1:12" x14ac:dyDescent="0.25">
      <c r="A130" s="1">
        <v>129</v>
      </c>
      <c r="B130" s="1">
        <v>44</v>
      </c>
      <c r="C130" s="232" t="s">
        <v>3476</v>
      </c>
      <c r="D130" s="232" t="s">
        <v>2552</v>
      </c>
      <c r="E130" s="1" t="s">
        <v>3558</v>
      </c>
      <c r="F130" s="232" t="s">
        <v>2580</v>
      </c>
      <c r="G130" s="1" t="s">
        <v>3524</v>
      </c>
      <c r="H130" s="232" t="s">
        <v>2853</v>
      </c>
      <c r="I130" s="233" t="s">
        <v>2854</v>
      </c>
      <c r="J130" s="14">
        <v>5</v>
      </c>
      <c r="K130" s="138">
        <v>6</v>
      </c>
      <c r="L130" s="138">
        <v>30</v>
      </c>
    </row>
    <row r="131" spans="1:12" x14ac:dyDescent="0.25">
      <c r="A131" s="1">
        <v>130</v>
      </c>
      <c r="B131" s="1">
        <v>45</v>
      </c>
      <c r="C131" s="232" t="s">
        <v>3477</v>
      </c>
      <c r="D131" s="232" t="s">
        <v>2553</v>
      </c>
      <c r="E131" s="1" t="s">
        <v>3559</v>
      </c>
      <c r="F131" s="232" t="s">
        <v>2583</v>
      </c>
      <c r="G131" s="1" t="s">
        <v>3527</v>
      </c>
      <c r="H131" s="232" t="s">
        <v>2855</v>
      </c>
      <c r="I131" s="233" t="s">
        <v>2856</v>
      </c>
      <c r="J131" s="14">
        <v>3</v>
      </c>
      <c r="K131" s="138">
        <v>20</v>
      </c>
      <c r="L131" s="138">
        <v>60</v>
      </c>
    </row>
    <row r="132" spans="1:12" x14ac:dyDescent="0.25">
      <c r="A132" s="1">
        <v>131</v>
      </c>
      <c r="B132" s="1">
        <v>45</v>
      </c>
      <c r="C132" s="232" t="s">
        <v>3479</v>
      </c>
      <c r="D132" s="232" t="s">
        <v>2553</v>
      </c>
      <c r="E132" s="1" t="s">
        <v>3559</v>
      </c>
      <c r="F132" s="232" t="s">
        <v>2589</v>
      </c>
      <c r="G132" s="1" t="s">
        <v>3530</v>
      </c>
      <c r="H132" s="232" t="s">
        <v>2857</v>
      </c>
      <c r="I132" s="233" t="s">
        <v>2858</v>
      </c>
      <c r="J132" s="14">
        <v>1</v>
      </c>
      <c r="K132" s="138">
        <v>70</v>
      </c>
      <c r="L132" s="138">
        <v>70</v>
      </c>
    </row>
    <row r="133" spans="1:12" x14ac:dyDescent="0.25">
      <c r="A133" s="1">
        <v>132</v>
      </c>
      <c r="B133" s="1">
        <v>45</v>
      </c>
      <c r="C133" s="232" t="s">
        <v>3499</v>
      </c>
      <c r="D133" s="232" t="s">
        <v>2553</v>
      </c>
      <c r="E133" s="1" t="s">
        <v>3559</v>
      </c>
      <c r="F133" s="232" t="s">
        <v>2775</v>
      </c>
      <c r="G133" s="1" t="s">
        <v>3532</v>
      </c>
      <c r="H133" s="232" t="s">
        <v>2859</v>
      </c>
      <c r="I133" s="233" t="s">
        <v>2860</v>
      </c>
      <c r="J133" s="14">
        <v>1</v>
      </c>
      <c r="K133" s="138">
        <v>100</v>
      </c>
      <c r="L133" s="138">
        <v>100</v>
      </c>
    </row>
    <row r="134" spans="1:12" x14ac:dyDescent="0.25">
      <c r="A134" s="1">
        <v>133</v>
      </c>
      <c r="B134" s="1">
        <v>45</v>
      </c>
      <c r="C134" s="232" t="s">
        <v>3480</v>
      </c>
      <c r="D134" s="232" t="s">
        <v>2553</v>
      </c>
      <c r="E134" s="1" t="s">
        <v>3559</v>
      </c>
      <c r="F134" s="232" t="s">
        <v>2592</v>
      </c>
      <c r="G134" s="1" t="s">
        <v>3533</v>
      </c>
      <c r="H134" s="232" t="s">
        <v>2861</v>
      </c>
      <c r="I134" s="233" t="s">
        <v>2862</v>
      </c>
      <c r="J134" s="14">
        <v>4</v>
      </c>
      <c r="K134" s="138">
        <v>7</v>
      </c>
      <c r="L134" s="138">
        <v>28</v>
      </c>
    </row>
    <row r="135" spans="1:12" x14ac:dyDescent="0.25">
      <c r="A135" s="1">
        <v>134</v>
      </c>
      <c r="B135" s="1">
        <v>46</v>
      </c>
      <c r="C135" s="232" t="s">
        <v>3507</v>
      </c>
      <c r="D135" s="232" t="s">
        <v>2555</v>
      </c>
      <c r="E135" s="1" t="s">
        <v>3561</v>
      </c>
      <c r="F135" s="232" t="s">
        <v>2863</v>
      </c>
      <c r="G135" s="1" t="s">
        <v>3548</v>
      </c>
      <c r="H135" s="232" t="s">
        <v>2864</v>
      </c>
      <c r="I135" s="233" t="s">
        <v>2865</v>
      </c>
      <c r="J135" s="14">
        <v>1</v>
      </c>
      <c r="K135" s="138">
        <v>10</v>
      </c>
      <c r="L135" s="138">
        <v>10</v>
      </c>
    </row>
    <row r="136" spans="1:12" x14ac:dyDescent="0.25">
      <c r="A136" s="1">
        <v>135</v>
      </c>
      <c r="B136" s="1">
        <v>47</v>
      </c>
      <c r="C136" s="232" t="s">
        <v>3504</v>
      </c>
      <c r="D136" s="232" t="s">
        <v>2557</v>
      </c>
      <c r="E136" s="1" t="s">
        <v>3563</v>
      </c>
      <c r="F136" s="232" t="s">
        <v>2794</v>
      </c>
      <c r="G136" s="1" t="s">
        <v>3555</v>
      </c>
      <c r="H136" s="232" t="s">
        <v>2866</v>
      </c>
      <c r="I136" s="233" t="s">
        <v>2867</v>
      </c>
      <c r="J136" s="14">
        <v>1</v>
      </c>
      <c r="K136" s="138">
        <v>1.7</v>
      </c>
      <c r="L136" s="138">
        <v>1.7</v>
      </c>
    </row>
    <row r="137" spans="1:12" x14ac:dyDescent="0.25">
      <c r="A137" s="1">
        <v>136</v>
      </c>
      <c r="B137" s="1">
        <v>48</v>
      </c>
      <c r="C137" s="232" t="s">
        <v>3474</v>
      </c>
      <c r="D137" s="232" t="s">
        <v>2552</v>
      </c>
      <c r="E137" s="1" t="s">
        <v>3558</v>
      </c>
      <c r="F137" s="232" t="s">
        <v>2574</v>
      </c>
      <c r="G137" s="1" t="s">
        <v>3521</v>
      </c>
      <c r="H137" s="232" t="s">
        <v>2868</v>
      </c>
      <c r="I137" s="233" t="s">
        <v>2869</v>
      </c>
      <c r="J137" s="14">
        <v>3</v>
      </c>
      <c r="K137" s="138">
        <v>77</v>
      </c>
      <c r="L137" s="138">
        <v>231</v>
      </c>
    </row>
    <row r="138" spans="1:12" x14ac:dyDescent="0.25">
      <c r="A138" s="1">
        <v>137</v>
      </c>
      <c r="B138" s="1">
        <v>48</v>
      </c>
      <c r="C138" s="232" t="s">
        <v>3476</v>
      </c>
      <c r="D138" s="232" t="s">
        <v>2552</v>
      </c>
      <c r="E138" s="1" t="s">
        <v>3558</v>
      </c>
      <c r="F138" s="232" t="s">
        <v>2580</v>
      </c>
      <c r="G138" s="1" t="s">
        <v>3524</v>
      </c>
      <c r="H138" s="232" t="s">
        <v>2870</v>
      </c>
      <c r="I138" s="233" t="s">
        <v>2871</v>
      </c>
      <c r="J138" s="14">
        <v>3</v>
      </c>
      <c r="K138" s="138">
        <v>6</v>
      </c>
      <c r="L138" s="138">
        <v>18</v>
      </c>
    </row>
    <row r="139" spans="1:12" x14ac:dyDescent="0.25">
      <c r="A139" s="1">
        <v>138</v>
      </c>
      <c r="B139" s="1">
        <v>49</v>
      </c>
      <c r="C139" s="232" t="s">
        <v>3495</v>
      </c>
      <c r="D139" s="232" t="s">
        <v>2552</v>
      </c>
      <c r="E139" s="1" t="s">
        <v>3558</v>
      </c>
      <c r="F139" s="232" t="s">
        <v>2745</v>
      </c>
      <c r="G139" s="1" t="s">
        <v>3517</v>
      </c>
      <c r="H139" s="232" t="s">
        <v>2872</v>
      </c>
      <c r="I139" s="233" t="s">
        <v>2873</v>
      </c>
      <c r="J139" s="14">
        <v>1</v>
      </c>
      <c r="K139" s="138">
        <v>148</v>
      </c>
      <c r="L139" s="138">
        <v>148</v>
      </c>
    </row>
    <row r="140" spans="1:12" x14ac:dyDescent="0.25">
      <c r="A140" s="1">
        <v>139</v>
      </c>
      <c r="B140" s="1">
        <v>49</v>
      </c>
      <c r="C140" s="232" t="s">
        <v>3473</v>
      </c>
      <c r="D140" s="232" t="s">
        <v>2552</v>
      </c>
      <c r="E140" s="1" t="s">
        <v>3558</v>
      </c>
      <c r="F140" s="232" t="s">
        <v>2571</v>
      </c>
      <c r="G140" s="1" t="s">
        <v>3518</v>
      </c>
      <c r="H140" s="232" t="s">
        <v>2874</v>
      </c>
      <c r="I140" s="233" t="s">
        <v>2875</v>
      </c>
      <c r="J140" s="14">
        <v>1</v>
      </c>
      <c r="K140" s="138">
        <v>5</v>
      </c>
      <c r="L140" s="138">
        <v>5</v>
      </c>
    </row>
    <row r="141" spans="1:12" x14ac:dyDescent="0.25">
      <c r="A141" s="1">
        <v>140</v>
      </c>
      <c r="B141" s="1">
        <v>49</v>
      </c>
      <c r="C141" s="232" t="s">
        <v>3497</v>
      </c>
      <c r="D141" s="232" t="s">
        <v>2552</v>
      </c>
      <c r="E141" s="1" t="s">
        <v>3558</v>
      </c>
      <c r="F141" s="232" t="s">
        <v>2753</v>
      </c>
      <c r="G141" s="1" t="s">
        <v>3520</v>
      </c>
      <c r="H141" s="232" t="s">
        <v>2876</v>
      </c>
      <c r="I141" s="233" t="s">
        <v>2877</v>
      </c>
      <c r="J141" s="14">
        <v>1</v>
      </c>
      <c r="K141" s="138">
        <v>10</v>
      </c>
      <c r="L141" s="138">
        <v>10</v>
      </c>
    </row>
    <row r="142" spans="1:12" x14ac:dyDescent="0.25">
      <c r="A142" s="1">
        <v>141</v>
      </c>
      <c r="B142" s="1">
        <v>49</v>
      </c>
      <c r="C142" s="232" t="s">
        <v>3474</v>
      </c>
      <c r="D142" s="232" t="s">
        <v>2552</v>
      </c>
      <c r="E142" s="1" t="s">
        <v>3558</v>
      </c>
      <c r="F142" s="232" t="s">
        <v>2574</v>
      </c>
      <c r="G142" s="1" t="s">
        <v>3521</v>
      </c>
      <c r="H142" s="232" t="s">
        <v>2878</v>
      </c>
      <c r="I142" s="233" t="s">
        <v>2879</v>
      </c>
      <c r="J142" s="14">
        <v>1</v>
      </c>
      <c r="K142" s="138">
        <v>77</v>
      </c>
      <c r="L142" s="138">
        <v>77</v>
      </c>
    </row>
    <row r="143" spans="1:12" x14ac:dyDescent="0.25">
      <c r="A143" s="1">
        <v>142</v>
      </c>
      <c r="B143" s="1">
        <v>49</v>
      </c>
      <c r="C143" s="232" t="s">
        <v>3498</v>
      </c>
      <c r="D143" s="232" t="s">
        <v>2552</v>
      </c>
      <c r="E143" s="1" t="s">
        <v>3558</v>
      </c>
      <c r="F143" s="232" t="s">
        <v>2758</v>
      </c>
      <c r="G143" s="1" t="s">
        <v>3522</v>
      </c>
      <c r="H143" s="232" t="s">
        <v>2880</v>
      </c>
      <c r="I143" s="233" t="s">
        <v>2881</v>
      </c>
      <c r="J143" s="14">
        <v>1</v>
      </c>
      <c r="K143" s="138">
        <v>1.6</v>
      </c>
      <c r="L143" s="138">
        <v>1.6</v>
      </c>
    </row>
    <row r="144" spans="1:12" x14ac:dyDescent="0.25">
      <c r="A144" s="1">
        <v>143</v>
      </c>
      <c r="B144" s="1">
        <v>49</v>
      </c>
      <c r="C144" s="232" t="s">
        <v>3475</v>
      </c>
      <c r="D144" s="232" t="s">
        <v>2552</v>
      </c>
      <c r="E144" s="1" t="s">
        <v>3558</v>
      </c>
      <c r="F144" s="232" t="s">
        <v>2577</v>
      </c>
      <c r="G144" s="1" t="s">
        <v>3523</v>
      </c>
      <c r="H144" s="232" t="s">
        <v>2882</v>
      </c>
      <c r="I144" s="233" t="s">
        <v>2883</v>
      </c>
      <c r="J144" s="14">
        <v>1</v>
      </c>
      <c r="K144" s="138">
        <v>42</v>
      </c>
      <c r="L144" s="138">
        <v>42</v>
      </c>
    </row>
    <row r="145" spans="1:12" x14ac:dyDescent="0.25">
      <c r="A145" s="1">
        <v>144</v>
      </c>
      <c r="B145" s="1">
        <v>49</v>
      </c>
      <c r="C145" s="232" t="s">
        <v>3476</v>
      </c>
      <c r="D145" s="232" t="s">
        <v>2552</v>
      </c>
      <c r="E145" s="1" t="s">
        <v>3558</v>
      </c>
      <c r="F145" s="232" t="s">
        <v>2580</v>
      </c>
      <c r="G145" s="1" t="s">
        <v>3524</v>
      </c>
      <c r="H145" s="232" t="s">
        <v>2884</v>
      </c>
      <c r="I145" s="233" t="s">
        <v>2885</v>
      </c>
      <c r="J145" s="14">
        <v>5</v>
      </c>
      <c r="K145" s="138">
        <v>6</v>
      </c>
      <c r="L145" s="138">
        <v>30</v>
      </c>
    </row>
    <row r="146" spans="1:12" x14ac:dyDescent="0.25">
      <c r="A146" s="1">
        <v>145</v>
      </c>
      <c r="B146" s="1">
        <v>50</v>
      </c>
      <c r="C146" s="232" t="s">
        <v>3477</v>
      </c>
      <c r="D146" s="232" t="s">
        <v>2553</v>
      </c>
      <c r="E146" s="1" t="s">
        <v>3559</v>
      </c>
      <c r="F146" s="232" t="s">
        <v>2583</v>
      </c>
      <c r="G146" s="1" t="s">
        <v>3527</v>
      </c>
      <c r="H146" s="232" t="s">
        <v>2886</v>
      </c>
      <c r="I146" s="233" t="s">
        <v>2887</v>
      </c>
      <c r="J146" s="14">
        <v>1</v>
      </c>
      <c r="K146" s="138">
        <v>20</v>
      </c>
      <c r="L146" s="138">
        <v>20</v>
      </c>
    </row>
    <row r="147" spans="1:12" x14ac:dyDescent="0.25">
      <c r="A147" s="1">
        <v>146</v>
      </c>
      <c r="B147" s="1">
        <v>50</v>
      </c>
      <c r="C147" s="232" t="s">
        <v>3478</v>
      </c>
      <c r="D147" s="232" t="s">
        <v>2553</v>
      </c>
      <c r="E147" s="1" t="s">
        <v>3559</v>
      </c>
      <c r="F147" s="232" t="s">
        <v>2586</v>
      </c>
      <c r="G147" s="1" t="s">
        <v>3528</v>
      </c>
      <c r="H147" s="232" t="s">
        <v>2888</v>
      </c>
      <c r="I147" s="233" t="s">
        <v>2889</v>
      </c>
      <c r="J147" s="14">
        <v>1</v>
      </c>
      <c r="K147" s="138">
        <v>18</v>
      </c>
      <c r="L147" s="138">
        <v>18</v>
      </c>
    </row>
    <row r="148" spans="1:12" x14ac:dyDescent="0.25">
      <c r="A148" s="1">
        <v>147</v>
      </c>
      <c r="B148" s="1">
        <v>50</v>
      </c>
      <c r="C148" s="232" t="s">
        <v>3490</v>
      </c>
      <c r="D148" s="232" t="s">
        <v>2553</v>
      </c>
      <c r="E148" s="1" t="s">
        <v>3559</v>
      </c>
      <c r="F148" s="232" t="s">
        <v>2630</v>
      </c>
      <c r="G148" s="1" t="s">
        <v>3529</v>
      </c>
      <c r="H148" s="232" t="s">
        <v>2890</v>
      </c>
      <c r="I148" s="233" t="s">
        <v>2891</v>
      </c>
      <c r="J148" s="14">
        <v>1</v>
      </c>
      <c r="K148" s="138">
        <v>18</v>
      </c>
      <c r="L148" s="138">
        <v>18</v>
      </c>
    </row>
    <row r="149" spans="1:12" x14ac:dyDescent="0.25">
      <c r="A149" s="1">
        <v>148</v>
      </c>
      <c r="B149" s="1">
        <v>50</v>
      </c>
      <c r="C149" s="232" t="s">
        <v>3479</v>
      </c>
      <c r="D149" s="232" t="s">
        <v>2553</v>
      </c>
      <c r="E149" s="1" t="s">
        <v>3559</v>
      </c>
      <c r="F149" s="232" t="s">
        <v>2589</v>
      </c>
      <c r="G149" s="1" t="s">
        <v>3530</v>
      </c>
      <c r="H149" s="232" t="s">
        <v>2892</v>
      </c>
      <c r="I149" s="233" t="s">
        <v>2893</v>
      </c>
      <c r="J149" s="14">
        <v>1</v>
      </c>
      <c r="K149" s="138">
        <v>70</v>
      </c>
      <c r="L149" s="138">
        <v>70</v>
      </c>
    </row>
    <row r="150" spans="1:12" x14ac:dyDescent="0.25">
      <c r="A150" s="1">
        <v>149</v>
      </c>
      <c r="B150" s="1">
        <v>50</v>
      </c>
      <c r="C150" s="232" t="s">
        <v>3491</v>
      </c>
      <c r="D150" s="232" t="s">
        <v>2553</v>
      </c>
      <c r="E150" s="1" t="s">
        <v>3559</v>
      </c>
      <c r="F150" s="232" t="s">
        <v>2635</v>
      </c>
      <c r="G150" s="1" t="s">
        <v>3531</v>
      </c>
      <c r="H150" s="232" t="s">
        <v>2894</v>
      </c>
      <c r="I150" s="233" t="s">
        <v>2895</v>
      </c>
      <c r="J150" s="14">
        <v>1</v>
      </c>
      <c r="K150" s="138">
        <v>40</v>
      </c>
      <c r="L150" s="138">
        <v>40</v>
      </c>
    </row>
    <row r="151" spans="1:12" x14ac:dyDescent="0.25">
      <c r="A151" s="1">
        <v>150</v>
      </c>
      <c r="B151" s="1">
        <v>50</v>
      </c>
      <c r="C151" s="232" t="s">
        <v>3480</v>
      </c>
      <c r="D151" s="232" t="s">
        <v>2553</v>
      </c>
      <c r="E151" s="1" t="s">
        <v>3559</v>
      </c>
      <c r="F151" s="232" t="s">
        <v>2592</v>
      </c>
      <c r="G151" s="1" t="s">
        <v>3533</v>
      </c>
      <c r="H151" s="232" t="s">
        <v>2896</v>
      </c>
      <c r="I151" s="233" t="s">
        <v>2897</v>
      </c>
      <c r="J151" s="14">
        <v>4</v>
      </c>
      <c r="K151" s="138">
        <v>7</v>
      </c>
      <c r="L151" s="138">
        <v>28</v>
      </c>
    </row>
    <row r="152" spans="1:12" x14ac:dyDescent="0.25">
      <c r="A152" s="1">
        <v>151</v>
      </c>
      <c r="B152" s="1">
        <v>50</v>
      </c>
      <c r="C152" s="232" t="s">
        <v>3493</v>
      </c>
      <c r="D152" s="232" t="s">
        <v>2553</v>
      </c>
      <c r="E152" s="1" t="s">
        <v>3559</v>
      </c>
      <c r="F152" s="232" t="s">
        <v>2689</v>
      </c>
      <c r="G152" s="1" t="s">
        <v>3534</v>
      </c>
      <c r="H152" s="232" t="s">
        <v>2898</v>
      </c>
      <c r="I152" s="233" t="s">
        <v>2899</v>
      </c>
      <c r="J152" s="14">
        <v>1</v>
      </c>
      <c r="K152" s="138">
        <v>50</v>
      </c>
      <c r="L152" s="138">
        <v>50</v>
      </c>
    </row>
    <row r="153" spans="1:12" x14ac:dyDescent="0.25">
      <c r="A153" s="1">
        <v>152</v>
      </c>
      <c r="B153" s="1">
        <v>51</v>
      </c>
      <c r="C153" s="232" t="s">
        <v>3500</v>
      </c>
      <c r="D153" s="232" t="s">
        <v>2554</v>
      </c>
      <c r="E153" s="1" t="s">
        <v>3560</v>
      </c>
      <c r="F153" s="232" t="s">
        <v>2782</v>
      </c>
      <c r="G153" s="1" t="s">
        <v>3536</v>
      </c>
      <c r="H153" s="232"/>
      <c r="I153" s="233"/>
      <c r="J153" s="14">
        <v>1</v>
      </c>
      <c r="K153" s="138">
        <v>10</v>
      </c>
      <c r="L153" s="138">
        <v>10</v>
      </c>
    </row>
    <row r="154" spans="1:12" x14ac:dyDescent="0.25">
      <c r="A154" s="1">
        <v>153</v>
      </c>
      <c r="B154" s="1">
        <v>51</v>
      </c>
      <c r="C154" s="232" t="s">
        <v>3481</v>
      </c>
      <c r="D154" s="232" t="s">
        <v>2554</v>
      </c>
      <c r="E154" s="1" t="s">
        <v>3560</v>
      </c>
      <c r="F154" s="232" t="s">
        <v>2595</v>
      </c>
      <c r="G154" s="1" t="s">
        <v>3537</v>
      </c>
      <c r="H154" s="232"/>
      <c r="I154" s="233"/>
      <c r="J154" s="14">
        <v>1</v>
      </c>
      <c r="K154" s="138">
        <v>0.5</v>
      </c>
      <c r="L154" s="138">
        <v>0.5</v>
      </c>
    </row>
    <row r="155" spans="1:12" x14ac:dyDescent="0.25">
      <c r="A155" s="1">
        <v>154</v>
      </c>
      <c r="B155" s="1">
        <v>51</v>
      </c>
      <c r="C155" s="232" t="s">
        <v>3482</v>
      </c>
      <c r="D155" s="232" t="s">
        <v>2554</v>
      </c>
      <c r="E155" s="1" t="s">
        <v>3560</v>
      </c>
      <c r="F155" s="232" t="s">
        <v>2598</v>
      </c>
      <c r="G155" s="1" t="s">
        <v>3538</v>
      </c>
      <c r="H155" s="232"/>
      <c r="I155" s="233"/>
      <c r="J155" s="14">
        <v>1</v>
      </c>
      <c r="K155" s="138">
        <v>3</v>
      </c>
      <c r="L155" s="138">
        <v>3</v>
      </c>
    </row>
    <row r="156" spans="1:12" x14ac:dyDescent="0.25">
      <c r="A156" s="1">
        <v>155</v>
      </c>
      <c r="B156" s="1">
        <v>51</v>
      </c>
      <c r="C156" s="232" t="s">
        <v>3483</v>
      </c>
      <c r="D156" s="232" t="s">
        <v>2554</v>
      </c>
      <c r="E156" s="1" t="s">
        <v>3560</v>
      </c>
      <c r="F156" s="232" t="s">
        <v>2601</v>
      </c>
      <c r="G156" s="1" t="s">
        <v>3539</v>
      </c>
      <c r="H156" s="232"/>
      <c r="I156" s="233"/>
      <c r="J156" s="14">
        <v>1</v>
      </c>
      <c r="K156" s="138">
        <v>3</v>
      </c>
      <c r="L156" s="138">
        <v>3</v>
      </c>
    </row>
    <row r="157" spans="1:12" x14ac:dyDescent="0.25">
      <c r="A157" s="1">
        <v>156</v>
      </c>
      <c r="B157" s="1">
        <v>51</v>
      </c>
      <c r="C157" s="232" t="s">
        <v>3484</v>
      </c>
      <c r="D157" s="232" t="s">
        <v>2554</v>
      </c>
      <c r="E157" s="1" t="s">
        <v>3560</v>
      </c>
      <c r="F157" s="232" t="s">
        <v>2604</v>
      </c>
      <c r="G157" s="1" t="s">
        <v>3540</v>
      </c>
      <c r="H157" s="232"/>
      <c r="I157" s="233"/>
      <c r="J157" s="14">
        <v>1</v>
      </c>
      <c r="K157" s="138">
        <v>77</v>
      </c>
      <c r="L157" s="138">
        <v>77</v>
      </c>
    </row>
    <row r="158" spans="1:12" x14ac:dyDescent="0.25">
      <c r="A158" s="1">
        <v>157</v>
      </c>
      <c r="B158" s="1">
        <v>51</v>
      </c>
      <c r="C158" s="232" t="s">
        <v>3485</v>
      </c>
      <c r="D158" s="232" t="s">
        <v>2554</v>
      </c>
      <c r="E158" s="1" t="s">
        <v>3560</v>
      </c>
      <c r="F158" s="232" t="s">
        <v>2607</v>
      </c>
      <c r="G158" s="1" t="s">
        <v>3541</v>
      </c>
      <c r="H158" s="232"/>
      <c r="I158" s="233"/>
      <c r="J158" s="14">
        <v>1</v>
      </c>
      <c r="K158" s="138">
        <v>22</v>
      </c>
      <c r="L158" s="138">
        <v>22</v>
      </c>
    </row>
    <row r="159" spans="1:12" x14ac:dyDescent="0.25">
      <c r="A159" s="1">
        <v>158</v>
      </c>
      <c r="B159" s="1">
        <v>51</v>
      </c>
      <c r="C159" s="232" t="s">
        <v>3486</v>
      </c>
      <c r="D159" s="232" t="s">
        <v>2554</v>
      </c>
      <c r="E159" s="1" t="s">
        <v>3560</v>
      </c>
      <c r="F159" s="232" t="s">
        <v>2610</v>
      </c>
      <c r="G159" s="1" t="s">
        <v>3542</v>
      </c>
      <c r="H159" s="232"/>
      <c r="I159" s="233"/>
      <c r="J159" s="14">
        <v>1</v>
      </c>
      <c r="K159" s="138">
        <v>0.4</v>
      </c>
      <c r="L159" s="138">
        <v>0.4</v>
      </c>
    </row>
    <row r="160" spans="1:12" x14ac:dyDescent="0.25">
      <c r="A160" s="1">
        <v>159</v>
      </c>
      <c r="B160" s="1">
        <v>51</v>
      </c>
      <c r="C160" s="232" t="s">
        <v>3487</v>
      </c>
      <c r="D160" s="232" t="s">
        <v>2554</v>
      </c>
      <c r="E160" s="1" t="s">
        <v>3560</v>
      </c>
      <c r="F160" s="232" t="s">
        <v>2613</v>
      </c>
      <c r="G160" s="1" t="s">
        <v>3543</v>
      </c>
      <c r="H160" s="232"/>
      <c r="I160" s="233"/>
      <c r="J160" s="14">
        <v>1</v>
      </c>
      <c r="K160" s="138">
        <v>45</v>
      </c>
      <c r="L160" s="138">
        <v>45</v>
      </c>
    </row>
    <row r="161" spans="1:12" x14ac:dyDescent="0.25">
      <c r="A161" s="1">
        <v>160</v>
      </c>
      <c r="B161" s="1">
        <v>52</v>
      </c>
      <c r="C161" s="232" t="s">
        <v>3506</v>
      </c>
      <c r="D161" s="232" t="s">
        <v>2555</v>
      </c>
      <c r="E161" s="1" t="s">
        <v>3561</v>
      </c>
      <c r="F161" s="232" t="s">
        <v>2840</v>
      </c>
      <c r="G161" s="1" t="s">
        <v>3545</v>
      </c>
      <c r="H161" s="232"/>
      <c r="I161" s="233"/>
      <c r="J161" s="14">
        <v>1</v>
      </c>
      <c r="K161" s="138">
        <v>6</v>
      </c>
      <c r="L161" s="138">
        <v>6</v>
      </c>
    </row>
    <row r="162" spans="1:12" x14ac:dyDescent="0.25">
      <c r="A162" s="1">
        <v>161</v>
      </c>
      <c r="B162" s="1">
        <v>52</v>
      </c>
      <c r="C162" s="232" t="s">
        <v>3501</v>
      </c>
      <c r="D162" s="232" t="s">
        <v>2555</v>
      </c>
      <c r="E162" s="1" t="s">
        <v>3561</v>
      </c>
      <c r="F162" s="232" t="s">
        <v>2785</v>
      </c>
      <c r="G162" s="1" t="s">
        <v>3546</v>
      </c>
      <c r="H162" s="232"/>
      <c r="I162" s="233"/>
      <c r="J162" s="14">
        <v>1</v>
      </c>
      <c r="K162" s="138">
        <v>10</v>
      </c>
      <c r="L162" s="138">
        <v>10</v>
      </c>
    </row>
    <row r="163" spans="1:12" x14ac:dyDescent="0.25">
      <c r="A163" s="1">
        <v>162</v>
      </c>
      <c r="B163" s="1">
        <v>52</v>
      </c>
      <c r="C163" s="232" t="s">
        <v>3507</v>
      </c>
      <c r="D163" s="232" t="s">
        <v>2555</v>
      </c>
      <c r="E163" s="1" t="s">
        <v>3561</v>
      </c>
      <c r="F163" s="232" t="s">
        <v>2863</v>
      </c>
      <c r="G163" s="1" t="s">
        <v>3548</v>
      </c>
      <c r="H163" s="232"/>
      <c r="I163" s="233"/>
      <c r="J163" s="14">
        <v>1</v>
      </c>
      <c r="K163" s="138">
        <v>10</v>
      </c>
      <c r="L163" s="138">
        <v>10</v>
      </c>
    </row>
    <row r="164" spans="1:12" x14ac:dyDescent="0.25">
      <c r="A164" s="1">
        <v>163</v>
      </c>
      <c r="B164" s="1">
        <v>52</v>
      </c>
      <c r="C164" s="232" t="s">
        <v>3488</v>
      </c>
      <c r="D164" s="232" t="s">
        <v>2555</v>
      </c>
      <c r="E164" s="1" t="s">
        <v>3561</v>
      </c>
      <c r="F164" s="232" t="s">
        <v>2616</v>
      </c>
      <c r="G164" s="1" t="s">
        <v>3549</v>
      </c>
      <c r="H164" s="232"/>
      <c r="I164" s="233"/>
      <c r="J164" s="14">
        <v>1</v>
      </c>
      <c r="K164" s="138">
        <v>3</v>
      </c>
      <c r="L164" s="138">
        <v>3</v>
      </c>
    </row>
    <row r="165" spans="1:12" x14ac:dyDescent="0.25">
      <c r="A165" s="1">
        <v>164</v>
      </c>
      <c r="B165" s="1">
        <v>53</v>
      </c>
      <c r="C165" s="232" t="s">
        <v>3502</v>
      </c>
      <c r="D165" s="232" t="s">
        <v>2556</v>
      </c>
      <c r="E165" s="1" t="s">
        <v>3562</v>
      </c>
      <c r="F165" s="232" t="s">
        <v>2788</v>
      </c>
      <c r="G165" s="1" t="s">
        <v>3551</v>
      </c>
      <c r="H165" s="232"/>
      <c r="I165" s="233"/>
      <c r="J165" s="14">
        <v>1</v>
      </c>
      <c r="K165" s="138">
        <v>150</v>
      </c>
      <c r="L165" s="138">
        <v>150</v>
      </c>
    </row>
    <row r="166" spans="1:12" x14ac:dyDescent="0.25">
      <c r="A166" s="1">
        <v>165</v>
      </c>
      <c r="B166" s="1">
        <v>53</v>
      </c>
      <c r="C166" s="232" t="s">
        <v>3508</v>
      </c>
      <c r="D166" s="232" t="s">
        <v>2556</v>
      </c>
      <c r="E166" s="1" t="s">
        <v>3562</v>
      </c>
      <c r="F166" s="232" t="s">
        <v>2900</v>
      </c>
      <c r="G166" s="1" t="s">
        <v>3553</v>
      </c>
      <c r="H166" s="232"/>
      <c r="I166" s="233"/>
      <c r="J166" s="14">
        <v>1</v>
      </c>
      <c r="K166" s="138">
        <v>4</v>
      </c>
      <c r="L166" s="138">
        <v>4</v>
      </c>
    </row>
    <row r="167" spans="1:12" x14ac:dyDescent="0.25">
      <c r="A167" s="1">
        <v>166</v>
      </c>
      <c r="B167" s="1">
        <v>53</v>
      </c>
      <c r="C167" s="232" t="s">
        <v>3503</v>
      </c>
      <c r="D167" s="232" t="s">
        <v>2556</v>
      </c>
      <c r="E167" s="1" t="s">
        <v>3562</v>
      </c>
      <c r="F167" s="232" t="s">
        <v>2791</v>
      </c>
      <c r="G167" s="1" t="s">
        <v>3554</v>
      </c>
      <c r="H167" s="232"/>
      <c r="I167" s="233"/>
      <c r="J167" s="14">
        <v>1</v>
      </c>
      <c r="K167" s="138">
        <v>5</v>
      </c>
      <c r="L167" s="138">
        <v>5</v>
      </c>
    </row>
    <row r="168" spans="1:12" x14ac:dyDescent="0.25">
      <c r="A168" s="1">
        <v>167</v>
      </c>
      <c r="B168" s="1">
        <v>54</v>
      </c>
      <c r="C168" s="232" t="s">
        <v>3504</v>
      </c>
      <c r="D168" s="232" t="s">
        <v>2557</v>
      </c>
      <c r="E168" s="1" t="s">
        <v>3563</v>
      </c>
      <c r="F168" s="232" t="s">
        <v>2794</v>
      </c>
      <c r="G168" s="1" t="s">
        <v>3555</v>
      </c>
      <c r="H168" s="232"/>
      <c r="I168" s="233"/>
      <c r="J168" s="14">
        <v>1</v>
      </c>
      <c r="K168" s="138">
        <v>1.7</v>
      </c>
      <c r="L168" s="138">
        <v>1.7</v>
      </c>
    </row>
    <row r="169" spans="1:12" x14ac:dyDescent="0.25">
      <c r="A169" s="1">
        <v>168</v>
      </c>
      <c r="B169" s="1">
        <v>55</v>
      </c>
      <c r="C169" s="232" t="s">
        <v>3504</v>
      </c>
      <c r="D169" s="232" t="s">
        <v>2557</v>
      </c>
      <c r="E169" s="1" t="s">
        <v>3563</v>
      </c>
      <c r="F169" s="232" t="s">
        <v>2794</v>
      </c>
      <c r="G169" s="1" t="s">
        <v>3555</v>
      </c>
      <c r="H169" s="232"/>
      <c r="I169" s="233"/>
      <c r="J169" s="14">
        <v>1</v>
      </c>
      <c r="K169" s="138">
        <v>1.7</v>
      </c>
      <c r="L169" s="138">
        <v>1.7</v>
      </c>
    </row>
    <row r="170" spans="1:12" x14ac:dyDescent="0.25">
      <c r="A170" s="1">
        <v>169</v>
      </c>
      <c r="B170" s="1">
        <v>56</v>
      </c>
      <c r="C170" s="232" t="s">
        <v>3471</v>
      </c>
      <c r="D170" s="232" t="s">
        <v>2552</v>
      </c>
      <c r="E170" s="1" t="s">
        <v>3558</v>
      </c>
      <c r="F170" s="232" t="s">
        <v>2565</v>
      </c>
      <c r="G170" s="1" t="s">
        <v>3515</v>
      </c>
      <c r="H170" s="232" t="s">
        <v>2901</v>
      </c>
      <c r="I170" s="233" t="s">
        <v>2902</v>
      </c>
      <c r="J170" s="14">
        <v>1</v>
      </c>
      <c r="K170" s="138">
        <v>75</v>
      </c>
      <c r="L170" s="138">
        <v>75</v>
      </c>
    </row>
    <row r="171" spans="1:12" x14ac:dyDescent="0.25">
      <c r="A171" s="1">
        <v>170</v>
      </c>
      <c r="B171" s="1">
        <v>57</v>
      </c>
      <c r="C171" s="232" t="s">
        <v>3477</v>
      </c>
      <c r="D171" s="232" t="s">
        <v>2553</v>
      </c>
      <c r="E171" s="1" t="s">
        <v>3559</v>
      </c>
      <c r="F171" s="232" t="s">
        <v>2583</v>
      </c>
      <c r="G171" s="1" t="s">
        <v>3527</v>
      </c>
      <c r="H171" s="232" t="s">
        <v>2903</v>
      </c>
      <c r="I171" s="233" t="s">
        <v>2904</v>
      </c>
      <c r="J171" s="14">
        <v>1</v>
      </c>
      <c r="K171" s="138">
        <v>20</v>
      </c>
      <c r="L171" s="138">
        <v>20</v>
      </c>
    </row>
    <row r="172" spans="1:12" x14ac:dyDescent="0.25">
      <c r="A172" s="1">
        <v>171</v>
      </c>
      <c r="B172" s="1">
        <v>57</v>
      </c>
      <c r="C172" s="232" t="s">
        <v>3479</v>
      </c>
      <c r="D172" s="232" t="s">
        <v>2553</v>
      </c>
      <c r="E172" s="1" t="s">
        <v>3559</v>
      </c>
      <c r="F172" s="232" t="s">
        <v>2589</v>
      </c>
      <c r="G172" s="1" t="s">
        <v>3530</v>
      </c>
      <c r="H172" s="232" t="s">
        <v>2905</v>
      </c>
      <c r="I172" s="233" t="s">
        <v>2906</v>
      </c>
      <c r="J172" s="14">
        <v>1</v>
      </c>
      <c r="K172" s="138">
        <v>70</v>
      </c>
      <c r="L172" s="138">
        <v>70</v>
      </c>
    </row>
    <row r="173" spans="1:12" x14ac:dyDescent="0.25">
      <c r="A173" s="1">
        <v>172</v>
      </c>
      <c r="B173" s="1">
        <v>57</v>
      </c>
      <c r="C173" s="232" t="s">
        <v>3499</v>
      </c>
      <c r="D173" s="232" t="s">
        <v>2553</v>
      </c>
      <c r="E173" s="1" t="s">
        <v>3559</v>
      </c>
      <c r="F173" s="232" t="s">
        <v>2775</v>
      </c>
      <c r="G173" s="1" t="s">
        <v>3532</v>
      </c>
      <c r="H173" s="232" t="s">
        <v>2907</v>
      </c>
      <c r="I173" s="233" t="s">
        <v>2908</v>
      </c>
      <c r="J173" s="14">
        <v>1</v>
      </c>
      <c r="K173" s="138">
        <v>100</v>
      </c>
      <c r="L173" s="138">
        <v>100</v>
      </c>
    </row>
    <row r="174" spans="1:12" x14ac:dyDescent="0.25">
      <c r="A174" s="1">
        <v>173</v>
      </c>
      <c r="B174" s="1">
        <v>58</v>
      </c>
      <c r="C174" s="232" t="s">
        <v>3496</v>
      </c>
      <c r="D174" s="232" t="s">
        <v>2552</v>
      </c>
      <c r="E174" s="1" t="s">
        <v>3558</v>
      </c>
      <c r="F174" s="232" t="s">
        <v>2750</v>
      </c>
      <c r="G174" s="1" t="s">
        <v>3519</v>
      </c>
      <c r="H174" s="232" t="s">
        <v>2909</v>
      </c>
      <c r="I174" s="233" t="s">
        <v>2910</v>
      </c>
      <c r="J174" s="14">
        <v>6</v>
      </c>
      <c r="K174" s="138">
        <v>25</v>
      </c>
      <c r="L174" s="138">
        <v>150</v>
      </c>
    </row>
    <row r="175" spans="1:12" x14ac:dyDescent="0.25">
      <c r="A175" s="1">
        <v>174</v>
      </c>
      <c r="B175" s="1">
        <v>58</v>
      </c>
      <c r="C175" s="232" t="s">
        <v>3474</v>
      </c>
      <c r="D175" s="232" t="s">
        <v>2552</v>
      </c>
      <c r="E175" s="1" t="s">
        <v>3558</v>
      </c>
      <c r="F175" s="232" t="s">
        <v>2574</v>
      </c>
      <c r="G175" s="1" t="s">
        <v>3521</v>
      </c>
      <c r="H175" s="232" t="s">
        <v>2911</v>
      </c>
      <c r="I175" s="233" t="s">
        <v>2912</v>
      </c>
      <c r="J175" s="14">
        <v>5</v>
      </c>
      <c r="K175" s="138">
        <v>77</v>
      </c>
      <c r="L175" s="138">
        <v>385</v>
      </c>
    </row>
    <row r="176" spans="1:12" x14ac:dyDescent="0.25">
      <c r="A176" s="1">
        <v>175</v>
      </c>
      <c r="B176" s="1">
        <v>59</v>
      </c>
      <c r="C176" s="232" t="s">
        <v>3476</v>
      </c>
      <c r="D176" s="232" t="s">
        <v>2552</v>
      </c>
      <c r="E176" s="1" t="s">
        <v>3558</v>
      </c>
      <c r="F176" s="232" t="s">
        <v>2580</v>
      </c>
      <c r="G176" s="1" t="s">
        <v>3524</v>
      </c>
      <c r="H176" s="232" t="s">
        <v>2913</v>
      </c>
      <c r="I176" s="233" t="s">
        <v>2914</v>
      </c>
      <c r="J176" s="14">
        <v>6</v>
      </c>
      <c r="K176" s="138">
        <v>6</v>
      </c>
      <c r="L176" s="138">
        <v>36</v>
      </c>
    </row>
    <row r="177" spans="1:12" x14ac:dyDescent="0.25">
      <c r="A177" s="1">
        <v>176</v>
      </c>
      <c r="B177" s="1">
        <v>60</v>
      </c>
      <c r="C177" s="232" t="s">
        <v>3504</v>
      </c>
      <c r="D177" s="232" t="s">
        <v>2557</v>
      </c>
      <c r="E177" s="1" t="s">
        <v>3563</v>
      </c>
      <c r="F177" s="232" t="s">
        <v>2794</v>
      </c>
      <c r="G177" s="1" t="s">
        <v>3555</v>
      </c>
      <c r="H177" s="232"/>
      <c r="I177" s="233"/>
      <c r="J177" s="14">
        <v>1</v>
      </c>
      <c r="K177" s="138">
        <v>1.7</v>
      </c>
      <c r="L177" s="138">
        <v>1.7</v>
      </c>
    </row>
    <row r="178" spans="1:12" x14ac:dyDescent="0.25">
      <c r="A178" s="1">
        <v>177</v>
      </c>
      <c r="B178" s="1">
        <v>61</v>
      </c>
      <c r="C178" s="232" t="s">
        <v>3473</v>
      </c>
      <c r="D178" s="232" t="s">
        <v>2552</v>
      </c>
      <c r="E178" s="1" t="s">
        <v>3558</v>
      </c>
      <c r="F178" s="232" t="s">
        <v>2571</v>
      </c>
      <c r="G178" s="1" t="s">
        <v>3518</v>
      </c>
      <c r="H178" s="232" t="s">
        <v>2915</v>
      </c>
      <c r="I178" s="233" t="s">
        <v>2916</v>
      </c>
      <c r="J178" s="14">
        <v>1</v>
      </c>
      <c r="K178" s="138">
        <v>5</v>
      </c>
      <c r="L178" s="138">
        <v>5</v>
      </c>
    </row>
    <row r="179" spans="1:12" x14ac:dyDescent="0.25">
      <c r="A179" s="1">
        <v>178</v>
      </c>
      <c r="B179" s="1">
        <v>61</v>
      </c>
      <c r="C179" s="232" t="s">
        <v>3474</v>
      </c>
      <c r="D179" s="232" t="s">
        <v>2552</v>
      </c>
      <c r="E179" s="1" t="s">
        <v>3558</v>
      </c>
      <c r="F179" s="232" t="s">
        <v>2574</v>
      </c>
      <c r="G179" s="1" t="s">
        <v>3521</v>
      </c>
      <c r="H179" s="232" t="s">
        <v>2917</v>
      </c>
      <c r="I179" s="233" t="s">
        <v>2918</v>
      </c>
      <c r="J179" s="14">
        <v>4</v>
      </c>
      <c r="K179" s="138">
        <v>77</v>
      </c>
      <c r="L179" s="138">
        <v>308</v>
      </c>
    </row>
    <row r="180" spans="1:12" x14ac:dyDescent="0.25">
      <c r="A180" s="1">
        <v>179</v>
      </c>
      <c r="B180" s="1">
        <v>61</v>
      </c>
      <c r="C180" s="232" t="s">
        <v>3498</v>
      </c>
      <c r="D180" s="232" t="s">
        <v>2552</v>
      </c>
      <c r="E180" s="1" t="s">
        <v>3558</v>
      </c>
      <c r="F180" s="232" t="s">
        <v>2758</v>
      </c>
      <c r="G180" s="1" t="s">
        <v>3522</v>
      </c>
      <c r="H180" s="232" t="s">
        <v>2919</v>
      </c>
      <c r="I180" s="233" t="s">
        <v>2920</v>
      </c>
      <c r="J180" s="14">
        <v>1</v>
      </c>
      <c r="K180" s="138">
        <v>1.6</v>
      </c>
      <c r="L180" s="138">
        <v>1.6</v>
      </c>
    </row>
    <row r="181" spans="1:12" x14ac:dyDescent="0.25">
      <c r="A181" s="1">
        <v>180</v>
      </c>
      <c r="B181" s="1">
        <v>62</v>
      </c>
      <c r="C181" s="232" t="s">
        <v>3477</v>
      </c>
      <c r="D181" s="232" t="s">
        <v>2553</v>
      </c>
      <c r="E181" s="1" t="s">
        <v>3559</v>
      </c>
      <c r="F181" s="232" t="s">
        <v>2583</v>
      </c>
      <c r="G181" s="1" t="s">
        <v>3527</v>
      </c>
      <c r="H181" s="232" t="s">
        <v>2921</v>
      </c>
      <c r="I181" s="233" t="s">
        <v>2922</v>
      </c>
      <c r="J181" s="14">
        <v>3</v>
      </c>
      <c r="K181" s="138">
        <v>20</v>
      </c>
      <c r="L181" s="138">
        <v>60</v>
      </c>
    </row>
    <row r="182" spans="1:12" x14ac:dyDescent="0.25">
      <c r="A182" s="1">
        <v>181</v>
      </c>
      <c r="B182" s="1">
        <v>62</v>
      </c>
      <c r="C182" s="232" t="s">
        <v>3490</v>
      </c>
      <c r="D182" s="232" t="s">
        <v>2553</v>
      </c>
      <c r="E182" s="1" t="s">
        <v>3559</v>
      </c>
      <c r="F182" s="232" t="s">
        <v>2630</v>
      </c>
      <c r="G182" s="1" t="s">
        <v>3529</v>
      </c>
      <c r="H182" s="232" t="s">
        <v>2923</v>
      </c>
      <c r="I182" s="233" t="s">
        <v>2924</v>
      </c>
      <c r="J182" s="14">
        <v>1</v>
      </c>
      <c r="K182" s="138">
        <v>18</v>
      </c>
      <c r="L182" s="138">
        <v>18</v>
      </c>
    </row>
    <row r="183" spans="1:12" x14ac:dyDescent="0.25">
      <c r="A183" s="1">
        <v>182</v>
      </c>
      <c r="B183" s="1">
        <v>62</v>
      </c>
      <c r="C183" s="232" t="s">
        <v>3479</v>
      </c>
      <c r="D183" s="232" t="s">
        <v>2553</v>
      </c>
      <c r="E183" s="1" t="s">
        <v>3559</v>
      </c>
      <c r="F183" s="232" t="s">
        <v>2589</v>
      </c>
      <c r="G183" s="1" t="s">
        <v>3530</v>
      </c>
      <c r="H183" s="232" t="s">
        <v>2925</v>
      </c>
      <c r="I183" s="233" t="s">
        <v>2926</v>
      </c>
      <c r="J183" s="14">
        <v>1</v>
      </c>
      <c r="K183" s="138">
        <v>70</v>
      </c>
      <c r="L183" s="138">
        <v>70</v>
      </c>
    </row>
    <row r="184" spans="1:12" x14ac:dyDescent="0.25">
      <c r="A184" s="1">
        <v>183</v>
      </c>
      <c r="B184" s="1">
        <v>62</v>
      </c>
      <c r="C184" s="232" t="s">
        <v>3499</v>
      </c>
      <c r="D184" s="232" t="s">
        <v>2553</v>
      </c>
      <c r="E184" s="1" t="s">
        <v>3559</v>
      </c>
      <c r="F184" s="232" t="s">
        <v>2775</v>
      </c>
      <c r="G184" s="1" t="s">
        <v>3532</v>
      </c>
      <c r="H184" s="232" t="s">
        <v>2927</v>
      </c>
      <c r="I184" s="233" t="s">
        <v>2928</v>
      </c>
      <c r="J184" s="14">
        <v>1</v>
      </c>
      <c r="K184" s="138">
        <v>100</v>
      </c>
      <c r="L184" s="138">
        <v>100</v>
      </c>
    </row>
    <row r="185" spans="1:12" x14ac:dyDescent="0.25">
      <c r="A185" s="1">
        <v>184</v>
      </c>
      <c r="B185" s="1">
        <v>62</v>
      </c>
      <c r="C185" s="232" t="s">
        <v>3480</v>
      </c>
      <c r="D185" s="232" t="s">
        <v>2553</v>
      </c>
      <c r="E185" s="1" t="s">
        <v>3559</v>
      </c>
      <c r="F185" s="232" t="s">
        <v>2592</v>
      </c>
      <c r="G185" s="1" t="s">
        <v>3533</v>
      </c>
      <c r="H185" s="232" t="s">
        <v>2929</v>
      </c>
      <c r="I185" s="233" t="s">
        <v>2930</v>
      </c>
      <c r="J185" s="14">
        <v>4</v>
      </c>
      <c r="K185" s="138">
        <v>7</v>
      </c>
      <c r="L185" s="138">
        <v>28</v>
      </c>
    </row>
    <row r="186" spans="1:12" x14ac:dyDescent="0.25">
      <c r="A186" s="1">
        <v>185</v>
      </c>
      <c r="B186" s="1">
        <v>62</v>
      </c>
      <c r="C186" s="232" t="s">
        <v>3493</v>
      </c>
      <c r="D186" s="232" t="s">
        <v>2553</v>
      </c>
      <c r="E186" s="1" t="s">
        <v>3559</v>
      </c>
      <c r="F186" s="232" t="s">
        <v>2689</v>
      </c>
      <c r="G186" s="1" t="s">
        <v>3534</v>
      </c>
      <c r="H186" s="232" t="s">
        <v>2931</v>
      </c>
      <c r="I186" s="233" t="s">
        <v>2932</v>
      </c>
      <c r="J186" s="14">
        <v>1</v>
      </c>
      <c r="K186" s="138">
        <v>50</v>
      </c>
      <c r="L186" s="138">
        <v>50</v>
      </c>
    </row>
    <row r="187" spans="1:12" x14ac:dyDescent="0.25">
      <c r="A187" s="1">
        <v>186</v>
      </c>
      <c r="B187" s="1">
        <v>63</v>
      </c>
      <c r="C187" s="232" t="s">
        <v>3504</v>
      </c>
      <c r="D187" s="232" t="s">
        <v>2557</v>
      </c>
      <c r="E187" s="1" t="s">
        <v>3563</v>
      </c>
      <c r="F187" s="232" t="s">
        <v>2794</v>
      </c>
      <c r="G187" s="1" t="s">
        <v>3555</v>
      </c>
      <c r="H187" s="232"/>
      <c r="I187" s="233"/>
      <c r="J187" s="14">
        <v>1</v>
      </c>
      <c r="K187" s="138">
        <v>1.7</v>
      </c>
      <c r="L187" s="138">
        <v>1.7</v>
      </c>
    </row>
    <row r="188" spans="1:12" x14ac:dyDescent="0.25">
      <c r="A188" s="1">
        <v>187</v>
      </c>
      <c r="B188" s="1">
        <v>64</v>
      </c>
      <c r="C188" s="232" t="s">
        <v>3496</v>
      </c>
      <c r="D188" s="232" t="s">
        <v>2552</v>
      </c>
      <c r="E188" s="1" t="s">
        <v>3558</v>
      </c>
      <c r="F188" s="232" t="s">
        <v>2750</v>
      </c>
      <c r="G188" s="1" t="s">
        <v>3519</v>
      </c>
      <c r="H188" s="232" t="s">
        <v>2933</v>
      </c>
      <c r="I188" s="233" t="s">
        <v>2934</v>
      </c>
      <c r="J188" s="14">
        <v>2</v>
      </c>
      <c r="K188" s="138">
        <v>25</v>
      </c>
      <c r="L188" s="138">
        <v>50</v>
      </c>
    </row>
    <row r="189" spans="1:12" x14ac:dyDescent="0.25">
      <c r="A189" s="1">
        <v>188</v>
      </c>
      <c r="B189" s="1">
        <v>64</v>
      </c>
      <c r="C189" s="232" t="s">
        <v>3498</v>
      </c>
      <c r="D189" s="232" t="s">
        <v>2552</v>
      </c>
      <c r="E189" s="1" t="s">
        <v>3558</v>
      </c>
      <c r="F189" s="232" t="s">
        <v>2758</v>
      </c>
      <c r="G189" s="1" t="s">
        <v>3522</v>
      </c>
      <c r="H189" s="232" t="s">
        <v>2935</v>
      </c>
      <c r="I189" s="233" t="s">
        <v>2936</v>
      </c>
      <c r="J189" s="14">
        <v>1</v>
      </c>
      <c r="K189" s="138">
        <v>1.6</v>
      </c>
      <c r="L189" s="138">
        <v>1.6</v>
      </c>
    </row>
    <row r="190" spans="1:12" x14ac:dyDescent="0.25">
      <c r="A190" s="1">
        <v>189</v>
      </c>
      <c r="B190" s="1">
        <v>65</v>
      </c>
      <c r="C190" s="232" t="s">
        <v>3477</v>
      </c>
      <c r="D190" s="232" t="s">
        <v>2553</v>
      </c>
      <c r="E190" s="1" t="s">
        <v>3559</v>
      </c>
      <c r="F190" s="232" t="s">
        <v>2583</v>
      </c>
      <c r="G190" s="1" t="s">
        <v>3527</v>
      </c>
      <c r="H190" s="232" t="s">
        <v>2937</v>
      </c>
      <c r="I190" s="233" t="s">
        <v>2938</v>
      </c>
      <c r="J190" s="14">
        <v>4</v>
      </c>
      <c r="K190" s="138">
        <v>20</v>
      </c>
      <c r="L190" s="138">
        <v>80</v>
      </c>
    </row>
    <row r="191" spans="1:12" x14ac:dyDescent="0.25">
      <c r="A191" s="1">
        <v>190</v>
      </c>
      <c r="B191" s="1">
        <v>65</v>
      </c>
      <c r="C191" s="232" t="s">
        <v>3499</v>
      </c>
      <c r="D191" s="232" t="s">
        <v>2553</v>
      </c>
      <c r="E191" s="1" t="s">
        <v>3559</v>
      </c>
      <c r="F191" s="232" t="s">
        <v>2775</v>
      </c>
      <c r="G191" s="1" t="s">
        <v>3532</v>
      </c>
      <c r="H191" s="232" t="s">
        <v>2939</v>
      </c>
      <c r="I191" s="233" t="s">
        <v>2940</v>
      </c>
      <c r="J191" s="14">
        <v>35</v>
      </c>
      <c r="K191" s="138">
        <v>100</v>
      </c>
      <c r="L191" s="138">
        <v>3500</v>
      </c>
    </row>
    <row r="192" spans="1:12" x14ac:dyDescent="0.25">
      <c r="A192" s="1">
        <v>191</v>
      </c>
      <c r="B192" s="1">
        <v>65</v>
      </c>
      <c r="C192" s="232" t="s">
        <v>3480</v>
      </c>
      <c r="D192" s="232" t="s">
        <v>2553</v>
      </c>
      <c r="E192" s="1" t="s">
        <v>3559</v>
      </c>
      <c r="F192" s="232" t="s">
        <v>2592</v>
      </c>
      <c r="G192" s="1" t="s">
        <v>3533</v>
      </c>
      <c r="H192" s="232" t="s">
        <v>2941</v>
      </c>
      <c r="I192" s="233" t="s">
        <v>2942</v>
      </c>
      <c r="J192" s="14">
        <v>3</v>
      </c>
      <c r="K192" s="138">
        <v>7</v>
      </c>
      <c r="L192" s="138">
        <v>21</v>
      </c>
    </row>
    <row r="193" spans="1:12" x14ac:dyDescent="0.25">
      <c r="A193" s="1">
        <v>192</v>
      </c>
      <c r="B193" s="1">
        <v>65</v>
      </c>
      <c r="C193" s="232" t="s">
        <v>3493</v>
      </c>
      <c r="D193" s="232" t="s">
        <v>2553</v>
      </c>
      <c r="E193" s="1" t="s">
        <v>3559</v>
      </c>
      <c r="F193" s="232" t="s">
        <v>2689</v>
      </c>
      <c r="G193" s="1" t="s">
        <v>3534</v>
      </c>
      <c r="H193" s="232" t="s">
        <v>2943</v>
      </c>
      <c r="I193" s="233" t="s">
        <v>2944</v>
      </c>
      <c r="J193" s="14">
        <v>1</v>
      </c>
      <c r="K193" s="138">
        <v>50</v>
      </c>
      <c r="L193" s="138">
        <v>50</v>
      </c>
    </row>
    <row r="194" spans="1:12" x14ac:dyDescent="0.25">
      <c r="A194" s="1">
        <v>193</v>
      </c>
      <c r="B194" s="1">
        <v>65</v>
      </c>
      <c r="C194" s="232" t="s">
        <v>3490</v>
      </c>
      <c r="D194" s="232" t="s">
        <v>2553</v>
      </c>
      <c r="E194" s="1" t="s">
        <v>3559</v>
      </c>
      <c r="F194" s="232" t="s">
        <v>2630</v>
      </c>
      <c r="G194" s="1" t="s">
        <v>3529</v>
      </c>
      <c r="H194" s="232" t="s">
        <v>2945</v>
      </c>
      <c r="I194" s="233" t="s">
        <v>2946</v>
      </c>
      <c r="J194" s="14">
        <v>35</v>
      </c>
      <c r="K194" s="138">
        <v>18</v>
      </c>
      <c r="L194" s="138">
        <v>630</v>
      </c>
    </row>
    <row r="195" spans="1:12" x14ac:dyDescent="0.25">
      <c r="A195" s="1">
        <v>194</v>
      </c>
      <c r="B195" s="1">
        <v>66</v>
      </c>
      <c r="C195" s="232" t="s">
        <v>3482</v>
      </c>
      <c r="D195" s="232" t="s">
        <v>2554</v>
      </c>
      <c r="E195" s="1" t="s">
        <v>3560</v>
      </c>
      <c r="F195" s="232" t="s">
        <v>2598</v>
      </c>
      <c r="G195" s="1" t="s">
        <v>3538</v>
      </c>
      <c r="H195" s="232" t="s">
        <v>2947</v>
      </c>
      <c r="I195" s="233" t="s">
        <v>2948</v>
      </c>
      <c r="J195" s="14">
        <v>50</v>
      </c>
      <c r="K195" s="138">
        <v>3</v>
      </c>
      <c r="L195" s="138">
        <v>150</v>
      </c>
    </row>
    <row r="196" spans="1:12" x14ac:dyDescent="0.25">
      <c r="A196" s="1">
        <v>195</v>
      </c>
      <c r="B196" s="1">
        <v>67</v>
      </c>
      <c r="C196" s="232" t="s">
        <v>3479</v>
      </c>
      <c r="D196" s="232" t="s">
        <v>2553</v>
      </c>
      <c r="E196" s="1" t="s">
        <v>3559</v>
      </c>
      <c r="F196" s="232" t="s">
        <v>2589</v>
      </c>
      <c r="G196" s="1" t="s">
        <v>3530</v>
      </c>
      <c r="H196" s="232" t="s">
        <v>2949</v>
      </c>
      <c r="I196" s="233" t="s">
        <v>2950</v>
      </c>
      <c r="J196" s="14">
        <v>1</v>
      </c>
      <c r="K196" s="138">
        <v>70</v>
      </c>
      <c r="L196" s="138">
        <v>70</v>
      </c>
    </row>
    <row r="197" spans="1:12" x14ac:dyDescent="0.25">
      <c r="A197" s="1">
        <v>196</v>
      </c>
      <c r="B197" s="1">
        <v>68</v>
      </c>
      <c r="C197" s="232" t="s">
        <v>3488</v>
      </c>
      <c r="D197" s="232" t="s">
        <v>2555</v>
      </c>
      <c r="E197" s="1" t="s">
        <v>3561</v>
      </c>
      <c r="F197" s="232" t="s">
        <v>2616</v>
      </c>
      <c r="G197" s="1" t="s">
        <v>3549</v>
      </c>
      <c r="H197" s="232" t="s">
        <v>2951</v>
      </c>
      <c r="I197" s="233" t="s">
        <v>2952</v>
      </c>
      <c r="J197" s="14">
        <v>3</v>
      </c>
      <c r="K197" s="138">
        <v>3</v>
      </c>
      <c r="L197" s="138">
        <v>9</v>
      </c>
    </row>
    <row r="198" spans="1:12" x14ac:dyDescent="0.25">
      <c r="A198" s="1">
        <v>197</v>
      </c>
      <c r="B198" s="1">
        <v>69</v>
      </c>
      <c r="C198" s="232" t="s">
        <v>3474</v>
      </c>
      <c r="D198" s="232" t="s">
        <v>2552</v>
      </c>
      <c r="E198" s="1" t="s">
        <v>3558</v>
      </c>
      <c r="F198" s="232" t="s">
        <v>2574</v>
      </c>
      <c r="G198" s="1" t="s">
        <v>3521</v>
      </c>
      <c r="H198" s="232" t="s">
        <v>2953</v>
      </c>
      <c r="I198" s="233" t="s">
        <v>2954</v>
      </c>
      <c r="J198" s="14">
        <v>4</v>
      </c>
      <c r="K198" s="138">
        <v>77</v>
      </c>
      <c r="L198" s="138">
        <v>308</v>
      </c>
    </row>
    <row r="199" spans="1:12" x14ac:dyDescent="0.25">
      <c r="A199" s="1">
        <v>198</v>
      </c>
      <c r="B199" s="1">
        <v>69</v>
      </c>
      <c r="C199" s="232" t="s">
        <v>3475</v>
      </c>
      <c r="D199" s="232" t="s">
        <v>2552</v>
      </c>
      <c r="E199" s="1" t="s">
        <v>3558</v>
      </c>
      <c r="F199" s="232" t="s">
        <v>2577</v>
      </c>
      <c r="G199" s="1" t="s">
        <v>3523</v>
      </c>
      <c r="H199" s="232" t="s">
        <v>2955</v>
      </c>
      <c r="I199" s="233" t="s">
        <v>2956</v>
      </c>
      <c r="J199" s="14">
        <v>2</v>
      </c>
      <c r="K199" s="138">
        <v>42</v>
      </c>
      <c r="L199" s="138">
        <v>84</v>
      </c>
    </row>
    <row r="200" spans="1:12" x14ac:dyDescent="0.25">
      <c r="A200" s="1">
        <v>199</v>
      </c>
      <c r="B200" s="1">
        <v>70</v>
      </c>
      <c r="C200" s="232" t="s">
        <v>3477</v>
      </c>
      <c r="D200" s="232" t="s">
        <v>2553</v>
      </c>
      <c r="E200" s="1" t="s">
        <v>3559</v>
      </c>
      <c r="F200" s="232" t="s">
        <v>2583</v>
      </c>
      <c r="G200" s="1" t="s">
        <v>3527</v>
      </c>
      <c r="H200" s="232" t="s">
        <v>2957</v>
      </c>
      <c r="I200" s="233" t="s">
        <v>2958</v>
      </c>
      <c r="J200" s="14">
        <v>3</v>
      </c>
      <c r="K200" s="138">
        <v>20</v>
      </c>
      <c r="L200" s="138">
        <v>60</v>
      </c>
    </row>
    <row r="201" spans="1:12" x14ac:dyDescent="0.25">
      <c r="A201" s="1">
        <v>200</v>
      </c>
      <c r="B201" s="1">
        <v>70</v>
      </c>
      <c r="C201" s="232" t="s">
        <v>3499</v>
      </c>
      <c r="D201" s="232" t="s">
        <v>2553</v>
      </c>
      <c r="E201" s="1" t="s">
        <v>3559</v>
      </c>
      <c r="F201" s="232" t="s">
        <v>2775</v>
      </c>
      <c r="G201" s="1" t="s">
        <v>3532</v>
      </c>
      <c r="H201" s="232" t="s">
        <v>2959</v>
      </c>
      <c r="I201" s="233" t="s">
        <v>2960</v>
      </c>
      <c r="J201" s="14">
        <v>1</v>
      </c>
      <c r="K201" s="138">
        <v>100</v>
      </c>
      <c r="L201" s="138">
        <v>100</v>
      </c>
    </row>
    <row r="202" spans="1:12" x14ac:dyDescent="0.25">
      <c r="A202" s="1">
        <v>201</v>
      </c>
      <c r="B202" s="1">
        <v>70</v>
      </c>
      <c r="C202" s="232" t="s">
        <v>3480</v>
      </c>
      <c r="D202" s="232" t="s">
        <v>2553</v>
      </c>
      <c r="E202" s="1" t="s">
        <v>3559</v>
      </c>
      <c r="F202" s="232" t="s">
        <v>2592</v>
      </c>
      <c r="G202" s="1" t="s">
        <v>3533</v>
      </c>
      <c r="H202" s="232"/>
      <c r="I202" s="233"/>
      <c r="J202" s="14">
        <v>2</v>
      </c>
      <c r="K202" s="138">
        <v>7</v>
      </c>
      <c r="L202" s="138">
        <v>14</v>
      </c>
    </row>
    <row r="203" spans="1:12" x14ac:dyDescent="0.25">
      <c r="A203" s="1">
        <v>202</v>
      </c>
      <c r="B203" s="1">
        <v>70</v>
      </c>
      <c r="C203" s="232" t="s">
        <v>3493</v>
      </c>
      <c r="D203" s="232" t="s">
        <v>2553</v>
      </c>
      <c r="E203" s="1" t="s">
        <v>3559</v>
      </c>
      <c r="F203" s="232" t="s">
        <v>2689</v>
      </c>
      <c r="G203" s="1" t="s">
        <v>3534</v>
      </c>
      <c r="H203" s="232" t="s">
        <v>2961</v>
      </c>
      <c r="I203" s="233" t="s">
        <v>2962</v>
      </c>
      <c r="J203" s="14">
        <v>1</v>
      </c>
      <c r="K203" s="138">
        <v>50</v>
      </c>
      <c r="L203" s="138">
        <v>50</v>
      </c>
    </row>
    <row r="204" spans="1:12" x14ac:dyDescent="0.25">
      <c r="A204" s="1">
        <v>203</v>
      </c>
      <c r="B204" s="1">
        <v>71</v>
      </c>
      <c r="C204" s="232" t="s">
        <v>3502</v>
      </c>
      <c r="D204" s="232" t="s">
        <v>2556</v>
      </c>
      <c r="E204" s="1" t="s">
        <v>3562</v>
      </c>
      <c r="F204" s="232" t="s">
        <v>2788</v>
      </c>
      <c r="G204" s="1" t="s">
        <v>3551</v>
      </c>
      <c r="H204" s="232"/>
      <c r="I204" s="233"/>
      <c r="J204" s="14">
        <v>1</v>
      </c>
      <c r="K204" s="138">
        <v>150</v>
      </c>
      <c r="L204" s="138">
        <v>150</v>
      </c>
    </row>
    <row r="205" spans="1:12" x14ac:dyDescent="0.25">
      <c r="A205" s="1">
        <v>204</v>
      </c>
      <c r="B205" s="1">
        <v>71</v>
      </c>
      <c r="C205" s="232" t="s">
        <v>3503</v>
      </c>
      <c r="D205" s="232" t="s">
        <v>2556</v>
      </c>
      <c r="E205" s="1" t="s">
        <v>3562</v>
      </c>
      <c r="F205" s="232" t="s">
        <v>2791</v>
      </c>
      <c r="G205" s="1" t="s">
        <v>3554</v>
      </c>
      <c r="H205" s="232"/>
      <c r="I205" s="233"/>
      <c r="J205" s="14">
        <v>1</v>
      </c>
      <c r="K205" s="138">
        <v>5</v>
      </c>
      <c r="L205" s="138">
        <v>5</v>
      </c>
    </row>
    <row r="206" spans="1:12" x14ac:dyDescent="0.25">
      <c r="A206" s="1">
        <v>205</v>
      </c>
      <c r="B206" s="1">
        <v>72</v>
      </c>
      <c r="C206" s="232" t="s">
        <v>3504</v>
      </c>
      <c r="D206" s="232" t="s">
        <v>2557</v>
      </c>
      <c r="E206" s="1" t="s">
        <v>3563</v>
      </c>
      <c r="F206" s="232" t="s">
        <v>2794</v>
      </c>
      <c r="G206" s="1" t="s">
        <v>3555</v>
      </c>
      <c r="H206" s="232"/>
      <c r="I206" s="233"/>
      <c r="J206" s="14">
        <v>1</v>
      </c>
      <c r="K206" s="138">
        <v>1.7</v>
      </c>
      <c r="L206" s="138">
        <v>1.7</v>
      </c>
    </row>
    <row r="207" spans="1:12" x14ac:dyDescent="0.25">
      <c r="A207" s="1">
        <v>206</v>
      </c>
      <c r="B207" s="1">
        <v>73</v>
      </c>
      <c r="C207" s="232" t="s">
        <v>3497</v>
      </c>
      <c r="D207" s="232" t="s">
        <v>2552</v>
      </c>
      <c r="E207" s="1" t="s">
        <v>3558</v>
      </c>
      <c r="F207" s="232" t="s">
        <v>2753</v>
      </c>
      <c r="G207" s="1" t="s">
        <v>3520</v>
      </c>
      <c r="H207" s="232" t="s">
        <v>2963</v>
      </c>
      <c r="I207" s="233" t="s">
        <v>2964</v>
      </c>
      <c r="J207" s="14">
        <v>1</v>
      </c>
      <c r="K207" s="138">
        <v>10</v>
      </c>
      <c r="L207" s="138">
        <v>10</v>
      </c>
    </row>
    <row r="208" spans="1:12" x14ac:dyDescent="0.25">
      <c r="A208" s="1">
        <v>207</v>
      </c>
      <c r="B208" s="1">
        <v>73</v>
      </c>
      <c r="C208" s="232" t="s">
        <v>3474</v>
      </c>
      <c r="D208" s="232" t="s">
        <v>2552</v>
      </c>
      <c r="E208" s="1" t="s">
        <v>3558</v>
      </c>
      <c r="F208" s="232" t="s">
        <v>2574</v>
      </c>
      <c r="G208" s="1" t="s">
        <v>3521</v>
      </c>
      <c r="H208" s="232" t="s">
        <v>2965</v>
      </c>
      <c r="I208" s="233" t="s">
        <v>2966</v>
      </c>
      <c r="J208" s="14">
        <v>4</v>
      </c>
      <c r="K208" s="138">
        <v>77</v>
      </c>
      <c r="L208" s="138">
        <v>308</v>
      </c>
    </row>
    <row r="209" spans="1:12" x14ac:dyDescent="0.25">
      <c r="A209" s="1">
        <v>208</v>
      </c>
      <c r="B209" s="1">
        <v>73</v>
      </c>
      <c r="C209" s="232" t="s">
        <v>3498</v>
      </c>
      <c r="D209" s="232" t="s">
        <v>2552</v>
      </c>
      <c r="E209" s="1" t="s">
        <v>3558</v>
      </c>
      <c r="F209" s="232" t="s">
        <v>2758</v>
      </c>
      <c r="G209" s="1" t="s">
        <v>3522</v>
      </c>
      <c r="H209" s="232" t="s">
        <v>2967</v>
      </c>
      <c r="I209" s="233" t="s">
        <v>2968</v>
      </c>
      <c r="J209" s="14">
        <v>3</v>
      </c>
      <c r="K209" s="138">
        <v>1.6</v>
      </c>
      <c r="L209" s="138">
        <v>4.8</v>
      </c>
    </row>
    <row r="210" spans="1:12" x14ac:dyDescent="0.25">
      <c r="A210" s="1">
        <v>209</v>
      </c>
      <c r="B210" s="1">
        <v>73</v>
      </c>
      <c r="C210" s="232" t="s">
        <v>3476</v>
      </c>
      <c r="D210" s="232" t="s">
        <v>2552</v>
      </c>
      <c r="E210" s="1" t="s">
        <v>3558</v>
      </c>
      <c r="F210" s="232" t="s">
        <v>2580</v>
      </c>
      <c r="G210" s="1" t="s">
        <v>3524</v>
      </c>
      <c r="H210" s="232" t="s">
        <v>2969</v>
      </c>
      <c r="I210" s="233" t="s">
        <v>2970</v>
      </c>
      <c r="J210" s="14">
        <v>4</v>
      </c>
      <c r="K210" s="138">
        <v>6</v>
      </c>
      <c r="L210" s="138">
        <v>24</v>
      </c>
    </row>
    <row r="211" spans="1:12" x14ac:dyDescent="0.25">
      <c r="A211" s="1">
        <v>210</v>
      </c>
      <c r="B211" s="1">
        <v>74</v>
      </c>
      <c r="C211" s="232" t="s">
        <v>3477</v>
      </c>
      <c r="D211" s="232" t="s">
        <v>2553</v>
      </c>
      <c r="E211" s="1" t="s">
        <v>3559</v>
      </c>
      <c r="F211" s="232" t="s">
        <v>2583</v>
      </c>
      <c r="G211" s="1" t="s">
        <v>3527</v>
      </c>
      <c r="H211" s="232" t="s">
        <v>2971</v>
      </c>
      <c r="I211" s="233" t="s">
        <v>2972</v>
      </c>
      <c r="J211" s="14">
        <v>3</v>
      </c>
      <c r="K211" s="138">
        <v>20</v>
      </c>
      <c r="L211" s="138">
        <v>60</v>
      </c>
    </row>
    <row r="212" spans="1:12" x14ac:dyDescent="0.25">
      <c r="A212" s="1">
        <v>211</v>
      </c>
      <c r="B212" s="1">
        <v>74</v>
      </c>
      <c r="C212" s="232" t="s">
        <v>3478</v>
      </c>
      <c r="D212" s="232" t="s">
        <v>2553</v>
      </c>
      <c r="E212" s="1" t="s">
        <v>3559</v>
      </c>
      <c r="F212" s="232" t="s">
        <v>2586</v>
      </c>
      <c r="G212" s="1" t="s">
        <v>3528</v>
      </c>
      <c r="H212" s="232" t="s">
        <v>2973</v>
      </c>
      <c r="I212" s="233" t="s">
        <v>2974</v>
      </c>
      <c r="J212" s="14">
        <v>1</v>
      </c>
      <c r="K212" s="138">
        <v>18</v>
      </c>
      <c r="L212" s="138">
        <v>18</v>
      </c>
    </row>
    <row r="213" spans="1:12" x14ac:dyDescent="0.25">
      <c r="A213" s="1">
        <v>212</v>
      </c>
      <c r="B213" s="1">
        <v>74</v>
      </c>
      <c r="C213" s="232" t="s">
        <v>3490</v>
      </c>
      <c r="D213" s="232" t="s">
        <v>2553</v>
      </c>
      <c r="E213" s="1" t="s">
        <v>3559</v>
      </c>
      <c r="F213" s="232" t="s">
        <v>2630</v>
      </c>
      <c r="G213" s="1" t="s">
        <v>3529</v>
      </c>
      <c r="H213" s="232" t="s">
        <v>2975</v>
      </c>
      <c r="I213" s="233" t="s">
        <v>2976</v>
      </c>
      <c r="J213" s="14">
        <v>1</v>
      </c>
      <c r="K213" s="138">
        <v>18</v>
      </c>
      <c r="L213" s="138">
        <v>18</v>
      </c>
    </row>
    <row r="214" spans="1:12" x14ac:dyDescent="0.25">
      <c r="A214" s="1">
        <v>213</v>
      </c>
      <c r="B214" s="1">
        <v>74</v>
      </c>
      <c r="C214" s="232" t="s">
        <v>3479</v>
      </c>
      <c r="D214" s="232" t="s">
        <v>2553</v>
      </c>
      <c r="E214" s="1" t="s">
        <v>3559</v>
      </c>
      <c r="F214" s="232" t="s">
        <v>2589</v>
      </c>
      <c r="G214" s="1" t="s">
        <v>3530</v>
      </c>
      <c r="H214" s="232" t="s">
        <v>2977</v>
      </c>
      <c r="I214" s="233" t="s">
        <v>2978</v>
      </c>
      <c r="J214" s="14">
        <v>1</v>
      </c>
      <c r="K214" s="138">
        <v>70</v>
      </c>
      <c r="L214" s="138">
        <v>70</v>
      </c>
    </row>
    <row r="215" spans="1:12" x14ac:dyDescent="0.25">
      <c r="A215" s="1">
        <v>214</v>
      </c>
      <c r="B215" s="1">
        <v>74</v>
      </c>
      <c r="C215" s="232" t="s">
        <v>3499</v>
      </c>
      <c r="D215" s="232" t="s">
        <v>2553</v>
      </c>
      <c r="E215" s="1" t="s">
        <v>3559</v>
      </c>
      <c r="F215" s="232" t="s">
        <v>2775</v>
      </c>
      <c r="G215" s="1" t="s">
        <v>3532</v>
      </c>
      <c r="H215" s="232" t="s">
        <v>2979</v>
      </c>
      <c r="I215" s="233" t="s">
        <v>2980</v>
      </c>
      <c r="J215" s="14">
        <v>1</v>
      </c>
      <c r="K215" s="138">
        <v>100</v>
      </c>
      <c r="L215" s="138">
        <v>100</v>
      </c>
    </row>
    <row r="216" spans="1:12" x14ac:dyDescent="0.25">
      <c r="A216" s="1">
        <v>215</v>
      </c>
      <c r="B216" s="1">
        <v>74</v>
      </c>
      <c r="C216" s="232" t="s">
        <v>3491</v>
      </c>
      <c r="D216" s="232" t="s">
        <v>2553</v>
      </c>
      <c r="E216" s="1" t="s">
        <v>3559</v>
      </c>
      <c r="F216" s="232" t="s">
        <v>2635</v>
      </c>
      <c r="G216" s="1" t="s">
        <v>3531</v>
      </c>
      <c r="H216" s="232" t="s">
        <v>2981</v>
      </c>
      <c r="I216" s="233" t="s">
        <v>2982</v>
      </c>
      <c r="J216" s="14">
        <v>1</v>
      </c>
      <c r="K216" s="138">
        <v>40</v>
      </c>
      <c r="L216" s="138">
        <v>40</v>
      </c>
    </row>
    <row r="217" spans="1:12" x14ac:dyDescent="0.25">
      <c r="A217" s="1">
        <v>216</v>
      </c>
      <c r="B217" s="1">
        <v>74</v>
      </c>
      <c r="C217" s="232" t="s">
        <v>3480</v>
      </c>
      <c r="D217" s="232" t="s">
        <v>2553</v>
      </c>
      <c r="E217" s="1" t="s">
        <v>3559</v>
      </c>
      <c r="F217" s="232" t="s">
        <v>2592</v>
      </c>
      <c r="G217" s="1" t="s">
        <v>3533</v>
      </c>
      <c r="H217" s="232"/>
      <c r="I217" s="233"/>
      <c r="J217" s="14">
        <v>3</v>
      </c>
      <c r="K217" s="138">
        <v>7</v>
      </c>
      <c r="L217" s="138">
        <v>21</v>
      </c>
    </row>
    <row r="218" spans="1:12" x14ac:dyDescent="0.25">
      <c r="A218" s="1">
        <v>217</v>
      </c>
      <c r="B218" s="1">
        <v>74</v>
      </c>
      <c r="C218" s="232" t="s">
        <v>3493</v>
      </c>
      <c r="D218" s="232" t="s">
        <v>2553</v>
      </c>
      <c r="E218" s="1" t="s">
        <v>3559</v>
      </c>
      <c r="F218" s="232" t="s">
        <v>2689</v>
      </c>
      <c r="G218" s="1" t="s">
        <v>3534</v>
      </c>
      <c r="H218" s="232"/>
      <c r="I218" s="233"/>
      <c r="J218" s="14">
        <v>1</v>
      </c>
      <c r="K218" s="138">
        <v>50</v>
      </c>
      <c r="L218" s="138">
        <v>50</v>
      </c>
    </row>
    <row r="219" spans="1:12" x14ac:dyDescent="0.25">
      <c r="A219" s="1">
        <v>218</v>
      </c>
      <c r="B219" s="1">
        <v>75</v>
      </c>
      <c r="C219" s="232" t="s">
        <v>3481</v>
      </c>
      <c r="D219" s="232" t="s">
        <v>2554</v>
      </c>
      <c r="E219" s="1" t="s">
        <v>3560</v>
      </c>
      <c r="F219" s="232" t="s">
        <v>2595</v>
      </c>
      <c r="G219" s="1" t="s">
        <v>3537</v>
      </c>
      <c r="H219" s="232"/>
      <c r="I219" s="233"/>
      <c r="J219" s="14">
        <v>1</v>
      </c>
      <c r="K219" s="138">
        <v>0.5</v>
      </c>
      <c r="L219" s="138">
        <v>0.5</v>
      </c>
    </row>
    <row r="220" spans="1:12" x14ac:dyDescent="0.25">
      <c r="A220" s="1">
        <v>219</v>
      </c>
      <c r="B220" s="1">
        <v>75</v>
      </c>
      <c r="C220" s="232" t="s">
        <v>3482</v>
      </c>
      <c r="D220" s="232" t="s">
        <v>2554</v>
      </c>
      <c r="E220" s="1" t="s">
        <v>3560</v>
      </c>
      <c r="F220" s="232" t="s">
        <v>2598</v>
      </c>
      <c r="G220" s="1" t="s">
        <v>3538</v>
      </c>
      <c r="H220" s="232"/>
      <c r="I220" s="233"/>
      <c r="J220" s="14">
        <v>1</v>
      </c>
      <c r="K220" s="138">
        <v>3</v>
      </c>
      <c r="L220" s="138">
        <v>3</v>
      </c>
    </row>
    <row r="221" spans="1:12" x14ac:dyDescent="0.25">
      <c r="A221" s="1">
        <v>220</v>
      </c>
      <c r="B221" s="1">
        <v>75</v>
      </c>
      <c r="C221" s="232" t="s">
        <v>3483</v>
      </c>
      <c r="D221" s="232" t="s">
        <v>2554</v>
      </c>
      <c r="E221" s="1" t="s">
        <v>3560</v>
      </c>
      <c r="F221" s="232" t="s">
        <v>2601</v>
      </c>
      <c r="G221" s="1" t="s">
        <v>3539</v>
      </c>
      <c r="H221" s="232"/>
      <c r="I221" s="233"/>
      <c r="J221" s="14">
        <v>1</v>
      </c>
      <c r="K221" s="138">
        <v>3</v>
      </c>
      <c r="L221" s="138">
        <v>3</v>
      </c>
    </row>
    <row r="222" spans="1:12" x14ac:dyDescent="0.25">
      <c r="A222" s="1">
        <v>221</v>
      </c>
      <c r="B222" s="1">
        <v>75</v>
      </c>
      <c r="C222" s="232" t="s">
        <v>3484</v>
      </c>
      <c r="D222" s="232" t="s">
        <v>2554</v>
      </c>
      <c r="E222" s="1" t="s">
        <v>3560</v>
      </c>
      <c r="F222" s="232" t="s">
        <v>2604</v>
      </c>
      <c r="G222" s="1" t="s">
        <v>3540</v>
      </c>
      <c r="H222" s="232"/>
      <c r="I222" s="233"/>
      <c r="J222" s="14">
        <v>1</v>
      </c>
      <c r="K222" s="138">
        <v>77</v>
      </c>
      <c r="L222" s="138">
        <v>77</v>
      </c>
    </row>
    <row r="223" spans="1:12" x14ac:dyDescent="0.25">
      <c r="A223" s="1">
        <v>222</v>
      </c>
      <c r="B223" s="1">
        <v>76</v>
      </c>
      <c r="C223" s="232" t="s">
        <v>3488</v>
      </c>
      <c r="D223" s="232" t="s">
        <v>2555</v>
      </c>
      <c r="E223" s="1" t="s">
        <v>3561</v>
      </c>
      <c r="F223" s="232" t="s">
        <v>2616</v>
      </c>
      <c r="G223" s="1" t="s">
        <v>3549</v>
      </c>
      <c r="H223" s="232"/>
      <c r="I223" s="233"/>
      <c r="J223" s="14">
        <v>3</v>
      </c>
      <c r="K223" s="138">
        <v>3</v>
      </c>
      <c r="L223" s="138">
        <v>9</v>
      </c>
    </row>
    <row r="224" spans="1:12" x14ac:dyDescent="0.25">
      <c r="A224" s="1">
        <v>223</v>
      </c>
      <c r="B224" s="1">
        <v>77</v>
      </c>
      <c r="C224" s="232" t="s">
        <v>3502</v>
      </c>
      <c r="D224" s="232" t="s">
        <v>2556</v>
      </c>
      <c r="E224" s="1" t="s">
        <v>3562</v>
      </c>
      <c r="F224" s="232" t="s">
        <v>2788</v>
      </c>
      <c r="G224" s="1" t="s">
        <v>3551</v>
      </c>
      <c r="H224" s="232"/>
      <c r="I224" s="233"/>
      <c r="J224" s="14">
        <v>1</v>
      </c>
      <c r="K224" s="138">
        <v>150</v>
      </c>
      <c r="L224" s="138">
        <v>150</v>
      </c>
    </row>
    <row r="225" spans="1:12" x14ac:dyDescent="0.25">
      <c r="A225" s="1">
        <v>224</v>
      </c>
      <c r="B225" s="1">
        <v>78</v>
      </c>
      <c r="C225" s="232" t="s">
        <v>3502</v>
      </c>
      <c r="D225" s="232" t="s">
        <v>2556</v>
      </c>
      <c r="E225" s="1" t="s">
        <v>3562</v>
      </c>
      <c r="F225" s="232" t="s">
        <v>2788</v>
      </c>
      <c r="G225" s="1" t="s">
        <v>3551</v>
      </c>
      <c r="H225" s="232"/>
      <c r="I225" s="233"/>
      <c r="J225" s="14">
        <v>1</v>
      </c>
      <c r="K225" s="138">
        <v>150</v>
      </c>
      <c r="L225" s="138">
        <v>150</v>
      </c>
    </row>
    <row r="226" spans="1:12" x14ac:dyDescent="0.25">
      <c r="A226" s="1">
        <v>225</v>
      </c>
      <c r="B226" s="1">
        <v>79</v>
      </c>
      <c r="C226" s="232" t="s">
        <v>3471</v>
      </c>
      <c r="D226" s="232" t="s">
        <v>2552</v>
      </c>
      <c r="E226" s="1" t="s">
        <v>3558</v>
      </c>
      <c r="F226" s="232" t="s">
        <v>2565</v>
      </c>
      <c r="G226" s="1" t="s">
        <v>3515</v>
      </c>
      <c r="H226" s="232" t="s">
        <v>2983</v>
      </c>
      <c r="I226" s="233" t="s">
        <v>2984</v>
      </c>
      <c r="J226" s="14">
        <v>1</v>
      </c>
      <c r="K226" s="138">
        <v>75</v>
      </c>
      <c r="L226" s="138">
        <v>75</v>
      </c>
    </row>
    <row r="227" spans="1:12" x14ac:dyDescent="0.25">
      <c r="A227" s="1">
        <v>226</v>
      </c>
      <c r="B227" s="1">
        <v>79</v>
      </c>
      <c r="C227" s="232" t="s">
        <v>3497</v>
      </c>
      <c r="D227" s="232" t="s">
        <v>2552</v>
      </c>
      <c r="E227" s="1" t="s">
        <v>3558</v>
      </c>
      <c r="F227" s="232" t="s">
        <v>2753</v>
      </c>
      <c r="G227" s="1" t="s">
        <v>3520</v>
      </c>
      <c r="H227" s="232" t="s">
        <v>2985</v>
      </c>
      <c r="I227" s="233" t="s">
        <v>2986</v>
      </c>
      <c r="J227" s="14">
        <v>3</v>
      </c>
      <c r="K227" s="138">
        <v>10</v>
      </c>
      <c r="L227" s="138">
        <v>30</v>
      </c>
    </row>
    <row r="228" spans="1:12" x14ac:dyDescent="0.25">
      <c r="A228" s="1">
        <v>227</v>
      </c>
      <c r="B228" s="1">
        <v>79</v>
      </c>
      <c r="C228" s="232" t="s">
        <v>3474</v>
      </c>
      <c r="D228" s="232" t="s">
        <v>2552</v>
      </c>
      <c r="E228" s="1" t="s">
        <v>3558</v>
      </c>
      <c r="F228" s="232" t="s">
        <v>2574</v>
      </c>
      <c r="G228" s="1" t="s">
        <v>3521</v>
      </c>
      <c r="H228" s="232" t="s">
        <v>2987</v>
      </c>
      <c r="I228" s="233" t="s">
        <v>2988</v>
      </c>
      <c r="J228" s="14">
        <v>3</v>
      </c>
      <c r="K228" s="138">
        <v>77</v>
      </c>
      <c r="L228" s="138">
        <v>231</v>
      </c>
    </row>
    <row r="229" spans="1:12" x14ac:dyDescent="0.25">
      <c r="A229" s="1">
        <v>228</v>
      </c>
      <c r="B229" s="1">
        <v>79</v>
      </c>
      <c r="C229" s="232" t="s">
        <v>3498</v>
      </c>
      <c r="D229" s="232" t="s">
        <v>2552</v>
      </c>
      <c r="E229" s="1" t="s">
        <v>3558</v>
      </c>
      <c r="F229" s="232" t="s">
        <v>2758</v>
      </c>
      <c r="G229" s="1" t="s">
        <v>3522</v>
      </c>
      <c r="H229" s="232" t="s">
        <v>2989</v>
      </c>
      <c r="I229" s="233" t="s">
        <v>2990</v>
      </c>
      <c r="J229" s="14">
        <v>2</v>
      </c>
      <c r="K229" s="138">
        <v>1.6</v>
      </c>
      <c r="L229" s="138">
        <v>3.2</v>
      </c>
    </row>
    <row r="230" spans="1:12" x14ac:dyDescent="0.25">
      <c r="A230" s="1">
        <v>229</v>
      </c>
      <c r="B230" s="1">
        <v>79</v>
      </c>
      <c r="C230" s="232" t="s">
        <v>3476</v>
      </c>
      <c r="D230" s="232" t="s">
        <v>2552</v>
      </c>
      <c r="E230" s="1" t="s">
        <v>3558</v>
      </c>
      <c r="F230" s="232" t="s">
        <v>2580</v>
      </c>
      <c r="G230" s="1" t="s">
        <v>3524</v>
      </c>
      <c r="H230" s="232" t="s">
        <v>2991</v>
      </c>
      <c r="I230" s="233" t="s">
        <v>2992</v>
      </c>
      <c r="J230" s="14">
        <v>4</v>
      </c>
      <c r="K230" s="138">
        <v>6</v>
      </c>
      <c r="L230" s="138">
        <v>24</v>
      </c>
    </row>
    <row r="231" spans="1:12" x14ac:dyDescent="0.25">
      <c r="A231" s="1">
        <v>230</v>
      </c>
      <c r="B231" s="1">
        <v>80</v>
      </c>
      <c r="C231" s="232" t="s">
        <v>3477</v>
      </c>
      <c r="D231" s="232" t="s">
        <v>2553</v>
      </c>
      <c r="E231" s="1" t="s">
        <v>3559</v>
      </c>
      <c r="F231" s="232" t="s">
        <v>2583</v>
      </c>
      <c r="G231" s="1" t="s">
        <v>3527</v>
      </c>
      <c r="H231" s="232" t="s">
        <v>2993</v>
      </c>
      <c r="I231" s="233" t="s">
        <v>2994</v>
      </c>
      <c r="J231" s="14">
        <v>3</v>
      </c>
      <c r="K231" s="138">
        <v>20</v>
      </c>
      <c r="L231" s="138">
        <v>60</v>
      </c>
    </row>
    <row r="232" spans="1:12" x14ac:dyDescent="0.25">
      <c r="A232" s="1">
        <v>231</v>
      </c>
      <c r="B232" s="1">
        <v>80</v>
      </c>
      <c r="C232" s="232" t="s">
        <v>3479</v>
      </c>
      <c r="D232" s="232" t="s">
        <v>2553</v>
      </c>
      <c r="E232" s="1" t="s">
        <v>3559</v>
      </c>
      <c r="F232" s="232" t="s">
        <v>2589</v>
      </c>
      <c r="G232" s="1" t="s">
        <v>3530</v>
      </c>
      <c r="H232" s="232" t="s">
        <v>2995</v>
      </c>
      <c r="I232" s="233" t="s">
        <v>2996</v>
      </c>
      <c r="J232" s="14">
        <v>1</v>
      </c>
      <c r="K232" s="138">
        <v>70</v>
      </c>
      <c r="L232" s="138">
        <v>70</v>
      </c>
    </row>
    <row r="233" spans="1:12" x14ac:dyDescent="0.25">
      <c r="A233" s="1">
        <v>232</v>
      </c>
      <c r="B233" s="1">
        <v>80</v>
      </c>
      <c r="C233" s="232" t="s">
        <v>3499</v>
      </c>
      <c r="D233" s="232" t="s">
        <v>2553</v>
      </c>
      <c r="E233" s="1" t="s">
        <v>3559</v>
      </c>
      <c r="F233" s="232" t="s">
        <v>2775</v>
      </c>
      <c r="G233" s="1" t="s">
        <v>3532</v>
      </c>
      <c r="H233" s="232" t="s">
        <v>2997</v>
      </c>
      <c r="I233" s="233" t="s">
        <v>2998</v>
      </c>
      <c r="J233" s="14">
        <v>1</v>
      </c>
      <c r="K233" s="138">
        <v>100</v>
      </c>
      <c r="L233" s="138">
        <v>100</v>
      </c>
    </row>
    <row r="234" spans="1:12" x14ac:dyDescent="0.25">
      <c r="A234" s="1">
        <v>233</v>
      </c>
      <c r="B234" s="1">
        <v>80</v>
      </c>
      <c r="C234" s="232" t="s">
        <v>3491</v>
      </c>
      <c r="D234" s="232" t="s">
        <v>2553</v>
      </c>
      <c r="E234" s="1" t="s">
        <v>3559</v>
      </c>
      <c r="F234" s="232" t="s">
        <v>2635</v>
      </c>
      <c r="G234" s="1" t="s">
        <v>3531</v>
      </c>
      <c r="H234" s="232" t="s">
        <v>2999</v>
      </c>
      <c r="I234" s="233" t="s">
        <v>3000</v>
      </c>
      <c r="J234" s="14">
        <v>1</v>
      </c>
      <c r="K234" s="138">
        <v>40</v>
      </c>
      <c r="L234" s="138">
        <v>40</v>
      </c>
    </row>
    <row r="235" spans="1:12" x14ac:dyDescent="0.25">
      <c r="A235" s="1">
        <v>234</v>
      </c>
      <c r="B235" s="1">
        <v>80</v>
      </c>
      <c r="C235" s="232" t="s">
        <v>3480</v>
      </c>
      <c r="D235" s="232" t="s">
        <v>2553</v>
      </c>
      <c r="E235" s="1" t="s">
        <v>3559</v>
      </c>
      <c r="F235" s="232" t="s">
        <v>2592</v>
      </c>
      <c r="G235" s="1" t="s">
        <v>3533</v>
      </c>
      <c r="H235" s="232"/>
      <c r="I235" s="233"/>
      <c r="J235" s="14">
        <v>4</v>
      </c>
      <c r="K235" s="138">
        <v>7</v>
      </c>
      <c r="L235" s="138">
        <v>28</v>
      </c>
    </row>
    <row r="236" spans="1:12" x14ac:dyDescent="0.25">
      <c r="A236" s="1">
        <v>235</v>
      </c>
      <c r="B236" s="1">
        <v>80</v>
      </c>
      <c r="C236" s="232" t="s">
        <v>3493</v>
      </c>
      <c r="D236" s="232" t="s">
        <v>2553</v>
      </c>
      <c r="E236" s="1" t="s">
        <v>3559</v>
      </c>
      <c r="F236" s="232" t="s">
        <v>2689</v>
      </c>
      <c r="G236" s="1" t="s">
        <v>3534</v>
      </c>
      <c r="H236" s="232"/>
      <c r="I236" s="233"/>
      <c r="J236" s="14">
        <v>1</v>
      </c>
      <c r="K236" s="138">
        <v>50</v>
      </c>
      <c r="L236" s="138">
        <v>50</v>
      </c>
    </row>
    <row r="237" spans="1:12" x14ac:dyDescent="0.25">
      <c r="A237" s="1">
        <v>236</v>
      </c>
      <c r="B237" s="1">
        <v>81</v>
      </c>
      <c r="C237" s="232" t="s">
        <v>3500</v>
      </c>
      <c r="D237" s="232" t="s">
        <v>2554</v>
      </c>
      <c r="E237" s="1" t="s">
        <v>3560</v>
      </c>
      <c r="F237" s="232" t="s">
        <v>2782</v>
      </c>
      <c r="G237" s="1" t="s">
        <v>3536</v>
      </c>
      <c r="H237" s="232"/>
      <c r="I237" s="233"/>
      <c r="J237" s="14">
        <v>1</v>
      </c>
      <c r="K237" s="138">
        <v>10</v>
      </c>
      <c r="L237" s="138">
        <v>10</v>
      </c>
    </row>
    <row r="238" spans="1:12" x14ac:dyDescent="0.25">
      <c r="A238" s="1">
        <v>237</v>
      </c>
      <c r="B238" s="1">
        <v>81</v>
      </c>
      <c r="C238" s="232" t="s">
        <v>3481</v>
      </c>
      <c r="D238" s="232" t="s">
        <v>2554</v>
      </c>
      <c r="E238" s="1" t="s">
        <v>3560</v>
      </c>
      <c r="F238" s="232" t="s">
        <v>2595</v>
      </c>
      <c r="G238" s="1" t="s">
        <v>3537</v>
      </c>
      <c r="H238" s="232"/>
      <c r="I238" s="233"/>
      <c r="J238" s="14">
        <v>1</v>
      </c>
      <c r="K238" s="138">
        <v>0.5</v>
      </c>
      <c r="L238" s="138">
        <v>0.5</v>
      </c>
    </row>
    <row r="239" spans="1:12" x14ac:dyDescent="0.25">
      <c r="A239" s="1">
        <v>238</v>
      </c>
      <c r="B239" s="1">
        <v>82</v>
      </c>
      <c r="C239" s="232" t="s">
        <v>3501</v>
      </c>
      <c r="D239" s="232" t="s">
        <v>2555</v>
      </c>
      <c r="E239" s="1" t="s">
        <v>3561</v>
      </c>
      <c r="F239" s="232" t="s">
        <v>2785</v>
      </c>
      <c r="G239" s="1" t="s">
        <v>3546</v>
      </c>
      <c r="H239" s="232"/>
      <c r="I239" s="233"/>
      <c r="J239" s="14">
        <v>1</v>
      </c>
      <c r="K239" s="138">
        <v>10</v>
      </c>
      <c r="L239" s="138">
        <v>10</v>
      </c>
    </row>
    <row r="240" spans="1:12" x14ac:dyDescent="0.25">
      <c r="A240" s="1">
        <v>239</v>
      </c>
      <c r="B240" s="1">
        <v>82</v>
      </c>
      <c r="C240" s="232" t="s">
        <v>3506</v>
      </c>
      <c r="D240" s="232" t="s">
        <v>2555</v>
      </c>
      <c r="E240" s="1" t="s">
        <v>3561</v>
      </c>
      <c r="F240" s="232" t="s">
        <v>2840</v>
      </c>
      <c r="G240" s="1" t="s">
        <v>3545</v>
      </c>
      <c r="H240" s="232"/>
      <c r="I240" s="233"/>
      <c r="J240" s="14">
        <v>1</v>
      </c>
      <c r="K240" s="138">
        <v>6</v>
      </c>
      <c r="L240" s="138">
        <v>6</v>
      </c>
    </row>
    <row r="241" spans="1:12" x14ac:dyDescent="0.25">
      <c r="A241" s="1">
        <v>240</v>
      </c>
      <c r="B241" s="1">
        <v>83</v>
      </c>
      <c r="C241" s="232" t="s">
        <v>3502</v>
      </c>
      <c r="D241" s="232" t="s">
        <v>2556</v>
      </c>
      <c r="E241" s="1" t="s">
        <v>3562</v>
      </c>
      <c r="F241" s="232" t="s">
        <v>2788</v>
      </c>
      <c r="G241" s="1" t="s">
        <v>3551</v>
      </c>
      <c r="H241" s="232"/>
      <c r="I241" s="233"/>
      <c r="J241" s="14">
        <v>1</v>
      </c>
      <c r="K241" s="138">
        <v>150</v>
      </c>
      <c r="L241" s="138">
        <v>150</v>
      </c>
    </row>
    <row r="242" spans="1:12" x14ac:dyDescent="0.25">
      <c r="A242" s="1">
        <v>241</v>
      </c>
      <c r="B242" s="1">
        <v>84</v>
      </c>
      <c r="C242" s="232" t="s">
        <v>3502</v>
      </c>
      <c r="D242" s="232" t="s">
        <v>2556</v>
      </c>
      <c r="E242" s="1" t="s">
        <v>3562</v>
      </c>
      <c r="F242" s="232" t="s">
        <v>2788</v>
      </c>
      <c r="G242" s="1" t="s">
        <v>3551</v>
      </c>
      <c r="H242" s="232"/>
      <c r="I242" s="233"/>
      <c r="J242" s="14">
        <v>1</v>
      </c>
      <c r="K242" s="138">
        <v>150</v>
      </c>
      <c r="L242" s="138">
        <v>150</v>
      </c>
    </row>
    <row r="243" spans="1:12" x14ac:dyDescent="0.25">
      <c r="A243" s="1">
        <v>242</v>
      </c>
      <c r="B243" s="1">
        <v>85</v>
      </c>
      <c r="C243" s="232" t="s">
        <v>3473</v>
      </c>
      <c r="D243" s="232" t="s">
        <v>2552</v>
      </c>
      <c r="E243" s="1" t="s">
        <v>3558</v>
      </c>
      <c r="F243" s="232" t="s">
        <v>2571</v>
      </c>
      <c r="G243" s="1" t="s">
        <v>3518</v>
      </c>
      <c r="H243" s="232" t="s">
        <v>3001</v>
      </c>
      <c r="I243" s="233" t="s">
        <v>3002</v>
      </c>
      <c r="J243" s="14">
        <v>1</v>
      </c>
      <c r="K243" s="138">
        <v>5</v>
      </c>
      <c r="L243" s="138">
        <v>5</v>
      </c>
    </row>
    <row r="244" spans="1:12" x14ac:dyDescent="0.25">
      <c r="A244" s="1">
        <v>243</v>
      </c>
      <c r="B244" s="1">
        <v>85</v>
      </c>
      <c r="C244" s="232" t="s">
        <v>3497</v>
      </c>
      <c r="D244" s="232" t="s">
        <v>2552</v>
      </c>
      <c r="E244" s="1" t="s">
        <v>3558</v>
      </c>
      <c r="F244" s="232" t="s">
        <v>2753</v>
      </c>
      <c r="G244" s="1" t="s">
        <v>3520</v>
      </c>
      <c r="H244" s="232" t="s">
        <v>3003</v>
      </c>
      <c r="I244" s="233" t="s">
        <v>3004</v>
      </c>
      <c r="J244" s="14">
        <v>3</v>
      </c>
      <c r="K244" s="138">
        <v>10</v>
      </c>
      <c r="L244" s="138">
        <v>30</v>
      </c>
    </row>
    <row r="245" spans="1:12" x14ac:dyDescent="0.25">
      <c r="A245" s="1">
        <v>244</v>
      </c>
      <c r="B245" s="1">
        <v>85</v>
      </c>
      <c r="C245" s="232" t="s">
        <v>3474</v>
      </c>
      <c r="D245" s="232" t="s">
        <v>2552</v>
      </c>
      <c r="E245" s="1" t="s">
        <v>3558</v>
      </c>
      <c r="F245" s="232" t="s">
        <v>2574</v>
      </c>
      <c r="G245" s="1" t="s">
        <v>3521</v>
      </c>
      <c r="H245" s="232" t="s">
        <v>3005</v>
      </c>
      <c r="I245" s="233" t="s">
        <v>3006</v>
      </c>
      <c r="J245" s="14">
        <v>4</v>
      </c>
      <c r="K245" s="138">
        <v>77</v>
      </c>
      <c r="L245" s="138">
        <v>308</v>
      </c>
    </row>
    <row r="246" spans="1:12" x14ac:dyDescent="0.25">
      <c r="A246" s="1">
        <v>245</v>
      </c>
      <c r="B246" s="1">
        <v>85</v>
      </c>
      <c r="C246" s="232" t="s">
        <v>3498</v>
      </c>
      <c r="D246" s="232" t="s">
        <v>2552</v>
      </c>
      <c r="E246" s="1" t="s">
        <v>3558</v>
      </c>
      <c r="F246" s="232" t="s">
        <v>2758</v>
      </c>
      <c r="G246" s="1" t="s">
        <v>3522</v>
      </c>
      <c r="H246" s="232" t="s">
        <v>3007</v>
      </c>
      <c r="I246" s="233" t="s">
        <v>3008</v>
      </c>
      <c r="J246" s="14">
        <v>2</v>
      </c>
      <c r="K246" s="138">
        <v>1.6</v>
      </c>
      <c r="L246" s="138">
        <v>3.2</v>
      </c>
    </row>
    <row r="247" spans="1:12" x14ac:dyDescent="0.25">
      <c r="A247" s="1">
        <v>246</v>
      </c>
      <c r="B247" s="1">
        <v>85</v>
      </c>
      <c r="C247" s="232" t="s">
        <v>3476</v>
      </c>
      <c r="D247" s="232" t="s">
        <v>2552</v>
      </c>
      <c r="E247" s="1" t="s">
        <v>3558</v>
      </c>
      <c r="F247" s="232" t="s">
        <v>2580</v>
      </c>
      <c r="G247" s="1" t="s">
        <v>3524</v>
      </c>
      <c r="H247" s="232"/>
      <c r="I247" s="233"/>
      <c r="J247" s="14">
        <v>4</v>
      </c>
      <c r="K247" s="138">
        <v>6</v>
      </c>
      <c r="L247" s="138">
        <v>24</v>
      </c>
    </row>
    <row r="248" spans="1:12" x14ac:dyDescent="0.25">
      <c r="A248" s="1">
        <v>247</v>
      </c>
      <c r="B248" s="1">
        <v>86</v>
      </c>
      <c r="C248" s="232" t="s">
        <v>3478</v>
      </c>
      <c r="D248" s="232" t="s">
        <v>2553</v>
      </c>
      <c r="E248" s="1" t="s">
        <v>3559</v>
      </c>
      <c r="F248" s="232" t="s">
        <v>2586</v>
      </c>
      <c r="G248" s="1" t="s">
        <v>3528</v>
      </c>
      <c r="H248" s="232"/>
      <c r="I248" s="233"/>
      <c r="J248" s="14">
        <v>1</v>
      </c>
      <c r="K248" s="138">
        <v>18</v>
      </c>
      <c r="L248" s="138">
        <v>18</v>
      </c>
    </row>
    <row r="249" spans="1:12" x14ac:dyDescent="0.25">
      <c r="A249" s="1">
        <v>248</v>
      </c>
      <c r="B249" s="1">
        <v>86</v>
      </c>
      <c r="C249" s="232" t="s">
        <v>3477</v>
      </c>
      <c r="D249" s="232" t="s">
        <v>2553</v>
      </c>
      <c r="E249" s="1" t="s">
        <v>3559</v>
      </c>
      <c r="F249" s="232" t="s">
        <v>2583</v>
      </c>
      <c r="G249" s="1" t="s">
        <v>3527</v>
      </c>
      <c r="H249" s="232"/>
      <c r="I249" s="233"/>
      <c r="J249" s="14">
        <v>3</v>
      </c>
      <c r="K249" s="138">
        <v>20</v>
      </c>
      <c r="L249" s="138">
        <v>60</v>
      </c>
    </row>
    <row r="250" spans="1:12" x14ac:dyDescent="0.25">
      <c r="A250" s="1">
        <v>249</v>
      </c>
      <c r="B250" s="1">
        <v>86</v>
      </c>
      <c r="C250" s="232" t="s">
        <v>3479</v>
      </c>
      <c r="D250" s="232" t="s">
        <v>2553</v>
      </c>
      <c r="E250" s="1" t="s">
        <v>3559</v>
      </c>
      <c r="F250" s="232" t="s">
        <v>2589</v>
      </c>
      <c r="G250" s="1" t="s">
        <v>3530</v>
      </c>
      <c r="H250" s="232"/>
      <c r="I250" s="233"/>
      <c r="J250" s="14">
        <v>1</v>
      </c>
      <c r="K250" s="138">
        <v>70</v>
      </c>
      <c r="L250" s="138">
        <v>70</v>
      </c>
    </row>
    <row r="251" spans="1:12" x14ac:dyDescent="0.25">
      <c r="A251" s="1">
        <v>250</v>
      </c>
      <c r="B251" s="1">
        <v>86</v>
      </c>
      <c r="C251" s="232" t="s">
        <v>3491</v>
      </c>
      <c r="D251" s="232" t="s">
        <v>2553</v>
      </c>
      <c r="E251" s="1" t="s">
        <v>3559</v>
      </c>
      <c r="F251" s="232" t="s">
        <v>2635</v>
      </c>
      <c r="G251" s="1" t="s">
        <v>3531</v>
      </c>
      <c r="H251" s="232"/>
      <c r="I251" s="233"/>
      <c r="J251" s="14">
        <v>1</v>
      </c>
      <c r="K251" s="138">
        <v>40</v>
      </c>
      <c r="L251" s="138">
        <v>40</v>
      </c>
    </row>
    <row r="252" spans="1:12" x14ac:dyDescent="0.25">
      <c r="A252" s="1">
        <v>251</v>
      </c>
      <c r="B252" s="1">
        <v>86</v>
      </c>
      <c r="C252" s="232" t="s">
        <v>3499</v>
      </c>
      <c r="D252" s="232" t="s">
        <v>2553</v>
      </c>
      <c r="E252" s="1" t="s">
        <v>3559</v>
      </c>
      <c r="F252" s="232" t="s">
        <v>2775</v>
      </c>
      <c r="G252" s="1" t="s">
        <v>3532</v>
      </c>
      <c r="H252" s="232"/>
      <c r="I252" s="233"/>
      <c r="J252" s="14">
        <v>1</v>
      </c>
      <c r="K252" s="138">
        <v>100</v>
      </c>
      <c r="L252" s="138">
        <v>100</v>
      </c>
    </row>
    <row r="253" spans="1:12" x14ac:dyDescent="0.25">
      <c r="A253" s="1">
        <v>252</v>
      </c>
      <c r="B253" s="1">
        <v>86</v>
      </c>
      <c r="C253" s="232" t="s">
        <v>3480</v>
      </c>
      <c r="D253" s="232" t="s">
        <v>2553</v>
      </c>
      <c r="E253" s="1" t="s">
        <v>3559</v>
      </c>
      <c r="F253" s="232" t="s">
        <v>2592</v>
      </c>
      <c r="G253" s="1" t="s">
        <v>3533</v>
      </c>
      <c r="H253" s="232"/>
      <c r="I253" s="233"/>
      <c r="J253" s="14">
        <v>1</v>
      </c>
      <c r="K253" s="138">
        <v>7</v>
      </c>
      <c r="L253" s="138">
        <v>7</v>
      </c>
    </row>
    <row r="254" spans="1:12" x14ac:dyDescent="0.25">
      <c r="A254" s="1">
        <v>253</v>
      </c>
      <c r="B254" s="1">
        <v>87</v>
      </c>
      <c r="C254" s="232" t="s">
        <v>3500</v>
      </c>
      <c r="D254" s="232" t="s">
        <v>2554</v>
      </c>
      <c r="E254" s="1" t="s">
        <v>3560</v>
      </c>
      <c r="F254" s="232" t="s">
        <v>2782</v>
      </c>
      <c r="G254" s="1" t="s">
        <v>3536</v>
      </c>
      <c r="H254" s="232"/>
      <c r="I254" s="233"/>
      <c r="J254" s="14">
        <v>1</v>
      </c>
      <c r="K254" s="138">
        <v>10</v>
      </c>
      <c r="L254" s="138">
        <v>10</v>
      </c>
    </row>
    <row r="255" spans="1:12" x14ac:dyDescent="0.25">
      <c r="A255" s="1">
        <v>254</v>
      </c>
      <c r="B255" s="1">
        <v>87</v>
      </c>
      <c r="C255" s="232" t="s">
        <v>3481</v>
      </c>
      <c r="D255" s="232" t="s">
        <v>2554</v>
      </c>
      <c r="E255" s="1" t="s">
        <v>3560</v>
      </c>
      <c r="F255" s="232" t="s">
        <v>2595</v>
      </c>
      <c r="G255" s="1" t="s">
        <v>3537</v>
      </c>
      <c r="H255" s="232"/>
      <c r="I255" s="233"/>
      <c r="J255" s="14">
        <v>1</v>
      </c>
      <c r="K255" s="138">
        <v>0.5</v>
      </c>
      <c r="L255" s="138">
        <v>0.5</v>
      </c>
    </row>
    <row r="256" spans="1:12" x14ac:dyDescent="0.25">
      <c r="A256" s="1">
        <v>255</v>
      </c>
      <c r="B256" s="1">
        <v>87</v>
      </c>
      <c r="C256" s="232" t="s">
        <v>3482</v>
      </c>
      <c r="D256" s="232" t="s">
        <v>2554</v>
      </c>
      <c r="E256" s="1" t="s">
        <v>3560</v>
      </c>
      <c r="F256" s="232" t="s">
        <v>2598</v>
      </c>
      <c r="G256" s="1" t="s">
        <v>3538</v>
      </c>
      <c r="H256" s="232"/>
      <c r="I256" s="233"/>
      <c r="J256" s="14">
        <v>1</v>
      </c>
      <c r="K256" s="138">
        <v>3</v>
      </c>
      <c r="L256" s="138">
        <v>3</v>
      </c>
    </row>
    <row r="257" spans="1:12" x14ac:dyDescent="0.25">
      <c r="A257" s="1">
        <v>256</v>
      </c>
      <c r="B257" s="1">
        <v>88</v>
      </c>
      <c r="C257" s="232" t="s">
        <v>3502</v>
      </c>
      <c r="D257" s="232" t="s">
        <v>2556</v>
      </c>
      <c r="E257" s="1" t="s">
        <v>3562</v>
      </c>
      <c r="F257" s="232" t="s">
        <v>2788</v>
      </c>
      <c r="G257" s="1" t="s">
        <v>3551</v>
      </c>
      <c r="H257" s="232"/>
      <c r="I257" s="233"/>
      <c r="J257" s="14">
        <v>1</v>
      </c>
      <c r="K257" s="138">
        <v>150</v>
      </c>
      <c r="L257" s="138">
        <v>150</v>
      </c>
    </row>
    <row r="258" spans="1:12" x14ac:dyDescent="0.25">
      <c r="A258" s="1">
        <v>257</v>
      </c>
      <c r="B258" s="1">
        <v>89</v>
      </c>
      <c r="C258" s="232" t="s">
        <v>3502</v>
      </c>
      <c r="D258" s="232" t="s">
        <v>2556</v>
      </c>
      <c r="E258" s="1" t="s">
        <v>3562</v>
      </c>
      <c r="F258" s="232" t="s">
        <v>2788</v>
      </c>
      <c r="G258" s="1" t="s">
        <v>3551</v>
      </c>
      <c r="H258" s="232"/>
      <c r="I258" s="233"/>
      <c r="J258" s="14">
        <v>1</v>
      </c>
      <c r="K258" s="138">
        <v>150</v>
      </c>
      <c r="L258" s="138">
        <v>150</v>
      </c>
    </row>
    <row r="259" spans="1:12" x14ac:dyDescent="0.25">
      <c r="A259" s="1">
        <v>258</v>
      </c>
      <c r="B259" s="1">
        <v>90</v>
      </c>
      <c r="C259" s="232" t="s">
        <v>3470</v>
      </c>
      <c r="D259" s="232" t="s">
        <v>2552</v>
      </c>
      <c r="E259" s="1" t="s">
        <v>3558</v>
      </c>
      <c r="F259" s="232" t="s">
        <v>2562</v>
      </c>
      <c r="G259" s="1" t="s">
        <v>3514</v>
      </c>
      <c r="H259" s="232"/>
      <c r="I259" s="233"/>
      <c r="J259" s="14">
        <v>1</v>
      </c>
      <c r="K259" s="138">
        <v>6</v>
      </c>
      <c r="L259" s="138">
        <v>6</v>
      </c>
    </row>
    <row r="260" spans="1:12" x14ac:dyDescent="0.25">
      <c r="A260" s="1">
        <v>259</v>
      </c>
      <c r="B260" s="1">
        <v>90</v>
      </c>
      <c r="C260" s="232" t="s">
        <v>3497</v>
      </c>
      <c r="D260" s="232" t="s">
        <v>2552</v>
      </c>
      <c r="E260" s="1" t="s">
        <v>3558</v>
      </c>
      <c r="F260" s="232" t="s">
        <v>2753</v>
      </c>
      <c r="G260" s="1" t="s">
        <v>3520</v>
      </c>
      <c r="H260" s="232"/>
      <c r="I260" s="233"/>
      <c r="J260" s="14">
        <v>11</v>
      </c>
      <c r="K260" s="138">
        <v>10</v>
      </c>
      <c r="L260" s="138">
        <v>110</v>
      </c>
    </row>
    <row r="261" spans="1:12" x14ac:dyDescent="0.25">
      <c r="A261" s="1">
        <v>260</v>
      </c>
      <c r="B261" s="1">
        <v>90</v>
      </c>
      <c r="C261" s="232" t="s">
        <v>3474</v>
      </c>
      <c r="D261" s="232" t="s">
        <v>2552</v>
      </c>
      <c r="E261" s="1" t="s">
        <v>3558</v>
      </c>
      <c r="F261" s="232" t="s">
        <v>2574</v>
      </c>
      <c r="G261" s="1" t="s">
        <v>3521</v>
      </c>
      <c r="H261" s="232"/>
      <c r="I261" s="233"/>
      <c r="J261" s="14">
        <v>11</v>
      </c>
      <c r="K261" s="138">
        <v>77</v>
      </c>
      <c r="L261" s="138">
        <v>847</v>
      </c>
    </row>
    <row r="262" spans="1:12" x14ac:dyDescent="0.25">
      <c r="A262" s="1">
        <v>261</v>
      </c>
      <c r="B262" s="1">
        <v>90</v>
      </c>
      <c r="C262" s="232" t="s">
        <v>3475</v>
      </c>
      <c r="D262" s="232" t="s">
        <v>2552</v>
      </c>
      <c r="E262" s="1" t="s">
        <v>3558</v>
      </c>
      <c r="F262" s="232" t="s">
        <v>2577</v>
      </c>
      <c r="G262" s="1" t="s">
        <v>3523</v>
      </c>
      <c r="H262" s="232"/>
      <c r="I262" s="233"/>
      <c r="J262" s="14">
        <v>11</v>
      </c>
      <c r="K262" s="138">
        <v>42</v>
      </c>
      <c r="L262" s="138">
        <v>462</v>
      </c>
    </row>
    <row r="263" spans="1:12" x14ac:dyDescent="0.25">
      <c r="A263" s="1">
        <v>262</v>
      </c>
      <c r="B263" s="1">
        <v>90</v>
      </c>
      <c r="C263" s="232" t="s">
        <v>3476</v>
      </c>
      <c r="D263" s="232" t="s">
        <v>2552</v>
      </c>
      <c r="E263" s="1" t="s">
        <v>3558</v>
      </c>
      <c r="F263" s="232" t="s">
        <v>2580</v>
      </c>
      <c r="G263" s="1" t="s">
        <v>3524</v>
      </c>
      <c r="H263" s="232"/>
      <c r="I263" s="233"/>
      <c r="J263" s="14">
        <v>11</v>
      </c>
      <c r="K263" s="138">
        <v>6</v>
      </c>
      <c r="L263" s="138">
        <v>66</v>
      </c>
    </row>
    <row r="264" spans="1:12" x14ac:dyDescent="0.25">
      <c r="A264" s="1">
        <v>263</v>
      </c>
      <c r="B264" s="1">
        <v>91</v>
      </c>
      <c r="C264" s="232" t="s">
        <v>3477</v>
      </c>
      <c r="D264" s="232" t="s">
        <v>2553</v>
      </c>
      <c r="E264" s="1" t="s">
        <v>3559</v>
      </c>
      <c r="F264" s="232" t="s">
        <v>2583</v>
      </c>
      <c r="G264" s="1" t="s">
        <v>3527</v>
      </c>
      <c r="H264" s="232"/>
      <c r="I264" s="233"/>
      <c r="J264" s="14">
        <v>2</v>
      </c>
      <c r="K264" s="138">
        <v>20</v>
      </c>
      <c r="L264" s="138">
        <v>40</v>
      </c>
    </row>
    <row r="265" spans="1:12" x14ac:dyDescent="0.25">
      <c r="A265" s="1">
        <v>264</v>
      </c>
      <c r="B265" s="1">
        <v>91</v>
      </c>
      <c r="C265" s="232" t="s">
        <v>3479</v>
      </c>
      <c r="D265" s="232" t="s">
        <v>2553</v>
      </c>
      <c r="E265" s="1" t="s">
        <v>3559</v>
      </c>
      <c r="F265" s="232" t="s">
        <v>2589</v>
      </c>
      <c r="G265" s="1" t="s">
        <v>3530</v>
      </c>
      <c r="H265" s="232"/>
      <c r="I265" s="233"/>
      <c r="J265" s="14">
        <v>1</v>
      </c>
      <c r="K265" s="138">
        <v>70</v>
      </c>
      <c r="L265" s="138">
        <v>70</v>
      </c>
    </row>
    <row r="266" spans="1:12" x14ac:dyDescent="0.25">
      <c r="A266" s="1">
        <v>265</v>
      </c>
      <c r="B266" s="1">
        <v>91</v>
      </c>
      <c r="C266" s="232" t="s">
        <v>3490</v>
      </c>
      <c r="D266" s="232" t="s">
        <v>2553</v>
      </c>
      <c r="E266" s="1" t="s">
        <v>3559</v>
      </c>
      <c r="F266" s="232" t="s">
        <v>2630</v>
      </c>
      <c r="G266" s="1" t="s">
        <v>3529</v>
      </c>
      <c r="H266" s="232"/>
      <c r="I266" s="233"/>
      <c r="J266" s="14">
        <v>5</v>
      </c>
      <c r="K266" s="138">
        <v>18</v>
      </c>
      <c r="L266" s="138">
        <v>90</v>
      </c>
    </row>
    <row r="267" spans="1:12" x14ac:dyDescent="0.25">
      <c r="A267" s="1">
        <v>266</v>
      </c>
      <c r="B267" s="1">
        <v>91</v>
      </c>
      <c r="C267" s="232" t="s">
        <v>3491</v>
      </c>
      <c r="D267" s="232" t="s">
        <v>2553</v>
      </c>
      <c r="E267" s="1" t="s">
        <v>3559</v>
      </c>
      <c r="F267" s="232" t="s">
        <v>2635</v>
      </c>
      <c r="G267" s="1" t="s">
        <v>3531</v>
      </c>
      <c r="H267" s="232"/>
      <c r="I267" s="233"/>
      <c r="J267" s="14">
        <v>1</v>
      </c>
      <c r="K267" s="138">
        <v>40</v>
      </c>
      <c r="L267" s="138">
        <v>40</v>
      </c>
    </row>
    <row r="268" spans="1:12" x14ac:dyDescent="0.25">
      <c r="A268" s="1">
        <v>267</v>
      </c>
      <c r="B268" s="1">
        <v>91</v>
      </c>
      <c r="C268" s="232" t="s">
        <v>3480</v>
      </c>
      <c r="D268" s="232" t="s">
        <v>2553</v>
      </c>
      <c r="E268" s="1" t="s">
        <v>3559</v>
      </c>
      <c r="F268" s="232" t="s">
        <v>2592</v>
      </c>
      <c r="G268" s="1" t="s">
        <v>3533</v>
      </c>
      <c r="H268" s="232"/>
      <c r="I268" s="233"/>
      <c r="J268" s="14">
        <v>3</v>
      </c>
      <c r="K268" s="138">
        <v>7</v>
      </c>
      <c r="L268" s="138">
        <v>21</v>
      </c>
    </row>
    <row r="269" spans="1:12" x14ac:dyDescent="0.25">
      <c r="A269" s="1">
        <v>268</v>
      </c>
      <c r="B269" s="1">
        <v>91</v>
      </c>
      <c r="C269" s="232" t="s">
        <v>3493</v>
      </c>
      <c r="D269" s="232" t="s">
        <v>2553</v>
      </c>
      <c r="E269" s="1" t="s">
        <v>3559</v>
      </c>
      <c r="F269" s="232" t="s">
        <v>2689</v>
      </c>
      <c r="G269" s="1" t="s">
        <v>3534</v>
      </c>
      <c r="H269" s="232"/>
      <c r="I269" s="233"/>
      <c r="J269" s="14">
        <v>1</v>
      </c>
      <c r="K269" s="138">
        <v>50</v>
      </c>
      <c r="L269" s="138">
        <v>50</v>
      </c>
    </row>
    <row r="270" spans="1:12" x14ac:dyDescent="0.25">
      <c r="A270" s="1">
        <v>269</v>
      </c>
      <c r="B270" s="1">
        <v>92</v>
      </c>
      <c r="C270" s="232" t="s">
        <v>3500</v>
      </c>
      <c r="D270" s="232" t="s">
        <v>2554</v>
      </c>
      <c r="E270" s="1" t="s">
        <v>3560</v>
      </c>
      <c r="F270" s="232" t="s">
        <v>2782</v>
      </c>
      <c r="G270" s="1" t="s">
        <v>3536</v>
      </c>
      <c r="H270" s="232"/>
      <c r="I270" s="233"/>
      <c r="J270" s="14">
        <v>1</v>
      </c>
      <c r="K270" s="138">
        <v>10</v>
      </c>
      <c r="L270" s="138">
        <v>10</v>
      </c>
    </row>
    <row r="271" spans="1:12" x14ac:dyDescent="0.25">
      <c r="A271" s="1">
        <v>270</v>
      </c>
      <c r="B271" s="1">
        <v>92</v>
      </c>
      <c r="C271" s="232" t="s">
        <v>3481</v>
      </c>
      <c r="D271" s="232" t="s">
        <v>2554</v>
      </c>
      <c r="E271" s="1" t="s">
        <v>3560</v>
      </c>
      <c r="F271" s="232" t="s">
        <v>2595</v>
      </c>
      <c r="G271" s="1" t="s">
        <v>3537</v>
      </c>
      <c r="H271" s="232"/>
      <c r="I271" s="233"/>
      <c r="J271" s="14">
        <v>1</v>
      </c>
      <c r="K271" s="138">
        <v>0.5</v>
      </c>
      <c r="L271" s="138">
        <v>0.5</v>
      </c>
    </row>
    <row r="272" spans="1:12" x14ac:dyDescent="0.25">
      <c r="A272" s="1">
        <v>271</v>
      </c>
      <c r="B272" s="1">
        <v>92</v>
      </c>
      <c r="C272" s="232" t="s">
        <v>3482</v>
      </c>
      <c r="D272" s="232" t="s">
        <v>2554</v>
      </c>
      <c r="E272" s="1" t="s">
        <v>3560</v>
      </c>
      <c r="F272" s="232" t="s">
        <v>2598</v>
      </c>
      <c r="G272" s="1" t="s">
        <v>3538</v>
      </c>
      <c r="H272" s="232"/>
      <c r="I272" s="233"/>
      <c r="J272" s="14">
        <v>7</v>
      </c>
      <c r="K272" s="138">
        <v>3</v>
      </c>
      <c r="L272" s="138">
        <v>21</v>
      </c>
    </row>
    <row r="273" spans="1:12" x14ac:dyDescent="0.25">
      <c r="A273" s="1">
        <v>272</v>
      </c>
      <c r="B273" s="1">
        <v>92</v>
      </c>
      <c r="C273" s="232" t="s">
        <v>3483</v>
      </c>
      <c r="D273" s="232" t="s">
        <v>2554</v>
      </c>
      <c r="E273" s="1" t="s">
        <v>3560</v>
      </c>
      <c r="F273" s="232" t="s">
        <v>2601</v>
      </c>
      <c r="G273" s="1" t="s">
        <v>3539</v>
      </c>
      <c r="H273" s="232"/>
      <c r="I273" s="233"/>
      <c r="J273" s="14">
        <v>6</v>
      </c>
      <c r="K273" s="138">
        <v>3</v>
      </c>
      <c r="L273" s="138">
        <v>18</v>
      </c>
    </row>
    <row r="274" spans="1:12" x14ac:dyDescent="0.25">
      <c r="A274" s="1">
        <v>273</v>
      </c>
      <c r="B274" s="1">
        <v>93</v>
      </c>
      <c r="C274" s="232" t="s">
        <v>3501</v>
      </c>
      <c r="D274" s="232" t="s">
        <v>2555</v>
      </c>
      <c r="E274" s="1" t="s">
        <v>3561</v>
      </c>
      <c r="F274" s="232" t="s">
        <v>2785</v>
      </c>
      <c r="G274" s="1" t="s">
        <v>3546</v>
      </c>
      <c r="H274" s="232"/>
      <c r="I274" s="233"/>
      <c r="J274" s="14">
        <v>1</v>
      </c>
      <c r="K274" s="138">
        <v>10</v>
      </c>
      <c r="L274" s="138">
        <v>10</v>
      </c>
    </row>
    <row r="275" spans="1:12" x14ac:dyDescent="0.25">
      <c r="A275" s="1">
        <v>274</v>
      </c>
      <c r="B275" s="1">
        <v>93</v>
      </c>
      <c r="C275" s="232" t="s">
        <v>3507</v>
      </c>
      <c r="D275" s="232" t="s">
        <v>2555</v>
      </c>
      <c r="E275" s="1" t="s">
        <v>3561</v>
      </c>
      <c r="F275" s="232" t="s">
        <v>2863</v>
      </c>
      <c r="G275" s="1" t="s">
        <v>3548</v>
      </c>
      <c r="H275" s="232"/>
      <c r="I275" s="233"/>
      <c r="J275" s="14">
        <v>3</v>
      </c>
      <c r="K275" s="138">
        <v>10</v>
      </c>
      <c r="L275" s="138">
        <v>30</v>
      </c>
    </row>
    <row r="276" spans="1:12" x14ac:dyDescent="0.25">
      <c r="A276" s="1">
        <v>275</v>
      </c>
      <c r="B276" s="1">
        <v>93</v>
      </c>
      <c r="C276" s="232" t="s">
        <v>3488</v>
      </c>
      <c r="D276" s="232" t="s">
        <v>2555</v>
      </c>
      <c r="E276" s="1" t="s">
        <v>3561</v>
      </c>
      <c r="F276" s="232" t="s">
        <v>2616</v>
      </c>
      <c r="G276" s="1" t="s">
        <v>3549</v>
      </c>
      <c r="H276" s="232"/>
      <c r="I276" s="233"/>
      <c r="J276" s="14">
        <v>3</v>
      </c>
      <c r="K276" s="138">
        <v>3</v>
      </c>
      <c r="L276" s="138">
        <v>9</v>
      </c>
    </row>
    <row r="277" spans="1:12" x14ac:dyDescent="0.25">
      <c r="A277" s="1">
        <v>276</v>
      </c>
      <c r="B277" s="1">
        <v>94</v>
      </c>
      <c r="C277" s="232" t="s">
        <v>3489</v>
      </c>
      <c r="D277" s="232" t="s">
        <v>2556</v>
      </c>
      <c r="E277" s="1" t="s">
        <v>3562</v>
      </c>
      <c r="F277" s="232" t="s">
        <v>2619</v>
      </c>
      <c r="G277" s="1" t="s">
        <v>3550</v>
      </c>
      <c r="H277" s="232"/>
      <c r="I277" s="233"/>
      <c r="J277" s="14">
        <v>1</v>
      </c>
      <c r="K277" s="138">
        <v>95</v>
      </c>
      <c r="L277" s="138">
        <v>95</v>
      </c>
    </row>
    <row r="278" spans="1:12" x14ac:dyDescent="0.25">
      <c r="A278" s="1">
        <v>277</v>
      </c>
      <c r="B278" s="1">
        <v>94</v>
      </c>
      <c r="C278" s="232" t="s">
        <v>3509</v>
      </c>
      <c r="D278" s="232" t="s">
        <v>2556</v>
      </c>
      <c r="E278" s="1" t="s">
        <v>3562</v>
      </c>
      <c r="F278" s="232" t="s">
        <v>3009</v>
      </c>
      <c r="G278" s="1" t="s">
        <v>3552</v>
      </c>
      <c r="H278" s="232"/>
      <c r="I278" s="233"/>
      <c r="J278" s="14">
        <v>1</v>
      </c>
      <c r="K278" s="138">
        <v>3</v>
      </c>
      <c r="L278" s="138">
        <v>3</v>
      </c>
    </row>
    <row r="279" spans="1:12" x14ac:dyDescent="0.25">
      <c r="A279" s="1">
        <v>278</v>
      </c>
      <c r="B279" s="1">
        <v>94</v>
      </c>
      <c r="C279" s="232" t="s">
        <v>3508</v>
      </c>
      <c r="D279" s="232" t="s">
        <v>2556</v>
      </c>
      <c r="E279" s="1" t="s">
        <v>3562</v>
      </c>
      <c r="F279" s="232" t="s">
        <v>2900</v>
      </c>
      <c r="G279" s="1" t="s">
        <v>3553</v>
      </c>
      <c r="H279" s="232"/>
      <c r="I279" s="233"/>
      <c r="J279" s="14">
        <v>1</v>
      </c>
      <c r="K279" s="138">
        <v>4</v>
      </c>
      <c r="L279" s="138">
        <v>4</v>
      </c>
    </row>
    <row r="280" spans="1:12" x14ac:dyDescent="0.25">
      <c r="A280" s="1">
        <v>279</v>
      </c>
      <c r="B280" s="1">
        <v>95</v>
      </c>
      <c r="C280" s="232" t="s">
        <v>3474</v>
      </c>
      <c r="D280" s="232" t="s">
        <v>2552</v>
      </c>
      <c r="E280" s="1" t="s">
        <v>3558</v>
      </c>
      <c r="F280" s="232" t="s">
        <v>2574</v>
      </c>
      <c r="G280" s="1" t="s">
        <v>3521</v>
      </c>
      <c r="H280" s="232"/>
      <c r="I280" s="233"/>
      <c r="J280" s="14">
        <v>10</v>
      </c>
      <c r="K280" s="138">
        <v>77</v>
      </c>
      <c r="L280" s="138">
        <v>770</v>
      </c>
    </row>
    <row r="281" spans="1:12" x14ac:dyDescent="0.25">
      <c r="A281" s="1">
        <v>280</v>
      </c>
      <c r="B281" s="1">
        <v>95</v>
      </c>
      <c r="C281" s="232" t="s">
        <v>3475</v>
      </c>
      <c r="D281" s="232" t="s">
        <v>2552</v>
      </c>
      <c r="E281" s="1" t="s">
        <v>3558</v>
      </c>
      <c r="F281" s="232" t="s">
        <v>2577</v>
      </c>
      <c r="G281" s="1" t="s">
        <v>3523</v>
      </c>
      <c r="H281" s="232"/>
      <c r="I281" s="233"/>
      <c r="J281" s="14">
        <v>10</v>
      </c>
      <c r="K281" s="138">
        <v>42</v>
      </c>
      <c r="L281" s="138">
        <v>420</v>
      </c>
    </row>
    <row r="282" spans="1:12" x14ac:dyDescent="0.25">
      <c r="A282" s="1">
        <v>281</v>
      </c>
      <c r="B282" s="1">
        <v>95</v>
      </c>
      <c r="C282" s="232" t="s">
        <v>3476</v>
      </c>
      <c r="D282" s="232" t="s">
        <v>2552</v>
      </c>
      <c r="E282" s="1" t="s">
        <v>3558</v>
      </c>
      <c r="F282" s="232" t="s">
        <v>2580</v>
      </c>
      <c r="G282" s="1" t="s">
        <v>3524</v>
      </c>
      <c r="H282" s="232"/>
      <c r="I282" s="233"/>
      <c r="J282" s="14">
        <v>10</v>
      </c>
      <c r="K282" s="138">
        <v>6</v>
      </c>
      <c r="L282" s="138">
        <v>60</v>
      </c>
    </row>
    <row r="283" spans="1:12" x14ac:dyDescent="0.25">
      <c r="A283" s="1">
        <v>282</v>
      </c>
      <c r="B283" s="1">
        <v>95</v>
      </c>
      <c r="C283" s="232" t="s">
        <v>3497</v>
      </c>
      <c r="D283" s="232" t="s">
        <v>2552</v>
      </c>
      <c r="E283" s="1" t="s">
        <v>3558</v>
      </c>
      <c r="F283" s="232" t="s">
        <v>2753</v>
      </c>
      <c r="G283" s="1" t="s">
        <v>3520</v>
      </c>
      <c r="H283" s="232"/>
      <c r="I283" s="233"/>
      <c r="J283" s="14">
        <v>10</v>
      </c>
      <c r="K283" s="138">
        <v>10</v>
      </c>
      <c r="L283" s="138">
        <v>100</v>
      </c>
    </row>
    <row r="284" spans="1:12" x14ac:dyDescent="0.25">
      <c r="A284" s="1">
        <v>283</v>
      </c>
      <c r="B284" s="1">
        <v>95</v>
      </c>
      <c r="C284" s="232" t="s">
        <v>3473</v>
      </c>
      <c r="D284" s="232" t="s">
        <v>2552</v>
      </c>
      <c r="E284" s="1" t="s">
        <v>3558</v>
      </c>
      <c r="F284" s="232" t="s">
        <v>2571</v>
      </c>
      <c r="G284" s="1" t="s">
        <v>3518</v>
      </c>
      <c r="H284" s="232"/>
      <c r="I284" s="233"/>
      <c r="J284" s="14">
        <v>250</v>
      </c>
      <c r="K284" s="138">
        <v>5</v>
      </c>
      <c r="L284" s="138">
        <v>1250</v>
      </c>
    </row>
    <row r="285" spans="1:12" x14ac:dyDescent="0.25">
      <c r="A285" s="1">
        <v>284</v>
      </c>
      <c r="B285" s="1">
        <v>95</v>
      </c>
      <c r="C285" s="232" t="s">
        <v>3470</v>
      </c>
      <c r="D285" s="232" t="s">
        <v>2552</v>
      </c>
      <c r="E285" s="1" t="s">
        <v>3558</v>
      </c>
      <c r="F285" s="232" t="s">
        <v>2562</v>
      </c>
      <c r="G285" s="1" t="s">
        <v>3514</v>
      </c>
      <c r="H285" s="232"/>
      <c r="I285" s="233"/>
      <c r="J285" s="14">
        <v>2</v>
      </c>
      <c r="K285" s="138">
        <v>6</v>
      </c>
      <c r="L285" s="138">
        <v>12</v>
      </c>
    </row>
    <row r="286" spans="1:12" x14ac:dyDescent="0.25">
      <c r="A286" s="1">
        <v>285</v>
      </c>
      <c r="B286" s="1">
        <v>96</v>
      </c>
      <c r="C286" s="232" t="s">
        <v>3477</v>
      </c>
      <c r="D286" s="232" t="s">
        <v>2553</v>
      </c>
      <c r="E286" s="1" t="s">
        <v>3559</v>
      </c>
      <c r="F286" s="232" t="s">
        <v>2583</v>
      </c>
      <c r="G286" s="1" t="s">
        <v>3527</v>
      </c>
      <c r="H286" s="232"/>
      <c r="I286" s="233"/>
      <c r="J286" s="14">
        <v>2</v>
      </c>
      <c r="K286" s="138">
        <v>20</v>
      </c>
      <c r="L286" s="138">
        <v>40</v>
      </c>
    </row>
    <row r="287" spans="1:12" x14ac:dyDescent="0.25">
      <c r="A287" s="1">
        <v>286</v>
      </c>
      <c r="B287" s="1">
        <v>96</v>
      </c>
      <c r="C287" s="232" t="s">
        <v>3478</v>
      </c>
      <c r="D287" s="232" t="s">
        <v>2553</v>
      </c>
      <c r="E287" s="1" t="s">
        <v>3559</v>
      </c>
      <c r="F287" s="232" t="s">
        <v>2586</v>
      </c>
      <c r="G287" s="1" t="s">
        <v>3528</v>
      </c>
      <c r="H287" s="232"/>
      <c r="I287" s="233"/>
      <c r="J287" s="14">
        <v>10</v>
      </c>
      <c r="K287" s="138">
        <v>18</v>
      </c>
      <c r="L287" s="138">
        <v>180</v>
      </c>
    </row>
    <row r="288" spans="1:12" x14ac:dyDescent="0.25">
      <c r="A288" s="1">
        <v>287</v>
      </c>
      <c r="B288" s="1">
        <v>96</v>
      </c>
      <c r="C288" s="232" t="s">
        <v>3490</v>
      </c>
      <c r="D288" s="232" t="s">
        <v>2553</v>
      </c>
      <c r="E288" s="1" t="s">
        <v>3559</v>
      </c>
      <c r="F288" s="232" t="s">
        <v>2630</v>
      </c>
      <c r="G288" s="1" t="s">
        <v>3529</v>
      </c>
      <c r="H288" s="232"/>
      <c r="I288" s="233"/>
      <c r="J288" s="14">
        <v>50</v>
      </c>
      <c r="K288" s="138">
        <v>18</v>
      </c>
      <c r="L288" s="138">
        <v>900</v>
      </c>
    </row>
    <row r="289" spans="1:12" x14ac:dyDescent="0.25">
      <c r="A289" s="1">
        <v>288</v>
      </c>
      <c r="B289" s="1">
        <v>96</v>
      </c>
      <c r="C289" s="232" t="s">
        <v>3479</v>
      </c>
      <c r="D289" s="232" t="s">
        <v>2553</v>
      </c>
      <c r="E289" s="1" t="s">
        <v>3559</v>
      </c>
      <c r="F289" s="232" t="s">
        <v>2589</v>
      </c>
      <c r="G289" s="1" t="s">
        <v>3530</v>
      </c>
      <c r="H289" s="232"/>
      <c r="I289" s="233"/>
      <c r="J289" s="14">
        <v>1</v>
      </c>
      <c r="K289" s="138">
        <v>70</v>
      </c>
      <c r="L289" s="138">
        <v>70</v>
      </c>
    </row>
    <row r="290" spans="1:12" x14ac:dyDescent="0.25">
      <c r="A290" s="1">
        <v>289</v>
      </c>
      <c r="B290" s="1">
        <v>96</v>
      </c>
      <c r="C290" s="232" t="s">
        <v>3491</v>
      </c>
      <c r="D290" s="232" t="s">
        <v>2553</v>
      </c>
      <c r="E290" s="1" t="s">
        <v>3559</v>
      </c>
      <c r="F290" s="232" t="s">
        <v>2635</v>
      </c>
      <c r="G290" s="1" t="s">
        <v>3531</v>
      </c>
      <c r="H290" s="232"/>
      <c r="I290" s="233"/>
      <c r="J290" s="14">
        <v>1</v>
      </c>
      <c r="K290" s="138">
        <v>40</v>
      </c>
      <c r="L290" s="138">
        <v>40</v>
      </c>
    </row>
    <row r="291" spans="1:12" x14ac:dyDescent="0.25">
      <c r="A291" s="1">
        <v>290</v>
      </c>
      <c r="B291" s="1">
        <v>96</v>
      </c>
      <c r="C291" s="232" t="s">
        <v>3480</v>
      </c>
      <c r="D291" s="232" t="s">
        <v>2553</v>
      </c>
      <c r="E291" s="1" t="s">
        <v>3559</v>
      </c>
      <c r="F291" s="232" t="s">
        <v>2592</v>
      </c>
      <c r="G291" s="1" t="s">
        <v>3533</v>
      </c>
      <c r="H291" s="232"/>
      <c r="I291" s="233"/>
      <c r="J291" s="14">
        <v>3</v>
      </c>
      <c r="K291" s="138">
        <v>7</v>
      </c>
      <c r="L291" s="138">
        <v>21</v>
      </c>
    </row>
    <row r="292" spans="1:12" x14ac:dyDescent="0.25">
      <c r="A292" s="1">
        <v>291</v>
      </c>
      <c r="B292" s="1">
        <v>96</v>
      </c>
      <c r="C292" s="232" t="s">
        <v>3493</v>
      </c>
      <c r="D292" s="232" t="s">
        <v>2553</v>
      </c>
      <c r="E292" s="1" t="s">
        <v>3559</v>
      </c>
      <c r="F292" s="232" t="s">
        <v>2689</v>
      </c>
      <c r="G292" s="1" t="s">
        <v>3534</v>
      </c>
      <c r="H292" s="232"/>
      <c r="I292" s="233"/>
      <c r="J292" s="14">
        <v>1</v>
      </c>
      <c r="K292" s="138">
        <v>50</v>
      </c>
      <c r="L292" s="138">
        <v>50</v>
      </c>
    </row>
    <row r="293" spans="1:12" x14ac:dyDescent="0.25">
      <c r="A293" s="1">
        <v>292</v>
      </c>
      <c r="B293" s="1">
        <v>97</v>
      </c>
      <c r="C293" s="232" t="s">
        <v>3500</v>
      </c>
      <c r="D293" s="232" t="s">
        <v>2554</v>
      </c>
      <c r="E293" s="1" t="s">
        <v>3560</v>
      </c>
      <c r="F293" s="232" t="s">
        <v>2782</v>
      </c>
      <c r="G293" s="1" t="s">
        <v>3536</v>
      </c>
      <c r="H293" s="232"/>
      <c r="I293" s="233"/>
      <c r="J293" s="14">
        <v>1</v>
      </c>
      <c r="K293" s="138">
        <v>10</v>
      </c>
      <c r="L293" s="138">
        <v>10</v>
      </c>
    </row>
    <row r="294" spans="1:12" x14ac:dyDescent="0.25">
      <c r="A294" s="1">
        <v>293</v>
      </c>
      <c r="B294" s="1">
        <v>97</v>
      </c>
      <c r="C294" s="232" t="s">
        <v>3481</v>
      </c>
      <c r="D294" s="232" t="s">
        <v>2554</v>
      </c>
      <c r="E294" s="1" t="s">
        <v>3560</v>
      </c>
      <c r="F294" s="232" t="s">
        <v>2595</v>
      </c>
      <c r="G294" s="1" t="s">
        <v>3537</v>
      </c>
      <c r="H294" s="232"/>
      <c r="I294" s="233"/>
      <c r="J294" s="14">
        <v>1</v>
      </c>
      <c r="K294" s="138">
        <v>0.5</v>
      </c>
      <c r="L294" s="138">
        <v>0.5</v>
      </c>
    </row>
    <row r="295" spans="1:12" x14ac:dyDescent="0.25">
      <c r="A295" s="1">
        <v>294</v>
      </c>
      <c r="B295" s="1">
        <v>97</v>
      </c>
      <c r="C295" s="232" t="s">
        <v>3482</v>
      </c>
      <c r="D295" s="232" t="s">
        <v>2554</v>
      </c>
      <c r="E295" s="1" t="s">
        <v>3560</v>
      </c>
      <c r="F295" s="232" t="s">
        <v>2598</v>
      </c>
      <c r="G295" s="1" t="s">
        <v>3538</v>
      </c>
      <c r="H295" s="232"/>
      <c r="I295" s="233"/>
      <c r="J295" s="14">
        <v>7</v>
      </c>
      <c r="K295" s="138">
        <v>3</v>
      </c>
      <c r="L295" s="138">
        <v>21</v>
      </c>
    </row>
    <row r="296" spans="1:12" x14ac:dyDescent="0.25">
      <c r="A296" s="1">
        <v>295</v>
      </c>
      <c r="B296" s="1">
        <v>97</v>
      </c>
      <c r="C296" s="232" t="s">
        <v>3483</v>
      </c>
      <c r="D296" s="232" t="s">
        <v>2554</v>
      </c>
      <c r="E296" s="1" t="s">
        <v>3560</v>
      </c>
      <c r="F296" s="232" t="s">
        <v>2601</v>
      </c>
      <c r="G296" s="1" t="s">
        <v>3539</v>
      </c>
      <c r="H296" s="232"/>
      <c r="I296" s="233"/>
      <c r="J296" s="14">
        <v>7</v>
      </c>
      <c r="K296" s="138">
        <v>3</v>
      </c>
      <c r="L296" s="138">
        <v>21</v>
      </c>
    </row>
    <row r="297" spans="1:12" x14ac:dyDescent="0.25">
      <c r="A297" s="1">
        <v>296</v>
      </c>
      <c r="B297" s="1">
        <v>98</v>
      </c>
      <c r="C297" s="232" t="s">
        <v>3501</v>
      </c>
      <c r="D297" s="232" t="s">
        <v>2555</v>
      </c>
      <c r="E297" s="1" t="s">
        <v>3561</v>
      </c>
      <c r="F297" s="232" t="s">
        <v>2785</v>
      </c>
      <c r="G297" s="1" t="s">
        <v>3546</v>
      </c>
      <c r="H297" s="232"/>
      <c r="I297" s="233"/>
      <c r="J297" s="14">
        <v>1</v>
      </c>
      <c r="K297" s="138">
        <v>10</v>
      </c>
      <c r="L297" s="138">
        <v>10</v>
      </c>
    </row>
    <row r="298" spans="1:12" x14ac:dyDescent="0.25">
      <c r="A298" s="1">
        <v>297</v>
      </c>
      <c r="B298" s="1">
        <v>98</v>
      </c>
      <c r="C298" s="232" t="s">
        <v>3507</v>
      </c>
      <c r="D298" s="232" t="s">
        <v>2555</v>
      </c>
      <c r="E298" s="1" t="s">
        <v>3561</v>
      </c>
      <c r="F298" s="232" t="s">
        <v>2863</v>
      </c>
      <c r="G298" s="1" t="s">
        <v>3548</v>
      </c>
      <c r="H298" s="232"/>
      <c r="I298" s="233"/>
      <c r="J298" s="14">
        <v>1</v>
      </c>
      <c r="K298" s="138">
        <v>10</v>
      </c>
      <c r="L298" s="138">
        <v>10</v>
      </c>
    </row>
    <row r="299" spans="1:12" x14ac:dyDescent="0.25">
      <c r="A299" s="1">
        <v>298</v>
      </c>
      <c r="B299" s="1">
        <v>98</v>
      </c>
      <c r="C299" s="232" t="s">
        <v>3488</v>
      </c>
      <c r="D299" s="232" t="s">
        <v>2555</v>
      </c>
      <c r="E299" s="1" t="s">
        <v>3561</v>
      </c>
      <c r="F299" s="232" t="s">
        <v>2616</v>
      </c>
      <c r="G299" s="1" t="s">
        <v>3549</v>
      </c>
      <c r="H299" s="232"/>
      <c r="I299" s="233"/>
      <c r="J299" s="14">
        <v>3</v>
      </c>
      <c r="K299" s="138">
        <v>3</v>
      </c>
      <c r="L299" s="138">
        <v>9</v>
      </c>
    </row>
    <row r="300" spans="1:12" x14ac:dyDescent="0.25">
      <c r="A300" s="1">
        <v>299</v>
      </c>
      <c r="B300" s="1">
        <v>99</v>
      </c>
      <c r="C300" s="232" t="s">
        <v>3489</v>
      </c>
      <c r="D300" s="232" t="s">
        <v>2556</v>
      </c>
      <c r="E300" s="1" t="s">
        <v>3562</v>
      </c>
      <c r="F300" s="232" t="s">
        <v>2619</v>
      </c>
      <c r="G300" s="1" t="s">
        <v>3550</v>
      </c>
      <c r="H300" s="232"/>
      <c r="I300" s="233"/>
      <c r="J300" s="14">
        <v>1</v>
      </c>
      <c r="K300" s="138">
        <v>95</v>
      </c>
      <c r="L300" s="138">
        <v>95</v>
      </c>
    </row>
    <row r="301" spans="1:12" x14ac:dyDescent="0.25">
      <c r="A301" s="1">
        <v>300</v>
      </c>
      <c r="B301" s="1">
        <v>99</v>
      </c>
      <c r="C301" s="232" t="s">
        <v>3509</v>
      </c>
      <c r="D301" s="232" t="s">
        <v>2556</v>
      </c>
      <c r="E301" s="1" t="s">
        <v>3562</v>
      </c>
      <c r="F301" s="232" t="s">
        <v>3009</v>
      </c>
      <c r="G301" s="1" t="s">
        <v>3552</v>
      </c>
      <c r="H301" s="232"/>
      <c r="I301" s="233"/>
      <c r="J301" s="14">
        <v>1</v>
      </c>
      <c r="K301" s="138">
        <v>3</v>
      </c>
      <c r="L301" s="138">
        <v>3</v>
      </c>
    </row>
    <row r="302" spans="1:12" x14ac:dyDescent="0.25">
      <c r="A302" s="1">
        <v>301</v>
      </c>
      <c r="B302" s="1">
        <v>99</v>
      </c>
      <c r="C302" s="232" t="s">
        <v>3508</v>
      </c>
      <c r="D302" s="232" t="s">
        <v>2556</v>
      </c>
      <c r="E302" s="1" t="s">
        <v>3562</v>
      </c>
      <c r="F302" s="232" t="s">
        <v>2900</v>
      </c>
      <c r="G302" s="1" t="s">
        <v>3553</v>
      </c>
      <c r="H302" s="232"/>
      <c r="I302" s="233"/>
      <c r="J302" s="14">
        <v>1</v>
      </c>
      <c r="K302" s="138">
        <v>4</v>
      </c>
      <c r="L302" s="138">
        <v>4</v>
      </c>
    </row>
    <row r="303" spans="1:12" x14ac:dyDescent="0.25">
      <c r="A303" s="1">
        <v>302</v>
      </c>
      <c r="B303" s="1">
        <v>100</v>
      </c>
      <c r="C303" s="232" t="s">
        <v>3473</v>
      </c>
      <c r="D303" s="232" t="s">
        <v>2552</v>
      </c>
      <c r="E303" s="1" t="s">
        <v>3558</v>
      </c>
      <c r="F303" s="232" t="s">
        <v>2571</v>
      </c>
      <c r="G303" s="1" t="s">
        <v>3518</v>
      </c>
      <c r="H303" s="232" t="s">
        <v>3010</v>
      </c>
      <c r="I303" s="233" t="s">
        <v>3011</v>
      </c>
      <c r="J303" s="14">
        <v>350</v>
      </c>
      <c r="K303" s="138">
        <v>5</v>
      </c>
      <c r="L303" s="138">
        <v>1750</v>
      </c>
    </row>
    <row r="304" spans="1:12" x14ac:dyDescent="0.25">
      <c r="A304" s="1">
        <v>303</v>
      </c>
      <c r="B304" s="1">
        <v>100</v>
      </c>
      <c r="C304" s="232" t="s">
        <v>3474</v>
      </c>
      <c r="D304" s="232" t="s">
        <v>2552</v>
      </c>
      <c r="E304" s="1" t="s">
        <v>3558</v>
      </c>
      <c r="F304" s="232" t="s">
        <v>2574</v>
      </c>
      <c r="G304" s="1" t="s">
        <v>3521</v>
      </c>
      <c r="H304" s="232" t="s">
        <v>3012</v>
      </c>
      <c r="I304" s="233" t="s">
        <v>3013</v>
      </c>
      <c r="J304" s="14">
        <v>10</v>
      </c>
      <c r="K304" s="138">
        <v>77</v>
      </c>
      <c r="L304" s="138">
        <v>770</v>
      </c>
    </row>
    <row r="305" spans="1:12" x14ac:dyDescent="0.25">
      <c r="A305" s="1">
        <v>304</v>
      </c>
      <c r="B305" s="1">
        <v>100</v>
      </c>
      <c r="C305" s="232" t="s">
        <v>3475</v>
      </c>
      <c r="D305" s="232" t="s">
        <v>2552</v>
      </c>
      <c r="E305" s="1" t="s">
        <v>3558</v>
      </c>
      <c r="F305" s="232" t="s">
        <v>2577</v>
      </c>
      <c r="G305" s="1" t="s">
        <v>3523</v>
      </c>
      <c r="H305" s="232" t="s">
        <v>3014</v>
      </c>
      <c r="I305" s="233" t="s">
        <v>3015</v>
      </c>
      <c r="J305" s="14">
        <v>4</v>
      </c>
      <c r="K305" s="138">
        <v>42</v>
      </c>
      <c r="L305" s="138">
        <v>168</v>
      </c>
    </row>
    <row r="306" spans="1:12" x14ac:dyDescent="0.25">
      <c r="A306" s="1">
        <v>305</v>
      </c>
      <c r="B306" s="1">
        <v>101</v>
      </c>
      <c r="C306" s="232" t="s">
        <v>3477</v>
      </c>
      <c r="D306" s="232" t="s">
        <v>2553</v>
      </c>
      <c r="E306" s="1" t="s">
        <v>3559</v>
      </c>
      <c r="F306" s="232" t="s">
        <v>2583</v>
      </c>
      <c r="G306" s="1" t="s">
        <v>3527</v>
      </c>
      <c r="H306" s="232" t="s">
        <v>3016</v>
      </c>
      <c r="I306" s="233" t="s">
        <v>3017</v>
      </c>
      <c r="J306" s="14">
        <v>1</v>
      </c>
      <c r="K306" s="138">
        <v>20</v>
      </c>
      <c r="L306" s="138">
        <v>20</v>
      </c>
    </row>
    <row r="307" spans="1:12" x14ac:dyDescent="0.25">
      <c r="A307" s="1">
        <v>306</v>
      </c>
      <c r="B307" s="1">
        <v>101</v>
      </c>
      <c r="C307" s="232" t="s">
        <v>3478</v>
      </c>
      <c r="D307" s="232" t="s">
        <v>2553</v>
      </c>
      <c r="E307" s="1" t="s">
        <v>3559</v>
      </c>
      <c r="F307" s="232" t="s">
        <v>2586</v>
      </c>
      <c r="G307" s="1" t="s">
        <v>3528</v>
      </c>
      <c r="H307" s="232" t="s">
        <v>3018</v>
      </c>
      <c r="I307" s="233" t="s">
        <v>3019</v>
      </c>
      <c r="J307" s="14">
        <v>16</v>
      </c>
      <c r="K307" s="138">
        <v>18</v>
      </c>
      <c r="L307" s="138">
        <v>288</v>
      </c>
    </row>
    <row r="308" spans="1:12" x14ac:dyDescent="0.25">
      <c r="A308" s="1">
        <v>307</v>
      </c>
      <c r="B308" s="1">
        <v>101</v>
      </c>
      <c r="C308" s="232" t="s">
        <v>3479</v>
      </c>
      <c r="D308" s="232" t="s">
        <v>2553</v>
      </c>
      <c r="E308" s="1" t="s">
        <v>3559</v>
      </c>
      <c r="F308" s="232" t="s">
        <v>2589</v>
      </c>
      <c r="G308" s="1" t="s">
        <v>3530</v>
      </c>
      <c r="H308" s="232" t="s">
        <v>3020</v>
      </c>
      <c r="I308" s="233" t="s">
        <v>3021</v>
      </c>
      <c r="J308" s="14">
        <v>1</v>
      </c>
      <c r="K308" s="138">
        <v>70</v>
      </c>
      <c r="L308" s="138">
        <v>70</v>
      </c>
    </row>
    <row r="309" spans="1:12" x14ac:dyDescent="0.25">
      <c r="A309" s="1">
        <v>308</v>
      </c>
      <c r="B309" s="1">
        <v>101</v>
      </c>
      <c r="C309" s="232" t="s">
        <v>3491</v>
      </c>
      <c r="D309" s="232" t="s">
        <v>2553</v>
      </c>
      <c r="E309" s="1" t="s">
        <v>3559</v>
      </c>
      <c r="F309" s="232" t="s">
        <v>2635</v>
      </c>
      <c r="G309" s="1" t="s">
        <v>3531</v>
      </c>
      <c r="H309" s="232" t="s">
        <v>3022</v>
      </c>
      <c r="I309" s="233" t="s">
        <v>3023</v>
      </c>
      <c r="J309" s="14">
        <v>1</v>
      </c>
      <c r="K309" s="138">
        <v>40</v>
      </c>
      <c r="L309" s="138">
        <v>40</v>
      </c>
    </row>
    <row r="310" spans="1:12" x14ac:dyDescent="0.25">
      <c r="A310" s="1">
        <v>309</v>
      </c>
      <c r="B310" s="1">
        <v>101</v>
      </c>
      <c r="C310" s="232" t="s">
        <v>3480</v>
      </c>
      <c r="D310" s="232" t="s">
        <v>2553</v>
      </c>
      <c r="E310" s="1" t="s">
        <v>3559</v>
      </c>
      <c r="F310" s="232" t="s">
        <v>2592</v>
      </c>
      <c r="G310" s="1" t="s">
        <v>3533</v>
      </c>
      <c r="H310" s="232" t="s">
        <v>3024</v>
      </c>
      <c r="I310" s="233" t="s">
        <v>3025</v>
      </c>
      <c r="J310" s="14">
        <v>1</v>
      </c>
      <c r="K310" s="138">
        <v>7</v>
      </c>
      <c r="L310" s="138">
        <v>7</v>
      </c>
    </row>
    <row r="311" spans="1:12" x14ac:dyDescent="0.25">
      <c r="A311" s="1">
        <v>310</v>
      </c>
      <c r="B311" s="1">
        <v>101</v>
      </c>
      <c r="C311" s="232" t="s">
        <v>3493</v>
      </c>
      <c r="D311" s="232" t="s">
        <v>2553</v>
      </c>
      <c r="E311" s="1" t="s">
        <v>3559</v>
      </c>
      <c r="F311" s="232" t="s">
        <v>2689</v>
      </c>
      <c r="G311" s="1" t="s">
        <v>3534</v>
      </c>
      <c r="H311" s="232" t="s">
        <v>3026</v>
      </c>
      <c r="I311" s="233" t="s">
        <v>3027</v>
      </c>
      <c r="J311" s="14">
        <v>1</v>
      </c>
      <c r="K311" s="138">
        <v>50</v>
      </c>
      <c r="L311" s="138">
        <v>50</v>
      </c>
    </row>
    <row r="312" spans="1:12" x14ac:dyDescent="0.25">
      <c r="A312" s="1">
        <v>311</v>
      </c>
      <c r="B312" s="1">
        <v>102</v>
      </c>
      <c r="C312" s="232" t="s">
        <v>3481</v>
      </c>
      <c r="D312" s="232" t="s">
        <v>2554</v>
      </c>
      <c r="E312" s="1" t="s">
        <v>3560</v>
      </c>
      <c r="F312" s="232" t="s">
        <v>2595</v>
      </c>
      <c r="G312" s="1" t="s">
        <v>3537</v>
      </c>
      <c r="H312" s="232" t="s">
        <v>3028</v>
      </c>
      <c r="I312" s="233" t="s">
        <v>3029</v>
      </c>
      <c r="J312" s="14">
        <v>1</v>
      </c>
      <c r="K312" s="138">
        <v>0.5</v>
      </c>
      <c r="L312" s="138">
        <v>0.5</v>
      </c>
    </row>
    <row r="313" spans="1:12" x14ac:dyDescent="0.25">
      <c r="A313" s="1">
        <v>312</v>
      </c>
      <c r="B313" s="1">
        <v>102</v>
      </c>
      <c r="C313" s="232" t="s">
        <v>3482</v>
      </c>
      <c r="D313" s="232" t="s">
        <v>2554</v>
      </c>
      <c r="E313" s="1" t="s">
        <v>3560</v>
      </c>
      <c r="F313" s="232" t="s">
        <v>2598</v>
      </c>
      <c r="G313" s="1" t="s">
        <v>3538</v>
      </c>
      <c r="H313" s="232" t="s">
        <v>3030</v>
      </c>
      <c r="I313" s="233" t="s">
        <v>3031</v>
      </c>
      <c r="J313" s="14">
        <v>8</v>
      </c>
      <c r="K313" s="138">
        <v>3</v>
      </c>
      <c r="L313" s="138">
        <v>24</v>
      </c>
    </row>
    <row r="314" spans="1:12" x14ac:dyDescent="0.25">
      <c r="A314" s="1">
        <v>313</v>
      </c>
      <c r="B314" s="1">
        <v>102</v>
      </c>
      <c r="C314" s="232" t="s">
        <v>3483</v>
      </c>
      <c r="D314" s="232" t="s">
        <v>2554</v>
      </c>
      <c r="E314" s="1" t="s">
        <v>3560</v>
      </c>
      <c r="F314" s="232" t="s">
        <v>2601</v>
      </c>
      <c r="G314" s="1" t="s">
        <v>3539</v>
      </c>
      <c r="H314" s="232" t="s">
        <v>3032</v>
      </c>
      <c r="I314" s="233" t="s">
        <v>3033</v>
      </c>
      <c r="J314" s="14">
        <v>8</v>
      </c>
      <c r="K314" s="138">
        <v>3</v>
      </c>
      <c r="L314" s="138">
        <v>24</v>
      </c>
    </row>
    <row r="315" spans="1:12" x14ac:dyDescent="0.25">
      <c r="A315" s="1">
        <v>314</v>
      </c>
      <c r="B315" s="1">
        <v>103</v>
      </c>
      <c r="C315" s="232" t="s">
        <v>3501</v>
      </c>
      <c r="D315" s="232" t="s">
        <v>2555</v>
      </c>
      <c r="E315" s="1" t="s">
        <v>3561</v>
      </c>
      <c r="F315" s="232" t="s">
        <v>2785</v>
      </c>
      <c r="G315" s="1" t="s">
        <v>3546</v>
      </c>
      <c r="H315" s="232" t="s">
        <v>3034</v>
      </c>
      <c r="I315" s="233" t="s">
        <v>3035</v>
      </c>
      <c r="J315" s="14">
        <v>1</v>
      </c>
      <c r="K315" s="138">
        <v>10</v>
      </c>
      <c r="L315" s="138">
        <v>10</v>
      </c>
    </row>
    <row r="316" spans="1:12" x14ac:dyDescent="0.25">
      <c r="A316" s="1">
        <v>315</v>
      </c>
      <c r="B316" s="1">
        <v>103</v>
      </c>
      <c r="C316" s="232" t="s">
        <v>3488</v>
      </c>
      <c r="D316" s="232" t="s">
        <v>2555</v>
      </c>
      <c r="E316" s="1" t="s">
        <v>3561</v>
      </c>
      <c r="F316" s="232" t="s">
        <v>2616</v>
      </c>
      <c r="G316" s="1" t="s">
        <v>3549</v>
      </c>
      <c r="H316" s="232" t="s">
        <v>3036</v>
      </c>
      <c r="I316" s="233" t="s">
        <v>3037</v>
      </c>
      <c r="J316" s="14">
        <v>3</v>
      </c>
      <c r="K316" s="138">
        <v>3</v>
      </c>
      <c r="L316" s="138">
        <v>9</v>
      </c>
    </row>
    <row r="317" spans="1:12" x14ac:dyDescent="0.25">
      <c r="A317" s="1">
        <v>316</v>
      </c>
      <c r="B317" s="1">
        <v>104</v>
      </c>
      <c r="C317" s="232" t="s">
        <v>3502</v>
      </c>
      <c r="D317" s="232" t="s">
        <v>2556</v>
      </c>
      <c r="E317" s="1" t="s">
        <v>3562</v>
      </c>
      <c r="F317" s="232" t="s">
        <v>2788</v>
      </c>
      <c r="G317" s="1" t="s">
        <v>3551</v>
      </c>
      <c r="H317" s="232" t="s">
        <v>3038</v>
      </c>
      <c r="I317" s="233" t="s">
        <v>3039</v>
      </c>
      <c r="J317" s="14">
        <v>1</v>
      </c>
      <c r="K317" s="138">
        <v>150</v>
      </c>
      <c r="L317" s="138">
        <v>150</v>
      </c>
    </row>
    <row r="318" spans="1:12" x14ac:dyDescent="0.25">
      <c r="A318" s="1">
        <v>317</v>
      </c>
      <c r="B318" s="1">
        <v>104</v>
      </c>
      <c r="C318" s="232" t="s">
        <v>3509</v>
      </c>
      <c r="D318" s="232" t="s">
        <v>2556</v>
      </c>
      <c r="E318" s="1" t="s">
        <v>3562</v>
      </c>
      <c r="F318" s="232" t="s">
        <v>3009</v>
      </c>
      <c r="G318" s="1" t="s">
        <v>3552</v>
      </c>
      <c r="H318" s="232" t="s">
        <v>3040</v>
      </c>
      <c r="I318" s="233" t="s">
        <v>3041</v>
      </c>
      <c r="J318" s="14">
        <v>1</v>
      </c>
      <c r="K318" s="138">
        <v>3</v>
      </c>
      <c r="L318" s="138">
        <v>3</v>
      </c>
    </row>
    <row r="319" spans="1:12" x14ac:dyDescent="0.25">
      <c r="A319" s="1">
        <v>318</v>
      </c>
      <c r="B319" s="1">
        <v>104</v>
      </c>
      <c r="C319" s="232" t="s">
        <v>3508</v>
      </c>
      <c r="D319" s="232" t="s">
        <v>2556</v>
      </c>
      <c r="E319" s="1" t="s">
        <v>3562</v>
      </c>
      <c r="F319" s="232" t="s">
        <v>2900</v>
      </c>
      <c r="G319" s="1" t="s">
        <v>3553</v>
      </c>
      <c r="H319" s="232" t="s">
        <v>3042</v>
      </c>
      <c r="I319" s="233" t="s">
        <v>3043</v>
      </c>
      <c r="J319" s="14">
        <v>1</v>
      </c>
      <c r="K319" s="138">
        <v>4</v>
      </c>
      <c r="L319" s="138">
        <v>4</v>
      </c>
    </row>
    <row r="320" spans="1:12" x14ac:dyDescent="0.25">
      <c r="A320" s="1">
        <v>319</v>
      </c>
      <c r="B320" s="1">
        <v>105</v>
      </c>
      <c r="C320" s="232" t="s">
        <v>3504</v>
      </c>
      <c r="D320" s="232" t="s">
        <v>2557</v>
      </c>
      <c r="E320" s="1" t="s">
        <v>3563</v>
      </c>
      <c r="F320" s="232" t="s">
        <v>2794</v>
      </c>
      <c r="G320" s="1" t="s">
        <v>3555</v>
      </c>
      <c r="H320" s="232" t="s">
        <v>3044</v>
      </c>
      <c r="I320" s="233" t="s">
        <v>3045</v>
      </c>
      <c r="J320" s="14">
        <v>1</v>
      </c>
      <c r="K320" s="138">
        <v>1.7</v>
      </c>
      <c r="L320" s="138">
        <v>1.7</v>
      </c>
    </row>
    <row r="321" spans="1:12" x14ac:dyDescent="0.25">
      <c r="A321" s="1">
        <v>320</v>
      </c>
      <c r="B321" s="1">
        <v>106</v>
      </c>
      <c r="C321" s="232" t="s">
        <v>3474</v>
      </c>
      <c r="D321" s="232" t="s">
        <v>2552</v>
      </c>
      <c r="E321" s="1" t="s">
        <v>3558</v>
      </c>
      <c r="F321" s="232" t="s">
        <v>2574</v>
      </c>
      <c r="G321" s="1" t="s">
        <v>3521</v>
      </c>
      <c r="H321" s="232" t="s">
        <v>3046</v>
      </c>
      <c r="I321" s="233" t="s">
        <v>3047</v>
      </c>
      <c r="J321" s="14">
        <v>5</v>
      </c>
      <c r="K321" s="138">
        <v>77</v>
      </c>
      <c r="L321" s="138">
        <v>385</v>
      </c>
    </row>
    <row r="322" spans="1:12" x14ac:dyDescent="0.25">
      <c r="A322" s="1">
        <v>321</v>
      </c>
      <c r="B322" s="1">
        <v>106</v>
      </c>
      <c r="C322" s="232" t="s">
        <v>3475</v>
      </c>
      <c r="D322" s="232" t="s">
        <v>2552</v>
      </c>
      <c r="E322" s="1" t="s">
        <v>3558</v>
      </c>
      <c r="F322" s="232" t="s">
        <v>2577</v>
      </c>
      <c r="G322" s="1" t="s">
        <v>3523</v>
      </c>
      <c r="H322" s="232" t="s">
        <v>3048</v>
      </c>
      <c r="I322" s="233" t="s">
        <v>3049</v>
      </c>
      <c r="J322" s="14">
        <v>5</v>
      </c>
      <c r="K322" s="138">
        <v>42</v>
      </c>
      <c r="L322" s="138">
        <v>210</v>
      </c>
    </row>
    <row r="323" spans="1:12" x14ac:dyDescent="0.25">
      <c r="A323" s="1">
        <v>322</v>
      </c>
      <c r="B323" s="1">
        <v>107</v>
      </c>
      <c r="C323" s="232" t="s">
        <v>3489</v>
      </c>
      <c r="D323" s="232" t="s">
        <v>2556</v>
      </c>
      <c r="E323" s="1" t="s">
        <v>3562</v>
      </c>
      <c r="F323" s="232" t="s">
        <v>2619</v>
      </c>
      <c r="G323" s="1" t="s">
        <v>3550</v>
      </c>
      <c r="H323" s="232" t="s">
        <v>3050</v>
      </c>
      <c r="I323" s="233" t="s">
        <v>3051</v>
      </c>
      <c r="J323" s="14">
        <v>1</v>
      </c>
      <c r="K323" s="138">
        <v>95</v>
      </c>
      <c r="L323" s="138">
        <v>95</v>
      </c>
    </row>
    <row r="324" spans="1:12" x14ac:dyDescent="0.25">
      <c r="A324" s="1">
        <v>323</v>
      </c>
      <c r="B324" s="1">
        <v>108</v>
      </c>
      <c r="C324" s="232" t="s">
        <v>3489</v>
      </c>
      <c r="D324" s="232" t="s">
        <v>2556</v>
      </c>
      <c r="E324" s="1" t="s">
        <v>3562</v>
      </c>
      <c r="F324" s="232" t="s">
        <v>2619</v>
      </c>
      <c r="G324" s="1" t="s">
        <v>3550</v>
      </c>
      <c r="H324" s="232"/>
      <c r="I324" s="233"/>
      <c r="J324" s="14">
        <v>1</v>
      </c>
      <c r="K324" s="138">
        <v>95</v>
      </c>
      <c r="L324" s="138">
        <v>95</v>
      </c>
    </row>
    <row r="325" spans="1:12" x14ac:dyDescent="0.25">
      <c r="A325" s="1">
        <v>324</v>
      </c>
      <c r="B325" s="1">
        <v>109</v>
      </c>
      <c r="C325" s="232" t="s">
        <v>3473</v>
      </c>
      <c r="D325" s="232" t="s">
        <v>2552</v>
      </c>
      <c r="E325" s="1" t="s">
        <v>3558</v>
      </c>
      <c r="F325" s="232" t="s">
        <v>2571</v>
      </c>
      <c r="G325" s="1" t="s">
        <v>3518</v>
      </c>
      <c r="H325" s="232"/>
      <c r="I325" s="233"/>
      <c r="J325" s="14">
        <v>80</v>
      </c>
      <c r="K325" s="138">
        <v>5</v>
      </c>
      <c r="L325" s="138">
        <v>400</v>
      </c>
    </row>
    <row r="326" spans="1:12" x14ac:dyDescent="0.25">
      <c r="A326" s="1">
        <v>325</v>
      </c>
      <c r="B326" s="1">
        <v>109</v>
      </c>
      <c r="C326" s="232" t="s">
        <v>3497</v>
      </c>
      <c r="D326" s="232" t="s">
        <v>2552</v>
      </c>
      <c r="E326" s="1" t="s">
        <v>3558</v>
      </c>
      <c r="F326" s="232" t="s">
        <v>2753</v>
      </c>
      <c r="G326" s="1" t="s">
        <v>3520</v>
      </c>
      <c r="H326" s="232"/>
      <c r="I326" s="233"/>
      <c r="J326" s="14">
        <v>10</v>
      </c>
      <c r="K326" s="138">
        <v>10</v>
      </c>
      <c r="L326" s="138">
        <v>100</v>
      </c>
    </row>
    <row r="327" spans="1:12" x14ac:dyDescent="0.25">
      <c r="A327" s="1">
        <v>326</v>
      </c>
      <c r="B327" s="1">
        <v>109</v>
      </c>
      <c r="C327" s="232" t="s">
        <v>3474</v>
      </c>
      <c r="D327" s="232" t="s">
        <v>2552</v>
      </c>
      <c r="E327" s="1" t="s">
        <v>3558</v>
      </c>
      <c r="F327" s="232" t="s">
        <v>2574</v>
      </c>
      <c r="G327" s="1" t="s">
        <v>3521</v>
      </c>
      <c r="H327" s="232"/>
      <c r="I327" s="233"/>
      <c r="J327" s="14">
        <v>10</v>
      </c>
      <c r="K327" s="138">
        <v>77</v>
      </c>
      <c r="L327" s="138">
        <v>770</v>
      </c>
    </row>
    <row r="328" spans="1:12" x14ac:dyDescent="0.25">
      <c r="A328" s="1">
        <v>327</v>
      </c>
      <c r="B328" s="1">
        <v>109</v>
      </c>
      <c r="C328" s="232" t="s">
        <v>3475</v>
      </c>
      <c r="D328" s="232" t="s">
        <v>2552</v>
      </c>
      <c r="E328" s="1" t="s">
        <v>3558</v>
      </c>
      <c r="F328" s="232" t="s">
        <v>2577</v>
      </c>
      <c r="G328" s="1" t="s">
        <v>3523</v>
      </c>
      <c r="H328" s="232"/>
      <c r="I328" s="233"/>
      <c r="J328" s="14">
        <v>10</v>
      </c>
      <c r="K328" s="138">
        <v>42</v>
      </c>
      <c r="L328" s="138">
        <v>420</v>
      </c>
    </row>
    <row r="329" spans="1:12" x14ac:dyDescent="0.25">
      <c r="A329" s="1">
        <v>328</v>
      </c>
      <c r="B329" s="1">
        <v>109</v>
      </c>
      <c r="C329" s="232" t="s">
        <v>3476</v>
      </c>
      <c r="D329" s="232" t="s">
        <v>2552</v>
      </c>
      <c r="E329" s="1" t="s">
        <v>3558</v>
      </c>
      <c r="F329" s="232" t="s">
        <v>2580</v>
      </c>
      <c r="G329" s="1" t="s">
        <v>3524</v>
      </c>
      <c r="H329" s="232"/>
      <c r="I329" s="233"/>
      <c r="J329" s="14">
        <v>10</v>
      </c>
      <c r="K329" s="138">
        <v>6</v>
      </c>
      <c r="L329" s="138">
        <v>60</v>
      </c>
    </row>
    <row r="330" spans="1:12" x14ac:dyDescent="0.25">
      <c r="A330" s="1">
        <v>329</v>
      </c>
      <c r="B330" s="1">
        <v>110</v>
      </c>
      <c r="C330" s="232" t="s">
        <v>3477</v>
      </c>
      <c r="D330" s="232" t="s">
        <v>2553</v>
      </c>
      <c r="E330" s="1" t="s">
        <v>3559</v>
      </c>
      <c r="F330" s="232" t="s">
        <v>2583</v>
      </c>
      <c r="G330" s="1" t="s">
        <v>3527</v>
      </c>
      <c r="H330" s="232"/>
      <c r="I330" s="233"/>
      <c r="J330" s="14">
        <v>2</v>
      </c>
      <c r="K330" s="138">
        <v>20</v>
      </c>
      <c r="L330" s="138">
        <v>40</v>
      </c>
    </row>
    <row r="331" spans="1:12" x14ac:dyDescent="0.25">
      <c r="A331" s="1">
        <v>330</v>
      </c>
      <c r="B331" s="1">
        <v>110</v>
      </c>
      <c r="C331" s="232" t="s">
        <v>3490</v>
      </c>
      <c r="D331" s="232" t="s">
        <v>2553</v>
      </c>
      <c r="E331" s="1" t="s">
        <v>3559</v>
      </c>
      <c r="F331" s="232" t="s">
        <v>2630</v>
      </c>
      <c r="G331" s="1" t="s">
        <v>3529</v>
      </c>
      <c r="H331" s="232"/>
      <c r="I331" s="233"/>
      <c r="J331" s="14">
        <v>20</v>
      </c>
      <c r="K331" s="138">
        <v>18</v>
      </c>
      <c r="L331" s="138">
        <v>360</v>
      </c>
    </row>
    <row r="332" spans="1:12" x14ac:dyDescent="0.25">
      <c r="A332" s="1">
        <v>331</v>
      </c>
      <c r="B332" s="1">
        <v>110</v>
      </c>
      <c r="C332" s="232" t="s">
        <v>3479</v>
      </c>
      <c r="D332" s="232" t="s">
        <v>2553</v>
      </c>
      <c r="E332" s="1" t="s">
        <v>3559</v>
      </c>
      <c r="F332" s="232" t="s">
        <v>2589</v>
      </c>
      <c r="G332" s="1" t="s">
        <v>3530</v>
      </c>
      <c r="H332" s="232"/>
      <c r="I332" s="233"/>
      <c r="J332" s="14">
        <v>1</v>
      </c>
      <c r="K332" s="138">
        <v>70</v>
      </c>
      <c r="L332" s="138">
        <v>70</v>
      </c>
    </row>
    <row r="333" spans="1:12" x14ac:dyDescent="0.25">
      <c r="A333" s="1">
        <v>332</v>
      </c>
      <c r="B333" s="1">
        <v>110</v>
      </c>
      <c r="C333" s="232" t="s">
        <v>3480</v>
      </c>
      <c r="D333" s="232" t="s">
        <v>2553</v>
      </c>
      <c r="E333" s="1" t="s">
        <v>3559</v>
      </c>
      <c r="F333" s="232" t="s">
        <v>2592</v>
      </c>
      <c r="G333" s="1" t="s">
        <v>3533</v>
      </c>
      <c r="H333" s="232"/>
      <c r="I333" s="233"/>
      <c r="J333" s="14">
        <v>1</v>
      </c>
      <c r="K333" s="138">
        <v>7</v>
      </c>
      <c r="L333" s="138">
        <v>7</v>
      </c>
    </row>
    <row r="334" spans="1:12" x14ac:dyDescent="0.25">
      <c r="A334" s="1">
        <v>333</v>
      </c>
      <c r="B334" s="1">
        <v>110</v>
      </c>
      <c r="C334" s="232" t="s">
        <v>3493</v>
      </c>
      <c r="D334" s="232" t="s">
        <v>2553</v>
      </c>
      <c r="E334" s="1" t="s">
        <v>3559</v>
      </c>
      <c r="F334" s="232" t="s">
        <v>2689</v>
      </c>
      <c r="G334" s="1" t="s">
        <v>3534</v>
      </c>
      <c r="H334" s="232"/>
      <c r="I334" s="233"/>
      <c r="J334" s="14">
        <v>1</v>
      </c>
      <c r="K334" s="138">
        <v>50</v>
      </c>
      <c r="L334" s="138">
        <v>50</v>
      </c>
    </row>
    <row r="335" spans="1:12" x14ac:dyDescent="0.25">
      <c r="A335" s="1">
        <v>334</v>
      </c>
      <c r="B335" s="1">
        <v>111</v>
      </c>
      <c r="C335" s="232" t="s">
        <v>3500</v>
      </c>
      <c r="D335" s="232" t="s">
        <v>2554</v>
      </c>
      <c r="E335" s="1" t="s">
        <v>3560</v>
      </c>
      <c r="F335" s="232" t="s">
        <v>2782</v>
      </c>
      <c r="G335" s="1" t="s">
        <v>3536</v>
      </c>
      <c r="H335" s="232"/>
      <c r="I335" s="233"/>
      <c r="J335" s="14">
        <v>1</v>
      </c>
      <c r="K335" s="138">
        <v>10</v>
      </c>
      <c r="L335" s="138">
        <v>10</v>
      </c>
    </row>
    <row r="336" spans="1:12" x14ac:dyDescent="0.25">
      <c r="A336" s="1">
        <v>335</v>
      </c>
      <c r="B336" s="1">
        <v>111</v>
      </c>
      <c r="C336" s="232" t="s">
        <v>3481</v>
      </c>
      <c r="D336" s="232" t="s">
        <v>2554</v>
      </c>
      <c r="E336" s="1" t="s">
        <v>3560</v>
      </c>
      <c r="F336" s="232" t="s">
        <v>2595</v>
      </c>
      <c r="G336" s="1" t="s">
        <v>3537</v>
      </c>
      <c r="H336" s="232"/>
      <c r="I336" s="233"/>
      <c r="J336" s="14">
        <v>1</v>
      </c>
      <c r="K336" s="138">
        <v>0.5</v>
      </c>
      <c r="L336" s="138">
        <v>0.5</v>
      </c>
    </row>
    <row r="337" spans="1:12" x14ac:dyDescent="0.25">
      <c r="A337" s="1">
        <v>336</v>
      </c>
      <c r="B337" s="1">
        <v>111</v>
      </c>
      <c r="C337" s="232" t="s">
        <v>3482</v>
      </c>
      <c r="D337" s="232" t="s">
        <v>2554</v>
      </c>
      <c r="E337" s="1" t="s">
        <v>3560</v>
      </c>
      <c r="F337" s="232" t="s">
        <v>2598</v>
      </c>
      <c r="G337" s="1" t="s">
        <v>3538</v>
      </c>
      <c r="H337" s="232"/>
      <c r="I337" s="233"/>
      <c r="J337" s="14">
        <v>10</v>
      </c>
      <c r="K337" s="138">
        <v>3</v>
      </c>
      <c r="L337" s="138">
        <v>30</v>
      </c>
    </row>
    <row r="338" spans="1:12" x14ac:dyDescent="0.25">
      <c r="A338" s="1">
        <v>337</v>
      </c>
      <c r="B338" s="1">
        <v>111</v>
      </c>
      <c r="C338" s="232" t="s">
        <v>3483</v>
      </c>
      <c r="D338" s="232" t="s">
        <v>2554</v>
      </c>
      <c r="E338" s="1" t="s">
        <v>3560</v>
      </c>
      <c r="F338" s="232" t="s">
        <v>2601</v>
      </c>
      <c r="G338" s="1" t="s">
        <v>3539</v>
      </c>
      <c r="H338" s="232"/>
      <c r="I338" s="233"/>
      <c r="J338" s="14">
        <v>10</v>
      </c>
      <c r="K338" s="138">
        <v>3</v>
      </c>
      <c r="L338" s="138">
        <v>30</v>
      </c>
    </row>
    <row r="339" spans="1:12" x14ac:dyDescent="0.25">
      <c r="A339" s="1">
        <v>338</v>
      </c>
      <c r="B339" s="1">
        <v>112</v>
      </c>
      <c r="C339" s="232" t="s">
        <v>3507</v>
      </c>
      <c r="D339" s="232" t="s">
        <v>2555</v>
      </c>
      <c r="E339" s="1" t="s">
        <v>3561</v>
      </c>
      <c r="F339" s="232" t="s">
        <v>2863</v>
      </c>
      <c r="G339" s="1" t="s">
        <v>3548</v>
      </c>
      <c r="H339" s="232"/>
      <c r="I339" s="233"/>
      <c r="J339" s="14">
        <v>3</v>
      </c>
      <c r="K339" s="138">
        <v>10</v>
      </c>
      <c r="L339" s="138">
        <v>30</v>
      </c>
    </row>
    <row r="340" spans="1:12" x14ac:dyDescent="0.25">
      <c r="A340" s="1">
        <v>339</v>
      </c>
      <c r="B340" s="1">
        <v>113</v>
      </c>
      <c r="C340" s="232" t="s">
        <v>3489</v>
      </c>
      <c r="D340" s="232" t="s">
        <v>2556</v>
      </c>
      <c r="E340" s="1" t="s">
        <v>3562</v>
      </c>
      <c r="F340" s="232" t="s">
        <v>2619</v>
      </c>
      <c r="G340" s="1" t="s">
        <v>3550</v>
      </c>
      <c r="H340" s="232"/>
      <c r="I340" s="233"/>
      <c r="J340" s="14">
        <v>1</v>
      </c>
      <c r="K340" s="138">
        <v>95</v>
      </c>
      <c r="L340" s="138">
        <v>95</v>
      </c>
    </row>
    <row r="341" spans="1:12" x14ac:dyDescent="0.25">
      <c r="A341" s="1">
        <v>340</v>
      </c>
      <c r="B341" s="1">
        <v>113</v>
      </c>
      <c r="C341" s="232" t="s">
        <v>3509</v>
      </c>
      <c r="D341" s="232" t="s">
        <v>2556</v>
      </c>
      <c r="E341" s="1" t="s">
        <v>3562</v>
      </c>
      <c r="F341" s="232" t="s">
        <v>3009</v>
      </c>
      <c r="G341" s="1" t="s">
        <v>3552</v>
      </c>
      <c r="H341" s="232"/>
      <c r="I341" s="233"/>
      <c r="J341" s="14">
        <v>1</v>
      </c>
      <c r="K341" s="138">
        <v>3</v>
      </c>
      <c r="L341" s="138">
        <v>3</v>
      </c>
    </row>
    <row r="342" spans="1:12" x14ac:dyDescent="0.25">
      <c r="A342" s="1">
        <v>341</v>
      </c>
      <c r="B342" s="1">
        <v>113</v>
      </c>
      <c r="C342" s="232" t="s">
        <v>3508</v>
      </c>
      <c r="D342" s="232" t="s">
        <v>2556</v>
      </c>
      <c r="E342" s="1" t="s">
        <v>3562</v>
      </c>
      <c r="F342" s="232" t="s">
        <v>2900</v>
      </c>
      <c r="G342" s="1" t="s">
        <v>3553</v>
      </c>
      <c r="H342" s="232"/>
      <c r="I342" s="233"/>
      <c r="J342" s="14">
        <v>1</v>
      </c>
      <c r="K342" s="138">
        <v>4</v>
      </c>
      <c r="L342" s="138">
        <v>4</v>
      </c>
    </row>
    <row r="343" spans="1:12" x14ac:dyDescent="0.25">
      <c r="A343" s="1">
        <v>342</v>
      </c>
      <c r="B343" s="1">
        <v>114</v>
      </c>
      <c r="C343" s="232" t="s">
        <v>3481</v>
      </c>
      <c r="D343" s="232" t="s">
        <v>2554</v>
      </c>
      <c r="E343" s="1" t="s">
        <v>3560</v>
      </c>
      <c r="F343" s="232" t="s">
        <v>2595</v>
      </c>
      <c r="G343" s="1" t="s">
        <v>3537</v>
      </c>
      <c r="H343" s="232"/>
      <c r="I343" s="233"/>
      <c r="J343" s="14">
        <v>1</v>
      </c>
      <c r="K343" s="138">
        <v>0.5</v>
      </c>
      <c r="L343" s="138">
        <v>0.5</v>
      </c>
    </row>
    <row r="344" spans="1:12" x14ac:dyDescent="0.25">
      <c r="A344" s="1">
        <v>343</v>
      </c>
      <c r="B344" s="1">
        <v>114</v>
      </c>
      <c r="C344" s="232" t="s">
        <v>3500</v>
      </c>
      <c r="D344" s="232" t="s">
        <v>2554</v>
      </c>
      <c r="E344" s="1" t="s">
        <v>3560</v>
      </c>
      <c r="F344" s="232" t="s">
        <v>2782</v>
      </c>
      <c r="G344" s="1" t="s">
        <v>3536</v>
      </c>
      <c r="H344" s="232"/>
      <c r="I344" s="233"/>
      <c r="J344" s="14">
        <v>1</v>
      </c>
      <c r="K344" s="138">
        <v>10</v>
      </c>
      <c r="L344" s="138">
        <v>10</v>
      </c>
    </row>
    <row r="345" spans="1:12" x14ac:dyDescent="0.25">
      <c r="A345" s="1">
        <v>344</v>
      </c>
      <c r="B345" s="1">
        <v>114</v>
      </c>
      <c r="C345" s="232" t="s">
        <v>3482</v>
      </c>
      <c r="D345" s="232" t="s">
        <v>2554</v>
      </c>
      <c r="E345" s="1" t="s">
        <v>3560</v>
      </c>
      <c r="F345" s="232" t="s">
        <v>2598</v>
      </c>
      <c r="G345" s="1" t="s">
        <v>3538</v>
      </c>
      <c r="H345" s="232"/>
      <c r="I345" s="233"/>
      <c r="J345" s="14">
        <v>7</v>
      </c>
      <c r="K345" s="138">
        <v>3</v>
      </c>
      <c r="L345" s="138">
        <v>21</v>
      </c>
    </row>
    <row r="346" spans="1:12" x14ac:dyDescent="0.25">
      <c r="A346" s="1">
        <v>345</v>
      </c>
      <c r="B346" s="1">
        <v>114</v>
      </c>
      <c r="C346" s="232" t="s">
        <v>3483</v>
      </c>
      <c r="D346" s="232" t="s">
        <v>2554</v>
      </c>
      <c r="E346" s="1" t="s">
        <v>3560</v>
      </c>
      <c r="F346" s="232" t="s">
        <v>2601</v>
      </c>
      <c r="G346" s="1" t="s">
        <v>3539</v>
      </c>
      <c r="H346" s="232"/>
      <c r="I346" s="233"/>
      <c r="J346" s="14">
        <v>8</v>
      </c>
      <c r="K346" s="138">
        <v>3</v>
      </c>
      <c r="L346" s="138">
        <v>24</v>
      </c>
    </row>
    <row r="347" spans="1:12" x14ac:dyDescent="0.25">
      <c r="A347" s="1">
        <v>346</v>
      </c>
      <c r="B347" s="1">
        <v>115</v>
      </c>
      <c r="C347" s="232" t="s">
        <v>3470</v>
      </c>
      <c r="D347" s="232" t="s">
        <v>2552</v>
      </c>
      <c r="E347" s="1" t="s">
        <v>3558</v>
      </c>
      <c r="F347" s="232" t="s">
        <v>2562</v>
      </c>
      <c r="G347" s="1" t="s">
        <v>3514</v>
      </c>
      <c r="H347" s="232"/>
      <c r="I347" s="233"/>
      <c r="J347" s="14">
        <v>2</v>
      </c>
      <c r="K347" s="138">
        <v>6</v>
      </c>
      <c r="L347" s="138">
        <v>12</v>
      </c>
    </row>
    <row r="348" spans="1:12" x14ac:dyDescent="0.25">
      <c r="A348" s="1">
        <v>347</v>
      </c>
      <c r="B348" s="1">
        <v>115</v>
      </c>
      <c r="C348" s="232" t="s">
        <v>3473</v>
      </c>
      <c r="D348" s="232" t="s">
        <v>2552</v>
      </c>
      <c r="E348" s="1" t="s">
        <v>3558</v>
      </c>
      <c r="F348" s="232" t="s">
        <v>2571</v>
      </c>
      <c r="G348" s="1" t="s">
        <v>3518</v>
      </c>
      <c r="H348" s="232"/>
      <c r="I348" s="233"/>
      <c r="J348" s="14">
        <v>350</v>
      </c>
      <c r="K348" s="138">
        <v>5</v>
      </c>
      <c r="L348" s="138">
        <v>1750</v>
      </c>
    </row>
    <row r="349" spans="1:12" x14ac:dyDescent="0.25">
      <c r="A349" s="1">
        <v>348</v>
      </c>
      <c r="B349" s="1">
        <v>115</v>
      </c>
      <c r="C349" s="232" t="s">
        <v>3497</v>
      </c>
      <c r="D349" s="232" t="s">
        <v>2552</v>
      </c>
      <c r="E349" s="1" t="s">
        <v>3558</v>
      </c>
      <c r="F349" s="232" t="s">
        <v>2753</v>
      </c>
      <c r="G349" s="1" t="s">
        <v>3520</v>
      </c>
      <c r="H349" s="232"/>
      <c r="I349" s="233"/>
      <c r="J349" s="14">
        <v>3</v>
      </c>
      <c r="K349" s="138">
        <v>10</v>
      </c>
      <c r="L349" s="138">
        <v>30</v>
      </c>
    </row>
    <row r="350" spans="1:12" x14ac:dyDescent="0.25">
      <c r="A350" s="1">
        <v>349</v>
      </c>
      <c r="B350" s="1">
        <v>115</v>
      </c>
      <c r="C350" s="232" t="s">
        <v>3474</v>
      </c>
      <c r="D350" s="232" t="s">
        <v>2552</v>
      </c>
      <c r="E350" s="1" t="s">
        <v>3558</v>
      </c>
      <c r="F350" s="232" t="s">
        <v>2574</v>
      </c>
      <c r="G350" s="1" t="s">
        <v>3521</v>
      </c>
      <c r="H350" s="232"/>
      <c r="I350" s="233"/>
      <c r="J350" s="14">
        <v>7</v>
      </c>
      <c r="K350" s="138">
        <v>77</v>
      </c>
      <c r="L350" s="138">
        <v>539</v>
      </c>
    </row>
    <row r="351" spans="1:12" x14ac:dyDescent="0.25">
      <c r="A351" s="1">
        <v>350</v>
      </c>
      <c r="B351" s="1">
        <v>115</v>
      </c>
      <c r="C351" s="232" t="s">
        <v>3475</v>
      </c>
      <c r="D351" s="232" t="s">
        <v>2552</v>
      </c>
      <c r="E351" s="1" t="s">
        <v>3558</v>
      </c>
      <c r="F351" s="232" t="s">
        <v>2577</v>
      </c>
      <c r="G351" s="1" t="s">
        <v>3523</v>
      </c>
      <c r="H351" s="232"/>
      <c r="I351" s="233"/>
      <c r="J351" s="14">
        <v>7</v>
      </c>
      <c r="K351" s="138">
        <v>42</v>
      </c>
      <c r="L351" s="138">
        <v>294</v>
      </c>
    </row>
    <row r="352" spans="1:12" x14ac:dyDescent="0.25">
      <c r="A352" s="1">
        <v>351</v>
      </c>
      <c r="B352" s="1">
        <v>115</v>
      </c>
      <c r="C352" s="232" t="s">
        <v>3476</v>
      </c>
      <c r="D352" s="232" t="s">
        <v>2552</v>
      </c>
      <c r="E352" s="1" t="s">
        <v>3558</v>
      </c>
      <c r="F352" s="232" t="s">
        <v>2580</v>
      </c>
      <c r="G352" s="1" t="s">
        <v>3524</v>
      </c>
      <c r="H352" s="232"/>
      <c r="I352" s="233"/>
      <c r="J352" s="14">
        <v>10</v>
      </c>
      <c r="K352" s="138">
        <v>6</v>
      </c>
      <c r="L352" s="138">
        <v>60</v>
      </c>
    </row>
    <row r="353" spans="1:12" x14ac:dyDescent="0.25">
      <c r="A353" s="1">
        <v>352</v>
      </c>
      <c r="B353" s="1">
        <v>116</v>
      </c>
      <c r="C353" s="232" t="s">
        <v>3489</v>
      </c>
      <c r="D353" s="232" t="s">
        <v>2556</v>
      </c>
      <c r="E353" s="1" t="s">
        <v>3562</v>
      </c>
      <c r="F353" s="232" t="s">
        <v>2619</v>
      </c>
      <c r="G353" s="1" t="s">
        <v>3550</v>
      </c>
      <c r="H353" s="232"/>
      <c r="I353" s="233"/>
      <c r="J353" s="14">
        <v>1</v>
      </c>
      <c r="K353" s="138">
        <v>95</v>
      </c>
      <c r="L353" s="138">
        <v>95</v>
      </c>
    </row>
    <row r="354" spans="1:12" x14ac:dyDescent="0.25">
      <c r="A354" s="1">
        <v>353</v>
      </c>
      <c r="B354" s="1">
        <v>116</v>
      </c>
      <c r="C354" s="232" t="s">
        <v>3509</v>
      </c>
      <c r="D354" s="232" t="s">
        <v>2556</v>
      </c>
      <c r="E354" s="1" t="s">
        <v>3562</v>
      </c>
      <c r="F354" s="232" t="s">
        <v>3009</v>
      </c>
      <c r="G354" s="1" t="s">
        <v>3552</v>
      </c>
      <c r="H354" s="232"/>
      <c r="I354" s="233"/>
      <c r="J354" s="14">
        <v>1</v>
      </c>
      <c r="K354" s="138">
        <v>3</v>
      </c>
      <c r="L354" s="138">
        <v>3</v>
      </c>
    </row>
    <row r="355" spans="1:12" x14ac:dyDescent="0.25">
      <c r="A355" s="1">
        <v>354</v>
      </c>
      <c r="B355" s="1">
        <v>116</v>
      </c>
      <c r="C355" s="232" t="s">
        <v>3508</v>
      </c>
      <c r="D355" s="232" t="s">
        <v>2556</v>
      </c>
      <c r="E355" s="1" t="s">
        <v>3562</v>
      </c>
      <c r="F355" s="232" t="s">
        <v>2900</v>
      </c>
      <c r="G355" s="1" t="s">
        <v>3553</v>
      </c>
      <c r="H355" s="232"/>
      <c r="I355" s="233"/>
      <c r="J355" s="14">
        <v>1</v>
      </c>
      <c r="K355" s="138">
        <v>4</v>
      </c>
      <c r="L355" s="138">
        <v>4</v>
      </c>
    </row>
    <row r="356" spans="1:12" x14ac:dyDescent="0.25">
      <c r="A356" s="1">
        <v>355</v>
      </c>
      <c r="B356" s="1">
        <v>117</v>
      </c>
      <c r="C356" s="232" t="s">
        <v>3474</v>
      </c>
      <c r="D356" s="232" t="s">
        <v>2552</v>
      </c>
      <c r="E356" s="1" t="s">
        <v>3558</v>
      </c>
      <c r="F356" s="232" t="s">
        <v>2574</v>
      </c>
      <c r="G356" s="1" t="s">
        <v>3521</v>
      </c>
      <c r="H356" s="232" t="s">
        <v>3052</v>
      </c>
      <c r="I356" s="233" t="s">
        <v>3053</v>
      </c>
      <c r="J356" s="14">
        <v>3</v>
      </c>
      <c r="K356" s="138">
        <v>77</v>
      </c>
      <c r="L356" s="138">
        <v>231</v>
      </c>
    </row>
    <row r="357" spans="1:12" x14ac:dyDescent="0.25">
      <c r="A357" s="1">
        <v>356</v>
      </c>
      <c r="B357" s="1">
        <v>117</v>
      </c>
      <c r="C357" s="232" t="s">
        <v>3475</v>
      </c>
      <c r="D357" s="232" t="s">
        <v>2552</v>
      </c>
      <c r="E357" s="1" t="s">
        <v>3558</v>
      </c>
      <c r="F357" s="232" t="s">
        <v>2577</v>
      </c>
      <c r="G357" s="1" t="s">
        <v>3523</v>
      </c>
      <c r="H357" s="232" t="s">
        <v>3054</v>
      </c>
      <c r="I357" s="233" t="s">
        <v>3055</v>
      </c>
      <c r="J357" s="14">
        <v>3</v>
      </c>
      <c r="K357" s="138">
        <v>42</v>
      </c>
      <c r="L357" s="138">
        <v>126</v>
      </c>
    </row>
    <row r="358" spans="1:12" x14ac:dyDescent="0.25">
      <c r="A358" s="1">
        <v>357</v>
      </c>
      <c r="B358" s="1">
        <v>118</v>
      </c>
      <c r="C358" s="232" t="s">
        <v>3477</v>
      </c>
      <c r="D358" s="232" t="s">
        <v>2553</v>
      </c>
      <c r="E358" s="1" t="s">
        <v>3559</v>
      </c>
      <c r="F358" s="232" t="s">
        <v>2583</v>
      </c>
      <c r="G358" s="1" t="s">
        <v>3527</v>
      </c>
      <c r="H358" s="232" t="s">
        <v>3056</v>
      </c>
      <c r="I358" s="233" t="s">
        <v>3057</v>
      </c>
      <c r="J358" s="14">
        <v>1</v>
      </c>
      <c r="K358" s="138">
        <v>20</v>
      </c>
      <c r="L358" s="138">
        <v>20</v>
      </c>
    </row>
    <row r="359" spans="1:12" x14ac:dyDescent="0.25">
      <c r="A359" s="1">
        <v>358</v>
      </c>
      <c r="B359" s="1">
        <v>118</v>
      </c>
      <c r="C359" s="232" t="s">
        <v>3479</v>
      </c>
      <c r="D359" s="232" t="s">
        <v>2553</v>
      </c>
      <c r="E359" s="1" t="s">
        <v>3559</v>
      </c>
      <c r="F359" s="232" t="s">
        <v>2589</v>
      </c>
      <c r="G359" s="1" t="s">
        <v>3530</v>
      </c>
      <c r="H359" s="232" t="s">
        <v>3058</v>
      </c>
      <c r="I359" s="233" t="s">
        <v>3059</v>
      </c>
      <c r="J359" s="14">
        <v>1</v>
      </c>
      <c r="K359" s="138">
        <v>70</v>
      </c>
      <c r="L359" s="138">
        <v>70</v>
      </c>
    </row>
    <row r="360" spans="1:12" x14ac:dyDescent="0.25">
      <c r="A360" s="1">
        <v>359</v>
      </c>
      <c r="B360" s="1">
        <v>118</v>
      </c>
      <c r="C360" s="232" t="s">
        <v>3480</v>
      </c>
      <c r="D360" s="232" t="s">
        <v>2553</v>
      </c>
      <c r="E360" s="1" t="s">
        <v>3559</v>
      </c>
      <c r="F360" s="232" t="s">
        <v>2592</v>
      </c>
      <c r="G360" s="1" t="s">
        <v>3533</v>
      </c>
      <c r="H360" s="232" t="s">
        <v>3060</v>
      </c>
      <c r="I360" s="233" t="s">
        <v>3061</v>
      </c>
      <c r="J360" s="14">
        <v>3</v>
      </c>
      <c r="K360" s="138">
        <v>7</v>
      </c>
      <c r="L360" s="138">
        <v>21</v>
      </c>
    </row>
    <row r="361" spans="1:12" x14ac:dyDescent="0.25">
      <c r="A361" s="1">
        <v>360</v>
      </c>
      <c r="B361" s="1">
        <v>118</v>
      </c>
      <c r="C361" s="232" t="s">
        <v>3493</v>
      </c>
      <c r="D361" s="232" t="s">
        <v>2553</v>
      </c>
      <c r="E361" s="1" t="s">
        <v>3559</v>
      </c>
      <c r="F361" s="232" t="s">
        <v>2689</v>
      </c>
      <c r="G361" s="1" t="s">
        <v>3534</v>
      </c>
      <c r="H361" s="232" t="s">
        <v>3062</v>
      </c>
      <c r="I361" s="233" t="s">
        <v>3063</v>
      </c>
      <c r="J361" s="14">
        <v>1</v>
      </c>
      <c r="K361" s="138">
        <v>50</v>
      </c>
      <c r="L361" s="138">
        <v>50</v>
      </c>
    </row>
    <row r="362" spans="1:12" x14ac:dyDescent="0.25">
      <c r="A362" s="1">
        <v>361</v>
      </c>
      <c r="B362" s="1">
        <v>119</v>
      </c>
      <c r="C362" s="232" t="s">
        <v>3488</v>
      </c>
      <c r="D362" s="232" t="s">
        <v>2555</v>
      </c>
      <c r="E362" s="1" t="s">
        <v>3561</v>
      </c>
      <c r="F362" s="232" t="s">
        <v>2616</v>
      </c>
      <c r="G362" s="1" t="s">
        <v>3549</v>
      </c>
      <c r="H362" s="232" t="s">
        <v>3064</v>
      </c>
      <c r="I362" s="233" t="s">
        <v>3065</v>
      </c>
      <c r="J362" s="14">
        <v>3</v>
      </c>
      <c r="K362" s="138">
        <v>3</v>
      </c>
      <c r="L362" s="138">
        <v>9</v>
      </c>
    </row>
    <row r="363" spans="1:12" x14ac:dyDescent="0.25">
      <c r="A363" s="1">
        <v>362</v>
      </c>
      <c r="B363" s="1">
        <v>120</v>
      </c>
      <c r="C363" s="232" t="s">
        <v>3470</v>
      </c>
      <c r="D363" s="232" t="s">
        <v>2552</v>
      </c>
      <c r="E363" s="1" t="s">
        <v>3558</v>
      </c>
      <c r="F363" s="232" t="s">
        <v>2562</v>
      </c>
      <c r="G363" s="1" t="s">
        <v>3514</v>
      </c>
      <c r="H363" s="232" t="s">
        <v>3066</v>
      </c>
      <c r="I363" s="233" t="s">
        <v>3067</v>
      </c>
      <c r="J363" s="14">
        <v>2</v>
      </c>
      <c r="K363" s="138">
        <v>6</v>
      </c>
      <c r="L363" s="138">
        <v>12</v>
      </c>
    </row>
    <row r="364" spans="1:12" x14ac:dyDescent="0.25">
      <c r="A364" s="1">
        <v>363</v>
      </c>
      <c r="B364" s="1">
        <v>120</v>
      </c>
      <c r="C364" s="232" t="s">
        <v>3473</v>
      </c>
      <c r="D364" s="232" t="s">
        <v>2552</v>
      </c>
      <c r="E364" s="1" t="s">
        <v>3558</v>
      </c>
      <c r="F364" s="232" t="s">
        <v>2571</v>
      </c>
      <c r="G364" s="1" t="s">
        <v>3518</v>
      </c>
      <c r="H364" s="232" t="s">
        <v>3068</v>
      </c>
      <c r="I364" s="233" t="s">
        <v>3069</v>
      </c>
      <c r="J364" s="14">
        <v>4</v>
      </c>
      <c r="K364" s="138">
        <v>5</v>
      </c>
      <c r="L364" s="138">
        <v>20</v>
      </c>
    </row>
    <row r="365" spans="1:12" x14ac:dyDescent="0.25">
      <c r="A365" s="1">
        <v>364</v>
      </c>
      <c r="B365" s="1">
        <v>120</v>
      </c>
      <c r="C365" s="232" t="s">
        <v>3497</v>
      </c>
      <c r="D365" s="232" t="s">
        <v>2552</v>
      </c>
      <c r="E365" s="1" t="s">
        <v>3558</v>
      </c>
      <c r="F365" s="232" t="s">
        <v>2753</v>
      </c>
      <c r="G365" s="1" t="s">
        <v>3520</v>
      </c>
      <c r="H365" s="232" t="s">
        <v>3070</v>
      </c>
      <c r="I365" s="233" t="s">
        <v>3071</v>
      </c>
      <c r="J365" s="14">
        <v>10</v>
      </c>
      <c r="K365" s="138">
        <v>10</v>
      </c>
      <c r="L365" s="138">
        <v>100</v>
      </c>
    </row>
    <row r="366" spans="1:12" x14ac:dyDescent="0.25">
      <c r="A366" s="1">
        <v>365</v>
      </c>
      <c r="B366" s="1">
        <v>120</v>
      </c>
      <c r="C366" s="232" t="s">
        <v>3474</v>
      </c>
      <c r="D366" s="232" t="s">
        <v>2552</v>
      </c>
      <c r="E366" s="1" t="s">
        <v>3558</v>
      </c>
      <c r="F366" s="232" t="s">
        <v>2574</v>
      </c>
      <c r="G366" s="1" t="s">
        <v>3521</v>
      </c>
      <c r="H366" s="232" t="s">
        <v>3072</v>
      </c>
      <c r="I366" s="233" t="s">
        <v>3073</v>
      </c>
      <c r="J366" s="14">
        <v>1</v>
      </c>
      <c r="K366" s="138">
        <v>77</v>
      </c>
      <c r="L366" s="138">
        <v>77</v>
      </c>
    </row>
    <row r="367" spans="1:12" x14ac:dyDescent="0.25">
      <c r="A367" s="1">
        <v>366</v>
      </c>
      <c r="B367" s="1">
        <v>120</v>
      </c>
      <c r="C367" s="232" t="s">
        <v>3475</v>
      </c>
      <c r="D367" s="232" t="s">
        <v>2552</v>
      </c>
      <c r="E367" s="1" t="s">
        <v>3558</v>
      </c>
      <c r="F367" s="232" t="s">
        <v>2577</v>
      </c>
      <c r="G367" s="1" t="s">
        <v>3523</v>
      </c>
      <c r="H367" s="232" t="s">
        <v>3074</v>
      </c>
      <c r="I367" s="233" t="s">
        <v>3075</v>
      </c>
      <c r="J367" s="14">
        <v>2</v>
      </c>
      <c r="K367" s="138">
        <v>42</v>
      </c>
      <c r="L367" s="138">
        <v>84</v>
      </c>
    </row>
    <row r="368" spans="1:12" x14ac:dyDescent="0.25">
      <c r="A368" s="1">
        <v>367</v>
      </c>
      <c r="B368" s="1">
        <v>120</v>
      </c>
      <c r="C368" s="232" t="s">
        <v>3476</v>
      </c>
      <c r="D368" s="232" t="s">
        <v>2552</v>
      </c>
      <c r="E368" s="1" t="s">
        <v>3558</v>
      </c>
      <c r="F368" s="232" t="s">
        <v>2580</v>
      </c>
      <c r="G368" s="1" t="s">
        <v>3524</v>
      </c>
      <c r="H368" s="232" t="s">
        <v>3076</v>
      </c>
      <c r="I368" s="233" t="s">
        <v>3077</v>
      </c>
      <c r="J368" s="14">
        <v>1</v>
      </c>
      <c r="K368" s="138">
        <v>6</v>
      </c>
      <c r="L368" s="138">
        <v>6</v>
      </c>
    </row>
    <row r="369" spans="1:12" x14ac:dyDescent="0.25">
      <c r="A369" s="1">
        <v>368</v>
      </c>
      <c r="B369" s="1">
        <v>121</v>
      </c>
      <c r="C369" s="232" t="s">
        <v>3481</v>
      </c>
      <c r="D369" s="232" t="s">
        <v>2554</v>
      </c>
      <c r="E369" s="1" t="s">
        <v>3560</v>
      </c>
      <c r="F369" s="232" t="s">
        <v>2595</v>
      </c>
      <c r="G369" s="1" t="s">
        <v>3537</v>
      </c>
      <c r="H369" s="232" t="s">
        <v>3078</v>
      </c>
      <c r="I369" s="233" t="s">
        <v>3079</v>
      </c>
      <c r="J369" s="14">
        <v>1</v>
      </c>
      <c r="K369" s="138">
        <v>0.5</v>
      </c>
      <c r="L369" s="138">
        <v>0.5</v>
      </c>
    </row>
    <row r="370" spans="1:12" x14ac:dyDescent="0.25">
      <c r="A370" s="1">
        <v>369</v>
      </c>
      <c r="B370" s="1">
        <v>121</v>
      </c>
      <c r="C370" s="232" t="s">
        <v>3500</v>
      </c>
      <c r="D370" s="232" t="s">
        <v>2554</v>
      </c>
      <c r="E370" s="1" t="s">
        <v>3560</v>
      </c>
      <c r="F370" s="232" t="s">
        <v>2782</v>
      </c>
      <c r="G370" s="1" t="s">
        <v>3536</v>
      </c>
      <c r="H370" s="232" t="s">
        <v>3080</v>
      </c>
      <c r="I370" s="233" t="s">
        <v>3081</v>
      </c>
      <c r="J370" s="14">
        <v>1</v>
      </c>
      <c r="K370" s="138">
        <v>10</v>
      </c>
      <c r="L370" s="138">
        <v>10</v>
      </c>
    </row>
    <row r="371" spans="1:12" x14ac:dyDescent="0.25">
      <c r="A371" s="1">
        <v>370</v>
      </c>
      <c r="B371" s="1">
        <v>121</v>
      </c>
      <c r="C371" s="232" t="s">
        <v>3482</v>
      </c>
      <c r="D371" s="232" t="s">
        <v>2554</v>
      </c>
      <c r="E371" s="1" t="s">
        <v>3560</v>
      </c>
      <c r="F371" s="232" t="s">
        <v>2598</v>
      </c>
      <c r="G371" s="1" t="s">
        <v>3538</v>
      </c>
      <c r="H371" s="232" t="s">
        <v>3082</v>
      </c>
      <c r="I371" s="233" t="s">
        <v>3083</v>
      </c>
      <c r="J371" s="14">
        <v>10</v>
      </c>
      <c r="K371" s="138">
        <v>3</v>
      </c>
      <c r="L371" s="138">
        <v>30</v>
      </c>
    </row>
    <row r="372" spans="1:12" x14ac:dyDescent="0.25">
      <c r="A372" s="1">
        <v>371</v>
      </c>
      <c r="B372" s="1">
        <v>121</v>
      </c>
      <c r="C372" s="232" t="s">
        <v>3483</v>
      </c>
      <c r="D372" s="232" t="s">
        <v>2554</v>
      </c>
      <c r="E372" s="1" t="s">
        <v>3560</v>
      </c>
      <c r="F372" s="232" t="s">
        <v>2601</v>
      </c>
      <c r="G372" s="1" t="s">
        <v>3539</v>
      </c>
      <c r="H372" s="232"/>
      <c r="I372" s="233"/>
      <c r="J372" s="14">
        <v>11</v>
      </c>
      <c r="K372" s="138">
        <v>3</v>
      </c>
      <c r="L372" s="138">
        <v>33</v>
      </c>
    </row>
    <row r="373" spans="1:12" x14ac:dyDescent="0.25">
      <c r="A373" s="1">
        <v>372</v>
      </c>
      <c r="B373" s="1">
        <v>122</v>
      </c>
      <c r="C373" s="232" t="s">
        <v>3488</v>
      </c>
      <c r="D373" s="232" t="s">
        <v>2555</v>
      </c>
      <c r="E373" s="1" t="s">
        <v>3561</v>
      </c>
      <c r="F373" s="232" t="s">
        <v>2616</v>
      </c>
      <c r="G373" s="1" t="s">
        <v>3549</v>
      </c>
      <c r="H373" s="232" t="s">
        <v>3084</v>
      </c>
      <c r="I373" s="233" t="s">
        <v>3085</v>
      </c>
      <c r="J373" s="14">
        <v>3</v>
      </c>
      <c r="K373" s="138">
        <v>3</v>
      </c>
      <c r="L373" s="138">
        <v>9</v>
      </c>
    </row>
    <row r="374" spans="1:12" x14ac:dyDescent="0.25">
      <c r="A374" s="1">
        <v>373</v>
      </c>
      <c r="B374" s="1">
        <v>123</v>
      </c>
      <c r="C374" s="232" t="s">
        <v>3509</v>
      </c>
      <c r="D374" s="232" t="s">
        <v>2556</v>
      </c>
      <c r="E374" s="1" t="s">
        <v>3562</v>
      </c>
      <c r="F374" s="232" t="s">
        <v>3009</v>
      </c>
      <c r="G374" s="1" t="s">
        <v>3552</v>
      </c>
      <c r="H374" s="232" t="s">
        <v>3086</v>
      </c>
      <c r="I374" s="233" t="s">
        <v>3087</v>
      </c>
      <c r="J374" s="14">
        <v>1</v>
      </c>
      <c r="K374" s="138">
        <v>3</v>
      </c>
      <c r="L374" s="138">
        <v>3</v>
      </c>
    </row>
    <row r="375" spans="1:12" x14ac:dyDescent="0.25">
      <c r="A375" s="1">
        <v>374</v>
      </c>
      <c r="B375" s="1">
        <v>123</v>
      </c>
      <c r="C375" s="232" t="s">
        <v>3508</v>
      </c>
      <c r="D375" s="232" t="s">
        <v>2556</v>
      </c>
      <c r="E375" s="1" t="s">
        <v>3562</v>
      </c>
      <c r="F375" s="232" t="s">
        <v>2900</v>
      </c>
      <c r="G375" s="1" t="s">
        <v>3553</v>
      </c>
      <c r="H375" s="232" t="s">
        <v>3088</v>
      </c>
      <c r="I375" s="233" t="s">
        <v>3089</v>
      </c>
      <c r="J375" s="14">
        <v>1</v>
      </c>
      <c r="K375" s="138">
        <v>4</v>
      </c>
      <c r="L375" s="138">
        <v>4</v>
      </c>
    </row>
    <row r="376" spans="1:12" x14ac:dyDescent="0.25">
      <c r="A376" s="1">
        <v>375</v>
      </c>
      <c r="B376" s="1">
        <v>123</v>
      </c>
      <c r="C376" s="232" t="s">
        <v>3502</v>
      </c>
      <c r="D376" s="232" t="s">
        <v>2556</v>
      </c>
      <c r="E376" s="1" t="s">
        <v>3562</v>
      </c>
      <c r="F376" s="232" t="s">
        <v>2788</v>
      </c>
      <c r="G376" s="1" t="s">
        <v>3551</v>
      </c>
      <c r="H376" s="232" t="s">
        <v>3090</v>
      </c>
      <c r="I376" s="233" t="s">
        <v>3091</v>
      </c>
      <c r="J376" s="14">
        <v>1</v>
      </c>
      <c r="K376" s="138">
        <v>150</v>
      </c>
      <c r="L376" s="138">
        <v>150</v>
      </c>
    </row>
    <row r="377" spans="1:12" x14ac:dyDescent="0.25">
      <c r="A377" s="1">
        <v>376</v>
      </c>
      <c r="B377" s="1">
        <v>124</v>
      </c>
      <c r="C377" s="232" t="s">
        <v>3477</v>
      </c>
      <c r="D377" s="232" t="s">
        <v>2553</v>
      </c>
      <c r="E377" s="1" t="s">
        <v>3559</v>
      </c>
      <c r="F377" s="232" t="s">
        <v>2583</v>
      </c>
      <c r="G377" s="1" t="s">
        <v>3527</v>
      </c>
      <c r="H377" s="232"/>
      <c r="I377" s="233"/>
      <c r="J377" s="14">
        <v>2</v>
      </c>
      <c r="K377" s="138">
        <v>20</v>
      </c>
      <c r="L377" s="138">
        <v>40</v>
      </c>
    </row>
    <row r="378" spans="1:12" x14ac:dyDescent="0.25">
      <c r="A378" s="1">
        <v>377</v>
      </c>
      <c r="B378" s="1">
        <v>124</v>
      </c>
      <c r="C378" s="232" t="s">
        <v>3478</v>
      </c>
      <c r="D378" s="232" t="s">
        <v>2553</v>
      </c>
      <c r="E378" s="1" t="s">
        <v>3559</v>
      </c>
      <c r="F378" s="232" t="s">
        <v>2586</v>
      </c>
      <c r="G378" s="1" t="s">
        <v>3528</v>
      </c>
      <c r="H378" s="232"/>
      <c r="I378" s="233"/>
      <c r="J378" s="14">
        <v>5</v>
      </c>
      <c r="K378" s="138">
        <v>18</v>
      </c>
      <c r="L378" s="138">
        <v>90</v>
      </c>
    </row>
    <row r="379" spans="1:12" x14ac:dyDescent="0.25">
      <c r="A379" s="1">
        <v>378</v>
      </c>
      <c r="B379" s="1">
        <v>124</v>
      </c>
      <c r="C379" s="232" t="s">
        <v>3490</v>
      </c>
      <c r="D379" s="232" t="s">
        <v>2553</v>
      </c>
      <c r="E379" s="1" t="s">
        <v>3559</v>
      </c>
      <c r="F379" s="232" t="s">
        <v>2630</v>
      </c>
      <c r="G379" s="1" t="s">
        <v>3529</v>
      </c>
      <c r="H379" s="232"/>
      <c r="I379" s="233"/>
      <c r="J379" s="14">
        <v>20</v>
      </c>
      <c r="K379" s="138">
        <v>18</v>
      </c>
      <c r="L379" s="138">
        <v>360</v>
      </c>
    </row>
    <row r="380" spans="1:12" x14ac:dyDescent="0.25">
      <c r="A380" s="1">
        <v>379</v>
      </c>
      <c r="B380" s="1">
        <v>124</v>
      </c>
      <c r="C380" s="232" t="s">
        <v>3479</v>
      </c>
      <c r="D380" s="232" t="s">
        <v>2553</v>
      </c>
      <c r="E380" s="1" t="s">
        <v>3559</v>
      </c>
      <c r="F380" s="232" t="s">
        <v>2589</v>
      </c>
      <c r="G380" s="1" t="s">
        <v>3530</v>
      </c>
      <c r="H380" s="232"/>
      <c r="I380" s="233"/>
      <c r="J380" s="14">
        <v>1</v>
      </c>
      <c r="K380" s="138">
        <v>70</v>
      </c>
      <c r="L380" s="138">
        <v>70</v>
      </c>
    </row>
    <row r="381" spans="1:12" x14ac:dyDescent="0.25">
      <c r="A381" s="1">
        <v>380</v>
      </c>
      <c r="B381" s="1">
        <v>124</v>
      </c>
      <c r="C381" s="232" t="s">
        <v>3480</v>
      </c>
      <c r="D381" s="232" t="s">
        <v>2553</v>
      </c>
      <c r="E381" s="1" t="s">
        <v>3559</v>
      </c>
      <c r="F381" s="232" t="s">
        <v>2592</v>
      </c>
      <c r="G381" s="1" t="s">
        <v>3533</v>
      </c>
      <c r="H381" s="232"/>
      <c r="I381" s="233"/>
      <c r="J381" s="14">
        <v>3</v>
      </c>
      <c r="K381" s="138">
        <v>7</v>
      </c>
      <c r="L381" s="138">
        <v>21</v>
      </c>
    </row>
    <row r="382" spans="1:12" x14ac:dyDescent="0.25">
      <c r="A382" s="1">
        <v>381</v>
      </c>
      <c r="B382" s="1">
        <v>124</v>
      </c>
      <c r="C382" s="232" t="s">
        <v>3493</v>
      </c>
      <c r="D382" s="232" t="s">
        <v>2553</v>
      </c>
      <c r="E382" s="1" t="s">
        <v>3559</v>
      </c>
      <c r="F382" s="232" t="s">
        <v>2689</v>
      </c>
      <c r="G382" s="1" t="s">
        <v>3534</v>
      </c>
      <c r="H382" s="232"/>
      <c r="I382" s="233"/>
      <c r="J382" s="14">
        <v>1</v>
      </c>
      <c r="K382" s="138">
        <v>50</v>
      </c>
      <c r="L382" s="138">
        <v>50</v>
      </c>
    </row>
    <row r="383" spans="1:12" x14ac:dyDescent="0.25">
      <c r="A383" s="1">
        <v>382</v>
      </c>
      <c r="B383" s="1">
        <v>125</v>
      </c>
      <c r="C383" s="232" t="s">
        <v>3470</v>
      </c>
      <c r="D383" s="232" t="s">
        <v>2552</v>
      </c>
      <c r="E383" s="1" t="s">
        <v>3558</v>
      </c>
      <c r="F383" s="232" t="s">
        <v>2562</v>
      </c>
      <c r="G383" s="1" t="s">
        <v>3514</v>
      </c>
      <c r="H383" s="232"/>
      <c r="I383" s="233"/>
      <c r="J383" s="14">
        <v>1</v>
      </c>
      <c r="K383" s="138">
        <v>6</v>
      </c>
      <c r="L383" s="138">
        <v>6</v>
      </c>
    </row>
    <row r="384" spans="1:12" x14ac:dyDescent="0.25">
      <c r="A384" s="1">
        <v>383</v>
      </c>
      <c r="B384" s="1">
        <v>125</v>
      </c>
      <c r="C384" s="232" t="s">
        <v>3473</v>
      </c>
      <c r="D384" s="232" t="s">
        <v>2552</v>
      </c>
      <c r="E384" s="1" t="s">
        <v>3558</v>
      </c>
      <c r="F384" s="232" t="s">
        <v>2571</v>
      </c>
      <c r="G384" s="1" t="s">
        <v>3518</v>
      </c>
      <c r="H384" s="232"/>
      <c r="I384" s="233"/>
      <c r="J384" s="14">
        <v>400</v>
      </c>
      <c r="K384" s="138">
        <v>5</v>
      </c>
      <c r="L384" s="138">
        <v>2000</v>
      </c>
    </row>
    <row r="385" spans="1:12" x14ac:dyDescent="0.25">
      <c r="A385" s="1">
        <v>384</v>
      </c>
      <c r="B385" s="1">
        <v>125</v>
      </c>
      <c r="C385" s="232" t="s">
        <v>3497</v>
      </c>
      <c r="D385" s="232" t="s">
        <v>2552</v>
      </c>
      <c r="E385" s="1" t="s">
        <v>3558</v>
      </c>
      <c r="F385" s="232" t="s">
        <v>2753</v>
      </c>
      <c r="G385" s="1" t="s">
        <v>3520</v>
      </c>
      <c r="H385" s="232"/>
      <c r="I385" s="233"/>
      <c r="J385" s="14">
        <v>4</v>
      </c>
      <c r="K385" s="138">
        <v>10</v>
      </c>
      <c r="L385" s="138">
        <v>40</v>
      </c>
    </row>
    <row r="386" spans="1:12" x14ac:dyDescent="0.25">
      <c r="A386" s="1">
        <v>385</v>
      </c>
      <c r="B386" s="1">
        <v>125</v>
      </c>
      <c r="C386" s="232" t="s">
        <v>3474</v>
      </c>
      <c r="D386" s="232" t="s">
        <v>2552</v>
      </c>
      <c r="E386" s="1" t="s">
        <v>3558</v>
      </c>
      <c r="F386" s="232" t="s">
        <v>2574</v>
      </c>
      <c r="G386" s="1" t="s">
        <v>3521</v>
      </c>
      <c r="H386" s="232"/>
      <c r="I386" s="233"/>
      <c r="J386" s="14">
        <v>5</v>
      </c>
      <c r="K386" s="138">
        <v>77</v>
      </c>
      <c r="L386" s="138">
        <v>385</v>
      </c>
    </row>
    <row r="387" spans="1:12" x14ac:dyDescent="0.25">
      <c r="A387" s="1">
        <v>386</v>
      </c>
      <c r="B387" s="1">
        <v>125</v>
      </c>
      <c r="C387" s="232" t="s">
        <v>3475</v>
      </c>
      <c r="D387" s="232" t="s">
        <v>2552</v>
      </c>
      <c r="E387" s="1" t="s">
        <v>3558</v>
      </c>
      <c r="F387" s="232" t="s">
        <v>2577</v>
      </c>
      <c r="G387" s="1" t="s">
        <v>3523</v>
      </c>
      <c r="H387" s="232"/>
      <c r="I387" s="233"/>
      <c r="J387" s="14">
        <v>5</v>
      </c>
      <c r="K387" s="138">
        <v>42</v>
      </c>
      <c r="L387" s="138">
        <v>210</v>
      </c>
    </row>
    <row r="388" spans="1:12" x14ac:dyDescent="0.25">
      <c r="A388" s="1">
        <v>387</v>
      </c>
      <c r="B388" s="1">
        <v>125</v>
      </c>
      <c r="C388" s="232" t="s">
        <v>3476</v>
      </c>
      <c r="D388" s="232" t="s">
        <v>2552</v>
      </c>
      <c r="E388" s="1" t="s">
        <v>3558</v>
      </c>
      <c r="F388" s="232" t="s">
        <v>2580</v>
      </c>
      <c r="G388" s="1" t="s">
        <v>3524</v>
      </c>
      <c r="H388" s="232"/>
      <c r="I388" s="233"/>
      <c r="J388" s="14">
        <v>9</v>
      </c>
      <c r="K388" s="138">
        <v>6</v>
      </c>
      <c r="L388" s="138">
        <v>54</v>
      </c>
    </row>
    <row r="389" spans="1:12" x14ac:dyDescent="0.25">
      <c r="A389" s="1">
        <v>388</v>
      </c>
      <c r="B389" s="1">
        <v>126</v>
      </c>
      <c r="C389" s="232" t="s">
        <v>3477</v>
      </c>
      <c r="D389" s="232" t="s">
        <v>2553</v>
      </c>
      <c r="E389" s="1" t="s">
        <v>3559</v>
      </c>
      <c r="F389" s="232" t="s">
        <v>2583</v>
      </c>
      <c r="G389" s="1" t="s">
        <v>3527</v>
      </c>
      <c r="H389" s="232"/>
      <c r="I389" s="233"/>
      <c r="J389" s="14">
        <v>2</v>
      </c>
      <c r="K389" s="138">
        <v>20</v>
      </c>
      <c r="L389" s="138">
        <v>40</v>
      </c>
    </row>
    <row r="390" spans="1:12" x14ac:dyDescent="0.25">
      <c r="A390" s="1">
        <v>389</v>
      </c>
      <c r="B390" s="1">
        <v>126</v>
      </c>
      <c r="C390" s="232" t="s">
        <v>3478</v>
      </c>
      <c r="D390" s="232" t="s">
        <v>2553</v>
      </c>
      <c r="E390" s="1" t="s">
        <v>3559</v>
      </c>
      <c r="F390" s="232" t="s">
        <v>2586</v>
      </c>
      <c r="G390" s="1" t="s">
        <v>3528</v>
      </c>
      <c r="H390" s="232"/>
      <c r="I390" s="233"/>
      <c r="J390" s="14">
        <v>15</v>
      </c>
      <c r="K390" s="138">
        <v>18</v>
      </c>
      <c r="L390" s="138">
        <v>270</v>
      </c>
    </row>
    <row r="391" spans="1:12" x14ac:dyDescent="0.25">
      <c r="A391" s="1">
        <v>390</v>
      </c>
      <c r="B391" s="1">
        <v>126</v>
      </c>
      <c r="C391" s="232" t="s">
        <v>3490</v>
      </c>
      <c r="D391" s="232" t="s">
        <v>2553</v>
      </c>
      <c r="E391" s="1" t="s">
        <v>3559</v>
      </c>
      <c r="F391" s="232" t="s">
        <v>2630</v>
      </c>
      <c r="G391" s="1" t="s">
        <v>3529</v>
      </c>
      <c r="H391" s="232"/>
      <c r="I391" s="233"/>
      <c r="J391" s="14">
        <v>50</v>
      </c>
      <c r="K391" s="138">
        <v>18</v>
      </c>
      <c r="L391" s="138">
        <v>900</v>
      </c>
    </row>
    <row r="392" spans="1:12" x14ac:dyDescent="0.25">
      <c r="A392" s="1">
        <v>391</v>
      </c>
      <c r="B392" s="1">
        <v>126</v>
      </c>
      <c r="C392" s="232" t="s">
        <v>3479</v>
      </c>
      <c r="D392" s="232" t="s">
        <v>2553</v>
      </c>
      <c r="E392" s="1" t="s">
        <v>3559</v>
      </c>
      <c r="F392" s="232" t="s">
        <v>2589</v>
      </c>
      <c r="G392" s="1" t="s">
        <v>3530</v>
      </c>
      <c r="H392" s="232"/>
      <c r="I392" s="233"/>
      <c r="J392" s="14">
        <v>1</v>
      </c>
      <c r="K392" s="138">
        <v>70</v>
      </c>
      <c r="L392" s="138">
        <v>70</v>
      </c>
    </row>
    <row r="393" spans="1:12" x14ac:dyDescent="0.25">
      <c r="A393" s="1">
        <v>392</v>
      </c>
      <c r="B393" s="1">
        <v>126</v>
      </c>
      <c r="C393" s="232" t="s">
        <v>3480</v>
      </c>
      <c r="D393" s="232" t="s">
        <v>2553</v>
      </c>
      <c r="E393" s="1" t="s">
        <v>3559</v>
      </c>
      <c r="F393" s="232" t="s">
        <v>2592</v>
      </c>
      <c r="G393" s="1" t="s">
        <v>3533</v>
      </c>
      <c r="H393" s="232"/>
      <c r="I393" s="233"/>
      <c r="J393" s="14">
        <v>2</v>
      </c>
      <c r="K393" s="138">
        <v>7</v>
      </c>
      <c r="L393" s="138">
        <v>14</v>
      </c>
    </row>
    <row r="394" spans="1:12" x14ac:dyDescent="0.25">
      <c r="A394" s="1">
        <v>393</v>
      </c>
      <c r="B394" s="1">
        <v>126</v>
      </c>
      <c r="C394" s="232" t="s">
        <v>3493</v>
      </c>
      <c r="D394" s="232" t="s">
        <v>2553</v>
      </c>
      <c r="E394" s="1" t="s">
        <v>3559</v>
      </c>
      <c r="F394" s="232" t="s">
        <v>2689</v>
      </c>
      <c r="G394" s="1" t="s">
        <v>3534</v>
      </c>
      <c r="H394" s="232"/>
      <c r="I394" s="233"/>
      <c r="J394" s="14">
        <v>1</v>
      </c>
      <c r="K394" s="138">
        <v>50</v>
      </c>
      <c r="L394" s="138">
        <v>50</v>
      </c>
    </row>
    <row r="395" spans="1:12" x14ac:dyDescent="0.25">
      <c r="A395" s="1">
        <v>394</v>
      </c>
      <c r="B395" s="1">
        <v>127</v>
      </c>
      <c r="C395" s="232" t="s">
        <v>3500</v>
      </c>
      <c r="D395" s="232" t="s">
        <v>2554</v>
      </c>
      <c r="E395" s="1" t="s">
        <v>3560</v>
      </c>
      <c r="F395" s="232" t="s">
        <v>2782</v>
      </c>
      <c r="G395" s="1" t="s">
        <v>3536</v>
      </c>
      <c r="H395" s="232"/>
      <c r="I395" s="233"/>
      <c r="J395" s="14">
        <v>1</v>
      </c>
      <c r="K395" s="138">
        <v>10</v>
      </c>
      <c r="L395" s="138">
        <v>10</v>
      </c>
    </row>
    <row r="396" spans="1:12" x14ac:dyDescent="0.25">
      <c r="A396" s="1">
        <v>395</v>
      </c>
      <c r="B396" s="1">
        <v>127</v>
      </c>
      <c r="C396" s="232" t="s">
        <v>3481</v>
      </c>
      <c r="D396" s="232" t="s">
        <v>2554</v>
      </c>
      <c r="E396" s="1" t="s">
        <v>3560</v>
      </c>
      <c r="F396" s="232" t="s">
        <v>2595</v>
      </c>
      <c r="G396" s="1" t="s">
        <v>3537</v>
      </c>
      <c r="H396" s="232"/>
      <c r="I396" s="233"/>
      <c r="J396" s="14">
        <v>1</v>
      </c>
      <c r="K396" s="138">
        <v>0.5</v>
      </c>
      <c r="L396" s="138">
        <v>0.5</v>
      </c>
    </row>
    <row r="397" spans="1:12" x14ac:dyDescent="0.25">
      <c r="A397" s="1">
        <v>396</v>
      </c>
      <c r="B397" s="1">
        <v>127</v>
      </c>
      <c r="C397" s="232" t="s">
        <v>3482</v>
      </c>
      <c r="D397" s="232" t="s">
        <v>2554</v>
      </c>
      <c r="E397" s="1" t="s">
        <v>3560</v>
      </c>
      <c r="F397" s="232" t="s">
        <v>2598</v>
      </c>
      <c r="G397" s="1" t="s">
        <v>3538</v>
      </c>
      <c r="H397" s="232"/>
      <c r="I397" s="233"/>
      <c r="J397" s="14">
        <v>7</v>
      </c>
      <c r="K397" s="138">
        <v>3</v>
      </c>
      <c r="L397" s="138">
        <v>21</v>
      </c>
    </row>
    <row r="398" spans="1:12" x14ac:dyDescent="0.25">
      <c r="A398" s="1">
        <v>397</v>
      </c>
      <c r="B398" s="1">
        <v>127</v>
      </c>
      <c r="C398" s="232" t="s">
        <v>3483</v>
      </c>
      <c r="D398" s="232" t="s">
        <v>2554</v>
      </c>
      <c r="E398" s="1" t="s">
        <v>3560</v>
      </c>
      <c r="F398" s="232" t="s">
        <v>2601</v>
      </c>
      <c r="G398" s="1" t="s">
        <v>3539</v>
      </c>
      <c r="H398" s="232"/>
      <c r="I398" s="233"/>
      <c r="J398" s="14">
        <v>7</v>
      </c>
      <c r="K398" s="138">
        <v>3</v>
      </c>
      <c r="L398" s="138">
        <v>21</v>
      </c>
    </row>
    <row r="399" spans="1:12" x14ac:dyDescent="0.25">
      <c r="A399" s="1">
        <v>398</v>
      </c>
      <c r="B399" s="1">
        <v>128</v>
      </c>
      <c r="C399" s="232" t="s">
        <v>3501</v>
      </c>
      <c r="D399" s="232" t="s">
        <v>2555</v>
      </c>
      <c r="E399" s="1" t="s">
        <v>3561</v>
      </c>
      <c r="F399" s="232" t="s">
        <v>2785</v>
      </c>
      <c r="G399" s="1" t="s">
        <v>3546</v>
      </c>
      <c r="H399" s="232"/>
      <c r="I399" s="233"/>
      <c r="J399" s="14">
        <v>1</v>
      </c>
      <c r="K399" s="138">
        <v>10</v>
      </c>
      <c r="L399" s="138">
        <v>10</v>
      </c>
    </row>
    <row r="400" spans="1:12" x14ac:dyDescent="0.25">
      <c r="A400" s="1">
        <v>399</v>
      </c>
      <c r="B400" s="1">
        <v>128</v>
      </c>
      <c r="C400" s="232" t="s">
        <v>3506</v>
      </c>
      <c r="D400" s="232" t="s">
        <v>2555</v>
      </c>
      <c r="E400" s="1" t="s">
        <v>3561</v>
      </c>
      <c r="F400" s="232" t="s">
        <v>2840</v>
      </c>
      <c r="G400" s="1" t="s">
        <v>3545</v>
      </c>
      <c r="H400" s="232"/>
      <c r="I400" s="233"/>
      <c r="J400" s="14">
        <v>1</v>
      </c>
      <c r="K400" s="138">
        <v>6</v>
      </c>
      <c r="L400" s="138">
        <v>6</v>
      </c>
    </row>
    <row r="401" spans="1:12" x14ac:dyDescent="0.25">
      <c r="A401" s="1">
        <v>400</v>
      </c>
      <c r="B401" s="1">
        <v>128</v>
      </c>
      <c r="C401" s="232" t="s">
        <v>3488</v>
      </c>
      <c r="D401" s="232" t="s">
        <v>2555</v>
      </c>
      <c r="E401" s="1" t="s">
        <v>3561</v>
      </c>
      <c r="F401" s="232" t="s">
        <v>2616</v>
      </c>
      <c r="G401" s="1" t="s">
        <v>3549</v>
      </c>
      <c r="H401" s="232"/>
      <c r="I401" s="233"/>
      <c r="J401" s="14">
        <v>3</v>
      </c>
      <c r="K401" s="138">
        <v>3</v>
      </c>
      <c r="L401" s="138">
        <v>9</v>
      </c>
    </row>
    <row r="402" spans="1:12" x14ac:dyDescent="0.25">
      <c r="A402" s="1">
        <v>401</v>
      </c>
      <c r="B402" s="1">
        <v>129</v>
      </c>
      <c r="C402" s="232" t="s">
        <v>3489</v>
      </c>
      <c r="D402" s="232" t="s">
        <v>2556</v>
      </c>
      <c r="E402" s="1" t="s">
        <v>3562</v>
      </c>
      <c r="F402" s="232" t="s">
        <v>2619</v>
      </c>
      <c r="G402" s="1" t="s">
        <v>3550</v>
      </c>
      <c r="H402" s="232"/>
      <c r="I402" s="233"/>
      <c r="J402" s="14">
        <v>1</v>
      </c>
      <c r="K402" s="138">
        <v>95</v>
      </c>
      <c r="L402" s="138">
        <v>95</v>
      </c>
    </row>
    <row r="403" spans="1:12" x14ac:dyDescent="0.25">
      <c r="A403" s="1">
        <v>402</v>
      </c>
      <c r="B403" s="1">
        <v>129</v>
      </c>
      <c r="C403" s="232" t="s">
        <v>3509</v>
      </c>
      <c r="D403" s="232" t="s">
        <v>2556</v>
      </c>
      <c r="E403" s="1" t="s">
        <v>3562</v>
      </c>
      <c r="F403" s="232" t="s">
        <v>3009</v>
      </c>
      <c r="G403" s="1" t="s">
        <v>3552</v>
      </c>
      <c r="H403" s="232"/>
      <c r="I403" s="233"/>
      <c r="J403" s="14">
        <v>1</v>
      </c>
      <c r="K403" s="138">
        <v>3</v>
      </c>
      <c r="L403" s="138">
        <v>3</v>
      </c>
    </row>
    <row r="404" spans="1:12" x14ac:dyDescent="0.25">
      <c r="A404" s="1">
        <v>403</v>
      </c>
      <c r="B404" s="1">
        <v>129</v>
      </c>
      <c r="C404" s="232" t="s">
        <v>3508</v>
      </c>
      <c r="D404" s="232" t="s">
        <v>2556</v>
      </c>
      <c r="E404" s="1" t="s">
        <v>3562</v>
      </c>
      <c r="F404" s="232" t="s">
        <v>2900</v>
      </c>
      <c r="G404" s="1" t="s">
        <v>3553</v>
      </c>
      <c r="H404" s="232"/>
      <c r="I404" s="233"/>
      <c r="J404" s="14">
        <v>1</v>
      </c>
      <c r="K404" s="138">
        <v>4</v>
      </c>
      <c r="L404" s="138">
        <v>4</v>
      </c>
    </row>
    <row r="405" spans="1:12" x14ac:dyDescent="0.25">
      <c r="A405" s="1">
        <v>404</v>
      </c>
      <c r="B405" s="1">
        <v>130</v>
      </c>
      <c r="C405" s="232" t="s">
        <v>3470</v>
      </c>
      <c r="D405" s="232" t="s">
        <v>2552</v>
      </c>
      <c r="E405" s="1" t="s">
        <v>3558</v>
      </c>
      <c r="F405" s="232" t="s">
        <v>2562</v>
      </c>
      <c r="G405" s="1" t="s">
        <v>3514</v>
      </c>
      <c r="H405" s="232"/>
      <c r="I405" s="233"/>
      <c r="J405" s="14">
        <v>1</v>
      </c>
      <c r="K405" s="138">
        <v>6</v>
      </c>
      <c r="L405" s="138">
        <v>6</v>
      </c>
    </row>
    <row r="406" spans="1:12" x14ac:dyDescent="0.25">
      <c r="A406" s="1">
        <v>405</v>
      </c>
      <c r="B406" s="1">
        <v>130</v>
      </c>
      <c r="C406" s="232" t="s">
        <v>3497</v>
      </c>
      <c r="D406" s="232" t="s">
        <v>2552</v>
      </c>
      <c r="E406" s="1" t="s">
        <v>3558</v>
      </c>
      <c r="F406" s="232" t="s">
        <v>2753</v>
      </c>
      <c r="G406" s="1" t="s">
        <v>3520</v>
      </c>
      <c r="H406" s="232"/>
      <c r="I406" s="233"/>
      <c r="J406" s="14">
        <v>3</v>
      </c>
      <c r="K406" s="138">
        <v>10</v>
      </c>
      <c r="L406" s="138">
        <v>30</v>
      </c>
    </row>
    <row r="407" spans="1:12" x14ac:dyDescent="0.25">
      <c r="A407" s="1">
        <v>406</v>
      </c>
      <c r="B407" s="1">
        <v>130</v>
      </c>
      <c r="C407" s="232" t="s">
        <v>3474</v>
      </c>
      <c r="D407" s="232" t="s">
        <v>2552</v>
      </c>
      <c r="E407" s="1" t="s">
        <v>3558</v>
      </c>
      <c r="F407" s="232" t="s">
        <v>2574</v>
      </c>
      <c r="G407" s="1" t="s">
        <v>3521</v>
      </c>
      <c r="H407" s="232"/>
      <c r="I407" s="233"/>
      <c r="J407" s="14">
        <v>3</v>
      </c>
      <c r="K407" s="138">
        <v>77</v>
      </c>
      <c r="L407" s="138">
        <v>231</v>
      </c>
    </row>
    <row r="408" spans="1:12" x14ac:dyDescent="0.25">
      <c r="A408" s="1">
        <v>407</v>
      </c>
      <c r="B408" s="1">
        <v>130</v>
      </c>
      <c r="C408" s="232" t="s">
        <v>3475</v>
      </c>
      <c r="D408" s="232" t="s">
        <v>2552</v>
      </c>
      <c r="E408" s="1" t="s">
        <v>3558</v>
      </c>
      <c r="F408" s="232" t="s">
        <v>2577</v>
      </c>
      <c r="G408" s="1" t="s">
        <v>3523</v>
      </c>
      <c r="H408" s="232"/>
      <c r="I408" s="233"/>
      <c r="J408" s="14">
        <v>10</v>
      </c>
      <c r="K408" s="138">
        <v>42</v>
      </c>
      <c r="L408" s="138">
        <v>420</v>
      </c>
    </row>
    <row r="409" spans="1:12" x14ac:dyDescent="0.25">
      <c r="A409" s="1">
        <v>408</v>
      </c>
      <c r="B409" s="1">
        <v>131</v>
      </c>
      <c r="C409" s="232" t="s">
        <v>3477</v>
      </c>
      <c r="D409" s="232" t="s">
        <v>2553</v>
      </c>
      <c r="E409" s="1" t="s">
        <v>3559</v>
      </c>
      <c r="F409" s="232" t="s">
        <v>2583</v>
      </c>
      <c r="G409" s="1" t="s">
        <v>3527</v>
      </c>
      <c r="H409" s="232"/>
      <c r="I409" s="233"/>
      <c r="J409" s="14">
        <v>2</v>
      </c>
      <c r="K409" s="138">
        <v>20</v>
      </c>
      <c r="L409" s="138">
        <v>40</v>
      </c>
    </row>
    <row r="410" spans="1:12" x14ac:dyDescent="0.25">
      <c r="A410" s="1">
        <v>409</v>
      </c>
      <c r="B410" s="1">
        <v>131</v>
      </c>
      <c r="C410" s="232" t="s">
        <v>3479</v>
      </c>
      <c r="D410" s="232" t="s">
        <v>2553</v>
      </c>
      <c r="E410" s="1" t="s">
        <v>3559</v>
      </c>
      <c r="F410" s="232" t="s">
        <v>2589</v>
      </c>
      <c r="G410" s="1" t="s">
        <v>3530</v>
      </c>
      <c r="H410" s="232"/>
      <c r="I410" s="233"/>
      <c r="J410" s="14">
        <v>1</v>
      </c>
      <c r="K410" s="138">
        <v>70</v>
      </c>
      <c r="L410" s="138">
        <v>70</v>
      </c>
    </row>
    <row r="411" spans="1:12" x14ac:dyDescent="0.25">
      <c r="A411" s="1">
        <v>410</v>
      </c>
      <c r="B411" s="1">
        <v>131</v>
      </c>
      <c r="C411" s="232" t="s">
        <v>3480</v>
      </c>
      <c r="D411" s="232" t="s">
        <v>2553</v>
      </c>
      <c r="E411" s="1" t="s">
        <v>3559</v>
      </c>
      <c r="F411" s="232" t="s">
        <v>2592</v>
      </c>
      <c r="G411" s="1" t="s">
        <v>3533</v>
      </c>
      <c r="H411" s="232"/>
      <c r="I411" s="233"/>
      <c r="J411" s="14">
        <v>3</v>
      </c>
      <c r="K411" s="138">
        <v>7</v>
      </c>
      <c r="L411" s="138">
        <v>21</v>
      </c>
    </row>
    <row r="412" spans="1:12" x14ac:dyDescent="0.25">
      <c r="A412" s="1">
        <v>411</v>
      </c>
      <c r="B412" s="1">
        <v>131</v>
      </c>
      <c r="C412" s="232" t="s">
        <v>3493</v>
      </c>
      <c r="D412" s="232" t="s">
        <v>2553</v>
      </c>
      <c r="E412" s="1" t="s">
        <v>3559</v>
      </c>
      <c r="F412" s="232" t="s">
        <v>2689</v>
      </c>
      <c r="G412" s="1" t="s">
        <v>3534</v>
      </c>
      <c r="H412" s="232"/>
      <c r="I412" s="233"/>
      <c r="J412" s="14">
        <v>1</v>
      </c>
      <c r="K412" s="138">
        <v>50</v>
      </c>
      <c r="L412" s="138">
        <v>50</v>
      </c>
    </row>
    <row r="413" spans="1:12" x14ac:dyDescent="0.25">
      <c r="A413" s="1">
        <v>412</v>
      </c>
      <c r="B413" s="1">
        <v>132</v>
      </c>
      <c r="C413" s="232" t="s">
        <v>3481</v>
      </c>
      <c r="D413" s="232" t="s">
        <v>2554</v>
      </c>
      <c r="E413" s="1" t="s">
        <v>3560</v>
      </c>
      <c r="F413" s="232" t="s">
        <v>2595</v>
      </c>
      <c r="G413" s="1" t="s">
        <v>3537</v>
      </c>
      <c r="H413" s="232"/>
      <c r="I413" s="233"/>
      <c r="J413" s="14">
        <v>1</v>
      </c>
      <c r="K413" s="138">
        <v>0.5</v>
      </c>
      <c r="L413" s="138">
        <v>0.5</v>
      </c>
    </row>
    <row r="414" spans="1:12" x14ac:dyDescent="0.25">
      <c r="A414" s="1">
        <v>413</v>
      </c>
      <c r="B414" s="1">
        <v>132</v>
      </c>
      <c r="C414" s="232" t="s">
        <v>3482</v>
      </c>
      <c r="D414" s="232" t="s">
        <v>2554</v>
      </c>
      <c r="E414" s="1" t="s">
        <v>3560</v>
      </c>
      <c r="F414" s="232" t="s">
        <v>2598</v>
      </c>
      <c r="G414" s="1" t="s">
        <v>3538</v>
      </c>
      <c r="H414" s="232"/>
      <c r="I414" s="233"/>
      <c r="J414" s="14">
        <v>7</v>
      </c>
      <c r="K414" s="138">
        <v>3</v>
      </c>
      <c r="L414" s="138">
        <v>21</v>
      </c>
    </row>
    <row r="415" spans="1:12" x14ac:dyDescent="0.25">
      <c r="A415" s="1">
        <v>414</v>
      </c>
      <c r="B415" s="1">
        <v>132</v>
      </c>
      <c r="C415" s="232" t="s">
        <v>3483</v>
      </c>
      <c r="D415" s="232" t="s">
        <v>2554</v>
      </c>
      <c r="E415" s="1" t="s">
        <v>3560</v>
      </c>
      <c r="F415" s="232" t="s">
        <v>2601</v>
      </c>
      <c r="G415" s="1" t="s">
        <v>3539</v>
      </c>
      <c r="H415" s="232"/>
      <c r="I415" s="233"/>
      <c r="J415" s="14">
        <v>7</v>
      </c>
      <c r="K415" s="138">
        <v>3</v>
      </c>
      <c r="L415" s="138">
        <v>21</v>
      </c>
    </row>
    <row r="416" spans="1:12" x14ac:dyDescent="0.25">
      <c r="A416" s="1">
        <v>415</v>
      </c>
      <c r="B416" s="1">
        <v>132</v>
      </c>
      <c r="C416" s="232" t="s">
        <v>3484</v>
      </c>
      <c r="D416" s="232" t="s">
        <v>2554</v>
      </c>
      <c r="E416" s="1" t="s">
        <v>3560</v>
      </c>
      <c r="F416" s="232" t="s">
        <v>2604</v>
      </c>
      <c r="G416" s="1" t="s">
        <v>3540</v>
      </c>
      <c r="H416" s="232"/>
      <c r="I416" s="233"/>
      <c r="J416" s="14">
        <v>1</v>
      </c>
      <c r="K416" s="138">
        <v>77</v>
      </c>
      <c r="L416" s="138">
        <v>77</v>
      </c>
    </row>
    <row r="417" spans="1:12" x14ac:dyDescent="0.25">
      <c r="A417" s="1">
        <v>416</v>
      </c>
      <c r="B417" s="1">
        <v>132</v>
      </c>
      <c r="C417" s="232" t="s">
        <v>3485</v>
      </c>
      <c r="D417" s="232" t="s">
        <v>2554</v>
      </c>
      <c r="E417" s="1" t="s">
        <v>3560</v>
      </c>
      <c r="F417" s="232" t="s">
        <v>2607</v>
      </c>
      <c r="G417" s="1" t="s">
        <v>3541</v>
      </c>
      <c r="H417" s="232"/>
      <c r="I417" s="233"/>
      <c r="J417" s="14">
        <v>1</v>
      </c>
      <c r="K417" s="138">
        <v>22</v>
      </c>
      <c r="L417" s="138">
        <v>22</v>
      </c>
    </row>
    <row r="418" spans="1:12" x14ac:dyDescent="0.25">
      <c r="A418" s="1">
        <v>417</v>
      </c>
      <c r="B418" s="1">
        <v>132</v>
      </c>
      <c r="C418" s="232" t="s">
        <v>3486</v>
      </c>
      <c r="D418" s="232" t="s">
        <v>2554</v>
      </c>
      <c r="E418" s="1" t="s">
        <v>3560</v>
      </c>
      <c r="F418" s="232" t="s">
        <v>2610</v>
      </c>
      <c r="G418" s="1" t="s">
        <v>3542</v>
      </c>
      <c r="H418" s="232"/>
      <c r="I418" s="233"/>
      <c r="J418" s="14">
        <v>1</v>
      </c>
      <c r="K418" s="138">
        <v>0.4</v>
      </c>
      <c r="L418" s="138">
        <v>0.4</v>
      </c>
    </row>
    <row r="419" spans="1:12" x14ac:dyDescent="0.25">
      <c r="A419" s="1">
        <v>418</v>
      </c>
      <c r="B419" s="1">
        <v>132</v>
      </c>
      <c r="C419" s="232" t="s">
        <v>3487</v>
      </c>
      <c r="D419" s="232" t="s">
        <v>2554</v>
      </c>
      <c r="E419" s="1" t="s">
        <v>3560</v>
      </c>
      <c r="F419" s="232" t="s">
        <v>2613</v>
      </c>
      <c r="G419" s="1" t="s">
        <v>3543</v>
      </c>
      <c r="H419" s="232"/>
      <c r="I419" s="233"/>
      <c r="J419" s="14">
        <v>2</v>
      </c>
      <c r="K419" s="138">
        <v>45</v>
      </c>
      <c r="L419" s="138">
        <v>90</v>
      </c>
    </row>
    <row r="420" spans="1:12" x14ac:dyDescent="0.25">
      <c r="A420" s="1">
        <v>419</v>
      </c>
      <c r="B420" s="1">
        <v>133</v>
      </c>
      <c r="C420" s="232" t="s">
        <v>3501</v>
      </c>
      <c r="D420" s="232" t="s">
        <v>2555</v>
      </c>
      <c r="E420" s="1" t="s">
        <v>3561</v>
      </c>
      <c r="F420" s="232" t="s">
        <v>2785</v>
      </c>
      <c r="G420" s="1" t="s">
        <v>3546</v>
      </c>
      <c r="H420" s="232"/>
      <c r="I420" s="233"/>
      <c r="J420" s="14">
        <v>1</v>
      </c>
      <c r="K420" s="138">
        <v>10</v>
      </c>
      <c r="L420" s="138">
        <v>10</v>
      </c>
    </row>
    <row r="421" spans="1:12" x14ac:dyDescent="0.25">
      <c r="A421" s="1">
        <v>420</v>
      </c>
      <c r="B421" s="1">
        <v>133</v>
      </c>
      <c r="C421" s="232" t="s">
        <v>3507</v>
      </c>
      <c r="D421" s="232" t="s">
        <v>2555</v>
      </c>
      <c r="E421" s="1" t="s">
        <v>3561</v>
      </c>
      <c r="F421" s="232" t="s">
        <v>2863</v>
      </c>
      <c r="G421" s="1" t="s">
        <v>3548</v>
      </c>
      <c r="H421" s="232"/>
      <c r="I421" s="233"/>
      <c r="J421" s="14">
        <v>3</v>
      </c>
      <c r="K421" s="138">
        <v>10</v>
      </c>
      <c r="L421" s="138">
        <v>30</v>
      </c>
    </row>
    <row r="422" spans="1:12" x14ac:dyDescent="0.25">
      <c r="A422" s="1">
        <v>421</v>
      </c>
      <c r="B422" s="1">
        <v>133</v>
      </c>
      <c r="C422" s="232" t="s">
        <v>3488</v>
      </c>
      <c r="D422" s="232" t="s">
        <v>2555</v>
      </c>
      <c r="E422" s="1" t="s">
        <v>3561</v>
      </c>
      <c r="F422" s="232" t="s">
        <v>2616</v>
      </c>
      <c r="G422" s="1" t="s">
        <v>3549</v>
      </c>
      <c r="H422" s="232"/>
      <c r="I422" s="233"/>
      <c r="J422" s="14">
        <v>3</v>
      </c>
      <c r="K422" s="138">
        <v>3</v>
      </c>
      <c r="L422" s="138">
        <v>9</v>
      </c>
    </row>
    <row r="423" spans="1:12" x14ac:dyDescent="0.25">
      <c r="A423" s="1">
        <v>422</v>
      </c>
      <c r="B423" s="1">
        <v>134</v>
      </c>
      <c r="C423" s="232" t="s">
        <v>3502</v>
      </c>
      <c r="D423" s="232" t="s">
        <v>2556</v>
      </c>
      <c r="E423" s="1" t="s">
        <v>3562</v>
      </c>
      <c r="F423" s="232" t="s">
        <v>2788</v>
      </c>
      <c r="G423" s="1" t="s">
        <v>3551</v>
      </c>
      <c r="H423" s="232"/>
      <c r="I423" s="233"/>
      <c r="J423" s="14">
        <v>1</v>
      </c>
      <c r="K423" s="138">
        <v>150</v>
      </c>
      <c r="L423" s="138">
        <v>150</v>
      </c>
    </row>
    <row r="424" spans="1:12" x14ac:dyDescent="0.25">
      <c r="A424" s="1">
        <v>423</v>
      </c>
      <c r="B424" s="1">
        <v>134</v>
      </c>
      <c r="C424" s="232" t="s">
        <v>3509</v>
      </c>
      <c r="D424" s="232" t="s">
        <v>2556</v>
      </c>
      <c r="E424" s="1" t="s">
        <v>3562</v>
      </c>
      <c r="F424" s="232" t="s">
        <v>3009</v>
      </c>
      <c r="G424" s="1" t="s">
        <v>3552</v>
      </c>
      <c r="H424" s="232"/>
      <c r="I424" s="233"/>
      <c r="J424" s="14">
        <v>1</v>
      </c>
      <c r="K424" s="138">
        <v>3</v>
      </c>
      <c r="L424" s="138">
        <v>3</v>
      </c>
    </row>
    <row r="425" spans="1:12" x14ac:dyDescent="0.25">
      <c r="A425" s="1">
        <v>424</v>
      </c>
      <c r="B425" s="1">
        <v>134</v>
      </c>
      <c r="C425" s="232" t="s">
        <v>3508</v>
      </c>
      <c r="D425" s="232" t="s">
        <v>2556</v>
      </c>
      <c r="E425" s="1" t="s">
        <v>3562</v>
      </c>
      <c r="F425" s="232" t="s">
        <v>2900</v>
      </c>
      <c r="G425" s="1" t="s">
        <v>3553</v>
      </c>
      <c r="H425" s="232"/>
      <c r="I425" s="233"/>
      <c r="J425" s="14">
        <v>1</v>
      </c>
      <c r="K425" s="138">
        <v>4</v>
      </c>
      <c r="L425" s="138">
        <v>4</v>
      </c>
    </row>
    <row r="426" spans="1:12" x14ac:dyDescent="0.25">
      <c r="A426" s="1">
        <v>425</v>
      </c>
      <c r="B426" s="1">
        <v>135</v>
      </c>
      <c r="C426" s="232" t="s">
        <v>3473</v>
      </c>
      <c r="D426" s="232" t="s">
        <v>2552</v>
      </c>
      <c r="E426" s="1" t="s">
        <v>3558</v>
      </c>
      <c r="F426" s="232" t="s">
        <v>2571</v>
      </c>
      <c r="G426" s="1" t="s">
        <v>3518</v>
      </c>
      <c r="H426" s="232" t="s">
        <v>3092</v>
      </c>
      <c r="I426" s="233" t="s">
        <v>3093</v>
      </c>
      <c r="J426" s="14">
        <v>36</v>
      </c>
      <c r="K426" s="138">
        <v>4.5</v>
      </c>
      <c r="L426" s="138">
        <v>162</v>
      </c>
    </row>
    <row r="427" spans="1:12" x14ac:dyDescent="0.25">
      <c r="A427" s="1">
        <v>426</v>
      </c>
      <c r="B427" s="1">
        <v>135</v>
      </c>
      <c r="C427" s="232" t="s">
        <v>3496</v>
      </c>
      <c r="D427" s="232" t="s">
        <v>2552</v>
      </c>
      <c r="E427" s="1" t="s">
        <v>3558</v>
      </c>
      <c r="F427" s="232" t="s">
        <v>2750</v>
      </c>
      <c r="G427" s="1" t="s">
        <v>3519</v>
      </c>
      <c r="H427" s="232" t="s">
        <v>3094</v>
      </c>
      <c r="I427" s="233" t="s">
        <v>3095</v>
      </c>
      <c r="J427" s="14">
        <v>3</v>
      </c>
      <c r="K427" s="138">
        <v>20</v>
      </c>
      <c r="L427" s="138">
        <v>60</v>
      </c>
    </row>
    <row r="428" spans="1:12" x14ac:dyDescent="0.25">
      <c r="A428" s="1">
        <v>427</v>
      </c>
      <c r="B428" s="1">
        <v>135</v>
      </c>
      <c r="C428" s="232" t="s">
        <v>3497</v>
      </c>
      <c r="D428" s="232" t="s">
        <v>2552</v>
      </c>
      <c r="E428" s="1" t="s">
        <v>3558</v>
      </c>
      <c r="F428" s="232" t="s">
        <v>2753</v>
      </c>
      <c r="G428" s="1" t="s">
        <v>3520</v>
      </c>
      <c r="H428" s="232" t="s">
        <v>3096</v>
      </c>
      <c r="I428" s="233" t="s">
        <v>3097</v>
      </c>
      <c r="J428" s="14">
        <v>2</v>
      </c>
      <c r="K428" s="138">
        <v>10</v>
      </c>
      <c r="L428" s="138">
        <v>20</v>
      </c>
    </row>
    <row r="429" spans="1:12" x14ac:dyDescent="0.25">
      <c r="A429" s="1">
        <v>428</v>
      </c>
      <c r="B429" s="1">
        <v>136</v>
      </c>
      <c r="C429" s="232" t="s">
        <v>3496</v>
      </c>
      <c r="D429" s="232" t="s">
        <v>2552</v>
      </c>
      <c r="E429" s="1" t="s">
        <v>3558</v>
      </c>
      <c r="F429" s="232" t="s">
        <v>2750</v>
      </c>
      <c r="G429" s="1" t="s">
        <v>3519</v>
      </c>
      <c r="H429" s="232" t="s">
        <v>3098</v>
      </c>
      <c r="I429" s="233" t="s">
        <v>3099</v>
      </c>
      <c r="J429" s="14">
        <v>7</v>
      </c>
      <c r="K429" s="138">
        <v>20</v>
      </c>
      <c r="L429" s="138">
        <v>140</v>
      </c>
    </row>
    <row r="430" spans="1:12" x14ac:dyDescent="0.25">
      <c r="A430" s="1">
        <v>429</v>
      </c>
      <c r="B430" s="1">
        <v>137</v>
      </c>
      <c r="C430" s="232" t="s">
        <v>3475</v>
      </c>
      <c r="D430" s="232" t="s">
        <v>2552</v>
      </c>
      <c r="E430" s="1" t="s">
        <v>3558</v>
      </c>
      <c r="F430" s="232" t="s">
        <v>2577</v>
      </c>
      <c r="G430" s="1" t="s">
        <v>3523</v>
      </c>
      <c r="H430" s="232" t="s">
        <v>3100</v>
      </c>
      <c r="I430" s="233" t="s">
        <v>3101</v>
      </c>
      <c r="J430" s="14">
        <v>5</v>
      </c>
      <c r="K430" s="138">
        <v>56</v>
      </c>
      <c r="L430" s="138">
        <v>280</v>
      </c>
    </row>
    <row r="431" spans="1:12" x14ac:dyDescent="0.25">
      <c r="A431" s="1">
        <v>430</v>
      </c>
      <c r="B431" s="1">
        <v>137</v>
      </c>
      <c r="C431" s="232" t="s">
        <v>3498</v>
      </c>
      <c r="D431" s="232" t="s">
        <v>2552</v>
      </c>
      <c r="E431" s="1" t="s">
        <v>3558</v>
      </c>
      <c r="F431" s="232" t="s">
        <v>2758</v>
      </c>
      <c r="G431" s="1" t="s">
        <v>3522</v>
      </c>
      <c r="H431" s="232" t="s">
        <v>3102</v>
      </c>
      <c r="I431" s="233" t="s">
        <v>3103</v>
      </c>
      <c r="J431" s="14">
        <v>1</v>
      </c>
      <c r="K431" s="138">
        <v>3</v>
      </c>
      <c r="L431" s="138">
        <v>3</v>
      </c>
    </row>
    <row r="432" spans="1:12" x14ac:dyDescent="0.25">
      <c r="A432" s="1">
        <v>431</v>
      </c>
      <c r="B432" s="1">
        <v>138</v>
      </c>
      <c r="C432" s="232" t="s">
        <v>3473</v>
      </c>
      <c r="D432" s="232" t="s">
        <v>2552</v>
      </c>
      <c r="E432" s="1" t="s">
        <v>3558</v>
      </c>
      <c r="F432" s="232" t="s">
        <v>2571</v>
      </c>
      <c r="G432" s="1" t="s">
        <v>3518</v>
      </c>
      <c r="H432" s="232" t="s">
        <v>3104</v>
      </c>
      <c r="I432" s="233" t="s">
        <v>3105</v>
      </c>
      <c r="J432" s="14">
        <v>100</v>
      </c>
      <c r="K432" s="138">
        <v>4.5</v>
      </c>
      <c r="L432" s="138">
        <v>450</v>
      </c>
    </row>
    <row r="433" spans="1:12" x14ac:dyDescent="0.25">
      <c r="A433" s="1">
        <v>432</v>
      </c>
      <c r="B433" s="1">
        <v>139</v>
      </c>
      <c r="C433" s="232" t="s">
        <v>3470</v>
      </c>
      <c r="D433" s="232" t="s">
        <v>2552</v>
      </c>
      <c r="E433" s="1" t="s">
        <v>3558</v>
      </c>
      <c r="F433" s="232" t="s">
        <v>2562</v>
      </c>
      <c r="G433" s="1" t="s">
        <v>3514</v>
      </c>
      <c r="H433" s="232"/>
      <c r="I433" s="233"/>
      <c r="J433" s="14">
        <v>1</v>
      </c>
      <c r="K433" s="138">
        <v>6</v>
      </c>
      <c r="L433" s="138">
        <v>6</v>
      </c>
    </row>
    <row r="434" spans="1:12" x14ac:dyDescent="0.25">
      <c r="A434" s="1">
        <v>433</v>
      </c>
      <c r="B434" s="1">
        <v>139</v>
      </c>
      <c r="C434" s="232" t="s">
        <v>3497</v>
      </c>
      <c r="D434" s="232" t="s">
        <v>2552</v>
      </c>
      <c r="E434" s="1" t="s">
        <v>3558</v>
      </c>
      <c r="F434" s="232" t="s">
        <v>2753</v>
      </c>
      <c r="G434" s="1" t="s">
        <v>3520</v>
      </c>
      <c r="H434" s="232"/>
      <c r="I434" s="233"/>
      <c r="J434" s="14">
        <v>4</v>
      </c>
      <c r="K434" s="138">
        <v>10</v>
      </c>
      <c r="L434" s="138">
        <v>40</v>
      </c>
    </row>
    <row r="435" spans="1:12" x14ac:dyDescent="0.25">
      <c r="A435" s="1">
        <v>434</v>
      </c>
      <c r="B435" s="1">
        <v>139</v>
      </c>
      <c r="C435" s="232" t="s">
        <v>3474</v>
      </c>
      <c r="D435" s="232" t="s">
        <v>2552</v>
      </c>
      <c r="E435" s="1" t="s">
        <v>3558</v>
      </c>
      <c r="F435" s="232" t="s">
        <v>2574</v>
      </c>
      <c r="G435" s="1" t="s">
        <v>3521</v>
      </c>
      <c r="H435" s="232"/>
      <c r="I435" s="233"/>
      <c r="J435" s="14">
        <v>2</v>
      </c>
      <c r="K435" s="138">
        <v>77</v>
      </c>
      <c r="L435" s="138">
        <v>154</v>
      </c>
    </row>
    <row r="436" spans="1:12" x14ac:dyDescent="0.25">
      <c r="A436" s="1">
        <v>435</v>
      </c>
      <c r="B436" s="1">
        <v>139</v>
      </c>
      <c r="C436" s="232" t="s">
        <v>3475</v>
      </c>
      <c r="D436" s="232" t="s">
        <v>2552</v>
      </c>
      <c r="E436" s="1" t="s">
        <v>3558</v>
      </c>
      <c r="F436" s="232" t="s">
        <v>2577</v>
      </c>
      <c r="G436" s="1" t="s">
        <v>3523</v>
      </c>
      <c r="H436" s="232"/>
      <c r="I436" s="233"/>
      <c r="J436" s="14">
        <v>2</v>
      </c>
      <c r="K436" s="138">
        <v>42</v>
      </c>
      <c r="L436" s="138">
        <v>84</v>
      </c>
    </row>
    <row r="437" spans="1:12" x14ac:dyDescent="0.25">
      <c r="A437" s="1">
        <v>436</v>
      </c>
      <c r="B437" s="1">
        <v>139</v>
      </c>
      <c r="C437" s="232" t="s">
        <v>3476</v>
      </c>
      <c r="D437" s="232" t="s">
        <v>2552</v>
      </c>
      <c r="E437" s="1" t="s">
        <v>3558</v>
      </c>
      <c r="F437" s="232" t="s">
        <v>2580</v>
      </c>
      <c r="G437" s="1" t="s">
        <v>3524</v>
      </c>
      <c r="H437" s="232"/>
      <c r="I437" s="233"/>
      <c r="J437" s="14">
        <v>2</v>
      </c>
      <c r="K437" s="138">
        <v>6</v>
      </c>
      <c r="L437" s="138">
        <v>12</v>
      </c>
    </row>
    <row r="438" spans="1:12" x14ac:dyDescent="0.25">
      <c r="A438" s="1">
        <v>437</v>
      </c>
      <c r="B438" s="1">
        <v>140</v>
      </c>
      <c r="C438" s="232" t="s">
        <v>3490</v>
      </c>
      <c r="D438" s="232" t="s">
        <v>2553</v>
      </c>
      <c r="E438" s="1" t="s">
        <v>3559</v>
      </c>
      <c r="F438" s="232" t="s">
        <v>2630</v>
      </c>
      <c r="G438" s="1" t="s">
        <v>3529</v>
      </c>
      <c r="H438" s="232"/>
      <c r="I438" s="233"/>
      <c r="J438" s="14">
        <v>100</v>
      </c>
      <c r="K438" s="138">
        <v>18</v>
      </c>
      <c r="L438" s="138">
        <v>1800</v>
      </c>
    </row>
    <row r="439" spans="1:12" x14ac:dyDescent="0.25">
      <c r="A439" s="1">
        <v>438</v>
      </c>
      <c r="B439" s="1">
        <v>140</v>
      </c>
      <c r="C439" s="232" t="s">
        <v>3477</v>
      </c>
      <c r="D439" s="232" t="s">
        <v>2553</v>
      </c>
      <c r="E439" s="1" t="s">
        <v>3559</v>
      </c>
      <c r="F439" s="232" t="s">
        <v>2583</v>
      </c>
      <c r="G439" s="1" t="s">
        <v>3527</v>
      </c>
      <c r="H439" s="232"/>
      <c r="I439" s="233"/>
      <c r="J439" s="14">
        <v>2</v>
      </c>
      <c r="K439" s="138">
        <v>20</v>
      </c>
      <c r="L439" s="138">
        <v>40</v>
      </c>
    </row>
    <row r="440" spans="1:12" x14ac:dyDescent="0.25">
      <c r="A440" s="1">
        <v>439</v>
      </c>
      <c r="B440" s="1">
        <v>140</v>
      </c>
      <c r="C440" s="232" t="s">
        <v>3479</v>
      </c>
      <c r="D440" s="232" t="s">
        <v>2553</v>
      </c>
      <c r="E440" s="1" t="s">
        <v>3559</v>
      </c>
      <c r="F440" s="232" t="s">
        <v>2589</v>
      </c>
      <c r="G440" s="1" t="s">
        <v>3530</v>
      </c>
      <c r="H440" s="232"/>
      <c r="I440" s="233"/>
      <c r="J440" s="14">
        <v>1</v>
      </c>
      <c r="K440" s="138">
        <v>70</v>
      </c>
      <c r="L440" s="138">
        <v>70</v>
      </c>
    </row>
    <row r="441" spans="1:12" x14ac:dyDescent="0.25">
      <c r="A441" s="1">
        <v>440</v>
      </c>
      <c r="B441" s="1">
        <v>140</v>
      </c>
      <c r="C441" s="232" t="s">
        <v>3480</v>
      </c>
      <c r="D441" s="232" t="s">
        <v>2553</v>
      </c>
      <c r="E441" s="1" t="s">
        <v>3559</v>
      </c>
      <c r="F441" s="232" t="s">
        <v>2592</v>
      </c>
      <c r="G441" s="1" t="s">
        <v>3533</v>
      </c>
      <c r="H441" s="232"/>
      <c r="I441" s="233"/>
      <c r="J441" s="14">
        <v>3</v>
      </c>
      <c r="K441" s="138">
        <v>7</v>
      </c>
      <c r="L441" s="138">
        <v>21</v>
      </c>
    </row>
    <row r="442" spans="1:12" x14ac:dyDescent="0.25">
      <c r="A442" s="1">
        <v>441</v>
      </c>
      <c r="B442" s="1">
        <v>140</v>
      </c>
      <c r="C442" s="232" t="s">
        <v>3493</v>
      </c>
      <c r="D442" s="232" t="s">
        <v>2553</v>
      </c>
      <c r="E442" s="1" t="s">
        <v>3559</v>
      </c>
      <c r="F442" s="232" t="s">
        <v>2689</v>
      </c>
      <c r="G442" s="1" t="s">
        <v>3534</v>
      </c>
      <c r="H442" s="232"/>
      <c r="I442" s="233"/>
      <c r="J442" s="14">
        <v>1</v>
      </c>
      <c r="K442" s="138">
        <v>50</v>
      </c>
      <c r="L442" s="138">
        <v>50</v>
      </c>
    </row>
    <row r="443" spans="1:12" x14ac:dyDescent="0.25">
      <c r="A443" s="1">
        <v>442</v>
      </c>
      <c r="B443" s="1">
        <v>141</v>
      </c>
      <c r="C443" s="232" t="s">
        <v>3481</v>
      </c>
      <c r="D443" s="232" t="s">
        <v>2554</v>
      </c>
      <c r="E443" s="1" t="s">
        <v>3560</v>
      </c>
      <c r="F443" s="232" t="s">
        <v>2595</v>
      </c>
      <c r="G443" s="1" t="s">
        <v>3537</v>
      </c>
      <c r="H443" s="232"/>
      <c r="I443" s="233"/>
      <c r="J443" s="14">
        <v>1</v>
      </c>
      <c r="K443" s="138">
        <v>0.5</v>
      </c>
      <c r="L443" s="138">
        <v>0.5</v>
      </c>
    </row>
    <row r="444" spans="1:12" x14ac:dyDescent="0.25">
      <c r="A444" s="1">
        <v>443</v>
      </c>
      <c r="B444" s="1">
        <v>141</v>
      </c>
      <c r="C444" s="232" t="s">
        <v>3482</v>
      </c>
      <c r="D444" s="232" t="s">
        <v>2554</v>
      </c>
      <c r="E444" s="1" t="s">
        <v>3560</v>
      </c>
      <c r="F444" s="232" t="s">
        <v>2598</v>
      </c>
      <c r="G444" s="1" t="s">
        <v>3538</v>
      </c>
      <c r="H444" s="232"/>
      <c r="I444" s="233"/>
      <c r="J444" s="14">
        <v>7</v>
      </c>
      <c r="K444" s="138">
        <v>3</v>
      </c>
      <c r="L444" s="138">
        <v>21</v>
      </c>
    </row>
    <row r="445" spans="1:12" x14ac:dyDescent="0.25">
      <c r="A445" s="1">
        <v>444</v>
      </c>
      <c r="B445" s="1">
        <v>141</v>
      </c>
      <c r="C445" s="232" t="s">
        <v>3483</v>
      </c>
      <c r="D445" s="232" t="s">
        <v>2554</v>
      </c>
      <c r="E445" s="1" t="s">
        <v>3560</v>
      </c>
      <c r="F445" s="232" t="s">
        <v>2601</v>
      </c>
      <c r="G445" s="1" t="s">
        <v>3539</v>
      </c>
      <c r="H445" s="232"/>
      <c r="I445" s="233"/>
      <c r="J445" s="14">
        <v>7</v>
      </c>
      <c r="K445" s="138">
        <v>3</v>
      </c>
      <c r="L445" s="138">
        <v>21</v>
      </c>
    </row>
    <row r="446" spans="1:12" x14ac:dyDescent="0.25">
      <c r="A446" s="1">
        <v>445</v>
      </c>
      <c r="B446" s="1">
        <v>141</v>
      </c>
      <c r="C446" s="232" t="s">
        <v>3484</v>
      </c>
      <c r="D446" s="232" t="s">
        <v>2554</v>
      </c>
      <c r="E446" s="1" t="s">
        <v>3560</v>
      </c>
      <c r="F446" s="232" t="s">
        <v>2604</v>
      </c>
      <c r="G446" s="1" t="s">
        <v>3540</v>
      </c>
      <c r="H446" s="232"/>
      <c r="I446" s="233"/>
      <c r="J446" s="14">
        <v>1</v>
      </c>
      <c r="K446" s="138">
        <v>77</v>
      </c>
      <c r="L446" s="138">
        <v>77</v>
      </c>
    </row>
    <row r="447" spans="1:12" x14ac:dyDescent="0.25">
      <c r="A447" s="1">
        <v>446</v>
      </c>
      <c r="B447" s="1">
        <v>141</v>
      </c>
      <c r="C447" s="232" t="s">
        <v>3485</v>
      </c>
      <c r="D447" s="232" t="s">
        <v>2554</v>
      </c>
      <c r="E447" s="1" t="s">
        <v>3560</v>
      </c>
      <c r="F447" s="232" t="s">
        <v>2607</v>
      </c>
      <c r="G447" s="1" t="s">
        <v>3541</v>
      </c>
      <c r="H447" s="232"/>
      <c r="I447" s="233"/>
      <c r="J447" s="14">
        <v>1</v>
      </c>
      <c r="K447" s="138">
        <v>22</v>
      </c>
      <c r="L447" s="138">
        <v>22</v>
      </c>
    </row>
    <row r="448" spans="1:12" x14ac:dyDescent="0.25">
      <c r="A448" s="1">
        <v>447</v>
      </c>
      <c r="B448" s="1">
        <v>141</v>
      </c>
      <c r="C448" s="232" t="s">
        <v>3486</v>
      </c>
      <c r="D448" s="232" t="s">
        <v>2554</v>
      </c>
      <c r="E448" s="1" t="s">
        <v>3560</v>
      </c>
      <c r="F448" s="232" t="s">
        <v>2610</v>
      </c>
      <c r="G448" s="1" t="s">
        <v>3542</v>
      </c>
      <c r="H448" s="232"/>
      <c r="I448" s="233"/>
      <c r="J448" s="14">
        <v>1</v>
      </c>
      <c r="K448" s="138">
        <v>0.4</v>
      </c>
      <c r="L448" s="138">
        <v>0.4</v>
      </c>
    </row>
    <row r="449" spans="1:12" x14ac:dyDescent="0.25">
      <c r="A449" s="1">
        <v>448</v>
      </c>
      <c r="B449" s="1">
        <v>141</v>
      </c>
      <c r="C449" s="232" t="s">
        <v>3487</v>
      </c>
      <c r="D449" s="232" t="s">
        <v>2554</v>
      </c>
      <c r="E449" s="1" t="s">
        <v>3560</v>
      </c>
      <c r="F449" s="232" t="s">
        <v>2613</v>
      </c>
      <c r="G449" s="1" t="s">
        <v>3543</v>
      </c>
      <c r="H449" s="232"/>
      <c r="I449" s="233"/>
      <c r="J449" s="14">
        <v>2</v>
      </c>
      <c r="K449" s="138">
        <v>45</v>
      </c>
      <c r="L449" s="138">
        <v>90</v>
      </c>
    </row>
    <row r="450" spans="1:12" x14ac:dyDescent="0.25">
      <c r="A450" s="1">
        <v>449</v>
      </c>
      <c r="B450" s="1">
        <v>142</v>
      </c>
      <c r="C450" s="232" t="s">
        <v>3507</v>
      </c>
      <c r="D450" s="232" t="s">
        <v>2555</v>
      </c>
      <c r="E450" s="1" t="s">
        <v>3561</v>
      </c>
      <c r="F450" s="232" t="s">
        <v>2863</v>
      </c>
      <c r="G450" s="1" t="s">
        <v>3548</v>
      </c>
      <c r="H450" s="232"/>
      <c r="I450" s="233"/>
      <c r="J450" s="14">
        <v>3</v>
      </c>
      <c r="K450" s="138">
        <v>10</v>
      </c>
      <c r="L450" s="138">
        <v>30</v>
      </c>
    </row>
    <row r="451" spans="1:12" x14ac:dyDescent="0.25">
      <c r="A451" s="1">
        <v>450</v>
      </c>
      <c r="B451" s="1">
        <v>142</v>
      </c>
      <c r="C451" s="232" t="s">
        <v>3488</v>
      </c>
      <c r="D451" s="232" t="s">
        <v>2555</v>
      </c>
      <c r="E451" s="1" t="s">
        <v>3561</v>
      </c>
      <c r="F451" s="232" t="s">
        <v>2616</v>
      </c>
      <c r="G451" s="1" t="s">
        <v>3549</v>
      </c>
      <c r="H451" s="232"/>
      <c r="I451" s="233"/>
      <c r="J451" s="14">
        <v>3</v>
      </c>
      <c r="K451" s="138">
        <v>3</v>
      </c>
      <c r="L451" s="138">
        <v>9</v>
      </c>
    </row>
    <row r="452" spans="1:12" x14ac:dyDescent="0.25">
      <c r="A452" s="1">
        <v>451</v>
      </c>
      <c r="B452" s="1">
        <v>143</v>
      </c>
      <c r="C452" s="232" t="s">
        <v>3508</v>
      </c>
      <c r="D452" s="232" t="s">
        <v>2556</v>
      </c>
      <c r="E452" s="1" t="s">
        <v>3562</v>
      </c>
      <c r="F452" s="232" t="s">
        <v>2900</v>
      </c>
      <c r="G452" s="1" t="s">
        <v>3553</v>
      </c>
      <c r="H452" s="232"/>
      <c r="I452" s="233"/>
      <c r="J452" s="14">
        <v>1</v>
      </c>
      <c r="K452" s="138">
        <v>4</v>
      </c>
      <c r="L452" s="138">
        <v>4</v>
      </c>
    </row>
    <row r="453" spans="1:12" x14ac:dyDescent="0.25">
      <c r="A453" s="1">
        <v>452</v>
      </c>
      <c r="B453" s="1">
        <v>143</v>
      </c>
      <c r="C453" s="232" t="s">
        <v>3509</v>
      </c>
      <c r="D453" s="232" t="s">
        <v>2556</v>
      </c>
      <c r="E453" s="1" t="s">
        <v>3562</v>
      </c>
      <c r="F453" s="232" t="s">
        <v>3009</v>
      </c>
      <c r="G453" s="1" t="s">
        <v>3552</v>
      </c>
      <c r="H453" s="232"/>
      <c r="I453" s="233"/>
      <c r="J453" s="14">
        <v>1</v>
      </c>
      <c r="K453" s="138">
        <v>3</v>
      </c>
      <c r="L453" s="138">
        <v>3</v>
      </c>
    </row>
    <row r="454" spans="1:12" x14ac:dyDescent="0.25">
      <c r="A454" s="1">
        <v>453</v>
      </c>
      <c r="B454" s="1">
        <v>144</v>
      </c>
      <c r="C454" s="232" t="s">
        <v>3470</v>
      </c>
      <c r="D454" s="232" t="s">
        <v>2552</v>
      </c>
      <c r="E454" s="1" t="s">
        <v>3558</v>
      </c>
      <c r="F454" s="232" t="s">
        <v>2562</v>
      </c>
      <c r="G454" s="1" t="s">
        <v>3514</v>
      </c>
      <c r="H454" s="232"/>
      <c r="I454" s="233"/>
      <c r="J454" s="14">
        <v>1</v>
      </c>
      <c r="K454" s="138">
        <v>6</v>
      </c>
      <c r="L454" s="138">
        <v>6</v>
      </c>
    </row>
    <row r="455" spans="1:12" x14ac:dyDescent="0.25">
      <c r="A455" s="1">
        <v>454</v>
      </c>
      <c r="B455" s="1">
        <v>144</v>
      </c>
      <c r="C455" s="232" t="s">
        <v>3471</v>
      </c>
      <c r="D455" s="232" t="s">
        <v>2552</v>
      </c>
      <c r="E455" s="1" t="s">
        <v>3558</v>
      </c>
      <c r="F455" s="232" t="s">
        <v>2565</v>
      </c>
      <c r="G455" s="1" t="s">
        <v>3515</v>
      </c>
      <c r="H455" s="232"/>
      <c r="I455" s="233"/>
      <c r="J455" s="14">
        <v>1</v>
      </c>
      <c r="K455" s="138">
        <v>75</v>
      </c>
      <c r="L455" s="138">
        <v>75</v>
      </c>
    </row>
    <row r="456" spans="1:12" x14ac:dyDescent="0.25">
      <c r="A456" s="1">
        <v>455</v>
      </c>
      <c r="B456" s="1">
        <v>144</v>
      </c>
      <c r="C456" s="232" t="s">
        <v>3473</v>
      </c>
      <c r="D456" s="232" t="s">
        <v>2552</v>
      </c>
      <c r="E456" s="1" t="s">
        <v>3558</v>
      </c>
      <c r="F456" s="232" t="s">
        <v>2571</v>
      </c>
      <c r="G456" s="1" t="s">
        <v>3518</v>
      </c>
      <c r="H456" s="232"/>
      <c r="I456" s="233"/>
      <c r="J456" s="14">
        <v>300</v>
      </c>
      <c r="K456" s="138">
        <v>5</v>
      </c>
      <c r="L456" s="138">
        <v>1500</v>
      </c>
    </row>
    <row r="457" spans="1:12" x14ac:dyDescent="0.25">
      <c r="A457" s="1">
        <v>456</v>
      </c>
      <c r="B457" s="1">
        <v>144</v>
      </c>
      <c r="C457" s="232" t="s">
        <v>3497</v>
      </c>
      <c r="D457" s="232" t="s">
        <v>2552</v>
      </c>
      <c r="E457" s="1" t="s">
        <v>3558</v>
      </c>
      <c r="F457" s="232" t="s">
        <v>2753</v>
      </c>
      <c r="G457" s="1" t="s">
        <v>3520</v>
      </c>
      <c r="H457" s="232"/>
      <c r="I457" s="233"/>
      <c r="J457" s="14">
        <v>2</v>
      </c>
      <c r="K457" s="138">
        <v>10</v>
      </c>
      <c r="L457" s="138">
        <v>20</v>
      </c>
    </row>
    <row r="458" spans="1:12" x14ac:dyDescent="0.25">
      <c r="A458" s="1">
        <v>457</v>
      </c>
      <c r="B458" s="1">
        <v>144</v>
      </c>
      <c r="C458" s="232" t="s">
        <v>3474</v>
      </c>
      <c r="D458" s="232" t="s">
        <v>2552</v>
      </c>
      <c r="E458" s="1" t="s">
        <v>3558</v>
      </c>
      <c r="F458" s="232" t="s">
        <v>2574</v>
      </c>
      <c r="G458" s="1" t="s">
        <v>3521</v>
      </c>
      <c r="H458" s="232"/>
      <c r="I458" s="233"/>
      <c r="J458" s="14">
        <v>2</v>
      </c>
      <c r="K458" s="138">
        <v>77</v>
      </c>
      <c r="L458" s="138">
        <v>154</v>
      </c>
    </row>
    <row r="459" spans="1:12" x14ac:dyDescent="0.25">
      <c r="A459" s="1">
        <v>458</v>
      </c>
      <c r="B459" s="1">
        <v>144</v>
      </c>
      <c r="C459" s="232" t="s">
        <v>3475</v>
      </c>
      <c r="D459" s="232" t="s">
        <v>2552</v>
      </c>
      <c r="E459" s="1" t="s">
        <v>3558</v>
      </c>
      <c r="F459" s="232" t="s">
        <v>2577</v>
      </c>
      <c r="G459" s="1" t="s">
        <v>3523</v>
      </c>
      <c r="H459" s="232"/>
      <c r="I459" s="233"/>
      <c r="J459" s="14">
        <v>2</v>
      </c>
      <c r="K459" s="138">
        <v>42</v>
      </c>
      <c r="L459" s="138">
        <v>84</v>
      </c>
    </row>
    <row r="460" spans="1:12" x14ac:dyDescent="0.25">
      <c r="A460" s="1">
        <v>459</v>
      </c>
      <c r="B460" s="1">
        <v>144</v>
      </c>
      <c r="C460" s="232" t="s">
        <v>3476</v>
      </c>
      <c r="D460" s="232" t="s">
        <v>2552</v>
      </c>
      <c r="E460" s="1" t="s">
        <v>3558</v>
      </c>
      <c r="F460" s="232" t="s">
        <v>2580</v>
      </c>
      <c r="G460" s="1" t="s">
        <v>3524</v>
      </c>
      <c r="H460" s="232"/>
      <c r="I460" s="233"/>
      <c r="J460" s="14">
        <v>2</v>
      </c>
      <c r="K460" s="138">
        <v>6</v>
      </c>
      <c r="L460" s="138">
        <v>12</v>
      </c>
    </row>
    <row r="461" spans="1:12" x14ac:dyDescent="0.25">
      <c r="A461" s="1">
        <v>460</v>
      </c>
      <c r="B461" s="1">
        <v>145</v>
      </c>
      <c r="C461" s="232" t="s">
        <v>3477</v>
      </c>
      <c r="D461" s="232" t="s">
        <v>2553</v>
      </c>
      <c r="E461" s="1" t="s">
        <v>3559</v>
      </c>
      <c r="F461" s="232" t="s">
        <v>2583</v>
      </c>
      <c r="G461" s="1" t="s">
        <v>3527</v>
      </c>
      <c r="H461" s="232"/>
      <c r="I461" s="233"/>
      <c r="J461" s="14">
        <v>2</v>
      </c>
      <c r="K461" s="138">
        <v>20</v>
      </c>
      <c r="L461" s="138">
        <v>40</v>
      </c>
    </row>
    <row r="462" spans="1:12" x14ac:dyDescent="0.25">
      <c r="A462" s="1">
        <v>461</v>
      </c>
      <c r="B462" s="1">
        <v>145</v>
      </c>
      <c r="C462" s="232" t="s">
        <v>3478</v>
      </c>
      <c r="D462" s="232" t="s">
        <v>2553</v>
      </c>
      <c r="E462" s="1" t="s">
        <v>3559</v>
      </c>
      <c r="F462" s="232" t="s">
        <v>2586</v>
      </c>
      <c r="G462" s="1" t="s">
        <v>3528</v>
      </c>
      <c r="H462" s="232"/>
      <c r="I462" s="233"/>
      <c r="J462" s="14">
        <v>10</v>
      </c>
      <c r="K462" s="138">
        <v>18</v>
      </c>
      <c r="L462" s="138">
        <v>180</v>
      </c>
    </row>
    <row r="463" spans="1:12" x14ac:dyDescent="0.25">
      <c r="A463" s="1">
        <v>462</v>
      </c>
      <c r="B463" s="1">
        <v>145</v>
      </c>
      <c r="C463" s="232" t="s">
        <v>3490</v>
      </c>
      <c r="D463" s="232" t="s">
        <v>2553</v>
      </c>
      <c r="E463" s="1" t="s">
        <v>3559</v>
      </c>
      <c r="F463" s="232" t="s">
        <v>2630</v>
      </c>
      <c r="G463" s="1" t="s">
        <v>3529</v>
      </c>
      <c r="H463" s="232"/>
      <c r="I463" s="233"/>
      <c r="J463" s="14">
        <v>50</v>
      </c>
      <c r="K463" s="138">
        <v>18</v>
      </c>
      <c r="L463" s="138">
        <v>900</v>
      </c>
    </row>
    <row r="464" spans="1:12" x14ac:dyDescent="0.25">
      <c r="A464" s="1">
        <v>463</v>
      </c>
      <c r="B464" s="1">
        <v>145</v>
      </c>
      <c r="C464" s="232" t="s">
        <v>3479</v>
      </c>
      <c r="D464" s="232" t="s">
        <v>2553</v>
      </c>
      <c r="E464" s="1" t="s">
        <v>3559</v>
      </c>
      <c r="F464" s="232" t="s">
        <v>2589</v>
      </c>
      <c r="G464" s="1" t="s">
        <v>3530</v>
      </c>
      <c r="H464" s="232"/>
      <c r="I464" s="233"/>
      <c r="J464" s="14">
        <v>1</v>
      </c>
      <c r="K464" s="138">
        <v>70</v>
      </c>
      <c r="L464" s="138">
        <v>70</v>
      </c>
    </row>
    <row r="465" spans="1:12" x14ac:dyDescent="0.25">
      <c r="A465" s="1">
        <v>464</v>
      </c>
      <c r="B465" s="1">
        <v>145</v>
      </c>
      <c r="C465" s="232" t="s">
        <v>3491</v>
      </c>
      <c r="D465" s="232" t="s">
        <v>2553</v>
      </c>
      <c r="E465" s="1" t="s">
        <v>3559</v>
      </c>
      <c r="F465" s="232" t="s">
        <v>2635</v>
      </c>
      <c r="G465" s="1" t="s">
        <v>3531</v>
      </c>
      <c r="H465" s="232"/>
      <c r="I465" s="233"/>
      <c r="J465" s="14">
        <v>1</v>
      </c>
      <c r="K465" s="138">
        <v>40</v>
      </c>
      <c r="L465" s="138">
        <v>40</v>
      </c>
    </row>
    <row r="466" spans="1:12" x14ac:dyDescent="0.25">
      <c r="A466" s="1">
        <v>465</v>
      </c>
      <c r="B466" s="1">
        <v>145</v>
      </c>
      <c r="C466" s="232" t="s">
        <v>3480</v>
      </c>
      <c r="D466" s="232" t="s">
        <v>2553</v>
      </c>
      <c r="E466" s="1" t="s">
        <v>3559</v>
      </c>
      <c r="F466" s="232" t="s">
        <v>2592</v>
      </c>
      <c r="G466" s="1" t="s">
        <v>3533</v>
      </c>
      <c r="H466" s="232"/>
      <c r="I466" s="233"/>
      <c r="J466" s="14">
        <v>2</v>
      </c>
      <c r="K466" s="138">
        <v>7</v>
      </c>
      <c r="L466" s="138">
        <v>14</v>
      </c>
    </row>
    <row r="467" spans="1:12" x14ac:dyDescent="0.25">
      <c r="A467" s="1">
        <v>466</v>
      </c>
      <c r="B467" s="1">
        <v>145</v>
      </c>
      <c r="C467" s="232" t="s">
        <v>3493</v>
      </c>
      <c r="D467" s="232" t="s">
        <v>2553</v>
      </c>
      <c r="E467" s="1" t="s">
        <v>3559</v>
      </c>
      <c r="F467" s="232" t="s">
        <v>2689</v>
      </c>
      <c r="G467" s="1" t="s">
        <v>3534</v>
      </c>
      <c r="H467" s="232"/>
      <c r="I467" s="233"/>
      <c r="J467" s="14">
        <v>1</v>
      </c>
      <c r="K467" s="138">
        <v>50</v>
      </c>
      <c r="L467" s="138">
        <v>50</v>
      </c>
    </row>
    <row r="468" spans="1:12" x14ac:dyDescent="0.25">
      <c r="A468" s="1">
        <v>467</v>
      </c>
      <c r="B468" s="1">
        <v>146</v>
      </c>
      <c r="C468" s="232" t="s">
        <v>3481</v>
      </c>
      <c r="D468" s="232" t="s">
        <v>2554</v>
      </c>
      <c r="E468" s="1" t="s">
        <v>3560</v>
      </c>
      <c r="F468" s="232" t="s">
        <v>2595</v>
      </c>
      <c r="G468" s="1" t="s">
        <v>3537</v>
      </c>
      <c r="H468" s="232"/>
      <c r="I468" s="233"/>
      <c r="J468" s="14">
        <v>1</v>
      </c>
      <c r="K468" s="138">
        <v>0.5</v>
      </c>
      <c r="L468" s="138">
        <v>0.5</v>
      </c>
    </row>
    <row r="469" spans="1:12" x14ac:dyDescent="0.25">
      <c r="A469" s="1">
        <v>468</v>
      </c>
      <c r="B469" s="1">
        <v>146</v>
      </c>
      <c r="C469" s="232" t="s">
        <v>3482</v>
      </c>
      <c r="D469" s="232" t="s">
        <v>2554</v>
      </c>
      <c r="E469" s="1" t="s">
        <v>3560</v>
      </c>
      <c r="F469" s="232" t="s">
        <v>2598</v>
      </c>
      <c r="G469" s="1" t="s">
        <v>3538</v>
      </c>
      <c r="H469" s="232"/>
      <c r="I469" s="233"/>
      <c r="J469" s="14">
        <v>5</v>
      </c>
      <c r="K469" s="138">
        <v>3</v>
      </c>
      <c r="L469" s="138">
        <v>15</v>
      </c>
    </row>
    <row r="470" spans="1:12" x14ac:dyDescent="0.25">
      <c r="A470" s="1">
        <v>469</v>
      </c>
      <c r="B470" s="1">
        <v>146</v>
      </c>
      <c r="C470" s="232" t="s">
        <v>3483</v>
      </c>
      <c r="D470" s="232" t="s">
        <v>2554</v>
      </c>
      <c r="E470" s="1" t="s">
        <v>3560</v>
      </c>
      <c r="F470" s="232" t="s">
        <v>2601</v>
      </c>
      <c r="G470" s="1" t="s">
        <v>3539</v>
      </c>
      <c r="H470" s="232"/>
      <c r="I470" s="233"/>
      <c r="J470" s="14">
        <v>5</v>
      </c>
      <c r="K470" s="138">
        <v>3</v>
      </c>
      <c r="L470" s="138">
        <v>15</v>
      </c>
    </row>
    <row r="471" spans="1:12" x14ac:dyDescent="0.25">
      <c r="A471" s="1">
        <v>470</v>
      </c>
      <c r="B471" s="1">
        <v>147</v>
      </c>
      <c r="C471" s="232" t="s">
        <v>3501</v>
      </c>
      <c r="D471" s="232" t="s">
        <v>2555</v>
      </c>
      <c r="E471" s="1" t="s">
        <v>3561</v>
      </c>
      <c r="F471" s="232" t="s">
        <v>2785</v>
      </c>
      <c r="G471" s="1" t="s">
        <v>3546</v>
      </c>
      <c r="H471" s="232"/>
      <c r="I471" s="233"/>
      <c r="J471" s="14">
        <v>1</v>
      </c>
      <c r="K471" s="138">
        <v>10</v>
      </c>
      <c r="L471" s="138">
        <v>10</v>
      </c>
    </row>
    <row r="472" spans="1:12" x14ac:dyDescent="0.25">
      <c r="A472" s="1">
        <v>471</v>
      </c>
      <c r="B472" s="1">
        <v>147</v>
      </c>
      <c r="C472" s="232" t="s">
        <v>3488</v>
      </c>
      <c r="D472" s="232" t="s">
        <v>2555</v>
      </c>
      <c r="E472" s="1" t="s">
        <v>3561</v>
      </c>
      <c r="F472" s="232" t="s">
        <v>2616</v>
      </c>
      <c r="G472" s="1" t="s">
        <v>3549</v>
      </c>
      <c r="H472" s="232"/>
      <c r="I472" s="233"/>
      <c r="J472" s="14">
        <v>3</v>
      </c>
      <c r="K472" s="138">
        <v>3</v>
      </c>
      <c r="L472" s="138">
        <v>9</v>
      </c>
    </row>
    <row r="473" spans="1:12" x14ac:dyDescent="0.25">
      <c r="A473" s="1">
        <v>472</v>
      </c>
      <c r="B473" s="1">
        <v>148</v>
      </c>
      <c r="C473" s="232" t="s">
        <v>3509</v>
      </c>
      <c r="D473" s="232" t="s">
        <v>2556</v>
      </c>
      <c r="E473" s="1" t="s">
        <v>3562</v>
      </c>
      <c r="F473" s="232" t="s">
        <v>3009</v>
      </c>
      <c r="G473" s="1" t="s">
        <v>3552</v>
      </c>
      <c r="H473" s="232"/>
      <c r="I473" s="233"/>
      <c r="J473" s="14">
        <v>1</v>
      </c>
      <c r="K473" s="138">
        <v>3</v>
      </c>
      <c r="L473" s="138">
        <v>3</v>
      </c>
    </row>
    <row r="474" spans="1:12" x14ac:dyDescent="0.25">
      <c r="A474" s="1">
        <v>473</v>
      </c>
      <c r="B474" s="1">
        <v>148</v>
      </c>
      <c r="C474" s="232" t="s">
        <v>3508</v>
      </c>
      <c r="D474" s="232" t="s">
        <v>2556</v>
      </c>
      <c r="E474" s="1" t="s">
        <v>3562</v>
      </c>
      <c r="F474" s="232" t="s">
        <v>2900</v>
      </c>
      <c r="G474" s="1" t="s">
        <v>3553</v>
      </c>
      <c r="H474" s="232"/>
      <c r="I474" s="233"/>
      <c r="J474" s="14">
        <v>1</v>
      </c>
      <c r="K474" s="138">
        <v>4</v>
      </c>
      <c r="L474" s="138">
        <v>4</v>
      </c>
    </row>
    <row r="475" spans="1:12" x14ac:dyDescent="0.25">
      <c r="A475" s="1">
        <v>474</v>
      </c>
      <c r="B475" s="1">
        <v>148</v>
      </c>
      <c r="C475" s="232" t="s">
        <v>3489</v>
      </c>
      <c r="D475" s="232" t="s">
        <v>2556</v>
      </c>
      <c r="E475" s="1" t="s">
        <v>3562</v>
      </c>
      <c r="F475" s="232" t="s">
        <v>2619</v>
      </c>
      <c r="G475" s="1" t="s">
        <v>3550</v>
      </c>
      <c r="H475" s="232"/>
      <c r="I475" s="233"/>
      <c r="J475" s="14">
        <v>1</v>
      </c>
      <c r="K475" s="138">
        <v>95</v>
      </c>
      <c r="L475" s="138">
        <v>95</v>
      </c>
    </row>
    <row r="476" spans="1:12" x14ac:dyDescent="0.25">
      <c r="A476" s="1">
        <v>475</v>
      </c>
      <c r="B476" s="1">
        <v>149</v>
      </c>
      <c r="C476" s="232" t="s">
        <v>3473</v>
      </c>
      <c r="D476" s="232" t="s">
        <v>2552</v>
      </c>
      <c r="E476" s="1" t="s">
        <v>3558</v>
      </c>
      <c r="F476" s="232" t="s">
        <v>2571</v>
      </c>
      <c r="G476" s="1" t="s">
        <v>3518</v>
      </c>
      <c r="H476" s="232"/>
      <c r="I476" s="233"/>
      <c r="J476" s="14">
        <v>40</v>
      </c>
      <c r="K476" s="138">
        <v>5</v>
      </c>
      <c r="L476" s="138">
        <v>200</v>
      </c>
    </row>
    <row r="477" spans="1:12" x14ac:dyDescent="0.25">
      <c r="A477" s="1">
        <v>476</v>
      </c>
      <c r="B477" s="1">
        <v>149</v>
      </c>
      <c r="C477" s="232" t="s">
        <v>3497</v>
      </c>
      <c r="D477" s="232" t="s">
        <v>2552</v>
      </c>
      <c r="E477" s="1" t="s">
        <v>3558</v>
      </c>
      <c r="F477" s="232" t="s">
        <v>2753</v>
      </c>
      <c r="G477" s="1" t="s">
        <v>3520</v>
      </c>
      <c r="H477" s="232"/>
      <c r="I477" s="233"/>
      <c r="J477" s="14">
        <v>5</v>
      </c>
      <c r="K477" s="138">
        <v>10</v>
      </c>
      <c r="L477" s="138">
        <v>50</v>
      </c>
    </row>
    <row r="478" spans="1:12" x14ac:dyDescent="0.25">
      <c r="A478" s="1">
        <v>477</v>
      </c>
      <c r="B478" s="1">
        <v>149</v>
      </c>
      <c r="C478" s="232" t="s">
        <v>3474</v>
      </c>
      <c r="D478" s="232" t="s">
        <v>2552</v>
      </c>
      <c r="E478" s="1" t="s">
        <v>3558</v>
      </c>
      <c r="F478" s="232" t="s">
        <v>2574</v>
      </c>
      <c r="G478" s="1" t="s">
        <v>3521</v>
      </c>
      <c r="H478" s="232"/>
      <c r="I478" s="233"/>
      <c r="J478" s="14">
        <v>7</v>
      </c>
      <c r="K478" s="138">
        <v>77</v>
      </c>
      <c r="L478" s="138">
        <v>539</v>
      </c>
    </row>
    <row r="479" spans="1:12" x14ac:dyDescent="0.25">
      <c r="A479" s="1">
        <v>478</v>
      </c>
      <c r="B479" s="1">
        <v>149</v>
      </c>
      <c r="C479" s="232" t="s">
        <v>3475</v>
      </c>
      <c r="D479" s="232" t="s">
        <v>2552</v>
      </c>
      <c r="E479" s="1" t="s">
        <v>3558</v>
      </c>
      <c r="F479" s="232" t="s">
        <v>2577</v>
      </c>
      <c r="G479" s="1" t="s">
        <v>3523</v>
      </c>
      <c r="H479" s="232"/>
      <c r="I479" s="233"/>
      <c r="J479" s="14">
        <v>7</v>
      </c>
      <c r="K479" s="138">
        <v>42</v>
      </c>
      <c r="L479" s="138">
        <v>294</v>
      </c>
    </row>
    <row r="480" spans="1:12" x14ac:dyDescent="0.25">
      <c r="A480" s="1">
        <v>479</v>
      </c>
      <c r="B480" s="1">
        <v>149</v>
      </c>
      <c r="C480" s="232" t="s">
        <v>3476</v>
      </c>
      <c r="D480" s="232" t="s">
        <v>2552</v>
      </c>
      <c r="E480" s="1" t="s">
        <v>3558</v>
      </c>
      <c r="F480" s="232" t="s">
        <v>2580</v>
      </c>
      <c r="G480" s="1" t="s">
        <v>3524</v>
      </c>
      <c r="H480" s="232"/>
      <c r="I480" s="233"/>
      <c r="J480" s="14">
        <v>3</v>
      </c>
      <c r="K480" s="138">
        <v>6</v>
      </c>
      <c r="L480" s="138">
        <v>18</v>
      </c>
    </row>
    <row r="481" spans="1:12" x14ac:dyDescent="0.25">
      <c r="A481" s="1">
        <v>480</v>
      </c>
      <c r="B481" s="1">
        <v>150</v>
      </c>
      <c r="C481" s="232" t="s">
        <v>3477</v>
      </c>
      <c r="D481" s="232" t="s">
        <v>2553</v>
      </c>
      <c r="E481" s="1" t="s">
        <v>3559</v>
      </c>
      <c r="F481" s="232" t="s">
        <v>2583</v>
      </c>
      <c r="G481" s="1" t="s">
        <v>3527</v>
      </c>
      <c r="H481" s="232"/>
      <c r="I481" s="233"/>
      <c r="J481" s="14">
        <v>2</v>
      </c>
      <c r="K481" s="138">
        <v>20</v>
      </c>
      <c r="L481" s="138">
        <v>40</v>
      </c>
    </row>
    <row r="482" spans="1:12" x14ac:dyDescent="0.25">
      <c r="A482" s="1">
        <v>481</v>
      </c>
      <c r="B482" s="1">
        <v>150</v>
      </c>
      <c r="C482" s="232" t="s">
        <v>3479</v>
      </c>
      <c r="D482" s="232" t="s">
        <v>2553</v>
      </c>
      <c r="E482" s="1" t="s">
        <v>3559</v>
      </c>
      <c r="F482" s="232" t="s">
        <v>2589</v>
      </c>
      <c r="G482" s="1" t="s">
        <v>3530</v>
      </c>
      <c r="H482" s="232"/>
      <c r="I482" s="233"/>
      <c r="J482" s="14">
        <v>1</v>
      </c>
      <c r="K482" s="138">
        <v>70</v>
      </c>
      <c r="L482" s="138">
        <v>70</v>
      </c>
    </row>
    <row r="483" spans="1:12" x14ac:dyDescent="0.25">
      <c r="A483" s="1">
        <v>482</v>
      </c>
      <c r="B483" s="1">
        <v>150</v>
      </c>
      <c r="C483" s="232" t="s">
        <v>3480</v>
      </c>
      <c r="D483" s="232" t="s">
        <v>2553</v>
      </c>
      <c r="E483" s="1" t="s">
        <v>3559</v>
      </c>
      <c r="F483" s="232" t="s">
        <v>2592</v>
      </c>
      <c r="G483" s="1" t="s">
        <v>3533</v>
      </c>
      <c r="H483" s="232"/>
      <c r="I483" s="233"/>
      <c r="J483" s="14">
        <v>3</v>
      </c>
      <c r="K483" s="138">
        <v>7</v>
      </c>
      <c r="L483" s="138">
        <v>21</v>
      </c>
    </row>
    <row r="484" spans="1:12" x14ac:dyDescent="0.25">
      <c r="A484" s="1">
        <v>483</v>
      </c>
      <c r="B484" s="1">
        <v>151</v>
      </c>
      <c r="C484" s="232" t="s">
        <v>3481</v>
      </c>
      <c r="D484" s="232" t="s">
        <v>2554</v>
      </c>
      <c r="E484" s="1" t="s">
        <v>3560</v>
      </c>
      <c r="F484" s="232" t="s">
        <v>2595</v>
      </c>
      <c r="G484" s="1" t="s">
        <v>3537</v>
      </c>
      <c r="H484" s="232"/>
      <c r="I484" s="233"/>
      <c r="J484" s="14">
        <v>1</v>
      </c>
      <c r="K484" s="138">
        <v>0.5</v>
      </c>
      <c r="L484" s="138">
        <v>0.5</v>
      </c>
    </row>
    <row r="485" spans="1:12" x14ac:dyDescent="0.25">
      <c r="A485" s="1">
        <v>484</v>
      </c>
      <c r="B485" s="1">
        <v>151</v>
      </c>
      <c r="C485" s="232" t="s">
        <v>3482</v>
      </c>
      <c r="D485" s="232" t="s">
        <v>2554</v>
      </c>
      <c r="E485" s="1" t="s">
        <v>3560</v>
      </c>
      <c r="F485" s="232" t="s">
        <v>2598</v>
      </c>
      <c r="G485" s="1" t="s">
        <v>3538</v>
      </c>
      <c r="H485" s="232"/>
      <c r="I485" s="233"/>
      <c r="J485" s="14">
        <v>8</v>
      </c>
      <c r="K485" s="138">
        <v>3</v>
      </c>
      <c r="L485" s="138">
        <v>24</v>
      </c>
    </row>
    <row r="486" spans="1:12" x14ac:dyDescent="0.25">
      <c r="A486" s="1">
        <v>485</v>
      </c>
      <c r="B486" s="1">
        <v>151</v>
      </c>
      <c r="C486" s="232" t="s">
        <v>3483</v>
      </c>
      <c r="D486" s="232" t="s">
        <v>2554</v>
      </c>
      <c r="E486" s="1" t="s">
        <v>3560</v>
      </c>
      <c r="F486" s="232" t="s">
        <v>2601</v>
      </c>
      <c r="G486" s="1" t="s">
        <v>3539</v>
      </c>
      <c r="H486" s="232"/>
      <c r="I486" s="233"/>
      <c r="J486" s="14">
        <v>8</v>
      </c>
      <c r="K486" s="138">
        <v>3</v>
      </c>
      <c r="L486" s="138">
        <v>24</v>
      </c>
    </row>
    <row r="487" spans="1:12" x14ac:dyDescent="0.25">
      <c r="A487" s="1">
        <v>486</v>
      </c>
      <c r="B487" s="1">
        <v>152</v>
      </c>
      <c r="C487" s="232" t="s">
        <v>3507</v>
      </c>
      <c r="D487" s="232" t="s">
        <v>2555</v>
      </c>
      <c r="E487" s="1" t="s">
        <v>3561</v>
      </c>
      <c r="F487" s="232" t="s">
        <v>2863</v>
      </c>
      <c r="G487" s="1" t="s">
        <v>3548</v>
      </c>
      <c r="H487" s="232"/>
      <c r="I487" s="233"/>
      <c r="J487" s="14">
        <v>3</v>
      </c>
      <c r="K487" s="138">
        <v>10</v>
      </c>
      <c r="L487" s="138">
        <v>30</v>
      </c>
    </row>
    <row r="488" spans="1:12" x14ac:dyDescent="0.25">
      <c r="A488" s="1">
        <v>487</v>
      </c>
      <c r="B488" s="1">
        <v>152</v>
      </c>
      <c r="C488" s="232" t="s">
        <v>3488</v>
      </c>
      <c r="D488" s="232" t="s">
        <v>2555</v>
      </c>
      <c r="E488" s="1" t="s">
        <v>3561</v>
      </c>
      <c r="F488" s="232" t="s">
        <v>2616</v>
      </c>
      <c r="G488" s="1" t="s">
        <v>3549</v>
      </c>
      <c r="H488" s="232"/>
      <c r="I488" s="233"/>
      <c r="J488" s="14">
        <v>3</v>
      </c>
      <c r="K488" s="138">
        <v>3</v>
      </c>
      <c r="L488" s="138">
        <v>9</v>
      </c>
    </row>
    <row r="489" spans="1:12" x14ac:dyDescent="0.25">
      <c r="A489" s="1">
        <v>488</v>
      </c>
      <c r="B489" s="1">
        <v>153</v>
      </c>
      <c r="C489" s="232" t="s">
        <v>3502</v>
      </c>
      <c r="D489" s="232" t="s">
        <v>2556</v>
      </c>
      <c r="E489" s="1" t="s">
        <v>3562</v>
      </c>
      <c r="F489" s="232" t="s">
        <v>2788</v>
      </c>
      <c r="G489" s="1" t="s">
        <v>3551</v>
      </c>
      <c r="H489" s="232"/>
      <c r="I489" s="233"/>
      <c r="J489" s="14">
        <v>1</v>
      </c>
      <c r="K489" s="138">
        <v>150</v>
      </c>
      <c r="L489" s="138">
        <v>150</v>
      </c>
    </row>
    <row r="490" spans="1:12" x14ac:dyDescent="0.25">
      <c r="A490" s="1">
        <v>489</v>
      </c>
      <c r="B490" s="1">
        <v>153</v>
      </c>
      <c r="C490" s="232" t="s">
        <v>3509</v>
      </c>
      <c r="D490" s="232" t="s">
        <v>2556</v>
      </c>
      <c r="E490" s="1" t="s">
        <v>3562</v>
      </c>
      <c r="F490" s="232" t="s">
        <v>3009</v>
      </c>
      <c r="G490" s="1" t="s">
        <v>3552</v>
      </c>
      <c r="H490" s="232"/>
      <c r="I490" s="233"/>
      <c r="J490" s="14">
        <v>1</v>
      </c>
      <c r="K490" s="138">
        <v>3</v>
      </c>
      <c r="L490" s="138">
        <v>3</v>
      </c>
    </row>
    <row r="491" spans="1:12" x14ac:dyDescent="0.25">
      <c r="A491" s="1">
        <v>490</v>
      </c>
      <c r="B491" s="1">
        <v>153</v>
      </c>
      <c r="C491" s="232" t="s">
        <v>3508</v>
      </c>
      <c r="D491" s="232" t="s">
        <v>2556</v>
      </c>
      <c r="E491" s="1" t="s">
        <v>3562</v>
      </c>
      <c r="F491" s="232" t="s">
        <v>2900</v>
      </c>
      <c r="G491" s="1" t="s">
        <v>3553</v>
      </c>
      <c r="H491" s="232"/>
      <c r="I491" s="233"/>
      <c r="J491" s="14">
        <v>1</v>
      </c>
      <c r="K491" s="138">
        <v>4</v>
      </c>
      <c r="L491" s="138">
        <v>4</v>
      </c>
    </row>
    <row r="492" spans="1:12" x14ac:dyDescent="0.25">
      <c r="A492" s="1">
        <v>491</v>
      </c>
      <c r="B492" s="1">
        <v>154</v>
      </c>
      <c r="C492" s="232" t="s">
        <v>3481</v>
      </c>
      <c r="D492" s="232" t="s">
        <v>2554</v>
      </c>
      <c r="E492" s="1" t="s">
        <v>3560</v>
      </c>
      <c r="F492" s="232" t="s">
        <v>2595</v>
      </c>
      <c r="G492" s="1" t="s">
        <v>3537</v>
      </c>
      <c r="H492" s="232"/>
      <c r="I492" s="233"/>
      <c r="J492" s="14">
        <v>1</v>
      </c>
      <c r="K492" s="138">
        <v>0.5</v>
      </c>
      <c r="L492" s="138">
        <v>0.5</v>
      </c>
    </row>
    <row r="493" spans="1:12" x14ac:dyDescent="0.25">
      <c r="A493" s="1">
        <v>492</v>
      </c>
      <c r="B493" s="1">
        <v>154</v>
      </c>
      <c r="C493" s="232" t="s">
        <v>3482</v>
      </c>
      <c r="D493" s="232" t="s">
        <v>2554</v>
      </c>
      <c r="E493" s="1" t="s">
        <v>3560</v>
      </c>
      <c r="F493" s="232" t="s">
        <v>2598</v>
      </c>
      <c r="G493" s="1" t="s">
        <v>3538</v>
      </c>
      <c r="H493" s="232"/>
      <c r="I493" s="233"/>
      <c r="J493" s="14">
        <v>11</v>
      </c>
      <c r="K493" s="138">
        <v>3</v>
      </c>
      <c r="L493" s="138">
        <v>33</v>
      </c>
    </row>
    <row r="494" spans="1:12" x14ac:dyDescent="0.25">
      <c r="A494" s="1">
        <v>493</v>
      </c>
      <c r="B494" s="1">
        <v>154</v>
      </c>
      <c r="C494" s="232" t="s">
        <v>3483</v>
      </c>
      <c r="D494" s="232" t="s">
        <v>2554</v>
      </c>
      <c r="E494" s="1" t="s">
        <v>3560</v>
      </c>
      <c r="F494" s="232" t="s">
        <v>2601</v>
      </c>
      <c r="G494" s="1" t="s">
        <v>3539</v>
      </c>
      <c r="H494" s="232"/>
      <c r="I494" s="233"/>
      <c r="J494" s="14">
        <v>11</v>
      </c>
      <c r="K494" s="138">
        <v>3</v>
      </c>
      <c r="L494" s="138">
        <v>33</v>
      </c>
    </row>
    <row r="495" spans="1:12" x14ac:dyDescent="0.25">
      <c r="A495" s="1">
        <v>494</v>
      </c>
      <c r="B495" s="1">
        <v>154</v>
      </c>
      <c r="C495" s="232" t="s">
        <v>3484</v>
      </c>
      <c r="D495" s="232" t="s">
        <v>2554</v>
      </c>
      <c r="E495" s="1" t="s">
        <v>3560</v>
      </c>
      <c r="F495" s="232" t="s">
        <v>2604</v>
      </c>
      <c r="G495" s="1" t="s">
        <v>3540</v>
      </c>
      <c r="H495" s="232"/>
      <c r="I495" s="233"/>
      <c r="J495" s="14">
        <v>1</v>
      </c>
      <c r="K495" s="138">
        <v>77</v>
      </c>
      <c r="L495" s="138">
        <v>77</v>
      </c>
    </row>
    <row r="496" spans="1:12" x14ac:dyDescent="0.25">
      <c r="A496" s="1">
        <v>495</v>
      </c>
      <c r="B496" s="1">
        <v>154</v>
      </c>
      <c r="C496" s="232" t="s">
        <v>3485</v>
      </c>
      <c r="D496" s="232" t="s">
        <v>2554</v>
      </c>
      <c r="E496" s="1" t="s">
        <v>3560</v>
      </c>
      <c r="F496" s="232" t="s">
        <v>2607</v>
      </c>
      <c r="G496" s="1" t="s">
        <v>3541</v>
      </c>
      <c r="H496" s="232"/>
      <c r="I496" s="233"/>
      <c r="J496" s="14">
        <v>1</v>
      </c>
      <c r="K496" s="138">
        <v>22</v>
      </c>
      <c r="L496" s="138">
        <v>22</v>
      </c>
    </row>
    <row r="497" spans="1:12" x14ac:dyDescent="0.25">
      <c r="A497" s="1">
        <v>496</v>
      </c>
      <c r="B497" s="1">
        <v>154</v>
      </c>
      <c r="C497" s="232" t="s">
        <v>3486</v>
      </c>
      <c r="D497" s="232" t="s">
        <v>2554</v>
      </c>
      <c r="E497" s="1" t="s">
        <v>3560</v>
      </c>
      <c r="F497" s="232" t="s">
        <v>2610</v>
      </c>
      <c r="G497" s="1" t="s">
        <v>3542</v>
      </c>
      <c r="H497" s="232"/>
      <c r="I497" s="233"/>
      <c r="J497" s="14">
        <v>1</v>
      </c>
      <c r="K497" s="138">
        <v>0.4</v>
      </c>
      <c r="L497" s="138">
        <v>0.4</v>
      </c>
    </row>
    <row r="498" spans="1:12" x14ac:dyDescent="0.25">
      <c r="A498" s="1">
        <v>497</v>
      </c>
      <c r="B498" s="1">
        <v>154</v>
      </c>
      <c r="C498" s="232" t="s">
        <v>3487</v>
      </c>
      <c r="D498" s="232" t="s">
        <v>2554</v>
      </c>
      <c r="E498" s="1" t="s">
        <v>3560</v>
      </c>
      <c r="F498" s="232" t="s">
        <v>2613</v>
      </c>
      <c r="G498" s="1" t="s">
        <v>3543</v>
      </c>
      <c r="H498" s="232"/>
      <c r="I498" s="233"/>
      <c r="J498" s="14">
        <v>4</v>
      </c>
      <c r="K498" s="138">
        <v>45</v>
      </c>
      <c r="L498" s="138">
        <v>180</v>
      </c>
    </row>
    <row r="499" spans="1:12" x14ac:dyDescent="0.25">
      <c r="A499" s="1">
        <v>498</v>
      </c>
      <c r="B499" s="1">
        <v>155</v>
      </c>
      <c r="C499" s="232" t="s">
        <v>3496</v>
      </c>
      <c r="D499" s="232" t="s">
        <v>2552</v>
      </c>
      <c r="E499" s="1" t="s">
        <v>3558</v>
      </c>
      <c r="F499" s="232" t="s">
        <v>2750</v>
      </c>
      <c r="G499" s="1" t="s">
        <v>3519</v>
      </c>
      <c r="H499" s="232"/>
      <c r="I499" s="233"/>
      <c r="J499" s="14">
        <v>5</v>
      </c>
      <c r="K499" s="138">
        <v>25</v>
      </c>
      <c r="L499" s="138">
        <v>125</v>
      </c>
    </row>
    <row r="500" spans="1:12" x14ac:dyDescent="0.25">
      <c r="A500" s="1">
        <v>499</v>
      </c>
      <c r="B500" s="1">
        <v>155</v>
      </c>
      <c r="C500" s="232" t="s">
        <v>3497</v>
      </c>
      <c r="D500" s="232" t="s">
        <v>2552</v>
      </c>
      <c r="E500" s="1" t="s">
        <v>3558</v>
      </c>
      <c r="F500" s="232" t="s">
        <v>2753</v>
      </c>
      <c r="G500" s="1" t="s">
        <v>3520</v>
      </c>
      <c r="H500" s="232"/>
      <c r="I500" s="233"/>
      <c r="J500" s="14">
        <v>4</v>
      </c>
      <c r="K500" s="138">
        <v>10</v>
      </c>
      <c r="L500" s="138">
        <v>40</v>
      </c>
    </row>
    <row r="501" spans="1:12" x14ac:dyDescent="0.25">
      <c r="A501" s="1">
        <v>500</v>
      </c>
      <c r="B501" s="1">
        <v>155</v>
      </c>
      <c r="C501" s="232" t="s">
        <v>3474</v>
      </c>
      <c r="D501" s="232" t="s">
        <v>2552</v>
      </c>
      <c r="E501" s="1" t="s">
        <v>3558</v>
      </c>
      <c r="F501" s="232" t="s">
        <v>2574</v>
      </c>
      <c r="G501" s="1" t="s">
        <v>3521</v>
      </c>
      <c r="H501" s="232"/>
      <c r="I501" s="233"/>
      <c r="J501" s="14">
        <v>3</v>
      </c>
      <c r="K501" s="138">
        <v>77</v>
      </c>
      <c r="L501" s="138">
        <v>231</v>
      </c>
    </row>
    <row r="502" spans="1:12" x14ac:dyDescent="0.25">
      <c r="A502" s="1">
        <v>501</v>
      </c>
      <c r="B502" s="1">
        <v>155</v>
      </c>
      <c r="C502" s="232" t="s">
        <v>3475</v>
      </c>
      <c r="D502" s="232" t="s">
        <v>2552</v>
      </c>
      <c r="E502" s="1" t="s">
        <v>3558</v>
      </c>
      <c r="F502" s="232" t="s">
        <v>2577</v>
      </c>
      <c r="G502" s="1" t="s">
        <v>3523</v>
      </c>
      <c r="H502" s="232"/>
      <c r="I502" s="233"/>
      <c r="J502" s="14">
        <v>3</v>
      </c>
      <c r="K502" s="138">
        <v>42</v>
      </c>
      <c r="L502" s="138">
        <v>126</v>
      </c>
    </row>
    <row r="503" spans="1:12" x14ac:dyDescent="0.25">
      <c r="A503" s="1">
        <v>502</v>
      </c>
      <c r="B503" s="1">
        <v>155</v>
      </c>
      <c r="C503" s="232" t="s">
        <v>3476</v>
      </c>
      <c r="D503" s="232" t="s">
        <v>2552</v>
      </c>
      <c r="E503" s="1" t="s">
        <v>3558</v>
      </c>
      <c r="F503" s="232" t="s">
        <v>2580</v>
      </c>
      <c r="G503" s="1" t="s">
        <v>3524</v>
      </c>
      <c r="H503" s="232"/>
      <c r="I503" s="233"/>
      <c r="J503" s="14">
        <v>2</v>
      </c>
      <c r="K503" s="138">
        <v>6</v>
      </c>
      <c r="L503" s="138">
        <v>12</v>
      </c>
    </row>
    <row r="504" spans="1:12" x14ac:dyDescent="0.25">
      <c r="A504" s="1">
        <v>503</v>
      </c>
      <c r="B504" s="1">
        <v>156</v>
      </c>
      <c r="C504" s="232" t="s">
        <v>3504</v>
      </c>
      <c r="D504" s="232" t="s">
        <v>2557</v>
      </c>
      <c r="E504" s="1" t="s">
        <v>3563</v>
      </c>
      <c r="F504" s="232" t="s">
        <v>2794</v>
      </c>
      <c r="G504" s="1" t="s">
        <v>3555</v>
      </c>
      <c r="H504" s="232" t="s">
        <v>3106</v>
      </c>
      <c r="I504" s="233" t="s">
        <v>3107</v>
      </c>
      <c r="J504" s="14">
        <v>1</v>
      </c>
      <c r="K504" s="138">
        <v>1</v>
      </c>
      <c r="L504" s="138">
        <v>1</v>
      </c>
    </row>
    <row r="505" spans="1:12" x14ac:dyDescent="0.25">
      <c r="A505" s="1">
        <v>504</v>
      </c>
      <c r="B505" s="1">
        <v>157</v>
      </c>
      <c r="C505" s="232" t="s">
        <v>3470</v>
      </c>
      <c r="D505" s="232" t="s">
        <v>2552</v>
      </c>
      <c r="E505" s="1" t="s">
        <v>3558</v>
      </c>
      <c r="F505" s="232" t="s">
        <v>2562</v>
      </c>
      <c r="G505" s="1" t="s">
        <v>3514</v>
      </c>
      <c r="H505" s="232"/>
      <c r="I505" s="233"/>
      <c r="J505" s="14">
        <v>1</v>
      </c>
      <c r="K505" s="138">
        <v>6</v>
      </c>
      <c r="L505" s="138">
        <v>6</v>
      </c>
    </row>
    <row r="506" spans="1:12" x14ac:dyDescent="0.25">
      <c r="A506" s="1">
        <v>505</v>
      </c>
      <c r="B506" s="1">
        <v>157</v>
      </c>
      <c r="C506" s="232" t="s">
        <v>3473</v>
      </c>
      <c r="D506" s="232" t="s">
        <v>2552</v>
      </c>
      <c r="E506" s="1" t="s">
        <v>3558</v>
      </c>
      <c r="F506" s="232" t="s">
        <v>2571</v>
      </c>
      <c r="G506" s="1" t="s">
        <v>3518</v>
      </c>
      <c r="H506" s="232"/>
      <c r="I506" s="233"/>
      <c r="J506" s="14">
        <v>10</v>
      </c>
      <c r="K506" s="138">
        <v>5</v>
      </c>
      <c r="L506" s="138">
        <v>50</v>
      </c>
    </row>
    <row r="507" spans="1:12" x14ac:dyDescent="0.25">
      <c r="A507" s="1">
        <v>506</v>
      </c>
      <c r="B507" s="1">
        <v>157</v>
      </c>
      <c r="C507" s="232" t="s">
        <v>3497</v>
      </c>
      <c r="D507" s="232" t="s">
        <v>2552</v>
      </c>
      <c r="E507" s="1" t="s">
        <v>3558</v>
      </c>
      <c r="F507" s="232" t="s">
        <v>2753</v>
      </c>
      <c r="G507" s="1" t="s">
        <v>3520</v>
      </c>
      <c r="H507" s="232"/>
      <c r="I507" s="233"/>
      <c r="J507" s="14">
        <v>7</v>
      </c>
      <c r="K507" s="138">
        <v>10</v>
      </c>
      <c r="L507" s="138">
        <v>70</v>
      </c>
    </row>
    <row r="508" spans="1:12" x14ac:dyDescent="0.25">
      <c r="A508" s="1">
        <v>507</v>
      </c>
      <c r="B508" s="1">
        <v>157</v>
      </c>
      <c r="C508" s="232" t="s">
        <v>3474</v>
      </c>
      <c r="D508" s="232" t="s">
        <v>2552</v>
      </c>
      <c r="E508" s="1" t="s">
        <v>3558</v>
      </c>
      <c r="F508" s="232" t="s">
        <v>2574</v>
      </c>
      <c r="G508" s="1" t="s">
        <v>3521</v>
      </c>
      <c r="H508" s="232"/>
      <c r="I508" s="233"/>
      <c r="J508" s="14">
        <v>8</v>
      </c>
      <c r="K508" s="138">
        <v>77</v>
      </c>
      <c r="L508" s="138">
        <v>616</v>
      </c>
    </row>
    <row r="509" spans="1:12" x14ac:dyDescent="0.25">
      <c r="A509" s="1">
        <v>508</v>
      </c>
      <c r="B509" s="1">
        <v>157</v>
      </c>
      <c r="C509" s="232" t="s">
        <v>3475</v>
      </c>
      <c r="D509" s="232" t="s">
        <v>2552</v>
      </c>
      <c r="E509" s="1" t="s">
        <v>3558</v>
      </c>
      <c r="F509" s="232" t="s">
        <v>2577</v>
      </c>
      <c r="G509" s="1" t="s">
        <v>3523</v>
      </c>
      <c r="H509" s="232"/>
      <c r="I509" s="233"/>
      <c r="J509" s="14">
        <v>8</v>
      </c>
      <c r="K509" s="138">
        <v>42</v>
      </c>
      <c r="L509" s="138">
        <v>336</v>
      </c>
    </row>
    <row r="510" spans="1:12" x14ac:dyDescent="0.25">
      <c r="A510" s="1">
        <v>509</v>
      </c>
      <c r="B510" s="1">
        <v>157</v>
      </c>
      <c r="C510" s="232" t="s">
        <v>3476</v>
      </c>
      <c r="D510" s="232" t="s">
        <v>2552</v>
      </c>
      <c r="E510" s="1" t="s">
        <v>3558</v>
      </c>
      <c r="F510" s="232" t="s">
        <v>2580</v>
      </c>
      <c r="G510" s="1" t="s">
        <v>3524</v>
      </c>
      <c r="H510" s="232"/>
      <c r="I510" s="233"/>
      <c r="J510" s="14">
        <v>4</v>
      </c>
      <c r="K510" s="138">
        <v>6</v>
      </c>
      <c r="L510" s="138">
        <v>24</v>
      </c>
    </row>
    <row r="511" spans="1:12" x14ac:dyDescent="0.25">
      <c r="A511" s="1">
        <v>510</v>
      </c>
      <c r="B511" s="1">
        <v>158</v>
      </c>
      <c r="C511" s="232" t="s">
        <v>3477</v>
      </c>
      <c r="D511" s="232" t="s">
        <v>2553</v>
      </c>
      <c r="E511" s="1" t="s">
        <v>3559</v>
      </c>
      <c r="F511" s="232" t="s">
        <v>2583</v>
      </c>
      <c r="G511" s="1" t="s">
        <v>3527</v>
      </c>
      <c r="H511" s="232"/>
      <c r="I511" s="233"/>
      <c r="J511" s="14">
        <v>2</v>
      </c>
      <c r="K511" s="138">
        <v>20</v>
      </c>
      <c r="L511" s="138">
        <v>40</v>
      </c>
    </row>
    <row r="512" spans="1:12" x14ac:dyDescent="0.25">
      <c r="A512" s="1">
        <v>511</v>
      </c>
      <c r="B512" s="1">
        <v>158</v>
      </c>
      <c r="C512" s="232" t="s">
        <v>3490</v>
      </c>
      <c r="D512" s="232" t="s">
        <v>2553</v>
      </c>
      <c r="E512" s="1" t="s">
        <v>3559</v>
      </c>
      <c r="F512" s="232" t="s">
        <v>2630</v>
      </c>
      <c r="G512" s="1" t="s">
        <v>3529</v>
      </c>
      <c r="H512" s="232"/>
      <c r="I512" s="233"/>
      <c r="J512" s="14">
        <v>3</v>
      </c>
      <c r="K512" s="138">
        <v>18</v>
      </c>
      <c r="L512" s="138">
        <v>54</v>
      </c>
    </row>
    <row r="513" spans="1:12" x14ac:dyDescent="0.25">
      <c r="A513" s="1">
        <v>512</v>
      </c>
      <c r="B513" s="1">
        <v>158</v>
      </c>
      <c r="C513" s="232" t="s">
        <v>3479</v>
      </c>
      <c r="D513" s="232" t="s">
        <v>2553</v>
      </c>
      <c r="E513" s="1" t="s">
        <v>3559</v>
      </c>
      <c r="F513" s="232" t="s">
        <v>2589</v>
      </c>
      <c r="G513" s="1" t="s">
        <v>3530</v>
      </c>
      <c r="H513" s="232"/>
      <c r="I513" s="233"/>
      <c r="J513" s="14">
        <v>1</v>
      </c>
      <c r="K513" s="138">
        <v>70</v>
      </c>
      <c r="L513" s="138">
        <v>70</v>
      </c>
    </row>
    <row r="514" spans="1:12" x14ac:dyDescent="0.25">
      <c r="A514" s="1">
        <v>513</v>
      </c>
      <c r="B514" s="1">
        <v>158</v>
      </c>
      <c r="C514" s="232" t="s">
        <v>3480</v>
      </c>
      <c r="D514" s="232" t="s">
        <v>2553</v>
      </c>
      <c r="E514" s="1" t="s">
        <v>3559</v>
      </c>
      <c r="F514" s="232" t="s">
        <v>2592</v>
      </c>
      <c r="G514" s="1" t="s">
        <v>3533</v>
      </c>
      <c r="H514" s="232"/>
      <c r="I514" s="233"/>
      <c r="J514" s="14">
        <v>2</v>
      </c>
      <c r="K514" s="138">
        <v>7</v>
      </c>
      <c r="L514" s="138">
        <v>14</v>
      </c>
    </row>
    <row r="515" spans="1:12" x14ac:dyDescent="0.25">
      <c r="A515" s="1">
        <v>514</v>
      </c>
      <c r="B515" s="1">
        <v>158</v>
      </c>
      <c r="C515" s="232" t="s">
        <v>3493</v>
      </c>
      <c r="D515" s="232" t="s">
        <v>2553</v>
      </c>
      <c r="E515" s="1" t="s">
        <v>3559</v>
      </c>
      <c r="F515" s="232" t="s">
        <v>2689</v>
      </c>
      <c r="G515" s="1" t="s">
        <v>3534</v>
      </c>
      <c r="H515" s="232"/>
      <c r="I515" s="233"/>
      <c r="J515" s="14">
        <v>1</v>
      </c>
      <c r="K515" s="138">
        <v>50</v>
      </c>
      <c r="L515" s="138">
        <v>50</v>
      </c>
    </row>
    <row r="516" spans="1:12" x14ac:dyDescent="0.25">
      <c r="A516" s="1">
        <v>515</v>
      </c>
      <c r="B516" s="1">
        <v>159</v>
      </c>
      <c r="C516" s="232" t="s">
        <v>3500</v>
      </c>
      <c r="D516" s="232" t="s">
        <v>2554</v>
      </c>
      <c r="E516" s="1" t="s">
        <v>3560</v>
      </c>
      <c r="F516" s="232" t="s">
        <v>2782</v>
      </c>
      <c r="G516" s="1" t="s">
        <v>3536</v>
      </c>
      <c r="H516" s="232"/>
      <c r="I516" s="233"/>
      <c r="J516" s="14">
        <v>1</v>
      </c>
      <c r="K516" s="138">
        <v>10</v>
      </c>
      <c r="L516" s="138">
        <v>10</v>
      </c>
    </row>
    <row r="517" spans="1:12" x14ac:dyDescent="0.25">
      <c r="A517" s="1">
        <v>516</v>
      </c>
      <c r="B517" s="1">
        <v>159</v>
      </c>
      <c r="C517" s="232" t="s">
        <v>3481</v>
      </c>
      <c r="D517" s="232" t="s">
        <v>2554</v>
      </c>
      <c r="E517" s="1" t="s">
        <v>3560</v>
      </c>
      <c r="F517" s="232" t="s">
        <v>2595</v>
      </c>
      <c r="G517" s="1" t="s">
        <v>3537</v>
      </c>
      <c r="H517" s="232"/>
      <c r="I517" s="233"/>
      <c r="J517" s="14">
        <v>1</v>
      </c>
      <c r="K517" s="138">
        <v>0.5</v>
      </c>
      <c r="L517" s="138">
        <v>0.5</v>
      </c>
    </row>
    <row r="518" spans="1:12" x14ac:dyDescent="0.25">
      <c r="A518" s="1">
        <v>517</v>
      </c>
      <c r="B518" s="1">
        <v>159</v>
      </c>
      <c r="C518" s="232" t="s">
        <v>3482</v>
      </c>
      <c r="D518" s="232" t="s">
        <v>2554</v>
      </c>
      <c r="E518" s="1" t="s">
        <v>3560</v>
      </c>
      <c r="F518" s="232" t="s">
        <v>2598</v>
      </c>
      <c r="G518" s="1" t="s">
        <v>3538</v>
      </c>
      <c r="H518" s="232"/>
      <c r="I518" s="233"/>
      <c r="J518" s="14">
        <v>7</v>
      </c>
      <c r="K518" s="138">
        <v>3</v>
      </c>
      <c r="L518" s="138">
        <v>21</v>
      </c>
    </row>
    <row r="519" spans="1:12" x14ac:dyDescent="0.25">
      <c r="A519" s="1">
        <v>518</v>
      </c>
      <c r="B519" s="1">
        <v>160</v>
      </c>
      <c r="C519" s="232" t="s">
        <v>3488</v>
      </c>
      <c r="D519" s="232" t="s">
        <v>2555</v>
      </c>
      <c r="E519" s="1" t="s">
        <v>3561</v>
      </c>
      <c r="F519" s="232" t="s">
        <v>2616</v>
      </c>
      <c r="G519" s="1" t="s">
        <v>3549</v>
      </c>
      <c r="H519" s="232"/>
      <c r="I519" s="233"/>
      <c r="J519" s="14">
        <v>3</v>
      </c>
      <c r="K519" s="138">
        <v>3</v>
      </c>
      <c r="L519" s="138">
        <v>9</v>
      </c>
    </row>
    <row r="520" spans="1:12" x14ac:dyDescent="0.25">
      <c r="A520" s="1">
        <v>519</v>
      </c>
      <c r="B520" s="1">
        <v>160</v>
      </c>
      <c r="C520" s="232" t="s">
        <v>3507</v>
      </c>
      <c r="D520" s="232" t="s">
        <v>2555</v>
      </c>
      <c r="E520" s="1" t="s">
        <v>3561</v>
      </c>
      <c r="F520" s="232" t="s">
        <v>2863</v>
      </c>
      <c r="G520" s="1" t="s">
        <v>3548</v>
      </c>
      <c r="H520" s="232"/>
      <c r="I520" s="233"/>
      <c r="J520" s="14">
        <v>3</v>
      </c>
      <c r="K520" s="138">
        <v>10</v>
      </c>
      <c r="L520" s="138">
        <v>30</v>
      </c>
    </row>
    <row r="521" spans="1:12" x14ac:dyDescent="0.25">
      <c r="A521" s="1">
        <v>520</v>
      </c>
      <c r="B521" s="1">
        <v>161</v>
      </c>
      <c r="C521" s="232" t="s">
        <v>3489</v>
      </c>
      <c r="D521" s="232" t="s">
        <v>2556</v>
      </c>
      <c r="E521" s="1" t="s">
        <v>3562</v>
      </c>
      <c r="F521" s="232" t="s">
        <v>2619</v>
      </c>
      <c r="G521" s="1" t="s">
        <v>3550</v>
      </c>
      <c r="H521" s="232"/>
      <c r="I521" s="233"/>
      <c r="J521" s="14">
        <v>1</v>
      </c>
      <c r="K521" s="138">
        <v>95</v>
      </c>
      <c r="L521" s="138">
        <v>95</v>
      </c>
    </row>
    <row r="522" spans="1:12" x14ac:dyDescent="0.25">
      <c r="A522" s="1">
        <v>521</v>
      </c>
      <c r="B522" s="1">
        <v>161</v>
      </c>
      <c r="C522" s="232" t="s">
        <v>3509</v>
      </c>
      <c r="D522" s="232" t="s">
        <v>2556</v>
      </c>
      <c r="E522" s="1" t="s">
        <v>3562</v>
      </c>
      <c r="F522" s="232" t="s">
        <v>3009</v>
      </c>
      <c r="G522" s="1" t="s">
        <v>3552</v>
      </c>
      <c r="H522" s="232"/>
      <c r="I522" s="233"/>
      <c r="J522" s="14">
        <v>1</v>
      </c>
      <c r="K522" s="138">
        <v>3</v>
      </c>
      <c r="L522" s="138">
        <v>3</v>
      </c>
    </row>
    <row r="523" spans="1:12" x14ac:dyDescent="0.25">
      <c r="A523" s="1">
        <v>522</v>
      </c>
      <c r="B523" s="1">
        <v>161</v>
      </c>
      <c r="C523" s="232" t="s">
        <v>3508</v>
      </c>
      <c r="D523" s="232" t="s">
        <v>2556</v>
      </c>
      <c r="E523" s="1" t="s">
        <v>3562</v>
      </c>
      <c r="F523" s="232" t="s">
        <v>2900</v>
      </c>
      <c r="G523" s="1" t="s">
        <v>3553</v>
      </c>
      <c r="H523" s="232"/>
      <c r="I523" s="233"/>
      <c r="J523" s="14">
        <v>1</v>
      </c>
      <c r="K523" s="138">
        <v>4</v>
      </c>
      <c r="L523" s="138">
        <v>4</v>
      </c>
    </row>
    <row r="524" spans="1:12" x14ac:dyDescent="0.25">
      <c r="A524" s="1">
        <v>523</v>
      </c>
      <c r="B524" s="1">
        <v>162</v>
      </c>
      <c r="C524" s="232" t="s">
        <v>3489</v>
      </c>
      <c r="D524" s="232" t="s">
        <v>2556</v>
      </c>
      <c r="E524" s="1" t="s">
        <v>3562</v>
      </c>
      <c r="F524" s="232" t="s">
        <v>2619</v>
      </c>
      <c r="G524" s="1" t="s">
        <v>3550</v>
      </c>
      <c r="H524" s="232"/>
      <c r="I524" s="233"/>
      <c r="J524" s="14">
        <v>1</v>
      </c>
      <c r="K524" s="138">
        <v>95</v>
      </c>
      <c r="L524" s="138">
        <v>95</v>
      </c>
    </row>
    <row r="525" spans="1:12" x14ac:dyDescent="0.25">
      <c r="A525" s="1">
        <v>524</v>
      </c>
      <c r="B525" s="1">
        <v>162</v>
      </c>
      <c r="C525" s="232" t="s">
        <v>3509</v>
      </c>
      <c r="D525" s="232" t="s">
        <v>2556</v>
      </c>
      <c r="E525" s="1" t="s">
        <v>3562</v>
      </c>
      <c r="F525" s="232" t="s">
        <v>3009</v>
      </c>
      <c r="G525" s="1" t="s">
        <v>3552</v>
      </c>
      <c r="H525" s="232"/>
      <c r="I525" s="233"/>
      <c r="J525" s="14">
        <v>1</v>
      </c>
      <c r="K525" s="138">
        <v>3</v>
      </c>
      <c r="L525" s="138">
        <v>3</v>
      </c>
    </row>
    <row r="526" spans="1:12" x14ac:dyDescent="0.25">
      <c r="A526" s="1">
        <v>525</v>
      </c>
      <c r="B526" s="1">
        <v>162</v>
      </c>
      <c r="C526" s="232" t="s">
        <v>3508</v>
      </c>
      <c r="D526" s="232" t="s">
        <v>2556</v>
      </c>
      <c r="E526" s="1" t="s">
        <v>3562</v>
      </c>
      <c r="F526" s="232" t="s">
        <v>2900</v>
      </c>
      <c r="G526" s="1" t="s">
        <v>3553</v>
      </c>
      <c r="H526" s="232"/>
      <c r="I526" s="233"/>
      <c r="J526" s="14">
        <v>1</v>
      </c>
      <c r="K526" s="138">
        <v>4</v>
      </c>
      <c r="L526" s="138">
        <v>4</v>
      </c>
    </row>
    <row r="527" spans="1:12" x14ac:dyDescent="0.25">
      <c r="A527" s="1">
        <v>526</v>
      </c>
      <c r="B527" s="1">
        <v>163</v>
      </c>
      <c r="C527" s="232" t="s">
        <v>3474</v>
      </c>
      <c r="D527" s="232" t="s">
        <v>2552</v>
      </c>
      <c r="E527" s="1" t="s">
        <v>3558</v>
      </c>
      <c r="F527" s="232" t="s">
        <v>2574</v>
      </c>
      <c r="G527" s="1" t="s">
        <v>3521</v>
      </c>
      <c r="H527" s="232" t="s">
        <v>3108</v>
      </c>
      <c r="I527" s="233" t="s">
        <v>3109</v>
      </c>
      <c r="J527" s="14">
        <v>2</v>
      </c>
      <c r="K527" s="138">
        <v>77</v>
      </c>
      <c r="L527" s="138">
        <v>154</v>
      </c>
    </row>
    <row r="528" spans="1:12" x14ac:dyDescent="0.25">
      <c r="A528" s="1">
        <v>527</v>
      </c>
      <c r="B528" s="1">
        <v>163</v>
      </c>
      <c r="C528" s="232" t="s">
        <v>3475</v>
      </c>
      <c r="D528" s="232" t="s">
        <v>2552</v>
      </c>
      <c r="E528" s="1" t="s">
        <v>3558</v>
      </c>
      <c r="F528" s="232" t="s">
        <v>2577</v>
      </c>
      <c r="G528" s="1" t="s">
        <v>3523</v>
      </c>
      <c r="H528" s="232" t="s">
        <v>3110</v>
      </c>
      <c r="I528" s="233" t="s">
        <v>3111</v>
      </c>
      <c r="J528" s="14">
        <v>1</v>
      </c>
      <c r="K528" s="138">
        <v>42</v>
      </c>
      <c r="L528" s="138">
        <v>42</v>
      </c>
    </row>
    <row r="529" spans="1:12" x14ac:dyDescent="0.25">
      <c r="A529" s="1">
        <v>528</v>
      </c>
      <c r="B529" s="1">
        <v>163</v>
      </c>
      <c r="C529" s="232" t="s">
        <v>3476</v>
      </c>
      <c r="D529" s="232" t="s">
        <v>2552</v>
      </c>
      <c r="E529" s="1" t="s">
        <v>3558</v>
      </c>
      <c r="F529" s="232" t="s">
        <v>2580</v>
      </c>
      <c r="G529" s="1" t="s">
        <v>3524</v>
      </c>
      <c r="H529" s="232"/>
      <c r="I529" s="233"/>
      <c r="J529" s="14">
        <v>3</v>
      </c>
      <c r="K529" s="138">
        <v>6</v>
      </c>
      <c r="L529" s="138">
        <v>18</v>
      </c>
    </row>
    <row r="530" spans="1:12" x14ac:dyDescent="0.25">
      <c r="A530" s="1">
        <v>529</v>
      </c>
      <c r="B530" s="1">
        <v>164</v>
      </c>
      <c r="C530" s="232" t="s">
        <v>3477</v>
      </c>
      <c r="D530" s="232" t="s">
        <v>2553</v>
      </c>
      <c r="E530" s="1" t="s">
        <v>3559</v>
      </c>
      <c r="F530" s="232" t="s">
        <v>2583</v>
      </c>
      <c r="G530" s="1" t="s">
        <v>3527</v>
      </c>
      <c r="H530" s="232"/>
      <c r="I530" s="233"/>
      <c r="J530" s="14">
        <v>3</v>
      </c>
      <c r="K530" s="138">
        <v>20</v>
      </c>
      <c r="L530" s="138">
        <v>60</v>
      </c>
    </row>
    <row r="531" spans="1:12" x14ac:dyDescent="0.25">
      <c r="A531" s="1">
        <v>530</v>
      </c>
      <c r="B531" s="1">
        <v>164</v>
      </c>
      <c r="C531" s="232" t="s">
        <v>3478</v>
      </c>
      <c r="D531" s="232" t="s">
        <v>2553</v>
      </c>
      <c r="E531" s="1" t="s">
        <v>3559</v>
      </c>
      <c r="F531" s="232" t="s">
        <v>2586</v>
      </c>
      <c r="G531" s="1" t="s">
        <v>3528</v>
      </c>
      <c r="H531" s="232"/>
      <c r="I531" s="233"/>
      <c r="J531" s="14">
        <v>1</v>
      </c>
      <c r="K531" s="138">
        <v>18</v>
      </c>
      <c r="L531" s="138">
        <v>18</v>
      </c>
    </row>
    <row r="532" spans="1:12" x14ac:dyDescent="0.25">
      <c r="A532" s="1">
        <v>531</v>
      </c>
      <c r="B532" s="1">
        <v>164</v>
      </c>
      <c r="C532" s="232" t="s">
        <v>3490</v>
      </c>
      <c r="D532" s="232" t="s">
        <v>2553</v>
      </c>
      <c r="E532" s="1" t="s">
        <v>3559</v>
      </c>
      <c r="F532" s="232" t="s">
        <v>2630</v>
      </c>
      <c r="G532" s="1" t="s">
        <v>3529</v>
      </c>
      <c r="H532" s="232" t="s">
        <v>3112</v>
      </c>
      <c r="I532" s="233" t="s">
        <v>3113</v>
      </c>
      <c r="J532" s="14">
        <v>1</v>
      </c>
      <c r="K532" s="138">
        <v>18</v>
      </c>
      <c r="L532" s="138">
        <v>18</v>
      </c>
    </row>
    <row r="533" spans="1:12" x14ac:dyDescent="0.25">
      <c r="A533" s="1">
        <v>532</v>
      </c>
      <c r="B533" s="1">
        <v>164</v>
      </c>
      <c r="C533" s="232" t="s">
        <v>3479</v>
      </c>
      <c r="D533" s="232" t="s">
        <v>2553</v>
      </c>
      <c r="E533" s="1" t="s">
        <v>3559</v>
      </c>
      <c r="F533" s="232" t="s">
        <v>2589</v>
      </c>
      <c r="G533" s="1" t="s">
        <v>3530</v>
      </c>
      <c r="H533" s="232" t="s">
        <v>3114</v>
      </c>
      <c r="I533" s="233" t="s">
        <v>3115</v>
      </c>
      <c r="J533" s="14">
        <v>1</v>
      </c>
      <c r="K533" s="138">
        <v>70</v>
      </c>
      <c r="L533" s="138">
        <v>70</v>
      </c>
    </row>
    <row r="534" spans="1:12" x14ac:dyDescent="0.25">
      <c r="A534" s="1">
        <v>533</v>
      </c>
      <c r="B534" s="1">
        <v>164</v>
      </c>
      <c r="C534" s="232" t="s">
        <v>3480</v>
      </c>
      <c r="D534" s="232" t="s">
        <v>2553</v>
      </c>
      <c r="E534" s="1" t="s">
        <v>3559</v>
      </c>
      <c r="F534" s="232" t="s">
        <v>2592</v>
      </c>
      <c r="G534" s="1" t="s">
        <v>3533</v>
      </c>
      <c r="H534" s="232"/>
      <c r="I534" s="233"/>
      <c r="J534" s="14">
        <v>3</v>
      </c>
      <c r="K534" s="138">
        <v>7</v>
      </c>
      <c r="L534" s="138">
        <v>21</v>
      </c>
    </row>
    <row r="535" spans="1:12" x14ac:dyDescent="0.25">
      <c r="A535" s="1">
        <v>534</v>
      </c>
      <c r="B535" s="1">
        <v>164</v>
      </c>
      <c r="C535" s="232" t="s">
        <v>3493</v>
      </c>
      <c r="D535" s="232" t="s">
        <v>2553</v>
      </c>
      <c r="E535" s="1" t="s">
        <v>3559</v>
      </c>
      <c r="F535" s="232" t="s">
        <v>2689</v>
      </c>
      <c r="G535" s="1" t="s">
        <v>3534</v>
      </c>
      <c r="H535" s="232"/>
      <c r="I535" s="233"/>
      <c r="J535" s="14">
        <v>1</v>
      </c>
      <c r="K535" s="138">
        <v>50</v>
      </c>
      <c r="L535" s="138">
        <v>50</v>
      </c>
    </row>
    <row r="536" spans="1:12" x14ac:dyDescent="0.25">
      <c r="A536" s="1">
        <v>535</v>
      </c>
      <c r="B536" s="1">
        <v>165</v>
      </c>
      <c r="C536" s="232" t="s">
        <v>3481</v>
      </c>
      <c r="D536" s="232" t="s">
        <v>2554</v>
      </c>
      <c r="E536" s="1" t="s">
        <v>3560</v>
      </c>
      <c r="F536" s="232" t="s">
        <v>2595</v>
      </c>
      <c r="G536" s="1" t="s">
        <v>3537</v>
      </c>
      <c r="H536" s="232"/>
      <c r="I536" s="233"/>
      <c r="J536" s="14">
        <v>1</v>
      </c>
      <c r="K536" s="138">
        <v>0.5</v>
      </c>
      <c r="L536" s="138">
        <v>0.5</v>
      </c>
    </row>
    <row r="537" spans="1:12" x14ac:dyDescent="0.25">
      <c r="A537" s="1">
        <v>536</v>
      </c>
      <c r="B537" s="1">
        <v>165</v>
      </c>
      <c r="C537" s="232" t="s">
        <v>3482</v>
      </c>
      <c r="D537" s="232" t="s">
        <v>2554</v>
      </c>
      <c r="E537" s="1" t="s">
        <v>3560</v>
      </c>
      <c r="F537" s="232" t="s">
        <v>2598</v>
      </c>
      <c r="G537" s="1" t="s">
        <v>3538</v>
      </c>
      <c r="H537" s="232"/>
      <c r="I537" s="233"/>
      <c r="J537" s="14">
        <v>1</v>
      </c>
      <c r="K537" s="138">
        <v>3</v>
      </c>
      <c r="L537" s="138">
        <v>3</v>
      </c>
    </row>
    <row r="538" spans="1:12" x14ac:dyDescent="0.25">
      <c r="A538" s="1">
        <v>537</v>
      </c>
      <c r="B538" s="1">
        <v>165</v>
      </c>
      <c r="C538" s="232" t="s">
        <v>3483</v>
      </c>
      <c r="D538" s="232" t="s">
        <v>2554</v>
      </c>
      <c r="E538" s="1" t="s">
        <v>3560</v>
      </c>
      <c r="F538" s="232" t="s">
        <v>2601</v>
      </c>
      <c r="G538" s="1" t="s">
        <v>3539</v>
      </c>
      <c r="H538" s="232"/>
      <c r="I538" s="233"/>
      <c r="J538" s="14">
        <v>1</v>
      </c>
      <c r="K538" s="138">
        <v>3</v>
      </c>
      <c r="L538" s="138">
        <v>3</v>
      </c>
    </row>
    <row r="539" spans="1:12" x14ac:dyDescent="0.25">
      <c r="A539" s="1">
        <v>538</v>
      </c>
      <c r="B539" s="1">
        <v>165</v>
      </c>
      <c r="C539" s="232" t="s">
        <v>3485</v>
      </c>
      <c r="D539" s="232" t="s">
        <v>2554</v>
      </c>
      <c r="E539" s="1" t="s">
        <v>3560</v>
      </c>
      <c r="F539" s="232" t="s">
        <v>2607</v>
      </c>
      <c r="G539" s="1" t="s">
        <v>3541</v>
      </c>
      <c r="H539" s="232"/>
      <c r="I539" s="233"/>
      <c r="J539" s="14">
        <v>1</v>
      </c>
      <c r="K539" s="138">
        <v>22</v>
      </c>
      <c r="L539" s="138">
        <v>22</v>
      </c>
    </row>
    <row r="540" spans="1:12" x14ac:dyDescent="0.25">
      <c r="A540" s="1">
        <v>539</v>
      </c>
      <c r="B540" s="1">
        <v>165</v>
      </c>
      <c r="C540" s="232" t="s">
        <v>3484</v>
      </c>
      <c r="D540" s="232" t="s">
        <v>2554</v>
      </c>
      <c r="E540" s="1" t="s">
        <v>3560</v>
      </c>
      <c r="F540" s="232" t="s">
        <v>2604</v>
      </c>
      <c r="G540" s="1" t="s">
        <v>3540</v>
      </c>
      <c r="H540" s="232"/>
      <c r="I540" s="233"/>
      <c r="J540" s="14">
        <v>1</v>
      </c>
      <c r="K540" s="138">
        <v>77</v>
      </c>
      <c r="L540" s="138">
        <v>77</v>
      </c>
    </row>
    <row r="541" spans="1:12" x14ac:dyDescent="0.25">
      <c r="A541" s="1">
        <v>540</v>
      </c>
      <c r="B541" s="1">
        <v>165</v>
      </c>
      <c r="C541" s="232" t="s">
        <v>3486</v>
      </c>
      <c r="D541" s="232" t="s">
        <v>2554</v>
      </c>
      <c r="E541" s="1" t="s">
        <v>3560</v>
      </c>
      <c r="F541" s="232" t="s">
        <v>2610</v>
      </c>
      <c r="G541" s="1" t="s">
        <v>3542</v>
      </c>
      <c r="H541" s="232"/>
      <c r="I541" s="233"/>
      <c r="J541" s="14">
        <v>1</v>
      </c>
      <c r="K541" s="138">
        <v>0.4</v>
      </c>
      <c r="L541" s="138">
        <v>0.4</v>
      </c>
    </row>
    <row r="542" spans="1:12" x14ac:dyDescent="0.25">
      <c r="A542" s="1">
        <v>541</v>
      </c>
      <c r="B542" s="1">
        <v>165</v>
      </c>
      <c r="C542" s="232" t="s">
        <v>3487</v>
      </c>
      <c r="D542" s="232" t="s">
        <v>2554</v>
      </c>
      <c r="E542" s="1" t="s">
        <v>3560</v>
      </c>
      <c r="F542" s="232" t="s">
        <v>2613</v>
      </c>
      <c r="G542" s="1" t="s">
        <v>3543</v>
      </c>
      <c r="H542" s="232"/>
      <c r="I542" s="233"/>
      <c r="J542" s="14">
        <v>2</v>
      </c>
      <c r="K542" s="138">
        <v>45</v>
      </c>
      <c r="L542" s="138">
        <v>90</v>
      </c>
    </row>
    <row r="543" spans="1:12" x14ac:dyDescent="0.25">
      <c r="A543" s="1">
        <v>542</v>
      </c>
      <c r="B543" s="1">
        <v>166</v>
      </c>
      <c r="C543" s="232" t="s">
        <v>3488</v>
      </c>
      <c r="D543" s="232" t="s">
        <v>2555</v>
      </c>
      <c r="E543" s="1" t="s">
        <v>3561</v>
      </c>
      <c r="F543" s="232" t="s">
        <v>2616</v>
      </c>
      <c r="G543" s="1" t="s">
        <v>3549</v>
      </c>
      <c r="H543" s="232"/>
      <c r="I543" s="233"/>
      <c r="J543" s="14">
        <v>2</v>
      </c>
      <c r="K543" s="138">
        <v>3</v>
      </c>
      <c r="L543" s="138">
        <v>6</v>
      </c>
    </row>
    <row r="544" spans="1:12" x14ac:dyDescent="0.25">
      <c r="A544" s="1">
        <v>543</v>
      </c>
      <c r="B544" s="1">
        <v>167</v>
      </c>
      <c r="C544" s="232" t="s">
        <v>3502</v>
      </c>
      <c r="D544" s="232" t="s">
        <v>2556</v>
      </c>
      <c r="E544" s="1" t="s">
        <v>3562</v>
      </c>
      <c r="F544" s="232" t="s">
        <v>2788</v>
      </c>
      <c r="G544" s="1" t="s">
        <v>3551</v>
      </c>
      <c r="H544" s="232"/>
      <c r="I544" s="233"/>
      <c r="J544" s="14">
        <v>1</v>
      </c>
      <c r="K544" s="138">
        <v>150</v>
      </c>
      <c r="L544" s="138">
        <v>150</v>
      </c>
    </row>
    <row r="545" spans="1:12" x14ac:dyDescent="0.25">
      <c r="A545" s="1">
        <v>544</v>
      </c>
      <c r="B545" s="1">
        <v>167</v>
      </c>
      <c r="C545" s="232" t="s">
        <v>3503</v>
      </c>
      <c r="D545" s="232" t="s">
        <v>2556</v>
      </c>
      <c r="E545" s="1" t="s">
        <v>3562</v>
      </c>
      <c r="F545" s="232" t="s">
        <v>2791</v>
      </c>
      <c r="G545" s="1" t="s">
        <v>3554</v>
      </c>
      <c r="H545" s="232"/>
      <c r="I545" s="233"/>
      <c r="J545" s="14">
        <v>1</v>
      </c>
      <c r="K545" s="138">
        <v>5</v>
      </c>
      <c r="L545" s="138">
        <v>5</v>
      </c>
    </row>
    <row r="546" spans="1:12" x14ac:dyDescent="0.25">
      <c r="A546" s="1">
        <v>545</v>
      </c>
      <c r="B546" s="1">
        <v>168</v>
      </c>
      <c r="C546" s="232" t="s">
        <v>3504</v>
      </c>
      <c r="D546" s="232" t="s">
        <v>2557</v>
      </c>
      <c r="E546" s="1" t="s">
        <v>3563</v>
      </c>
      <c r="F546" s="232" t="s">
        <v>2794</v>
      </c>
      <c r="G546" s="1" t="s">
        <v>3555</v>
      </c>
      <c r="H546" s="232"/>
      <c r="I546" s="233"/>
      <c r="J546" s="14">
        <v>1</v>
      </c>
      <c r="K546" s="138">
        <v>1.7</v>
      </c>
      <c r="L546" s="138">
        <v>1.7</v>
      </c>
    </row>
    <row r="547" spans="1:12" x14ac:dyDescent="0.25">
      <c r="A547" s="1">
        <v>546</v>
      </c>
      <c r="B547" s="1">
        <v>169</v>
      </c>
      <c r="C547" s="232" t="s">
        <v>3478</v>
      </c>
      <c r="D547" s="232" t="s">
        <v>2553</v>
      </c>
      <c r="E547" s="1" t="s">
        <v>3559</v>
      </c>
      <c r="F547" s="232" t="s">
        <v>2586</v>
      </c>
      <c r="G547" s="1" t="s">
        <v>3528</v>
      </c>
      <c r="H547" s="232" t="s">
        <v>3116</v>
      </c>
      <c r="I547" s="233" t="s">
        <v>3117</v>
      </c>
      <c r="J547" s="14">
        <v>75</v>
      </c>
      <c r="K547" s="138">
        <v>18</v>
      </c>
      <c r="L547" s="138">
        <v>1350</v>
      </c>
    </row>
    <row r="548" spans="1:12" x14ac:dyDescent="0.25">
      <c r="A548" s="1">
        <v>547</v>
      </c>
      <c r="B548" s="1">
        <v>169</v>
      </c>
      <c r="C548" s="232" t="s">
        <v>3490</v>
      </c>
      <c r="D548" s="232" t="s">
        <v>2553</v>
      </c>
      <c r="E548" s="1" t="s">
        <v>3559</v>
      </c>
      <c r="F548" s="232" t="s">
        <v>2630</v>
      </c>
      <c r="G548" s="1" t="s">
        <v>3529</v>
      </c>
      <c r="H548" s="232" t="s">
        <v>3118</v>
      </c>
      <c r="I548" s="233" t="s">
        <v>3119</v>
      </c>
      <c r="J548" s="14">
        <v>45</v>
      </c>
      <c r="K548" s="138">
        <v>18</v>
      </c>
      <c r="L548" s="138">
        <v>810</v>
      </c>
    </row>
    <row r="549" spans="1:12" x14ac:dyDescent="0.25">
      <c r="A549" s="1">
        <v>548</v>
      </c>
      <c r="B549" s="1">
        <v>169</v>
      </c>
      <c r="C549" s="232" t="s">
        <v>3493</v>
      </c>
      <c r="D549" s="232" t="s">
        <v>2553</v>
      </c>
      <c r="E549" s="1" t="s">
        <v>3559</v>
      </c>
      <c r="F549" s="232" t="s">
        <v>2689</v>
      </c>
      <c r="G549" s="1" t="s">
        <v>3534</v>
      </c>
      <c r="H549" s="232" t="s">
        <v>3120</v>
      </c>
      <c r="I549" s="233" t="s">
        <v>3121</v>
      </c>
      <c r="J549" s="14">
        <v>1</v>
      </c>
      <c r="K549" s="138">
        <v>50</v>
      </c>
      <c r="L549" s="138">
        <v>50</v>
      </c>
    </row>
    <row r="550" spans="1:12" x14ac:dyDescent="0.25">
      <c r="A550" s="1">
        <v>549</v>
      </c>
      <c r="B550" s="1">
        <v>169</v>
      </c>
      <c r="C550" s="232" t="s">
        <v>3480</v>
      </c>
      <c r="D550" s="232" t="s">
        <v>2553</v>
      </c>
      <c r="E550" s="1" t="s">
        <v>3559</v>
      </c>
      <c r="F550" s="232" t="s">
        <v>2592</v>
      </c>
      <c r="G550" s="1" t="s">
        <v>3533</v>
      </c>
      <c r="H550" s="232" t="s">
        <v>3122</v>
      </c>
      <c r="I550" s="233" t="s">
        <v>3123</v>
      </c>
      <c r="J550" s="14">
        <v>3</v>
      </c>
      <c r="K550" s="138">
        <v>7</v>
      </c>
      <c r="L550" s="138">
        <v>21</v>
      </c>
    </row>
    <row r="551" spans="1:12" x14ac:dyDescent="0.25">
      <c r="A551" s="1">
        <v>550</v>
      </c>
      <c r="B551" s="1">
        <v>169</v>
      </c>
      <c r="C551" s="232" t="s">
        <v>3477</v>
      </c>
      <c r="D551" s="232" t="s">
        <v>2553</v>
      </c>
      <c r="E551" s="1" t="s">
        <v>3559</v>
      </c>
      <c r="F551" s="232" t="s">
        <v>2583</v>
      </c>
      <c r="G551" s="1" t="s">
        <v>3527</v>
      </c>
      <c r="H551" s="232" t="s">
        <v>3124</v>
      </c>
      <c r="I551" s="233" t="s">
        <v>3125</v>
      </c>
      <c r="J551" s="14">
        <v>5</v>
      </c>
      <c r="K551" s="138">
        <v>20</v>
      </c>
      <c r="L551" s="138">
        <v>100</v>
      </c>
    </row>
    <row r="552" spans="1:12" x14ac:dyDescent="0.25">
      <c r="A552" s="1">
        <v>551</v>
      </c>
      <c r="B552" s="1">
        <v>169</v>
      </c>
      <c r="C552" s="232" t="s">
        <v>3479</v>
      </c>
      <c r="D552" s="232" t="s">
        <v>2553</v>
      </c>
      <c r="E552" s="1" t="s">
        <v>3559</v>
      </c>
      <c r="F552" s="232" t="s">
        <v>2589</v>
      </c>
      <c r="G552" s="1" t="s">
        <v>3530</v>
      </c>
      <c r="H552" s="232" t="s">
        <v>3126</v>
      </c>
      <c r="I552" s="233" t="s">
        <v>3127</v>
      </c>
      <c r="J552" s="14">
        <v>1</v>
      </c>
      <c r="K552" s="138">
        <v>70</v>
      </c>
      <c r="L552" s="138">
        <v>70</v>
      </c>
    </row>
    <row r="553" spans="1:12" x14ac:dyDescent="0.25">
      <c r="A553" s="1">
        <v>552</v>
      </c>
      <c r="B553" s="1">
        <v>170</v>
      </c>
      <c r="C553" s="232" t="s">
        <v>3482</v>
      </c>
      <c r="D553" s="232" t="s">
        <v>2554</v>
      </c>
      <c r="E553" s="1" t="s">
        <v>3560</v>
      </c>
      <c r="F553" s="232" t="s">
        <v>2598</v>
      </c>
      <c r="G553" s="1" t="s">
        <v>3538</v>
      </c>
      <c r="H553" s="232" t="s">
        <v>3128</v>
      </c>
      <c r="I553" s="233" t="s">
        <v>3129</v>
      </c>
      <c r="J553" s="14">
        <v>125</v>
      </c>
      <c r="K553" s="138">
        <v>3</v>
      </c>
      <c r="L553" s="138">
        <v>375</v>
      </c>
    </row>
    <row r="554" spans="1:12" x14ac:dyDescent="0.25">
      <c r="A554" s="1">
        <v>553</v>
      </c>
      <c r="B554" s="1">
        <v>170</v>
      </c>
      <c r="C554" s="232" t="s">
        <v>3483</v>
      </c>
      <c r="D554" s="232" t="s">
        <v>2554</v>
      </c>
      <c r="E554" s="1" t="s">
        <v>3560</v>
      </c>
      <c r="F554" s="232" t="s">
        <v>2601</v>
      </c>
      <c r="G554" s="1" t="s">
        <v>3539</v>
      </c>
      <c r="H554" s="232" t="s">
        <v>3130</v>
      </c>
      <c r="I554" s="233" t="s">
        <v>3131</v>
      </c>
      <c r="J554" s="14">
        <v>15</v>
      </c>
      <c r="K554" s="138">
        <v>3</v>
      </c>
      <c r="L554" s="138">
        <v>45</v>
      </c>
    </row>
    <row r="555" spans="1:12" x14ac:dyDescent="0.25">
      <c r="A555" s="1">
        <v>554</v>
      </c>
      <c r="B555" s="1">
        <v>171</v>
      </c>
      <c r="C555" s="232" t="s">
        <v>3481</v>
      </c>
      <c r="D555" s="232" t="s">
        <v>2554</v>
      </c>
      <c r="E555" s="1" t="s">
        <v>3560</v>
      </c>
      <c r="F555" s="232" t="s">
        <v>2595</v>
      </c>
      <c r="G555" s="1" t="s">
        <v>3537</v>
      </c>
      <c r="H555" s="232" t="s">
        <v>3132</v>
      </c>
      <c r="I555" s="233" t="s">
        <v>3133</v>
      </c>
      <c r="J555" s="14">
        <v>400</v>
      </c>
      <c r="K555" s="138">
        <v>0.5</v>
      </c>
      <c r="L555" s="138">
        <v>200</v>
      </c>
    </row>
    <row r="556" spans="1:12" x14ac:dyDescent="0.25">
      <c r="A556" s="1">
        <v>555</v>
      </c>
      <c r="B556" s="1">
        <v>172</v>
      </c>
      <c r="C556" s="232" t="s">
        <v>3473</v>
      </c>
      <c r="D556" s="232" t="s">
        <v>2552</v>
      </c>
      <c r="E556" s="1" t="s">
        <v>3558</v>
      </c>
      <c r="F556" s="232" t="s">
        <v>2571</v>
      </c>
      <c r="G556" s="1" t="s">
        <v>3518</v>
      </c>
      <c r="H556" s="232" t="s">
        <v>3134</v>
      </c>
      <c r="I556" s="233" t="s">
        <v>3135</v>
      </c>
      <c r="J556" s="14">
        <v>75</v>
      </c>
      <c r="K556" s="138">
        <v>5</v>
      </c>
      <c r="L556" s="138">
        <v>375</v>
      </c>
    </row>
    <row r="557" spans="1:12" x14ac:dyDescent="0.25">
      <c r="A557" s="1">
        <v>556</v>
      </c>
      <c r="B557" s="1">
        <v>172</v>
      </c>
      <c r="C557" s="232" t="s">
        <v>3475</v>
      </c>
      <c r="D557" s="232" t="s">
        <v>2552</v>
      </c>
      <c r="E557" s="1" t="s">
        <v>3558</v>
      </c>
      <c r="F557" s="232" t="s">
        <v>2577</v>
      </c>
      <c r="G557" s="1" t="s">
        <v>3523</v>
      </c>
      <c r="H557" s="232" t="s">
        <v>3136</v>
      </c>
      <c r="I557" s="233" t="s">
        <v>3137</v>
      </c>
      <c r="J557" s="14">
        <v>5</v>
      </c>
      <c r="K557" s="138">
        <v>42</v>
      </c>
      <c r="L557" s="138">
        <v>210</v>
      </c>
    </row>
    <row r="558" spans="1:12" x14ac:dyDescent="0.25">
      <c r="A558" s="1">
        <v>557</v>
      </c>
      <c r="B558" s="1">
        <v>172</v>
      </c>
      <c r="C558" s="232" t="s">
        <v>3474</v>
      </c>
      <c r="D558" s="232" t="s">
        <v>2552</v>
      </c>
      <c r="E558" s="1" t="s">
        <v>3558</v>
      </c>
      <c r="F558" s="232" t="s">
        <v>2574</v>
      </c>
      <c r="G558" s="1" t="s">
        <v>3521</v>
      </c>
      <c r="H558" s="232" t="s">
        <v>3138</v>
      </c>
      <c r="I558" s="233" t="s">
        <v>3139</v>
      </c>
      <c r="J558" s="14">
        <v>4</v>
      </c>
      <c r="K558" s="138">
        <v>77</v>
      </c>
      <c r="L558" s="138">
        <v>308</v>
      </c>
    </row>
    <row r="559" spans="1:12" x14ac:dyDescent="0.25">
      <c r="A559" s="1">
        <v>558</v>
      </c>
      <c r="B559" s="1">
        <v>173</v>
      </c>
      <c r="C559" s="232" t="s">
        <v>3499</v>
      </c>
      <c r="D559" s="232" t="s">
        <v>2553</v>
      </c>
      <c r="E559" s="1" t="s">
        <v>3559</v>
      </c>
      <c r="F559" s="232" t="s">
        <v>2775</v>
      </c>
      <c r="G559" s="1" t="s">
        <v>3532</v>
      </c>
      <c r="H559" s="232" t="s">
        <v>3140</v>
      </c>
      <c r="I559" s="233" t="s">
        <v>3141</v>
      </c>
      <c r="J559" s="14">
        <v>1</v>
      </c>
      <c r="K559" s="138">
        <v>100</v>
      </c>
      <c r="L559" s="138">
        <v>100</v>
      </c>
    </row>
    <row r="560" spans="1:12" x14ac:dyDescent="0.25">
      <c r="A560" s="1">
        <v>559</v>
      </c>
      <c r="B560" s="1">
        <v>174</v>
      </c>
      <c r="C560" s="232" t="s">
        <v>3488</v>
      </c>
      <c r="D560" s="232" t="s">
        <v>2555</v>
      </c>
      <c r="E560" s="1" t="s">
        <v>3561</v>
      </c>
      <c r="F560" s="232" t="s">
        <v>2616</v>
      </c>
      <c r="G560" s="1" t="s">
        <v>3549</v>
      </c>
      <c r="H560" s="232" t="s">
        <v>3142</v>
      </c>
      <c r="I560" s="233" t="s">
        <v>3143</v>
      </c>
      <c r="J560" s="14">
        <v>3</v>
      </c>
      <c r="K560" s="138">
        <v>3</v>
      </c>
      <c r="L560" s="138">
        <v>9</v>
      </c>
    </row>
    <row r="561" spans="1:12" x14ac:dyDescent="0.25">
      <c r="A561" s="1">
        <v>560</v>
      </c>
      <c r="B561" s="1">
        <v>175</v>
      </c>
      <c r="C561" s="232" t="s">
        <v>3496</v>
      </c>
      <c r="D561" s="232" t="s">
        <v>2552</v>
      </c>
      <c r="E561" s="1" t="s">
        <v>3558</v>
      </c>
      <c r="F561" s="232" t="s">
        <v>2750</v>
      </c>
      <c r="G561" s="1" t="s">
        <v>3519</v>
      </c>
      <c r="H561" s="232" t="s">
        <v>3144</v>
      </c>
      <c r="I561" s="233" t="s">
        <v>3145</v>
      </c>
      <c r="J561" s="14">
        <v>1</v>
      </c>
      <c r="K561" s="138">
        <v>25</v>
      </c>
      <c r="L561" s="138">
        <v>25</v>
      </c>
    </row>
    <row r="562" spans="1:12" x14ac:dyDescent="0.25">
      <c r="A562" s="1">
        <v>561</v>
      </c>
      <c r="B562" s="1">
        <v>175</v>
      </c>
      <c r="C562" s="232" t="s">
        <v>3475</v>
      </c>
      <c r="D562" s="232" t="s">
        <v>2552</v>
      </c>
      <c r="E562" s="1" t="s">
        <v>3558</v>
      </c>
      <c r="F562" s="232" t="s">
        <v>2577</v>
      </c>
      <c r="G562" s="1" t="s">
        <v>3523</v>
      </c>
      <c r="H562" s="232" t="s">
        <v>3146</v>
      </c>
      <c r="I562" s="233" t="s">
        <v>3147</v>
      </c>
      <c r="J562" s="14">
        <v>6</v>
      </c>
      <c r="K562" s="138">
        <v>42</v>
      </c>
      <c r="L562" s="138">
        <v>252</v>
      </c>
    </row>
    <row r="563" spans="1:12" x14ac:dyDescent="0.25">
      <c r="A563" s="1">
        <v>562</v>
      </c>
      <c r="B563" s="1">
        <v>176</v>
      </c>
      <c r="C563" s="232" t="s">
        <v>3490</v>
      </c>
      <c r="D563" s="232" t="s">
        <v>2553</v>
      </c>
      <c r="E563" s="1" t="s">
        <v>3559</v>
      </c>
      <c r="F563" s="232" t="s">
        <v>2630</v>
      </c>
      <c r="G563" s="1" t="s">
        <v>3529</v>
      </c>
      <c r="H563" s="232" t="s">
        <v>3148</v>
      </c>
      <c r="I563" s="233" t="s">
        <v>3149</v>
      </c>
      <c r="J563" s="14">
        <v>5</v>
      </c>
      <c r="K563" s="138">
        <v>18</v>
      </c>
      <c r="L563" s="138">
        <v>90</v>
      </c>
    </row>
    <row r="564" spans="1:12" x14ac:dyDescent="0.25">
      <c r="A564" s="1">
        <v>563</v>
      </c>
      <c r="B564" s="1">
        <v>176</v>
      </c>
      <c r="C564" s="232" t="s">
        <v>3477</v>
      </c>
      <c r="D564" s="232" t="s">
        <v>2553</v>
      </c>
      <c r="E564" s="1" t="s">
        <v>3559</v>
      </c>
      <c r="F564" s="232" t="s">
        <v>2583</v>
      </c>
      <c r="G564" s="1" t="s">
        <v>3527</v>
      </c>
      <c r="H564" s="232" t="s">
        <v>3150</v>
      </c>
      <c r="I564" s="233" t="s">
        <v>3151</v>
      </c>
      <c r="J564" s="14">
        <v>4</v>
      </c>
      <c r="K564" s="138">
        <v>20</v>
      </c>
      <c r="L564" s="138">
        <v>80</v>
      </c>
    </row>
    <row r="565" spans="1:12" x14ac:dyDescent="0.25">
      <c r="A565" s="1">
        <v>564</v>
      </c>
      <c r="B565" s="1">
        <v>176</v>
      </c>
      <c r="C565" s="232" t="s">
        <v>3479</v>
      </c>
      <c r="D565" s="232" t="s">
        <v>2553</v>
      </c>
      <c r="E565" s="1" t="s">
        <v>3559</v>
      </c>
      <c r="F565" s="232" t="s">
        <v>2589</v>
      </c>
      <c r="G565" s="1" t="s">
        <v>3530</v>
      </c>
      <c r="H565" s="232" t="s">
        <v>3152</v>
      </c>
      <c r="I565" s="233" t="s">
        <v>3153</v>
      </c>
      <c r="J565" s="14">
        <v>1</v>
      </c>
      <c r="K565" s="138">
        <v>70</v>
      </c>
      <c r="L565" s="138">
        <v>70</v>
      </c>
    </row>
    <row r="566" spans="1:12" x14ac:dyDescent="0.25">
      <c r="A566" s="1">
        <v>565</v>
      </c>
      <c r="B566" s="1">
        <v>176</v>
      </c>
      <c r="C566" s="232" t="s">
        <v>3480</v>
      </c>
      <c r="D566" s="232" t="s">
        <v>2553</v>
      </c>
      <c r="E566" s="1" t="s">
        <v>3559</v>
      </c>
      <c r="F566" s="232" t="s">
        <v>2592</v>
      </c>
      <c r="G566" s="1" t="s">
        <v>3533</v>
      </c>
      <c r="H566" s="232" t="s">
        <v>3154</v>
      </c>
      <c r="I566" s="233" t="s">
        <v>3155</v>
      </c>
      <c r="J566" s="14">
        <v>3</v>
      </c>
      <c r="K566" s="138">
        <v>7</v>
      </c>
      <c r="L566" s="138">
        <v>21</v>
      </c>
    </row>
    <row r="567" spans="1:12" x14ac:dyDescent="0.25">
      <c r="A567" s="1">
        <v>566</v>
      </c>
      <c r="B567" s="1">
        <v>176</v>
      </c>
      <c r="C567" s="232" t="s">
        <v>3493</v>
      </c>
      <c r="D567" s="232" t="s">
        <v>2553</v>
      </c>
      <c r="E567" s="1" t="s">
        <v>3559</v>
      </c>
      <c r="F567" s="232" t="s">
        <v>2689</v>
      </c>
      <c r="G567" s="1" t="s">
        <v>3534</v>
      </c>
      <c r="H567" s="232" t="s">
        <v>3156</v>
      </c>
      <c r="I567" s="233" t="s">
        <v>3157</v>
      </c>
      <c r="J567" s="14">
        <v>1</v>
      </c>
      <c r="K567" s="138">
        <v>50</v>
      </c>
      <c r="L567" s="138">
        <v>50</v>
      </c>
    </row>
    <row r="568" spans="1:12" x14ac:dyDescent="0.25">
      <c r="A568" s="1">
        <v>567</v>
      </c>
      <c r="B568" s="1">
        <v>176</v>
      </c>
      <c r="C568" s="232" t="s">
        <v>3499</v>
      </c>
      <c r="D568" s="232" t="s">
        <v>2553</v>
      </c>
      <c r="E568" s="1" t="s">
        <v>3559</v>
      </c>
      <c r="F568" s="232" t="s">
        <v>2775</v>
      </c>
      <c r="G568" s="1" t="s">
        <v>3532</v>
      </c>
      <c r="H568" s="232" t="s">
        <v>3158</v>
      </c>
      <c r="I568" s="233" t="s">
        <v>3159</v>
      </c>
      <c r="J568" s="14">
        <v>1</v>
      </c>
      <c r="K568" s="138">
        <v>100</v>
      </c>
      <c r="L568" s="138">
        <v>100</v>
      </c>
    </row>
    <row r="569" spans="1:12" x14ac:dyDescent="0.25">
      <c r="A569" s="1">
        <v>568</v>
      </c>
      <c r="B569" s="1">
        <v>176</v>
      </c>
      <c r="C569" s="232" t="s">
        <v>3491</v>
      </c>
      <c r="D569" s="232" t="s">
        <v>2553</v>
      </c>
      <c r="E569" s="1" t="s">
        <v>3559</v>
      </c>
      <c r="F569" s="232" t="s">
        <v>2635</v>
      </c>
      <c r="G569" s="1" t="s">
        <v>3531</v>
      </c>
      <c r="H569" s="232" t="s">
        <v>3160</v>
      </c>
      <c r="I569" s="233" t="s">
        <v>3161</v>
      </c>
      <c r="J569" s="14">
        <v>1</v>
      </c>
      <c r="K569" s="138">
        <v>40</v>
      </c>
      <c r="L569" s="138">
        <v>40</v>
      </c>
    </row>
    <row r="570" spans="1:12" x14ac:dyDescent="0.25">
      <c r="A570" s="1">
        <v>569</v>
      </c>
      <c r="B570" s="1">
        <v>177</v>
      </c>
      <c r="C570" s="232" t="s">
        <v>3481</v>
      </c>
      <c r="D570" s="232" t="s">
        <v>2554</v>
      </c>
      <c r="E570" s="1" t="s">
        <v>3560</v>
      </c>
      <c r="F570" s="232" t="s">
        <v>2595</v>
      </c>
      <c r="G570" s="1" t="s">
        <v>3537</v>
      </c>
      <c r="H570" s="232" t="s">
        <v>3162</v>
      </c>
      <c r="I570" s="233" t="s">
        <v>3163</v>
      </c>
      <c r="J570" s="14">
        <v>400</v>
      </c>
      <c r="K570" s="138">
        <v>0.5</v>
      </c>
      <c r="L570" s="138">
        <v>200</v>
      </c>
    </row>
    <row r="571" spans="1:12" x14ac:dyDescent="0.25">
      <c r="A571" s="1">
        <v>570</v>
      </c>
      <c r="B571" s="1">
        <v>177</v>
      </c>
      <c r="C571" s="232" t="s">
        <v>3482</v>
      </c>
      <c r="D571" s="232" t="s">
        <v>2554</v>
      </c>
      <c r="E571" s="1" t="s">
        <v>3560</v>
      </c>
      <c r="F571" s="232" t="s">
        <v>2598</v>
      </c>
      <c r="G571" s="1" t="s">
        <v>3538</v>
      </c>
      <c r="H571" s="232" t="s">
        <v>3164</v>
      </c>
      <c r="I571" s="233" t="s">
        <v>3165</v>
      </c>
      <c r="J571" s="14">
        <v>75</v>
      </c>
      <c r="K571" s="138">
        <v>3</v>
      </c>
      <c r="L571" s="138">
        <v>225</v>
      </c>
    </row>
    <row r="572" spans="1:12" x14ac:dyDescent="0.25">
      <c r="A572" s="1">
        <v>571</v>
      </c>
      <c r="B572" s="1">
        <v>177</v>
      </c>
      <c r="C572" s="232" t="s">
        <v>3483</v>
      </c>
      <c r="D572" s="232" t="s">
        <v>2554</v>
      </c>
      <c r="E572" s="1" t="s">
        <v>3560</v>
      </c>
      <c r="F572" s="232" t="s">
        <v>2601</v>
      </c>
      <c r="G572" s="1" t="s">
        <v>3539</v>
      </c>
      <c r="H572" s="232" t="s">
        <v>3166</v>
      </c>
      <c r="I572" s="233" t="s">
        <v>3167</v>
      </c>
      <c r="J572" s="14">
        <v>12</v>
      </c>
      <c r="K572" s="138">
        <v>3</v>
      </c>
      <c r="L572" s="138">
        <v>36</v>
      </c>
    </row>
    <row r="573" spans="1:12" x14ac:dyDescent="0.25">
      <c r="A573" s="1">
        <v>572</v>
      </c>
      <c r="B573" s="1">
        <v>178</v>
      </c>
      <c r="C573" s="232" t="s">
        <v>3473</v>
      </c>
      <c r="D573" s="232" t="s">
        <v>2552</v>
      </c>
      <c r="E573" s="1" t="s">
        <v>3558</v>
      </c>
      <c r="F573" s="232" t="s">
        <v>2571</v>
      </c>
      <c r="G573" s="1" t="s">
        <v>3518</v>
      </c>
      <c r="H573" s="232" t="s">
        <v>3168</v>
      </c>
      <c r="I573" s="233" t="s">
        <v>3169</v>
      </c>
      <c r="J573" s="14">
        <v>5</v>
      </c>
      <c r="K573" s="138">
        <v>5</v>
      </c>
      <c r="L573" s="138">
        <v>25</v>
      </c>
    </row>
    <row r="574" spans="1:12" x14ac:dyDescent="0.25">
      <c r="A574" s="1">
        <v>573</v>
      </c>
      <c r="B574" s="1">
        <v>179</v>
      </c>
      <c r="C574" s="232" t="s">
        <v>3481</v>
      </c>
      <c r="D574" s="232" t="s">
        <v>2554</v>
      </c>
      <c r="E574" s="1" t="s">
        <v>3560</v>
      </c>
      <c r="F574" s="232" t="s">
        <v>2595</v>
      </c>
      <c r="G574" s="1" t="s">
        <v>3537</v>
      </c>
      <c r="H574" s="232" t="s">
        <v>3170</v>
      </c>
      <c r="I574" s="233" t="s">
        <v>3171</v>
      </c>
      <c r="J574" s="14">
        <v>500</v>
      </c>
      <c r="K574" s="138">
        <v>0.5</v>
      </c>
      <c r="L574" s="138">
        <v>250</v>
      </c>
    </row>
    <row r="575" spans="1:12" x14ac:dyDescent="0.25">
      <c r="A575" s="1">
        <v>574</v>
      </c>
      <c r="B575" s="1">
        <v>179</v>
      </c>
      <c r="C575" s="232" t="s">
        <v>3482</v>
      </c>
      <c r="D575" s="232" t="s">
        <v>2554</v>
      </c>
      <c r="E575" s="1" t="s">
        <v>3560</v>
      </c>
      <c r="F575" s="232" t="s">
        <v>2598</v>
      </c>
      <c r="G575" s="1" t="s">
        <v>3538</v>
      </c>
      <c r="H575" s="232" t="s">
        <v>3172</v>
      </c>
      <c r="I575" s="233" t="s">
        <v>3173</v>
      </c>
      <c r="J575" s="14">
        <v>75</v>
      </c>
      <c r="K575" s="138">
        <v>3</v>
      </c>
      <c r="L575" s="138">
        <v>225</v>
      </c>
    </row>
    <row r="576" spans="1:12" x14ac:dyDescent="0.25">
      <c r="A576" s="1">
        <v>575</v>
      </c>
      <c r="B576" s="1">
        <v>179</v>
      </c>
      <c r="C576" s="232" t="s">
        <v>3483</v>
      </c>
      <c r="D576" s="232" t="s">
        <v>2554</v>
      </c>
      <c r="E576" s="1" t="s">
        <v>3560</v>
      </c>
      <c r="F576" s="232" t="s">
        <v>2601</v>
      </c>
      <c r="G576" s="1" t="s">
        <v>3539</v>
      </c>
      <c r="H576" s="232" t="s">
        <v>3174</v>
      </c>
      <c r="I576" s="233" t="s">
        <v>3175</v>
      </c>
      <c r="J576" s="14">
        <v>12</v>
      </c>
      <c r="K576" s="138">
        <v>3</v>
      </c>
      <c r="L576" s="138">
        <v>36</v>
      </c>
    </row>
    <row r="577" spans="1:12" x14ac:dyDescent="0.25">
      <c r="A577" s="1">
        <v>576</v>
      </c>
      <c r="B577" s="1">
        <v>180</v>
      </c>
      <c r="C577" s="232" t="s">
        <v>3477</v>
      </c>
      <c r="D577" s="232" t="s">
        <v>2553</v>
      </c>
      <c r="E577" s="1" t="s">
        <v>3559</v>
      </c>
      <c r="F577" s="232" t="s">
        <v>2583</v>
      </c>
      <c r="G577" s="1" t="s">
        <v>3527</v>
      </c>
      <c r="H577" s="232" t="s">
        <v>3176</v>
      </c>
      <c r="I577" s="233" t="s">
        <v>3177</v>
      </c>
      <c r="J577" s="14">
        <v>4</v>
      </c>
      <c r="K577" s="138">
        <v>20</v>
      </c>
      <c r="L577" s="138">
        <v>80</v>
      </c>
    </row>
    <row r="578" spans="1:12" x14ac:dyDescent="0.25">
      <c r="A578" s="1">
        <v>577</v>
      </c>
      <c r="B578" s="1">
        <v>180</v>
      </c>
      <c r="C578" s="232" t="s">
        <v>3480</v>
      </c>
      <c r="D578" s="232" t="s">
        <v>2553</v>
      </c>
      <c r="E578" s="1" t="s">
        <v>3559</v>
      </c>
      <c r="F578" s="232" t="s">
        <v>2592</v>
      </c>
      <c r="G578" s="1" t="s">
        <v>3533</v>
      </c>
      <c r="H578" s="232" t="s">
        <v>3178</v>
      </c>
      <c r="I578" s="233" t="s">
        <v>3179</v>
      </c>
      <c r="J578" s="14">
        <v>3</v>
      </c>
      <c r="K578" s="138">
        <v>7</v>
      </c>
      <c r="L578" s="138">
        <v>21</v>
      </c>
    </row>
    <row r="579" spans="1:12" x14ac:dyDescent="0.25">
      <c r="A579" s="1">
        <v>578</v>
      </c>
      <c r="B579" s="1">
        <v>181</v>
      </c>
      <c r="C579" s="232" t="s">
        <v>3473</v>
      </c>
      <c r="D579" s="232" t="s">
        <v>2552</v>
      </c>
      <c r="E579" s="1" t="s">
        <v>3558</v>
      </c>
      <c r="F579" s="232" t="s">
        <v>2571</v>
      </c>
      <c r="G579" s="1" t="s">
        <v>3518</v>
      </c>
      <c r="H579" s="232" t="s">
        <v>3180</v>
      </c>
      <c r="I579" s="233" t="s">
        <v>3181</v>
      </c>
      <c r="J579" s="14">
        <v>42</v>
      </c>
      <c r="K579" s="138">
        <v>5</v>
      </c>
      <c r="L579" s="138">
        <v>210</v>
      </c>
    </row>
    <row r="580" spans="1:12" x14ac:dyDescent="0.25">
      <c r="A580" s="1">
        <v>579</v>
      </c>
      <c r="B580" s="1">
        <v>181</v>
      </c>
      <c r="C580" s="232" t="s">
        <v>3475</v>
      </c>
      <c r="D580" s="232" t="s">
        <v>2552</v>
      </c>
      <c r="E580" s="1" t="s">
        <v>3558</v>
      </c>
      <c r="F580" s="232" t="s">
        <v>2577</v>
      </c>
      <c r="G580" s="1" t="s">
        <v>3523</v>
      </c>
      <c r="H580" s="232" t="s">
        <v>3182</v>
      </c>
      <c r="I580" s="233" t="s">
        <v>3183</v>
      </c>
      <c r="J580" s="14">
        <v>7</v>
      </c>
      <c r="K580" s="138">
        <v>42</v>
      </c>
      <c r="L580" s="138">
        <v>294</v>
      </c>
    </row>
    <row r="581" spans="1:12" x14ac:dyDescent="0.25">
      <c r="A581" s="1">
        <v>580</v>
      </c>
      <c r="B581" s="1">
        <v>181</v>
      </c>
      <c r="C581" s="232" t="s">
        <v>3474</v>
      </c>
      <c r="D581" s="232" t="s">
        <v>2552</v>
      </c>
      <c r="E581" s="1" t="s">
        <v>3558</v>
      </c>
      <c r="F581" s="232" t="s">
        <v>2574</v>
      </c>
      <c r="G581" s="1" t="s">
        <v>3521</v>
      </c>
      <c r="H581" s="232" t="s">
        <v>3184</v>
      </c>
      <c r="I581" s="233" t="s">
        <v>3185</v>
      </c>
      <c r="J581" s="14">
        <v>2</v>
      </c>
      <c r="K581" s="138">
        <v>77</v>
      </c>
      <c r="L581" s="138">
        <v>154</v>
      </c>
    </row>
    <row r="582" spans="1:12" x14ac:dyDescent="0.25">
      <c r="A582" s="1">
        <v>581</v>
      </c>
      <c r="B582" s="1">
        <v>182</v>
      </c>
      <c r="C582" s="232" t="s">
        <v>3498</v>
      </c>
      <c r="D582" s="232" t="s">
        <v>2552</v>
      </c>
      <c r="E582" s="1" t="s">
        <v>3558</v>
      </c>
      <c r="F582" s="232" t="s">
        <v>2758</v>
      </c>
      <c r="G582" s="1" t="s">
        <v>3522</v>
      </c>
      <c r="H582" s="232" t="s">
        <v>3186</v>
      </c>
      <c r="I582" s="233" t="s">
        <v>3187</v>
      </c>
      <c r="J582" s="14">
        <v>1</v>
      </c>
      <c r="K582" s="138">
        <v>1.6</v>
      </c>
      <c r="L582" s="138">
        <v>1.6</v>
      </c>
    </row>
    <row r="583" spans="1:12" x14ac:dyDescent="0.25">
      <c r="A583" s="1">
        <v>582</v>
      </c>
      <c r="B583" s="1">
        <v>183</v>
      </c>
      <c r="C583" s="232" t="s">
        <v>3473</v>
      </c>
      <c r="D583" s="232" t="s">
        <v>2552</v>
      </c>
      <c r="E583" s="1" t="s">
        <v>3558</v>
      </c>
      <c r="F583" s="232" t="s">
        <v>2571</v>
      </c>
      <c r="G583" s="1" t="s">
        <v>3518</v>
      </c>
      <c r="H583" s="232" t="s">
        <v>3188</v>
      </c>
      <c r="I583" s="233" t="s">
        <v>3189</v>
      </c>
      <c r="J583" s="14">
        <v>30</v>
      </c>
      <c r="K583" s="138">
        <v>5</v>
      </c>
      <c r="L583" s="138">
        <v>150</v>
      </c>
    </row>
    <row r="584" spans="1:12" x14ac:dyDescent="0.25">
      <c r="A584" s="1">
        <v>583</v>
      </c>
      <c r="B584" s="1">
        <v>183</v>
      </c>
      <c r="C584" s="232" t="s">
        <v>3474</v>
      </c>
      <c r="D584" s="232" t="s">
        <v>2552</v>
      </c>
      <c r="E584" s="1" t="s">
        <v>3558</v>
      </c>
      <c r="F584" s="232" t="s">
        <v>2574</v>
      </c>
      <c r="G584" s="1" t="s">
        <v>3521</v>
      </c>
      <c r="H584" s="232" t="s">
        <v>3190</v>
      </c>
      <c r="I584" s="233" t="s">
        <v>3191</v>
      </c>
      <c r="J584" s="14">
        <v>5</v>
      </c>
      <c r="K584" s="138">
        <v>77</v>
      </c>
      <c r="L584" s="138">
        <v>385</v>
      </c>
    </row>
    <row r="585" spans="1:12" x14ac:dyDescent="0.25">
      <c r="A585" s="1">
        <v>584</v>
      </c>
      <c r="B585" s="1">
        <v>183</v>
      </c>
      <c r="C585" s="232" t="s">
        <v>3475</v>
      </c>
      <c r="D585" s="232" t="s">
        <v>2552</v>
      </c>
      <c r="E585" s="1" t="s">
        <v>3558</v>
      </c>
      <c r="F585" s="232" t="s">
        <v>2577</v>
      </c>
      <c r="G585" s="1" t="s">
        <v>3523</v>
      </c>
      <c r="H585" s="232" t="s">
        <v>3192</v>
      </c>
      <c r="I585" s="233" t="s">
        <v>3193</v>
      </c>
      <c r="J585" s="14">
        <v>8</v>
      </c>
      <c r="K585" s="138">
        <v>42</v>
      </c>
      <c r="L585" s="138">
        <v>336</v>
      </c>
    </row>
    <row r="586" spans="1:12" x14ac:dyDescent="0.25">
      <c r="A586" s="1">
        <v>585</v>
      </c>
      <c r="B586" s="1">
        <v>184</v>
      </c>
      <c r="C586" s="232" t="s">
        <v>3477</v>
      </c>
      <c r="D586" s="232" t="s">
        <v>2553</v>
      </c>
      <c r="E586" s="1" t="s">
        <v>3559</v>
      </c>
      <c r="F586" s="232" t="s">
        <v>2583</v>
      </c>
      <c r="G586" s="1" t="s">
        <v>3527</v>
      </c>
      <c r="H586" s="232" t="s">
        <v>3194</v>
      </c>
      <c r="I586" s="233" t="s">
        <v>3195</v>
      </c>
      <c r="J586" s="14">
        <v>4</v>
      </c>
      <c r="K586" s="138">
        <v>20</v>
      </c>
      <c r="L586" s="138">
        <v>80</v>
      </c>
    </row>
    <row r="587" spans="1:12" x14ac:dyDescent="0.25">
      <c r="A587" s="1">
        <v>586</v>
      </c>
      <c r="B587" s="1">
        <v>184</v>
      </c>
      <c r="C587" s="232" t="s">
        <v>3479</v>
      </c>
      <c r="D587" s="232" t="s">
        <v>2553</v>
      </c>
      <c r="E587" s="1" t="s">
        <v>3559</v>
      </c>
      <c r="F587" s="232" t="s">
        <v>2589</v>
      </c>
      <c r="G587" s="1" t="s">
        <v>3530</v>
      </c>
      <c r="H587" s="232" t="s">
        <v>3196</v>
      </c>
      <c r="I587" s="233" t="s">
        <v>3197</v>
      </c>
      <c r="J587" s="14">
        <v>1</v>
      </c>
      <c r="K587" s="138">
        <v>70</v>
      </c>
      <c r="L587" s="138">
        <v>70</v>
      </c>
    </row>
    <row r="588" spans="1:12" x14ac:dyDescent="0.25">
      <c r="A588" s="1">
        <v>587</v>
      </c>
      <c r="B588" s="1">
        <v>184</v>
      </c>
      <c r="C588" s="232" t="s">
        <v>3491</v>
      </c>
      <c r="D588" s="232" t="s">
        <v>2553</v>
      </c>
      <c r="E588" s="1" t="s">
        <v>3559</v>
      </c>
      <c r="F588" s="232" t="s">
        <v>2635</v>
      </c>
      <c r="G588" s="1" t="s">
        <v>3531</v>
      </c>
      <c r="H588" s="232" t="s">
        <v>3198</v>
      </c>
      <c r="I588" s="233" t="s">
        <v>3199</v>
      </c>
      <c r="J588" s="14">
        <v>1</v>
      </c>
      <c r="K588" s="138">
        <v>40</v>
      </c>
      <c r="L588" s="138">
        <v>40</v>
      </c>
    </row>
    <row r="589" spans="1:12" x14ac:dyDescent="0.25">
      <c r="A589" s="1">
        <v>588</v>
      </c>
      <c r="B589" s="1">
        <v>184</v>
      </c>
      <c r="C589" s="232" t="s">
        <v>3499</v>
      </c>
      <c r="D589" s="232" t="s">
        <v>2553</v>
      </c>
      <c r="E589" s="1" t="s">
        <v>3559</v>
      </c>
      <c r="F589" s="232" t="s">
        <v>2775</v>
      </c>
      <c r="G589" s="1" t="s">
        <v>3532</v>
      </c>
      <c r="H589" s="232" t="s">
        <v>3200</v>
      </c>
      <c r="I589" s="233" t="s">
        <v>3201</v>
      </c>
      <c r="J589" s="14">
        <v>1</v>
      </c>
      <c r="K589" s="138">
        <v>100</v>
      </c>
      <c r="L589" s="138">
        <v>100</v>
      </c>
    </row>
    <row r="590" spans="1:12" x14ac:dyDescent="0.25">
      <c r="A590" s="1">
        <v>589</v>
      </c>
      <c r="B590" s="1">
        <v>184</v>
      </c>
      <c r="C590" s="232" t="s">
        <v>3493</v>
      </c>
      <c r="D590" s="232" t="s">
        <v>2553</v>
      </c>
      <c r="E590" s="1" t="s">
        <v>3559</v>
      </c>
      <c r="F590" s="232" t="s">
        <v>2689</v>
      </c>
      <c r="G590" s="1" t="s">
        <v>3534</v>
      </c>
      <c r="H590" s="232" t="s">
        <v>3202</v>
      </c>
      <c r="I590" s="233" t="s">
        <v>3203</v>
      </c>
      <c r="J590" s="14">
        <v>1</v>
      </c>
      <c r="K590" s="138">
        <v>50</v>
      </c>
      <c r="L590" s="138">
        <v>50</v>
      </c>
    </row>
    <row r="591" spans="1:12" x14ac:dyDescent="0.25">
      <c r="A591" s="1">
        <v>590</v>
      </c>
      <c r="B591" s="1">
        <v>184</v>
      </c>
      <c r="C591" s="232" t="s">
        <v>3480</v>
      </c>
      <c r="D591" s="232" t="s">
        <v>2553</v>
      </c>
      <c r="E591" s="1" t="s">
        <v>3559</v>
      </c>
      <c r="F591" s="232" t="s">
        <v>2592</v>
      </c>
      <c r="G591" s="1" t="s">
        <v>3533</v>
      </c>
      <c r="H591" s="232" t="s">
        <v>3204</v>
      </c>
      <c r="I591" s="233" t="s">
        <v>3205</v>
      </c>
      <c r="J591" s="14">
        <v>2</v>
      </c>
      <c r="K591" s="138">
        <v>7</v>
      </c>
      <c r="L591" s="138">
        <v>14</v>
      </c>
    </row>
    <row r="592" spans="1:12" x14ac:dyDescent="0.25">
      <c r="A592" s="1">
        <v>591</v>
      </c>
      <c r="B592" s="1">
        <v>184</v>
      </c>
      <c r="C592" s="232" t="s">
        <v>3478</v>
      </c>
      <c r="D592" s="232" t="s">
        <v>2553</v>
      </c>
      <c r="E592" s="1" t="s">
        <v>3559</v>
      </c>
      <c r="F592" s="232" t="s">
        <v>2586</v>
      </c>
      <c r="G592" s="1" t="s">
        <v>3528</v>
      </c>
      <c r="H592" s="232" t="s">
        <v>3206</v>
      </c>
      <c r="I592" s="233" t="s">
        <v>3207</v>
      </c>
      <c r="J592" s="14">
        <v>45</v>
      </c>
      <c r="K592" s="138">
        <v>18</v>
      </c>
      <c r="L592" s="138">
        <v>810</v>
      </c>
    </row>
    <row r="593" spans="1:12" x14ac:dyDescent="0.25">
      <c r="A593" s="1">
        <v>592</v>
      </c>
      <c r="B593" s="1">
        <v>184</v>
      </c>
      <c r="C593" s="232" t="s">
        <v>3490</v>
      </c>
      <c r="D593" s="232" t="s">
        <v>2553</v>
      </c>
      <c r="E593" s="1" t="s">
        <v>3559</v>
      </c>
      <c r="F593" s="232" t="s">
        <v>2630</v>
      </c>
      <c r="G593" s="1" t="s">
        <v>3529</v>
      </c>
      <c r="H593" s="232" t="s">
        <v>3208</v>
      </c>
      <c r="I593" s="233" t="s">
        <v>3209</v>
      </c>
      <c r="J593" s="14">
        <v>125</v>
      </c>
      <c r="K593" s="138">
        <v>18</v>
      </c>
      <c r="L593" s="138">
        <v>2250</v>
      </c>
    </row>
    <row r="594" spans="1:12" x14ac:dyDescent="0.25">
      <c r="A594" s="1">
        <v>593</v>
      </c>
      <c r="B594" s="1">
        <v>185</v>
      </c>
      <c r="C594" s="232" t="s">
        <v>3481</v>
      </c>
      <c r="D594" s="232" t="s">
        <v>2554</v>
      </c>
      <c r="E594" s="1" t="s">
        <v>3560</v>
      </c>
      <c r="F594" s="232" t="s">
        <v>2595</v>
      </c>
      <c r="G594" s="1" t="s">
        <v>3537</v>
      </c>
      <c r="H594" s="232" t="s">
        <v>3210</v>
      </c>
      <c r="I594" s="233" t="s">
        <v>3211</v>
      </c>
      <c r="J594" s="14">
        <v>400</v>
      </c>
      <c r="K594" s="138">
        <v>0.5</v>
      </c>
      <c r="L594" s="138">
        <v>200</v>
      </c>
    </row>
    <row r="595" spans="1:12" x14ac:dyDescent="0.25">
      <c r="A595" s="1">
        <v>594</v>
      </c>
      <c r="B595" s="1">
        <v>185</v>
      </c>
      <c r="C595" s="232" t="s">
        <v>3482</v>
      </c>
      <c r="D595" s="232" t="s">
        <v>2554</v>
      </c>
      <c r="E595" s="1" t="s">
        <v>3560</v>
      </c>
      <c r="F595" s="232" t="s">
        <v>2598</v>
      </c>
      <c r="G595" s="1" t="s">
        <v>3538</v>
      </c>
      <c r="H595" s="232" t="s">
        <v>3212</v>
      </c>
      <c r="I595" s="233" t="s">
        <v>3213</v>
      </c>
      <c r="J595" s="14">
        <v>100</v>
      </c>
      <c r="K595" s="138">
        <v>3</v>
      </c>
      <c r="L595" s="138">
        <v>300</v>
      </c>
    </row>
    <row r="596" spans="1:12" x14ac:dyDescent="0.25">
      <c r="A596" s="1">
        <v>595</v>
      </c>
      <c r="B596" s="1">
        <v>185</v>
      </c>
      <c r="C596" s="232" t="s">
        <v>3483</v>
      </c>
      <c r="D596" s="232" t="s">
        <v>2554</v>
      </c>
      <c r="E596" s="1" t="s">
        <v>3560</v>
      </c>
      <c r="F596" s="232" t="s">
        <v>2601</v>
      </c>
      <c r="G596" s="1" t="s">
        <v>3539</v>
      </c>
      <c r="H596" s="232" t="s">
        <v>3214</v>
      </c>
      <c r="I596" s="233" t="s">
        <v>3215</v>
      </c>
      <c r="J596" s="14">
        <v>25</v>
      </c>
      <c r="K596" s="138">
        <v>3</v>
      </c>
      <c r="L596" s="138">
        <v>75</v>
      </c>
    </row>
    <row r="597" spans="1:12" x14ac:dyDescent="0.25">
      <c r="A597" s="1">
        <v>596</v>
      </c>
      <c r="B597" s="1">
        <v>186</v>
      </c>
      <c r="C597" s="232" t="s">
        <v>3470</v>
      </c>
      <c r="D597" s="232" t="s">
        <v>2552</v>
      </c>
      <c r="E597" s="1" t="s">
        <v>3558</v>
      </c>
      <c r="F597" s="232" t="s">
        <v>2562</v>
      </c>
      <c r="G597" s="1" t="s">
        <v>3514</v>
      </c>
      <c r="H597" s="232" t="s">
        <v>3216</v>
      </c>
      <c r="I597" s="233" t="s">
        <v>3217</v>
      </c>
      <c r="J597" s="14">
        <v>10</v>
      </c>
      <c r="K597" s="138">
        <v>6</v>
      </c>
      <c r="L597" s="138">
        <v>60</v>
      </c>
    </row>
    <row r="598" spans="1:12" x14ac:dyDescent="0.25">
      <c r="A598" s="1">
        <v>597</v>
      </c>
      <c r="B598" s="1">
        <v>186</v>
      </c>
      <c r="C598" s="232" t="s">
        <v>3473</v>
      </c>
      <c r="D598" s="232" t="s">
        <v>2552</v>
      </c>
      <c r="E598" s="1" t="s">
        <v>3558</v>
      </c>
      <c r="F598" s="232" t="s">
        <v>2571</v>
      </c>
      <c r="G598" s="1" t="s">
        <v>3518</v>
      </c>
      <c r="H598" s="232" t="s">
        <v>3218</v>
      </c>
      <c r="I598" s="233" t="s">
        <v>3219</v>
      </c>
      <c r="J598" s="14">
        <v>600</v>
      </c>
      <c r="K598" s="138">
        <v>5</v>
      </c>
      <c r="L598" s="138">
        <v>3000</v>
      </c>
    </row>
    <row r="599" spans="1:12" x14ac:dyDescent="0.25">
      <c r="A599" s="1">
        <v>598</v>
      </c>
      <c r="B599" s="1">
        <v>186</v>
      </c>
      <c r="C599" s="232" t="s">
        <v>3475</v>
      </c>
      <c r="D599" s="232" t="s">
        <v>2552</v>
      </c>
      <c r="E599" s="1" t="s">
        <v>3558</v>
      </c>
      <c r="F599" s="232" t="s">
        <v>2577</v>
      </c>
      <c r="G599" s="1" t="s">
        <v>3523</v>
      </c>
      <c r="H599" s="232" t="s">
        <v>3220</v>
      </c>
      <c r="I599" s="233" t="s">
        <v>3221</v>
      </c>
      <c r="J599" s="14">
        <v>6</v>
      </c>
      <c r="K599" s="138">
        <v>42</v>
      </c>
      <c r="L599" s="138">
        <v>252</v>
      </c>
    </row>
    <row r="600" spans="1:12" x14ac:dyDescent="0.25">
      <c r="A600" s="1">
        <v>599</v>
      </c>
      <c r="B600" s="1">
        <v>186</v>
      </c>
      <c r="C600" s="232" t="s">
        <v>3474</v>
      </c>
      <c r="D600" s="232" t="s">
        <v>2552</v>
      </c>
      <c r="E600" s="1" t="s">
        <v>3558</v>
      </c>
      <c r="F600" s="232" t="s">
        <v>2574</v>
      </c>
      <c r="G600" s="1" t="s">
        <v>3521</v>
      </c>
      <c r="H600" s="232" t="s">
        <v>3222</v>
      </c>
      <c r="I600" s="233" t="s">
        <v>3223</v>
      </c>
      <c r="J600" s="14">
        <v>6</v>
      </c>
      <c r="K600" s="138">
        <v>77</v>
      </c>
      <c r="L600" s="138">
        <v>462</v>
      </c>
    </row>
    <row r="601" spans="1:12" x14ac:dyDescent="0.25">
      <c r="A601" s="1">
        <v>600</v>
      </c>
      <c r="B601" s="1">
        <v>186</v>
      </c>
      <c r="C601" s="232" t="s">
        <v>3498</v>
      </c>
      <c r="D601" s="232" t="s">
        <v>2552</v>
      </c>
      <c r="E601" s="1" t="s">
        <v>3558</v>
      </c>
      <c r="F601" s="232" t="s">
        <v>2758</v>
      </c>
      <c r="G601" s="1" t="s">
        <v>3522</v>
      </c>
      <c r="H601" s="232" t="s">
        <v>3224</v>
      </c>
      <c r="I601" s="233" t="s">
        <v>3225</v>
      </c>
      <c r="J601" s="14">
        <v>1</v>
      </c>
      <c r="K601" s="138">
        <v>1.6</v>
      </c>
      <c r="L601" s="138">
        <v>1.6</v>
      </c>
    </row>
    <row r="602" spans="1:12" x14ac:dyDescent="0.25">
      <c r="A602" s="1">
        <v>601</v>
      </c>
      <c r="B602" s="1">
        <v>187</v>
      </c>
      <c r="C602" s="232" t="s">
        <v>3500</v>
      </c>
      <c r="D602" s="232" t="s">
        <v>2554</v>
      </c>
      <c r="E602" s="1" t="s">
        <v>3560</v>
      </c>
      <c r="F602" s="232" t="s">
        <v>2782</v>
      </c>
      <c r="G602" s="1" t="s">
        <v>3536</v>
      </c>
      <c r="H602" s="232" t="s">
        <v>3226</v>
      </c>
      <c r="I602" s="233" t="s">
        <v>3227</v>
      </c>
      <c r="J602" s="14">
        <v>300</v>
      </c>
      <c r="K602" s="138">
        <v>10</v>
      </c>
      <c r="L602" s="138">
        <v>3000</v>
      </c>
    </row>
    <row r="603" spans="1:12" x14ac:dyDescent="0.25">
      <c r="A603" s="1">
        <v>602</v>
      </c>
      <c r="B603" s="1">
        <v>187</v>
      </c>
      <c r="C603" s="232" t="s">
        <v>3481</v>
      </c>
      <c r="D603" s="232" t="s">
        <v>2554</v>
      </c>
      <c r="E603" s="1" t="s">
        <v>3560</v>
      </c>
      <c r="F603" s="232" t="s">
        <v>2595</v>
      </c>
      <c r="G603" s="1" t="s">
        <v>3537</v>
      </c>
      <c r="H603" s="232" t="s">
        <v>3228</v>
      </c>
      <c r="I603" s="233" t="s">
        <v>3229</v>
      </c>
      <c r="J603" s="14">
        <v>600</v>
      </c>
      <c r="K603" s="138">
        <v>0.5</v>
      </c>
      <c r="L603" s="138">
        <v>300</v>
      </c>
    </row>
    <row r="604" spans="1:12" x14ac:dyDescent="0.25">
      <c r="A604" s="1">
        <v>603</v>
      </c>
      <c r="B604" s="1">
        <v>187</v>
      </c>
      <c r="C604" s="232" t="s">
        <v>3482</v>
      </c>
      <c r="D604" s="232" t="s">
        <v>2554</v>
      </c>
      <c r="E604" s="1" t="s">
        <v>3560</v>
      </c>
      <c r="F604" s="232" t="s">
        <v>2598</v>
      </c>
      <c r="G604" s="1" t="s">
        <v>3538</v>
      </c>
      <c r="H604" s="232" t="s">
        <v>3230</v>
      </c>
      <c r="I604" s="233" t="s">
        <v>3231</v>
      </c>
      <c r="J604" s="14">
        <v>150</v>
      </c>
      <c r="K604" s="138">
        <v>3</v>
      </c>
      <c r="L604" s="138">
        <v>450</v>
      </c>
    </row>
    <row r="605" spans="1:12" x14ac:dyDescent="0.25">
      <c r="A605" s="1">
        <v>604</v>
      </c>
      <c r="B605" s="1">
        <v>187</v>
      </c>
      <c r="C605" s="232" t="s">
        <v>3483</v>
      </c>
      <c r="D605" s="232" t="s">
        <v>2554</v>
      </c>
      <c r="E605" s="1" t="s">
        <v>3560</v>
      </c>
      <c r="F605" s="232" t="s">
        <v>2601</v>
      </c>
      <c r="G605" s="1" t="s">
        <v>3539</v>
      </c>
      <c r="H605" s="232" t="s">
        <v>3232</v>
      </c>
      <c r="I605" s="233" t="s">
        <v>3233</v>
      </c>
      <c r="J605" s="14">
        <v>20</v>
      </c>
      <c r="K605" s="138">
        <v>3</v>
      </c>
      <c r="L605" s="138">
        <v>60</v>
      </c>
    </row>
    <row r="606" spans="1:12" x14ac:dyDescent="0.25">
      <c r="A606" s="1">
        <v>605</v>
      </c>
      <c r="B606" s="1">
        <v>188</v>
      </c>
      <c r="C606" s="232" t="s">
        <v>3477</v>
      </c>
      <c r="D606" s="232" t="s">
        <v>2553</v>
      </c>
      <c r="E606" s="1" t="s">
        <v>3559</v>
      </c>
      <c r="F606" s="232" t="s">
        <v>2583</v>
      </c>
      <c r="G606" s="1" t="s">
        <v>3527</v>
      </c>
      <c r="H606" s="232" t="s">
        <v>3234</v>
      </c>
      <c r="I606" s="233" t="s">
        <v>3235</v>
      </c>
      <c r="J606" s="14">
        <v>4</v>
      </c>
      <c r="K606" s="138">
        <v>20</v>
      </c>
      <c r="L606" s="138">
        <v>80</v>
      </c>
    </row>
    <row r="607" spans="1:12" x14ac:dyDescent="0.25">
      <c r="A607" s="1">
        <v>606</v>
      </c>
      <c r="B607" s="1">
        <v>188</v>
      </c>
      <c r="C607" s="232" t="s">
        <v>3478</v>
      </c>
      <c r="D607" s="232" t="s">
        <v>2553</v>
      </c>
      <c r="E607" s="1" t="s">
        <v>3559</v>
      </c>
      <c r="F607" s="232" t="s">
        <v>2586</v>
      </c>
      <c r="G607" s="1" t="s">
        <v>3528</v>
      </c>
      <c r="H607" s="232" t="s">
        <v>3236</v>
      </c>
      <c r="I607" s="233" t="s">
        <v>3237</v>
      </c>
      <c r="J607" s="14">
        <v>105</v>
      </c>
      <c r="K607" s="138">
        <v>18</v>
      </c>
      <c r="L607" s="138">
        <v>1890</v>
      </c>
    </row>
    <row r="608" spans="1:12" x14ac:dyDescent="0.25">
      <c r="A608" s="1">
        <v>607</v>
      </c>
      <c r="B608" s="1">
        <v>188</v>
      </c>
      <c r="C608" s="232" t="s">
        <v>3490</v>
      </c>
      <c r="D608" s="232" t="s">
        <v>2553</v>
      </c>
      <c r="E608" s="1" t="s">
        <v>3559</v>
      </c>
      <c r="F608" s="232" t="s">
        <v>2630</v>
      </c>
      <c r="G608" s="1" t="s">
        <v>3529</v>
      </c>
      <c r="H608" s="232" t="s">
        <v>3238</v>
      </c>
      <c r="I608" s="233" t="s">
        <v>3239</v>
      </c>
      <c r="J608" s="14">
        <v>100</v>
      </c>
      <c r="K608" s="138">
        <v>18</v>
      </c>
      <c r="L608" s="138">
        <v>1800</v>
      </c>
    </row>
    <row r="609" spans="1:12" x14ac:dyDescent="0.25">
      <c r="A609" s="1">
        <v>608</v>
      </c>
      <c r="B609" s="1">
        <v>188</v>
      </c>
      <c r="C609" s="232" t="s">
        <v>3479</v>
      </c>
      <c r="D609" s="232" t="s">
        <v>2553</v>
      </c>
      <c r="E609" s="1" t="s">
        <v>3559</v>
      </c>
      <c r="F609" s="232" t="s">
        <v>2589</v>
      </c>
      <c r="G609" s="1" t="s">
        <v>3530</v>
      </c>
      <c r="H609" s="232" t="s">
        <v>3240</v>
      </c>
      <c r="I609" s="233" t="s">
        <v>3241</v>
      </c>
      <c r="J609" s="14">
        <v>1</v>
      </c>
      <c r="K609" s="138">
        <v>70</v>
      </c>
      <c r="L609" s="138">
        <v>70</v>
      </c>
    </row>
    <row r="610" spans="1:12" x14ac:dyDescent="0.25">
      <c r="A610" s="1">
        <v>609</v>
      </c>
      <c r="B610" s="1">
        <v>188</v>
      </c>
      <c r="C610" s="232" t="s">
        <v>3491</v>
      </c>
      <c r="D610" s="232" t="s">
        <v>2553</v>
      </c>
      <c r="E610" s="1" t="s">
        <v>3559</v>
      </c>
      <c r="F610" s="232" t="s">
        <v>2635</v>
      </c>
      <c r="G610" s="1" t="s">
        <v>3531</v>
      </c>
      <c r="H610" s="232" t="s">
        <v>3242</v>
      </c>
      <c r="I610" s="233" t="s">
        <v>3243</v>
      </c>
      <c r="J610" s="14">
        <v>1</v>
      </c>
      <c r="K610" s="138">
        <v>40</v>
      </c>
      <c r="L610" s="138">
        <v>40</v>
      </c>
    </row>
    <row r="611" spans="1:12" x14ac:dyDescent="0.25">
      <c r="A611" s="1">
        <v>610</v>
      </c>
      <c r="B611" s="1">
        <v>188</v>
      </c>
      <c r="C611" s="232" t="s">
        <v>3499</v>
      </c>
      <c r="D611" s="232" t="s">
        <v>2553</v>
      </c>
      <c r="E611" s="1" t="s">
        <v>3559</v>
      </c>
      <c r="F611" s="232" t="s">
        <v>2775</v>
      </c>
      <c r="G611" s="1" t="s">
        <v>3532</v>
      </c>
      <c r="H611" s="232" t="s">
        <v>3244</v>
      </c>
      <c r="I611" s="233" t="s">
        <v>3245</v>
      </c>
      <c r="J611" s="14">
        <v>1</v>
      </c>
      <c r="K611" s="138">
        <v>100</v>
      </c>
      <c r="L611" s="138">
        <v>100</v>
      </c>
    </row>
    <row r="612" spans="1:12" x14ac:dyDescent="0.25">
      <c r="A612" s="1">
        <v>611</v>
      </c>
      <c r="B612" s="1">
        <v>188</v>
      </c>
      <c r="C612" s="232" t="s">
        <v>3480</v>
      </c>
      <c r="D612" s="232" t="s">
        <v>2553</v>
      </c>
      <c r="E612" s="1" t="s">
        <v>3559</v>
      </c>
      <c r="F612" s="232" t="s">
        <v>2592</v>
      </c>
      <c r="G612" s="1" t="s">
        <v>3533</v>
      </c>
      <c r="H612" s="232" t="s">
        <v>3246</v>
      </c>
      <c r="I612" s="233" t="s">
        <v>3247</v>
      </c>
      <c r="J612" s="14">
        <v>3</v>
      </c>
      <c r="K612" s="138">
        <v>7</v>
      </c>
      <c r="L612" s="138">
        <v>21</v>
      </c>
    </row>
    <row r="613" spans="1:12" x14ac:dyDescent="0.25">
      <c r="A613" s="1">
        <v>612</v>
      </c>
      <c r="B613" s="1">
        <v>188</v>
      </c>
      <c r="C613" s="232" t="s">
        <v>3493</v>
      </c>
      <c r="D613" s="232" t="s">
        <v>2553</v>
      </c>
      <c r="E613" s="1" t="s">
        <v>3559</v>
      </c>
      <c r="F613" s="232" t="s">
        <v>2689</v>
      </c>
      <c r="G613" s="1" t="s">
        <v>3534</v>
      </c>
      <c r="H613" s="232" t="s">
        <v>3248</v>
      </c>
      <c r="I613" s="233" t="s">
        <v>3249</v>
      </c>
      <c r="J613" s="14">
        <v>1</v>
      </c>
      <c r="K613" s="138">
        <v>50</v>
      </c>
      <c r="L613" s="138">
        <v>50</v>
      </c>
    </row>
    <row r="614" spans="1:12" x14ac:dyDescent="0.25">
      <c r="A614" s="1">
        <v>613</v>
      </c>
      <c r="B614" s="1">
        <v>189</v>
      </c>
      <c r="C614" s="232" t="s">
        <v>3496</v>
      </c>
      <c r="D614" s="232" t="s">
        <v>2552</v>
      </c>
      <c r="E614" s="1" t="s">
        <v>3558</v>
      </c>
      <c r="F614" s="232" t="s">
        <v>2750</v>
      </c>
      <c r="G614" s="1" t="s">
        <v>3519</v>
      </c>
      <c r="H614" s="232" t="s">
        <v>3250</v>
      </c>
      <c r="I614" s="233" t="s">
        <v>3251</v>
      </c>
      <c r="J614" s="14">
        <v>3</v>
      </c>
      <c r="K614" s="138">
        <v>25</v>
      </c>
      <c r="L614" s="138">
        <v>75</v>
      </c>
    </row>
    <row r="615" spans="1:12" x14ac:dyDescent="0.25">
      <c r="A615" s="1">
        <v>614</v>
      </c>
      <c r="B615" s="1">
        <v>189</v>
      </c>
      <c r="C615" s="232" t="s">
        <v>3475</v>
      </c>
      <c r="D615" s="232" t="s">
        <v>2552</v>
      </c>
      <c r="E615" s="1" t="s">
        <v>3558</v>
      </c>
      <c r="F615" s="232" t="s">
        <v>2577</v>
      </c>
      <c r="G615" s="1" t="s">
        <v>3523</v>
      </c>
      <c r="H615" s="232" t="s">
        <v>3252</v>
      </c>
      <c r="I615" s="233" t="s">
        <v>3253</v>
      </c>
      <c r="J615" s="14">
        <v>9</v>
      </c>
      <c r="K615" s="138">
        <v>42</v>
      </c>
      <c r="L615" s="138">
        <v>378</v>
      </c>
    </row>
    <row r="616" spans="1:12" x14ac:dyDescent="0.25">
      <c r="A616" s="1">
        <v>615</v>
      </c>
      <c r="B616" s="1">
        <v>190</v>
      </c>
      <c r="C616" s="232" t="s">
        <v>3477</v>
      </c>
      <c r="D616" s="232" t="s">
        <v>2553</v>
      </c>
      <c r="E616" s="1" t="s">
        <v>3559</v>
      </c>
      <c r="F616" s="232" t="s">
        <v>2583</v>
      </c>
      <c r="G616" s="1" t="s">
        <v>3527</v>
      </c>
      <c r="H616" s="232" t="s">
        <v>3254</v>
      </c>
      <c r="I616" s="233" t="s">
        <v>3255</v>
      </c>
      <c r="J616" s="14">
        <v>4</v>
      </c>
      <c r="K616" s="138">
        <v>20</v>
      </c>
      <c r="L616" s="138">
        <v>80</v>
      </c>
    </row>
    <row r="617" spans="1:12" x14ac:dyDescent="0.25">
      <c r="A617" s="1">
        <v>616</v>
      </c>
      <c r="B617" s="1">
        <v>190</v>
      </c>
      <c r="C617" s="232" t="s">
        <v>3480</v>
      </c>
      <c r="D617" s="232" t="s">
        <v>2553</v>
      </c>
      <c r="E617" s="1" t="s">
        <v>3559</v>
      </c>
      <c r="F617" s="232" t="s">
        <v>2592</v>
      </c>
      <c r="G617" s="1" t="s">
        <v>3533</v>
      </c>
      <c r="H617" s="232" t="s">
        <v>3256</v>
      </c>
      <c r="I617" s="233" t="s">
        <v>3257</v>
      </c>
      <c r="J617" s="14">
        <v>1</v>
      </c>
      <c r="K617" s="138">
        <v>7</v>
      </c>
      <c r="L617" s="138">
        <v>7</v>
      </c>
    </row>
    <row r="618" spans="1:12" x14ac:dyDescent="0.25">
      <c r="A618" s="1">
        <v>617</v>
      </c>
      <c r="B618" s="1">
        <v>191</v>
      </c>
      <c r="C618" s="232" t="s">
        <v>3475</v>
      </c>
      <c r="D618" s="232" t="s">
        <v>2552</v>
      </c>
      <c r="E618" s="1" t="s">
        <v>3558</v>
      </c>
      <c r="F618" s="232" t="s">
        <v>2577</v>
      </c>
      <c r="G618" s="1" t="s">
        <v>3523</v>
      </c>
      <c r="H618" s="232" t="s">
        <v>3258</v>
      </c>
      <c r="I618" s="233" t="s">
        <v>3259</v>
      </c>
      <c r="J618" s="14">
        <v>1</v>
      </c>
      <c r="K618" s="138">
        <v>42</v>
      </c>
      <c r="L618" s="138">
        <v>42</v>
      </c>
    </row>
    <row r="619" spans="1:12" x14ac:dyDescent="0.25">
      <c r="A619" s="1">
        <v>618</v>
      </c>
      <c r="B619" s="1">
        <v>192</v>
      </c>
      <c r="C619" s="232" t="s">
        <v>3477</v>
      </c>
      <c r="D619" s="232" t="s">
        <v>2553</v>
      </c>
      <c r="E619" s="1" t="s">
        <v>3559</v>
      </c>
      <c r="F619" s="232" t="s">
        <v>2583</v>
      </c>
      <c r="G619" s="1" t="s">
        <v>3527</v>
      </c>
      <c r="H619" s="232" t="s">
        <v>3260</v>
      </c>
      <c r="I619" s="233" t="s">
        <v>3261</v>
      </c>
      <c r="J619" s="14">
        <v>3</v>
      </c>
      <c r="K619" s="138">
        <v>20</v>
      </c>
      <c r="L619" s="138">
        <v>60</v>
      </c>
    </row>
    <row r="620" spans="1:12" x14ac:dyDescent="0.25">
      <c r="A620" s="1">
        <v>619</v>
      </c>
      <c r="B620" s="1">
        <v>192</v>
      </c>
      <c r="C620" s="232" t="s">
        <v>3480</v>
      </c>
      <c r="D620" s="232" t="s">
        <v>2553</v>
      </c>
      <c r="E620" s="1" t="s">
        <v>3559</v>
      </c>
      <c r="F620" s="232" t="s">
        <v>2592</v>
      </c>
      <c r="G620" s="1" t="s">
        <v>3533</v>
      </c>
      <c r="H620" s="232" t="s">
        <v>3262</v>
      </c>
      <c r="I620" s="233" t="s">
        <v>3263</v>
      </c>
      <c r="J620" s="14">
        <v>1</v>
      </c>
      <c r="K620" s="138">
        <v>7</v>
      </c>
      <c r="L620" s="138">
        <v>7</v>
      </c>
    </row>
    <row r="621" spans="1:12" x14ac:dyDescent="0.25">
      <c r="A621" s="1">
        <v>620</v>
      </c>
      <c r="B621" s="1">
        <v>193</v>
      </c>
      <c r="C621" s="232" t="s">
        <v>3493</v>
      </c>
      <c r="D621" s="232" t="s">
        <v>2553</v>
      </c>
      <c r="E621" s="1" t="s">
        <v>3559</v>
      </c>
      <c r="F621" s="232" t="s">
        <v>2689</v>
      </c>
      <c r="G621" s="1" t="s">
        <v>3534</v>
      </c>
      <c r="H621" s="232" t="s">
        <v>3264</v>
      </c>
      <c r="I621" s="233" t="s">
        <v>3265</v>
      </c>
      <c r="J621" s="14">
        <v>1</v>
      </c>
      <c r="K621" s="138">
        <v>50</v>
      </c>
      <c r="L621" s="138">
        <v>50</v>
      </c>
    </row>
    <row r="622" spans="1:12" x14ac:dyDescent="0.25">
      <c r="A622" s="1">
        <v>621</v>
      </c>
      <c r="B622" s="1">
        <v>194</v>
      </c>
      <c r="C622" s="232" t="s">
        <v>3474</v>
      </c>
      <c r="D622" s="232" t="s">
        <v>2552</v>
      </c>
      <c r="E622" s="1" t="s">
        <v>3558</v>
      </c>
      <c r="F622" s="232" t="s">
        <v>2574</v>
      </c>
      <c r="G622" s="1" t="s">
        <v>3521</v>
      </c>
      <c r="H622" s="232" t="s">
        <v>3266</v>
      </c>
      <c r="I622" s="233" t="s">
        <v>3267</v>
      </c>
      <c r="J622" s="14">
        <v>3</v>
      </c>
      <c r="K622" s="138">
        <v>77</v>
      </c>
      <c r="L622" s="138">
        <v>231</v>
      </c>
    </row>
    <row r="623" spans="1:12" x14ac:dyDescent="0.25">
      <c r="A623" s="1">
        <v>622</v>
      </c>
      <c r="B623" s="1">
        <v>195</v>
      </c>
      <c r="C623" s="232" t="s">
        <v>3470</v>
      </c>
      <c r="D623" s="232" t="s">
        <v>2552</v>
      </c>
      <c r="E623" s="1" t="s">
        <v>3558</v>
      </c>
      <c r="F623" s="232" t="s">
        <v>2562</v>
      </c>
      <c r="G623" s="1" t="s">
        <v>3514</v>
      </c>
      <c r="H623" s="232" t="s">
        <v>3268</v>
      </c>
      <c r="I623" s="233" t="s">
        <v>3269</v>
      </c>
      <c r="J623" s="14">
        <v>1</v>
      </c>
      <c r="K623" s="138">
        <v>6</v>
      </c>
      <c r="L623" s="138">
        <v>6</v>
      </c>
    </row>
    <row r="624" spans="1:12" x14ac:dyDescent="0.25">
      <c r="A624" s="1">
        <v>623</v>
      </c>
      <c r="B624" s="1">
        <v>195</v>
      </c>
      <c r="C624" s="232" t="s">
        <v>3471</v>
      </c>
      <c r="D624" s="232" t="s">
        <v>2552</v>
      </c>
      <c r="E624" s="1" t="s">
        <v>3558</v>
      </c>
      <c r="F624" s="232" t="s">
        <v>2565</v>
      </c>
      <c r="G624" s="1" t="s">
        <v>3515</v>
      </c>
      <c r="H624" s="232" t="s">
        <v>3270</v>
      </c>
      <c r="I624" s="233" t="s">
        <v>3271</v>
      </c>
      <c r="J624" s="14">
        <v>1</v>
      </c>
      <c r="K624" s="138">
        <v>75</v>
      </c>
      <c r="L624" s="138">
        <v>75</v>
      </c>
    </row>
    <row r="625" spans="1:12" x14ac:dyDescent="0.25">
      <c r="A625" s="1">
        <v>624</v>
      </c>
      <c r="B625" s="1">
        <v>195</v>
      </c>
      <c r="C625" s="232" t="s">
        <v>3496</v>
      </c>
      <c r="D625" s="232" t="s">
        <v>2552</v>
      </c>
      <c r="E625" s="1" t="s">
        <v>3558</v>
      </c>
      <c r="F625" s="232" t="s">
        <v>2750</v>
      </c>
      <c r="G625" s="1" t="s">
        <v>3519</v>
      </c>
      <c r="H625" s="232" t="s">
        <v>3272</v>
      </c>
      <c r="I625" s="233" t="s">
        <v>3273</v>
      </c>
      <c r="J625" s="14">
        <v>2</v>
      </c>
      <c r="K625" s="138">
        <v>25</v>
      </c>
      <c r="L625" s="138">
        <v>50</v>
      </c>
    </row>
    <row r="626" spans="1:12" x14ac:dyDescent="0.25">
      <c r="A626" s="1">
        <v>625</v>
      </c>
      <c r="B626" s="1">
        <v>195</v>
      </c>
      <c r="C626" s="232" t="s">
        <v>3497</v>
      </c>
      <c r="D626" s="232" t="s">
        <v>2552</v>
      </c>
      <c r="E626" s="1" t="s">
        <v>3558</v>
      </c>
      <c r="F626" s="232" t="s">
        <v>2753</v>
      </c>
      <c r="G626" s="1" t="s">
        <v>3520</v>
      </c>
      <c r="H626" s="232" t="s">
        <v>3274</v>
      </c>
      <c r="I626" s="233" t="s">
        <v>3275</v>
      </c>
      <c r="J626" s="14">
        <v>2</v>
      </c>
      <c r="K626" s="138">
        <v>10</v>
      </c>
      <c r="L626" s="138">
        <v>20</v>
      </c>
    </row>
    <row r="627" spans="1:12" x14ac:dyDescent="0.25">
      <c r="A627" s="1">
        <v>626</v>
      </c>
      <c r="B627" s="1">
        <v>195</v>
      </c>
      <c r="C627" s="232" t="s">
        <v>3475</v>
      </c>
      <c r="D627" s="232" t="s">
        <v>2552</v>
      </c>
      <c r="E627" s="1" t="s">
        <v>3558</v>
      </c>
      <c r="F627" s="232" t="s">
        <v>2577</v>
      </c>
      <c r="G627" s="1" t="s">
        <v>3523</v>
      </c>
      <c r="H627" s="232"/>
      <c r="I627" s="233"/>
      <c r="J627" s="14">
        <v>2</v>
      </c>
      <c r="K627" s="138">
        <v>42</v>
      </c>
      <c r="L627" s="138">
        <v>84</v>
      </c>
    </row>
    <row r="628" spans="1:12" x14ac:dyDescent="0.25">
      <c r="A628" s="1">
        <v>627</v>
      </c>
      <c r="B628" s="1">
        <v>195</v>
      </c>
      <c r="C628" s="232" t="s">
        <v>3476</v>
      </c>
      <c r="D628" s="232" t="s">
        <v>2552</v>
      </c>
      <c r="E628" s="1" t="s">
        <v>3558</v>
      </c>
      <c r="F628" s="232" t="s">
        <v>2580</v>
      </c>
      <c r="G628" s="1" t="s">
        <v>3524</v>
      </c>
      <c r="H628" s="232" t="s">
        <v>3276</v>
      </c>
      <c r="I628" s="233" t="s">
        <v>3277</v>
      </c>
      <c r="J628" s="14">
        <v>1</v>
      </c>
      <c r="K628" s="138">
        <v>6</v>
      </c>
      <c r="L628" s="138">
        <v>6</v>
      </c>
    </row>
    <row r="629" spans="1:12" x14ac:dyDescent="0.25">
      <c r="A629" s="1">
        <v>628</v>
      </c>
      <c r="B629" s="1">
        <v>196</v>
      </c>
      <c r="C629" s="232" t="s">
        <v>3471</v>
      </c>
      <c r="D629" s="232" t="s">
        <v>2552</v>
      </c>
      <c r="E629" s="1" t="s">
        <v>3558</v>
      </c>
      <c r="F629" s="232" t="s">
        <v>2565</v>
      </c>
      <c r="G629" s="1" t="s">
        <v>3515</v>
      </c>
      <c r="H629" s="232" t="s">
        <v>3278</v>
      </c>
      <c r="I629" s="233" t="s">
        <v>3279</v>
      </c>
      <c r="J629" s="14">
        <v>1</v>
      </c>
      <c r="K629" s="138">
        <v>75</v>
      </c>
      <c r="L629" s="138">
        <v>75</v>
      </c>
    </row>
    <row r="630" spans="1:12" x14ac:dyDescent="0.25">
      <c r="A630" s="1">
        <v>629</v>
      </c>
      <c r="B630" s="1">
        <v>197</v>
      </c>
      <c r="C630" s="232" t="s">
        <v>3477</v>
      </c>
      <c r="D630" s="232" t="s">
        <v>2553</v>
      </c>
      <c r="E630" s="1" t="s">
        <v>3559</v>
      </c>
      <c r="F630" s="232" t="s">
        <v>2583</v>
      </c>
      <c r="G630" s="1" t="s">
        <v>3527</v>
      </c>
      <c r="H630" s="232"/>
      <c r="I630" s="233"/>
      <c r="J630" s="14">
        <v>1</v>
      </c>
      <c r="K630" s="138">
        <v>20</v>
      </c>
      <c r="L630" s="138">
        <v>20</v>
      </c>
    </row>
    <row r="631" spans="1:12" x14ac:dyDescent="0.25">
      <c r="A631" s="1">
        <v>630</v>
      </c>
      <c r="B631" s="1">
        <v>197</v>
      </c>
      <c r="C631" s="232" t="s">
        <v>3478</v>
      </c>
      <c r="D631" s="232" t="s">
        <v>2553</v>
      </c>
      <c r="E631" s="1" t="s">
        <v>3559</v>
      </c>
      <c r="F631" s="232" t="s">
        <v>2586</v>
      </c>
      <c r="G631" s="1" t="s">
        <v>3528</v>
      </c>
      <c r="H631" s="232"/>
      <c r="I631" s="233"/>
      <c r="J631" s="14">
        <v>1</v>
      </c>
      <c r="K631" s="138">
        <v>18</v>
      </c>
      <c r="L631" s="138">
        <v>18</v>
      </c>
    </row>
    <row r="632" spans="1:12" x14ac:dyDescent="0.25">
      <c r="A632" s="1">
        <v>631</v>
      </c>
      <c r="B632" s="1">
        <v>197</v>
      </c>
      <c r="C632" s="232" t="s">
        <v>3490</v>
      </c>
      <c r="D632" s="232" t="s">
        <v>2553</v>
      </c>
      <c r="E632" s="1" t="s">
        <v>3559</v>
      </c>
      <c r="F632" s="232" t="s">
        <v>2630</v>
      </c>
      <c r="G632" s="1" t="s">
        <v>3529</v>
      </c>
      <c r="H632" s="232"/>
      <c r="I632" s="233"/>
      <c r="J632" s="14">
        <v>1</v>
      </c>
      <c r="K632" s="138">
        <v>18</v>
      </c>
      <c r="L632" s="138">
        <v>18</v>
      </c>
    </row>
    <row r="633" spans="1:12" x14ac:dyDescent="0.25">
      <c r="A633" s="1">
        <v>632</v>
      </c>
      <c r="B633" s="1">
        <v>197</v>
      </c>
      <c r="C633" s="232" t="s">
        <v>3479</v>
      </c>
      <c r="D633" s="232" t="s">
        <v>2553</v>
      </c>
      <c r="E633" s="1" t="s">
        <v>3559</v>
      </c>
      <c r="F633" s="232" t="s">
        <v>2589</v>
      </c>
      <c r="G633" s="1" t="s">
        <v>3530</v>
      </c>
      <c r="H633" s="232"/>
      <c r="I633" s="233"/>
      <c r="J633" s="14">
        <v>1</v>
      </c>
      <c r="K633" s="138">
        <v>70</v>
      </c>
      <c r="L633" s="138">
        <v>70</v>
      </c>
    </row>
    <row r="634" spans="1:12" x14ac:dyDescent="0.25">
      <c r="A634" s="1">
        <v>633</v>
      </c>
      <c r="B634" s="1">
        <v>197</v>
      </c>
      <c r="C634" s="232" t="s">
        <v>3499</v>
      </c>
      <c r="D634" s="232" t="s">
        <v>2553</v>
      </c>
      <c r="E634" s="1" t="s">
        <v>3559</v>
      </c>
      <c r="F634" s="232" t="s">
        <v>2775</v>
      </c>
      <c r="G634" s="1" t="s">
        <v>3532</v>
      </c>
      <c r="H634" s="232"/>
      <c r="I634" s="233"/>
      <c r="J634" s="14">
        <v>1</v>
      </c>
      <c r="K634" s="138">
        <v>100</v>
      </c>
      <c r="L634" s="138">
        <v>100</v>
      </c>
    </row>
    <row r="635" spans="1:12" x14ac:dyDescent="0.25">
      <c r="A635" s="1">
        <v>634</v>
      </c>
      <c r="B635" s="1">
        <v>197</v>
      </c>
      <c r="C635" s="232" t="s">
        <v>3480</v>
      </c>
      <c r="D635" s="232" t="s">
        <v>2553</v>
      </c>
      <c r="E635" s="1" t="s">
        <v>3559</v>
      </c>
      <c r="F635" s="232" t="s">
        <v>2592</v>
      </c>
      <c r="G635" s="1" t="s">
        <v>3533</v>
      </c>
      <c r="H635" s="232"/>
      <c r="I635" s="233"/>
      <c r="J635" s="14">
        <v>1</v>
      </c>
      <c r="K635" s="138">
        <v>7</v>
      </c>
      <c r="L635" s="138">
        <v>7</v>
      </c>
    </row>
    <row r="636" spans="1:12" x14ac:dyDescent="0.25">
      <c r="A636" s="1">
        <v>635</v>
      </c>
      <c r="B636" s="1">
        <v>197</v>
      </c>
      <c r="C636" s="232" t="s">
        <v>3493</v>
      </c>
      <c r="D636" s="232" t="s">
        <v>2553</v>
      </c>
      <c r="E636" s="1" t="s">
        <v>3559</v>
      </c>
      <c r="F636" s="232" t="s">
        <v>2689</v>
      </c>
      <c r="G636" s="1" t="s">
        <v>3534</v>
      </c>
      <c r="H636" s="232"/>
      <c r="I636" s="233"/>
      <c r="J636" s="14">
        <v>1</v>
      </c>
      <c r="K636" s="138">
        <v>50</v>
      </c>
      <c r="L636" s="138">
        <v>50</v>
      </c>
    </row>
    <row r="637" spans="1:12" x14ac:dyDescent="0.25">
      <c r="A637" s="1">
        <v>636</v>
      </c>
      <c r="B637" s="1">
        <v>198</v>
      </c>
      <c r="C637" s="232" t="s">
        <v>3500</v>
      </c>
      <c r="D637" s="232" t="s">
        <v>2554</v>
      </c>
      <c r="E637" s="1" t="s">
        <v>3560</v>
      </c>
      <c r="F637" s="232" t="s">
        <v>2782</v>
      </c>
      <c r="G637" s="1" t="s">
        <v>3536</v>
      </c>
      <c r="H637" s="232"/>
      <c r="I637" s="233"/>
      <c r="J637" s="14">
        <v>1</v>
      </c>
      <c r="K637" s="138">
        <v>10</v>
      </c>
      <c r="L637" s="138">
        <v>10</v>
      </c>
    </row>
    <row r="638" spans="1:12" x14ac:dyDescent="0.25">
      <c r="A638" s="1">
        <v>637</v>
      </c>
      <c r="B638" s="1">
        <v>198</v>
      </c>
      <c r="C638" s="232" t="s">
        <v>3484</v>
      </c>
      <c r="D638" s="232" t="s">
        <v>2554</v>
      </c>
      <c r="E638" s="1" t="s">
        <v>3560</v>
      </c>
      <c r="F638" s="232" t="s">
        <v>2604</v>
      </c>
      <c r="G638" s="1" t="s">
        <v>3540</v>
      </c>
      <c r="H638" s="232"/>
      <c r="I638" s="233"/>
      <c r="J638" s="14">
        <v>1</v>
      </c>
      <c r="K638" s="138">
        <v>77</v>
      </c>
      <c r="L638" s="138">
        <v>77</v>
      </c>
    </row>
    <row r="639" spans="1:12" x14ac:dyDescent="0.25">
      <c r="A639" s="1">
        <v>638</v>
      </c>
      <c r="B639" s="1">
        <v>198</v>
      </c>
      <c r="C639" s="232" t="s">
        <v>3485</v>
      </c>
      <c r="D639" s="232" t="s">
        <v>2554</v>
      </c>
      <c r="E639" s="1" t="s">
        <v>3560</v>
      </c>
      <c r="F639" s="232" t="s">
        <v>2607</v>
      </c>
      <c r="G639" s="1" t="s">
        <v>3541</v>
      </c>
      <c r="H639" s="232"/>
      <c r="I639" s="233"/>
      <c r="J639" s="14">
        <v>1</v>
      </c>
      <c r="K639" s="138">
        <v>22</v>
      </c>
      <c r="L639" s="138">
        <v>22</v>
      </c>
    </row>
    <row r="640" spans="1:12" x14ac:dyDescent="0.25">
      <c r="A640" s="1">
        <v>639</v>
      </c>
      <c r="B640" s="1">
        <v>198</v>
      </c>
      <c r="C640" s="232" t="s">
        <v>3486</v>
      </c>
      <c r="D640" s="232" t="s">
        <v>2554</v>
      </c>
      <c r="E640" s="1" t="s">
        <v>3560</v>
      </c>
      <c r="F640" s="232" t="s">
        <v>2610</v>
      </c>
      <c r="G640" s="1" t="s">
        <v>3542</v>
      </c>
      <c r="H640" s="232"/>
      <c r="I640" s="233"/>
      <c r="J640" s="14">
        <v>1</v>
      </c>
      <c r="K640" s="138">
        <v>0.4</v>
      </c>
      <c r="L640" s="138">
        <v>0.4</v>
      </c>
    </row>
    <row r="641" spans="1:12" x14ac:dyDescent="0.25">
      <c r="A641" s="1">
        <v>640</v>
      </c>
      <c r="B641" s="1">
        <v>198</v>
      </c>
      <c r="C641" s="232" t="s">
        <v>3487</v>
      </c>
      <c r="D641" s="232" t="s">
        <v>2554</v>
      </c>
      <c r="E641" s="1" t="s">
        <v>3560</v>
      </c>
      <c r="F641" s="232" t="s">
        <v>2613</v>
      </c>
      <c r="G641" s="1" t="s">
        <v>3543</v>
      </c>
      <c r="H641" s="232"/>
      <c r="I641" s="233"/>
      <c r="J641" s="14">
        <v>1</v>
      </c>
      <c r="K641" s="138">
        <v>45</v>
      </c>
      <c r="L641" s="138">
        <v>45</v>
      </c>
    </row>
    <row r="642" spans="1:12" x14ac:dyDescent="0.25">
      <c r="A642" s="1">
        <v>641</v>
      </c>
      <c r="B642" s="1">
        <v>198</v>
      </c>
      <c r="C642" s="232" t="s">
        <v>3481</v>
      </c>
      <c r="D642" s="232" t="s">
        <v>2554</v>
      </c>
      <c r="E642" s="1" t="s">
        <v>3560</v>
      </c>
      <c r="F642" s="232" t="s">
        <v>2595</v>
      </c>
      <c r="G642" s="1" t="s">
        <v>3537</v>
      </c>
      <c r="H642" s="232"/>
      <c r="I642" s="233"/>
      <c r="J642" s="14">
        <v>1</v>
      </c>
      <c r="K642" s="138">
        <v>0.5</v>
      </c>
      <c r="L642" s="138">
        <v>0.5</v>
      </c>
    </row>
    <row r="643" spans="1:12" x14ac:dyDescent="0.25">
      <c r="A643" s="1">
        <v>642</v>
      </c>
      <c r="B643" s="1">
        <v>198</v>
      </c>
      <c r="C643" s="232" t="s">
        <v>3482</v>
      </c>
      <c r="D643" s="232" t="s">
        <v>2554</v>
      </c>
      <c r="E643" s="1" t="s">
        <v>3560</v>
      </c>
      <c r="F643" s="232" t="s">
        <v>2598</v>
      </c>
      <c r="G643" s="1" t="s">
        <v>3538</v>
      </c>
      <c r="H643" s="232"/>
      <c r="I643" s="233"/>
      <c r="J643" s="14">
        <v>1</v>
      </c>
      <c r="K643" s="138">
        <v>3</v>
      </c>
      <c r="L643" s="138">
        <v>3</v>
      </c>
    </row>
    <row r="644" spans="1:12" x14ac:dyDescent="0.25">
      <c r="A644" s="1">
        <v>643</v>
      </c>
      <c r="B644" s="1">
        <v>198</v>
      </c>
      <c r="C644" s="232" t="s">
        <v>3483</v>
      </c>
      <c r="D644" s="232" t="s">
        <v>2554</v>
      </c>
      <c r="E644" s="1" t="s">
        <v>3560</v>
      </c>
      <c r="F644" s="232" t="s">
        <v>2601</v>
      </c>
      <c r="G644" s="1" t="s">
        <v>3539</v>
      </c>
      <c r="H644" s="232"/>
      <c r="I644" s="233"/>
      <c r="J644" s="14">
        <v>1</v>
      </c>
      <c r="K644" s="138">
        <v>3</v>
      </c>
      <c r="L644" s="138">
        <v>3</v>
      </c>
    </row>
    <row r="645" spans="1:12" x14ac:dyDescent="0.25">
      <c r="A645" s="1">
        <v>644</v>
      </c>
      <c r="B645" s="1">
        <v>199</v>
      </c>
      <c r="C645" s="232" t="s">
        <v>3506</v>
      </c>
      <c r="D645" s="232" t="s">
        <v>2555</v>
      </c>
      <c r="E645" s="1" t="s">
        <v>3561</v>
      </c>
      <c r="F645" s="232" t="s">
        <v>2840</v>
      </c>
      <c r="G645" s="1" t="s">
        <v>3545</v>
      </c>
      <c r="H645" s="232"/>
      <c r="I645" s="233"/>
      <c r="J645" s="14">
        <v>1</v>
      </c>
      <c r="K645" s="138">
        <v>6</v>
      </c>
      <c r="L645" s="138">
        <v>6</v>
      </c>
    </row>
    <row r="646" spans="1:12" x14ac:dyDescent="0.25">
      <c r="A646" s="1">
        <v>645</v>
      </c>
      <c r="B646" s="1">
        <v>199</v>
      </c>
      <c r="C646" s="232" t="s">
        <v>3501</v>
      </c>
      <c r="D646" s="232" t="s">
        <v>2555</v>
      </c>
      <c r="E646" s="1" t="s">
        <v>3561</v>
      </c>
      <c r="F646" s="232" t="s">
        <v>2785</v>
      </c>
      <c r="G646" s="1" t="s">
        <v>3546</v>
      </c>
      <c r="H646" s="232"/>
      <c r="I646" s="233"/>
      <c r="J646" s="14">
        <v>1</v>
      </c>
      <c r="K646" s="138">
        <v>10</v>
      </c>
      <c r="L646" s="138">
        <v>10</v>
      </c>
    </row>
    <row r="647" spans="1:12" x14ac:dyDescent="0.25">
      <c r="A647" s="1">
        <v>646</v>
      </c>
      <c r="B647" s="1">
        <v>199</v>
      </c>
      <c r="C647" s="232" t="s">
        <v>3510</v>
      </c>
      <c r="D647" s="232" t="s">
        <v>2555</v>
      </c>
      <c r="E647" s="1" t="s">
        <v>3561</v>
      </c>
      <c r="F647" s="232" t="s">
        <v>3280</v>
      </c>
      <c r="G647" s="1" t="s">
        <v>3547</v>
      </c>
      <c r="H647" s="232"/>
      <c r="I647" s="233"/>
      <c r="J647" s="14">
        <v>1</v>
      </c>
      <c r="K647" s="138">
        <v>15</v>
      </c>
      <c r="L647" s="138">
        <v>15</v>
      </c>
    </row>
    <row r="648" spans="1:12" x14ac:dyDescent="0.25">
      <c r="A648" s="1">
        <v>647</v>
      </c>
      <c r="B648" s="1">
        <v>199</v>
      </c>
      <c r="C648" s="232" t="s">
        <v>3488</v>
      </c>
      <c r="D648" s="232" t="s">
        <v>2555</v>
      </c>
      <c r="E648" s="1" t="s">
        <v>3561</v>
      </c>
      <c r="F648" s="232" t="s">
        <v>2616</v>
      </c>
      <c r="G648" s="1" t="s">
        <v>3549</v>
      </c>
      <c r="H648" s="232"/>
      <c r="I648" s="233"/>
      <c r="J648" s="14">
        <v>1</v>
      </c>
      <c r="K648" s="138">
        <v>3</v>
      </c>
      <c r="L648" s="138">
        <v>3</v>
      </c>
    </row>
    <row r="649" spans="1:12" x14ac:dyDescent="0.25">
      <c r="A649" s="1">
        <v>648</v>
      </c>
      <c r="B649" s="1">
        <v>200</v>
      </c>
      <c r="C649" s="232" t="s">
        <v>3502</v>
      </c>
      <c r="D649" s="232" t="s">
        <v>2556</v>
      </c>
      <c r="E649" s="1" t="s">
        <v>3562</v>
      </c>
      <c r="F649" s="232" t="s">
        <v>2788</v>
      </c>
      <c r="G649" s="1" t="s">
        <v>3551</v>
      </c>
      <c r="H649" s="232"/>
      <c r="I649" s="233"/>
      <c r="J649" s="14">
        <v>1</v>
      </c>
      <c r="K649" s="138">
        <v>150</v>
      </c>
      <c r="L649" s="138">
        <v>150</v>
      </c>
    </row>
    <row r="650" spans="1:12" x14ac:dyDescent="0.25">
      <c r="A650" s="1">
        <v>649</v>
      </c>
      <c r="B650" s="1">
        <v>200</v>
      </c>
      <c r="C650" s="232" t="s">
        <v>3508</v>
      </c>
      <c r="D650" s="232" t="s">
        <v>2556</v>
      </c>
      <c r="E650" s="1" t="s">
        <v>3562</v>
      </c>
      <c r="F650" s="232" t="s">
        <v>2900</v>
      </c>
      <c r="G650" s="1" t="s">
        <v>3553</v>
      </c>
      <c r="H650" s="232"/>
      <c r="I650" s="233"/>
      <c r="J650" s="14">
        <v>1</v>
      </c>
      <c r="K650" s="138">
        <v>4</v>
      </c>
      <c r="L650" s="138">
        <v>4</v>
      </c>
    </row>
    <row r="651" spans="1:12" x14ac:dyDescent="0.25">
      <c r="A651" s="1">
        <v>650</v>
      </c>
      <c r="B651" s="1">
        <v>200</v>
      </c>
      <c r="C651" s="232" t="s">
        <v>3503</v>
      </c>
      <c r="D651" s="232" t="s">
        <v>2556</v>
      </c>
      <c r="E651" s="1" t="s">
        <v>3562</v>
      </c>
      <c r="F651" s="232" t="s">
        <v>2791</v>
      </c>
      <c r="G651" s="1" t="s">
        <v>3554</v>
      </c>
      <c r="H651" s="232"/>
      <c r="I651" s="233"/>
      <c r="J651" s="14">
        <v>1</v>
      </c>
      <c r="K651" s="138">
        <v>5</v>
      </c>
      <c r="L651" s="138">
        <v>5</v>
      </c>
    </row>
    <row r="652" spans="1:12" x14ac:dyDescent="0.25">
      <c r="A652" s="1">
        <v>651</v>
      </c>
      <c r="B652" s="1">
        <v>201</v>
      </c>
      <c r="C652" s="232" t="s">
        <v>3504</v>
      </c>
      <c r="D652" s="232" t="s">
        <v>2557</v>
      </c>
      <c r="E652" s="1" t="s">
        <v>3563</v>
      </c>
      <c r="F652" s="232" t="s">
        <v>2794</v>
      </c>
      <c r="G652" s="1" t="s">
        <v>3555</v>
      </c>
      <c r="H652" s="232"/>
      <c r="I652" s="233"/>
      <c r="J652" s="14">
        <v>1</v>
      </c>
      <c r="K652" s="138">
        <v>1.7</v>
      </c>
      <c r="L652" s="138">
        <v>1.7</v>
      </c>
    </row>
    <row r="653" spans="1:12" x14ac:dyDescent="0.25">
      <c r="A653" s="1">
        <v>652</v>
      </c>
      <c r="B653" s="1">
        <v>202</v>
      </c>
      <c r="C653" s="232" t="s">
        <v>3470</v>
      </c>
      <c r="D653" s="232" t="s">
        <v>2552</v>
      </c>
      <c r="E653" s="1" t="s">
        <v>3558</v>
      </c>
      <c r="F653" s="232" t="s">
        <v>2562</v>
      </c>
      <c r="G653" s="1" t="s">
        <v>3514</v>
      </c>
      <c r="H653" s="232" t="s">
        <v>3281</v>
      </c>
      <c r="I653" s="233" t="s">
        <v>3282</v>
      </c>
      <c r="J653" s="14">
        <v>1</v>
      </c>
      <c r="K653" s="138">
        <v>6</v>
      </c>
      <c r="L653" s="138">
        <v>6</v>
      </c>
    </row>
    <row r="654" spans="1:12" x14ac:dyDescent="0.25">
      <c r="A654" s="1">
        <v>653</v>
      </c>
      <c r="B654" s="1">
        <v>202</v>
      </c>
      <c r="C654" s="232" t="s">
        <v>3471</v>
      </c>
      <c r="D654" s="232" t="s">
        <v>2552</v>
      </c>
      <c r="E654" s="1" t="s">
        <v>3558</v>
      </c>
      <c r="F654" s="232" t="s">
        <v>2565</v>
      </c>
      <c r="G654" s="1" t="s">
        <v>3515</v>
      </c>
      <c r="H654" s="232" t="s">
        <v>3283</v>
      </c>
      <c r="I654" s="233" t="s">
        <v>3284</v>
      </c>
      <c r="J654" s="14">
        <v>1</v>
      </c>
      <c r="K654" s="138">
        <v>75</v>
      </c>
      <c r="L654" s="138">
        <v>75</v>
      </c>
    </row>
    <row r="655" spans="1:12" x14ac:dyDescent="0.25">
      <c r="A655" s="1">
        <v>654</v>
      </c>
      <c r="B655" s="1">
        <v>202</v>
      </c>
      <c r="C655" s="232" t="s">
        <v>3495</v>
      </c>
      <c r="D655" s="232" t="s">
        <v>2552</v>
      </c>
      <c r="E655" s="1" t="s">
        <v>3558</v>
      </c>
      <c r="F655" s="232" t="s">
        <v>2745</v>
      </c>
      <c r="G655" s="1" t="s">
        <v>3517</v>
      </c>
      <c r="H655" s="232" t="s">
        <v>3285</v>
      </c>
      <c r="I655" s="233" t="s">
        <v>3286</v>
      </c>
      <c r="J655" s="14">
        <v>1</v>
      </c>
      <c r="K655" s="138">
        <v>148</v>
      </c>
      <c r="L655" s="138">
        <v>148</v>
      </c>
    </row>
    <row r="656" spans="1:12" x14ac:dyDescent="0.25">
      <c r="A656" s="1">
        <v>655</v>
      </c>
      <c r="B656" s="1">
        <v>202</v>
      </c>
      <c r="C656" s="232" t="s">
        <v>3496</v>
      </c>
      <c r="D656" s="232" t="s">
        <v>2552</v>
      </c>
      <c r="E656" s="1" t="s">
        <v>3558</v>
      </c>
      <c r="F656" s="232" t="s">
        <v>2750</v>
      </c>
      <c r="G656" s="1" t="s">
        <v>3519</v>
      </c>
      <c r="H656" s="232" t="s">
        <v>3287</v>
      </c>
      <c r="I656" s="233" t="s">
        <v>3288</v>
      </c>
      <c r="J656" s="14">
        <v>1</v>
      </c>
      <c r="K656" s="138">
        <v>25</v>
      </c>
      <c r="L656" s="138">
        <v>25</v>
      </c>
    </row>
    <row r="657" spans="1:12" x14ac:dyDescent="0.25">
      <c r="A657" s="1">
        <v>656</v>
      </c>
      <c r="B657" s="1">
        <v>202</v>
      </c>
      <c r="C657" s="232" t="s">
        <v>3475</v>
      </c>
      <c r="D657" s="232" t="s">
        <v>2552</v>
      </c>
      <c r="E657" s="1" t="s">
        <v>3558</v>
      </c>
      <c r="F657" s="232" t="s">
        <v>2577</v>
      </c>
      <c r="G657" s="1" t="s">
        <v>3523</v>
      </c>
      <c r="H657" s="232" t="s">
        <v>3289</v>
      </c>
      <c r="I657" s="233" t="s">
        <v>3290</v>
      </c>
      <c r="J657" s="14">
        <v>1</v>
      </c>
      <c r="K657" s="138">
        <v>42</v>
      </c>
      <c r="L657" s="138">
        <v>42</v>
      </c>
    </row>
    <row r="658" spans="1:12" x14ac:dyDescent="0.25">
      <c r="A658" s="1">
        <v>657</v>
      </c>
      <c r="B658" s="1">
        <v>203</v>
      </c>
      <c r="C658" s="232" t="s">
        <v>3499</v>
      </c>
      <c r="D658" s="232" t="s">
        <v>2553</v>
      </c>
      <c r="E658" s="1" t="s">
        <v>3559</v>
      </c>
      <c r="F658" s="232" t="s">
        <v>2775</v>
      </c>
      <c r="G658" s="1" t="s">
        <v>3532</v>
      </c>
      <c r="H658" s="232" t="s">
        <v>3291</v>
      </c>
      <c r="I658" s="233" t="s">
        <v>3292</v>
      </c>
      <c r="J658" s="14">
        <v>1</v>
      </c>
      <c r="K658" s="138">
        <v>100</v>
      </c>
      <c r="L658" s="138">
        <v>100</v>
      </c>
    </row>
    <row r="659" spans="1:12" x14ac:dyDescent="0.25">
      <c r="A659" s="1">
        <v>658</v>
      </c>
      <c r="B659" s="1">
        <v>203</v>
      </c>
      <c r="C659" s="232" t="s">
        <v>3480</v>
      </c>
      <c r="D659" s="232" t="s">
        <v>2553</v>
      </c>
      <c r="E659" s="1" t="s">
        <v>3559</v>
      </c>
      <c r="F659" s="232" t="s">
        <v>2592</v>
      </c>
      <c r="G659" s="1" t="s">
        <v>3533</v>
      </c>
      <c r="H659" s="232" t="s">
        <v>3293</v>
      </c>
      <c r="I659" s="233" t="s">
        <v>3294</v>
      </c>
      <c r="J659" s="14">
        <v>3</v>
      </c>
      <c r="K659" s="138">
        <v>7</v>
      </c>
      <c r="L659" s="138">
        <v>21</v>
      </c>
    </row>
    <row r="660" spans="1:12" x14ac:dyDescent="0.25">
      <c r="A660" s="1">
        <v>659</v>
      </c>
      <c r="B660" s="1">
        <v>203</v>
      </c>
      <c r="C660" s="232" t="s">
        <v>3493</v>
      </c>
      <c r="D660" s="232" t="s">
        <v>2553</v>
      </c>
      <c r="E660" s="1" t="s">
        <v>3559</v>
      </c>
      <c r="F660" s="232" t="s">
        <v>2689</v>
      </c>
      <c r="G660" s="1" t="s">
        <v>3534</v>
      </c>
      <c r="H660" s="232"/>
      <c r="I660" s="233"/>
      <c r="J660" s="14">
        <v>1</v>
      </c>
      <c r="K660" s="138">
        <v>50</v>
      </c>
      <c r="L660" s="138">
        <v>50</v>
      </c>
    </row>
    <row r="661" spans="1:12" x14ac:dyDescent="0.25">
      <c r="A661" s="1">
        <v>660</v>
      </c>
      <c r="B661" s="1">
        <v>204</v>
      </c>
      <c r="C661" s="232" t="s">
        <v>3484</v>
      </c>
      <c r="D661" s="232" t="s">
        <v>2554</v>
      </c>
      <c r="E661" s="1" t="s">
        <v>3560</v>
      </c>
      <c r="F661" s="232" t="s">
        <v>2604</v>
      </c>
      <c r="G661" s="1" t="s">
        <v>3540</v>
      </c>
      <c r="H661" s="232"/>
      <c r="I661" s="233"/>
      <c r="J661" s="14">
        <v>1</v>
      </c>
      <c r="K661" s="138">
        <v>77</v>
      </c>
      <c r="L661" s="138">
        <v>77</v>
      </c>
    </row>
    <row r="662" spans="1:12" x14ac:dyDescent="0.25">
      <c r="A662" s="1">
        <v>661</v>
      </c>
      <c r="B662" s="1">
        <v>204</v>
      </c>
      <c r="C662" s="232" t="s">
        <v>3483</v>
      </c>
      <c r="D662" s="232" t="s">
        <v>2554</v>
      </c>
      <c r="E662" s="1" t="s">
        <v>3560</v>
      </c>
      <c r="F662" s="232" t="s">
        <v>2601</v>
      </c>
      <c r="G662" s="1" t="s">
        <v>3539</v>
      </c>
      <c r="H662" s="232"/>
      <c r="I662" s="233"/>
      <c r="J662" s="14">
        <v>1</v>
      </c>
      <c r="K662" s="138">
        <v>3</v>
      </c>
      <c r="L662" s="138">
        <v>3</v>
      </c>
    </row>
    <row r="663" spans="1:12" x14ac:dyDescent="0.25">
      <c r="A663" s="1">
        <v>662</v>
      </c>
      <c r="B663" s="1">
        <v>204</v>
      </c>
      <c r="C663" s="232" t="s">
        <v>3485</v>
      </c>
      <c r="D663" s="232" t="s">
        <v>2554</v>
      </c>
      <c r="E663" s="1" t="s">
        <v>3560</v>
      </c>
      <c r="F663" s="232" t="s">
        <v>2607</v>
      </c>
      <c r="G663" s="1" t="s">
        <v>3541</v>
      </c>
      <c r="H663" s="232"/>
      <c r="I663" s="233"/>
      <c r="J663" s="14">
        <v>1</v>
      </c>
      <c r="K663" s="138">
        <v>22</v>
      </c>
      <c r="L663" s="138">
        <v>22</v>
      </c>
    </row>
    <row r="664" spans="1:12" x14ac:dyDescent="0.25">
      <c r="A664" s="1">
        <v>663</v>
      </c>
      <c r="B664" s="1">
        <v>204</v>
      </c>
      <c r="C664" s="232" t="s">
        <v>3486</v>
      </c>
      <c r="D664" s="232" t="s">
        <v>2554</v>
      </c>
      <c r="E664" s="1" t="s">
        <v>3560</v>
      </c>
      <c r="F664" s="232" t="s">
        <v>2610</v>
      </c>
      <c r="G664" s="1" t="s">
        <v>3542</v>
      </c>
      <c r="H664" s="232"/>
      <c r="I664" s="233"/>
      <c r="J664" s="14">
        <v>1</v>
      </c>
      <c r="K664" s="138">
        <v>0.4</v>
      </c>
      <c r="L664" s="138">
        <v>0.4</v>
      </c>
    </row>
    <row r="665" spans="1:12" x14ac:dyDescent="0.25">
      <c r="A665" s="1">
        <v>664</v>
      </c>
      <c r="B665" s="1">
        <v>204</v>
      </c>
      <c r="C665" s="232" t="s">
        <v>3487</v>
      </c>
      <c r="D665" s="232" t="s">
        <v>2554</v>
      </c>
      <c r="E665" s="1" t="s">
        <v>3560</v>
      </c>
      <c r="F665" s="232" t="s">
        <v>2613</v>
      </c>
      <c r="G665" s="1" t="s">
        <v>3543</v>
      </c>
      <c r="H665" s="232"/>
      <c r="I665" s="233"/>
      <c r="J665" s="14">
        <v>1</v>
      </c>
      <c r="K665" s="138">
        <v>45</v>
      </c>
      <c r="L665" s="138">
        <v>45</v>
      </c>
    </row>
    <row r="666" spans="1:12" x14ac:dyDescent="0.25">
      <c r="A666" s="1">
        <v>665</v>
      </c>
      <c r="B666" s="1">
        <v>205</v>
      </c>
      <c r="C666" s="232" t="s">
        <v>3488</v>
      </c>
      <c r="D666" s="232" t="s">
        <v>2555</v>
      </c>
      <c r="E666" s="1" t="s">
        <v>3561</v>
      </c>
      <c r="F666" s="232" t="s">
        <v>2616</v>
      </c>
      <c r="G666" s="1" t="s">
        <v>3549</v>
      </c>
      <c r="H666" s="232"/>
      <c r="I666" s="233"/>
      <c r="J666" s="14">
        <v>1</v>
      </c>
      <c r="K666" s="138">
        <v>3</v>
      </c>
      <c r="L666" s="138">
        <v>3</v>
      </c>
    </row>
    <row r="667" spans="1:12" x14ac:dyDescent="0.25">
      <c r="A667" s="1">
        <v>666</v>
      </c>
      <c r="B667" s="1">
        <v>206</v>
      </c>
      <c r="C667" s="232" t="s">
        <v>3502</v>
      </c>
      <c r="D667" s="232" t="s">
        <v>2556</v>
      </c>
      <c r="E667" s="1" t="s">
        <v>3562</v>
      </c>
      <c r="F667" s="232" t="s">
        <v>2788</v>
      </c>
      <c r="G667" s="1" t="s">
        <v>3551</v>
      </c>
      <c r="H667" s="232"/>
      <c r="I667" s="233"/>
      <c r="J667" s="14">
        <v>1</v>
      </c>
      <c r="K667" s="138">
        <v>150</v>
      </c>
      <c r="L667" s="138">
        <v>150</v>
      </c>
    </row>
    <row r="668" spans="1:12" x14ac:dyDescent="0.25">
      <c r="A668" s="1">
        <v>667</v>
      </c>
      <c r="B668" s="1">
        <v>207</v>
      </c>
      <c r="C668" s="232" t="s">
        <v>3504</v>
      </c>
      <c r="D668" s="232" t="s">
        <v>2557</v>
      </c>
      <c r="E668" s="1" t="s">
        <v>3563</v>
      </c>
      <c r="F668" s="232" t="s">
        <v>2794</v>
      </c>
      <c r="G668" s="1" t="s">
        <v>3555</v>
      </c>
      <c r="H668" s="232"/>
      <c r="I668" s="233"/>
      <c r="J668" s="14">
        <v>1</v>
      </c>
      <c r="K668" s="138">
        <v>1.7</v>
      </c>
      <c r="L668" s="138">
        <v>1.7</v>
      </c>
    </row>
    <row r="669" spans="1:12" x14ac:dyDescent="0.25">
      <c r="A669" s="1">
        <v>668</v>
      </c>
      <c r="B669" s="1">
        <v>208</v>
      </c>
      <c r="C669" s="232" t="s">
        <v>3504</v>
      </c>
      <c r="D669" s="232" t="s">
        <v>2557</v>
      </c>
      <c r="E669" s="1" t="s">
        <v>3563</v>
      </c>
      <c r="F669" s="232" t="s">
        <v>2794</v>
      </c>
      <c r="G669" s="1" t="s">
        <v>3555</v>
      </c>
      <c r="H669" s="232"/>
      <c r="I669" s="233"/>
      <c r="J669" s="14">
        <v>1</v>
      </c>
      <c r="K669" s="138">
        <v>1.7</v>
      </c>
      <c r="L669" s="138">
        <v>1.7</v>
      </c>
    </row>
    <row r="670" spans="1:12" x14ac:dyDescent="0.25">
      <c r="A670" s="1">
        <v>669</v>
      </c>
      <c r="B670" s="1">
        <v>209</v>
      </c>
      <c r="C670" s="232" t="s">
        <v>3471</v>
      </c>
      <c r="D670" s="232" t="s">
        <v>2552</v>
      </c>
      <c r="E670" s="1" t="s">
        <v>3558</v>
      </c>
      <c r="F670" s="232" t="s">
        <v>2565</v>
      </c>
      <c r="G670" s="1" t="s">
        <v>3515</v>
      </c>
      <c r="H670" s="232" t="s">
        <v>3295</v>
      </c>
      <c r="I670" s="233" t="s">
        <v>3296</v>
      </c>
      <c r="J670" s="14">
        <v>800</v>
      </c>
      <c r="K670" s="138">
        <v>75</v>
      </c>
      <c r="L670" s="138">
        <v>60000</v>
      </c>
    </row>
    <row r="671" spans="1:12" x14ac:dyDescent="0.25">
      <c r="A671" s="1">
        <v>670</v>
      </c>
      <c r="B671" s="1">
        <v>209</v>
      </c>
      <c r="C671" s="232" t="s">
        <v>3495</v>
      </c>
      <c r="D671" s="232" t="s">
        <v>2552</v>
      </c>
      <c r="E671" s="1" t="s">
        <v>3558</v>
      </c>
      <c r="F671" s="232" t="s">
        <v>2745</v>
      </c>
      <c r="G671" s="1" t="s">
        <v>3517</v>
      </c>
      <c r="H671" s="232" t="s">
        <v>3297</v>
      </c>
      <c r="I671" s="233" t="s">
        <v>3298</v>
      </c>
      <c r="J671" s="14">
        <v>1</v>
      </c>
      <c r="K671" s="138">
        <v>148</v>
      </c>
      <c r="L671" s="138">
        <v>148</v>
      </c>
    </row>
    <row r="672" spans="1:12" x14ac:dyDescent="0.25">
      <c r="A672" s="1">
        <v>671</v>
      </c>
      <c r="B672" s="1">
        <v>209</v>
      </c>
      <c r="C672" s="232" t="s">
        <v>3473</v>
      </c>
      <c r="D672" s="232" t="s">
        <v>2552</v>
      </c>
      <c r="E672" s="1" t="s">
        <v>3558</v>
      </c>
      <c r="F672" s="232" t="s">
        <v>2571</v>
      </c>
      <c r="G672" s="1" t="s">
        <v>3518</v>
      </c>
      <c r="H672" s="232" t="s">
        <v>3299</v>
      </c>
      <c r="I672" s="233" t="s">
        <v>3300</v>
      </c>
      <c r="J672" s="14">
        <v>1</v>
      </c>
      <c r="K672" s="138">
        <v>5</v>
      </c>
      <c r="L672" s="138">
        <v>5</v>
      </c>
    </row>
    <row r="673" spans="1:12" x14ac:dyDescent="0.25">
      <c r="A673" s="1">
        <v>672</v>
      </c>
      <c r="B673" s="1">
        <v>209</v>
      </c>
      <c r="C673" s="232" t="s">
        <v>3497</v>
      </c>
      <c r="D673" s="232" t="s">
        <v>2552</v>
      </c>
      <c r="E673" s="1" t="s">
        <v>3558</v>
      </c>
      <c r="F673" s="232" t="s">
        <v>2753</v>
      </c>
      <c r="G673" s="1" t="s">
        <v>3520</v>
      </c>
      <c r="H673" s="232" t="s">
        <v>3301</v>
      </c>
      <c r="I673" s="233" t="s">
        <v>3302</v>
      </c>
      <c r="J673" s="14">
        <v>2</v>
      </c>
      <c r="K673" s="138">
        <v>10</v>
      </c>
      <c r="L673" s="138">
        <v>20</v>
      </c>
    </row>
    <row r="674" spans="1:12" x14ac:dyDescent="0.25">
      <c r="A674" s="1">
        <v>673</v>
      </c>
      <c r="B674" s="1">
        <v>209</v>
      </c>
      <c r="C674" s="232" t="s">
        <v>3474</v>
      </c>
      <c r="D674" s="232" t="s">
        <v>2552</v>
      </c>
      <c r="E674" s="1" t="s">
        <v>3558</v>
      </c>
      <c r="F674" s="232" t="s">
        <v>2574</v>
      </c>
      <c r="G674" s="1" t="s">
        <v>3521</v>
      </c>
      <c r="H674" s="232" t="s">
        <v>3303</v>
      </c>
      <c r="I674" s="233" t="s">
        <v>3304</v>
      </c>
      <c r="J674" s="14">
        <v>2</v>
      </c>
      <c r="K674" s="138">
        <v>77</v>
      </c>
      <c r="L674" s="138">
        <v>154</v>
      </c>
    </row>
    <row r="675" spans="1:12" x14ac:dyDescent="0.25">
      <c r="A675" s="1">
        <v>674</v>
      </c>
      <c r="B675" s="1">
        <v>210</v>
      </c>
      <c r="C675" s="232" t="s">
        <v>3493</v>
      </c>
      <c r="D675" s="232" t="s">
        <v>2553</v>
      </c>
      <c r="E675" s="1" t="s">
        <v>3559</v>
      </c>
      <c r="F675" s="232" t="s">
        <v>2689</v>
      </c>
      <c r="G675" s="1" t="s">
        <v>3534</v>
      </c>
      <c r="H675" s="232"/>
      <c r="I675" s="233"/>
      <c r="J675" s="14">
        <v>1</v>
      </c>
      <c r="K675" s="138">
        <v>50</v>
      </c>
      <c r="L675" s="138">
        <v>50</v>
      </c>
    </row>
    <row r="676" spans="1:12" x14ac:dyDescent="0.25">
      <c r="A676" s="1">
        <v>675</v>
      </c>
      <c r="B676" s="1">
        <v>211</v>
      </c>
      <c r="C676" s="232" t="s">
        <v>3500</v>
      </c>
      <c r="D676" s="232" t="s">
        <v>2554</v>
      </c>
      <c r="E676" s="1" t="s">
        <v>3560</v>
      </c>
      <c r="F676" s="232" t="s">
        <v>2782</v>
      </c>
      <c r="G676" s="1" t="s">
        <v>3536</v>
      </c>
      <c r="H676" s="232"/>
      <c r="I676" s="233"/>
      <c r="J676" s="14">
        <v>1</v>
      </c>
      <c r="K676" s="138">
        <v>10</v>
      </c>
      <c r="L676" s="138">
        <v>10</v>
      </c>
    </row>
    <row r="677" spans="1:12" x14ac:dyDescent="0.25">
      <c r="A677" s="1">
        <v>676</v>
      </c>
      <c r="B677" s="1">
        <v>211</v>
      </c>
      <c r="C677" s="232" t="s">
        <v>3481</v>
      </c>
      <c r="D677" s="232" t="s">
        <v>2554</v>
      </c>
      <c r="E677" s="1" t="s">
        <v>3560</v>
      </c>
      <c r="F677" s="232" t="s">
        <v>2595</v>
      </c>
      <c r="G677" s="1" t="s">
        <v>3537</v>
      </c>
      <c r="H677" s="232"/>
      <c r="I677" s="233"/>
      <c r="J677" s="14">
        <v>1</v>
      </c>
      <c r="K677" s="138">
        <v>0.5</v>
      </c>
      <c r="L677" s="138">
        <v>0.5</v>
      </c>
    </row>
    <row r="678" spans="1:12" x14ac:dyDescent="0.25">
      <c r="A678" s="1">
        <v>677</v>
      </c>
      <c r="B678" s="1">
        <v>211</v>
      </c>
      <c r="C678" s="232" t="s">
        <v>3482</v>
      </c>
      <c r="D678" s="232" t="s">
        <v>2554</v>
      </c>
      <c r="E678" s="1" t="s">
        <v>3560</v>
      </c>
      <c r="F678" s="232" t="s">
        <v>2598</v>
      </c>
      <c r="G678" s="1" t="s">
        <v>3538</v>
      </c>
      <c r="H678" s="232"/>
      <c r="I678" s="233"/>
      <c r="J678" s="14">
        <v>1</v>
      </c>
      <c r="K678" s="138">
        <v>3</v>
      </c>
      <c r="L678" s="138">
        <v>3</v>
      </c>
    </row>
    <row r="679" spans="1:12" x14ac:dyDescent="0.25">
      <c r="A679" s="1">
        <v>678</v>
      </c>
      <c r="B679" s="1">
        <v>211</v>
      </c>
      <c r="C679" s="232" t="s">
        <v>3483</v>
      </c>
      <c r="D679" s="232" t="s">
        <v>2554</v>
      </c>
      <c r="E679" s="1" t="s">
        <v>3560</v>
      </c>
      <c r="F679" s="232" t="s">
        <v>2601</v>
      </c>
      <c r="G679" s="1" t="s">
        <v>3539</v>
      </c>
      <c r="H679" s="232"/>
      <c r="I679" s="233"/>
      <c r="J679" s="14">
        <v>1</v>
      </c>
      <c r="K679" s="138">
        <v>3</v>
      </c>
      <c r="L679" s="138">
        <v>3</v>
      </c>
    </row>
    <row r="680" spans="1:12" x14ac:dyDescent="0.25">
      <c r="A680" s="1">
        <v>679</v>
      </c>
      <c r="B680" s="1">
        <v>211</v>
      </c>
      <c r="C680" s="232" t="s">
        <v>3484</v>
      </c>
      <c r="D680" s="232" t="s">
        <v>2554</v>
      </c>
      <c r="E680" s="1" t="s">
        <v>3560</v>
      </c>
      <c r="F680" s="232" t="s">
        <v>2604</v>
      </c>
      <c r="G680" s="1" t="s">
        <v>3540</v>
      </c>
      <c r="H680" s="232"/>
      <c r="I680" s="233"/>
      <c r="J680" s="14">
        <v>1</v>
      </c>
      <c r="K680" s="138">
        <v>77</v>
      </c>
      <c r="L680" s="138">
        <v>77</v>
      </c>
    </row>
    <row r="681" spans="1:12" x14ac:dyDescent="0.25">
      <c r="A681" s="1">
        <v>680</v>
      </c>
      <c r="B681" s="1">
        <v>211</v>
      </c>
      <c r="C681" s="232" t="s">
        <v>3485</v>
      </c>
      <c r="D681" s="232" t="s">
        <v>2554</v>
      </c>
      <c r="E681" s="1" t="s">
        <v>3560</v>
      </c>
      <c r="F681" s="232" t="s">
        <v>2607</v>
      </c>
      <c r="G681" s="1" t="s">
        <v>3541</v>
      </c>
      <c r="H681" s="232"/>
      <c r="I681" s="233"/>
      <c r="J681" s="14">
        <v>1</v>
      </c>
      <c r="K681" s="138">
        <v>22</v>
      </c>
      <c r="L681" s="138">
        <v>22</v>
      </c>
    </row>
    <row r="682" spans="1:12" x14ac:dyDescent="0.25">
      <c r="A682" s="1">
        <v>681</v>
      </c>
      <c r="B682" s="1">
        <v>211</v>
      </c>
      <c r="C682" s="232" t="s">
        <v>3486</v>
      </c>
      <c r="D682" s="232" t="s">
        <v>2554</v>
      </c>
      <c r="E682" s="1" t="s">
        <v>3560</v>
      </c>
      <c r="F682" s="232" t="s">
        <v>2610</v>
      </c>
      <c r="G682" s="1" t="s">
        <v>3542</v>
      </c>
      <c r="H682" s="232"/>
      <c r="I682" s="233"/>
      <c r="J682" s="14">
        <v>1</v>
      </c>
      <c r="K682" s="138">
        <v>0.4</v>
      </c>
      <c r="L682" s="138">
        <v>0.4</v>
      </c>
    </row>
    <row r="683" spans="1:12" x14ac:dyDescent="0.25">
      <c r="A683" s="1">
        <v>682</v>
      </c>
      <c r="B683" s="1">
        <v>211</v>
      </c>
      <c r="C683" s="232" t="s">
        <v>3487</v>
      </c>
      <c r="D683" s="232" t="s">
        <v>2554</v>
      </c>
      <c r="E683" s="1" t="s">
        <v>3560</v>
      </c>
      <c r="F683" s="232" t="s">
        <v>2613</v>
      </c>
      <c r="G683" s="1" t="s">
        <v>3543</v>
      </c>
      <c r="H683" s="232"/>
      <c r="I683" s="233"/>
      <c r="J683" s="14">
        <v>1</v>
      </c>
      <c r="K683" s="138">
        <v>45</v>
      </c>
      <c r="L683" s="138">
        <v>45</v>
      </c>
    </row>
    <row r="684" spans="1:12" x14ac:dyDescent="0.25">
      <c r="A684" s="1">
        <v>683</v>
      </c>
      <c r="B684" s="1">
        <v>212</v>
      </c>
      <c r="C684" s="232" t="s">
        <v>3488</v>
      </c>
      <c r="D684" s="232" t="s">
        <v>2555</v>
      </c>
      <c r="E684" s="1" t="s">
        <v>3561</v>
      </c>
      <c r="F684" s="232" t="s">
        <v>2616</v>
      </c>
      <c r="G684" s="1" t="s">
        <v>3549</v>
      </c>
      <c r="H684" s="232"/>
      <c r="I684" s="233"/>
      <c r="J684" s="14">
        <v>1</v>
      </c>
      <c r="K684" s="138">
        <v>3</v>
      </c>
      <c r="L684" s="138">
        <v>3</v>
      </c>
    </row>
    <row r="685" spans="1:12" x14ac:dyDescent="0.25">
      <c r="A685" s="1">
        <v>684</v>
      </c>
      <c r="B685" s="1">
        <v>213</v>
      </c>
      <c r="C685" s="232" t="s">
        <v>3502</v>
      </c>
      <c r="D685" s="232" t="s">
        <v>2556</v>
      </c>
      <c r="E685" s="1" t="s">
        <v>3562</v>
      </c>
      <c r="F685" s="232" t="s">
        <v>2788</v>
      </c>
      <c r="G685" s="1" t="s">
        <v>3551</v>
      </c>
      <c r="H685" s="232"/>
      <c r="I685" s="233"/>
      <c r="J685" s="14">
        <v>1</v>
      </c>
      <c r="K685" s="138">
        <v>150</v>
      </c>
      <c r="L685" s="138">
        <v>150</v>
      </c>
    </row>
    <row r="686" spans="1:12" x14ac:dyDescent="0.25">
      <c r="A686" s="1">
        <v>685</v>
      </c>
      <c r="B686" s="1">
        <v>214</v>
      </c>
      <c r="C686" s="232" t="s">
        <v>3504</v>
      </c>
      <c r="D686" s="232" t="s">
        <v>2557</v>
      </c>
      <c r="E686" s="1" t="s">
        <v>3563</v>
      </c>
      <c r="F686" s="232" t="s">
        <v>2794</v>
      </c>
      <c r="G686" s="1" t="s">
        <v>3555</v>
      </c>
      <c r="H686" s="232"/>
      <c r="I686" s="233"/>
      <c r="J686" s="14">
        <v>1</v>
      </c>
      <c r="K686" s="138">
        <v>1.7</v>
      </c>
      <c r="L686" s="138">
        <v>1.7</v>
      </c>
    </row>
    <row r="687" spans="1:12" x14ac:dyDescent="0.25">
      <c r="A687" s="1">
        <v>686</v>
      </c>
      <c r="B687" s="1">
        <v>215</v>
      </c>
      <c r="C687" s="232" t="s">
        <v>3497</v>
      </c>
      <c r="D687" s="232" t="s">
        <v>2552</v>
      </c>
      <c r="E687" s="1" t="s">
        <v>3558</v>
      </c>
      <c r="F687" s="232" t="s">
        <v>2753</v>
      </c>
      <c r="G687" s="1" t="s">
        <v>3520</v>
      </c>
      <c r="H687" s="232" t="s">
        <v>3305</v>
      </c>
      <c r="I687" s="233" t="s">
        <v>3306</v>
      </c>
      <c r="J687" s="14">
        <v>3</v>
      </c>
      <c r="K687" s="138">
        <v>10</v>
      </c>
      <c r="L687" s="138">
        <v>30</v>
      </c>
    </row>
    <row r="688" spans="1:12" x14ac:dyDescent="0.25">
      <c r="A688" s="1">
        <v>687</v>
      </c>
      <c r="B688" s="1">
        <v>215</v>
      </c>
      <c r="C688" s="232" t="s">
        <v>3474</v>
      </c>
      <c r="D688" s="232" t="s">
        <v>2552</v>
      </c>
      <c r="E688" s="1" t="s">
        <v>3558</v>
      </c>
      <c r="F688" s="232" t="s">
        <v>2574</v>
      </c>
      <c r="G688" s="1" t="s">
        <v>3521</v>
      </c>
      <c r="H688" s="232" t="s">
        <v>3307</v>
      </c>
      <c r="I688" s="233" t="s">
        <v>3308</v>
      </c>
      <c r="J688" s="14">
        <v>3</v>
      </c>
      <c r="K688" s="138">
        <v>77</v>
      </c>
      <c r="L688" s="138">
        <v>231</v>
      </c>
    </row>
    <row r="689" spans="1:12" x14ac:dyDescent="0.25">
      <c r="A689" s="1">
        <v>688</v>
      </c>
      <c r="B689" s="1">
        <v>215</v>
      </c>
      <c r="C689" s="232" t="s">
        <v>3476</v>
      </c>
      <c r="D689" s="232" t="s">
        <v>2552</v>
      </c>
      <c r="E689" s="1" t="s">
        <v>3558</v>
      </c>
      <c r="F689" s="232" t="s">
        <v>2580</v>
      </c>
      <c r="G689" s="1" t="s">
        <v>3524</v>
      </c>
      <c r="H689" s="232" t="s">
        <v>3309</v>
      </c>
      <c r="I689" s="233" t="s">
        <v>3310</v>
      </c>
      <c r="J689" s="14">
        <v>3</v>
      </c>
      <c r="K689" s="138">
        <v>6</v>
      </c>
      <c r="L689" s="138">
        <v>18</v>
      </c>
    </row>
    <row r="690" spans="1:12" x14ac:dyDescent="0.25">
      <c r="A690" s="1">
        <v>689</v>
      </c>
      <c r="B690" s="1">
        <v>216</v>
      </c>
      <c r="C690" s="232" t="s">
        <v>3477</v>
      </c>
      <c r="D690" s="232" t="s">
        <v>2553</v>
      </c>
      <c r="E690" s="1" t="s">
        <v>3559</v>
      </c>
      <c r="F690" s="232" t="s">
        <v>2583</v>
      </c>
      <c r="G690" s="1" t="s">
        <v>3527</v>
      </c>
      <c r="H690" s="232"/>
      <c r="I690" s="233"/>
      <c r="J690" s="14">
        <v>1</v>
      </c>
      <c r="K690" s="138">
        <v>20</v>
      </c>
      <c r="L690" s="138">
        <v>20</v>
      </c>
    </row>
    <row r="691" spans="1:12" x14ac:dyDescent="0.25">
      <c r="A691" s="1">
        <v>690</v>
      </c>
      <c r="B691" s="1">
        <v>216</v>
      </c>
      <c r="C691" s="232" t="s">
        <v>3480</v>
      </c>
      <c r="D691" s="232" t="s">
        <v>2553</v>
      </c>
      <c r="E691" s="1" t="s">
        <v>3559</v>
      </c>
      <c r="F691" s="232" t="s">
        <v>2592</v>
      </c>
      <c r="G691" s="1" t="s">
        <v>3533</v>
      </c>
      <c r="H691" s="232"/>
      <c r="I691" s="233"/>
      <c r="J691" s="14">
        <v>1</v>
      </c>
      <c r="K691" s="138">
        <v>7</v>
      </c>
      <c r="L691" s="138">
        <v>7</v>
      </c>
    </row>
    <row r="692" spans="1:12" x14ac:dyDescent="0.25">
      <c r="A692" s="1">
        <v>691</v>
      </c>
      <c r="B692" s="1">
        <v>216</v>
      </c>
      <c r="C692" s="232" t="s">
        <v>3493</v>
      </c>
      <c r="D692" s="232" t="s">
        <v>2553</v>
      </c>
      <c r="E692" s="1" t="s">
        <v>3559</v>
      </c>
      <c r="F692" s="232" t="s">
        <v>2689</v>
      </c>
      <c r="G692" s="1" t="s">
        <v>3534</v>
      </c>
      <c r="H692" s="232"/>
      <c r="I692" s="233"/>
      <c r="J692" s="14">
        <v>1</v>
      </c>
      <c r="K692" s="138">
        <v>50</v>
      </c>
      <c r="L692" s="138">
        <v>50</v>
      </c>
    </row>
    <row r="693" spans="1:12" x14ac:dyDescent="0.25">
      <c r="A693" s="1">
        <v>692</v>
      </c>
      <c r="B693" s="1">
        <v>217</v>
      </c>
      <c r="C693" s="232" t="s">
        <v>3500</v>
      </c>
      <c r="D693" s="232" t="s">
        <v>2554</v>
      </c>
      <c r="E693" s="1" t="s">
        <v>3560</v>
      </c>
      <c r="F693" s="232" t="s">
        <v>2782</v>
      </c>
      <c r="G693" s="1" t="s">
        <v>3536</v>
      </c>
      <c r="H693" s="232" t="s">
        <v>3311</v>
      </c>
      <c r="I693" s="233" t="s">
        <v>3312</v>
      </c>
      <c r="J693" s="14">
        <v>1</v>
      </c>
      <c r="K693" s="138">
        <v>10</v>
      </c>
      <c r="L693" s="138">
        <v>10</v>
      </c>
    </row>
    <row r="694" spans="1:12" x14ac:dyDescent="0.25">
      <c r="A694" s="1">
        <v>693</v>
      </c>
      <c r="B694" s="1">
        <v>217</v>
      </c>
      <c r="C694" s="232" t="s">
        <v>3481</v>
      </c>
      <c r="D694" s="232" t="s">
        <v>2554</v>
      </c>
      <c r="E694" s="1" t="s">
        <v>3560</v>
      </c>
      <c r="F694" s="232" t="s">
        <v>2595</v>
      </c>
      <c r="G694" s="1" t="s">
        <v>3537</v>
      </c>
      <c r="H694" s="232"/>
      <c r="I694" s="233"/>
      <c r="J694" s="14">
        <v>1</v>
      </c>
      <c r="K694" s="138">
        <v>0.5</v>
      </c>
      <c r="L694" s="138">
        <v>0.5</v>
      </c>
    </row>
    <row r="695" spans="1:12" x14ac:dyDescent="0.25">
      <c r="A695" s="1">
        <v>694</v>
      </c>
      <c r="B695" s="1">
        <v>217</v>
      </c>
      <c r="C695" s="232" t="s">
        <v>3482</v>
      </c>
      <c r="D695" s="232" t="s">
        <v>2554</v>
      </c>
      <c r="E695" s="1" t="s">
        <v>3560</v>
      </c>
      <c r="F695" s="232" t="s">
        <v>2598</v>
      </c>
      <c r="G695" s="1" t="s">
        <v>3538</v>
      </c>
      <c r="H695" s="232"/>
      <c r="I695" s="233"/>
      <c r="J695" s="14">
        <v>1</v>
      </c>
      <c r="K695" s="138">
        <v>3</v>
      </c>
      <c r="L695" s="138">
        <v>3</v>
      </c>
    </row>
    <row r="696" spans="1:12" x14ac:dyDescent="0.25">
      <c r="A696" s="1">
        <v>695</v>
      </c>
      <c r="B696" s="1">
        <v>217</v>
      </c>
      <c r="C696" s="232" t="s">
        <v>3483</v>
      </c>
      <c r="D696" s="232" t="s">
        <v>2554</v>
      </c>
      <c r="E696" s="1" t="s">
        <v>3560</v>
      </c>
      <c r="F696" s="232" t="s">
        <v>2601</v>
      </c>
      <c r="G696" s="1" t="s">
        <v>3539</v>
      </c>
      <c r="H696" s="232"/>
      <c r="I696" s="233"/>
      <c r="J696" s="14">
        <v>1</v>
      </c>
      <c r="K696" s="138">
        <v>3</v>
      </c>
      <c r="L696" s="138">
        <v>3</v>
      </c>
    </row>
    <row r="697" spans="1:12" x14ac:dyDescent="0.25">
      <c r="A697" s="1">
        <v>696</v>
      </c>
      <c r="B697" s="1">
        <v>217</v>
      </c>
      <c r="C697" s="232" t="s">
        <v>3484</v>
      </c>
      <c r="D697" s="232" t="s">
        <v>2554</v>
      </c>
      <c r="E697" s="1" t="s">
        <v>3560</v>
      </c>
      <c r="F697" s="232" t="s">
        <v>2604</v>
      </c>
      <c r="G697" s="1" t="s">
        <v>3540</v>
      </c>
      <c r="H697" s="232"/>
      <c r="I697" s="233"/>
      <c r="J697" s="14">
        <v>1</v>
      </c>
      <c r="K697" s="138">
        <v>77</v>
      </c>
      <c r="L697" s="138">
        <v>77</v>
      </c>
    </row>
    <row r="698" spans="1:12" x14ac:dyDescent="0.25">
      <c r="A698" s="1">
        <v>697</v>
      </c>
      <c r="B698" s="1">
        <v>217</v>
      </c>
      <c r="C698" s="232" t="s">
        <v>3486</v>
      </c>
      <c r="D698" s="232" t="s">
        <v>2554</v>
      </c>
      <c r="E698" s="1" t="s">
        <v>3560</v>
      </c>
      <c r="F698" s="232" t="s">
        <v>2610</v>
      </c>
      <c r="G698" s="1" t="s">
        <v>3542</v>
      </c>
      <c r="H698" s="232"/>
      <c r="I698" s="233"/>
      <c r="J698" s="14">
        <v>1</v>
      </c>
      <c r="K698" s="138">
        <v>0.4</v>
      </c>
      <c r="L698" s="138">
        <v>0.4</v>
      </c>
    </row>
    <row r="699" spans="1:12" x14ac:dyDescent="0.25">
      <c r="A699" s="1">
        <v>698</v>
      </c>
      <c r="B699" s="1">
        <v>217</v>
      </c>
      <c r="C699" s="232" t="s">
        <v>3487</v>
      </c>
      <c r="D699" s="232" t="s">
        <v>2554</v>
      </c>
      <c r="E699" s="1" t="s">
        <v>3560</v>
      </c>
      <c r="F699" s="232" t="s">
        <v>2613</v>
      </c>
      <c r="G699" s="1" t="s">
        <v>3543</v>
      </c>
      <c r="H699" s="232"/>
      <c r="I699" s="233"/>
      <c r="J699" s="14">
        <v>3</v>
      </c>
      <c r="K699" s="138">
        <v>45</v>
      </c>
      <c r="L699" s="138">
        <v>135</v>
      </c>
    </row>
    <row r="700" spans="1:12" x14ac:dyDescent="0.25">
      <c r="A700" s="1">
        <v>699</v>
      </c>
      <c r="B700" s="1">
        <v>217</v>
      </c>
      <c r="C700" s="232" t="s">
        <v>3485</v>
      </c>
      <c r="D700" s="232" t="s">
        <v>2554</v>
      </c>
      <c r="E700" s="1" t="s">
        <v>3560</v>
      </c>
      <c r="F700" s="232" t="s">
        <v>2607</v>
      </c>
      <c r="G700" s="1" t="s">
        <v>3541</v>
      </c>
      <c r="H700" s="232"/>
      <c r="I700" s="233"/>
      <c r="J700" s="14">
        <v>1</v>
      </c>
      <c r="K700" s="138">
        <v>22</v>
      </c>
      <c r="L700" s="138">
        <v>22</v>
      </c>
    </row>
    <row r="701" spans="1:12" x14ac:dyDescent="0.25">
      <c r="A701" s="1">
        <v>700</v>
      </c>
      <c r="B701" s="1">
        <v>218</v>
      </c>
      <c r="C701" s="232" t="s">
        <v>3488</v>
      </c>
      <c r="D701" s="232" t="s">
        <v>2555</v>
      </c>
      <c r="E701" s="1" t="s">
        <v>3561</v>
      </c>
      <c r="F701" s="232" t="s">
        <v>2616</v>
      </c>
      <c r="G701" s="1" t="s">
        <v>3549</v>
      </c>
      <c r="H701" s="232"/>
      <c r="I701" s="233"/>
      <c r="J701" s="14">
        <v>2</v>
      </c>
      <c r="K701" s="138">
        <v>3</v>
      </c>
      <c r="L701" s="138">
        <v>6</v>
      </c>
    </row>
    <row r="702" spans="1:12" x14ac:dyDescent="0.25">
      <c r="A702" s="1">
        <v>701</v>
      </c>
      <c r="B702" s="1">
        <v>218</v>
      </c>
      <c r="C702" s="232" t="s">
        <v>3507</v>
      </c>
      <c r="D702" s="232" t="s">
        <v>2555</v>
      </c>
      <c r="E702" s="1" t="s">
        <v>3561</v>
      </c>
      <c r="F702" s="232" t="s">
        <v>2863</v>
      </c>
      <c r="G702" s="1" t="s">
        <v>3548</v>
      </c>
      <c r="H702" s="232"/>
      <c r="I702" s="233"/>
      <c r="J702" s="14">
        <v>1</v>
      </c>
      <c r="K702" s="138">
        <v>10</v>
      </c>
      <c r="L702" s="138">
        <v>10</v>
      </c>
    </row>
    <row r="703" spans="1:12" x14ac:dyDescent="0.25">
      <c r="A703" s="1">
        <v>702</v>
      </c>
      <c r="B703" s="1">
        <v>219</v>
      </c>
      <c r="C703" s="232" t="s">
        <v>3502</v>
      </c>
      <c r="D703" s="232" t="s">
        <v>2556</v>
      </c>
      <c r="E703" s="1" t="s">
        <v>3562</v>
      </c>
      <c r="F703" s="232" t="s">
        <v>2788</v>
      </c>
      <c r="G703" s="1" t="s">
        <v>3551</v>
      </c>
      <c r="H703" s="232"/>
      <c r="I703" s="233"/>
      <c r="J703" s="14">
        <v>1</v>
      </c>
      <c r="K703" s="138">
        <v>150</v>
      </c>
      <c r="L703" s="138">
        <v>150</v>
      </c>
    </row>
    <row r="704" spans="1:12" x14ac:dyDescent="0.25">
      <c r="A704" s="1">
        <v>703</v>
      </c>
      <c r="B704" s="1">
        <v>219</v>
      </c>
      <c r="C704" s="232" t="s">
        <v>3503</v>
      </c>
      <c r="D704" s="232" t="s">
        <v>2556</v>
      </c>
      <c r="E704" s="1" t="s">
        <v>3562</v>
      </c>
      <c r="F704" s="232" t="s">
        <v>2791</v>
      </c>
      <c r="G704" s="1" t="s">
        <v>3554</v>
      </c>
      <c r="H704" s="232"/>
      <c r="I704" s="233"/>
      <c r="J704" s="14">
        <v>1</v>
      </c>
      <c r="K704" s="138">
        <v>5</v>
      </c>
      <c r="L704" s="138">
        <v>5</v>
      </c>
    </row>
    <row r="705" spans="1:12" x14ac:dyDescent="0.25">
      <c r="A705" s="1">
        <v>704</v>
      </c>
      <c r="B705" s="1">
        <v>220</v>
      </c>
      <c r="C705" s="232" t="s">
        <v>3504</v>
      </c>
      <c r="D705" s="232" t="s">
        <v>2557</v>
      </c>
      <c r="E705" s="1" t="s">
        <v>3563</v>
      </c>
      <c r="F705" s="232" t="s">
        <v>2794</v>
      </c>
      <c r="G705" s="1" t="s">
        <v>3555</v>
      </c>
      <c r="H705" s="232"/>
      <c r="I705" s="233"/>
      <c r="J705" s="14">
        <v>1</v>
      </c>
      <c r="K705" s="138">
        <v>1.7</v>
      </c>
      <c r="L705" s="138">
        <v>1.7</v>
      </c>
    </row>
    <row r="706" spans="1:12" x14ac:dyDescent="0.25">
      <c r="A706" s="1">
        <v>705</v>
      </c>
      <c r="B706" s="1">
        <v>221</v>
      </c>
      <c r="C706" s="232" t="s">
        <v>3497</v>
      </c>
      <c r="D706" s="232" t="s">
        <v>2552</v>
      </c>
      <c r="E706" s="1" t="s">
        <v>3558</v>
      </c>
      <c r="F706" s="232" t="s">
        <v>2753</v>
      </c>
      <c r="G706" s="1" t="s">
        <v>3520</v>
      </c>
      <c r="H706" s="232" t="s">
        <v>3313</v>
      </c>
      <c r="I706" s="233" t="s">
        <v>3314</v>
      </c>
      <c r="J706" s="14">
        <v>1</v>
      </c>
      <c r="K706" s="138">
        <v>10</v>
      </c>
      <c r="L706" s="138">
        <v>10</v>
      </c>
    </row>
    <row r="707" spans="1:12" x14ac:dyDescent="0.25">
      <c r="A707" s="1">
        <v>706</v>
      </c>
      <c r="B707" s="1">
        <v>221</v>
      </c>
      <c r="C707" s="232" t="s">
        <v>3474</v>
      </c>
      <c r="D707" s="232" t="s">
        <v>2552</v>
      </c>
      <c r="E707" s="1" t="s">
        <v>3558</v>
      </c>
      <c r="F707" s="232" t="s">
        <v>2574</v>
      </c>
      <c r="G707" s="1" t="s">
        <v>3521</v>
      </c>
      <c r="H707" s="232" t="s">
        <v>3315</v>
      </c>
      <c r="I707" s="233" t="s">
        <v>3316</v>
      </c>
      <c r="J707" s="14">
        <v>3</v>
      </c>
      <c r="K707" s="138">
        <v>77</v>
      </c>
      <c r="L707" s="138">
        <v>231</v>
      </c>
    </row>
    <row r="708" spans="1:12" x14ac:dyDescent="0.25">
      <c r="A708" s="1">
        <v>707</v>
      </c>
      <c r="B708" s="1">
        <v>221</v>
      </c>
      <c r="C708" s="232" t="s">
        <v>3475</v>
      </c>
      <c r="D708" s="232" t="s">
        <v>2552</v>
      </c>
      <c r="E708" s="1" t="s">
        <v>3558</v>
      </c>
      <c r="F708" s="232" t="s">
        <v>2577</v>
      </c>
      <c r="G708" s="1" t="s">
        <v>3523</v>
      </c>
      <c r="H708" s="232" t="s">
        <v>3317</v>
      </c>
      <c r="I708" s="233" t="s">
        <v>3318</v>
      </c>
      <c r="J708" s="14">
        <v>2</v>
      </c>
      <c r="K708" s="138">
        <v>42</v>
      </c>
      <c r="L708" s="138">
        <v>84</v>
      </c>
    </row>
    <row r="709" spans="1:12" x14ac:dyDescent="0.25">
      <c r="A709" s="1">
        <v>708</v>
      </c>
      <c r="B709" s="1">
        <v>221</v>
      </c>
      <c r="C709" s="232" t="s">
        <v>3476</v>
      </c>
      <c r="D709" s="232" t="s">
        <v>2552</v>
      </c>
      <c r="E709" s="1" t="s">
        <v>3558</v>
      </c>
      <c r="F709" s="232" t="s">
        <v>2580</v>
      </c>
      <c r="G709" s="1" t="s">
        <v>3524</v>
      </c>
      <c r="H709" s="232" t="s">
        <v>3319</v>
      </c>
      <c r="I709" s="233" t="s">
        <v>3320</v>
      </c>
      <c r="J709" s="14">
        <v>5</v>
      </c>
      <c r="K709" s="138">
        <v>6</v>
      </c>
      <c r="L709" s="138">
        <v>30</v>
      </c>
    </row>
    <row r="710" spans="1:12" x14ac:dyDescent="0.25">
      <c r="A710" s="1">
        <v>709</v>
      </c>
      <c r="B710" s="1">
        <v>222</v>
      </c>
      <c r="C710" s="232" t="s">
        <v>3477</v>
      </c>
      <c r="D710" s="232" t="s">
        <v>2553</v>
      </c>
      <c r="E710" s="1" t="s">
        <v>3559</v>
      </c>
      <c r="F710" s="232" t="s">
        <v>2583</v>
      </c>
      <c r="G710" s="1" t="s">
        <v>3527</v>
      </c>
      <c r="H710" s="232" t="s">
        <v>3321</v>
      </c>
      <c r="I710" s="233" t="s">
        <v>3322</v>
      </c>
      <c r="J710" s="14">
        <v>1</v>
      </c>
      <c r="K710" s="138">
        <v>20</v>
      </c>
      <c r="L710" s="138">
        <v>20</v>
      </c>
    </row>
    <row r="711" spans="1:12" x14ac:dyDescent="0.25">
      <c r="A711" s="1">
        <v>710</v>
      </c>
      <c r="B711" s="1">
        <v>222</v>
      </c>
      <c r="C711" s="232" t="s">
        <v>3478</v>
      </c>
      <c r="D711" s="232" t="s">
        <v>2553</v>
      </c>
      <c r="E711" s="1" t="s">
        <v>3559</v>
      </c>
      <c r="F711" s="232" t="s">
        <v>2586</v>
      </c>
      <c r="G711" s="1" t="s">
        <v>3528</v>
      </c>
      <c r="H711" s="232" t="s">
        <v>3323</v>
      </c>
      <c r="I711" s="233" t="s">
        <v>3324</v>
      </c>
      <c r="J711" s="14">
        <v>1</v>
      </c>
      <c r="K711" s="138">
        <v>18</v>
      </c>
      <c r="L711" s="138">
        <v>18</v>
      </c>
    </row>
    <row r="712" spans="1:12" x14ac:dyDescent="0.25">
      <c r="A712" s="1">
        <v>711</v>
      </c>
      <c r="B712" s="1">
        <v>222</v>
      </c>
      <c r="C712" s="232" t="s">
        <v>3490</v>
      </c>
      <c r="D712" s="232" t="s">
        <v>2553</v>
      </c>
      <c r="E712" s="1" t="s">
        <v>3559</v>
      </c>
      <c r="F712" s="232" t="s">
        <v>2630</v>
      </c>
      <c r="G712" s="1" t="s">
        <v>3529</v>
      </c>
      <c r="H712" s="232" t="s">
        <v>3325</v>
      </c>
      <c r="I712" s="233" t="s">
        <v>3326</v>
      </c>
      <c r="J712" s="14">
        <v>1</v>
      </c>
      <c r="K712" s="138">
        <v>18</v>
      </c>
      <c r="L712" s="138">
        <v>18</v>
      </c>
    </row>
    <row r="713" spans="1:12" x14ac:dyDescent="0.25">
      <c r="A713" s="1">
        <v>712</v>
      </c>
      <c r="B713" s="1">
        <v>222</v>
      </c>
      <c r="C713" s="232" t="s">
        <v>3479</v>
      </c>
      <c r="D713" s="232" t="s">
        <v>2553</v>
      </c>
      <c r="E713" s="1" t="s">
        <v>3559</v>
      </c>
      <c r="F713" s="232" t="s">
        <v>2589</v>
      </c>
      <c r="G713" s="1" t="s">
        <v>3530</v>
      </c>
      <c r="H713" s="232" t="s">
        <v>3327</v>
      </c>
      <c r="I713" s="233" t="s">
        <v>3328</v>
      </c>
      <c r="J713" s="14">
        <v>1</v>
      </c>
      <c r="K713" s="138">
        <v>70</v>
      </c>
      <c r="L713" s="138">
        <v>70</v>
      </c>
    </row>
    <row r="714" spans="1:12" x14ac:dyDescent="0.25">
      <c r="A714" s="1">
        <v>713</v>
      </c>
      <c r="B714" s="1">
        <v>222</v>
      </c>
      <c r="C714" s="232" t="s">
        <v>3499</v>
      </c>
      <c r="D714" s="232" t="s">
        <v>2553</v>
      </c>
      <c r="E714" s="1" t="s">
        <v>3559</v>
      </c>
      <c r="F714" s="232" t="s">
        <v>2775</v>
      </c>
      <c r="G714" s="1" t="s">
        <v>3532</v>
      </c>
      <c r="H714" s="232" t="s">
        <v>3329</v>
      </c>
      <c r="I714" s="233" t="s">
        <v>3330</v>
      </c>
      <c r="J714" s="14">
        <v>1</v>
      </c>
      <c r="K714" s="138">
        <v>100</v>
      </c>
      <c r="L714" s="138">
        <v>100</v>
      </c>
    </row>
    <row r="715" spans="1:12" x14ac:dyDescent="0.25">
      <c r="A715" s="1">
        <v>714</v>
      </c>
      <c r="B715" s="1">
        <v>222</v>
      </c>
      <c r="C715" s="232" t="s">
        <v>3491</v>
      </c>
      <c r="D715" s="232" t="s">
        <v>2553</v>
      </c>
      <c r="E715" s="1" t="s">
        <v>3559</v>
      </c>
      <c r="F715" s="232" t="s">
        <v>2635</v>
      </c>
      <c r="G715" s="1" t="s">
        <v>3531</v>
      </c>
      <c r="H715" s="232"/>
      <c r="I715" s="233"/>
      <c r="J715" s="14">
        <v>1</v>
      </c>
      <c r="K715" s="138">
        <v>40</v>
      </c>
      <c r="L715" s="138">
        <v>40</v>
      </c>
    </row>
    <row r="716" spans="1:12" x14ac:dyDescent="0.25">
      <c r="A716" s="1">
        <v>715</v>
      </c>
      <c r="B716" s="1">
        <v>222</v>
      </c>
      <c r="C716" s="232" t="s">
        <v>3480</v>
      </c>
      <c r="D716" s="232" t="s">
        <v>2553</v>
      </c>
      <c r="E716" s="1" t="s">
        <v>3559</v>
      </c>
      <c r="F716" s="232" t="s">
        <v>2592</v>
      </c>
      <c r="G716" s="1" t="s">
        <v>3533</v>
      </c>
      <c r="H716" s="232"/>
      <c r="I716" s="233"/>
      <c r="J716" s="14">
        <v>4</v>
      </c>
      <c r="K716" s="138">
        <v>7</v>
      </c>
      <c r="L716" s="138">
        <v>28</v>
      </c>
    </row>
    <row r="717" spans="1:12" x14ac:dyDescent="0.25">
      <c r="A717" s="1">
        <v>716</v>
      </c>
      <c r="B717" s="1">
        <v>222</v>
      </c>
      <c r="C717" s="232" t="s">
        <v>3493</v>
      </c>
      <c r="D717" s="232" t="s">
        <v>2553</v>
      </c>
      <c r="E717" s="1" t="s">
        <v>3559</v>
      </c>
      <c r="F717" s="232" t="s">
        <v>2689</v>
      </c>
      <c r="G717" s="1" t="s">
        <v>3534</v>
      </c>
      <c r="H717" s="232"/>
      <c r="I717" s="233"/>
      <c r="J717" s="14">
        <v>1</v>
      </c>
      <c r="K717" s="138">
        <v>50</v>
      </c>
      <c r="L717" s="138">
        <v>50</v>
      </c>
    </row>
    <row r="718" spans="1:12" x14ac:dyDescent="0.25">
      <c r="A718" s="1">
        <v>717</v>
      </c>
      <c r="B718" s="1">
        <v>223</v>
      </c>
      <c r="C718" s="232" t="s">
        <v>3481</v>
      </c>
      <c r="D718" s="232" t="s">
        <v>2554</v>
      </c>
      <c r="E718" s="1" t="s">
        <v>3560</v>
      </c>
      <c r="F718" s="232" t="s">
        <v>2595</v>
      </c>
      <c r="G718" s="1" t="s">
        <v>3537</v>
      </c>
      <c r="H718" s="232"/>
      <c r="I718" s="233"/>
      <c r="J718" s="14">
        <v>1</v>
      </c>
      <c r="K718" s="138">
        <v>0.5</v>
      </c>
      <c r="L718" s="138">
        <v>0.5</v>
      </c>
    </row>
    <row r="719" spans="1:12" x14ac:dyDescent="0.25">
      <c r="A719" s="1">
        <v>718</v>
      </c>
      <c r="B719" s="1">
        <v>223</v>
      </c>
      <c r="C719" s="232" t="s">
        <v>3482</v>
      </c>
      <c r="D719" s="232" t="s">
        <v>2554</v>
      </c>
      <c r="E719" s="1" t="s">
        <v>3560</v>
      </c>
      <c r="F719" s="232" t="s">
        <v>2598</v>
      </c>
      <c r="G719" s="1" t="s">
        <v>3538</v>
      </c>
      <c r="H719" s="232"/>
      <c r="I719" s="233"/>
      <c r="J719" s="14">
        <v>20</v>
      </c>
      <c r="K719" s="138">
        <v>3</v>
      </c>
      <c r="L719" s="138">
        <v>60</v>
      </c>
    </row>
    <row r="720" spans="1:12" x14ac:dyDescent="0.25">
      <c r="A720" s="1">
        <v>719</v>
      </c>
      <c r="B720" s="1">
        <v>223</v>
      </c>
      <c r="C720" s="232" t="s">
        <v>3483</v>
      </c>
      <c r="D720" s="232" t="s">
        <v>2554</v>
      </c>
      <c r="E720" s="1" t="s">
        <v>3560</v>
      </c>
      <c r="F720" s="232" t="s">
        <v>2601</v>
      </c>
      <c r="G720" s="1" t="s">
        <v>3539</v>
      </c>
      <c r="H720" s="232"/>
      <c r="I720" s="233"/>
      <c r="J720" s="14">
        <v>5</v>
      </c>
      <c r="K720" s="138">
        <v>3</v>
      </c>
      <c r="L720" s="138">
        <v>15</v>
      </c>
    </row>
    <row r="721" spans="1:12" x14ac:dyDescent="0.25">
      <c r="A721" s="1">
        <v>720</v>
      </c>
      <c r="B721" s="1">
        <v>223</v>
      </c>
      <c r="C721" s="232" t="s">
        <v>3484</v>
      </c>
      <c r="D721" s="232" t="s">
        <v>2554</v>
      </c>
      <c r="E721" s="1" t="s">
        <v>3560</v>
      </c>
      <c r="F721" s="232" t="s">
        <v>2604</v>
      </c>
      <c r="G721" s="1" t="s">
        <v>3540</v>
      </c>
      <c r="H721" s="232"/>
      <c r="I721" s="233"/>
      <c r="J721" s="14">
        <v>1</v>
      </c>
      <c r="K721" s="138">
        <v>77</v>
      </c>
      <c r="L721" s="138">
        <v>77</v>
      </c>
    </row>
    <row r="722" spans="1:12" x14ac:dyDescent="0.25">
      <c r="A722" s="1">
        <v>721</v>
      </c>
      <c r="B722" s="1">
        <v>223</v>
      </c>
      <c r="C722" s="232" t="s">
        <v>3485</v>
      </c>
      <c r="D722" s="232" t="s">
        <v>2554</v>
      </c>
      <c r="E722" s="1" t="s">
        <v>3560</v>
      </c>
      <c r="F722" s="232" t="s">
        <v>2607</v>
      </c>
      <c r="G722" s="1" t="s">
        <v>3541</v>
      </c>
      <c r="H722" s="232"/>
      <c r="I722" s="233"/>
      <c r="J722" s="14">
        <v>1</v>
      </c>
      <c r="K722" s="138">
        <v>22</v>
      </c>
      <c r="L722" s="138">
        <v>22</v>
      </c>
    </row>
    <row r="723" spans="1:12" x14ac:dyDescent="0.25">
      <c r="A723" s="1">
        <v>722</v>
      </c>
      <c r="B723" s="1">
        <v>223</v>
      </c>
      <c r="C723" s="232" t="s">
        <v>3486</v>
      </c>
      <c r="D723" s="232" t="s">
        <v>2554</v>
      </c>
      <c r="E723" s="1" t="s">
        <v>3560</v>
      </c>
      <c r="F723" s="232" t="s">
        <v>2610</v>
      </c>
      <c r="G723" s="1" t="s">
        <v>3542</v>
      </c>
      <c r="H723" s="232"/>
      <c r="I723" s="233"/>
      <c r="J723" s="14">
        <v>1</v>
      </c>
      <c r="K723" s="138">
        <v>0.4</v>
      </c>
      <c r="L723" s="138">
        <v>0.4</v>
      </c>
    </row>
    <row r="724" spans="1:12" x14ac:dyDescent="0.25">
      <c r="A724" s="1">
        <v>723</v>
      </c>
      <c r="B724" s="1">
        <v>223</v>
      </c>
      <c r="C724" s="232" t="s">
        <v>3487</v>
      </c>
      <c r="D724" s="232" t="s">
        <v>2554</v>
      </c>
      <c r="E724" s="1" t="s">
        <v>3560</v>
      </c>
      <c r="F724" s="232" t="s">
        <v>2613</v>
      </c>
      <c r="G724" s="1" t="s">
        <v>3543</v>
      </c>
      <c r="H724" s="232"/>
      <c r="I724" s="233"/>
      <c r="J724" s="14">
        <v>1</v>
      </c>
      <c r="K724" s="138">
        <v>45</v>
      </c>
      <c r="L724" s="138">
        <v>45</v>
      </c>
    </row>
    <row r="725" spans="1:12" x14ac:dyDescent="0.25">
      <c r="A725" s="1">
        <v>724</v>
      </c>
      <c r="B725" s="1">
        <v>224</v>
      </c>
      <c r="C725" s="232" t="s">
        <v>3488</v>
      </c>
      <c r="D725" s="232" t="s">
        <v>2555</v>
      </c>
      <c r="E725" s="1" t="s">
        <v>3561</v>
      </c>
      <c r="F725" s="232" t="s">
        <v>2616</v>
      </c>
      <c r="G725" s="1" t="s">
        <v>3549</v>
      </c>
      <c r="H725" s="232"/>
      <c r="I725" s="233"/>
      <c r="J725" s="14">
        <v>2</v>
      </c>
      <c r="K725" s="138">
        <v>3</v>
      </c>
      <c r="L725" s="138">
        <v>6</v>
      </c>
    </row>
    <row r="726" spans="1:12" x14ac:dyDescent="0.25">
      <c r="A726" s="1">
        <v>725</v>
      </c>
      <c r="B726" s="1">
        <v>225</v>
      </c>
      <c r="C726" s="232" t="s">
        <v>3502</v>
      </c>
      <c r="D726" s="232" t="s">
        <v>2556</v>
      </c>
      <c r="E726" s="1" t="s">
        <v>3562</v>
      </c>
      <c r="F726" s="232" t="s">
        <v>2788</v>
      </c>
      <c r="G726" s="1" t="s">
        <v>3551</v>
      </c>
      <c r="H726" s="232"/>
      <c r="I726" s="233"/>
      <c r="J726" s="14">
        <v>1</v>
      </c>
      <c r="K726" s="138">
        <v>150</v>
      </c>
      <c r="L726" s="138">
        <v>150</v>
      </c>
    </row>
    <row r="727" spans="1:12" x14ac:dyDescent="0.25">
      <c r="A727" s="1">
        <v>726</v>
      </c>
      <c r="B727" s="1">
        <v>225</v>
      </c>
      <c r="C727" s="232" t="s">
        <v>3503</v>
      </c>
      <c r="D727" s="232" t="s">
        <v>2556</v>
      </c>
      <c r="E727" s="1" t="s">
        <v>3562</v>
      </c>
      <c r="F727" s="232" t="s">
        <v>2791</v>
      </c>
      <c r="G727" s="1" t="s">
        <v>3554</v>
      </c>
      <c r="H727" s="232"/>
      <c r="I727" s="233"/>
      <c r="J727" s="14">
        <v>1</v>
      </c>
      <c r="K727" s="138">
        <v>5</v>
      </c>
      <c r="L727" s="138">
        <v>5</v>
      </c>
    </row>
    <row r="728" spans="1:12" x14ac:dyDescent="0.25">
      <c r="A728" s="1">
        <v>727</v>
      </c>
      <c r="B728" s="1">
        <v>226</v>
      </c>
      <c r="C728" s="232" t="s">
        <v>3502</v>
      </c>
      <c r="D728" s="232" t="s">
        <v>2556</v>
      </c>
      <c r="E728" s="1" t="s">
        <v>3562</v>
      </c>
      <c r="F728" s="232" t="s">
        <v>2788</v>
      </c>
      <c r="G728" s="1" t="s">
        <v>3551</v>
      </c>
      <c r="H728" s="232"/>
      <c r="I728" s="233"/>
      <c r="J728" s="14">
        <v>1</v>
      </c>
      <c r="K728" s="138">
        <v>150</v>
      </c>
      <c r="L728" s="138">
        <v>150</v>
      </c>
    </row>
    <row r="729" spans="1:12" x14ac:dyDescent="0.25">
      <c r="A729" s="1">
        <v>728</v>
      </c>
      <c r="B729" s="1">
        <v>227</v>
      </c>
      <c r="C729" s="232" t="s">
        <v>3474</v>
      </c>
      <c r="D729" s="232" t="s">
        <v>2552</v>
      </c>
      <c r="E729" s="1" t="s">
        <v>3558</v>
      </c>
      <c r="F729" s="232" t="s">
        <v>2574</v>
      </c>
      <c r="G729" s="1" t="s">
        <v>3521</v>
      </c>
      <c r="H729" s="232" t="s">
        <v>3331</v>
      </c>
      <c r="I729" s="233" t="s">
        <v>3332</v>
      </c>
      <c r="J729" s="14">
        <v>3</v>
      </c>
      <c r="K729" s="138">
        <v>77</v>
      </c>
      <c r="L729" s="138">
        <v>231</v>
      </c>
    </row>
    <row r="730" spans="1:12" x14ac:dyDescent="0.25">
      <c r="A730" s="1">
        <v>729</v>
      </c>
      <c r="B730" s="1">
        <v>227</v>
      </c>
      <c r="C730" s="232" t="s">
        <v>3476</v>
      </c>
      <c r="D730" s="232" t="s">
        <v>2552</v>
      </c>
      <c r="E730" s="1" t="s">
        <v>3558</v>
      </c>
      <c r="F730" s="232" t="s">
        <v>2580</v>
      </c>
      <c r="G730" s="1" t="s">
        <v>3524</v>
      </c>
      <c r="H730" s="232" t="s">
        <v>3333</v>
      </c>
      <c r="I730" s="233" t="s">
        <v>3334</v>
      </c>
      <c r="J730" s="14">
        <v>3</v>
      </c>
      <c r="K730" s="138">
        <v>6</v>
      </c>
      <c r="L730" s="138">
        <v>18</v>
      </c>
    </row>
    <row r="731" spans="1:12" x14ac:dyDescent="0.25">
      <c r="A731" s="1">
        <v>730</v>
      </c>
      <c r="B731" s="1">
        <v>228</v>
      </c>
      <c r="C731" s="232" t="s">
        <v>3481</v>
      </c>
      <c r="D731" s="232" t="s">
        <v>2554</v>
      </c>
      <c r="E731" s="1" t="s">
        <v>3560</v>
      </c>
      <c r="F731" s="232" t="s">
        <v>2595</v>
      </c>
      <c r="G731" s="1" t="s">
        <v>3537</v>
      </c>
      <c r="H731" s="232"/>
      <c r="I731" s="233"/>
      <c r="J731" s="14">
        <v>1</v>
      </c>
      <c r="K731" s="138">
        <v>0.5</v>
      </c>
      <c r="L731" s="138">
        <v>0.5</v>
      </c>
    </row>
    <row r="732" spans="1:12" x14ac:dyDescent="0.25">
      <c r="A732" s="1">
        <v>731</v>
      </c>
      <c r="B732" s="1">
        <v>228</v>
      </c>
      <c r="C732" s="232" t="s">
        <v>3482</v>
      </c>
      <c r="D732" s="232" t="s">
        <v>2554</v>
      </c>
      <c r="E732" s="1" t="s">
        <v>3560</v>
      </c>
      <c r="F732" s="232" t="s">
        <v>2598</v>
      </c>
      <c r="G732" s="1" t="s">
        <v>3538</v>
      </c>
      <c r="H732" s="232"/>
      <c r="I732" s="233"/>
      <c r="J732" s="14">
        <v>1</v>
      </c>
      <c r="K732" s="138">
        <v>3</v>
      </c>
      <c r="L732" s="138">
        <v>3</v>
      </c>
    </row>
    <row r="733" spans="1:12" x14ac:dyDescent="0.25">
      <c r="A733" s="1">
        <v>732</v>
      </c>
      <c r="B733" s="1">
        <v>228</v>
      </c>
      <c r="C733" s="232" t="s">
        <v>3483</v>
      </c>
      <c r="D733" s="232" t="s">
        <v>2554</v>
      </c>
      <c r="E733" s="1" t="s">
        <v>3560</v>
      </c>
      <c r="F733" s="232" t="s">
        <v>2601</v>
      </c>
      <c r="G733" s="1" t="s">
        <v>3539</v>
      </c>
      <c r="H733" s="232"/>
      <c r="I733" s="233"/>
      <c r="J733" s="14">
        <v>1</v>
      </c>
      <c r="K733" s="138">
        <v>3</v>
      </c>
      <c r="L733" s="138">
        <v>3</v>
      </c>
    </row>
    <row r="734" spans="1:12" x14ac:dyDescent="0.25">
      <c r="A734" s="1">
        <v>733</v>
      </c>
      <c r="B734" s="1">
        <v>228</v>
      </c>
      <c r="C734" s="232" t="s">
        <v>3484</v>
      </c>
      <c r="D734" s="232" t="s">
        <v>2554</v>
      </c>
      <c r="E734" s="1" t="s">
        <v>3560</v>
      </c>
      <c r="F734" s="232" t="s">
        <v>2604</v>
      </c>
      <c r="G734" s="1" t="s">
        <v>3540</v>
      </c>
      <c r="H734" s="232"/>
      <c r="I734" s="233"/>
      <c r="J734" s="14">
        <v>1</v>
      </c>
      <c r="K734" s="138">
        <v>77</v>
      </c>
      <c r="L734" s="138">
        <v>77</v>
      </c>
    </row>
    <row r="735" spans="1:12" x14ac:dyDescent="0.25">
      <c r="A735" s="1">
        <v>734</v>
      </c>
      <c r="B735" s="1">
        <v>228</v>
      </c>
      <c r="C735" s="232" t="s">
        <v>3485</v>
      </c>
      <c r="D735" s="232" t="s">
        <v>2554</v>
      </c>
      <c r="E735" s="1" t="s">
        <v>3560</v>
      </c>
      <c r="F735" s="232" t="s">
        <v>2607</v>
      </c>
      <c r="G735" s="1" t="s">
        <v>3541</v>
      </c>
      <c r="H735" s="232"/>
      <c r="I735" s="233"/>
      <c r="J735" s="14">
        <v>1</v>
      </c>
      <c r="K735" s="138">
        <v>22</v>
      </c>
      <c r="L735" s="138">
        <v>22</v>
      </c>
    </row>
    <row r="736" spans="1:12" x14ac:dyDescent="0.25">
      <c r="A736" s="1">
        <v>735</v>
      </c>
      <c r="B736" s="1">
        <v>228</v>
      </c>
      <c r="C736" s="232" t="s">
        <v>3486</v>
      </c>
      <c r="D736" s="232" t="s">
        <v>2554</v>
      </c>
      <c r="E736" s="1" t="s">
        <v>3560</v>
      </c>
      <c r="F736" s="232" t="s">
        <v>2610</v>
      </c>
      <c r="G736" s="1" t="s">
        <v>3542</v>
      </c>
      <c r="H736" s="232"/>
      <c r="I736" s="233"/>
      <c r="J736" s="14">
        <v>1</v>
      </c>
      <c r="K736" s="138">
        <v>0.4</v>
      </c>
      <c r="L736" s="138">
        <v>0.4</v>
      </c>
    </row>
    <row r="737" spans="1:12" x14ac:dyDescent="0.25">
      <c r="A737" s="1">
        <v>736</v>
      </c>
      <c r="B737" s="1">
        <v>228</v>
      </c>
      <c r="C737" s="232" t="s">
        <v>3487</v>
      </c>
      <c r="D737" s="232" t="s">
        <v>2554</v>
      </c>
      <c r="E737" s="1" t="s">
        <v>3560</v>
      </c>
      <c r="F737" s="232" t="s">
        <v>2613</v>
      </c>
      <c r="G737" s="1" t="s">
        <v>3543</v>
      </c>
      <c r="H737" s="232"/>
      <c r="I737" s="233"/>
      <c r="J737" s="14">
        <v>2</v>
      </c>
      <c r="K737" s="138">
        <v>45</v>
      </c>
      <c r="L737" s="138">
        <v>90</v>
      </c>
    </row>
    <row r="738" spans="1:12" x14ac:dyDescent="0.25">
      <c r="A738" s="1">
        <v>737</v>
      </c>
      <c r="B738" s="1">
        <v>229</v>
      </c>
      <c r="C738" s="232" t="s">
        <v>3502</v>
      </c>
      <c r="D738" s="232" t="s">
        <v>2556</v>
      </c>
      <c r="E738" s="1" t="s">
        <v>3562</v>
      </c>
      <c r="F738" s="232" t="s">
        <v>2788</v>
      </c>
      <c r="G738" s="1" t="s">
        <v>3551</v>
      </c>
      <c r="H738" s="232"/>
      <c r="I738" s="233"/>
      <c r="J738" s="14">
        <v>1</v>
      </c>
      <c r="K738" s="138">
        <v>150</v>
      </c>
      <c r="L738" s="138">
        <v>150</v>
      </c>
    </row>
    <row r="739" spans="1:12" x14ac:dyDescent="0.25">
      <c r="A739" s="1">
        <v>738</v>
      </c>
      <c r="B739" s="1">
        <v>230</v>
      </c>
      <c r="C739" s="232" t="s">
        <v>3473</v>
      </c>
      <c r="D739" s="232" t="s">
        <v>2552</v>
      </c>
      <c r="E739" s="1" t="s">
        <v>3558</v>
      </c>
      <c r="F739" s="232" t="s">
        <v>2571</v>
      </c>
      <c r="G739" s="1" t="s">
        <v>3518</v>
      </c>
      <c r="H739" s="232" t="s">
        <v>3335</v>
      </c>
      <c r="I739" s="233" t="s">
        <v>3336</v>
      </c>
      <c r="J739" s="14">
        <v>1</v>
      </c>
      <c r="K739" s="138">
        <v>5</v>
      </c>
      <c r="L739" s="138">
        <v>5</v>
      </c>
    </row>
    <row r="740" spans="1:12" x14ac:dyDescent="0.25">
      <c r="A740" s="1">
        <v>739</v>
      </c>
      <c r="B740" s="1">
        <v>230</v>
      </c>
      <c r="C740" s="232" t="s">
        <v>3497</v>
      </c>
      <c r="D740" s="232" t="s">
        <v>2552</v>
      </c>
      <c r="E740" s="1" t="s">
        <v>3558</v>
      </c>
      <c r="F740" s="232" t="s">
        <v>2753</v>
      </c>
      <c r="G740" s="1" t="s">
        <v>3520</v>
      </c>
      <c r="H740" s="232" t="s">
        <v>3337</v>
      </c>
      <c r="I740" s="233" t="s">
        <v>3338</v>
      </c>
      <c r="J740" s="14">
        <v>3</v>
      </c>
      <c r="K740" s="138">
        <v>10</v>
      </c>
      <c r="L740" s="138">
        <v>30</v>
      </c>
    </row>
    <row r="741" spans="1:12" x14ac:dyDescent="0.25">
      <c r="A741" s="1">
        <v>740</v>
      </c>
      <c r="B741" s="1">
        <v>230</v>
      </c>
      <c r="C741" s="232" t="s">
        <v>3474</v>
      </c>
      <c r="D741" s="232" t="s">
        <v>2552</v>
      </c>
      <c r="E741" s="1" t="s">
        <v>3558</v>
      </c>
      <c r="F741" s="232" t="s">
        <v>2574</v>
      </c>
      <c r="G741" s="1" t="s">
        <v>3521</v>
      </c>
      <c r="H741" s="232" t="s">
        <v>3339</v>
      </c>
      <c r="I741" s="233" t="s">
        <v>3340</v>
      </c>
      <c r="J741" s="14">
        <v>3</v>
      </c>
      <c r="K741" s="138">
        <v>77</v>
      </c>
      <c r="L741" s="138">
        <v>231</v>
      </c>
    </row>
    <row r="742" spans="1:12" x14ac:dyDescent="0.25">
      <c r="A742" s="1">
        <v>741</v>
      </c>
      <c r="B742" s="1">
        <v>230</v>
      </c>
      <c r="C742" s="232" t="s">
        <v>3475</v>
      </c>
      <c r="D742" s="232" t="s">
        <v>2552</v>
      </c>
      <c r="E742" s="1" t="s">
        <v>3558</v>
      </c>
      <c r="F742" s="232" t="s">
        <v>2577</v>
      </c>
      <c r="G742" s="1" t="s">
        <v>3523</v>
      </c>
      <c r="H742" s="232" t="s">
        <v>3341</v>
      </c>
      <c r="I742" s="233" t="s">
        <v>3342</v>
      </c>
      <c r="J742" s="14">
        <v>2</v>
      </c>
      <c r="K742" s="138">
        <v>42</v>
      </c>
      <c r="L742" s="138">
        <v>84</v>
      </c>
    </row>
    <row r="743" spans="1:12" x14ac:dyDescent="0.25">
      <c r="A743" s="1">
        <v>742</v>
      </c>
      <c r="B743" s="1">
        <v>230</v>
      </c>
      <c r="C743" s="232" t="s">
        <v>3476</v>
      </c>
      <c r="D743" s="232" t="s">
        <v>2552</v>
      </c>
      <c r="E743" s="1" t="s">
        <v>3558</v>
      </c>
      <c r="F743" s="232" t="s">
        <v>2580</v>
      </c>
      <c r="G743" s="1" t="s">
        <v>3524</v>
      </c>
      <c r="H743" s="232" t="s">
        <v>3343</v>
      </c>
      <c r="I743" s="233" t="s">
        <v>3344</v>
      </c>
      <c r="J743" s="14">
        <v>5</v>
      </c>
      <c r="K743" s="138">
        <v>6</v>
      </c>
      <c r="L743" s="138">
        <v>30</v>
      </c>
    </row>
    <row r="744" spans="1:12" x14ac:dyDescent="0.25">
      <c r="A744" s="1">
        <v>743</v>
      </c>
      <c r="B744" s="1">
        <v>231</v>
      </c>
      <c r="C744" s="232" t="s">
        <v>3477</v>
      </c>
      <c r="D744" s="232" t="s">
        <v>2553</v>
      </c>
      <c r="E744" s="1" t="s">
        <v>3559</v>
      </c>
      <c r="F744" s="232" t="s">
        <v>2583</v>
      </c>
      <c r="G744" s="1" t="s">
        <v>3527</v>
      </c>
      <c r="H744" s="232" t="s">
        <v>3345</v>
      </c>
      <c r="I744" s="233" t="s">
        <v>3346</v>
      </c>
      <c r="J744" s="14">
        <v>3</v>
      </c>
      <c r="K744" s="138">
        <v>20</v>
      </c>
      <c r="L744" s="138">
        <v>60</v>
      </c>
    </row>
    <row r="745" spans="1:12" x14ac:dyDescent="0.25">
      <c r="A745" s="1">
        <v>744</v>
      </c>
      <c r="B745" s="1">
        <v>231</v>
      </c>
      <c r="C745" s="232" t="s">
        <v>3490</v>
      </c>
      <c r="D745" s="232" t="s">
        <v>2553</v>
      </c>
      <c r="E745" s="1" t="s">
        <v>3559</v>
      </c>
      <c r="F745" s="232" t="s">
        <v>2630</v>
      </c>
      <c r="G745" s="1" t="s">
        <v>3529</v>
      </c>
      <c r="H745" s="232" t="s">
        <v>3347</v>
      </c>
      <c r="I745" s="233" t="s">
        <v>3348</v>
      </c>
      <c r="J745" s="14">
        <v>1</v>
      </c>
      <c r="K745" s="138">
        <v>18</v>
      </c>
      <c r="L745" s="138">
        <v>18</v>
      </c>
    </row>
    <row r="746" spans="1:12" x14ac:dyDescent="0.25">
      <c r="A746" s="1">
        <v>745</v>
      </c>
      <c r="B746" s="1">
        <v>231</v>
      </c>
      <c r="C746" s="232" t="s">
        <v>3479</v>
      </c>
      <c r="D746" s="232" t="s">
        <v>2553</v>
      </c>
      <c r="E746" s="1" t="s">
        <v>3559</v>
      </c>
      <c r="F746" s="232" t="s">
        <v>2589</v>
      </c>
      <c r="G746" s="1" t="s">
        <v>3530</v>
      </c>
      <c r="H746" s="232" t="s">
        <v>3349</v>
      </c>
      <c r="I746" s="233" t="s">
        <v>3350</v>
      </c>
      <c r="J746" s="14">
        <v>1</v>
      </c>
      <c r="K746" s="138">
        <v>70</v>
      </c>
      <c r="L746" s="138">
        <v>70</v>
      </c>
    </row>
    <row r="747" spans="1:12" x14ac:dyDescent="0.25">
      <c r="A747" s="1">
        <v>746</v>
      </c>
      <c r="B747" s="1">
        <v>231</v>
      </c>
      <c r="C747" s="232" t="s">
        <v>3480</v>
      </c>
      <c r="D747" s="232" t="s">
        <v>2553</v>
      </c>
      <c r="E747" s="1" t="s">
        <v>3559</v>
      </c>
      <c r="F747" s="232" t="s">
        <v>2592</v>
      </c>
      <c r="G747" s="1" t="s">
        <v>3533</v>
      </c>
      <c r="H747" s="232"/>
      <c r="I747" s="233"/>
      <c r="J747" s="14">
        <v>3</v>
      </c>
      <c r="K747" s="138">
        <v>7</v>
      </c>
      <c r="L747" s="138">
        <v>21</v>
      </c>
    </row>
    <row r="748" spans="1:12" x14ac:dyDescent="0.25">
      <c r="A748" s="1">
        <v>747</v>
      </c>
      <c r="B748" s="1">
        <v>231</v>
      </c>
      <c r="C748" s="232" t="s">
        <v>3493</v>
      </c>
      <c r="D748" s="232" t="s">
        <v>2553</v>
      </c>
      <c r="E748" s="1" t="s">
        <v>3559</v>
      </c>
      <c r="F748" s="232" t="s">
        <v>2689</v>
      </c>
      <c r="G748" s="1" t="s">
        <v>3534</v>
      </c>
      <c r="H748" s="232" t="s">
        <v>3351</v>
      </c>
      <c r="I748" s="233" t="s">
        <v>3352</v>
      </c>
      <c r="J748" s="14">
        <v>1</v>
      </c>
      <c r="K748" s="138">
        <v>50</v>
      </c>
      <c r="L748" s="138">
        <v>50</v>
      </c>
    </row>
    <row r="749" spans="1:12" x14ac:dyDescent="0.25">
      <c r="A749" s="1">
        <v>748</v>
      </c>
      <c r="B749" s="1">
        <v>232</v>
      </c>
      <c r="C749" s="232" t="s">
        <v>3481</v>
      </c>
      <c r="D749" s="232" t="s">
        <v>2554</v>
      </c>
      <c r="E749" s="1" t="s">
        <v>3560</v>
      </c>
      <c r="F749" s="232" t="s">
        <v>2595</v>
      </c>
      <c r="G749" s="1" t="s">
        <v>3537</v>
      </c>
      <c r="H749" s="232"/>
      <c r="I749" s="233"/>
      <c r="J749" s="14">
        <v>1</v>
      </c>
      <c r="K749" s="138">
        <v>0.5</v>
      </c>
      <c r="L749" s="138">
        <v>0.5</v>
      </c>
    </row>
    <row r="750" spans="1:12" x14ac:dyDescent="0.25">
      <c r="A750" s="1">
        <v>749</v>
      </c>
      <c r="B750" s="1">
        <v>232</v>
      </c>
      <c r="C750" s="232" t="s">
        <v>3482</v>
      </c>
      <c r="D750" s="232" t="s">
        <v>2554</v>
      </c>
      <c r="E750" s="1" t="s">
        <v>3560</v>
      </c>
      <c r="F750" s="232" t="s">
        <v>2598</v>
      </c>
      <c r="G750" s="1" t="s">
        <v>3538</v>
      </c>
      <c r="H750" s="232"/>
      <c r="I750" s="233"/>
      <c r="J750" s="14">
        <v>1</v>
      </c>
      <c r="K750" s="138">
        <v>3</v>
      </c>
      <c r="L750" s="138">
        <v>3</v>
      </c>
    </row>
    <row r="751" spans="1:12" x14ac:dyDescent="0.25">
      <c r="A751" s="1">
        <v>750</v>
      </c>
      <c r="B751" s="1">
        <v>232</v>
      </c>
      <c r="C751" s="232" t="s">
        <v>3483</v>
      </c>
      <c r="D751" s="232" t="s">
        <v>2554</v>
      </c>
      <c r="E751" s="1" t="s">
        <v>3560</v>
      </c>
      <c r="F751" s="232" t="s">
        <v>2601</v>
      </c>
      <c r="G751" s="1" t="s">
        <v>3539</v>
      </c>
      <c r="H751" s="232"/>
      <c r="I751" s="233"/>
      <c r="J751" s="14">
        <v>1</v>
      </c>
      <c r="K751" s="138">
        <v>3</v>
      </c>
      <c r="L751" s="138">
        <v>3</v>
      </c>
    </row>
    <row r="752" spans="1:12" x14ac:dyDescent="0.25">
      <c r="A752" s="1">
        <v>751</v>
      </c>
      <c r="B752" s="1">
        <v>232</v>
      </c>
      <c r="C752" s="232" t="s">
        <v>3484</v>
      </c>
      <c r="D752" s="232" t="s">
        <v>2554</v>
      </c>
      <c r="E752" s="1" t="s">
        <v>3560</v>
      </c>
      <c r="F752" s="232" t="s">
        <v>2604</v>
      </c>
      <c r="G752" s="1" t="s">
        <v>3540</v>
      </c>
      <c r="H752" s="232"/>
      <c r="I752" s="233"/>
      <c r="J752" s="14">
        <v>1</v>
      </c>
      <c r="K752" s="138">
        <v>77</v>
      </c>
      <c r="L752" s="138">
        <v>77</v>
      </c>
    </row>
    <row r="753" spans="1:12" x14ac:dyDescent="0.25">
      <c r="A753" s="1">
        <v>752</v>
      </c>
      <c r="B753" s="1">
        <v>232</v>
      </c>
      <c r="C753" s="232" t="s">
        <v>3485</v>
      </c>
      <c r="D753" s="232" t="s">
        <v>2554</v>
      </c>
      <c r="E753" s="1" t="s">
        <v>3560</v>
      </c>
      <c r="F753" s="232" t="s">
        <v>2607</v>
      </c>
      <c r="G753" s="1" t="s">
        <v>3541</v>
      </c>
      <c r="H753" s="232"/>
      <c r="I753" s="233"/>
      <c r="J753" s="14">
        <v>1</v>
      </c>
      <c r="K753" s="138">
        <v>22</v>
      </c>
      <c r="L753" s="138">
        <v>22</v>
      </c>
    </row>
    <row r="754" spans="1:12" x14ac:dyDescent="0.25">
      <c r="A754" s="1">
        <v>753</v>
      </c>
      <c r="B754" s="1">
        <v>232</v>
      </c>
      <c r="C754" s="232" t="s">
        <v>3486</v>
      </c>
      <c r="D754" s="232" t="s">
        <v>2554</v>
      </c>
      <c r="E754" s="1" t="s">
        <v>3560</v>
      </c>
      <c r="F754" s="232" t="s">
        <v>2610</v>
      </c>
      <c r="G754" s="1" t="s">
        <v>3542</v>
      </c>
      <c r="H754" s="232"/>
      <c r="I754" s="233"/>
      <c r="J754" s="14">
        <v>1</v>
      </c>
      <c r="K754" s="138">
        <v>0.4</v>
      </c>
      <c r="L754" s="138">
        <v>0.4</v>
      </c>
    </row>
    <row r="755" spans="1:12" x14ac:dyDescent="0.25">
      <c r="A755" s="1">
        <v>754</v>
      </c>
      <c r="B755" s="1">
        <v>232</v>
      </c>
      <c r="C755" s="232" t="s">
        <v>3487</v>
      </c>
      <c r="D755" s="232" t="s">
        <v>2554</v>
      </c>
      <c r="E755" s="1" t="s">
        <v>3560</v>
      </c>
      <c r="F755" s="232" t="s">
        <v>2613</v>
      </c>
      <c r="G755" s="1" t="s">
        <v>3543</v>
      </c>
      <c r="H755" s="232"/>
      <c r="I755" s="233"/>
      <c r="J755" s="14">
        <v>2</v>
      </c>
      <c r="K755" s="138">
        <v>45</v>
      </c>
      <c r="L755" s="138">
        <v>90</v>
      </c>
    </row>
    <row r="756" spans="1:12" x14ac:dyDescent="0.25">
      <c r="A756" s="1">
        <v>755</v>
      </c>
      <c r="B756" s="1">
        <v>233</v>
      </c>
      <c r="C756" s="232" t="s">
        <v>3507</v>
      </c>
      <c r="D756" s="232" t="s">
        <v>2555</v>
      </c>
      <c r="E756" s="1" t="s">
        <v>3561</v>
      </c>
      <c r="F756" s="232" t="s">
        <v>2863</v>
      </c>
      <c r="G756" s="1" t="s">
        <v>3548</v>
      </c>
      <c r="H756" s="232"/>
      <c r="I756" s="233"/>
      <c r="J756" s="14">
        <v>1</v>
      </c>
      <c r="K756" s="138">
        <v>10</v>
      </c>
      <c r="L756" s="138">
        <v>10</v>
      </c>
    </row>
    <row r="757" spans="1:12" x14ac:dyDescent="0.25">
      <c r="A757" s="1">
        <v>756</v>
      </c>
      <c r="B757" s="1">
        <v>233</v>
      </c>
      <c r="C757" s="232" t="s">
        <v>3488</v>
      </c>
      <c r="D757" s="232" t="s">
        <v>2555</v>
      </c>
      <c r="E757" s="1" t="s">
        <v>3561</v>
      </c>
      <c r="F757" s="232" t="s">
        <v>2616</v>
      </c>
      <c r="G757" s="1" t="s">
        <v>3549</v>
      </c>
      <c r="H757" s="232"/>
      <c r="I757" s="233"/>
      <c r="J757" s="14">
        <v>2</v>
      </c>
      <c r="K757" s="138">
        <v>3</v>
      </c>
      <c r="L757" s="138">
        <v>6</v>
      </c>
    </row>
    <row r="758" spans="1:12" x14ac:dyDescent="0.25">
      <c r="A758" s="1">
        <v>757</v>
      </c>
      <c r="B758" s="1">
        <v>234</v>
      </c>
      <c r="C758" s="232" t="s">
        <v>3502</v>
      </c>
      <c r="D758" s="232" t="s">
        <v>2556</v>
      </c>
      <c r="E758" s="1" t="s">
        <v>3562</v>
      </c>
      <c r="F758" s="232" t="s">
        <v>2788</v>
      </c>
      <c r="G758" s="1" t="s">
        <v>3551</v>
      </c>
      <c r="H758" s="232"/>
      <c r="I758" s="233"/>
      <c r="J758" s="14">
        <v>1</v>
      </c>
      <c r="K758" s="138">
        <v>150</v>
      </c>
      <c r="L758" s="138">
        <v>150</v>
      </c>
    </row>
    <row r="759" spans="1:12" x14ac:dyDescent="0.25">
      <c r="A759" s="1">
        <v>758</v>
      </c>
      <c r="B759" s="1">
        <v>235</v>
      </c>
      <c r="C759" s="232" t="s">
        <v>3502</v>
      </c>
      <c r="D759" s="232" t="s">
        <v>2556</v>
      </c>
      <c r="E759" s="1" t="s">
        <v>3562</v>
      </c>
      <c r="F759" s="232" t="s">
        <v>2788</v>
      </c>
      <c r="G759" s="1" t="s">
        <v>3551</v>
      </c>
      <c r="H759" s="232"/>
      <c r="I759" s="233"/>
      <c r="J759" s="14">
        <v>1</v>
      </c>
      <c r="K759" s="138">
        <v>150</v>
      </c>
      <c r="L759" s="138">
        <v>150</v>
      </c>
    </row>
    <row r="760" spans="1:12" x14ac:dyDescent="0.25">
      <c r="A760" s="1">
        <v>759</v>
      </c>
      <c r="B760" s="1">
        <v>236</v>
      </c>
      <c r="C760" s="232" t="s">
        <v>3497</v>
      </c>
      <c r="D760" s="232" t="s">
        <v>2552</v>
      </c>
      <c r="E760" s="1" t="s">
        <v>3558</v>
      </c>
      <c r="F760" s="232" t="s">
        <v>2753</v>
      </c>
      <c r="G760" s="1" t="s">
        <v>3520</v>
      </c>
      <c r="H760" s="232" t="s">
        <v>3353</v>
      </c>
      <c r="I760" s="233" t="s">
        <v>3354</v>
      </c>
      <c r="J760" s="14">
        <v>3</v>
      </c>
      <c r="K760" s="138">
        <v>10</v>
      </c>
      <c r="L760" s="138">
        <v>30</v>
      </c>
    </row>
    <row r="761" spans="1:12" x14ac:dyDescent="0.25">
      <c r="A761" s="1">
        <v>760</v>
      </c>
      <c r="B761" s="1">
        <v>236</v>
      </c>
      <c r="C761" s="232" t="s">
        <v>3474</v>
      </c>
      <c r="D761" s="232" t="s">
        <v>2552</v>
      </c>
      <c r="E761" s="1" t="s">
        <v>3558</v>
      </c>
      <c r="F761" s="232" t="s">
        <v>2574</v>
      </c>
      <c r="G761" s="1" t="s">
        <v>3521</v>
      </c>
      <c r="H761" s="232" t="s">
        <v>3355</v>
      </c>
      <c r="I761" s="233" t="s">
        <v>3356</v>
      </c>
      <c r="J761" s="14">
        <v>3</v>
      </c>
      <c r="K761" s="138">
        <v>77</v>
      </c>
      <c r="L761" s="138">
        <v>231</v>
      </c>
    </row>
    <row r="762" spans="1:12" x14ac:dyDescent="0.25">
      <c r="A762" s="1">
        <v>761</v>
      </c>
      <c r="B762" s="1">
        <v>236</v>
      </c>
      <c r="C762" s="232" t="s">
        <v>3475</v>
      </c>
      <c r="D762" s="232" t="s">
        <v>2552</v>
      </c>
      <c r="E762" s="1" t="s">
        <v>3558</v>
      </c>
      <c r="F762" s="232" t="s">
        <v>2577</v>
      </c>
      <c r="G762" s="1" t="s">
        <v>3523</v>
      </c>
      <c r="H762" s="232" t="s">
        <v>3357</v>
      </c>
      <c r="I762" s="233" t="s">
        <v>3358</v>
      </c>
      <c r="J762" s="14">
        <v>2</v>
      </c>
      <c r="K762" s="138">
        <v>42</v>
      </c>
      <c r="L762" s="138">
        <v>84</v>
      </c>
    </row>
    <row r="763" spans="1:12" x14ac:dyDescent="0.25">
      <c r="A763" s="1">
        <v>762</v>
      </c>
      <c r="B763" s="1">
        <v>236</v>
      </c>
      <c r="C763" s="232" t="s">
        <v>3476</v>
      </c>
      <c r="D763" s="232" t="s">
        <v>2552</v>
      </c>
      <c r="E763" s="1" t="s">
        <v>3558</v>
      </c>
      <c r="F763" s="232" t="s">
        <v>2580</v>
      </c>
      <c r="G763" s="1" t="s">
        <v>3524</v>
      </c>
      <c r="H763" s="232" t="s">
        <v>3359</v>
      </c>
      <c r="I763" s="233" t="s">
        <v>3360</v>
      </c>
      <c r="J763" s="14">
        <v>5</v>
      </c>
      <c r="K763" s="138">
        <v>6</v>
      </c>
      <c r="L763" s="138">
        <v>30</v>
      </c>
    </row>
    <row r="764" spans="1:12" x14ac:dyDescent="0.25">
      <c r="A764" s="1">
        <v>763</v>
      </c>
      <c r="B764" s="1">
        <v>237</v>
      </c>
      <c r="C764" s="232" t="s">
        <v>3490</v>
      </c>
      <c r="D764" s="232" t="s">
        <v>2553</v>
      </c>
      <c r="E764" s="1" t="s">
        <v>3559</v>
      </c>
      <c r="F764" s="232" t="s">
        <v>2630</v>
      </c>
      <c r="G764" s="1" t="s">
        <v>3529</v>
      </c>
      <c r="H764" s="232" t="s">
        <v>3361</v>
      </c>
      <c r="I764" s="233" t="s">
        <v>3362</v>
      </c>
      <c r="J764" s="14">
        <v>1</v>
      </c>
      <c r="K764" s="138">
        <v>18</v>
      </c>
      <c r="L764" s="138">
        <v>18</v>
      </c>
    </row>
    <row r="765" spans="1:12" x14ac:dyDescent="0.25">
      <c r="A765" s="1">
        <v>764</v>
      </c>
      <c r="B765" s="1">
        <v>237</v>
      </c>
      <c r="C765" s="232" t="s">
        <v>3480</v>
      </c>
      <c r="D765" s="232" t="s">
        <v>2553</v>
      </c>
      <c r="E765" s="1" t="s">
        <v>3559</v>
      </c>
      <c r="F765" s="232" t="s">
        <v>2592</v>
      </c>
      <c r="G765" s="1" t="s">
        <v>3533</v>
      </c>
      <c r="H765" s="232"/>
      <c r="I765" s="233"/>
      <c r="J765" s="14">
        <v>4</v>
      </c>
      <c r="K765" s="138">
        <v>7</v>
      </c>
      <c r="L765" s="138">
        <v>28</v>
      </c>
    </row>
    <row r="766" spans="1:12" x14ac:dyDescent="0.25">
      <c r="A766" s="1">
        <v>765</v>
      </c>
      <c r="B766" s="1">
        <v>237</v>
      </c>
      <c r="C766" s="232" t="s">
        <v>3477</v>
      </c>
      <c r="D766" s="232" t="s">
        <v>2553</v>
      </c>
      <c r="E766" s="1" t="s">
        <v>3559</v>
      </c>
      <c r="F766" s="232" t="s">
        <v>2583</v>
      </c>
      <c r="G766" s="1" t="s">
        <v>3527</v>
      </c>
      <c r="H766" s="232"/>
      <c r="I766" s="233"/>
      <c r="J766" s="14">
        <v>3</v>
      </c>
      <c r="K766" s="138">
        <v>20</v>
      </c>
      <c r="L766" s="138">
        <v>60</v>
      </c>
    </row>
    <row r="767" spans="1:12" x14ac:dyDescent="0.25">
      <c r="A767" s="1">
        <v>766</v>
      </c>
      <c r="B767" s="1">
        <v>237</v>
      </c>
      <c r="C767" s="232" t="s">
        <v>3493</v>
      </c>
      <c r="D767" s="232" t="s">
        <v>2553</v>
      </c>
      <c r="E767" s="1" t="s">
        <v>3559</v>
      </c>
      <c r="F767" s="232" t="s">
        <v>2689</v>
      </c>
      <c r="G767" s="1" t="s">
        <v>3534</v>
      </c>
      <c r="H767" s="232"/>
      <c r="I767" s="233"/>
      <c r="J767" s="14">
        <v>1</v>
      </c>
      <c r="K767" s="138">
        <v>50</v>
      </c>
      <c r="L767" s="138">
        <v>50</v>
      </c>
    </row>
    <row r="768" spans="1:12" x14ac:dyDescent="0.25">
      <c r="A768" s="1">
        <v>767</v>
      </c>
      <c r="B768" s="1">
        <v>238</v>
      </c>
      <c r="C768" s="232" t="s">
        <v>3500</v>
      </c>
      <c r="D768" s="232" t="s">
        <v>2554</v>
      </c>
      <c r="E768" s="1" t="s">
        <v>3560</v>
      </c>
      <c r="F768" s="232" t="s">
        <v>2782</v>
      </c>
      <c r="G768" s="1" t="s">
        <v>3536</v>
      </c>
      <c r="H768" s="232"/>
      <c r="I768" s="233"/>
      <c r="J768" s="14">
        <v>1</v>
      </c>
      <c r="K768" s="138">
        <v>10</v>
      </c>
      <c r="L768" s="138">
        <v>10</v>
      </c>
    </row>
    <row r="769" spans="1:12" x14ac:dyDescent="0.25">
      <c r="A769" s="1">
        <v>768</v>
      </c>
      <c r="B769" s="1">
        <v>238</v>
      </c>
      <c r="C769" s="232" t="s">
        <v>3481</v>
      </c>
      <c r="D769" s="232" t="s">
        <v>2554</v>
      </c>
      <c r="E769" s="1" t="s">
        <v>3560</v>
      </c>
      <c r="F769" s="232" t="s">
        <v>2595</v>
      </c>
      <c r="G769" s="1" t="s">
        <v>3537</v>
      </c>
      <c r="H769" s="232"/>
      <c r="I769" s="233"/>
      <c r="J769" s="14">
        <v>1</v>
      </c>
      <c r="K769" s="138">
        <v>0.5</v>
      </c>
      <c r="L769" s="138">
        <v>0.5</v>
      </c>
    </row>
    <row r="770" spans="1:12" x14ac:dyDescent="0.25">
      <c r="A770" s="1">
        <v>769</v>
      </c>
      <c r="B770" s="1">
        <v>238</v>
      </c>
      <c r="C770" s="232" t="s">
        <v>3482</v>
      </c>
      <c r="D770" s="232" t="s">
        <v>2554</v>
      </c>
      <c r="E770" s="1" t="s">
        <v>3560</v>
      </c>
      <c r="F770" s="232" t="s">
        <v>2598</v>
      </c>
      <c r="G770" s="1" t="s">
        <v>3538</v>
      </c>
      <c r="H770" s="232"/>
      <c r="I770" s="233"/>
      <c r="J770" s="14">
        <v>1</v>
      </c>
      <c r="K770" s="138">
        <v>3</v>
      </c>
      <c r="L770" s="138">
        <v>3</v>
      </c>
    </row>
    <row r="771" spans="1:12" x14ac:dyDescent="0.25">
      <c r="A771" s="1">
        <v>770</v>
      </c>
      <c r="B771" s="1">
        <v>238</v>
      </c>
      <c r="C771" s="232" t="s">
        <v>3483</v>
      </c>
      <c r="D771" s="232" t="s">
        <v>2554</v>
      </c>
      <c r="E771" s="1" t="s">
        <v>3560</v>
      </c>
      <c r="F771" s="232" t="s">
        <v>2601</v>
      </c>
      <c r="G771" s="1" t="s">
        <v>3539</v>
      </c>
      <c r="H771" s="232"/>
      <c r="I771" s="233"/>
      <c r="J771" s="14">
        <v>1</v>
      </c>
      <c r="K771" s="138">
        <v>3</v>
      </c>
      <c r="L771" s="138">
        <v>3</v>
      </c>
    </row>
    <row r="772" spans="1:12" x14ac:dyDescent="0.25">
      <c r="A772" s="1">
        <v>771</v>
      </c>
      <c r="B772" s="1">
        <v>238</v>
      </c>
      <c r="C772" s="232" t="s">
        <v>3484</v>
      </c>
      <c r="D772" s="232" t="s">
        <v>2554</v>
      </c>
      <c r="E772" s="1" t="s">
        <v>3560</v>
      </c>
      <c r="F772" s="232" t="s">
        <v>2604</v>
      </c>
      <c r="G772" s="1" t="s">
        <v>3540</v>
      </c>
      <c r="H772" s="232"/>
      <c r="I772" s="233"/>
      <c r="J772" s="14">
        <v>1</v>
      </c>
      <c r="K772" s="138">
        <v>77</v>
      </c>
      <c r="L772" s="138">
        <v>77</v>
      </c>
    </row>
    <row r="773" spans="1:12" x14ac:dyDescent="0.25">
      <c r="A773" s="1">
        <v>772</v>
      </c>
      <c r="B773" s="1">
        <v>238</v>
      </c>
      <c r="C773" s="232" t="s">
        <v>3485</v>
      </c>
      <c r="D773" s="232" t="s">
        <v>2554</v>
      </c>
      <c r="E773" s="1" t="s">
        <v>3560</v>
      </c>
      <c r="F773" s="232" t="s">
        <v>2607</v>
      </c>
      <c r="G773" s="1" t="s">
        <v>3541</v>
      </c>
      <c r="H773" s="232"/>
      <c r="I773" s="233"/>
      <c r="J773" s="14">
        <v>1</v>
      </c>
      <c r="K773" s="138">
        <v>22</v>
      </c>
      <c r="L773" s="138">
        <v>22</v>
      </c>
    </row>
    <row r="774" spans="1:12" x14ac:dyDescent="0.25">
      <c r="A774" s="1">
        <v>773</v>
      </c>
      <c r="B774" s="1">
        <v>238</v>
      </c>
      <c r="C774" s="232" t="s">
        <v>3486</v>
      </c>
      <c r="D774" s="232" t="s">
        <v>2554</v>
      </c>
      <c r="E774" s="1" t="s">
        <v>3560</v>
      </c>
      <c r="F774" s="232" t="s">
        <v>2610</v>
      </c>
      <c r="G774" s="1" t="s">
        <v>3542</v>
      </c>
      <c r="H774" s="232"/>
      <c r="I774" s="233"/>
      <c r="J774" s="14">
        <v>1</v>
      </c>
      <c r="K774" s="138">
        <v>0.4</v>
      </c>
      <c r="L774" s="138">
        <v>0.4</v>
      </c>
    </row>
    <row r="775" spans="1:12" x14ac:dyDescent="0.25">
      <c r="A775" s="1">
        <v>774</v>
      </c>
      <c r="B775" s="1">
        <v>238</v>
      </c>
      <c r="C775" s="232" t="s">
        <v>3487</v>
      </c>
      <c r="D775" s="232" t="s">
        <v>2554</v>
      </c>
      <c r="E775" s="1" t="s">
        <v>3560</v>
      </c>
      <c r="F775" s="232" t="s">
        <v>2613</v>
      </c>
      <c r="G775" s="1" t="s">
        <v>3543</v>
      </c>
      <c r="H775" s="232"/>
      <c r="I775" s="233"/>
      <c r="J775" s="14">
        <v>1</v>
      </c>
      <c r="K775" s="138">
        <v>45</v>
      </c>
      <c r="L775" s="138">
        <v>45</v>
      </c>
    </row>
    <row r="776" spans="1:12" x14ac:dyDescent="0.25">
      <c r="A776" s="1">
        <v>775</v>
      </c>
      <c r="B776" s="1">
        <v>239</v>
      </c>
      <c r="C776" s="232" t="s">
        <v>3488</v>
      </c>
      <c r="D776" s="232" t="s">
        <v>2555</v>
      </c>
      <c r="E776" s="1" t="s">
        <v>3561</v>
      </c>
      <c r="F776" s="232" t="s">
        <v>2616</v>
      </c>
      <c r="G776" s="1" t="s">
        <v>3549</v>
      </c>
      <c r="H776" s="232"/>
      <c r="I776" s="233"/>
      <c r="J776" s="14">
        <v>2</v>
      </c>
      <c r="K776" s="138">
        <v>3</v>
      </c>
      <c r="L776" s="138">
        <v>6</v>
      </c>
    </row>
    <row r="777" spans="1:12" x14ac:dyDescent="0.25">
      <c r="A777" s="1">
        <v>776</v>
      </c>
      <c r="B777" s="1">
        <v>240</v>
      </c>
      <c r="C777" s="232" t="s">
        <v>3502</v>
      </c>
      <c r="D777" s="232" t="s">
        <v>2556</v>
      </c>
      <c r="E777" s="1" t="s">
        <v>3562</v>
      </c>
      <c r="F777" s="232" t="s">
        <v>2788</v>
      </c>
      <c r="G777" s="1" t="s">
        <v>3551</v>
      </c>
      <c r="H777" s="232"/>
      <c r="I777" s="233"/>
      <c r="J777" s="14">
        <v>1</v>
      </c>
      <c r="K777" s="138">
        <v>150</v>
      </c>
      <c r="L777" s="138">
        <v>150</v>
      </c>
    </row>
    <row r="778" spans="1:12" x14ac:dyDescent="0.25">
      <c r="A778" s="1">
        <v>777</v>
      </c>
      <c r="B778" s="1">
        <v>241</v>
      </c>
      <c r="C778" s="232" t="s">
        <v>3473</v>
      </c>
      <c r="D778" s="232" t="s">
        <v>2552</v>
      </c>
      <c r="E778" s="1" t="s">
        <v>3558</v>
      </c>
      <c r="F778" s="232" t="s">
        <v>2571</v>
      </c>
      <c r="G778" s="1" t="s">
        <v>3518</v>
      </c>
      <c r="H778" s="232" t="s">
        <v>3363</v>
      </c>
      <c r="I778" s="233" t="s">
        <v>3364</v>
      </c>
      <c r="J778" s="14">
        <v>1</v>
      </c>
      <c r="K778" s="138">
        <v>5</v>
      </c>
      <c r="L778" s="138">
        <v>5</v>
      </c>
    </row>
    <row r="779" spans="1:12" x14ac:dyDescent="0.25">
      <c r="A779" s="1">
        <v>778</v>
      </c>
      <c r="B779" s="1">
        <v>241</v>
      </c>
      <c r="C779" s="232" t="s">
        <v>3474</v>
      </c>
      <c r="D779" s="232" t="s">
        <v>2552</v>
      </c>
      <c r="E779" s="1" t="s">
        <v>3558</v>
      </c>
      <c r="F779" s="232" t="s">
        <v>2574</v>
      </c>
      <c r="G779" s="1" t="s">
        <v>3521</v>
      </c>
      <c r="H779" s="232" t="s">
        <v>3365</v>
      </c>
      <c r="I779" s="233" t="s">
        <v>3366</v>
      </c>
      <c r="J779" s="14">
        <v>3</v>
      </c>
      <c r="K779" s="138">
        <v>77</v>
      </c>
      <c r="L779" s="138">
        <v>231</v>
      </c>
    </row>
    <row r="780" spans="1:12" x14ac:dyDescent="0.25">
      <c r="A780" s="1">
        <v>779</v>
      </c>
      <c r="B780" s="1">
        <v>241</v>
      </c>
      <c r="C780" s="232" t="s">
        <v>3475</v>
      </c>
      <c r="D780" s="232" t="s">
        <v>2552</v>
      </c>
      <c r="E780" s="1" t="s">
        <v>3558</v>
      </c>
      <c r="F780" s="232" t="s">
        <v>2577</v>
      </c>
      <c r="G780" s="1" t="s">
        <v>3523</v>
      </c>
      <c r="H780" s="232"/>
      <c r="I780" s="233"/>
      <c r="J780" s="14">
        <v>2</v>
      </c>
      <c r="K780" s="138">
        <v>42</v>
      </c>
      <c r="L780" s="138">
        <v>84</v>
      </c>
    </row>
    <row r="781" spans="1:12" x14ac:dyDescent="0.25">
      <c r="A781" s="1">
        <v>780</v>
      </c>
      <c r="B781" s="1">
        <v>241</v>
      </c>
      <c r="C781" s="232" t="s">
        <v>3476</v>
      </c>
      <c r="D781" s="232" t="s">
        <v>2552</v>
      </c>
      <c r="E781" s="1" t="s">
        <v>3558</v>
      </c>
      <c r="F781" s="232" t="s">
        <v>2580</v>
      </c>
      <c r="G781" s="1" t="s">
        <v>3524</v>
      </c>
      <c r="H781" s="232"/>
      <c r="I781" s="233"/>
      <c r="J781" s="14">
        <v>4</v>
      </c>
      <c r="K781" s="138">
        <v>6</v>
      </c>
      <c r="L781" s="138">
        <v>24</v>
      </c>
    </row>
    <row r="782" spans="1:12" x14ac:dyDescent="0.25">
      <c r="A782" s="1">
        <v>781</v>
      </c>
      <c r="B782" s="1">
        <v>242</v>
      </c>
      <c r="C782" s="232" t="s">
        <v>3477</v>
      </c>
      <c r="D782" s="232" t="s">
        <v>2553</v>
      </c>
      <c r="E782" s="1" t="s">
        <v>3559</v>
      </c>
      <c r="F782" s="232" t="s">
        <v>2583</v>
      </c>
      <c r="G782" s="1" t="s">
        <v>3527</v>
      </c>
      <c r="H782" s="232"/>
      <c r="I782" s="233"/>
      <c r="J782" s="14">
        <v>4</v>
      </c>
      <c r="K782" s="138">
        <v>20</v>
      </c>
      <c r="L782" s="138">
        <v>80</v>
      </c>
    </row>
    <row r="783" spans="1:12" x14ac:dyDescent="0.25">
      <c r="A783" s="1">
        <v>782</v>
      </c>
      <c r="B783" s="1">
        <v>242</v>
      </c>
      <c r="C783" s="232" t="s">
        <v>3490</v>
      </c>
      <c r="D783" s="232" t="s">
        <v>2553</v>
      </c>
      <c r="E783" s="1" t="s">
        <v>3559</v>
      </c>
      <c r="F783" s="232" t="s">
        <v>2630</v>
      </c>
      <c r="G783" s="1" t="s">
        <v>3529</v>
      </c>
      <c r="H783" s="232" t="s">
        <v>3367</v>
      </c>
      <c r="I783" s="233" t="s">
        <v>3368</v>
      </c>
      <c r="J783" s="14">
        <v>1</v>
      </c>
      <c r="K783" s="138">
        <v>18</v>
      </c>
      <c r="L783" s="138">
        <v>18</v>
      </c>
    </row>
    <row r="784" spans="1:12" x14ac:dyDescent="0.25">
      <c r="A784" s="1">
        <v>783</v>
      </c>
      <c r="B784" s="1">
        <v>242</v>
      </c>
      <c r="C784" s="232" t="s">
        <v>3479</v>
      </c>
      <c r="D784" s="232" t="s">
        <v>2553</v>
      </c>
      <c r="E784" s="1" t="s">
        <v>3559</v>
      </c>
      <c r="F784" s="232" t="s">
        <v>2589</v>
      </c>
      <c r="G784" s="1" t="s">
        <v>3530</v>
      </c>
      <c r="H784" s="232" t="s">
        <v>3369</v>
      </c>
      <c r="I784" s="233" t="s">
        <v>3370</v>
      </c>
      <c r="J784" s="14">
        <v>1</v>
      </c>
      <c r="K784" s="138">
        <v>70</v>
      </c>
      <c r="L784" s="138">
        <v>70</v>
      </c>
    </row>
    <row r="785" spans="1:12" x14ac:dyDescent="0.25">
      <c r="A785" s="1">
        <v>784</v>
      </c>
      <c r="B785" s="1">
        <v>242</v>
      </c>
      <c r="C785" s="232" t="s">
        <v>3499</v>
      </c>
      <c r="D785" s="232" t="s">
        <v>2553</v>
      </c>
      <c r="E785" s="1" t="s">
        <v>3559</v>
      </c>
      <c r="F785" s="232" t="s">
        <v>2775</v>
      </c>
      <c r="G785" s="1" t="s">
        <v>3532</v>
      </c>
      <c r="H785" s="232"/>
      <c r="I785" s="233"/>
      <c r="J785" s="14">
        <v>1</v>
      </c>
      <c r="K785" s="138">
        <v>100</v>
      </c>
      <c r="L785" s="138">
        <v>100</v>
      </c>
    </row>
    <row r="786" spans="1:12" x14ac:dyDescent="0.25">
      <c r="A786" s="1">
        <v>785</v>
      </c>
      <c r="B786" s="1">
        <v>242</v>
      </c>
      <c r="C786" s="232" t="s">
        <v>3480</v>
      </c>
      <c r="D786" s="232" t="s">
        <v>2553</v>
      </c>
      <c r="E786" s="1" t="s">
        <v>3559</v>
      </c>
      <c r="F786" s="232" t="s">
        <v>2592</v>
      </c>
      <c r="G786" s="1" t="s">
        <v>3533</v>
      </c>
      <c r="H786" s="232"/>
      <c r="I786" s="233"/>
      <c r="J786" s="14">
        <v>4</v>
      </c>
      <c r="K786" s="138">
        <v>7</v>
      </c>
      <c r="L786" s="138">
        <v>28</v>
      </c>
    </row>
    <row r="787" spans="1:12" x14ac:dyDescent="0.25">
      <c r="A787" s="1">
        <v>786</v>
      </c>
      <c r="B787" s="1">
        <v>242</v>
      </c>
      <c r="C787" s="232" t="s">
        <v>3493</v>
      </c>
      <c r="D787" s="232" t="s">
        <v>2553</v>
      </c>
      <c r="E787" s="1" t="s">
        <v>3559</v>
      </c>
      <c r="F787" s="232" t="s">
        <v>2689</v>
      </c>
      <c r="G787" s="1" t="s">
        <v>3534</v>
      </c>
      <c r="H787" s="232"/>
      <c r="I787" s="233"/>
      <c r="J787" s="14">
        <v>1</v>
      </c>
      <c r="K787" s="138">
        <v>50</v>
      </c>
      <c r="L787" s="138">
        <v>50</v>
      </c>
    </row>
    <row r="788" spans="1:12" x14ac:dyDescent="0.25">
      <c r="A788" s="1">
        <v>787</v>
      </c>
      <c r="B788" s="1">
        <v>243</v>
      </c>
      <c r="C788" s="232" t="s">
        <v>3500</v>
      </c>
      <c r="D788" s="232" t="s">
        <v>2554</v>
      </c>
      <c r="E788" s="1" t="s">
        <v>3560</v>
      </c>
      <c r="F788" s="232" t="s">
        <v>2782</v>
      </c>
      <c r="G788" s="1" t="s">
        <v>3536</v>
      </c>
      <c r="H788" s="232"/>
      <c r="I788" s="233"/>
      <c r="J788" s="14">
        <v>1</v>
      </c>
      <c r="K788" s="138">
        <v>10</v>
      </c>
      <c r="L788" s="138">
        <v>10</v>
      </c>
    </row>
    <row r="789" spans="1:12" x14ac:dyDescent="0.25">
      <c r="A789" s="1">
        <v>788</v>
      </c>
      <c r="B789" s="1">
        <v>243</v>
      </c>
      <c r="C789" s="232" t="s">
        <v>3481</v>
      </c>
      <c r="D789" s="232" t="s">
        <v>2554</v>
      </c>
      <c r="E789" s="1" t="s">
        <v>3560</v>
      </c>
      <c r="F789" s="232" t="s">
        <v>2595</v>
      </c>
      <c r="G789" s="1" t="s">
        <v>3537</v>
      </c>
      <c r="H789" s="232"/>
      <c r="I789" s="233"/>
      <c r="J789" s="14">
        <v>1</v>
      </c>
      <c r="K789" s="138">
        <v>0.5</v>
      </c>
      <c r="L789" s="138">
        <v>0.5</v>
      </c>
    </row>
    <row r="790" spans="1:12" x14ac:dyDescent="0.25">
      <c r="A790" s="1">
        <v>789</v>
      </c>
      <c r="B790" s="1">
        <v>243</v>
      </c>
      <c r="C790" s="232" t="s">
        <v>3482</v>
      </c>
      <c r="D790" s="232" t="s">
        <v>2554</v>
      </c>
      <c r="E790" s="1" t="s">
        <v>3560</v>
      </c>
      <c r="F790" s="232" t="s">
        <v>2598</v>
      </c>
      <c r="G790" s="1" t="s">
        <v>3538</v>
      </c>
      <c r="H790" s="232"/>
      <c r="I790" s="233"/>
      <c r="J790" s="14">
        <v>1</v>
      </c>
      <c r="K790" s="138">
        <v>3</v>
      </c>
      <c r="L790" s="138">
        <v>3</v>
      </c>
    </row>
    <row r="791" spans="1:12" x14ac:dyDescent="0.25">
      <c r="A791" s="1">
        <v>790</v>
      </c>
      <c r="B791" s="1">
        <v>243</v>
      </c>
      <c r="C791" s="232" t="s">
        <v>3483</v>
      </c>
      <c r="D791" s="232" t="s">
        <v>2554</v>
      </c>
      <c r="E791" s="1" t="s">
        <v>3560</v>
      </c>
      <c r="F791" s="232" t="s">
        <v>2601</v>
      </c>
      <c r="G791" s="1" t="s">
        <v>3539</v>
      </c>
      <c r="H791" s="232"/>
      <c r="I791" s="233"/>
      <c r="J791" s="14">
        <v>1</v>
      </c>
      <c r="K791" s="138">
        <v>3</v>
      </c>
      <c r="L791" s="138">
        <v>3</v>
      </c>
    </row>
    <row r="792" spans="1:12" x14ac:dyDescent="0.25">
      <c r="A792" s="1">
        <v>791</v>
      </c>
      <c r="B792" s="1">
        <v>243</v>
      </c>
      <c r="C792" s="232" t="s">
        <v>3484</v>
      </c>
      <c r="D792" s="232" t="s">
        <v>2554</v>
      </c>
      <c r="E792" s="1" t="s">
        <v>3560</v>
      </c>
      <c r="F792" s="232" t="s">
        <v>2604</v>
      </c>
      <c r="G792" s="1" t="s">
        <v>3540</v>
      </c>
      <c r="H792" s="232"/>
      <c r="I792" s="233"/>
      <c r="J792" s="14">
        <v>1</v>
      </c>
      <c r="K792" s="138">
        <v>77</v>
      </c>
      <c r="L792" s="138">
        <v>77</v>
      </c>
    </row>
    <row r="793" spans="1:12" x14ac:dyDescent="0.25">
      <c r="A793" s="1">
        <v>792</v>
      </c>
      <c r="B793" s="1">
        <v>243</v>
      </c>
      <c r="C793" s="232" t="s">
        <v>3485</v>
      </c>
      <c r="D793" s="232" t="s">
        <v>2554</v>
      </c>
      <c r="E793" s="1" t="s">
        <v>3560</v>
      </c>
      <c r="F793" s="232" t="s">
        <v>2607</v>
      </c>
      <c r="G793" s="1" t="s">
        <v>3541</v>
      </c>
      <c r="H793" s="232"/>
      <c r="I793" s="233"/>
      <c r="J793" s="14">
        <v>1</v>
      </c>
      <c r="K793" s="138">
        <v>22</v>
      </c>
      <c r="L793" s="138">
        <v>22</v>
      </c>
    </row>
    <row r="794" spans="1:12" x14ac:dyDescent="0.25">
      <c r="A794" s="1">
        <v>793</v>
      </c>
      <c r="B794" s="1">
        <v>243</v>
      </c>
      <c r="C794" s="232" t="s">
        <v>3486</v>
      </c>
      <c r="D794" s="232" t="s">
        <v>2554</v>
      </c>
      <c r="E794" s="1" t="s">
        <v>3560</v>
      </c>
      <c r="F794" s="232" t="s">
        <v>2610</v>
      </c>
      <c r="G794" s="1" t="s">
        <v>3542</v>
      </c>
      <c r="H794" s="232"/>
      <c r="I794" s="233"/>
      <c r="J794" s="14">
        <v>1</v>
      </c>
      <c r="K794" s="138">
        <v>0.4</v>
      </c>
      <c r="L794" s="138">
        <v>0.4</v>
      </c>
    </row>
    <row r="795" spans="1:12" x14ac:dyDescent="0.25">
      <c r="A795" s="1">
        <v>794</v>
      </c>
      <c r="B795" s="1">
        <v>243</v>
      </c>
      <c r="C795" s="232" t="s">
        <v>3487</v>
      </c>
      <c r="D795" s="232" t="s">
        <v>2554</v>
      </c>
      <c r="E795" s="1" t="s">
        <v>3560</v>
      </c>
      <c r="F795" s="232" t="s">
        <v>2613</v>
      </c>
      <c r="G795" s="1" t="s">
        <v>3543</v>
      </c>
      <c r="H795" s="232"/>
      <c r="I795" s="233"/>
      <c r="J795" s="14">
        <v>2</v>
      </c>
      <c r="K795" s="138">
        <v>45</v>
      </c>
      <c r="L795" s="138">
        <v>90</v>
      </c>
    </row>
    <row r="796" spans="1:12" x14ac:dyDescent="0.25">
      <c r="A796" s="1">
        <v>795</v>
      </c>
      <c r="B796" s="1">
        <v>244</v>
      </c>
      <c r="C796" s="232" t="s">
        <v>3501</v>
      </c>
      <c r="D796" s="232" t="s">
        <v>2555</v>
      </c>
      <c r="E796" s="1" t="s">
        <v>3561</v>
      </c>
      <c r="F796" s="232" t="s">
        <v>2785</v>
      </c>
      <c r="G796" s="1" t="s">
        <v>3546</v>
      </c>
      <c r="H796" s="232"/>
      <c r="I796" s="233"/>
      <c r="J796" s="14">
        <v>1</v>
      </c>
      <c r="K796" s="138">
        <v>10</v>
      </c>
      <c r="L796" s="138">
        <v>10</v>
      </c>
    </row>
    <row r="797" spans="1:12" x14ac:dyDescent="0.25">
      <c r="A797" s="1">
        <v>796</v>
      </c>
      <c r="B797" s="1">
        <v>244</v>
      </c>
      <c r="C797" s="232" t="s">
        <v>3510</v>
      </c>
      <c r="D797" s="232" t="s">
        <v>2555</v>
      </c>
      <c r="E797" s="1" t="s">
        <v>3561</v>
      </c>
      <c r="F797" s="232" t="s">
        <v>3280</v>
      </c>
      <c r="G797" s="1" t="s">
        <v>3547</v>
      </c>
      <c r="H797" s="232"/>
      <c r="I797" s="233"/>
      <c r="J797" s="14">
        <v>1</v>
      </c>
      <c r="K797" s="138">
        <v>15</v>
      </c>
      <c r="L797" s="138">
        <v>15</v>
      </c>
    </row>
    <row r="798" spans="1:12" x14ac:dyDescent="0.25">
      <c r="A798" s="1">
        <v>797</v>
      </c>
      <c r="B798" s="1">
        <v>244</v>
      </c>
      <c r="C798" s="232" t="s">
        <v>3506</v>
      </c>
      <c r="D798" s="232" t="s">
        <v>2555</v>
      </c>
      <c r="E798" s="1" t="s">
        <v>3561</v>
      </c>
      <c r="F798" s="232" t="s">
        <v>2840</v>
      </c>
      <c r="G798" s="1" t="s">
        <v>3545</v>
      </c>
      <c r="H798" s="232"/>
      <c r="I798" s="233"/>
      <c r="J798" s="14">
        <v>1</v>
      </c>
      <c r="K798" s="138">
        <v>6</v>
      </c>
      <c r="L798" s="138">
        <v>6</v>
      </c>
    </row>
    <row r="799" spans="1:12" x14ac:dyDescent="0.25">
      <c r="A799" s="1">
        <v>798</v>
      </c>
      <c r="B799" s="1">
        <v>244</v>
      </c>
      <c r="C799" s="232" t="s">
        <v>3488</v>
      </c>
      <c r="D799" s="232" t="s">
        <v>2555</v>
      </c>
      <c r="E799" s="1" t="s">
        <v>3561</v>
      </c>
      <c r="F799" s="232" t="s">
        <v>2616</v>
      </c>
      <c r="G799" s="1" t="s">
        <v>3549</v>
      </c>
      <c r="H799" s="232"/>
      <c r="I799" s="233"/>
      <c r="J799" s="14">
        <v>2</v>
      </c>
      <c r="K799" s="138">
        <v>3</v>
      </c>
      <c r="L799" s="138">
        <v>6</v>
      </c>
    </row>
    <row r="800" spans="1:12" x14ac:dyDescent="0.25">
      <c r="A800" s="1">
        <v>799</v>
      </c>
      <c r="B800" s="1">
        <v>245</v>
      </c>
      <c r="C800" s="232" t="s">
        <v>3502</v>
      </c>
      <c r="D800" s="232" t="s">
        <v>2556</v>
      </c>
      <c r="E800" s="1" t="s">
        <v>3562</v>
      </c>
      <c r="F800" s="232" t="s">
        <v>2788</v>
      </c>
      <c r="G800" s="1" t="s">
        <v>3551</v>
      </c>
      <c r="H800" s="232"/>
      <c r="I800" s="233"/>
      <c r="J800" s="14">
        <v>1</v>
      </c>
      <c r="K800" s="138">
        <v>150</v>
      </c>
      <c r="L800" s="138">
        <v>150</v>
      </c>
    </row>
    <row r="801" spans="1:12" x14ac:dyDescent="0.25">
      <c r="A801" s="1">
        <v>800</v>
      </c>
      <c r="B801" s="1">
        <v>245</v>
      </c>
      <c r="C801" s="232" t="s">
        <v>3503</v>
      </c>
      <c r="D801" s="232" t="s">
        <v>2556</v>
      </c>
      <c r="E801" s="1" t="s">
        <v>3562</v>
      </c>
      <c r="F801" s="232" t="s">
        <v>2791</v>
      </c>
      <c r="G801" s="1" t="s">
        <v>3554</v>
      </c>
      <c r="H801" s="232"/>
      <c r="I801" s="233"/>
      <c r="J801" s="14">
        <v>1</v>
      </c>
      <c r="K801" s="138">
        <v>5</v>
      </c>
      <c r="L801" s="138">
        <v>5</v>
      </c>
    </row>
    <row r="802" spans="1:12" x14ac:dyDescent="0.25">
      <c r="A802" s="1">
        <v>801</v>
      </c>
      <c r="B802" s="1">
        <v>245</v>
      </c>
      <c r="C802" s="232" t="s">
        <v>3508</v>
      </c>
      <c r="D802" s="232" t="s">
        <v>2556</v>
      </c>
      <c r="E802" s="1" t="s">
        <v>3562</v>
      </c>
      <c r="F802" s="232" t="s">
        <v>2900</v>
      </c>
      <c r="G802" s="1" t="s">
        <v>3553</v>
      </c>
      <c r="H802" s="232"/>
      <c r="I802" s="233"/>
      <c r="J802" s="14">
        <v>1</v>
      </c>
      <c r="K802" s="138">
        <v>4</v>
      </c>
      <c r="L802" s="138">
        <v>4</v>
      </c>
    </row>
    <row r="803" spans="1:12" x14ac:dyDescent="0.25">
      <c r="A803" s="1">
        <v>802</v>
      </c>
      <c r="B803" s="1">
        <v>246</v>
      </c>
      <c r="C803" s="232" t="s">
        <v>3504</v>
      </c>
      <c r="D803" s="232" t="s">
        <v>2557</v>
      </c>
      <c r="E803" s="1" t="s">
        <v>3563</v>
      </c>
      <c r="F803" s="232" t="s">
        <v>2794</v>
      </c>
      <c r="G803" s="1" t="s">
        <v>3555</v>
      </c>
      <c r="H803" s="232"/>
      <c r="I803" s="233"/>
      <c r="J803" s="14">
        <v>1</v>
      </c>
      <c r="K803" s="138">
        <v>1.7</v>
      </c>
      <c r="L803" s="138">
        <v>1.7</v>
      </c>
    </row>
    <row r="804" spans="1:12" x14ac:dyDescent="0.25">
      <c r="A804" s="1">
        <v>803</v>
      </c>
      <c r="B804" s="1">
        <v>247</v>
      </c>
      <c r="C804" s="232" t="s">
        <v>3472</v>
      </c>
      <c r="D804" s="232" t="s">
        <v>2552</v>
      </c>
      <c r="E804" s="1" t="s">
        <v>3558</v>
      </c>
      <c r="F804" s="232" t="s">
        <v>2568</v>
      </c>
      <c r="G804" s="1" t="s">
        <v>3516</v>
      </c>
      <c r="H804" s="232" t="s">
        <v>3371</v>
      </c>
      <c r="I804" s="233" t="s">
        <v>3372</v>
      </c>
      <c r="J804" s="14">
        <v>1</v>
      </c>
      <c r="K804" s="138">
        <v>75</v>
      </c>
      <c r="L804" s="138">
        <v>75</v>
      </c>
    </row>
    <row r="805" spans="1:12" x14ac:dyDescent="0.25">
      <c r="A805" s="1">
        <v>804</v>
      </c>
      <c r="B805" s="1">
        <v>247</v>
      </c>
      <c r="C805" s="232" t="s">
        <v>3473</v>
      </c>
      <c r="D805" s="232" t="s">
        <v>2552</v>
      </c>
      <c r="E805" s="1" t="s">
        <v>3558</v>
      </c>
      <c r="F805" s="232" t="s">
        <v>2571</v>
      </c>
      <c r="G805" s="1" t="s">
        <v>3518</v>
      </c>
      <c r="H805" s="232" t="s">
        <v>3373</v>
      </c>
      <c r="I805" s="233" t="s">
        <v>3374</v>
      </c>
      <c r="J805" s="14">
        <v>1</v>
      </c>
      <c r="K805" s="138">
        <v>5</v>
      </c>
      <c r="L805" s="138">
        <v>5</v>
      </c>
    </row>
    <row r="806" spans="1:12" x14ac:dyDescent="0.25">
      <c r="A806" s="1">
        <v>805</v>
      </c>
      <c r="B806" s="1">
        <v>247</v>
      </c>
      <c r="C806" s="232" t="s">
        <v>3497</v>
      </c>
      <c r="D806" s="232" t="s">
        <v>2552</v>
      </c>
      <c r="E806" s="1" t="s">
        <v>3558</v>
      </c>
      <c r="F806" s="232" t="s">
        <v>2753</v>
      </c>
      <c r="G806" s="1" t="s">
        <v>3520</v>
      </c>
      <c r="H806" s="232" t="s">
        <v>3375</v>
      </c>
      <c r="I806" s="233" t="s">
        <v>3376</v>
      </c>
      <c r="J806" s="14">
        <v>2</v>
      </c>
      <c r="K806" s="138">
        <v>10</v>
      </c>
      <c r="L806" s="138">
        <v>20</v>
      </c>
    </row>
    <row r="807" spans="1:12" x14ac:dyDescent="0.25">
      <c r="A807" s="1">
        <v>806</v>
      </c>
      <c r="B807" s="1">
        <v>247</v>
      </c>
      <c r="C807" s="232" t="s">
        <v>3474</v>
      </c>
      <c r="D807" s="232" t="s">
        <v>2552</v>
      </c>
      <c r="E807" s="1" t="s">
        <v>3558</v>
      </c>
      <c r="F807" s="232" t="s">
        <v>2574</v>
      </c>
      <c r="G807" s="1" t="s">
        <v>3521</v>
      </c>
      <c r="H807" s="232" t="s">
        <v>3377</v>
      </c>
      <c r="I807" s="233" t="s">
        <v>3378</v>
      </c>
      <c r="J807" s="14">
        <v>3</v>
      </c>
      <c r="K807" s="138">
        <v>77</v>
      </c>
      <c r="L807" s="138">
        <v>231</v>
      </c>
    </row>
    <row r="808" spans="1:12" x14ac:dyDescent="0.25">
      <c r="A808" s="1">
        <v>807</v>
      </c>
      <c r="B808" s="1">
        <v>247</v>
      </c>
      <c r="C808" s="232" t="s">
        <v>3475</v>
      </c>
      <c r="D808" s="232" t="s">
        <v>2552</v>
      </c>
      <c r="E808" s="1" t="s">
        <v>3558</v>
      </c>
      <c r="F808" s="232" t="s">
        <v>2577</v>
      </c>
      <c r="G808" s="1" t="s">
        <v>3523</v>
      </c>
      <c r="H808" s="232" t="s">
        <v>3379</v>
      </c>
      <c r="I808" s="233" t="s">
        <v>3380</v>
      </c>
      <c r="J808" s="14">
        <v>2</v>
      </c>
      <c r="K808" s="138">
        <v>42</v>
      </c>
      <c r="L808" s="138">
        <v>84</v>
      </c>
    </row>
    <row r="809" spans="1:12" x14ac:dyDescent="0.25">
      <c r="A809" s="1">
        <v>808</v>
      </c>
      <c r="B809" s="1">
        <v>247</v>
      </c>
      <c r="C809" s="232" t="s">
        <v>3476</v>
      </c>
      <c r="D809" s="232" t="s">
        <v>2552</v>
      </c>
      <c r="E809" s="1" t="s">
        <v>3558</v>
      </c>
      <c r="F809" s="232" t="s">
        <v>2580</v>
      </c>
      <c r="G809" s="1" t="s">
        <v>3524</v>
      </c>
      <c r="H809" s="232" t="s">
        <v>3381</v>
      </c>
      <c r="I809" s="233" t="s">
        <v>3382</v>
      </c>
      <c r="J809" s="14">
        <v>4</v>
      </c>
      <c r="K809" s="138">
        <v>6</v>
      </c>
      <c r="L809" s="138">
        <v>24</v>
      </c>
    </row>
    <row r="810" spans="1:12" x14ac:dyDescent="0.25">
      <c r="A810" s="1">
        <v>809</v>
      </c>
      <c r="B810" s="1">
        <v>248</v>
      </c>
      <c r="C810" s="232" t="s">
        <v>3477</v>
      </c>
      <c r="D810" s="232" t="s">
        <v>2553</v>
      </c>
      <c r="E810" s="1" t="s">
        <v>3559</v>
      </c>
      <c r="F810" s="232" t="s">
        <v>2583</v>
      </c>
      <c r="G810" s="1" t="s">
        <v>3527</v>
      </c>
      <c r="H810" s="232" t="s">
        <v>3383</v>
      </c>
      <c r="I810" s="233" t="s">
        <v>3384</v>
      </c>
      <c r="J810" s="14">
        <v>1</v>
      </c>
      <c r="K810" s="138">
        <v>20</v>
      </c>
      <c r="L810" s="138">
        <v>20</v>
      </c>
    </row>
    <row r="811" spans="1:12" x14ac:dyDescent="0.25">
      <c r="A811" s="1">
        <v>810</v>
      </c>
      <c r="B811" s="1">
        <v>248</v>
      </c>
      <c r="C811" s="232" t="s">
        <v>3478</v>
      </c>
      <c r="D811" s="232" t="s">
        <v>2553</v>
      </c>
      <c r="E811" s="1" t="s">
        <v>3559</v>
      </c>
      <c r="F811" s="232" t="s">
        <v>2586</v>
      </c>
      <c r="G811" s="1" t="s">
        <v>3528</v>
      </c>
      <c r="H811" s="232" t="s">
        <v>3385</v>
      </c>
      <c r="I811" s="233" t="s">
        <v>3386</v>
      </c>
      <c r="J811" s="14">
        <v>1</v>
      </c>
      <c r="K811" s="138">
        <v>18</v>
      </c>
      <c r="L811" s="138">
        <v>18</v>
      </c>
    </row>
    <row r="812" spans="1:12" x14ac:dyDescent="0.25">
      <c r="A812" s="1">
        <v>811</v>
      </c>
      <c r="B812" s="1">
        <v>248</v>
      </c>
      <c r="C812" s="232" t="s">
        <v>3490</v>
      </c>
      <c r="D812" s="232" t="s">
        <v>2553</v>
      </c>
      <c r="E812" s="1" t="s">
        <v>3559</v>
      </c>
      <c r="F812" s="232" t="s">
        <v>2630</v>
      </c>
      <c r="G812" s="1" t="s">
        <v>3529</v>
      </c>
      <c r="H812" s="232" t="s">
        <v>3387</v>
      </c>
      <c r="I812" s="233" t="s">
        <v>3388</v>
      </c>
      <c r="J812" s="14">
        <v>1</v>
      </c>
      <c r="K812" s="138">
        <v>18</v>
      </c>
      <c r="L812" s="138">
        <v>18</v>
      </c>
    </row>
    <row r="813" spans="1:12" x14ac:dyDescent="0.25">
      <c r="A813" s="1">
        <v>812</v>
      </c>
      <c r="B813" s="1">
        <v>248</v>
      </c>
      <c r="C813" s="232" t="s">
        <v>3479</v>
      </c>
      <c r="D813" s="232" t="s">
        <v>2553</v>
      </c>
      <c r="E813" s="1" t="s">
        <v>3559</v>
      </c>
      <c r="F813" s="232" t="s">
        <v>2589</v>
      </c>
      <c r="G813" s="1" t="s">
        <v>3530</v>
      </c>
      <c r="H813" s="232" t="s">
        <v>3389</v>
      </c>
      <c r="I813" s="233" t="s">
        <v>3390</v>
      </c>
      <c r="J813" s="14">
        <v>1</v>
      </c>
      <c r="K813" s="138">
        <v>70</v>
      </c>
      <c r="L813" s="138">
        <v>70</v>
      </c>
    </row>
    <row r="814" spans="1:12" x14ac:dyDescent="0.25">
      <c r="A814" s="1">
        <v>813</v>
      </c>
      <c r="B814" s="1">
        <v>248</v>
      </c>
      <c r="C814" s="232" t="s">
        <v>3499</v>
      </c>
      <c r="D814" s="232" t="s">
        <v>2553</v>
      </c>
      <c r="E814" s="1" t="s">
        <v>3559</v>
      </c>
      <c r="F814" s="232" t="s">
        <v>2775</v>
      </c>
      <c r="G814" s="1" t="s">
        <v>3532</v>
      </c>
      <c r="H814" s="232"/>
      <c r="I814" s="233"/>
      <c r="J814" s="14">
        <v>1</v>
      </c>
      <c r="K814" s="138">
        <v>100</v>
      </c>
      <c r="L814" s="138">
        <v>100</v>
      </c>
    </row>
    <row r="815" spans="1:12" x14ac:dyDescent="0.25">
      <c r="A815" s="1">
        <v>814</v>
      </c>
      <c r="B815" s="1">
        <v>248</v>
      </c>
      <c r="C815" s="232" t="s">
        <v>3491</v>
      </c>
      <c r="D815" s="232" t="s">
        <v>2553</v>
      </c>
      <c r="E815" s="1" t="s">
        <v>3559</v>
      </c>
      <c r="F815" s="232" t="s">
        <v>2635</v>
      </c>
      <c r="G815" s="1" t="s">
        <v>3531</v>
      </c>
      <c r="H815" s="232"/>
      <c r="I815" s="233"/>
      <c r="J815" s="14">
        <v>1</v>
      </c>
      <c r="K815" s="138">
        <v>40</v>
      </c>
      <c r="L815" s="138">
        <v>40</v>
      </c>
    </row>
    <row r="816" spans="1:12" x14ac:dyDescent="0.25">
      <c r="A816" s="1">
        <v>815</v>
      </c>
      <c r="B816" s="1">
        <v>248</v>
      </c>
      <c r="C816" s="232" t="s">
        <v>3480</v>
      </c>
      <c r="D816" s="232" t="s">
        <v>2553</v>
      </c>
      <c r="E816" s="1" t="s">
        <v>3559</v>
      </c>
      <c r="F816" s="232" t="s">
        <v>2592</v>
      </c>
      <c r="G816" s="1" t="s">
        <v>3533</v>
      </c>
      <c r="H816" s="232"/>
      <c r="I816" s="233"/>
      <c r="J816" s="14">
        <v>5</v>
      </c>
      <c r="K816" s="138">
        <v>7</v>
      </c>
      <c r="L816" s="138">
        <v>35</v>
      </c>
    </row>
    <row r="817" spans="1:12" x14ac:dyDescent="0.25">
      <c r="A817" s="1">
        <v>816</v>
      </c>
      <c r="B817" s="1">
        <v>248</v>
      </c>
      <c r="C817" s="232" t="s">
        <v>3493</v>
      </c>
      <c r="D817" s="232" t="s">
        <v>2553</v>
      </c>
      <c r="E817" s="1" t="s">
        <v>3559</v>
      </c>
      <c r="F817" s="232" t="s">
        <v>2689</v>
      </c>
      <c r="G817" s="1" t="s">
        <v>3534</v>
      </c>
      <c r="H817" s="232"/>
      <c r="I817" s="233"/>
      <c r="J817" s="14">
        <v>1</v>
      </c>
      <c r="K817" s="138">
        <v>50</v>
      </c>
      <c r="L817" s="138">
        <v>50</v>
      </c>
    </row>
    <row r="818" spans="1:12" x14ac:dyDescent="0.25">
      <c r="A818" s="1">
        <v>817</v>
      </c>
      <c r="B818" s="1">
        <v>249</v>
      </c>
      <c r="C818" s="232" t="s">
        <v>3500</v>
      </c>
      <c r="D818" s="232" t="s">
        <v>2554</v>
      </c>
      <c r="E818" s="1" t="s">
        <v>3560</v>
      </c>
      <c r="F818" s="232" t="s">
        <v>2782</v>
      </c>
      <c r="G818" s="1" t="s">
        <v>3536</v>
      </c>
      <c r="H818" s="232"/>
      <c r="I818" s="233"/>
      <c r="J818" s="14">
        <v>1</v>
      </c>
      <c r="K818" s="138">
        <v>10</v>
      </c>
      <c r="L818" s="138">
        <v>10</v>
      </c>
    </row>
    <row r="819" spans="1:12" x14ac:dyDescent="0.25">
      <c r="A819" s="1">
        <v>818</v>
      </c>
      <c r="B819" s="1">
        <v>249</v>
      </c>
      <c r="C819" s="232" t="s">
        <v>3481</v>
      </c>
      <c r="D819" s="232" t="s">
        <v>2554</v>
      </c>
      <c r="E819" s="1" t="s">
        <v>3560</v>
      </c>
      <c r="F819" s="232" t="s">
        <v>2595</v>
      </c>
      <c r="G819" s="1" t="s">
        <v>3537</v>
      </c>
      <c r="H819" s="232"/>
      <c r="I819" s="233"/>
      <c r="J819" s="14">
        <v>1</v>
      </c>
      <c r="K819" s="138">
        <v>0.5</v>
      </c>
      <c r="L819" s="138">
        <v>0.5</v>
      </c>
    </row>
    <row r="820" spans="1:12" x14ac:dyDescent="0.25">
      <c r="A820" s="1">
        <v>819</v>
      </c>
      <c r="B820" s="1">
        <v>249</v>
      </c>
      <c r="C820" s="232" t="s">
        <v>3482</v>
      </c>
      <c r="D820" s="232" t="s">
        <v>2554</v>
      </c>
      <c r="E820" s="1" t="s">
        <v>3560</v>
      </c>
      <c r="F820" s="232" t="s">
        <v>2598</v>
      </c>
      <c r="G820" s="1" t="s">
        <v>3538</v>
      </c>
      <c r="H820" s="232"/>
      <c r="I820" s="233"/>
      <c r="J820" s="14">
        <v>1</v>
      </c>
      <c r="K820" s="138">
        <v>3</v>
      </c>
      <c r="L820" s="138">
        <v>3</v>
      </c>
    </row>
    <row r="821" spans="1:12" x14ac:dyDescent="0.25">
      <c r="A821" s="1">
        <v>820</v>
      </c>
      <c r="B821" s="1">
        <v>249</v>
      </c>
      <c r="C821" s="232" t="s">
        <v>3483</v>
      </c>
      <c r="D821" s="232" t="s">
        <v>2554</v>
      </c>
      <c r="E821" s="1" t="s">
        <v>3560</v>
      </c>
      <c r="F821" s="232" t="s">
        <v>2601</v>
      </c>
      <c r="G821" s="1" t="s">
        <v>3539</v>
      </c>
      <c r="H821" s="232"/>
      <c r="I821" s="233"/>
      <c r="J821" s="14">
        <v>1</v>
      </c>
      <c r="K821" s="138">
        <v>3</v>
      </c>
      <c r="L821" s="138">
        <v>3</v>
      </c>
    </row>
    <row r="822" spans="1:12" x14ac:dyDescent="0.25">
      <c r="A822" s="1">
        <v>821</v>
      </c>
      <c r="B822" s="1">
        <v>249</v>
      </c>
      <c r="C822" s="232" t="s">
        <v>3484</v>
      </c>
      <c r="D822" s="232" t="s">
        <v>2554</v>
      </c>
      <c r="E822" s="1" t="s">
        <v>3560</v>
      </c>
      <c r="F822" s="232" t="s">
        <v>2604</v>
      </c>
      <c r="G822" s="1" t="s">
        <v>3540</v>
      </c>
      <c r="H822" s="232"/>
      <c r="I822" s="233"/>
      <c r="J822" s="14">
        <v>1</v>
      </c>
      <c r="K822" s="138">
        <v>77</v>
      </c>
      <c r="L822" s="138">
        <v>77</v>
      </c>
    </row>
    <row r="823" spans="1:12" x14ac:dyDescent="0.25">
      <c r="A823" s="1">
        <v>822</v>
      </c>
      <c r="B823" s="1">
        <v>249</v>
      </c>
      <c r="C823" s="232" t="s">
        <v>3485</v>
      </c>
      <c r="D823" s="232" t="s">
        <v>2554</v>
      </c>
      <c r="E823" s="1" t="s">
        <v>3560</v>
      </c>
      <c r="F823" s="232" t="s">
        <v>2607</v>
      </c>
      <c r="G823" s="1" t="s">
        <v>3541</v>
      </c>
      <c r="H823" s="232"/>
      <c r="I823" s="233"/>
      <c r="J823" s="14">
        <v>1</v>
      </c>
      <c r="K823" s="138">
        <v>22</v>
      </c>
      <c r="L823" s="138">
        <v>22</v>
      </c>
    </row>
    <row r="824" spans="1:12" x14ac:dyDescent="0.25">
      <c r="A824" s="1">
        <v>823</v>
      </c>
      <c r="B824" s="1">
        <v>249</v>
      </c>
      <c r="C824" s="232" t="s">
        <v>3486</v>
      </c>
      <c r="D824" s="232" t="s">
        <v>2554</v>
      </c>
      <c r="E824" s="1" t="s">
        <v>3560</v>
      </c>
      <c r="F824" s="232" t="s">
        <v>2610</v>
      </c>
      <c r="G824" s="1" t="s">
        <v>3542</v>
      </c>
      <c r="H824" s="232"/>
      <c r="I824" s="233"/>
      <c r="J824" s="14">
        <v>1</v>
      </c>
      <c r="K824" s="138">
        <v>0.4</v>
      </c>
      <c r="L824" s="138">
        <v>0.4</v>
      </c>
    </row>
    <row r="825" spans="1:12" x14ac:dyDescent="0.25">
      <c r="A825" s="1">
        <v>824</v>
      </c>
      <c r="B825" s="1">
        <v>249</v>
      </c>
      <c r="C825" s="232" t="s">
        <v>3487</v>
      </c>
      <c r="D825" s="232" t="s">
        <v>2554</v>
      </c>
      <c r="E825" s="1" t="s">
        <v>3560</v>
      </c>
      <c r="F825" s="232" t="s">
        <v>2613</v>
      </c>
      <c r="G825" s="1" t="s">
        <v>3543</v>
      </c>
      <c r="H825" s="232"/>
      <c r="I825" s="233"/>
      <c r="J825" s="14">
        <v>2</v>
      </c>
      <c r="K825" s="138">
        <v>45</v>
      </c>
      <c r="L825" s="138">
        <v>90</v>
      </c>
    </row>
    <row r="826" spans="1:12" x14ac:dyDescent="0.25">
      <c r="A826" s="1">
        <v>825</v>
      </c>
      <c r="B826" s="1">
        <v>250</v>
      </c>
      <c r="C826" s="232" t="s">
        <v>3488</v>
      </c>
      <c r="D826" s="232" t="s">
        <v>2555</v>
      </c>
      <c r="E826" s="1" t="s">
        <v>3561</v>
      </c>
      <c r="F826" s="232" t="s">
        <v>2616</v>
      </c>
      <c r="G826" s="1" t="s">
        <v>3549</v>
      </c>
      <c r="H826" s="232"/>
      <c r="I826" s="233"/>
      <c r="J826" s="14">
        <v>2</v>
      </c>
      <c r="K826" s="138">
        <v>3</v>
      </c>
      <c r="L826" s="138">
        <v>6</v>
      </c>
    </row>
    <row r="827" spans="1:12" x14ac:dyDescent="0.25">
      <c r="A827" s="1">
        <v>826</v>
      </c>
      <c r="B827" s="1">
        <v>251</v>
      </c>
      <c r="C827" s="232" t="s">
        <v>3502</v>
      </c>
      <c r="D827" s="232" t="s">
        <v>2556</v>
      </c>
      <c r="E827" s="1" t="s">
        <v>3562</v>
      </c>
      <c r="F827" s="232" t="s">
        <v>2788</v>
      </c>
      <c r="G827" s="1" t="s">
        <v>3551</v>
      </c>
      <c r="H827" s="232"/>
      <c r="I827" s="233"/>
      <c r="J827" s="14">
        <v>1</v>
      </c>
      <c r="K827" s="138">
        <v>150</v>
      </c>
      <c r="L827" s="138">
        <v>150</v>
      </c>
    </row>
    <row r="828" spans="1:12" x14ac:dyDescent="0.25">
      <c r="A828" s="1">
        <v>827</v>
      </c>
      <c r="B828" s="1">
        <v>251</v>
      </c>
      <c r="C828" s="232" t="s">
        <v>3508</v>
      </c>
      <c r="D828" s="232" t="s">
        <v>2556</v>
      </c>
      <c r="E828" s="1" t="s">
        <v>3562</v>
      </c>
      <c r="F828" s="232" t="s">
        <v>2900</v>
      </c>
      <c r="G828" s="1" t="s">
        <v>3553</v>
      </c>
      <c r="H828" s="232"/>
      <c r="I828" s="233"/>
      <c r="J828" s="14">
        <v>1</v>
      </c>
      <c r="K828" s="138">
        <v>4</v>
      </c>
      <c r="L828" s="138">
        <v>4</v>
      </c>
    </row>
    <row r="829" spans="1:12" x14ac:dyDescent="0.25">
      <c r="A829" s="1">
        <v>828</v>
      </c>
      <c r="B829" s="1">
        <v>251</v>
      </c>
      <c r="C829" s="232" t="s">
        <v>3503</v>
      </c>
      <c r="D829" s="232" t="s">
        <v>2556</v>
      </c>
      <c r="E829" s="1" t="s">
        <v>3562</v>
      </c>
      <c r="F829" s="232" t="s">
        <v>2791</v>
      </c>
      <c r="G829" s="1" t="s">
        <v>3554</v>
      </c>
      <c r="H829" s="232"/>
      <c r="I829" s="233"/>
      <c r="J829" s="14">
        <v>1</v>
      </c>
      <c r="K829" s="138">
        <v>5</v>
      </c>
      <c r="L829" s="138">
        <v>5</v>
      </c>
    </row>
    <row r="830" spans="1:12" x14ac:dyDescent="0.25">
      <c r="A830" s="1">
        <v>829</v>
      </c>
      <c r="B830" s="1">
        <v>252</v>
      </c>
      <c r="C830" s="232" t="s">
        <v>3502</v>
      </c>
      <c r="D830" s="232" t="s">
        <v>2556</v>
      </c>
      <c r="E830" s="1" t="s">
        <v>3562</v>
      </c>
      <c r="F830" s="232" t="s">
        <v>2788</v>
      </c>
      <c r="G830" s="1" t="s">
        <v>3551</v>
      </c>
      <c r="H830" s="232"/>
      <c r="I830" s="233"/>
      <c r="J830" s="14">
        <v>1</v>
      </c>
      <c r="K830" s="138">
        <v>150</v>
      </c>
      <c r="L830" s="138">
        <v>150</v>
      </c>
    </row>
    <row r="831" spans="1:12" x14ac:dyDescent="0.25">
      <c r="A831" s="1">
        <v>830</v>
      </c>
      <c r="B831" s="1">
        <v>253</v>
      </c>
      <c r="C831" s="232" t="s">
        <v>3471</v>
      </c>
      <c r="D831" s="232" t="s">
        <v>2552</v>
      </c>
      <c r="E831" s="1" t="s">
        <v>3558</v>
      </c>
      <c r="F831" s="232" t="s">
        <v>2565</v>
      </c>
      <c r="G831" s="1" t="s">
        <v>3515</v>
      </c>
      <c r="H831" s="232" t="s">
        <v>3391</v>
      </c>
      <c r="I831" s="233" t="s">
        <v>3392</v>
      </c>
      <c r="J831" s="14">
        <v>1</v>
      </c>
      <c r="K831" s="138">
        <v>75</v>
      </c>
      <c r="L831" s="138">
        <v>75</v>
      </c>
    </row>
    <row r="832" spans="1:12" x14ac:dyDescent="0.25">
      <c r="A832" s="1">
        <v>831</v>
      </c>
      <c r="B832" s="1">
        <v>253</v>
      </c>
      <c r="C832" s="232" t="s">
        <v>3473</v>
      </c>
      <c r="D832" s="232" t="s">
        <v>2552</v>
      </c>
      <c r="E832" s="1" t="s">
        <v>3558</v>
      </c>
      <c r="F832" s="232" t="s">
        <v>2571</v>
      </c>
      <c r="G832" s="1" t="s">
        <v>3518</v>
      </c>
      <c r="H832" s="232" t="s">
        <v>3393</v>
      </c>
      <c r="I832" s="233" t="s">
        <v>3394</v>
      </c>
      <c r="J832" s="14">
        <v>1</v>
      </c>
      <c r="K832" s="138">
        <v>5</v>
      </c>
      <c r="L832" s="138">
        <v>5</v>
      </c>
    </row>
    <row r="833" spans="1:12" x14ac:dyDescent="0.25">
      <c r="A833" s="1">
        <v>832</v>
      </c>
      <c r="B833" s="1">
        <v>253</v>
      </c>
      <c r="C833" s="232" t="s">
        <v>3497</v>
      </c>
      <c r="D833" s="232" t="s">
        <v>2552</v>
      </c>
      <c r="E833" s="1" t="s">
        <v>3558</v>
      </c>
      <c r="F833" s="232" t="s">
        <v>2753</v>
      </c>
      <c r="G833" s="1" t="s">
        <v>3520</v>
      </c>
      <c r="H833" s="232" t="s">
        <v>3395</v>
      </c>
      <c r="I833" s="233" t="s">
        <v>3396</v>
      </c>
      <c r="J833" s="14">
        <v>3</v>
      </c>
      <c r="K833" s="138">
        <v>10</v>
      </c>
      <c r="L833" s="138">
        <v>30</v>
      </c>
    </row>
    <row r="834" spans="1:12" x14ac:dyDescent="0.25">
      <c r="A834" s="1">
        <v>833</v>
      </c>
      <c r="B834" s="1">
        <v>253</v>
      </c>
      <c r="C834" s="232" t="s">
        <v>3474</v>
      </c>
      <c r="D834" s="232" t="s">
        <v>2552</v>
      </c>
      <c r="E834" s="1" t="s">
        <v>3558</v>
      </c>
      <c r="F834" s="232" t="s">
        <v>2574</v>
      </c>
      <c r="G834" s="1" t="s">
        <v>3521</v>
      </c>
      <c r="H834" s="232" t="s">
        <v>3397</v>
      </c>
      <c r="I834" s="233" t="s">
        <v>3398</v>
      </c>
      <c r="J834" s="14">
        <v>3</v>
      </c>
      <c r="K834" s="138">
        <v>77</v>
      </c>
      <c r="L834" s="138">
        <v>231</v>
      </c>
    </row>
    <row r="835" spans="1:12" x14ac:dyDescent="0.25">
      <c r="A835" s="1">
        <v>834</v>
      </c>
      <c r="B835" s="1">
        <v>253</v>
      </c>
      <c r="C835" s="232" t="s">
        <v>3475</v>
      </c>
      <c r="D835" s="232" t="s">
        <v>2552</v>
      </c>
      <c r="E835" s="1" t="s">
        <v>3558</v>
      </c>
      <c r="F835" s="232" t="s">
        <v>2577</v>
      </c>
      <c r="G835" s="1" t="s">
        <v>3523</v>
      </c>
      <c r="H835" s="232" t="s">
        <v>3399</v>
      </c>
      <c r="I835" s="233" t="s">
        <v>3400</v>
      </c>
      <c r="J835" s="14">
        <v>2</v>
      </c>
      <c r="K835" s="138">
        <v>42</v>
      </c>
      <c r="L835" s="138">
        <v>84</v>
      </c>
    </row>
    <row r="836" spans="1:12" x14ac:dyDescent="0.25">
      <c r="A836" s="1">
        <v>835</v>
      </c>
      <c r="B836" s="1">
        <v>253</v>
      </c>
      <c r="C836" s="232" t="s">
        <v>3476</v>
      </c>
      <c r="D836" s="232" t="s">
        <v>2552</v>
      </c>
      <c r="E836" s="1" t="s">
        <v>3558</v>
      </c>
      <c r="F836" s="232" t="s">
        <v>2580</v>
      </c>
      <c r="G836" s="1" t="s">
        <v>3524</v>
      </c>
      <c r="H836" s="232"/>
      <c r="I836" s="233"/>
      <c r="J836" s="14">
        <v>5</v>
      </c>
      <c r="K836" s="138">
        <v>6</v>
      </c>
      <c r="L836" s="138">
        <v>30</v>
      </c>
    </row>
    <row r="837" spans="1:12" x14ac:dyDescent="0.25">
      <c r="A837" s="1">
        <v>836</v>
      </c>
      <c r="B837" s="1">
        <v>254</v>
      </c>
      <c r="C837" s="232" t="s">
        <v>3478</v>
      </c>
      <c r="D837" s="232" t="s">
        <v>2553</v>
      </c>
      <c r="E837" s="1" t="s">
        <v>3559</v>
      </c>
      <c r="F837" s="232" t="s">
        <v>2586</v>
      </c>
      <c r="G837" s="1" t="s">
        <v>3528</v>
      </c>
      <c r="H837" s="232" t="s">
        <v>3401</v>
      </c>
      <c r="I837" s="233" t="s">
        <v>3402</v>
      </c>
      <c r="J837" s="14">
        <v>1</v>
      </c>
      <c r="K837" s="138">
        <v>18</v>
      </c>
      <c r="L837" s="138">
        <v>18</v>
      </c>
    </row>
    <row r="838" spans="1:12" x14ac:dyDescent="0.25">
      <c r="A838" s="1">
        <v>837</v>
      </c>
      <c r="B838" s="1">
        <v>254</v>
      </c>
      <c r="C838" s="232" t="s">
        <v>3477</v>
      </c>
      <c r="D838" s="232" t="s">
        <v>2553</v>
      </c>
      <c r="E838" s="1" t="s">
        <v>3559</v>
      </c>
      <c r="F838" s="232" t="s">
        <v>2583</v>
      </c>
      <c r="G838" s="1" t="s">
        <v>3527</v>
      </c>
      <c r="H838" s="232"/>
      <c r="I838" s="233"/>
      <c r="J838" s="14">
        <v>4</v>
      </c>
      <c r="K838" s="138">
        <v>20</v>
      </c>
      <c r="L838" s="138">
        <v>80</v>
      </c>
    </row>
    <row r="839" spans="1:12" x14ac:dyDescent="0.25">
      <c r="A839" s="1">
        <v>838</v>
      </c>
      <c r="B839" s="1">
        <v>254</v>
      </c>
      <c r="C839" s="232" t="s">
        <v>3490</v>
      </c>
      <c r="D839" s="232" t="s">
        <v>2553</v>
      </c>
      <c r="E839" s="1" t="s">
        <v>3559</v>
      </c>
      <c r="F839" s="232" t="s">
        <v>2630</v>
      </c>
      <c r="G839" s="1" t="s">
        <v>3529</v>
      </c>
      <c r="H839" s="232" t="s">
        <v>3403</v>
      </c>
      <c r="I839" s="233" t="s">
        <v>3404</v>
      </c>
      <c r="J839" s="14">
        <v>1</v>
      </c>
      <c r="K839" s="138">
        <v>18</v>
      </c>
      <c r="L839" s="138">
        <v>18</v>
      </c>
    </row>
    <row r="840" spans="1:12" x14ac:dyDescent="0.25">
      <c r="A840" s="1">
        <v>839</v>
      </c>
      <c r="B840" s="1">
        <v>254</v>
      </c>
      <c r="C840" s="232" t="s">
        <v>3479</v>
      </c>
      <c r="D840" s="232" t="s">
        <v>2553</v>
      </c>
      <c r="E840" s="1" t="s">
        <v>3559</v>
      </c>
      <c r="F840" s="232" t="s">
        <v>2589</v>
      </c>
      <c r="G840" s="1" t="s">
        <v>3530</v>
      </c>
      <c r="H840" s="232" t="s">
        <v>3405</v>
      </c>
      <c r="I840" s="233" t="s">
        <v>3406</v>
      </c>
      <c r="J840" s="14">
        <v>1</v>
      </c>
      <c r="K840" s="138">
        <v>70</v>
      </c>
      <c r="L840" s="138">
        <v>70</v>
      </c>
    </row>
    <row r="841" spans="1:12" x14ac:dyDescent="0.25">
      <c r="A841" s="1">
        <v>840</v>
      </c>
      <c r="B841" s="1">
        <v>254</v>
      </c>
      <c r="C841" s="232" t="s">
        <v>3491</v>
      </c>
      <c r="D841" s="232" t="s">
        <v>2553</v>
      </c>
      <c r="E841" s="1" t="s">
        <v>3559</v>
      </c>
      <c r="F841" s="232" t="s">
        <v>2635</v>
      </c>
      <c r="G841" s="1" t="s">
        <v>3531</v>
      </c>
      <c r="H841" s="232"/>
      <c r="I841" s="233"/>
      <c r="J841" s="14">
        <v>1</v>
      </c>
      <c r="K841" s="138">
        <v>40</v>
      </c>
      <c r="L841" s="138">
        <v>40</v>
      </c>
    </row>
    <row r="842" spans="1:12" x14ac:dyDescent="0.25">
      <c r="A842" s="1">
        <v>841</v>
      </c>
      <c r="B842" s="1">
        <v>254</v>
      </c>
      <c r="C842" s="232" t="s">
        <v>3499</v>
      </c>
      <c r="D842" s="232" t="s">
        <v>2553</v>
      </c>
      <c r="E842" s="1" t="s">
        <v>3559</v>
      </c>
      <c r="F842" s="232" t="s">
        <v>2775</v>
      </c>
      <c r="G842" s="1" t="s">
        <v>3532</v>
      </c>
      <c r="H842" s="232"/>
      <c r="I842" s="233"/>
      <c r="J842" s="14">
        <v>1</v>
      </c>
      <c r="K842" s="138">
        <v>100</v>
      </c>
      <c r="L842" s="138">
        <v>100</v>
      </c>
    </row>
    <row r="843" spans="1:12" x14ac:dyDescent="0.25">
      <c r="A843" s="1">
        <v>842</v>
      </c>
      <c r="B843" s="1">
        <v>254</v>
      </c>
      <c r="C843" s="232" t="s">
        <v>3480</v>
      </c>
      <c r="D843" s="232" t="s">
        <v>2553</v>
      </c>
      <c r="E843" s="1" t="s">
        <v>3559</v>
      </c>
      <c r="F843" s="232" t="s">
        <v>2592</v>
      </c>
      <c r="G843" s="1" t="s">
        <v>3533</v>
      </c>
      <c r="H843" s="232"/>
      <c r="I843" s="233"/>
      <c r="J843" s="14">
        <v>5</v>
      </c>
      <c r="K843" s="138">
        <v>7</v>
      </c>
      <c r="L843" s="138">
        <v>35</v>
      </c>
    </row>
    <row r="844" spans="1:12" x14ac:dyDescent="0.25">
      <c r="A844" s="1">
        <v>843</v>
      </c>
      <c r="B844" s="1">
        <v>254</v>
      </c>
      <c r="C844" s="232" t="s">
        <v>3493</v>
      </c>
      <c r="D844" s="232" t="s">
        <v>2553</v>
      </c>
      <c r="E844" s="1" t="s">
        <v>3559</v>
      </c>
      <c r="F844" s="232" t="s">
        <v>2689</v>
      </c>
      <c r="G844" s="1" t="s">
        <v>3534</v>
      </c>
      <c r="H844" s="232"/>
      <c r="I844" s="233"/>
      <c r="J844" s="14">
        <v>1</v>
      </c>
      <c r="K844" s="138">
        <v>50</v>
      </c>
      <c r="L844" s="138">
        <v>50</v>
      </c>
    </row>
    <row r="845" spans="1:12" x14ac:dyDescent="0.25">
      <c r="A845" s="1">
        <v>844</v>
      </c>
      <c r="B845" s="1">
        <v>255</v>
      </c>
      <c r="C845" s="232" t="s">
        <v>3500</v>
      </c>
      <c r="D845" s="232" t="s">
        <v>2554</v>
      </c>
      <c r="E845" s="1" t="s">
        <v>3560</v>
      </c>
      <c r="F845" s="232" t="s">
        <v>2782</v>
      </c>
      <c r="G845" s="1" t="s">
        <v>3536</v>
      </c>
      <c r="H845" s="232"/>
      <c r="I845" s="233"/>
      <c r="J845" s="14">
        <v>1</v>
      </c>
      <c r="K845" s="138">
        <v>10</v>
      </c>
      <c r="L845" s="138">
        <v>10</v>
      </c>
    </row>
    <row r="846" spans="1:12" x14ac:dyDescent="0.25">
      <c r="A846" s="1">
        <v>845</v>
      </c>
      <c r="B846" s="1">
        <v>255</v>
      </c>
      <c r="C846" s="232" t="s">
        <v>3481</v>
      </c>
      <c r="D846" s="232" t="s">
        <v>2554</v>
      </c>
      <c r="E846" s="1" t="s">
        <v>3560</v>
      </c>
      <c r="F846" s="232" t="s">
        <v>2595</v>
      </c>
      <c r="G846" s="1" t="s">
        <v>3537</v>
      </c>
      <c r="H846" s="232"/>
      <c r="I846" s="233"/>
      <c r="J846" s="14">
        <v>1</v>
      </c>
      <c r="K846" s="138">
        <v>0.5</v>
      </c>
      <c r="L846" s="138">
        <v>0.5</v>
      </c>
    </row>
    <row r="847" spans="1:12" x14ac:dyDescent="0.25">
      <c r="A847" s="1">
        <v>846</v>
      </c>
      <c r="B847" s="1">
        <v>255</v>
      </c>
      <c r="C847" s="232" t="s">
        <v>3483</v>
      </c>
      <c r="D847" s="232" t="s">
        <v>2554</v>
      </c>
      <c r="E847" s="1" t="s">
        <v>3560</v>
      </c>
      <c r="F847" s="232" t="s">
        <v>2601</v>
      </c>
      <c r="G847" s="1" t="s">
        <v>3539</v>
      </c>
      <c r="H847" s="232"/>
      <c r="I847" s="233"/>
      <c r="J847" s="14">
        <v>1</v>
      </c>
      <c r="K847" s="138">
        <v>3</v>
      </c>
      <c r="L847" s="138">
        <v>3</v>
      </c>
    </row>
    <row r="848" spans="1:12" x14ac:dyDescent="0.25">
      <c r="A848" s="1">
        <v>847</v>
      </c>
      <c r="B848" s="1">
        <v>255</v>
      </c>
      <c r="C848" s="232" t="s">
        <v>3482</v>
      </c>
      <c r="D848" s="232" t="s">
        <v>2554</v>
      </c>
      <c r="E848" s="1" t="s">
        <v>3560</v>
      </c>
      <c r="F848" s="232" t="s">
        <v>2598</v>
      </c>
      <c r="G848" s="1" t="s">
        <v>3538</v>
      </c>
      <c r="H848" s="232"/>
      <c r="I848" s="233"/>
      <c r="J848" s="14">
        <v>1</v>
      </c>
      <c r="K848" s="138">
        <v>3</v>
      </c>
      <c r="L848" s="138">
        <v>3</v>
      </c>
    </row>
    <row r="849" spans="1:12" x14ac:dyDescent="0.25">
      <c r="A849" s="1">
        <v>848</v>
      </c>
      <c r="B849" s="1">
        <v>255</v>
      </c>
      <c r="C849" s="232" t="s">
        <v>3484</v>
      </c>
      <c r="D849" s="232" t="s">
        <v>2554</v>
      </c>
      <c r="E849" s="1" t="s">
        <v>3560</v>
      </c>
      <c r="F849" s="232" t="s">
        <v>2604</v>
      </c>
      <c r="G849" s="1" t="s">
        <v>3540</v>
      </c>
      <c r="H849" s="232"/>
      <c r="I849" s="233"/>
      <c r="J849" s="14">
        <v>1</v>
      </c>
      <c r="K849" s="138">
        <v>77</v>
      </c>
      <c r="L849" s="138">
        <v>77</v>
      </c>
    </row>
    <row r="850" spans="1:12" x14ac:dyDescent="0.25">
      <c r="A850" s="1">
        <v>849</v>
      </c>
      <c r="B850" s="1">
        <v>255</v>
      </c>
      <c r="C850" s="232" t="s">
        <v>3485</v>
      </c>
      <c r="D850" s="232" t="s">
        <v>2554</v>
      </c>
      <c r="E850" s="1" t="s">
        <v>3560</v>
      </c>
      <c r="F850" s="232" t="s">
        <v>2607</v>
      </c>
      <c r="G850" s="1" t="s">
        <v>3541</v>
      </c>
      <c r="H850" s="232"/>
      <c r="I850" s="233"/>
      <c r="J850" s="14">
        <v>1</v>
      </c>
      <c r="K850" s="138">
        <v>22</v>
      </c>
      <c r="L850" s="138">
        <v>22</v>
      </c>
    </row>
    <row r="851" spans="1:12" x14ac:dyDescent="0.25">
      <c r="A851" s="1">
        <v>850</v>
      </c>
      <c r="B851" s="1">
        <v>255</v>
      </c>
      <c r="C851" s="232" t="s">
        <v>3487</v>
      </c>
      <c r="D851" s="232" t="s">
        <v>2554</v>
      </c>
      <c r="E851" s="1" t="s">
        <v>3560</v>
      </c>
      <c r="F851" s="232" t="s">
        <v>2613</v>
      </c>
      <c r="G851" s="1" t="s">
        <v>3543</v>
      </c>
      <c r="H851" s="232"/>
      <c r="I851" s="233"/>
      <c r="J851" s="14">
        <v>2</v>
      </c>
      <c r="K851" s="138">
        <v>45</v>
      </c>
      <c r="L851" s="138">
        <v>90</v>
      </c>
    </row>
    <row r="852" spans="1:12" x14ac:dyDescent="0.25">
      <c r="A852" s="1">
        <v>851</v>
      </c>
      <c r="B852" s="1">
        <v>255</v>
      </c>
      <c r="C852" s="232" t="s">
        <v>3486</v>
      </c>
      <c r="D852" s="232" t="s">
        <v>2554</v>
      </c>
      <c r="E852" s="1" t="s">
        <v>3560</v>
      </c>
      <c r="F852" s="232" t="s">
        <v>2610</v>
      </c>
      <c r="G852" s="1" t="s">
        <v>3542</v>
      </c>
      <c r="H852" s="232"/>
      <c r="I852" s="233"/>
      <c r="J852" s="14">
        <v>1</v>
      </c>
      <c r="K852" s="138">
        <v>0.4</v>
      </c>
      <c r="L852" s="138">
        <v>0.4</v>
      </c>
    </row>
    <row r="853" spans="1:12" x14ac:dyDescent="0.25">
      <c r="A853" s="1">
        <v>852</v>
      </c>
      <c r="B853" s="1">
        <v>256</v>
      </c>
      <c r="C853" s="232" t="s">
        <v>3501</v>
      </c>
      <c r="D853" s="232" t="s">
        <v>2555</v>
      </c>
      <c r="E853" s="1" t="s">
        <v>3561</v>
      </c>
      <c r="F853" s="232" t="s">
        <v>2785</v>
      </c>
      <c r="G853" s="1" t="s">
        <v>3546</v>
      </c>
      <c r="H853" s="232"/>
      <c r="I853" s="233"/>
      <c r="J853" s="14">
        <v>1</v>
      </c>
      <c r="K853" s="138">
        <v>10</v>
      </c>
      <c r="L853" s="138">
        <v>10</v>
      </c>
    </row>
    <row r="854" spans="1:12" x14ac:dyDescent="0.25">
      <c r="A854" s="1">
        <v>853</v>
      </c>
      <c r="B854" s="1">
        <v>256</v>
      </c>
      <c r="C854" s="232" t="s">
        <v>3506</v>
      </c>
      <c r="D854" s="232" t="s">
        <v>2555</v>
      </c>
      <c r="E854" s="1" t="s">
        <v>3561</v>
      </c>
      <c r="F854" s="232" t="s">
        <v>2840</v>
      </c>
      <c r="G854" s="1" t="s">
        <v>3545</v>
      </c>
      <c r="H854" s="232"/>
      <c r="I854" s="233"/>
      <c r="J854" s="14">
        <v>1</v>
      </c>
      <c r="K854" s="138">
        <v>6</v>
      </c>
      <c r="L854" s="138">
        <v>6</v>
      </c>
    </row>
    <row r="855" spans="1:12" x14ac:dyDescent="0.25">
      <c r="A855" s="1">
        <v>854</v>
      </c>
      <c r="B855" s="1">
        <v>256</v>
      </c>
      <c r="C855" s="232" t="s">
        <v>3488</v>
      </c>
      <c r="D855" s="232" t="s">
        <v>2555</v>
      </c>
      <c r="E855" s="1" t="s">
        <v>3561</v>
      </c>
      <c r="F855" s="232" t="s">
        <v>2616</v>
      </c>
      <c r="G855" s="1" t="s">
        <v>3549</v>
      </c>
      <c r="H855" s="232"/>
      <c r="I855" s="233"/>
      <c r="J855" s="14">
        <v>1</v>
      </c>
      <c r="K855" s="138">
        <v>3</v>
      </c>
      <c r="L855" s="138">
        <v>3</v>
      </c>
    </row>
    <row r="856" spans="1:12" x14ac:dyDescent="0.25">
      <c r="A856" s="1">
        <v>855</v>
      </c>
      <c r="B856" s="1">
        <v>256</v>
      </c>
      <c r="C856" s="232" t="s">
        <v>3507</v>
      </c>
      <c r="D856" s="232" t="s">
        <v>2555</v>
      </c>
      <c r="E856" s="1" t="s">
        <v>3561</v>
      </c>
      <c r="F856" s="232" t="s">
        <v>2863</v>
      </c>
      <c r="G856" s="1" t="s">
        <v>3548</v>
      </c>
      <c r="H856" s="232"/>
      <c r="I856" s="233"/>
      <c r="J856" s="14">
        <v>1</v>
      </c>
      <c r="K856" s="138">
        <v>10</v>
      </c>
      <c r="L856" s="138">
        <v>10</v>
      </c>
    </row>
    <row r="857" spans="1:12" x14ac:dyDescent="0.25">
      <c r="A857" s="1">
        <v>856</v>
      </c>
      <c r="B857" s="1">
        <v>257</v>
      </c>
      <c r="C857" s="232" t="s">
        <v>3502</v>
      </c>
      <c r="D857" s="232" t="s">
        <v>2556</v>
      </c>
      <c r="E857" s="1" t="s">
        <v>3562</v>
      </c>
      <c r="F857" s="232" t="s">
        <v>2788</v>
      </c>
      <c r="G857" s="1" t="s">
        <v>3551</v>
      </c>
      <c r="H857" s="232"/>
      <c r="I857" s="233"/>
      <c r="J857" s="14">
        <v>1</v>
      </c>
      <c r="K857" s="138">
        <v>150</v>
      </c>
      <c r="L857" s="138">
        <v>150</v>
      </c>
    </row>
    <row r="858" spans="1:12" x14ac:dyDescent="0.25">
      <c r="A858" s="1">
        <v>857</v>
      </c>
      <c r="B858" s="1">
        <v>257</v>
      </c>
      <c r="C858" s="232" t="s">
        <v>3508</v>
      </c>
      <c r="D858" s="232" t="s">
        <v>2556</v>
      </c>
      <c r="E858" s="1" t="s">
        <v>3562</v>
      </c>
      <c r="F858" s="232" t="s">
        <v>2900</v>
      </c>
      <c r="G858" s="1" t="s">
        <v>3553</v>
      </c>
      <c r="H858" s="232"/>
      <c r="I858" s="233"/>
      <c r="J858" s="14">
        <v>1</v>
      </c>
      <c r="K858" s="138">
        <v>4</v>
      </c>
      <c r="L858" s="138">
        <v>4</v>
      </c>
    </row>
    <row r="859" spans="1:12" x14ac:dyDescent="0.25">
      <c r="A859" s="1">
        <v>858</v>
      </c>
      <c r="B859" s="1">
        <v>257</v>
      </c>
      <c r="C859" s="232" t="s">
        <v>3503</v>
      </c>
      <c r="D859" s="232" t="s">
        <v>2556</v>
      </c>
      <c r="E859" s="1" t="s">
        <v>3562</v>
      </c>
      <c r="F859" s="232" t="s">
        <v>2791</v>
      </c>
      <c r="G859" s="1" t="s">
        <v>3554</v>
      </c>
      <c r="H859" s="232"/>
      <c r="I859" s="233"/>
      <c r="J859" s="14">
        <v>1</v>
      </c>
      <c r="K859" s="138">
        <v>5</v>
      </c>
      <c r="L859" s="138">
        <v>5</v>
      </c>
    </row>
    <row r="860" spans="1:12" x14ac:dyDescent="0.25">
      <c r="A860" s="1">
        <v>859</v>
      </c>
      <c r="B860" s="1">
        <v>258</v>
      </c>
      <c r="C860" s="232" t="s">
        <v>3502</v>
      </c>
      <c r="D860" s="232" t="s">
        <v>2556</v>
      </c>
      <c r="E860" s="1" t="s">
        <v>3562</v>
      </c>
      <c r="F860" s="232" t="s">
        <v>2788</v>
      </c>
      <c r="G860" s="1" t="s">
        <v>3551</v>
      </c>
      <c r="H860" s="232"/>
      <c r="I860" s="233"/>
      <c r="J860" s="14">
        <v>1</v>
      </c>
      <c r="K860" s="138">
        <v>150</v>
      </c>
      <c r="L860" s="138">
        <v>150</v>
      </c>
    </row>
    <row r="861" spans="1:12" x14ac:dyDescent="0.25">
      <c r="A861" s="1">
        <v>860</v>
      </c>
      <c r="B861" s="1">
        <v>258</v>
      </c>
      <c r="C861" s="232" t="s">
        <v>3508</v>
      </c>
      <c r="D861" s="232" t="s">
        <v>2556</v>
      </c>
      <c r="E861" s="1" t="s">
        <v>3562</v>
      </c>
      <c r="F861" s="232" t="s">
        <v>2900</v>
      </c>
      <c r="G861" s="1" t="s">
        <v>3553</v>
      </c>
      <c r="H861" s="232"/>
      <c r="I861" s="233"/>
      <c r="J861" s="14">
        <v>1</v>
      </c>
      <c r="K861" s="138">
        <v>4</v>
      </c>
      <c r="L861" s="138">
        <v>4</v>
      </c>
    </row>
    <row r="862" spans="1:12" x14ac:dyDescent="0.25">
      <c r="A862" s="1">
        <v>861</v>
      </c>
      <c r="B862" s="1">
        <v>258</v>
      </c>
      <c r="C862" s="232" t="s">
        <v>3503</v>
      </c>
      <c r="D862" s="232" t="s">
        <v>2556</v>
      </c>
      <c r="E862" s="1" t="s">
        <v>3562</v>
      </c>
      <c r="F862" s="232" t="s">
        <v>2791</v>
      </c>
      <c r="G862" s="1" t="s">
        <v>3554</v>
      </c>
      <c r="H862" s="232"/>
      <c r="I862" s="233"/>
      <c r="J862" s="14">
        <v>1</v>
      </c>
      <c r="K862" s="138">
        <v>5</v>
      </c>
      <c r="L862" s="138">
        <v>5</v>
      </c>
    </row>
    <row r="863" spans="1:12" x14ac:dyDescent="0.25">
      <c r="A863" s="1">
        <v>862</v>
      </c>
      <c r="B863" s="1">
        <v>259</v>
      </c>
      <c r="C863" s="232" t="s">
        <v>3504</v>
      </c>
      <c r="D863" s="232" t="s">
        <v>2557</v>
      </c>
      <c r="E863" s="1" t="s">
        <v>3563</v>
      </c>
      <c r="F863" s="232" t="s">
        <v>2794</v>
      </c>
      <c r="G863" s="1" t="s">
        <v>3555</v>
      </c>
      <c r="H863" s="232" t="s">
        <v>3407</v>
      </c>
      <c r="I863" s="233" t="s">
        <v>3408</v>
      </c>
      <c r="J863" s="14">
        <v>1</v>
      </c>
      <c r="K863" s="138">
        <v>1.7</v>
      </c>
      <c r="L863" s="138">
        <v>1.7</v>
      </c>
    </row>
    <row r="864" spans="1:12" x14ac:dyDescent="0.25">
      <c r="A864" s="1">
        <v>863</v>
      </c>
      <c r="B864" s="1">
        <v>260</v>
      </c>
      <c r="C864" s="232" t="s">
        <v>3489</v>
      </c>
      <c r="D864" s="232" t="s">
        <v>2556</v>
      </c>
      <c r="E864" s="1" t="s">
        <v>3562</v>
      </c>
      <c r="F864" s="232" t="s">
        <v>2619</v>
      </c>
      <c r="G864" s="1" t="s">
        <v>3550</v>
      </c>
      <c r="H864" s="232"/>
      <c r="I864" s="233"/>
      <c r="J864" s="14">
        <v>1</v>
      </c>
      <c r="K864" s="138">
        <v>95</v>
      </c>
      <c r="L864" s="138">
        <v>95</v>
      </c>
    </row>
    <row r="865" spans="1:12" x14ac:dyDescent="0.25">
      <c r="A865" s="1">
        <v>864</v>
      </c>
      <c r="B865" s="1">
        <v>261</v>
      </c>
      <c r="C865" s="232" t="s">
        <v>3481</v>
      </c>
      <c r="D865" s="232" t="s">
        <v>2554</v>
      </c>
      <c r="E865" s="1" t="s">
        <v>3560</v>
      </c>
      <c r="F865" s="232" t="s">
        <v>2595</v>
      </c>
      <c r="G865" s="1" t="s">
        <v>3537</v>
      </c>
      <c r="H865" s="232"/>
      <c r="I865" s="233"/>
      <c r="J865" s="14">
        <v>1</v>
      </c>
      <c r="K865" s="138">
        <v>0.5</v>
      </c>
      <c r="L865" s="138">
        <v>0.5</v>
      </c>
    </row>
    <row r="866" spans="1:12" x14ac:dyDescent="0.25">
      <c r="A866" s="1">
        <v>865</v>
      </c>
      <c r="B866" s="1">
        <v>261</v>
      </c>
      <c r="C866" s="232" t="s">
        <v>3482</v>
      </c>
      <c r="D866" s="232" t="s">
        <v>2554</v>
      </c>
      <c r="E866" s="1" t="s">
        <v>3560</v>
      </c>
      <c r="F866" s="232" t="s">
        <v>2598</v>
      </c>
      <c r="G866" s="1" t="s">
        <v>3538</v>
      </c>
      <c r="H866" s="232"/>
      <c r="I866" s="233"/>
      <c r="J866" s="14">
        <v>6</v>
      </c>
      <c r="K866" s="138">
        <v>3</v>
      </c>
      <c r="L866" s="138">
        <v>18</v>
      </c>
    </row>
    <row r="867" spans="1:12" x14ac:dyDescent="0.25">
      <c r="A867" s="1">
        <v>866</v>
      </c>
      <c r="B867" s="1">
        <v>261</v>
      </c>
      <c r="C867" s="232" t="s">
        <v>3483</v>
      </c>
      <c r="D867" s="232" t="s">
        <v>2554</v>
      </c>
      <c r="E867" s="1" t="s">
        <v>3560</v>
      </c>
      <c r="F867" s="232" t="s">
        <v>2601</v>
      </c>
      <c r="G867" s="1" t="s">
        <v>3539</v>
      </c>
      <c r="H867" s="232"/>
      <c r="I867" s="233"/>
      <c r="J867" s="14">
        <v>6</v>
      </c>
      <c r="K867" s="138">
        <v>3</v>
      </c>
      <c r="L867" s="138">
        <v>18</v>
      </c>
    </row>
    <row r="868" spans="1:12" x14ac:dyDescent="0.25">
      <c r="A868" s="1">
        <v>867</v>
      </c>
      <c r="B868" s="1">
        <v>262</v>
      </c>
      <c r="C868" s="232" t="s">
        <v>3477</v>
      </c>
      <c r="D868" s="232" t="s">
        <v>2553</v>
      </c>
      <c r="E868" s="1" t="s">
        <v>3559</v>
      </c>
      <c r="F868" s="232" t="s">
        <v>2583</v>
      </c>
      <c r="G868" s="1" t="s">
        <v>3527</v>
      </c>
      <c r="H868" s="232"/>
      <c r="I868" s="233"/>
      <c r="J868" s="14">
        <v>1</v>
      </c>
      <c r="K868" s="138">
        <v>20</v>
      </c>
      <c r="L868" s="138">
        <v>20</v>
      </c>
    </row>
    <row r="869" spans="1:12" x14ac:dyDescent="0.25">
      <c r="A869" s="1">
        <v>868</v>
      </c>
      <c r="B869" s="1">
        <v>262</v>
      </c>
      <c r="C869" s="232" t="s">
        <v>3478</v>
      </c>
      <c r="D869" s="232" t="s">
        <v>2553</v>
      </c>
      <c r="E869" s="1" t="s">
        <v>3559</v>
      </c>
      <c r="F869" s="232" t="s">
        <v>2586</v>
      </c>
      <c r="G869" s="1" t="s">
        <v>3528</v>
      </c>
      <c r="H869" s="232"/>
      <c r="I869" s="233"/>
      <c r="J869" s="14">
        <v>10</v>
      </c>
      <c r="K869" s="138">
        <v>18</v>
      </c>
      <c r="L869" s="138">
        <v>180</v>
      </c>
    </row>
    <row r="870" spans="1:12" x14ac:dyDescent="0.25">
      <c r="A870" s="1">
        <v>869</v>
      </c>
      <c r="B870" s="1">
        <v>262</v>
      </c>
      <c r="C870" s="232" t="s">
        <v>3490</v>
      </c>
      <c r="D870" s="232" t="s">
        <v>2553</v>
      </c>
      <c r="E870" s="1" t="s">
        <v>3559</v>
      </c>
      <c r="F870" s="232" t="s">
        <v>2630</v>
      </c>
      <c r="G870" s="1" t="s">
        <v>3529</v>
      </c>
      <c r="H870" s="232"/>
      <c r="I870" s="233"/>
      <c r="J870" s="14">
        <v>50</v>
      </c>
      <c r="K870" s="138">
        <v>18</v>
      </c>
      <c r="L870" s="138">
        <v>900</v>
      </c>
    </row>
    <row r="871" spans="1:12" x14ac:dyDescent="0.25">
      <c r="A871" s="1">
        <v>870</v>
      </c>
      <c r="B871" s="1">
        <v>262</v>
      </c>
      <c r="C871" s="232" t="s">
        <v>3479</v>
      </c>
      <c r="D871" s="232" t="s">
        <v>2553</v>
      </c>
      <c r="E871" s="1" t="s">
        <v>3559</v>
      </c>
      <c r="F871" s="232" t="s">
        <v>2589</v>
      </c>
      <c r="G871" s="1" t="s">
        <v>3530</v>
      </c>
      <c r="H871" s="232"/>
      <c r="I871" s="233"/>
      <c r="J871" s="14">
        <v>1</v>
      </c>
      <c r="K871" s="138">
        <v>70</v>
      </c>
      <c r="L871" s="138">
        <v>70</v>
      </c>
    </row>
    <row r="872" spans="1:12" x14ac:dyDescent="0.25">
      <c r="A872" s="1">
        <v>871</v>
      </c>
      <c r="B872" s="1">
        <v>262</v>
      </c>
      <c r="C872" s="232" t="s">
        <v>3491</v>
      </c>
      <c r="D872" s="232" t="s">
        <v>2553</v>
      </c>
      <c r="E872" s="1" t="s">
        <v>3559</v>
      </c>
      <c r="F872" s="232" t="s">
        <v>2635</v>
      </c>
      <c r="G872" s="1" t="s">
        <v>3531</v>
      </c>
      <c r="H872" s="232"/>
      <c r="I872" s="233"/>
      <c r="J872" s="14">
        <v>1</v>
      </c>
      <c r="K872" s="138">
        <v>40</v>
      </c>
      <c r="L872" s="138">
        <v>40</v>
      </c>
    </row>
    <row r="873" spans="1:12" x14ac:dyDescent="0.25">
      <c r="A873" s="1">
        <v>872</v>
      </c>
      <c r="B873" s="1">
        <v>262</v>
      </c>
      <c r="C873" s="232" t="s">
        <v>3480</v>
      </c>
      <c r="D873" s="232" t="s">
        <v>2553</v>
      </c>
      <c r="E873" s="1" t="s">
        <v>3559</v>
      </c>
      <c r="F873" s="232" t="s">
        <v>2592</v>
      </c>
      <c r="G873" s="1" t="s">
        <v>3533</v>
      </c>
      <c r="H873" s="232"/>
      <c r="I873" s="233"/>
      <c r="J873" s="14">
        <v>1</v>
      </c>
      <c r="K873" s="138">
        <v>7</v>
      </c>
      <c r="L873" s="138">
        <v>7</v>
      </c>
    </row>
    <row r="874" spans="1:12" x14ac:dyDescent="0.25">
      <c r="A874" s="1">
        <v>873</v>
      </c>
      <c r="B874" s="1">
        <v>262</v>
      </c>
      <c r="C874" s="232" t="s">
        <v>3493</v>
      </c>
      <c r="D874" s="232" t="s">
        <v>2553</v>
      </c>
      <c r="E874" s="1" t="s">
        <v>3559</v>
      </c>
      <c r="F874" s="232" t="s">
        <v>2689</v>
      </c>
      <c r="G874" s="1" t="s">
        <v>3534</v>
      </c>
      <c r="H874" s="232"/>
      <c r="I874" s="233"/>
      <c r="J874" s="14">
        <v>1</v>
      </c>
      <c r="K874" s="138">
        <v>50</v>
      </c>
      <c r="L874" s="138">
        <v>50</v>
      </c>
    </row>
    <row r="875" spans="1:12" x14ac:dyDescent="0.25">
      <c r="A875" s="1">
        <v>874</v>
      </c>
      <c r="B875" s="1">
        <v>263</v>
      </c>
      <c r="C875" s="232" t="s">
        <v>3470</v>
      </c>
      <c r="D875" s="232" t="s">
        <v>2552</v>
      </c>
      <c r="E875" s="1" t="s">
        <v>3558</v>
      </c>
      <c r="F875" s="232" t="s">
        <v>2562</v>
      </c>
      <c r="G875" s="1" t="s">
        <v>3514</v>
      </c>
      <c r="H875" s="232"/>
      <c r="I875" s="233"/>
      <c r="J875" s="14">
        <v>2</v>
      </c>
      <c r="K875" s="138">
        <v>6</v>
      </c>
      <c r="L875" s="138">
        <v>12</v>
      </c>
    </row>
    <row r="876" spans="1:12" x14ac:dyDescent="0.25">
      <c r="A876" s="1">
        <v>875</v>
      </c>
      <c r="B876" s="1">
        <v>263</v>
      </c>
      <c r="C876" s="232" t="s">
        <v>3473</v>
      </c>
      <c r="D876" s="232" t="s">
        <v>2552</v>
      </c>
      <c r="E876" s="1" t="s">
        <v>3558</v>
      </c>
      <c r="F876" s="232" t="s">
        <v>2571</v>
      </c>
      <c r="G876" s="1" t="s">
        <v>3518</v>
      </c>
      <c r="H876" s="232"/>
      <c r="I876" s="233"/>
      <c r="J876" s="14">
        <v>50</v>
      </c>
      <c r="K876" s="138">
        <v>5</v>
      </c>
      <c r="L876" s="138">
        <v>250</v>
      </c>
    </row>
    <row r="877" spans="1:12" x14ac:dyDescent="0.25">
      <c r="A877" s="1">
        <v>876</v>
      </c>
      <c r="B877" s="1">
        <v>263</v>
      </c>
      <c r="C877" s="232" t="s">
        <v>3497</v>
      </c>
      <c r="D877" s="232" t="s">
        <v>2552</v>
      </c>
      <c r="E877" s="1" t="s">
        <v>3558</v>
      </c>
      <c r="F877" s="232" t="s">
        <v>2753</v>
      </c>
      <c r="G877" s="1" t="s">
        <v>3520</v>
      </c>
      <c r="H877" s="232"/>
      <c r="I877" s="233"/>
      <c r="J877" s="14">
        <v>4</v>
      </c>
      <c r="K877" s="138">
        <v>10</v>
      </c>
      <c r="L877" s="138">
        <v>40</v>
      </c>
    </row>
    <row r="878" spans="1:12" x14ac:dyDescent="0.25">
      <c r="A878" s="1">
        <v>877</v>
      </c>
      <c r="B878" s="1">
        <v>263</v>
      </c>
      <c r="C878" s="232" t="s">
        <v>3474</v>
      </c>
      <c r="D878" s="232" t="s">
        <v>2552</v>
      </c>
      <c r="E878" s="1" t="s">
        <v>3558</v>
      </c>
      <c r="F878" s="232" t="s">
        <v>2574</v>
      </c>
      <c r="G878" s="1" t="s">
        <v>3521</v>
      </c>
      <c r="H878" s="232"/>
      <c r="I878" s="233"/>
      <c r="J878" s="14">
        <v>5</v>
      </c>
      <c r="K878" s="138">
        <v>77</v>
      </c>
      <c r="L878" s="138">
        <v>385</v>
      </c>
    </row>
    <row r="879" spans="1:12" x14ac:dyDescent="0.25">
      <c r="A879" s="1">
        <v>878</v>
      </c>
      <c r="B879" s="1">
        <v>263</v>
      </c>
      <c r="C879" s="232" t="s">
        <v>3498</v>
      </c>
      <c r="D879" s="232" t="s">
        <v>2552</v>
      </c>
      <c r="E879" s="1" t="s">
        <v>3558</v>
      </c>
      <c r="F879" s="232" t="s">
        <v>2758</v>
      </c>
      <c r="G879" s="1" t="s">
        <v>3522</v>
      </c>
      <c r="H879" s="232"/>
      <c r="I879" s="233"/>
      <c r="J879" s="14">
        <v>2</v>
      </c>
      <c r="K879" s="138">
        <v>1.6</v>
      </c>
      <c r="L879" s="138">
        <v>3.2</v>
      </c>
    </row>
    <row r="880" spans="1:12" x14ac:dyDescent="0.25">
      <c r="A880" s="1">
        <v>879</v>
      </c>
      <c r="B880" s="1">
        <v>263</v>
      </c>
      <c r="C880" s="232" t="s">
        <v>3476</v>
      </c>
      <c r="D880" s="232" t="s">
        <v>2552</v>
      </c>
      <c r="E880" s="1" t="s">
        <v>3558</v>
      </c>
      <c r="F880" s="232" t="s">
        <v>2580</v>
      </c>
      <c r="G880" s="1" t="s">
        <v>3524</v>
      </c>
      <c r="H880" s="232"/>
      <c r="I880" s="233"/>
      <c r="J880" s="14">
        <v>3</v>
      </c>
      <c r="K880" s="138">
        <v>6</v>
      </c>
      <c r="L880" s="138">
        <v>18</v>
      </c>
    </row>
    <row r="881" spans="1:12" x14ac:dyDescent="0.25">
      <c r="A881" s="1">
        <v>880</v>
      </c>
      <c r="B881" s="1">
        <v>263</v>
      </c>
      <c r="C881" s="232" t="s">
        <v>3475</v>
      </c>
      <c r="D881" s="232" t="s">
        <v>2552</v>
      </c>
      <c r="E881" s="1" t="s">
        <v>3558</v>
      </c>
      <c r="F881" s="232" t="s">
        <v>2577</v>
      </c>
      <c r="G881" s="1" t="s">
        <v>3523</v>
      </c>
      <c r="H881" s="232"/>
      <c r="I881" s="233"/>
      <c r="J881" s="14">
        <v>6</v>
      </c>
      <c r="K881" s="138">
        <v>42</v>
      </c>
      <c r="L881" s="138">
        <v>252</v>
      </c>
    </row>
    <row r="882" spans="1:12" x14ac:dyDescent="0.25">
      <c r="A882" s="1">
        <v>881</v>
      </c>
      <c r="B882" s="1">
        <v>264</v>
      </c>
      <c r="C882" s="232" t="s">
        <v>3493</v>
      </c>
      <c r="D882" s="232" t="s">
        <v>2553</v>
      </c>
      <c r="E882" s="1" t="s">
        <v>3559</v>
      </c>
      <c r="F882" s="232" t="s">
        <v>2689</v>
      </c>
      <c r="G882" s="1" t="s">
        <v>3534</v>
      </c>
      <c r="H882" s="232"/>
      <c r="I882" s="233"/>
      <c r="J882" s="14">
        <v>1</v>
      </c>
      <c r="K882" s="138">
        <v>50</v>
      </c>
      <c r="L882" s="138">
        <v>50</v>
      </c>
    </row>
    <row r="883" spans="1:12" x14ac:dyDescent="0.25">
      <c r="A883" s="1">
        <v>882</v>
      </c>
      <c r="B883" s="1">
        <v>264</v>
      </c>
      <c r="C883" s="232" t="s">
        <v>3480</v>
      </c>
      <c r="D883" s="232" t="s">
        <v>2553</v>
      </c>
      <c r="E883" s="1" t="s">
        <v>3559</v>
      </c>
      <c r="F883" s="232" t="s">
        <v>2592</v>
      </c>
      <c r="G883" s="1" t="s">
        <v>3533</v>
      </c>
      <c r="H883" s="232"/>
      <c r="I883" s="233"/>
      <c r="J883" s="14">
        <v>1</v>
      </c>
      <c r="K883" s="138">
        <v>7</v>
      </c>
      <c r="L883" s="138">
        <v>7</v>
      </c>
    </row>
    <row r="884" spans="1:12" x14ac:dyDescent="0.25">
      <c r="A884" s="1">
        <v>883</v>
      </c>
      <c r="B884" s="1">
        <v>264</v>
      </c>
      <c r="C884" s="232" t="s">
        <v>3491</v>
      </c>
      <c r="D884" s="232" t="s">
        <v>2553</v>
      </c>
      <c r="E884" s="1" t="s">
        <v>3559</v>
      </c>
      <c r="F884" s="232" t="s">
        <v>2635</v>
      </c>
      <c r="G884" s="1" t="s">
        <v>3531</v>
      </c>
      <c r="H884" s="232"/>
      <c r="I884" s="233"/>
      <c r="J884" s="14">
        <v>1</v>
      </c>
      <c r="K884" s="138">
        <v>40</v>
      </c>
      <c r="L884" s="138">
        <v>40</v>
      </c>
    </row>
    <row r="885" spans="1:12" x14ac:dyDescent="0.25">
      <c r="A885" s="1">
        <v>884</v>
      </c>
      <c r="B885" s="1">
        <v>264</v>
      </c>
      <c r="C885" s="232" t="s">
        <v>3479</v>
      </c>
      <c r="D885" s="232" t="s">
        <v>2553</v>
      </c>
      <c r="E885" s="1" t="s">
        <v>3559</v>
      </c>
      <c r="F885" s="232" t="s">
        <v>2589</v>
      </c>
      <c r="G885" s="1" t="s">
        <v>3530</v>
      </c>
      <c r="H885" s="232"/>
      <c r="I885" s="233"/>
      <c r="J885" s="14">
        <v>1</v>
      </c>
      <c r="K885" s="138">
        <v>70</v>
      </c>
      <c r="L885" s="138">
        <v>70</v>
      </c>
    </row>
    <row r="886" spans="1:12" x14ac:dyDescent="0.25">
      <c r="A886" s="1">
        <v>885</v>
      </c>
      <c r="B886" s="1">
        <v>264</v>
      </c>
      <c r="C886" s="232" t="s">
        <v>3490</v>
      </c>
      <c r="D886" s="232" t="s">
        <v>2553</v>
      </c>
      <c r="E886" s="1" t="s">
        <v>3559</v>
      </c>
      <c r="F886" s="232" t="s">
        <v>2630</v>
      </c>
      <c r="G886" s="1" t="s">
        <v>3529</v>
      </c>
      <c r="H886" s="232"/>
      <c r="I886" s="233"/>
      <c r="J886" s="14">
        <v>30</v>
      </c>
      <c r="K886" s="138">
        <v>18</v>
      </c>
      <c r="L886" s="138">
        <v>540</v>
      </c>
    </row>
    <row r="887" spans="1:12" x14ac:dyDescent="0.25">
      <c r="A887" s="1">
        <v>886</v>
      </c>
      <c r="B887" s="1">
        <v>264</v>
      </c>
      <c r="C887" s="232" t="s">
        <v>3478</v>
      </c>
      <c r="D887" s="232" t="s">
        <v>2553</v>
      </c>
      <c r="E887" s="1" t="s">
        <v>3559</v>
      </c>
      <c r="F887" s="232" t="s">
        <v>2586</v>
      </c>
      <c r="G887" s="1" t="s">
        <v>3528</v>
      </c>
      <c r="H887" s="232"/>
      <c r="I887" s="233"/>
      <c r="J887" s="14">
        <v>50</v>
      </c>
      <c r="K887" s="138">
        <v>18</v>
      </c>
      <c r="L887" s="138">
        <v>900</v>
      </c>
    </row>
    <row r="888" spans="1:12" x14ac:dyDescent="0.25">
      <c r="A888" s="1">
        <v>887</v>
      </c>
      <c r="B888" s="1">
        <v>264</v>
      </c>
      <c r="C888" s="232" t="s">
        <v>3477</v>
      </c>
      <c r="D888" s="232" t="s">
        <v>2553</v>
      </c>
      <c r="E888" s="1" t="s">
        <v>3559</v>
      </c>
      <c r="F888" s="232" t="s">
        <v>2583</v>
      </c>
      <c r="G888" s="1" t="s">
        <v>3527</v>
      </c>
      <c r="H888" s="232"/>
      <c r="I888" s="233"/>
      <c r="J888" s="14">
        <v>1</v>
      </c>
      <c r="K888" s="138">
        <v>20</v>
      </c>
      <c r="L888" s="138">
        <v>20</v>
      </c>
    </row>
    <row r="889" spans="1:12" x14ac:dyDescent="0.25">
      <c r="A889" s="1">
        <v>888</v>
      </c>
      <c r="B889" s="1">
        <v>265</v>
      </c>
      <c r="C889" s="232" t="s">
        <v>3470</v>
      </c>
      <c r="D889" s="232" t="s">
        <v>2552</v>
      </c>
      <c r="E889" s="1" t="s">
        <v>3558</v>
      </c>
      <c r="F889" s="232" t="s">
        <v>2562</v>
      </c>
      <c r="G889" s="1" t="s">
        <v>3514</v>
      </c>
      <c r="H889" s="232"/>
      <c r="I889" s="233"/>
      <c r="J889" s="14">
        <v>3</v>
      </c>
      <c r="K889" s="138">
        <v>6</v>
      </c>
      <c r="L889" s="138">
        <v>18</v>
      </c>
    </row>
    <row r="890" spans="1:12" x14ac:dyDescent="0.25">
      <c r="A890" s="1">
        <v>889</v>
      </c>
      <c r="B890" s="1">
        <v>265</v>
      </c>
      <c r="C890" s="232" t="s">
        <v>3473</v>
      </c>
      <c r="D890" s="232" t="s">
        <v>2552</v>
      </c>
      <c r="E890" s="1" t="s">
        <v>3558</v>
      </c>
      <c r="F890" s="232" t="s">
        <v>2571</v>
      </c>
      <c r="G890" s="1" t="s">
        <v>3518</v>
      </c>
      <c r="H890" s="232"/>
      <c r="I890" s="233"/>
      <c r="J890" s="14">
        <v>300</v>
      </c>
      <c r="K890" s="138">
        <v>5</v>
      </c>
      <c r="L890" s="138">
        <v>1500</v>
      </c>
    </row>
    <row r="891" spans="1:12" x14ac:dyDescent="0.25">
      <c r="A891" s="1">
        <v>890</v>
      </c>
      <c r="B891" s="1">
        <v>265</v>
      </c>
      <c r="C891" s="232" t="s">
        <v>3496</v>
      </c>
      <c r="D891" s="232" t="s">
        <v>2552</v>
      </c>
      <c r="E891" s="1" t="s">
        <v>3558</v>
      </c>
      <c r="F891" s="232" t="s">
        <v>2750</v>
      </c>
      <c r="G891" s="1" t="s">
        <v>3519</v>
      </c>
      <c r="H891" s="232"/>
      <c r="I891" s="233"/>
      <c r="J891" s="14">
        <v>7</v>
      </c>
      <c r="K891" s="138">
        <v>25</v>
      </c>
      <c r="L891" s="138">
        <v>175</v>
      </c>
    </row>
    <row r="892" spans="1:12" x14ac:dyDescent="0.25">
      <c r="A892" s="1">
        <v>891</v>
      </c>
      <c r="B892" s="1">
        <v>265</v>
      </c>
      <c r="C892" s="232" t="s">
        <v>3497</v>
      </c>
      <c r="D892" s="232" t="s">
        <v>2552</v>
      </c>
      <c r="E892" s="1" t="s">
        <v>3558</v>
      </c>
      <c r="F892" s="232" t="s">
        <v>2753</v>
      </c>
      <c r="G892" s="1" t="s">
        <v>3520</v>
      </c>
      <c r="H892" s="232"/>
      <c r="I892" s="233"/>
      <c r="J892" s="14">
        <v>4</v>
      </c>
      <c r="K892" s="138">
        <v>10</v>
      </c>
      <c r="L892" s="138">
        <v>40</v>
      </c>
    </row>
    <row r="893" spans="1:12" x14ac:dyDescent="0.25">
      <c r="A893" s="1">
        <v>892</v>
      </c>
      <c r="B893" s="1">
        <v>265</v>
      </c>
      <c r="C893" s="232" t="s">
        <v>3474</v>
      </c>
      <c r="D893" s="232" t="s">
        <v>2552</v>
      </c>
      <c r="E893" s="1" t="s">
        <v>3558</v>
      </c>
      <c r="F893" s="232" t="s">
        <v>2574</v>
      </c>
      <c r="G893" s="1" t="s">
        <v>3521</v>
      </c>
      <c r="H893" s="232"/>
      <c r="I893" s="233"/>
      <c r="J893" s="14">
        <v>7</v>
      </c>
      <c r="K893" s="138">
        <v>77</v>
      </c>
      <c r="L893" s="138">
        <v>539</v>
      </c>
    </row>
    <row r="894" spans="1:12" x14ac:dyDescent="0.25">
      <c r="A894" s="1">
        <v>893</v>
      </c>
      <c r="B894" s="1">
        <v>265</v>
      </c>
      <c r="C894" s="232" t="s">
        <v>3475</v>
      </c>
      <c r="D894" s="232" t="s">
        <v>2552</v>
      </c>
      <c r="E894" s="1" t="s">
        <v>3558</v>
      </c>
      <c r="F894" s="232" t="s">
        <v>2577</v>
      </c>
      <c r="G894" s="1" t="s">
        <v>3523</v>
      </c>
      <c r="H894" s="232"/>
      <c r="I894" s="233"/>
      <c r="J894" s="14">
        <v>7</v>
      </c>
      <c r="K894" s="138">
        <v>42</v>
      </c>
      <c r="L894" s="138">
        <v>294</v>
      </c>
    </row>
    <row r="895" spans="1:12" x14ac:dyDescent="0.25">
      <c r="A895" s="1">
        <v>894</v>
      </c>
      <c r="B895" s="1">
        <v>265</v>
      </c>
      <c r="C895" s="232" t="s">
        <v>3476</v>
      </c>
      <c r="D895" s="232" t="s">
        <v>2552</v>
      </c>
      <c r="E895" s="1" t="s">
        <v>3558</v>
      </c>
      <c r="F895" s="232" t="s">
        <v>2580</v>
      </c>
      <c r="G895" s="1" t="s">
        <v>3524</v>
      </c>
      <c r="H895" s="232"/>
      <c r="I895" s="233"/>
      <c r="J895" s="14">
        <v>7</v>
      </c>
      <c r="K895" s="138">
        <v>6</v>
      </c>
      <c r="L895" s="138">
        <v>42</v>
      </c>
    </row>
    <row r="896" spans="1:12" x14ac:dyDescent="0.25">
      <c r="A896" s="1">
        <v>895</v>
      </c>
      <c r="B896" s="1">
        <v>266</v>
      </c>
      <c r="C896" s="232" t="s">
        <v>3473</v>
      </c>
      <c r="D896" s="232" t="s">
        <v>2552</v>
      </c>
      <c r="E896" s="1" t="s">
        <v>3558</v>
      </c>
      <c r="F896" s="232" t="s">
        <v>2571</v>
      </c>
      <c r="G896" s="1" t="s">
        <v>3518</v>
      </c>
      <c r="H896" s="232" t="s">
        <v>3409</v>
      </c>
      <c r="I896" s="233" t="s">
        <v>3410</v>
      </c>
      <c r="J896" s="14">
        <v>250</v>
      </c>
      <c r="K896" s="138">
        <v>5</v>
      </c>
      <c r="L896" s="138">
        <v>1250</v>
      </c>
    </row>
    <row r="897" spans="1:12" x14ac:dyDescent="0.25">
      <c r="A897" s="1">
        <v>896</v>
      </c>
      <c r="B897" s="1">
        <v>266</v>
      </c>
      <c r="C897" s="232" t="s">
        <v>3495</v>
      </c>
      <c r="D897" s="232" t="s">
        <v>2552</v>
      </c>
      <c r="E897" s="1" t="s">
        <v>3558</v>
      </c>
      <c r="F897" s="232" t="s">
        <v>2745</v>
      </c>
      <c r="G897" s="1" t="s">
        <v>3517</v>
      </c>
      <c r="H897" s="232" t="s">
        <v>3411</v>
      </c>
      <c r="I897" s="233" t="s">
        <v>3412</v>
      </c>
      <c r="J897" s="14">
        <v>40</v>
      </c>
      <c r="K897" s="138">
        <v>148</v>
      </c>
      <c r="L897" s="138">
        <v>5920</v>
      </c>
    </row>
    <row r="898" spans="1:12" x14ac:dyDescent="0.25">
      <c r="A898" s="1">
        <v>897</v>
      </c>
      <c r="B898" s="1">
        <v>266</v>
      </c>
      <c r="C898" s="232" t="s">
        <v>3497</v>
      </c>
      <c r="D898" s="232" t="s">
        <v>2552</v>
      </c>
      <c r="E898" s="1" t="s">
        <v>3558</v>
      </c>
      <c r="F898" s="232" t="s">
        <v>2753</v>
      </c>
      <c r="G898" s="1" t="s">
        <v>3520</v>
      </c>
      <c r="H898" s="232" t="s">
        <v>3413</v>
      </c>
      <c r="I898" s="233" t="s">
        <v>3414</v>
      </c>
      <c r="J898" s="14">
        <v>18</v>
      </c>
      <c r="K898" s="138">
        <v>10</v>
      </c>
      <c r="L898" s="138">
        <v>180</v>
      </c>
    </row>
    <row r="899" spans="1:12" x14ac:dyDescent="0.25">
      <c r="A899" s="1">
        <v>898</v>
      </c>
      <c r="B899" s="1">
        <v>266</v>
      </c>
      <c r="C899" s="232" t="s">
        <v>3474</v>
      </c>
      <c r="D899" s="232" t="s">
        <v>2552</v>
      </c>
      <c r="E899" s="1" t="s">
        <v>3558</v>
      </c>
      <c r="F899" s="232" t="s">
        <v>2574</v>
      </c>
      <c r="G899" s="1" t="s">
        <v>3521</v>
      </c>
      <c r="H899" s="232" t="s">
        <v>3415</v>
      </c>
      <c r="I899" s="233" t="s">
        <v>3416</v>
      </c>
      <c r="J899" s="14">
        <v>3</v>
      </c>
      <c r="K899" s="138">
        <v>77</v>
      </c>
      <c r="L899" s="138">
        <v>231</v>
      </c>
    </row>
    <row r="900" spans="1:12" x14ac:dyDescent="0.25">
      <c r="A900" s="1">
        <v>899</v>
      </c>
      <c r="B900" s="1">
        <v>266</v>
      </c>
      <c r="C900" s="232" t="s">
        <v>3498</v>
      </c>
      <c r="D900" s="232" t="s">
        <v>2552</v>
      </c>
      <c r="E900" s="1" t="s">
        <v>3558</v>
      </c>
      <c r="F900" s="232" t="s">
        <v>2758</v>
      </c>
      <c r="G900" s="1" t="s">
        <v>3522</v>
      </c>
      <c r="H900" s="232" t="s">
        <v>3417</v>
      </c>
      <c r="I900" s="233" t="s">
        <v>3418</v>
      </c>
      <c r="J900" s="14">
        <v>1</v>
      </c>
      <c r="K900" s="138">
        <v>1.6</v>
      </c>
      <c r="L900" s="138">
        <v>1.6</v>
      </c>
    </row>
    <row r="901" spans="1:12" x14ac:dyDescent="0.25">
      <c r="A901" s="1">
        <v>900</v>
      </c>
      <c r="B901" s="1">
        <v>266</v>
      </c>
      <c r="C901" s="232" t="s">
        <v>3475</v>
      </c>
      <c r="D901" s="232" t="s">
        <v>2552</v>
      </c>
      <c r="E901" s="1" t="s">
        <v>3558</v>
      </c>
      <c r="F901" s="232" t="s">
        <v>2577</v>
      </c>
      <c r="G901" s="1" t="s">
        <v>3523</v>
      </c>
      <c r="H901" s="232" t="s">
        <v>3419</v>
      </c>
      <c r="I901" s="233" t="s">
        <v>3420</v>
      </c>
      <c r="J901" s="14">
        <v>2</v>
      </c>
      <c r="K901" s="138">
        <v>42</v>
      </c>
      <c r="L901" s="138">
        <v>84</v>
      </c>
    </row>
    <row r="902" spans="1:12" x14ac:dyDescent="0.25">
      <c r="A902" s="1">
        <v>901</v>
      </c>
      <c r="B902" s="1">
        <v>266</v>
      </c>
      <c r="C902" s="232" t="s">
        <v>3476</v>
      </c>
      <c r="D902" s="232" t="s">
        <v>2552</v>
      </c>
      <c r="E902" s="1" t="s">
        <v>3558</v>
      </c>
      <c r="F902" s="232" t="s">
        <v>2580</v>
      </c>
      <c r="G902" s="1" t="s">
        <v>3524</v>
      </c>
      <c r="H902" s="232" t="s">
        <v>3421</v>
      </c>
      <c r="I902" s="233" t="s">
        <v>3422</v>
      </c>
      <c r="J902" s="14">
        <v>1</v>
      </c>
      <c r="K902" s="138">
        <v>6</v>
      </c>
      <c r="L902" s="138">
        <v>6</v>
      </c>
    </row>
    <row r="903" spans="1:12" x14ac:dyDescent="0.25">
      <c r="A903" s="1">
        <v>902</v>
      </c>
      <c r="B903" s="1">
        <v>266</v>
      </c>
      <c r="C903" s="232" t="s">
        <v>3472</v>
      </c>
      <c r="D903" s="232" t="s">
        <v>2552</v>
      </c>
      <c r="E903" s="1" t="s">
        <v>3558</v>
      </c>
      <c r="F903" s="232" t="s">
        <v>2568</v>
      </c>
      <c r="G903" s="1" t="s">
        <v>3516</v>
      </c>
      <c r="H903" s="232" t="s">
        <v>3423</v>
      </c>
      <c r="I903" s="233" t="s">
        <v>3424</v>
      </c>
      <c r="J903" s="14">
        <v>60</v>
      </c>
      <c r="K903" s="138">
        <v>75</v>
      </c>
      <c r="L903" s="138">
        <v>4500</v>
      </c>
    </row>
    <row r="904" spans="1:12" x14ac:dyDescent="0.25">
      <c r="A904" s="1">
        <v>903</v>
      </c>
      <c r="B904" s="1">
        <v>267</v>
      </c>
      <c r="C904" s="232" t="s">
        <v>3477</v>
      </c>
      <c r="D904" s="232" t="s">
        <v>2553</v>
      </c>
      <c r="E904" s="1" t="s">
        <v>3559</v>
      </c>
      <c r="F904" s="232" t="s">
        <v>2583</v>
      </c>
      <c r="G904" s="1" t="s">
        <v>3527</v>
      </c>
      <c r="H904" s="232" t="s">
        <v>3425</v>
      </c>
      <c r="I904" s="233" t="s">
        <v>3426</v>
      </c>
      <c r="J904" s="14">
        <v>1</v>
      </c>
      <c r="K904" s="138">
        <v>20</v>
      </c>
      <c r="L904" s="138">
        <v>20</v>
      </c>
    </row>
    <row r="905" spans="1:12" x14ac:dyDescent="0.25">
      <c r="A905" s="1">
        <v>904</v>
      </c>
      <c r="B905" s="1">
        <v>267</v>
      </c>
      <c r="C905" s="232" t="s">
        <v>3490</v>
      </c>
      <c r="D905" s="232" t="s">
        <v>2553</v>
      </c>
      <c r="E905" s="1" t="s">
        <v>3559</v>
      </c>
      <c r="F905" s="232" t="s">
        <v>2630</v>
      </c>
      <c r="G905" s="1" t="s">
        <v>3529</v>
      </c>
      <c r="H905" s="232" t="s">
        <v>3427</v>
      </c>
      <c r="I905" s="233" t="s">
        <v>3428</v>
      </c>
      <c r="J905" s="14">
        <v>30</v>
      </c>
      <c r="K905" s="138">
        <v>18</v>
      </c>
      <c r="L905" s="138">
        <v>540</v>
      </c>
    </row>
    <row r="906" spans="1:12" x14ac:dyDescent="0.25">
      <c r="A906" s="1">
        <v>905</v>
      </c>
      <c r="B906" s="1">
        <v>267</v>
      </c>
      <c r="C906" s="232" t="s">
        <v>3479</v>
      </c>
      <c r="D906" s="232" t="s">
        <v>2553</v>
      </c>
      <c r="E906" s="1" t="s">
        <v>3559</v>
      </c>
      <c r="F906" s="232" t="s">
        <v>2589</v>
      </c>
      <c r="G906" s="1" t="s">
        <v>3530</v>
      </c>
      <c r="H906" s="232" t="s">
        <v>3429</v>
      </c>
      <c r="I906" s="233" t="s">
        <v>3430</v>
      </c>
      <c r="J906" s="14">
        <v>1</v>
      </c>
      <c r="K906" s="138">
        <v>70</v>
      </c>
      <c r="L906" s="138">
        <v>70</v>
      </c>
    </row>
    <row r="907" spans="1:12" x14ac:dyDescent="0.25">
      <c r="A907" s="1">
        <v>906</v>
      </c>
      <c r="B907" s="1">
        <v>268</v>
      </c>
      <c r="C907" s="232" t="s">
        <v>3500</v>
      </c>
      <c r="D907" s="232" t="s">
        <v>2554</v>
      </c>
      <c r="E907" s="1" t="s">
        <v>3560</v>
      </c>
      <c r="F907" s="232" t="s">
        <v>2782</v>
      </c>
      <c r="G907" s="1" t="s">
        <v>3536</v>
      </c>
      <c r="H907" s="232" t="s">
        <v>3431</v>
      </c>
      <c r="I907" s="233" t="s">
        <v>3432</v>
      </c>
      <c r="J907" s="14">
        <v>14</v>
      </c>
      <c r="K907" s="138">
        <v>10</v>
      </c>
      <c r="L907" s="138">
        <v>140</v>
      </c>
    </row>
    <row r="908" spans="1:12" x14ac:dyDescent="0.25">
      <c r="A908" s="1">
        <v>907</v>
      </c>
      <c r="B908" s="1">
        <v>268</v>
      </c>
      <c r="C908" s="232" t="s">
        <v>3481</v>
      </c>
      <c r="D908" s="232" t="s">
        <v>2554</v>
      </c>
      <c r="E908" s="1" t="s">
        <v>3560</v>
      </c>
      <c r="F908" s="232" t="s">
        <v>2595</v>
      </c>
      <c r="G908" s="1" t="s">
        <v>3537</v>
      </c>
      <c r="H908" s="232" t="s">
        <v>3433</v>
      </c>
      <c r="I908" s="233" t="s">
        <v>3434</v>
      </c>
      <c r="J908" s="14">
        <v>300</v>
      </c>
      <c r="K908" s="138">
        <v>0.5</v>
      </c>
      <c r="L908" s="138">
        <v>150</v>
      </c>
    </row>
    <row r="909" spans="1:12" x14ac:dyDescent="0.25">
      <c r="A909" s="1">
        <v>908</v>
      </c>
      <c r="B909" s="1">
        <v>268</v>
      </c>
      <c r="C909" s="232" t="s">
        <v>3482</v>
      </c>
      <c r="D909" s="232" t="s">
        <v>2554</v>
      </c>
      <c r="E909" s="1" t="s">
        <v>3560</v>
      </c>
      <c r="F909" s="232" t="s">
        <v>2598</v>
      </c>
      <c r="G909" s="1" t="s">
        <v>3538</v>
      </c>
      <c r="H909" s="232"/>
      <c r="I909" s="233"/>
      <c r="J909" s="14">
        <v>10</v>
      </c>
      <c r="K909" s="138">
        <v>3</v>
      </c>
      <c r="L909" s="138">
        <v>30</v>
      </c>
    </row>
    <row r="910" spans="1:12" x14ac:dyDescent="0.25">
      <c r="A910" s="1">
        <v>909</v>
      </c>
      <c r="B910" s="1">
        <v>268</v>
      </c>
      <c r="C910" s="232" t="s">
        <v>3483</v>
      </c>
      <c r="D910" s="232" t="s">
        <v>2554</v>
      </c>
      <c r="E910" s="1" t="s">
        <v>3560</v>
      </c>
      <c r="F910" s="232" t="s">
        <v>2601</v>
      </c>
      <c r="G910" s="1" t="s">
        <v>3539</v>
      </c>
      <c r="H910" s="232" t="s">
        <v>3435</v>
      </c>
      <c r="I910" s="233" t="s">
        <v>3436</v>
      </c>
      <c r="J910" s="14">
        <v>5</v>
      </c>
      <c r="K910" s="138">
        <v>3</v>
      </c>
      <c r="L910" s="138">
        <v>15</v>
      </c>
    </row>
    <row r="911" spans="1:12" x14ac:dyDescent="0.25">
      <c r="A911" s="1">
        <v>910</v>
      </c>
      <c r="B911" s="1">
        <v>268</v>
      </c>
      <c r="C911" s="232" t="s">
        <v>3485</v>
      </c>
      <c r="D911" s="232" t="s">
        <v>2554</v>
      </c>
      <c r="E911" s="1" t="s">
        <v>3560</v>
      </c>
      <c r="F911" s="232" t="s">
        <v>2607</v>
      </c>
      <c r="G911" s="1" t="s">
        <v>3541</v>
      </c>
      <c r="H911" s="232"/>
      <c r="I911" s="233"/>
      <c r="J911" s="14">
        <v>7000</v>
      </c>
      <c r="K911" s="138">
        <v>22</v>
      </c>
      <c r="L911" s="138">
        <v>154000</v>
      </c>
    </row>
    <row r="912" spans="1:12" x14ac:dyDescent="0.25">
      <c r="A912" s="1">
        <v>911</v>
      </c>
      <c r="B912" s="1">
        <v>269</v>
      </c>
      <c r="C912" s="232" t="s">
        <v>3489</v>
      </c>
      <c r="D912" s="232" t="s">
        <v>2556</v>
      </c>
      <c r="E912" s="1" t="s">
        <v>3562</v>
      </c>
      <c r="F912" s="232" t="s">
        <v>2619</v>
      </c>
      <c r="G912" s="1" t="s">
        <v>3550</v>
      </c>
      <c r="H912" s="232"/>
      <c r="I912" s="233"/>
      <c r="J912" s="14">
        <v>1</v>
      </c>
      <c r="K912" s="138">
        <v>95</v>
      </c>
      <c r="L912" s="138">
        <v>95</v>
      </c>
    </row>
    <row r="913" spans="1:12" x14ac:dyDescent="0.25">
      <c r="A913" s="1">
        <v>912</v>
      </c>
      <c r="B913" s="1">
        <v>269</v>
      </c>
      <c r="C913" s="232" t="s">
        <v>3509</v>
      </c>
      <c r="D913" s="232" t="s">
        <v>2556</v>
      </c>
      <c r="E913" s="1" t="s">
        <v>3562</v>
      </c>
      <c r="F913" s="232" t="s">
        <v>3009</v>
      </c>
      <c r="G913" s="1" t="s">
        <v>3552</v>
      </c>
      <c r="H913" s="232"/>
      <c r="I913" s="233"/>
      <c r="J913" s="14">
        <v>1</v>
      </c>
      <c r="K913" s="138">
        <v>3</v>
      </c>
      <c r="L913" s="138">
        <v>3</v>
      </c>
    </row>
    <row r="914" spans="1:12" x14ac:dyDescent="0.25">
      <c r="A914" s="1">
        <v>913</v>
      </c>
      <c r="B914" s="1">
        <v>269</v>
      </c>
      <c r="C914" s="232" t="s">
        <v>3508</v>
      </c>
      <c r="D914" s="232" t="s">
        <v>2556</v>
      </c>
      <c r="E914" s="1" t="s">
        <v>3562</v>
      </c>
      <c r="F914" s="232" t="s">
        <v>2900</v>
      </c>
      <c r="G914" s="1" t="s">
        <v>3553</v>
      </c>
      <c r="H914" s="232"/>
      <c r="I914" s="233"/>
      <c r="J914" s="14">
        <v>1</v>
      </c>
      <c r="K914" s="138">
        <v>4</v>
      </c>
      <c r="L914" s="138">
        <v>4</v>
      </c>
    </row>
    <row r="915" spans="1:12" x14ac:dyDescent="0.25">
      <c r="A915" s="1">
        <v>914</v>
      </c>
      <c r="B915" s="1">
        <v>270</v>
      </c>
      <c r="C915" s="232" t="s">
        <v>3474</v>
      </c>
      <c r="D915" s="232" t="s">
        <v>2552</v>
      </c>
      <c r="E915" s="1" t="s">
        <v>3558</v>
      </c>
      <c r="F915" s="232" t="s">
        <v>2574</v>
      </c>
      <c r="G915" s="1" t="s">
        <v>3521</v>
      </c>
      <c r="H915" s="232" t="s">
        <v>3437</v>
      </c>
      <c r="I915" s="233" t="s">
        <v>3438</v>
      </c>
      <c r="J915" s="14">
        <v>12</v>
      </c>
      <c r="K915" s="138">
        <v>77</v>
      </c>
      <c r="L915" s="138">
        <v>924</v>
      </c>
    </row>
    <row r="916" spans="1:12" x14ac:dyDescent="0.25">
      <c r="A916" s="1">
        <v>915</v>
      </c>
      <c r="B916" s="1">
        <v>270</v>
      </c>
      <c r="C916" s="232" t="s">
        <v>3475</v>
      </c>
      <c r="D916" s="232" t="s">
        <v>2552</v>
      </c>
      <c r="E916" s="1" t="s">
        <v>3558</v>
      </c>
      <c r="F916" s="232" t="s">
        <v>2577</v>
      </c>
      <c r="G916" s="1" t="s">
        <v>3523</v>
      </c>
      <c r="H916" s="232" t="s">
        <v>3439</v>
      </c>
      <c r="I916" s="233" t="s">
        <v>3440</v>
      </c>
      <c r="J916" s="14">
        <v>12</v>
      </c>
      <c r="K916" s="138">
        <v>42</v>
      </c>
      <c r="L916" s="138">
        <v>504</v>
      </c>
    </row>
    <row r="917" spans="1:12" x14ac:dyDescent="0.25">
      <c r="A917" s="1">
        <v>916</v>
      </c>
      <c r="B917" s="1">
        <v>270</v>
      </c>
      <c r="C917" s="232" t="s">
        <v>3476</v>
      </c>
      <c r="D917" s="232" t="s">
        <v>2552</v>
      </c>
      <c r="E917" s="1" t="s">
        <v>3558</v>
      </c>
      <c r="F917" s="232" t="s">
        <v>2580</v>
      </c>
      <c r="G917" s="1" t="s">
        <v>3524</v>
      </c>
      <c r="H917" s="232" t="s">
        <v>3441</v>
      </c>
      <c r="I917" s="233" t="s">
        <v>3442</v>
      </c>
      <c r="J917" s="14">
        <v>12</v>
      </c>
      <c r="K917" s="138">
        <v>6</v>
      </c>
      <c r="L917" s="138">
        <v>72</v>
      </c>
    </row>
    <row r="918" spans="1:12" x14ac:dyDescent="0.25">
      <c r="A918" s="1">
        <v>917</v>
      </c>
      <c r="B918" s="1">
        <v>271</v>
      </c>
      <c r="C918" s="232" t="s">
        <v>3477</v>
      </c>
      <c r="D918" s="232" t="s">
        <v>2553</v>
      </c>
      <c r="E918" s="1" t="s">
        <v>3559</v>
      </c>
      <c r="F918" s="232" t="s">
        <v>2583</v>
      </c>
      <c r="G918" s="1" t="s">
        <v>3527</v>
      </c>
      <c r="H918" s="232"/>
      <c r="I918" s="233"/>
      <c r="J918" s="14">
        <v>2</v>
      </c>
      <c r="K918" s="138">
        <v>20</v>
      </c>
      <c r="L918" s="138">
        <v>40</v>
      </c>
    </row>
    <row r="919" spans="1:12" x14ac:dyDescent="0.25">
      <c r="A919" s="1">
        <v>918</v>
      </c>
      <c r="B919" s="1">
        <v>271</v>
      </c>
      <c r="C919" s="232" t="s">
        <v>3478</v>
      </c>
      <c r="D919" s="232" t="s">
        <v>2553</v>
      </c>
      <c r="E919" s="1" t="s">
        <v>3559</v>
      </c>
      <c r="F919" s="232" t="s">
        <v>2586</v>
      </c>
      <c r="G919" s="1" t="s">
        <v>3528</v>
      </c>
      <c r="H919" s="232"/>
      <c r="I919" s="233"/>
      <c r="J919" s="14">
        <v>20</v>
      </c>
      <c r="K919" s="138">
        <v>18</v>
      </c>
      <c r="L919" s="138">
        <v>360</v>
      </c>
    </row>
    <row r="920" spans="1:12" x14ac:dyDescent="0.25">
      <c r="A920" s="1">
        <v>919</v>
      </c>
      <c r="B920" s="1">
        <v>271</v>
      </c>
      <c r="C920" s="232" t="s">
        <v>3490</v>
      </c>
      <c r="D920" s="232" t="s">
        <v>2553</v>
      </c>
      <c r="E920" s="1" t="s">
        <v>3559</v>
      </c>
      <c r="F920" s="232" t="s">
        <v>2630</v>
      </c>
      <c r="G920" s="1" t="s">
        <v>3529</v>
      </c>
      <c r="H920" s="232"/>
      <c r="I920" s="233"/>
      <c r="J920" s="14">
        <v>100</v>
      </c>
      <c r="K920" s="138">
        <v>18</v>
      </c>
      <c r="L920" s="138">
        <v>1800</v>
      </c>
    </row>
    <row r="921" spans="1:12" x14ac:dyDescent="0.25">
      <c r="A921" s="1">
        <v>920</v>
      </c>
      <c r="B921" s="1">
        <v>271</v>
      </c>
      <c r="C921" s="232" t="s">
        <v>3479</v>
      </c>
      <c r="D921" s="232" t="s">
        <v>2553</v>
      </c>
      <c r="E921" s="1" t="s">
        <v>3559</v>
      </c>
      <c r="F921" s="232" t="s">
        <v>2589</v>
      </c>
      <c r="G921" s="1" t="s">
        <v>3530</v>
      </c>
      <c r="H921" s="232"/>
      <c r="I921" s="233"/>
      <c r="J921" s="14">
        <v>1</v>
      </c>
      <c r="K921" s="138">
        <v>70</v>
      </c>
      <c r="L921" s="138">
        <v>70</v>
      </c>
    </row>
    <row r="922" spans="1:12" x14ac:dyDescent="0.25">
      <c r="A922" s="1">
        <v>921</v>
      </c>
      <c r="B922" s="1">
        <v>271</v>
      </c>
      <c r="C922" s="232" t="s">
        <v>3480</v>
      </c>
      <c r="D922" s="232" t="s">
        <v>2553</v>
      </c>
      <c r="E922" s="1" t="s">
        <v>3559</v>
      </c>
      <c r="F922" s="232" t="s">
        <v>2592</v>
      </c>
      <c r="G922" s="1" t="s">
        <v>3533</v>
      </c>
      <c r="H922" s="232"/>
      <c r="I922" s="233"/>
      <c r="J922" s="14">
        <v>2</v>
      </c>
      <c r="K922" s="138">
        <v>7</v>
      </c>
      <c r="L922" s="138">
        <v>14</v>
      </c>
    </row>
    <row r="923" spans="1:12" x14ac:dyDescent="0.25">
      <c r="A923" s="1">
        <v>922</v>
      </c>
      <c r="B923" s="1">
        <v>271</v>
      </c>
      <c r="C923" s="232" t="s">
        <v>3493</v>
      </c>
      <c r="D923" s="232" t="s">
        <v>2553</v>
      </c>
      <c r="E923" s="1" t="s">
        <v>3559</v>
      </c>
      <c r="F923" s="232" t="s">
        <v>2689</v>
      </c>
      <c r="G923" s="1" t="s">
        <v>3534</v>
      </c>
      <c r="H923" s="232"/>
      <c r="I923" s="233"/>
      <c r="J923" s="14">
        <v>1</v>
      </c>
      <c r="K923" s="138">
        <v>50</v>
      </c>
      <c r="L923" s="138">
        <v>50</v>
      </c>
    </row>
    <row r="924" spans="1:12" x14ac:dyDescent="0.25">
      <c r="A924" s="1">
        <v>923</v>
      </c>
      <c r="B924" s="1">
        <v>272</v>
      </c>
      <c r="C924" s="232" t="s">
        <v>3477</v>
      </c>
      <c r="D924" s="232" t="s">
        <v>2553</v>
      </c>
      <c r="E924" s="1" t="s">
        <v>3559</v>
      </c>
      <c r="F924" s="232" t="s">
        <v>2583</v>
      </c>
      <c r="G924" s="1" t="s">
        <v>3527</v>
      </c>
      <c r="H924" s="232"/>
      <c r="I924" s="233"/>
      <c r="J924" s="14">
        <v>50</v>
      </c>
      <c r="K924" s="138">
        <v>20</v>
      </c>
      <c r="L924" s="138">
        <v>1000</v>
      </c>
    </row>
    <row r="925" spans="1:12" x14ac:dyDescent="0.25">
      <c r="A925" s="1">
        <v>924</v>
      </c>
      <c r="B925" s="1">
        <v>272</v>
      </c>
      <c r="C925" s="232" t="s">
        <v>3478</v>
      </c>
      <c r="D925" s="232" t="s">
        <v>2553</v>
      </c>
      <c r="E925" s="1" t="s">
        <v>3559</v>
      </c>
      <c r="F925" s="232" t="s">
        <v>2586</v>
      </c>
      <c r="G925" s="1" t="s">
        <v>3528</v>
      </c>
      <c r="H925" s="232" t="s">
        <v>3443</v>
      </c>
      <c r="I925" s="233" t="s">
        <v>3444</v>
      </c>
      <c r="J925" s="14">
        <v>50</v>
      </c>
      <c r="K925" s="138">
        <v>18</v>
      </c>
      <c r="L925" s="138">
        <v>900</v>
      </c>
    </row>
    <row r="926" spans="1:12" x14ac:dyDescent="0.25">
      <c r="A926" s="1">
        <v>925</v>
      </c>
      <c r="B926" s="1">
        <v>272</v>
      </c>
      <c r="C926" s="232" t="s">
        <v>3490</v>
      </c>
      <c r="D926" s="232" t="s">
        <v>2553</v>
      </c>
      <c r="E926" s="1" t="s">
        <v>3559</v>
      </c>
      <c r="F926" s="232" t="s">
        <v>2630</v>
      </c>
      <c r="G926" s="1" t="s">
        <v>3529</v>
      </c>
      <c r="H926" s="232" t="s">
        <v>3445</v>
      </c>
      <c r="I926" s="233" t="s">
        <v>3446</v>
      </c>
      <c r="J926" s="14">
        <v>50</v>
      </c>
      <c r="K926" s="138">
        <v>18</v>
      </c>
      <c r="L926" s="138">
        <v>900</v>
      </c>
    </row>
    <row r="927" spans="1:12" x14ac:dyDescent="0.25">
      <c r="A927" s="1">
        <v>926</v>
      </c>
      <c r="B927" s="1">
        <v>272</v>
      </c>
      <c r="C927" s="232" t="s">
        <v>3479</v>
      </c>
      <c r="D927" s="232" t="s">
        <v>2553</v>
      </c>
      <c r="E927" s="1" t="s">
        <v>3559</v>
      </c>
      <c r="F927" s="232" t="s">
        <v>2589</v>
      </c>
      <c r="G927" s="1" t="s">
        <v>3530</v>
      </c>
      <c r="H927" s="232" t="s">
        <v>3447</v>
      </c>
      <c r="I927" s="233" t="s">
        <v>3448</v>
      </c>
      <c r="J927" s="14">
        <v>2</v>
      </c>
      <c r="K927" s="138">
        <v>70</v>
      </c>
      <c r="L927" s="138">
        <v>140</v>
      </c>
    </row>
    <row r="928" spans="1:12" x14ac:dyDescent="0.25">
      <c r="A928" s="1">
        <v>927</v>
      </c>
      <c r="B928" s="1">
        <v>272</v>
      </c>
      <c r="C928" s="232" t="s">
        <v>3491</v>
      </c>
      <c r="D928" s="232" t="s">
        <v>2553</v>
      </c>
      <c r="E928" s="1" t="s">
        <v>3559</v>
      </c>
      <c r="F928" s="232" t="s">
        <v>2635</v>
      </c>
      <c r="G928" s="1" t="s">
        <v>3531</v>
      </c>
      <c r="H928" s="232" t="s">
        <v>3449</v>
      </c>
      <c r="I928" s="233" t="s">
        <v>3450</v>
      </c>
      <c r="J928" s="14">
        <v>1</v>
      </c>
      <c r="K928" s="138">
        <v>40</v>
      </c>
      <c r="L928" s="138">
        <v>40</v>
      </c>
    </row>
    <row r="929" spans="1:12" x14ac:dyDescent="0.25">
      <c r="A929" s="1">
        <v>928</v>
      </c>
      <c r="B929" s="1">
        <v>272</v>
      </c>
      <c r="C929" s="232" t="s">
        <v>3499</v>
      </c>
      <c r="D929" s="232" t="s">
        <v>2553</v>
      </c>
      <c r="E929" s="1" t="s">
        <v>3559</v>
      </c>
      <c r="F929" s="232" t="s">
        <v>2775</v>
      </c>
      <c r="G929" s="1" t="s">
        <v>3532</v>
      </c>
      <c r="H929" s="232"/>
      <c r="I929" s="233"/>
      <c r="J929" s="14">
        <v>1</v>
      </c>
      <c r="K929" s="138">
        <v>100</v>
      </c>
      <c r="L929" s="138">
        <v>100</v>
      </c>
    </row>
    <row r="930" spans="1:12" x14ac:dyDescent="0.25">
      <c r="A930" s="1">
        <v>929</v>
      </c>
      <c r="B930" s="1">
        <v>272</v>
      </c>
      <c r="C930" s="232" t="s">
        <v>3480</v>
      </c>
      <c r="D930" s="232" t="s">
        <v>2553</v>
      </c>
      <c r="E930" s="1" t="s">
        <v>3559</v>
      </c>
      <c r="F930" s="232" t="s">
        <v>2592</v>
      </c>
      <c r="G930" s="1" t="s">
        <v>3533</v>
      </c>
      <c r="H930" s="232"/>
      <c r="I930" s="233"/>
      <c r="J930" s="14">
        <v>2</v>
      </c>
      <c r="K930" s="138">
        <v>7</v>
      </c>
      <c r="L930" s="138">
        <v>14</v>
      </c>
    </row>
    <row r="931" spans="1:12" x14ac:dyDescent="0.25">
      <c r="A931" s="1">
        <v>930</v>
      </c>
      <c r="B931" s="1">
        <v>272</v>
      </c>
      <c r="C931" s="232" t="s">
        <v>3493</v>
      </c>
      <c r="D931" s="232" t="s">
        <v>2553</v>
      </c>
      <c r="E931" s="1" t="s">
        <v>3559</v>
      </c>
      <c r="F931" s="232" t="s">
        <v>2689</v>
      </c>
      <c r="G931" s="1" t="s">
        <v>3534</v>
      </c>
      <c r="H931" s="232"/>
      <c r="I931" s="233"/>
      <c r="J931" s="14">
        <v>1</v>
      </c>
      <c r="K931" s="138">
        <v>50</v>
      </c>
      <c r="L931" s="138">
        <v>50</v>
      </c>
    </row>
    <row r="932" spans="1:12" x14ac:dyDescent="0.25">
      <c r="A932" s="1">
        <v>931</v>
      </c>
      <c r="B932" s="1">
        <v>273</v>
      </c>
      <c r="C932" s="232" t="s">
        <v>3478</v>
      </c>
      <c r="D932" s="232" t="s">
        <v>2553</v>
      </c>
      <c r="E932" s="1" t="s">
        <v>3559</v>
      </c>
      <c r="F932" s="232" t="s">
        <v>2586</v>
      </c>
      <c r="G932" s="1" t="s">
        <v>3528</v>
      </c>
      <c r="H932" s="232"/>
      <c r="I932" s="233"/>
      <c r="J932" s="14">
        <v>10</v>
      </c>
      <c r="K932" s="138">
        <v>18</v>
      </c>
      <c r="L932" s="138">
        <v>180</v>
      </c>
    </row>
    <row r="933" spans="1:12" x14ac:dyDescent="0.25">
      <c r="A933" s="1">
        <v>932</v>
      </c>
      <c r="B933" s="1">
        <v>274</v>
      </c>
      <c r="C933" s="232" t="s">
        <v>3481</v>
      </c>
      <c r="D933" s="232" t="s">
        <v>2554</v>
      </c>
      <c r="E933" s="1" t="s">
        <v>3560</v>
      </c>
      <c r="F933" s="232" t="s">
        <v>2595</v>
      </c>
      <c r="G933" s="1" t="s">
        <v>3537</v>
      </c>
      <c r="H933" s="232"/>
      <c r="I933" s="233"/>
      <c r="J933" s="14">
        <v>4</v>
      </c>
      <c r="K933" s="138">
        <v>0.5</v>
      </c>
      <c r="L933" s="138">
        <v>2</v>
      </c>
    </row>
    <row r="934" spans="1:12" x14ac:dyDescent="0.25">
      <c r="A934" s="1">
        <v>933</v>
      </c>
      <c r="B934" s="1">
        <v>274</v>
      </c>
      <c r="C934" s="232" t="s">
        <v>3482</v>
      </c>
      <c r="D934" s="232" t="s">
        <v>2554</v>
      </c>
      <c r="E934" s="1" t="s">
        <v>3560</v>
      </c>
      <c r="F934" s="232" t="s">
        <v>2598</v>
      </c>
      <c r="G934" s="1" t="s">
        <v>3538</v>
      </c>
      <c r="H934" s="232"/>
      <c r="I934" s="233"/>
      <c r="J934" s="14">
        <v>6</v>
      </c>
      <c r="K934" s="138">
        <v>3</v>
      </c>
      <c r="L934" s="138">
        <v>18</v>
      </c>
    </row>
    <row r="935" spans="1:12" x14ac:dyDescent="0.25">
      <c r="A935" s="1">
        <v>934</v>
      </c>
      <c r="B935" s="1">
        <v>274</v>
      </c>
      <c r="C935" s="232" t="s">
        <v>3500</v>
      </c>
      <c r="D935" s="232" t="s">
        <v>2554</v>
      </c>
      <c r="E935" s="1" t="s">
        <v>3560</v>
      </c>
      <c r="F935" s="232" t="s">
        <v>2782</v>
      </c>
      <c r="G935" s="1" t="s">
        <v>3536</v>
      </c>
      <c r="H935" s="232"/>
      <c r="I935" s="233"/>
      <c r="J935" s="14">
        <v>5</v>
      </c>
      <c r="K935" s="138">
        <v>10</v>
      </c>
      <c r="L935" s="138">
        <v>50</v>
      </c>
    </row>
    <row r="936" spans="1:12" x14ac:dyDescent="0.25">
      <c r="A936" s="1">
        <v>935</v>
      </c>
      <c r="B936" s="1">
        <v>275</v>
      </c>
      <c r="C936" s="232" t="s">
        <v>3501</v>
      </c>
      <c r="D936" s="232" t="s">
        <v>2555</v>
      </c>
      <c r="E936" s="1" t="s">
        <v>3561</v>
      </c>
      <c r="F936" s="232" t="s">
        <v>2785</v>
      </c>
      <c r="G936" s="1" t="s">
        <v>3546</v>
      </c>
      <c r="H936" s="232"/>
      <c r="I936" s="233"/>
      <c r="J936" s="14">
        <v>4</v>
      </c>
      <c r="K936" s="138">
        <v>10</v>
      </c>
      <c r="L936" s="138">
        <v>40</v>
      </c>
    </row>
    <row r="937" spans="1:12" x14ac:dyDescent="0.25">
      <c r="A937" s="1">
        <v>936</v>
      </c>
      <c r="B937" s="1">
        <v>275</v>
      </c>
      <c r="C937" s="232" t="s">
        <v>3507</v>
      </c>
      <c r="D937" s="232" t="s">
        <v>2555</v>
      </c>
      <c r="E937" s="1" t="s">
        <v>3561</v>
      </c>
      <c r="F937" s="232" t="s">
        <v>2863</v>
      </c>
      <c r="G937" s="1" t="s">
        <v>3548</v>
      </c>
      <c r="H937" s="232"/>
      <c r="I937" s="233"/>
      <c r="J937" s="14">
        <v>4</v>
      </c>
      <c r="K937" s="138">
        <v>10</v>
      </c>
      <c r="L937" s="138">
        <v>40</v>
      </c>
    </row>
    <row r="938" spans="1:12" x14ac:dyDescent="0.25">
      <c r="A938" s="1">
        <v>937</v>
      </c>
      <c r="B938" s="1">
        <v>275</v>
      </c>
      <c r="C938" s="232" t="s">
        <v>3488</v>
      </c>
      <c r="D938" s="232" t="s">
        <v>2555</v>
      </c>
      <c r="E938" s="1" t="s">
        <v>3561</v>
      </c>
      <c r="F938" s="232" t="s">
        <v>2616</v>
      </c>
      <c r="G938" s="1" t="s">
        <v>3549</v>
      </c>
      <c r="H938" s="232"/>
      <c r="I938" s="233"/>
      <c r="J938" s="14">
        <v>4</v>
      </c>
      <c r="K938" s="138">
        <v>3</v>
      </c>
      <c r="L938" s="138">
        <v>12</v>
      </c>
    </row>
    <row r="939" spans="1:12" x14ac:dyDescent="0.25">
      <c r="A939" s="1">
        <v>938</v>
      </c>
      <c r="B939" s="1">
        <v>276</v>
      </c>
      <c r="C939" s="232" t="s">
        <v>3489</v>
      </c>
      <c r="D939" s="232" t="s">
        <v>2556</v>
      </c>
      <c r="E939" s="1" t="s">
        <v>3562</v>
      </c>
      <c r="F939" s="232" t="s">
        <v>2619</v>
      </c>
      <c r="G939" s="1" t="s">
        <v>3550</v>
      </c>
      <c r="H939" s="232"/>
      <c r="I939" s="233"/>
      <c r="J939" s="14">
        <v>1</v>
      </c>
      <c r="K939" s="138">
        <v>95</v>
      </c>
      <c r="L939" s="138">
        <v>95</v>
      </c>
    </row>
    <row r="940" spans="1:12" x14ac:dyDescent="0.25">
      <c r="A940" s="1">
        <v>939</v>
      </c>
      <c r="B940" s="1">
        <v>276</v>
      </c>
      <c r="C940" s="232" t="s">
        <v>3509</v>
      </c>
      <c r="D940" s="232" t="s">
        <v>2556</v>
      </c>
      <c r="E940" s="1" t="s">
        <v>3562</v>
      </c>
      <c r="F940" s="232" t="s">
        <v>3009</v>
      </c>
      <c r="G940" s="1" t="s">
        <v>3552</v>
      </c>
      <c r="H940" s="232"/>
      <c r="I940" s="233"/>
      <c r="J940" s="14">
        <v>1</v>
      </c>
      <c r="K940" s="138">
        <v>3</v>
      </c>
      <c r="L940" s="138">
        <v>3</v>
      </c>
    </row>
    <row r="941" spans="1:12" x14ac:dyDescent="0.25">
      <c r="A941" s="1">
        <v>940</v>
      </c>
      <c r="B941" s="1">
        <v>277</v>
      </c>
      <c r="C941" s="232" t="s">
        <v>3504</v>
      </c>
      <c r="D941" s="232" t="s">
        <v>2557</v>
      </c>
      <c r="E941" s="1" t="s">
        <v>3563</v>
      </c>
      <c r="F941" s="232" t="s">
        <v>2794</v>
      </c>
      <c r="G941" s="1" t="s">
        <v>3555</v>
      </c>
      <c r="H941" s="232"/>
      <c r="I941" s="233"/>
      <c r="J941" s="14">
        <v>1</v>
      </c>
      <c r="K941" s="138">
        <v>1.7</v>
      </c>
      <c r="L941" s="138">
        <v>1.7</v>
      </c>
    </row>
    <row r="942" spans="1:12" x14ac:dyDescent="0.25">
      <c r="A942" s="1">
        <v>941</v>
      </c>
      <c r="B942" s="1">
        <v>278</v>
      </c>
      <c r="C942" s="232" t="s">
        <v>3470</v>
      </c>
      <c r="D942" s="232" t="s">
        <v>2552</v>
      </c>
      <c r="E942" s="1" t="s">
        <v>3558</v>
      </c>
      <c r="F942" s="232" t="s">
        <v>2562</v>
      </c>
      <c r="G942" s="1" t="s">
        <v>3514</v>
      </c>
      <c r="H942" s="232"/>
      <c r="I942" s="233"/>
      <c r="J942" s="14">
        <v>3</v>
      </c>
      <c r="K942" s="138">
        <v>6</v>
      </c>
      <c r="L942" s="138">
        <v>18</v>
      </c>
    </row>
    <row r="943" spans="1:12" x14ac:dyDescent="0.25">
      <c r="A943" s="1">
        <v>942</v>
      </c>
      <c r="B943" s="1">
        <v>279</v>
      </c>
      <c r="C943" s="232" t="s">
        <v>3477</v>
      </c>
      <c r="D943" s="232" t="s">
        <v>2553</v>
      </c>
      <c r="E943" s="1" t="s">
        <v>3559</v>
      </c>
      <c r="F943" s="232" t="s">
        <v>2583</v>
      </c>
      <c r="G943" s="1" t="s">
        <v>3527</v>
      </c>
      <c r="H943" s="232"/>
      <c r="I943" s="233"/>
      <c r="J943" s="14">
        <v>2</v>
      </c>
      <c r="K943" s="138">
        <v>20</v>
      </c>
      <c r="L943" s="138">
        <v>40</v>
      </c>
    </row>
    <row r="944" spans="1:12" x14ac:dyDescent="0.25">
      <c r="A944" s="1">
        <v>943</v>
      </c>
      <c r="B944" s="1">
        <v>279</v>
      </c>
      <c r="C944" s="232" t="s">
        <v>3478</v>
      </c>
      <c r="D944" s="232" t="s">
        <v>2553</v>
      </c>
      <c r="E944" s="1" t="s">
        <v>3559</v>
      </c>
      <c r="F944" s="232" t="s">
        <v>2586</v>
      </c>
      <c r="G944" s="1" t="s">
        <v>3528</v>
      </c>
      <c r="H944" s="232"/>
      <c r="I944" s="233"/>
      <c r="J944" s="14">
        <v>10</v>
      </c>
      <c r="K944" s="138">
        <v>18</v>
      </c>
      <c r="L944" s="138">
        <v>180</v>
      </c>
    </row>
    <row r="945" spans="1:12" x14ac:dyDescent="0.25">
      <c r="A945" s="1">
        <v>944</v>
      </c>
      <c r="B945" s="1">
        <v>279</v>
      </c>
      <c r="C945" s="232" t="s">
        <v>3490</v>
      </c>
      <c r="D945" s="232" t="s">
        <v>2553</v>
      </c>
      <c r="E945" s="1" t="s">
        <v>3559</v>
      </c>
      <c r="F945" s="232" t="s">
        <v>2630</v>
      </c>
      <c r="G945" s="1" t="s">
        <v>3529</v>
      </c>
      <c r="H945" s="232"/>
      <c r="I945" s="233"/>
      <c r="J945" s="14">
        <v>50</v>
      </c>
      <c r="K945" s="138">
        <v>18</v>
      </c>
      <c r="L945" s="138">
        <v>900</v>
      </c>
    </row>
    <row r="946" spans="1:12" x14ac:dyDescent="0.25">
      <c r="A946" s="1">
        <v>945</v>
      </c>
      <c r="B946" s="1">
        <v>279</v>
      </c>
      <c r="C946" s="232" t="s">
        <v>3479</v>
      </c>
      <c r="D946" s="232" t="s">
        <v>2553</v>
      </c>
      <c r="E946" s="1" t="s">
        <v>3559</v>
      </c>
      <c r="F946" s="232" t="s">
        <v>2589</v>
      </c>
      <c r="G946" s="1" t="s">
        <v>3530</v>
      </c>
      <c r="H946" s="232"/>
      <c r="I946" s="233"/>
      <c r="J946" s="14">
        <v>1</v>
      </c>
      <c r="K946" s="138">
        <v>70</v>
      </c>
      <c r="L946" s="138">
        <v>70</v>
      </c>
    </row>
    <row r="947" spans="1:12" x14ac:dyDescent="0.25">
      <c r="A947" s="1">
        <v>946</v>
      </c>
      <c r="B947" s="1">
        <v>279</v>
      </c>
      <c r="C947" s="232" t="s">
        <v>3491</v>
      </c>
      <c r="D947" s="232" t="s">
        <v>2553</v>
      </c>
      <c r="E947" s="1" t="s">
        <v>3559</v>
      </c>
      <c r="F947" s="232" t="s">
        <v>2635</v>
      </c>
      <c r="G947" s="1" t="s">
        <v>3531</v>
      </c>
      <c r="H947" s="232"/>
      <c r="I947" s="233"/>
      <c r="J947" s="14">
        <v>1</v>
      </c>
      <c r="K947" s="138">
        <v>40</v>
      </c>
      <c r="L947" s="138">
        <v>40</v>
      </c>
    </row>
    <row r="948" spans="1:12" x14ac:dyDescent="0.25">
      <c r="A948" s="1">
        <v>947</v>
      </c>
      <c r="B948" s="1">
        <v>279</v>
      </c>
      <c r="C948" s="232" t="s">
        <v>3480</v>
      </c>
      <c r="D948" s="232" t="s">
        <v>2553</v>
      </c>
      <c r="E948" s="1" t="s">
        <v>3559</v>
      </c>
      <c r="F948" s="232" t="s">
        <v>2592</v>
      </c>
      <c r="G948" s="1" t="s">
        <v>3533</v>
      </c>
      <c r="H948" s="232"/>
      <c r="I948" s="233"/>
      <c r="J948" s="14">
        <v>2</v>
      </c>
      <c r="K948" s="138">
        <v>7</v>
      </c>
      <c r="L948" s="138">
        <v>14</v>
      </c>
    </row>
    <row r="949" spans="1:12" x14ac:dyDescent="0.25">
      <c r="A949" s="1">
        <v>948</v>
      </c>
      <c r="B949" s="1">
        <v>279</v>
      </c>
      <c r="C949" s="232" t="s">
        <v>3493</v>
      </c>
      <c r="D949" s="232" t="s">
        <v>2553</v>
      </c>
      <c r="E949" s="1" t="s">
        <v>3559</v>
      </c>
      <c r="F949" s="232" t="s">
        <v>2689</v>
      </c>
      <c r="G949" s="1" t="s">
        <v>3534</v>
      </c>
      <c r="H949" s="232"/>
      <c r="I949" s="233"/>
      <c r="J949" s="14">
        <v>1</v>
      </c>
      <c r="K949" s="138">
        <v>50</v>
      </c>
      <c r="L949" s="138">
        <v>50</v>
      </c>
    </row>
    <row r="950" spans="1:12" x14ac:dyDescent="0.25">
      <c r="A950" s="1">
        <v>949</v>
      </c>
      <c r="B950" s="1">
        <v>280</v>
      </c>
      <c r="C950" s="232" t="s">
        <v>3500</v>
      </c>
      <c r="D950" s="232" t="s">
        <v>2554</v>
      </c>
      <c r="E950" s="1" t="s">
        <v>3560</v>
      </c>
      <c r="F950" s="232" t="s">
        <v>2782</v>
      </c>
      <c r="G950" s="1" t="s">
        <v>3536</v>
      </c>
      <c r="H950" s="232"/>
      <c r="I950" s="233"/>
      <c r="J950" s="14">
        <v>1</v>
      </c>
      <c r="K950" s="138">
        <v>10</v>
      </c>
      <c r="L950" s="138">
        <v>10</v>
      </c>
    </row>
    <row r="951" spans="1:12" x14ac:dyDescent="0.25">
      <c r="A951" s="1">
        <v>950</v>
      </c>
      <c r="B951" s="1">
        <v>280</v>
      </c>
      <c r="C951" s="232" t="s">
        <v>3481</v>
      </c>
      <c r="D951" s="232" t="s">
        <v>2554</v>
      </c>
      <c r="E951" s="1" t="s">
        <v>3560</v>
      </c>
      <c r="F951" s="232" t="s">
        <v>2595</v>
      </c>
      <c r="G951" s="1" t="s">
        <v>3537</v>
      </c>
      <c r="H951" s="232"/>
      <c r="I951" s="233"/>
      <c r="J951" s="14">
        <v>1</v>
      </c>
      <c r="K951" s="138">
        <v>0.5</v>
      </c>
      <c r="L951" s="138">
        <v>0.5</v>
      </c>
    </row>
    <row r="952" spans="1:12" x14ac:dyDescent="0.25">
      <c r="A952" s="1">
        <v>951</v>
      </c>
      <c r="B952" s="1">
        <v>280</v>
      </c>
      <c r="C952" s="232" t="s">
        <v>3482</v>
      </c>
      <c r="D952" s="232" t="s">
        <v>2554</v>
      </c>
      <c r="E952" s="1" t="s">
        <v>3560</v>
      </c>
      <c r="F952" s="232" t="s">
        <v>2598</v>
      </c>
      <c r="G952" s="1" t="s">
        <v>3538</v>
      </c>
      <c r="H952" s="232"/>
      <c r="I952" s="233"/>
      <c r="J952" s="14">
        <v>5</v>
      </c>
      <c r="K952" s="138">
        <v>3</v>
      </c>
      <c r="L952" s="138">
        <v>15</v>
      </c>
    </row>
    <row r="953" spans="1:12" x14ac:dyDescent="0.25">
      <c r="A953" s="1">
        <v>952</v>
      </c>
      <c r="B953" s="1">
        <v>280</v>
      </c>
      <c r="C953" s="232" t="s">
        <v>3483</v>
      </c>
      <c r="D953" s="232" t="s">
        <v>2554</v>
      </c>
      <c r="E953" s="1" t="s">
        <v>3560</v>
      </c>
      <c r="F953" s="232" t="s">
        <v>2601</v>
      </c>
      <c r="G953" s="1" t="s">
        <v>3539</v>
      </c>
      <c r="H953" s="232"/>
      <c r="I953" s="233"/>
      <c r="J953" s="14">
        <v>5</v>
      </c>
      <c r="K953" s="138">
        <v>3</v>
      </c>
      <c r="L953" s="138">
        <v>15</v>
      </c>
    </row>
    <row r="954" spans="1:12" x14ac:dyDescent="0.25">
      <c r="A954" s="1">
        <v>953</v>
      </c>
      <c r="B954" s="1">
        <v>281</v>
      </c>
      <c r="C954" s="232" t="s">
        <v>3496</v>
      </c>
      <c r="D954" s="232" t="s">
        <v>2552</v>
      </c>
      <c r="E954" s="1" t="s">
        <v>3558</v>
      </c>
      <c r="F954" s="232" t="s">
        <v>2750</v>
      </c>
      <c r="G954" s="1" t="s">
        <v>3519</v>
      </c>
      <c r="H954" s="232"/>
      <c r="I954" s="233"/>
      <c r="J954" s="14">
        <v>7</v>
      </c>
      <c r="K954" s="138">
        <v>25</v>
      </c>
      <c r="L954" s="138">
        <v>175</v>
      </c>
    </row>
    <row r="955" spans="1:12" x14ac:dyDescent="0.25">
      <c r="A955" s="1">
        <v>954</v>
      </c>
      <c r="B955" s="1">
        <v>281</v>
      </c>
      <c r="C955" s="232" t="s">
        <v>3497</v>
      </c>
      <c r="D955" s="232" t="s">
        <v>2552</v>
      </c>
      <c r="E955" s="1" t="s">
        <v>3558</v>
      </c>
      <c r="F955" s="232" t="s">
        <v>2753</v>
      </c>
      <c r="G955" s="1" t="s">
        <v>3520</v>
      </c>
      <c r="H955" s="232"/>
      <c r="I955" s="233"/>
      <c r="J955" s="14">
        <v>7</v>
      </c>
      <c r="K955" s="138">
        <v>10</v>
      </c>
      <c r="L955" s="138">
        <v>70</v>
      </c>
    </row>
    <row r="956" spans="1:12" x14ac:dyDescent="0.25">
      <c r="A956" s="1">
        <v>955</v>
      </c>
      <c r="B956" s="1">
        <v>281</v>
      </c>
      <c r="C956" s="232" t="s">
        <v>3474</v>
      </c>
      <c r="D956" s="232" t="s">
        <v>2552</v>
      </c>
      <c r="E956" s="1" t="s">
        <v>3558</v>
      </c>
      <c r="F956" s="232" t="s">
        <v>2574</v>
      </c>
      <c r="G956" s="1" t="s">
        <v>3521</v>
      </c>
      <c r="H956" s="232"/>
      <c r="I956" s="233"/>
      <c r="J956" s="14">
        <v>7</v>
      </c>
      <c r="K956" s="138">
        <v>77</v>
      </c>
      <c r="L956" s="138">
        <v>539</v>
      </c>
    </row>
    <row r="957" spans="1:12" x14ac:dyDescent="0.25">
      <c r="A957" s="1">
        <v>956</v>
      </c>
      <c r="B957" s="1">
        <v>281</v>
      </c>
      <c r="C957" s="232" t="s">
        <v>3475</v>
      </c>
      <c r="D957" s="232" t="s">
        <v>2552</v>
      </c>
      <c r="E957" s="1" t="s">
        <v>3558</v>
      </c>
      <c r="F957" s="232" t="s">
        <v>2577</v>
      </c>
      <c r="G957" s="1" t="s">
        <v>3523</v>
      </c>
      <c r="H957" s="232"/>
      <c r="I957" s="233"/>
      <c r="J957" s="14">
        <v>7</v>
      </c>
      <c r="K957" s="138">
        <v>42</v>
      </c>
      <c r="L957" s="138">
        <v>294</v>
      </c>
    </row>
    <row r="958" spans="1:12" x14ac:dyDescent="0.25">
      <c r="A958" s="1">
        <v>957</v>
      </c>
      <c r="B958" s="1">
        <v>282</v>
      </c>
      <c r="C958" s="232" t="s">
        <v>3477</v>
      </c>
      <c r="D958" s="232" t="s">
        <v>2553</v>
      </c>
      <c r="E958" s="1" t="s">
        <v>3559</v>
      </c>
      <c r="F958" s="232" t="s">
        <v>2583</v>
      </c>
      <c r="G958" s="1" t="s">
        <v>3527</v>
      </c>
      <c r="H958" s="232"/>
      <c r="I958" s="233"/>
      <c r="J958" s="14">
        <v>2</v>
      </c>
      <c r="K958" s="138">
        <v>20</v>
      </c>
      <c r="L958" s="138">
        <v>40</v>
      </c>
    </row>
    <row r="959" spans="1:12" x14ac:dyDescent="0.25">
      <c r="A959" s="1">
        <v>958</v>
      </c>
      <c r="B959" s="1">
        <v>282</v>
      </c>
      <c r="C959" s="232" t="s">
        <v>3480</v>
      </c>
      <c r="D959" s="232" t="s">
        <v>2553</v>
      </c>
      <c r="E959" s="1" t="s">
        <v>3559</v>
      </c>
      <c r="F959" s="232" t="s">
        <v>2592</v>
      </c>
      <c r="G959" s="1" t="s">
        <v>3533</v>
      </c>
      <c r="H959" s="232"/>
      <c r="I959" s="233"/>
      <c r="J959" s="14">
        <v>1</v>
      </c>
      <c r="K959" s="138">
        <v>7</v>
      </c>
      <c r="L959" s="138">
        <v>7</v>
      </c>
    </row>
    <row r="960" spans="1:12" x14ac:dyDescent="0.25">
      <c r="A960" s="1">
        <v>959</v>
      </c>
      <c r="B960" s="1">
        <v>283</v>
      </c>
      <c r="C960" s="232" t="s">
        <v>3481</v>
      </c>
      <c r="D960" s="232" t="s">
        <v>2554</v>
      </c>
      <c r="E960" s="1" t="s">
        <v>3560</v>
      </c>
      <c r="F960" s="232" t="s">
        <v>2595</v>
      </c>
      <c r="G960" s="1" t="s">
        <v>3537</v>
      </c>
      <c r="H960" s="232"/>
      <c r="I960" s="233"/>
      <c r="J960" s="14">
        <v>1</v>
      </c>
      <c r="K960" s="138">
        <v>0.5</v>
      </c>
      <c r="L960" s="138">
        <v>0.5</v>
      </c>
    </row>
    <row r="961" spans="1:12" x14ac:dyDescent="0.25">
      <c r="A961" s="1">
        <v>960</v>
      </c>
      <c r="B961" s="1">
        <v>283</v>
      </c>
      <c r="C961" s="232" t="s">
        <v>3482</v>
      </c>
      <c r="D961" s="232" t="s">
        <v>2554</v>
      </c>
      <c r="E961" s="1" t="s">
        <v>3560</v>
      </c>
      <c r="F961" s="232" t="s">
        <v>2598</v>
      </c>
      <c r="G961" s="1" t="s">
        <v>3538</v>
      </c>
      <c r="H961" s="232"/>
      <c r="I961" s="233"/>
      <c r="J961" s="14">
        <v>7</v>
      </c>
      <c r="K961" s="138">
        <v>3</v>
      </c>
      <c r="L961" s="138">
        <v>21</v>
      </c>
    </row>
    <row r="962" spans="1:12" x14ac:dyDescent="0.25">
      <c r="A962" s="1">
        <v>961</v>
      </c>
      <c r="B962" s="1">
        <v>283</v>
      </c>
      <c r="C962" s="232" t="s">
        <v>3483</v>
      </c>
      <c r="D962" s="232" t="s">
        <v>2554</v>
      </c>
      <c r="E962" s="1" t="s">
        <v>3560</v>
      </c>
      <c r="F962" s="232" t="s">
        <v>2601</v>
      </c>
      <c r="G962" s="1" t="s">
        <v>3539</v>
      </c>
      <c r="H962" s="232"/>
      <c r="I962" s="233"/>
      <c r="J962" s="14">
        <v>7</v>
      </c>
      <c r="K962" s="138">
        <v>3</v>
      </c>
      <c r="L962" s="138">
        <v>21</v>
      </c>
    </row>
    <row r="963" spans="1:12" x14ac:dyDescent="0.25">
      <c r="A963" s="1">
        <v>962</v>
      </c>
      <c r="B963" s="1">
        <v>283</v>
      </c>
      <c r="C963" s="232" t="s">
        <v>3484</v>
      </c>
      <c r="D963" s="232" t="s">
        <v>2554</v>
      </c>
      <c r="E963" s="1" t="s">
        <v>3560</v>
      </c>
      <c r="F963" s="232" t="s">
        <v>2604</v>
      </c>
      <c r="G963" s="1" t="s">
        <v>3540</v>
      </c>
      <c r="H963" s="232"/>
      <c r="I963" s="233"/>
      <c r="J963" s="14">
        <v>1</v>
      </c>
      <c r="K963" s="138">
        <v>77</v>
      </c>
      <c r="L963" s="138">
        <v>77</v>
      </c>
    </row>
    <row r="964" spans="1:12" x14ac:dyDescent="0.25">
      <c r="A964" s="1">
        <v>963</v>
      </c>
      <c r="B964" s="1">
        <v>283</v>
      </c>
      <c r="C964" s="232" t="s">
        <v>3485</v>
      </c>
      <c r="D964" s="232" t="s">
        <v>2554</v>
      </c>
      <c r="E964" s="1" t="s">
        <v>3560</v>
      </c>
      <c r="F964" s="232" t="s">
        <v>2607</v>
      </c>
      <c r="G964" s="1" t="s">
        <v>3541</v>
      </c>
      <c r="H964" s="232"/>
      <c r="I964" s="233"/>
      <c r="J964" s="14">
        <v>1</v>
      </c>
      <c r="K964" s="138">
        <v>22</v>
      </c>
      <c r="L964" s="138">
        <v>22</v>
      </c>
    </row>
    <row r="965" spans="1:12" x14ac:dyDescent="0.25">
      <c r="A965" s="1">
        <v>964</v>
      </c>
      <c r="B965" s="1">
        <v>283</v>
      </c>
      <c r="C965" s="232" t="s">
        <v>3486</v>
      </c>
      <c r="D965" s="232" t="s">
        <v>2554</v>
      </c>
      <c r="E965" s="1" t="s">
        <v>3560</v>
      </c>
      <c r="F965" s="232" t="s">
        <v>2610</v>
      </c>
      <c r="G965" s="1" t="s">
        <v>3542</v>
      </c>
      <c r="H965" s="232"/>
      <c r="I965" s="233"/>
      <c r="J965" s="14">
        <v>1</v>
      </c>
      <c r="K965" s="138">
        <v>0.4</v>
      </c>
      <c r="L965" s="138">
        <v>0.4</v>
      </c>
    </row>
    <row r="966" spans="1:12" x14ac:dyDescent="0.25">
      <c r="A966" s="1">
        <v>965</v>
      </c>
      <c r="B966" s="1">
        <v>283</v>
      </c>
      <c r="C966" s="232" t="s">
        <v>3487</v>
      </c>
      <c r="D966" s="232" t="s">
        <v>2554</v>
      </c>
      <c r="E966" s="1" t="s">
        <v>3560</v>
      </c>
      <c r="F966" s="232" t="s">
        <v>2613</v>
      </c>
      <c r="G966" s="1" t="s">
        <v>3543</v>
      </c>
      <c r="H966" s="232"/>
      <c r="I966" s="233"/>
      <c r="J966" s="14">
        <v>2</v>
      </c>
      <c r="K966" s="138">
        <v>45</v>
      </c>
      <c r="L966" s="138">
        <v>90</v>
      </c>
    </row>
    <row r="967" spans="1:12" x14ac:dyDescent="0.25">
      <c r="A967" s="1">
        <v>966</v>
      </c>
      <c r="B967" s="1">
        <v>284</v>
      </c>
      <c r="C967" s="232" t="s">
        <v>3504</v>
      </c>
      <c r="D967" s="232" t="s">
        <v>2557</v>
      </c>
      <c r="E967" s="1" t="s">
        <v>3563</v>
      </c>
      <c r="F967" s="232" t="s">
        <v>2794</v>
      </c>
      <c r="G967" s="1" t="s">
        <v>3555</v>
      </c>
      <c r="H967" s="232"/>
      <c r="I967" s="233"/>
      <c r="J967" s="14">
        <v>1</v>
      </c>
      <c r="K967" s="138">
        <v>1.7</v>
      </c>
      <c r="L967" s="138">
        <v>1.7</v>
      </c>
    </row>
    <row r="968" spans="1:12" x14ac:dyDescent="0.25">
      <c r="A968" s="1">
        <v>967</v>
      </c>
      <c r="B968" s="1">
        <v>285</v>
      </c>
      <c r="C968" s="232" t="s">
        <v>3473</v>
      </c>
      <c r="D968" s="232" t="s">
        <v>2552</v>
      </c>
      <c r="E968" s="1" t="s">
        <v>3558</v>
      </c>
      <c r="F968" s="232" t="s">
        <v>2571</v>
      </c>
      <c r="G968" s="1" t="s">
        <v>3518</v>
      </c>
      <c r="H968" s="232"/>
      <c r="I968" s="233"/>
      <c r="J968" s="14">
        <v>10</v>
      </c>
      <c r="K968" s="138">
        <v>5</v>
      </c>
      <c r="L968" s="138">
        <v>50</v>
      </c>
    </row>
    <row r="969" spans="1:12" x14ac:dyDescent="0.25">
      <c r="A969" s="1">
        <v>968</v>
      </c>
      <c r="B969" s="1">
        <v>285</v>
      </c>
      <c r="C969" s="232" t="s">
        <v>3497</v>
      </c>
      <c r="D969" s="232" t="s">
        <v>2552</v>
      </c>
      <c r="E969" s="1" t="s">
        <v>3558</v>
      </c>
      <c r="F969" s="232" t="s">
        <v>2753</v>
      </c>
      <c r="G969" s="1" t="s">
        <v>3520</v>
      </c>
      <c r="H969" s="232"/>
      <c r="I969" s="233"/>
      <c r="J969" s="14">
        <v>3</v>
      </c>
      <c r="K969" s="138">
        <v>10</v>
      </c>
      <c r="L969" s="138">
        <v>30</v>
      </c>
    </row>
    <row r="970" spans="1:12" x14ac:dyDescent="0.25">
      <c r="A970" s="1">
        <v>969</v>
      </c>
      <c r="B970" s="1">
        <v>285</v>
      </c>
      <c r="C970" s="232" t="s">
        <v>3474</v>
      </c>
      <c r="D970" s="232" t="s">
        <v>2552</v>
      </c>
      <c r="E970" s="1" t="s">
        <v>3558</v>
      </c>
      <c r="F970" s="232" t="s">
        <v>2574</v>
      </c>
      <c r="G970" s="1" t="s">
        <v>3521</v>
      </c>
      <c r="H970" s="232"/>
      <c r="I970" s="233"/>
      <c r="J970" s="14">
        <v>3</v>
      </c>
      <c r="K970" s="138">
        <v>77</v>
      </c>
      <c r="L970" s="138">
        <v>231</v>
      </c>
    </row>
    <row r="971" spans="1:12" x14ac:dyDescent="0.25">
      <c r="A971" s="1">
        <v>970</v>
      </c>
      <c r="B971" s="1">
        <v>285</v>
      </c>
      <c r="C971" s="232" t="s">
        <v>3498</v>
      </c>
      <c r="D971" s="232" t="s">
        <v>2552</v>
      </c>
      <c r="E971" s="1" t="s">
        <v>3558</v>
      </c>
      <c r="F971" s="232" t="s">
        <v>2758</v>
      </c>
      <c r="G971" s="1" t="s">
        <v>3522</v>
      </c>
      <c r="H971" s="232"/>
      <c r="I971" s="233"/>
      <c r="J971" s="14">
        <v>3</v>
      </c>
      <c r="K971" s="138">
        <v>1.6</v>
      </c>
      <c r="L971" s="138">
        <v>4.8</v>
      </c>
    </row>
    <row r="972" spans="1:12" x14ac:dyDescent="0.25">
      <c r="A972" s="1">
        <v>971</v>
      </c>
      <c r="B972" s="1">
        <v>285</v>
      </c>
      <c r="C972" s="232" t="s">
        <v>3475</v>
      </c>
      <c r="D972" s="232" t="s">
        <v>2552</v>
      </c>
      <c r="E972" s="1" t="s">
        <v>3558</v>
      </c>
      <c r="F972" s="232" t="s">
        <v>2577</v>
      </c>
      <c r="G972" s="1" t="s">
        <v>3523</v>
      </c>
      <c r="H972" s="232"/>
      <c r="I972" s="233"/>
      <c r="J972" s="14">
        <v>3</v>
      </c>
      <c r="K972" s="138">
        <v>42</v>
      </c>
      <c r="L972" s="138">
        <v>126</v>
      </c>
    </row>
    <row r="973" spans="1:12" x14ac:dyDescent="0.25">
      <c r="A973" s="1">
        <v>972</v>
      </c>
      <c r="B973" s="1">
        <v>285</v>
      </c>
      <c r="C973" s="232" t="s">
        <v>3476</v>
      </c>
      <c r="D973" s="232" t="s">
        <v>2552</v>
      </c>
      <c r="E973" s="1" t="s">
        <v>3558</v>
      </c>
      <c r="F973" s="232" t="s">
        <v>2580</v>
      </c>
      <c r="G973" s="1" t="s">
        <v>3524</v>
      </c>
      <c r="H973" s="232"/>
      <c r="I973" s="233"/>
      <c r="J973" s="14">
        <v>5</v>
      </c>
      <c r="K973" s="138">
        <v>6</v>
      </c>
      <c r="L973" s="138">
        <v>30</v>
      </c>
    </row>
    <row r="974" spans="1:12" x14ac:dyDescent="0.25">
      <c r="A974" s="1">
        <v>973</v>
      </c>
      <c r="B974" s="1">
        <v>286</v>
      </c>
      <c r="C974" s="232" t="s">
        <v>3477</v>
      </c>
      <c r="D974" s="232" t="s">
        <v>2553</v>
      </c>
      <c r="E974" s="1" t="s">
        <v>3559</v>
      </c>
      <c r="F974" s="232" t="s">
        <v>2583</v>
      </c>
      <c r="G974" s="1" t="s">
        <v>3527</v>
      </c>
      <c r="H974" s="232"/>
      <c r="I974" s="233"/>
      <c r="J974" s="14">
        <v>3</v>
      </c>
      <c r="K974" s="138">
        <v>20</v>
      </c>
      <c r="L974" s="138">
        <v>60</v>
      </c>
    </row>
    <row r="975" spans="1:12" x14ac:dyDescent="0.25">
      <c r="A975" s="1">
        <v>974</v>
      </c>
      <c r="B975" s="1">
        <v>286</v>
      </c>
      <c r="C975" s="232" t="s">
        <v>3478</v>
      </c>
      <c r="D975" s="232" t="s">
        <v>2553</v>
      </c>
      <c r="E975" s="1" t="s">
        <v>3559</v>
      </c>
      <c r="F975" s="232" t="s">
        <v>2586</v>
      </c>
      <c r="G975" s="1" t="s">
        <v>3528</v>
      </c>
      <c r="H975" s="232"/>
      <c r="I975" s="233"/>
      <c r="J975" s="14">
        <v>70</v>
      </c>
      <c r="K975" s="138">
        <v>18</v>
      </c>
      <c r="L975" s="138">
        <v>1260</v>
      </c>
    </row>
    <row r="976" spans="1:12" x14ac:dyDescent="0.25">
      <c r="A976" s="1">
        <v>975</v>
      </c>
      <c r="B976" s="1">
        <v>286</v>
      </c>
      <c r="C976" s="232" t="s">
        <v>3490</v>
      </c>
      <c r="D976" s="232" t="s">
        <v>2553</v>
      </c>
      <c r="E976" s="1" t="s">
        <v>3559</v>
      </c>
      <c r="F976" s="232" t="s">
        <v>2630</v>
      </c>
      <c r="G976" s="1" t="s">
        <v>3529</v>
      </c>
      <c r="H976" s="232"/>
      <c r="I976" s="233"/>
      <c r="J976" s="14">
        <v>40</v>
      </c>
      <c r="K976" s="138">
        <v>18</v>
      </c>
      <c r="L976" s="138">
        <v>720</v>
      </c>
    </row>
    <row r="977" spans="1:12" x14ac:dyDescent="0.25">
      <c r="A977" s="1">
        <v>976</v>
      </c>
      <c r="B977" s="1">
        <v>286</v>
      </c>
      <c r="C977" s="232" t="s">
        <v>3491</v>
      </c>
      <c r="D977" s="232" t="s">
        <v>2553</v>
      </c>
      <c r="E977" s="1" t="s">
        <v>3559</v>
      </c>
      <c r="F977" s="232" t="s">
        <v>2635</v>
      </c>
      <c r="G977" s="1" t="s">
        <v>3531</v>
      </c>
      <c r="H977" s="232"/>
      <c r="I977" s="233"/>
      <c r="J977" s="14">
        <v>1</v>
      </c>
      <c r="K977" s="138">
        <v>40</v>
      </c>
      <c r="L977" s="138">
        <v>40</v>
      </c>
    </row>
    <row r="978" spans="1:12" x14ac:dyDescent="0.25">
      <c r="A978" s="1">
        <v>977</v>
      </c>
      <c r="B978" s="1">
        <v>286</v>
      </c>
      <c r="C978" s="232" t="s">
        <v>3480</v>
      </c>
      <c r="D978" s="232" t="s">
        <v>2553</v>
      </c>
      <c r="E978" s="1" t="s">
        <v>3559</v>
      </c>
      <c r="F978" s="232" t="s">
        <v>2592</v>
      </c>
      <c r="G978" s="1" t="s">
        <v>3533</v>
      </c>
      <c r="H978" s="232"/>
      <c r="I978" s="233"/>
      <c r="J978" s="14">
        <v>2</v>
      </c>
      <c r="K978" s="138">
        <v>7</v>
      </c>
      <c r="L978" s="138">
        <v>14</v>
      </c>
    </row>
    <row r="979" spans="1:12" x14ac:dyDescent="0.25">
      <c r="A979" s="1">
        <v>978</v>
      </c>
      <c r="B979" s="1">
        <v>286</v>
      </c>
      <c r="C979" s="232" t="s">
        <v>3493</v>
      </c>
      <c r="D979" s="232" t="s">
        <v>2553</v>
      </c>
      <c r="E979" s="1" t="s">
        <v>3559</v>
      </c>
      <c r="F979" s="232" t="s">
        <v>2689</v>
      </c>
      <c r="G979" s="1" t="s">
        <v>3534</v>
      </c>
      <c r="H979" s="232"/>
      <c r="I979" s="233"/>
      <c r="J979" s="14">
        <v>1</v>
      </c>
      <c r="K979" s="138">
        <v>50</v>
      </c>
      <c r="L979" s="138">
        <v>50</v>
      </c>
    </row>
    <row r="980" spans="1:12" x14ac:dyDescent="0.25">
      <c r="A980" s="1">
        <v>979</v>
      </c>
      <c r="B980" s="1">
        <v>287</v>
      </c>
      <c r="C980" s="232" t="s">
        <v>3481</v>
      </c>
      <c r="D980" s="232" t="s">
        <v>2554</v>
      </c>
      <c r="E980" s="1" t="s">
        <v>3560</v>
      </c>
      <c r="F980" s="232" t="s">
        <v>2595</v>
      </c>
      <c r="G980" s="1" t="s">
        <v>3537</v>
      </c>
      <c r="H980" s="232"/>
      <c r="I980" s="233"/>
      <c r="J980" s="14">
        <v>300</v>
      </c>
      <c r="K980" s="138">
        <v>0.5</v>
      </c>
      <c r="L980" s="138">
        <v>150</v>
      </c>
    </row>
    <row r="981" spans="1:12" x14ac:dyDescent="0.25">
      <c r="A981" s="1">
        <v>980</v>
      </c>
      <c r="B981" s="1">
        <v>287</v>
      </c>
      <c r="C981" s="232" t="s">
        <v>3482</v>
      </c>
      <c r="D981" s="232" t="s">
        <v>2554</v>
      </c>
      <c r="E981" s="1" t="s">
        <v>3560</v>
      </c>
      <c r="F981" s="232" t="s">
        <v>2598</v>
      </c>
      <c r="G981" s="1" t="s">
        <v>3538</v>
      </c>
      <c r="H981" s="232"/>
      <c r="I981" s="233"/>
      <c r="J981" s="14">
        <v>20</v>
      </c>
      <c r="K981" s="138">
        <v>3</v>
      </c>
      <c r="L981" s="138">
        <v>60</v>
      </c>
    </row>
    <row r="982" spans="1:12" x14ac:dyDescent="0.25">
      <c r="A982" s="1">
        <v>981</v>
      </c>
      <c r="B982" s="1">
        <v>287</v>
      </c>
      <c r="C982" s="232" t="s">
        <v>3483</v>
      </c>
      <c r="D982" s="232" t="s">
        <v>2554</v>
      </c>
      <c r="E982" s="1" t="s">
        <v>3560</v>
      </c>
      <c r="F982" s="232" t="s">
        <v>2601</v>
      </c>
      <c r="G982" s="1" t="s">
        <v>3539</v>
      </c>
      <c r="H982" s="232"/>
      <c r="I982" s="233"/>
      <c r="J982" s="14">
        <v>8</v>
      </c>
      <c r="K982" s="138">
        <v>3</v>
      </c>
      <c r="L982" s="138">
        <v>24</v>
      </c>
    </row>
    <row r="983" spans="1:12" x14ac:dyDescent="0.25">
      <c r="A983" s="1">
        <v>982</v>
      </c>
      <c r="B983" s="1">
        <v>287</v>
      </c>
      <c r="C983" s="232" t="s">
        <v>3485</v>
      </c>
      <c r="D983" s="232" t="s">
        <v>2554</v>
      </c>
      <c r="E983" s="1" t="s">
        <v>3560</v>
      </c>
      <c r="F983" s="232" t="s">
        <v>2607</v>
      </c>
      <c r="G983" s="1" t="s">
        <v>3541</v>
      </c>
      <c r="H983" s="232"/>
      <c r="I983" s="233"/>
      <c r="J983" s="14">
        <v>1</v>
      </c>
      <c r="K983" s="138">
        <v>22</v>
      </c>
      <c r="L983" s="138">
        <v>22</v>
      </c>
    </row>
    <row r="984" spans="1:12" x14ac:dyDescent="0.25">
      <c r="A984" s="1">
        <v>983</v>
      </c>
      <c r="B984" s="1">
        <v>288</v>
      </c>
      <c r="C984" s="232" t="s">
        <v>3488</v>
      </c>
      <c r="D984" s="232" t="s">
        <v>2555</v>
      </c>
      <c r="E984" s="1" t="s">
        <v>3561</v>
      </c>
      <c r="F984" s="232" t="s">
        <v>2616</v>
      </c>
      <c r="G984" s="1" t="s">
        <v>3549</v>
      </c>
      <c r="H984" s="232"/>
      <c r="I984" s="233"/>
      <c r="J984" s="14">
        <v>5</v>
      </c>
      <c r="K984" s="138">
        <v>3</v>
      </c>
      <c r="L984" s="138">
        <v>15</v>
      </c>
    </row>
    <row r="985" spans="1:12" x14ac:dyDescent="0.25">
      <c r="A985" s="1">
        <v>984</v>
      </c>
      <c r="B985" s="1">
        <v>289</v>
      </c>
      <c r="C985" s="232" t="s">
        <v>3494</v>
      </c>
      <c r="D985" s="232" t="s">
        <v>2552</v>
      </c>
      <c r="E985" s="1" t="s">
        <v>3558</v>
      </c>
      <c r="F985" s="232" t="s">
        <v>2738</v>
      </c>
      <c r="G985" s="1" t="s">
        <v>3513</v>
      </c>
      <c r="H985" s="232"/>
      <c r="I985" s="233"/>
      <c r="J985" s="14">
        <v>2</v>
      </c>
      <c r="K985" s="138">
        <v>7</v>
      </c>
      <c r="L985" s="138">
        <v>14</v>
      </c>
    </row>
    <row r="986" spans="1:12" x14ac:dyDescent="0.25">
      <c r="A986" s="1">
        <v>985</v>
      </c>
      <c r="B986" s="1">
        <v>289</v>
      </c>
      <c r="C986" s="232" t="s">
        <v>3470</v>
      </c>
      <c r="D986" s="232" t="s">
        <v>2552</v>
      </c>
      <c r="E986" s="1" t="s">
        <v>3558</v>
      </c>
      <c r="F986" s="232" t="s">
        <v>2562</v>
      </c>
      <c r="G986" s="1" t="s">
        <v>3514</v>
      </c>
      <c r="H986" s="232"/>
      <c r="I986" s="233"/>
      <c r="J986" s="14">
        <v>2</v>
      </c>
      <c r="K986" s="138">
        <v>6</v>
      </c>
      <c r="L986" s="138">
        <v>12</v>
      </c>
    </row>
    <row r="987" spans="1:12" x14ac:dyDescent="0.25">
      <c r="A987" s="1">
        <v>986</v>
      </c>
      <c r="B987" s="1">
        <v>289</v>
      </c>
      <c r="C987" s="232" t="s">
        <v>3471</v>
      </c>
      <c r="D987" s="232" t="s">
        <v>2552</v>
      </c>
      <c r="E987" s="1" t="s">
        <v>3558</v>
      </c>
      <c r="F987" s="232" t="s">
        <v>2565</v>
      </c>
      <c r="G987" s="1" t="s">
        <v>3515</v>
      </c>
      <c r="H987" s="232"/>
      <c r="I987" s="233"/>
      <c r="J987" s="14">
        <v>3</v>
      </c>
      <c r="K987" s="138">
        <v>75</v>
      </c>
      <c r="L987" s="138">
        <v>225</v>
      </c>
    </row>
    <row r="988" spans="1:12" x14ac:dyDescent="0.25">
      <c r="A988" s="1">
        <v>987</v>
      </c>
      <c r="B988" s="1">
        <v>289</v>
      </c>
      <c r="C988" s="232" t="s">
        <v>3473</v>
      </c>
      <c r="D988" s="232" t="s">
        <v>2552</v>
      </c>
      <c r="E988" s="1" t="s">
        <v>3558</v>
      </c>
      <c r="F988" s="232" t="s">
        <v>2571</v>
      </c>
      <c r="G988" s="1" t="s">
        <v>3518</v>
      </c>
      <c r="H988" s="232"/>
      <c r="I988" s="233"/>
      <c r="J988" s="14">
        <v>15</v>
      </c>
      <c r="K988" s="138">
        <v>5</v>
      </c>
      <c r="L988" s="138">
        <v>75</v>
      </c>
    </row>
    <row r="989" spans="1:12" x14ac:dyDescent="0.25">
      <c r="A989" s="1">
        <v>988</v>
      </c>
      <c r="B989" s="1">
        <v>289</v>
      </c>
      <c r="C989" s="232" t="s">
        <v>3497</v>
      </c>
      <c r="D989" s="232" t="s">
        <v>2552</v>
      </c>
      <c r="E989" s="1" t="s">
        <v>3558</v>
      </c>
      <c r="F989" s="232" t="s">
        <v>2753</v>
      </c>
      <c r="G989" s="1" t="s">
        <v>3520</v>
      </c>
      <c r="H989" s="232"/>
      <c r="I989" s="233"/>
      <c r="J989" s="14">
        <v>4</v>
      </c>
      <c r="K989" s="138">
        <v>10</v>
      </c>
      <c r="L989" s="138">
        <v>40</v>
      </c>
    </row>
    <row r="990" spans="1:12" x14ac:dyDescent="0.25">
      <c r="A990" s="1">
        <v>989</v>
      </c>
      <c r="B990" s="1">
        <v>289</v>
      </c>
      <c r="C990" s="232" t="s">
        <v>3474</v>
      </c>
      <c r="D990" s="232" t="s">
        <v>2552</v>
      </c>
      <c r="E990" s="1" t="s">
        <v>3558</v>
      </c>
      <c r="F990" s="232" t="s">
        <v>2574</v>
      </c>
      <c r="G990" s="1" t="s">
        <v>3521</v>
      </c>
      <c r="H990" s="232"/>
      <c r="I990" s="233"/>
      <c r="J990" s="14">
        <v>4</v>
      </c>
      <c r="K990" s="138">
        <v>77</v>
      </c>
      <c r="L990" s="138">
        <v>308</v>
      </c>
    </row>
    <row r="991" spans="1:12" x14ac:dyDescent="0.25">
      <c r="A991" s="1">
        <v>990</v>
      </c>
      <c r="B991" s="1">
        <v>289</v>
      </c>
      <c r="C991" s="232" t="s">
        <v>3475</v>
      </c>
      <c r="D991" s="232" t="s">
        <v>2552</v>
      </c>
      <c r="E991" s="1" t="s">
        <v>3558</v>
      </c>
      <c r="F991" s="232" t="s">
        <v>2577</v>
      </c>
      <c r="G991" s="1" t="s">
        <v>3523</v>
      </c>
      <c r="H991" s="232"/>
      <c r="I991" s="233"/>
      <c r="J991" s="14">
        <v>4</v>
      </c>
      <c r="K991" s="138">
        <v>42</v>
      </c>
      <c r="L991" s="138">
        <v>168</v>
      </c>
    </row>
    <row r="992" spans="1:12" x14ac:dyDescent="0.25">
      <c r="A992" s="1">
        <v>991</v>
      </c>
      <c r="B992" s="1">
        <v>289</v>
      </c>
      <c r="C992" s="232" t="s">
        <v>3476</v>
      </c>
      <c r="D992" s="232" t="s">
        <v>2552</v>
      </c>
      <c r="E992" s="1" t="s">
        <v>3558</v>
      </c>
      <c r="F992" s="232" t="s">
        <v>2580</v>
      </c>
      <c r="G992" s="1" t="s">
        <v>3524</v>
      </c>
      <c r="H992" s="232"/>
      <c r="I992" s="233"/>
      <c r="J992" s="14">
        <v>4</v>
      </c>
      <c r="K992" s="138">
        <v>6</v>
      </c>
      <c r="L992" s="138">
        <v>24</v>
      </c>
    </row>
    <row r="993" spans="1:12" x14ac:dyDescent="0.25">
      <c r="A993" s="1">
        <v>992</v>
      </c>
      <c r="B993" s="1">
        <v>290</v>
      </c>
      <c r="C993" s="232" t="s">
        <v>3477</v>
      </c>
      <c r="D993" s="232" t="s">
        <v>2553</v>
      </c>
      <c r="E993" s="1" t="s">
        <v>3559</v>
      </c>
      <c r="F993" s="232" t="s">
        <v>2583</v>
      </c>
      <c r="G993" s="1" t="s">
        <v>3527</v>
      </c>
      <c r="H993" s="232"/>
      <c r="I993" s="233"/>
      <c r="J993" s="14">
        <v>4</v>
      </c>
      <c r="K993" s="138">
        <v>20</v>
      </c>
      <c r="L993" s="138">
        <v>80</v>
      </c>
    </row>
    <row r="994" spans="1:12" x14ac:dyDescent="0.25">
      <c r="A994" s="1">
        <v>993</v>
      </c>
      <c r="B994" s="1">
        <v>290</v>
      </c>
      <c r="C994" s="232" t="s">
        <v>3490</v>
      </c>
      <c r="D994" s="232" t="s">
        <v>2553</v>
      </c>
      <c r="E994" s="1" t="s">
        <v>3559</v>
      </c>
      <c r="F994" s="232" t="s">
        <v>2630</v>
      </c>
      <c r="G994" s="1" t="s">
        <v>3529</v>
      </c>
      <c r="H994" s="232"/>
      <c r="I994" s="233"/>
      <c r="J994" s="14">
        <v>100</v>
      </c>
      <c r="K994" s="138">
        <v>18</v>
      </c>
      <c r="L994" s="138">
        <v>1800</v>
      </c>
    </row>
    <row r="995" spans="1:12" x14ac:dyDescent="0.25">
      <c r="A995" s="1">
        <v>994</v>
      </c>
      <c r="B995" s="1">
        <v>290</v>
      </c>
      <c r="C995" s="232" t="s">
        <v>3479</v>
      </c>
      <c r="D995" s="232" t="s">
        <v>2553</v>
      </c>
      <c r="E995" s="1" t="s">
        <v>3559</v>
      </c>
      <c r="F995" s="232" t="s">
        <v>2589</v>
      </c>
      <c r="G995" s="1" t="s">
        <v>3530</v>
      </c>
      <c r="H995" s="232"/>
      <c r="I995" s="233"/>
      <c r="J995" s="14">
        <v>2</v>
      </c>
      <c r="K995" s="138">
        <v>70</v>
      </c>
      <c r="L995" s="138">
        <v>140</v>
      </c>
    </row>
    <row r="996" spans="1:12" x14ac:dyDescent="0.25">
      <c r="A996" s="1">
        <v>995</v>
      </c>
      <c r="B996" s="1">
        <v>290</v>
      </c>
      <c r="C996" s="232" t="s">
        <v>3480</v>
      </c>
      <c r="D996" s="232" t="s">
        <v>2553</v>
      </c>
      <c r="E996" s="1" t="s">
        <v>3559</v>
      </c>
      <c r="F996" s="232" t="s">
        <v>2592</v>
      </c>
      <c r="G996" s="1" t="s">
        <v>3533</v>
      </c>
      <c r="H996" s="232"/>
      <c r="I996" s="233"/>
      <c r="J996" s="14">
        <v>4</v>
      </c>
      <c r="K996" s="138">
        <v>7</v>
      </c>
      <c r="L996" s="138">
        <v>28</v>
      </c>
    </row>
    <row r="997" spans="1:12" x14ac:dyDescent="0.25">
      <c r="A997" s="1">
        <v>996</v>
      </c>
      <c r="B997" s="1">
        <v>290</v>
      </c>
      <c r="C997" s="232" t="s">
        <v>3493</v>
      </c>
      <c r="D997" s="232" t="s">
        <v>2553</v>
      </c>
      <c r="E997" s="1" t="s">
        <v>3559</v>
      </c>
      <c r="F997" s="232" t="s">
        <v>2689</v>
      </c>
      <c r="G997" s="1" t="s">
        <v>3534</v>
      </c>
      <c r="H997" s="232"/>
      <c r="I997" s="233"/>
      <c r="J997" s="14">
        <v>2</v>
      </c>
      <c r="K997" s="138">
        <v>50</v>
      </c>
      <c r="L997" s="138">
        <v>100</v>
      </c>
    </row>
    <row r="998" spans="1:12" x14ac:dyDescent="0.25">
      <c r="A998" s="1">
        <v>997</v>
      </c>
      <c r="B998" s="1">
        <v>291</v>
      </c>
      <c r="C998" s="232" t="s">
        <v>3500</v>
      </c>
      <c r="D998" s="232" t="s">
        <v>2554</v>
      </c>
      <c r="E998" s="1" t="s">
        <v>3560</v>
      </c>
      <c r="F998" s="232" t="s">
        <v>2782</v>
      </c>
      <c r="G998" s="1" t="s">
        <v>3536</v>
      </c>
      <c r="H998" s="232"/>
      <c r="I998" s="233"/>
      <c r="J998" s="14">
        <v>1</v>
      </c>
      <c r="K998" s="138">
        <v>10</v>
      </c>
      <c r="L998" s="138">
        <v>10</v>
      </c>
    </row>
    <row r="999" spans="1:12" x14ac:dyDescent="0.25">
      <c r="A999" s="1">
        <v>998</v>
      </c>
      <c r="B999" s="1">
        <v>291</v>
      </c>
      <c r="C999" s="232" t="s">
        <v>3481</v>
      </c>
      <c r="D999" s="232" t="s">
        <v>2554</v>
      </c>
      <c r="E999" s="1" t="s">
        <v>3560</v>
      </c>
      <c r="F999" s="232" t="s">
        <v>2595</v>
      </c>
      <c r="G999" s="1" t="s">
        <v>3537</v>
      </c>
      <c r="H999" s="232"/>
      <c r="I999" s="233"/>
      <c r="J999" s="14">
        <v>1</v>
      </c>
      <c r="K999" s="138">
        <v>0.5</v>
      </c>
      <c r="L999" s="138">
        <v>0.5</v>
      </c>
    </row>
    <row r="1000" spans="1:12" x14ac:dyDescent="0.25">
      <c r="A1000" s="1">
        <v>999</v>
      </c>
      <c r="B1000" s="1">
        <v>291</v>
      </c>
      <c r="C1000" s="232" t="s">
        <v>3482</v>
      </c>
      <c r="D1000" s="232" t="s">
        <v>2554</v>
      </c>
      <c r="E1000" s="1" t="s">
        <v>3560</v>
      </c>
      <c r="F1000" s="232" t="s">
        <v>2598</v>
      </c>
      <c r="G1000" s="1" t="s">
        <v>3538</v>
      </c>
      <c r="H1000" s="232"/>
      <c r="I1000" s="233"/>
      <c r="J1000" s="14">
        <v>6</v>
      </c>
      <c r="K1000" s="138">
        <v>3</v>
      </c>
      <c r="L1000" s="138">
        <v>18</v>
      </c>
    </row>
    <row r="1001" spans="1:12" x14ac:dyDescent="0.25">
      <c r="A1001" s="1">
        <v>1000</v>
      </c>
      <c r="B1001" s="1">
        <v>291</v>
      </c>
      <c r="C1001" s="232" t="s">
        <v>3483</v>
      </c>
      <c r="D1001" s="232" t="s">
        <v>2554</v>
      </c>
      <c r="E1001" s="1" t="s">
        <v>3560</v>
      </c>
      <c r="F1001" s="232" t="s">
        <v>2601</v>
      </c>
      <c r="G1001" s="1" t="s">
        <v>3539</v>
      </c>
      <c r="H1001" s="232"/>
      <c r="I1001" s="233"/>
      <c r="J1001" s="14">
        <v>6</v>
      </c>
      <c r="K1001" s="138">
        <v>3</v>
      </c>
      <c r="L1001" s="138">
        <v>18</v>
      </c>
    </row>
    <row r="1002" spans="1:12" x14ac:dyDescent="0.25">
      <c r="A1002" s="1">
        <v>1001</v>
      </c>
      <c r="B1002" s="1">
        <v>291</v>
      </c>
      <c r="C1002" s="232" t="s">
        <v>3484</v>
      </c>
      <c r="D1002" s="232" t="s">
        <v>2554</v>
      </c>
      <c r="E1002" s="1" t="s">
        <v>3560</v>
      </c>
      <c r="F1002" s="232" t="s">
        <v>2604</v>
      </c>
      <c r="G1002" s="1" t="s">
        <v>3540</v>
      </c>
      <c r="H1002" s="232"/>
      <c r="I1002" s="233"/>
      <c r="J1002" s="14">
        <v>1</v>
      </c>
      <c r="K1002" s="138">
        <v>77</v>
      </c>
      <c r="L1002" s="138">
        <v>77</v>
      </c>
    </row>
    <row r="1003" spans="1:12" x14ac:dyDescent="0.25">
      <c r="A1003" s="1">
        <v>1002</v>
      </c>
      <c r="B1003" s="1">
        <v>291</v>
      </c>
      <c r="C1003" s="232" t="s">
        <v>3485</v>
      </c>
      <c r="D1003" s="232" t="s">
        <v>2554</v>
      </c>
      <c r="E1003" s="1" t="s">
        <v>3560</v>
      </c>
      <c r="F1003" s="232" t="s">
        <v>2607</v>
      </c>
      <c r="G1003" s="1" t="s">
        <v>3541</v>
      </c>
      <c r="H1003" s="232"/>
      <c r="I1003" s="233"/>
      <c r="J1003" s="14">
        <v>1</v>
      </c>
      <c r="K1003" s="138">
        <v>22</v>
      </c>
      <c r="L1003" s="138">
        <v>22</v>
      </c>
    </row>
    <row r="1004" spans="1:12" x14ac:dyDescent="0.25">
      <c r="A1004" s="1">
        <v>1003</v>
      </c>
      <c r="B1004" s="1">
        <v>291</v>
      </c>
      <c r="C1004" s="232" t="s">
        <v>3486</v>
      </c>
      <c r="D1004" s="232" t="s">
        <v>2554</v>
      </c>
      <c r="E1004" s="1" t="s">
        <v>3560</v>
      </c>
      <c r="F1004" s="232" t="s">
        <v>2610</v>
      </c>
      <c r="G1004" s="1" t="s">
        <v>3542</v>
      </c>
      <c r="H1004" s="232"/>
      <c r="I1004" s="233"/>
      <c r="J1004" s="14">
        <v>1</v>
      </c>
      <c r="K1004" s="138">
        <v>0.4</v>
      </c>
      <c r="L1004" s="138">
        <v>0.4</v>
      </c>
    </row>
    <row r="1005" spans="1:12" x14ac:dyDescent="0.25">
      <c r="A1005" s="1">
        <v>1004</v>
      </c>
      <c r="B1005" s="1">
        <v>291</v>
      </c>
      <c r="C1005" s="232" t="s">
        <v>3487</v>
      </c>
      <c r="D1005" s="232" t="s">
        <v>2554</v>
      </c>
      <c r="E1005" s="1" t="s">
        <v>3560</v>
      </c>
      <c r="F1005" s="232" t="s">
        <v>2613</v>
      </c>
      <c r="G1005" s="1" t="s">
        <v>3543</v>
      </c>
      <c r="H1005" s="232"/>
      <c r="I1005" s="233"/>
      <c r="J1005" s="14">
        <v>4</v>
      </c>
      <c r="K1005" s="138">
        <v>45</v>
      </c>
      <c r="L1005" s="138">
        <v>180</v>
      </c>
    </row>
    <row r="1006" spans="1:12" x14ac:dyDescent="0.25">
      <c r="A1006" s="1">
        <v>1005</v>
      </c>
      <c r="B1006" s="1">
        <v>292</v>
      </c>
      <c r="C1006" s="232" t="s">
        <v>3501</v>
      </c>
      <c r="D1006" s="232" t="s">
        <v>2555</v>
      </c>
      <c r="E1006" s="1" t="s">
        <v>3561</v>
      </c>
      <c r="F1006" s="232" t="s">
        <v>2785</v>
      </c>
      <c r="G1006" s="1" t="s">
        <v>3546</v>
      </c>
      <c r="H1006" s="232"/>
      <c r="I1006" s="233"/>
      <c r="J1006" s="14">
        <v>3</v>
      </c>
      <c r="K1006" s="138">
        <v>10</v>
      </c>
      <c r="L1006" s="138">
        <v>30</v>
      </c>
    </row>
    <row r="1007" spans="1:12" x14ac:dyDescent="0.25">
      <c r="A1007" s="1">
        <v>1006</v>
      </c>
      <c r="B1007" s="1">
        <v>292</v>
      </c>
      <c r="C1007" s="232" t="s">
        <v>3488</v>
      </c>
      <c r="D1007" s="232" t="s">
        <v>2555</v>
      </c>
      <c r="E1007" s="1" t="s">
        <v>3561</v>
      </c>
      <c r="F1007" s="232" t="s">
        <v>2616</v>
      </c>
      <c r="G1007" s="1" t="s">
        <v>3549</v>
      </c>
      <c r="H1007" s="232"/>
      <c r="I1007" s="233"/>
      <c r="J1007" s="14">
        <v>3</v>
      </c>
      <c r="K1007" s="138">
        <v>3</v>
      </c>
      <c r="L1007" s="138">
        <v>9</v>
      </c>
    </row>
    <row r="1008" spans="1:12" x14ac:dyDescent="0.25">
      <c r="A1008" s="1">
        <v>1007</v>
      </c>
      <c r="B1008" s="1">
        <v>293</v>
      </c>
      <c r="C1008" s="232" t="s">
        <v>3509</v>
      </c>
      <c r="D1008" s="232" t="s">
        <v>2556</v>
      </c>
      <c r="E1008" s="1" t="s">
        <v>3562</v>
      </c>
      <c r="F1008" s="232" t="s">
        <v>3009</v>
      </c>
      <c r="G1008" s="1" t="s">
        <v>3552</v>
      </c>
      <c r="H1008" s="232"/>
      <c r="I1008" s="233"/>
      <c r="J1008" s="14">
        <v>1</v>
      </c>
      <c r="K1008" s="138">
        <v>3</v>
      </c>
      <c r="L1008" s="138">
        <v>3</v>
      </c>
    </row>
    <row r="1009" spans="1:12" x14ac:dyDescent="0.25">
      <c r="A1009" s="1">
        <v>1008</v>
      </c>
      <c r="B1009" s="1">
        <v>293</v>
      </c>
      <c r="C1009" s="232" t="s">
        <v>3508</v>
      </c>
      <c r="D1009" s="232" t="s">
        <v>2556</v>
      </c>
      <c r="E1009" s="1" t="s">
        <v>3562</v>
      </c>
      <c r="F1009" s="232" t="s">
        <v>2900</v>
      </c>
      <c r="G1009" s="1" t="s">
        <v>3553</v>
      </c>
      <c r="H1009" s="232"/>
      <c r="I1009" s="233"/>
      <c r="J1009" s="14">
        <v>1</v>
      </c>
      <c r="K1009" s="138">
        <v>4</v>
      </c>
      <c r="L1009" s="138">
        <v>4</v>
      </c>
    </row>
    <row r="1010" spans="1:12" x14ac:dyDescent="0.25">
      <c r="A1010" s="1">
        <v>1009</v>
      </c>
      <c r="B1010" s="1">
        <v>294</v>
      </c>
      <c r="C1010" s="232" t="s">
        <v>3509</v>
      </c>
      <c r="D1010" s="232" t="s">
        <v>2556</v>
      </c>
      <c r="E1010" s="1" t="s">
        <v>3562</v>
      </c>
      <c r="F1010" s="232" t="s">
        <v>3009</v>
      </c>
      <c r="G1010" s="1" t="s">
        <v>3552</v>
      </c>
      <c r="H1010" s="232"/>
      <c r="I1010" s="233"/>
      <c r="J1010" s="14">
        <v>1</v>
      </c>
      <c r="K1010" s="138">
        <v>3</v>
      </c>
      <c r="L1010" s="138">
        <v>3</v>
      </c>
    </row>
    <row r="1011" spans="1:12" x14ac:dyDescent="0.25">
      <c r="A1011" s="1">
        <v>1010</v>
      </c>
      <c r="B1011" s="1">
        <v>294</v>
      </c>
      <c r="C1011" s="232" t="s">
        <v>3508</v>
      </c>
      <c r="D1011" s="232" t="s">
        <v>2556</v>
      </c>
      <c r="E1011" s="1" t="s">
        <v>3562</v>
      </c>
      <c r="F1011" s="232" t="s">
        <v>2900</v>
      </c>
      <c r="G1011" s="1" t="s">
        <v>3553</v>
      </c>
      <c r="H1011" s="232"/>
      <c r="I1011" s="233"/>
      <c r="J1011" s="14">
        <v>1</v>
      </c>
      <c r="K1011" s="138">
        <v>4</v>
      </c>
      <c r="L1011" s="138">
        <v>4</v>
      </c>
    </row>
    <row r="1012" spans="1:12" x14ac:dyDescent="0.25">
      <c r="A1012" s="1">
        <v>1011</v>
      </c>
      <c r="B1012" s="1">
        <v>295</v>
      </c>
      <c r="C1012" s="232" t="s">
        <v>3477</v>
      </c>
      <c r="D1012" s="232" t="s">
        <v>2553</v>
      </c>
      <c r="E1012" s="1" t="s">
        <v>3559</v>
      </c>
      <c r="F1012" s="232" t="s">
        <v>2583</v>
      </c>
      <c r="G1012" s="1" t="s">
        <v>3527</v>
      </c>
      <c r="H1012" s="232" t="s">
        <v>3451</v>
      </c>
      <c r="I1012" s="233" t="s">
        <v>3452</v>
      </c>
      <c r="J1012" s="14">
        <v>32</v>
      </c>
      <c r="K1012" s="138">
        <v>20</v>
      </c>
      <c r="L1012" s="138">
        <v>640</v>
      </c>
    </row>
    <row r="1013" spans="1:12" x14ac:dyDescent="0.25">
      <c r="A1013" s="1">
        <v>1012</v>
      </c>
      <c r="B1013" s="1">
        <v>295</v>
      </c>
      <c r="C1013" s="232" t="s">
        <v>3478</v>
      </c>
      <c r="D1013" s="232" t="s">
        <v>2553</v>
      </c>
      <c r="E1013" s="1" t="s">
        <v>3559</v>
      </c>
      <c r="F1013" s="232" t="s">
        <v>2586</v>
      </c>
      <c r="G1013" s="1" t="s">
        <v>3528</v>
      </c>
      <c r="H1013" s="232" t="s">
        <v>3453</v>
      </c>
      <c r="I1013" s="233" t="s">
        <v>3454</v>
      </c>
      <c r="J1013" s="14">
        <v>16</v>
      </c>
      <c r="K1013" s="138">
        <v>18</v>
      </c>
      <c r="L1013" s="138">
        <v>288</v>
      </c>
    </row>
    <row r="1014" spans="1:12" x14ac:dyDescent="0.25">
      <c r="A1014" s="1">
        <v>1013</v>
      </c>
      <c r="B1014" s="1">
        <v>295</v>
      </c>
      <c r="C1014" s="232" t="s">
        <v>3490</v>
      </c>
      <c r="D1014" s="232" t="s">
        <v>2553</v>
      </c>
      <c r="E1014" s="1" t="s">
        <v>3559</v>
      </c>
      <c r="F1014" s="232" t="s">
        <v>2630</v>
      </c>
      <c r="G1014" s="1" t="s">
        <v>3529</v>
      </c>
      <c r="H1014" s="232" t="s">
        <v>3455</v>
      </c>
      <c r="I1014" s="233" t="s">
        <v>3456</v>
      </c>
      <c r="J1014" s="14">
        <v>60</v>
      </c>
      <c r="K1014" s="138">
        <v>18</v>
      </c>
      <c r="L1014" s="138">
        <v>1080</v>
      </c>
    </row>
    <row r="1015" spans="1:12" x14ac:dyDescent="0.25">
      <c r="A1015" s="1">
        <v>1014</v>
      </c>
      <c r="B1015" s="1">
        <v>295</v>
      </c>
      <c r="C1015" s="232" t="s">
        <v>3479</v>
      </c>
      <c r="D1015" s="232" t="s">
        <v>2553</v>
      </c>
      <c r="E1015" s="1" t="s">
        <v>3559</v>
      </c>
      <c r="F1015" s="232" t="s">
        <v>2589</v>
      </c>
      <c r="G1015" s="1" t="s">
        <v>3530</v>
      </c>
      <c r="H1015" s="232" t="s">
        <v>3457</v>
      </c>
      <c r="I1015" s="233" t="s">
        <v>3458</v>
      </c>
      <c r="J1015" s="14">
        <v>4</v>
      </c>
      <c r="K1015" s="138">
        <v>70</v>
      </c>
      <c r="L1015" s="138">
        <v>280</v>
      </c>
    </row>
    <row r="1016" spans="1:12" x14ac:dyDescent="0.25">
      <c r="A1016" s="1">
        <v>1015</v>
      </c>
      <c r="B1016" s="1">
        <v>295</v>
      </c>
      <c r="C1016" s="232" t="s">
        <v>3480</v>
      </c>
      <c r="D1016" s="232" t="s">
        <v>2553</v>
      </c>
      <c r="E1016" s="1" t="s">
        <v>3559</v>
      </c>
      <c r="F1016" s="232" t="s">
        <v>2592</v>
      </c>
      <c r="G1016" s="1" t="s">
        <v>3533</v>
      </c>
      <c r="H1016" s="232" t="s">
        <v>3459</v>
      </c>
      <c r="I1016" s="233" t="s">
        <v>3460</v>
      </c>
      <c r="J1016" s="14">
        <v>1</v>
      </c>
      <c r="K1016" s="138">
        <v>7</v>
      </c>
      <c r="L1016" s="138">
        <v>7</v>
      </c>
    </row>
    <row r="1017" spans="1:12" x14ac:dyDescent="0.25">
      <c r="A1017" s="1">
        <v>1016</v>
      </c>
      <c r="B1017" s="1">
        <v>296</v>
      </c>
      <c r="C1017" s="232" t="s">
        <v>3473</v>
      </c>
      <c r="D1017" s="232" t="s">
        <v>2552</v>
      </c>
      <c r="E1017" s="1" t="s">
        <v>3558</v>
      </c>
      <c r="F1017" s="232" t="s">
        <v>2571</v>
      </c>
      <c r="G1017" s="1" t="s">
        <v>3518</v>
      </c>
      <c r="H1017" s="232"/>
      <c r="I1017" s="233"/>
      <c r="J1017" s="14">
        <v>50</v>
      </c>
      <c r="K1017" s="138">
        <v>5</v>
      </c>
      <c r="L1017" s="138">
        <v>250</v>
      </c>
    </row>
    <row r="1018" spans="1:12" x14ac:dyDescent="0.25">
      <c r="A1018" s="1">
        <v>1017</v>
      </c>
      <c r="B1018" s="1">
        <v>296</v>
      </c>
      <c r="C1018" s="232" t="s">
        <v>3474</v>
      </c>
      <c r="D1018" s="232" t="s">
        <v>2552</v>
      </c>
      <c r="E1018" s="1" t="s">
        <v>3558</v>
      </c>
      <c r="F1018" s="232" t="s">
        <v>2574</v>
      </c>
      <c r="G1018" s="1" t="s">
        <v>3521</v>
      </c>
      <c r="H1018" s="232"/>
      <c r="I1018" s="233"/>
      <c r="J1018" s="14">
        <v>6</v>
      </c>
      <c r="K1018" s="138">
        <v>77</v>
      </c>
      <c r="L1018" s="138">
        <v>462</v>
      </c>
    </row>
    <row r="1019" spans="1:12" x14ac:dyDescent="0.25">
      <c r="A1019" s="1">
        <v>1018</v>
      </c>
      <c r="B1019" s="1">
        <v>296</v>
      </c>
      <c r="C1019" s="232" t="s">
        <v>3475</v>
      </c>
      <c r="D1019" s="232" t="s">
        <v>2552</v>
      </c>
      <c r="E1019" s="1" t="s">
        <v>3558</v>
      </c>
      <c r="F1019" s="232" t="s">
        <v>2577</v>
      </c>
      <c r="G1019" s="1" t="s">
        <v>3523</v>
      </c>
      <c r="H1019" s="232"/>
      <c r="I1019" s="233"/>
      <c r="J1019" s="14">
        <v>6</v>
      </c>
      <c r="K1019" s="138">
        <v>42</v>
      </c>
      <c r="L1019" s="138">
        <v>252</v>
      </c>
    </row>
    <row r="1020" spans="1:12" x14ac:dyDescent="0.25">
      <c r="A1020" s="1">
        <v>1019</v>
      </c>
      <c r="B1020" s="1">
        <v>297</v>
      </c>
      <c r="C1020" s="232" t="s">
        <v>3478</v>
      </c>
      <c r="D1020" s="232" t="s">
        <v>2553</v>
      </c>
      <c r="E1020" s="1" t="s">
        <v>3559</v>
      </c>
      <c r="F1020" s="232" t="s">
        <v>2586</v>
      </c>
      <c r="G1020" s="1" t="s">
        <v>3528</v>
      </c>
      <c r="H1020" s="232"/>
      <c r="I1020" s="233"/>
      <c r="J1020" s="14">
        <v>50</v>
      </c>
      <c r="K1020" s="138">
        <v>18</v>
      </c>
      <c r="L1020" s="138">
        <v>900</v>
      </c>
    </row>
    <row r="1021" spans="1:12" x14ac:dyDescent="0.25">
      <c r="A1021" s="1">
        <v>1020</v>
      </c>
      <c r="B1021" s="1">
        <v>297</v>
      </c>
      <c r="C1021" s="232" t="s">
        <v>3490</v>
      </c>
      <c r="D1021" s="232" t="s">
        <v>2553</v>
      </c>
      <c r="E1021" s="1" t="s">
        <v>3559</v>
      </c>
      <c r="F1021" s="232" t="s">
        <v>2630</v>
      </c>
      <c r="G1021" s="1" t="s">
        <v>3529</v>
      </c>
      <c r="H1021" s="232"/>
      <c r="I1021" s="233"/>
      <c r="J1021" s="14">
        <v>50</v>
      </c>
      <c r="K1021" s="138">
        <v>18</v>
      </c>
      <c r="L1021" s="138">
        <v>900</v>
      </c>
    </row>
    <row r="1022" spans="1:12" x14ac:dyDescent="0.25">
      <c r="A1022" s="1">
        <v>1021</v>
      </c>
      <c r="B1022" s="1">
        <v>297</v>
      </c>
      <c r="C1022" s="232" t="s">
        <v>3477</v>
      </c>
      <c r="D1022" s="232" t="s">
        <v>2553</v>
      </c>
      <c r="E1022" s="1" t="s">
        <v>3559</v>
      </c>
      <c r="F1022" s="232" t="s">
        <v>2583</v>
      </c>
      <c r="G1022" s="1" t="s">
        <v>3527</v>
      </c>
      <c r="H1022" s="232"/>
      <c r="I1022" s="233"/>
      <c r="J1022" s="14">
        <v>1</v>
      </c>
      <c r="K1022" s="138">
        <v>20</v>
      </c>
      <c r="L1022" s="138">
        <v>20</v>
      </c>
    </row>
    <row r="1023" spans="1:12" x14ac:dyDescent="0.25">
      <c r="A1023" s="1">
        <v>1022</v>
      </c>
      <c r="B1023" s="1">
        <v>298</v>
      </c>
      <c r="C1023" s="232" t="s">
        <v>3500</v>
      </c>
      <c r="D1023" s="232" t="s">
        <v>2554</v>
      </c>
      <c r="E1023" s="1" t="s">
        <v>3560</v>
      </c>
      <c r="F1023" s="232" t="s">
        <v>2782</v>
      </c>
      <c r="G1023" s="1" t="s">
        <v>3536</v>
      </c>
      <c r="H1023" s="232"/>
      <c r="I1023" s="233"/>
      <c r="J1023" s="14">
        <v>6</v>
      </c>
      <c r="K1023" s="138">
        <v>10</v>
      </c>
      <c r="L1023" s="138">
        <v>60</v>
      </c>
    </row>
    <row r="1024" spans="1:12" x14ac:dyDescent="0.25">
      <c r="A1024" s="1">
        <v>1023</v>
      </c>
      <c r="B1024" s="1">
        <v>298</v>
      </c>
      <c r="C1024" s="232" t="s">
        <v>3482</v>
      </c>
      <c r="D1024" s="232" t="s">
        <v>2554</v>
      </c>
      <c r="E1024" s="1" t="s">
        <v>3560</v>
      </c>
      <c r="F1024" s="232" t="s">
        <v>2598</v>
      </c>
      <c r="G1024" s="1" t="s">
        <v>3538</v>
      </c>
      <c r="H1024" s="232"/>
      <c r="I1024" s="233"/>
      <c r="J1024" s="14">
        <v>6</v>
      </c>
      <c r="K1024" s="138">
        <v>3</v>
      </c>
      <c r="L1024" s="138">
        <v>18</v>
      </c>
    </row>
    <row r="1025" spans="1:12" x14ac:dyDescent="0.25">
      <c r="A1025" s="1">
        <v>1024</v>
      </c>
      <c r="B1025" s="1">
        <v>298</v>
      </c>
      <c r="C1025" s="232" t="s">
        <v>3481</v>
      </c>
      <c r="D1025" s="232" t="s">
        <v>2554</v>
      </c>
      <c r="E1025" s="1" t="s">
        <v>3560</v>
      </c>
      <c r="F1025" s="232" t="s">
        <v>2595</v>
      </c>
      <c r="G1025" s="1" t="s">
        <v>3537</v>
      </c>
      <c r="H1025" s="232"/>
      <c r="I1025" s="233"/>
      <c r="J1025" s="14">
        <v>6</v>
      </c>
      <c r="K1025" s="138">
        <v>0.5</v>
      </c>
      <c r="L1025" s="138">
        <v>3</v>
      </c>
    </row>
    <row r="1026" spans="1:12" x14ac:dyDescent="0.25">
      <c r="A1026" s="1">
        <v>1025</v>
      </c>
      <c r="B1026" s="1">
        <v>299</v>
      </c>
      <c r="C1026" s="232" t="s">
        <v>3501</v>
      </c>
      <c r="D1026" s="232" t="s">
        <v>2555</v>
      </c>
      <c r="E1026" s="1" t="s">
        <v>3561</v>
      </c>
      <c r="F1026" s="232" t="s">
        <v>2785</v>
      </c>
      <c r="G1026" s="1" t="s">
        <v>3546</v>
      </c>
      <c r="H1026" s="232"/>
      <c r="I1026" s="233"/>
      <c r="J1026" s="14">
        <v>1</v>
      </c>
      <c r="K1026" s="138">
        <v>10</v>
      </c>
      <c r="L1026" s="138">
        <v>10</v>
      </c>
    </row>
    <row r="1027" spans="1:12" x14ac:dyDescent="0.25">
      <c r="A1027" s="1">
        <v>1026</v>
      </c>
      <c r="B1027" s="1">
        <v>299</v>
      </c>
      <c r="C1027" s="232" t="s">
        <v>3507</v>
      </c>
      <c r="D1027" s="232" t="s">
        <v>2555</v>
      </c>
      <c r="E1027" s="1" t="s">
        <v>3561</v>
      </c>
      <c r="F1027" s="232" t="s">
        <v>2863</v>
      </c>
      <c r="G1027" s="1" t="s">
        <v>3548</v>
      </c>
      <c r="H1027" s="232"/>
      <c r="I1027" s="233"/>
      <c r="J1027" s="14">
        <v>3</v>
      </c>
      <c r="K1027" s="138">
        <v>10</v>
      </c>
      <c r="L1027" s="138">
        <v>30</v>
      </c>
    </row>
    <row r="1028" spans="1:12" x14ac:dyDescent="0.25">
      <c r="A1028" s="1">
        <v>1027</v>
      </c>
      <c r="B1028" s="1">
        <v>299</v>
      </c>
      <c r="C1028" s="232" t="s">
        <v>3488</v>
      </c>
      <c r="D1028" s="232" t="s">
        <v>2555</v>
      </c>
      <c r="E1028" s="1" t="s">
        <v>3561</v>
      </c>
      <c r="F1028" s="232" t="s">
        <v>2616</v>
      </c>
      <c r="G1028" s="1" t="s">
        <v>3549</v>
      </c>
      <c r="H1028" s="232"/>
      <c r="I1028" s="233"/>
      <c r="J1028" s="14">
        <v>3</v>
      </c>
      <c r="K1028" s="138">
        <v>3</v>
      </c>
      <c r="L1028" s="138">
        <v>9</v>
      </c>
    </row>
    <row r="1029" spans="1:12" x14ac:dyDescent="0.25">
      <c r="A1029" s="1">
        <v>1028</v>
      </c>
      <c r="B1029" s="1">
        <v>300</v>
      </c>
      <c r="C1029" s="232" t="s">
        <v>3470</v>
      </c>
      <c r="D1029" s="232" t="s">
        <v>2552</v>
      </c>
      <c r="E1029" s="1" t="s">
        <v>3558</v>
      </c>
      <c r="F1029" s="232" t="s">
        <v>2562</v>
      </c>
      <c r="G1029" s="1" t="s">
        <v>3514</v>
      </c>
      <c r="H1029" s="232"/>
      <c r="I1029" s="233"/>
      <c r="J1029" s="14">
        <v>1</v>
      </c>
      <c r="K1029" s="138">
        <v>6</v>
      </c>
      <c r="L1029" s="138">
        <v>6</v>
      </c>
    </row>
    <row r="1030" spans="1:12" x14ac:dyDescent="0.25">
      <c r="A1030" s="1">
        <v>1029</v>
      </c>
      <c r="B1030" s="1">
        <v>300</v>
      </c>
      <c r="C1030" s="232" t="s">
        <v>3471</v>
      </c>
      <c r="D1030" s="232" t="s">
        <v>2552</v>
      </c>
      <c r="E1030" s="1" t="s">
        <v>3558</v>
      </c>
      <c r="F1030" s="232" t="s">
        <v>2565</v>
      </c>
      <c r="G1030" s="1" t="s">
        <v>3515</v>
      </c>
      <c r="H1030" s="232"/>
      <c r="I1030" s="233"/>
      <c r="J1030" s="14">
        <v>20</v>
      </c>
      <c r="K1030" s="138">
        <v>75</v>
      </c>
      <c r="L1030" s="138">
        <v>1500</v>
      </c>
    </row>
    <row r="1031" spans="1:12" x14ac:dyDescent="0.25">
      <c r="A1031" s="1">
        <v>1030</v>
      </c>
      <c r="B1031" s="1">
        <v>300</v>
      </c>
      <c r="C1031" s="232" t="s">
        <v>3473</v>
      </c>
      <c r="D1031" s="232" t="s">
        <v>2552</v>
      </c>
      <c r="E1031" s="1" t="s">
        <v>3558</v>
      </c>
      <c r="F1031" s="232" t="s">
        <v>2571</v>
      </c>
      <c r="G1031" s="1" t="s">
        <v>3518</v>
      </c>
      <c r="H1031" s="232"/>
      <c r="I1031" s="233"/>
      <c r="J1031" s="14">
        <v>15</v>
      </c>
      <c r="K1031" s="138">
        <v>5</v>
      </c>
      <c r="L1031" s="138">
        <v>75</v>
      </c>
    </row>
    <row r="1032" spans="1:12" x14ac:dyDescent="0.25">
      <c r="A1032" s="1">
        <v>1031</v>
      </c>
      <c r="B1032" s="1">
        <v>300</v>
      </c>
      <c r="C1032" s="232" t="s">
        <v>3496</v>
      </c>
      <c r="D1032" s="232" t="s">
        <v>2552</v>
      </c>
      <c r="E1032" s="1" t="s">
        <v>3558</v>
      </c>
      <c r="F1032" s="232" t="s">
        <v>2750</v>
      </c>
      <c r="G1032" s="1" t="s">
        <v>3519</v>
      </c>
      <c r="H1032" s="232"/>
      <c r="I1032" s="233"/>
      <c r="J1032" s="14">
        <v>8</v>
      </c>
      <c r="K1032" s="138">
        <v>25</v>
      </c>
      <c r="L1032" s="138">
        <v>200</v>
      </c>
    </row>
    <row r="1033" spans="1:12" x14ac:dyDescent="0.25">
      <c r="A1033" s="1">
        <v>1032</v>
      </c>
      <c r="B1033" s="1">
        <v>300</v>
      </c>
      <c r="C1033" s="232" t="s">
        <v>3497</v>
      </c>
      <c r="D1033" s="232" t="s">
        <v>2552</v>
      </c>
      <c r="E1033" s="1" t="s">
        <v>3558</v>
      </c>
      <c r="F1033" s="232" t="s">
        <v>2753</v>
      </c>
      <c r="G1033" s="1" t="s">
        <v>3520</v>
      </c>
      <c r="H1033" s="232"/>
      <c r="I1033" s="233"/>
      <c r="J1033" s="14">
        <v>8</v>
      </c>
      <c r="K1033" s="138">
        <v>10</v>
      </c>
      <c r="L1033" s="138">
        <v>80</v>
      </c>
    </row>
    <row r="1034" spans="1:12" x14ac:dyDescent="0.25">
      <c r="A1034" s="1">
        <v>1033</v>
      </c>
      <c r="B1034" s="1">
        <v>300</v>
      </c>
      <c r="C1034" s="232" t="s">
        <v>3474</v>
      </c>
      <c r="D1034" s="232" t="s">
        <v>2552</v>
      </c>
      <c r="E1034" s="1" t="s">
        <v>3558</v>
      </c>
      <c r="F1034" s="232" t="s">
        <v>2574</v>
      </c>
      <c r="G1034" s="1" t="s">
        <v>3521</v>
      </c>
      <c r="H1034" s="232"/>
      <c r="I1034" s="233"/>
      <c r="J1034" s="14">
        <v>8</v>
      </c>
      <c r="K1034" s="138">
        <v>77</v>
      </c>
      <c r="L1034" s="138">
        <v>616</v>
      </c>
    </row>
    <row r="1035" spans="1:12" x14ac:dyDescent="0.25">
      <c r="A1035" s="1">
        <v>1034</v>
      </c>
      <c r="B1035" s="1">
        <v>300</v>
      </c>
      <c r="C1035" s="232" t="s">
        <v>3475</v>
      </c>
      <c r="D1035" s="232" t="s">
        <v>2552</v>
      </c>
      <c r="E1035" s="1" t="s">
        <v>3558</v>
      </c>
      <c r="F1035" s="232" t="s">
        <v>2577</v>
      </c>
      <c r="G1035" s="1" t="s">
        <v>3523</v>
      </c>
      <c r="H1035" s="232"/>
      <c r="I1035" s="233"/>
      <c r="J1035" s="14">
        <v>8</v>
      </c>
      <c r="K1035" s="138">
        <v>42</v>
      </c>
      <c r="L1035" s="138">
        <v>336</v>
      </c>
    </row>
    <row r="1036" spans="1:12" x14ac:dyDescent="0.25">
      <c r="A1036" s="1">
        <v>1035</v>
      </c>
      <c r="B1036" s="1">
        <v>300</v>
      </c>
      <c r="C1036" s="232" t="s">
        <v>3476</v>
      </c>
      <c r="D1036" s="232" t="s">
        <v>2552</v>
      </c>
      <c r="E1036" s="1" t="s">
        <v>3558</v>
      </c>
      <c r="F1036" s="232" t="s">
        <v>2580</v>
      </c>
      <c r="G1036" s="1" t="s">
        <v>3524</v>
      </c>
      <c r="H1036" s="232"/>
      <c r="I1036" s="233"/>
      <c r="J1036" s="14">
        <v>8</v>
      </c>
      <c r="K1036" s="138">
        <v>6</v>
      </c>
      <c r="L1036" s="138">
        <v>48</v>
      </c>
    </row>
    <row r="1037" spans="1:12" x14ac:dyDescent="0.25">
      <c r="A1037" s="1">
        <v>1036</v>
      </c>
      <c r="B1037" s="1">
        <v>301</v>
      </c>
      <c r="C1037" s="232" t="s">
        <v>3477</v>
      </c>
      <c r="D1037" s="232" t="s">
        <v>2553</v>
      </c>
      <c r="E1037" s="1" t="s">
        <v>3559</v>
      </c>
      <c r="F1037" s="232" t="s">
        <v>2583</v>
      </c>
      <c r="G1037" s="1" t="s">
        <v>3527</v>
      </c>
      <c r="H1037" s="232"/>
      <c r="I1037" s="233"/>
      <c r="J1037" s="14">
        <v>2</v>
      </c>
      <c r="K1037" s="138">
        <v>20</v>
      </c>
      <c r="L1037" s="138">
        <v>40</v>
      </c>
    </row>
    <row r="1038" spans="1:12" x14ac:dyDescent="0.25">
      <c r="A1038" s="1">
        <v>1037</v>
      </c>
      <c r="B1038" s="1">
        <v>301</v>
      </c>
      <c r="C1038" s="232" t="s">
        <v>3478</v>
      </c>
      <c r="D1038" s="232" t="s">
        <v>2553</v>
      </c>
      <c r="E1038" s="1" t="s">
        <v>3559</v>
      </c>
      <c r="F1038" s="232" t="s">
        <v>2586</v>
      </c>
      <c r="G1038" s="1" t="s">
        <v>3528</v>
      </c>
      <c r="H1038" s="232"/>
      <c r="I1038" s="233"/>
      <c r="J1038" s="14">
        <v>70</v>
      </c>
      <c r="K1038" s="138">
        <v>18</v>
      </c>
      <c r="L1038" s="138">
        <v>1260</v>
      </c>
    </row>
    <row r="1039" spans="1:12" x14ac:dyDescent="0.25">
      <c r="A1039" s="1">
        <v>1038</v>
      </c>
      <c r="B1039" s="1">
        <v>301</v>
      </c>
      <c r="C1039" s="232" t="s">
        <v>3479</v>
      </c>
      <c r="D1039" s="232" t="s">
        <v>2553</v>
      </c>
      <c r="E1039" s="1" t="s">
        <v>3559</v>
      </c>
      <c r="F1039" s="232" t="s">
        <v>2589</v>
      </c>
      <c r="G1039" s="1" t="s">
        <v>3530</v>
      </c>
      <c r="H1039" s="232"/>
      <c r="I1039" s="233"/>
      <c r="J1039" s="14">
        <v>1</v>
      </c>
      <c r="K1039" s="138">
        <v>70</v>
      </c>
      <c r="L1039" s="138">
        <v>70</v>
      </c>
    </row>
    <row r="1040" spans="1:12" x14ac:dyDescent="0.25">
      <c r="A1040" s="1">
        <v>1039</v>
      </c>
      <c r="B1040" s="1">
        <v>301</v>
      </c>
      <c r="C1040" s="232" t="s">
        <v>3499</v>
      </c>
      <c r="D1040" s="232" t="s">
        <v>2553</v>
      </c>
      <c r="E1040" s="1" t="s">
        <v>3559</v>
      </c>
      <c r="F1040" s="232" t="s">
        <v>2775</v>
      </c>
      <c r="G1040" s="1" t="s">
        <v>3532</v>
      </c>
      <c r="H1040" s="232"/>
      <c r="I1040" s="233"/>
      <c r="J1040" s="14">
        <v>1</v>
      </c>
      <c r="K1040" s="138">
        <v>100</v>
      </c>
      <c r="L1040" s="138">
        <v>100</v>
      </c>
    </row>
    <row r="1041" spans="1:12" x14ac:dyDescent="0.25">
      <c r="A1041" s="1">
        <v>1040</v>
      </c>
      <c r="B1041" s="1">
        <v>301</v>
      </c>
      <c r="C1041" s="232" t="s">
        <v>3480</v>
      </c>
      <c r="D1041" s="232" t="s">
        <v>2553</v>
      </c>
      <c r="E1041" s="1" t="s">
        <v>3559</v>
      </c>
      <c r="F1041" s="232" t="s">
        <v>2592</v>
      </c>
      <c r="G1041" s="1" t="s">
        <v>3533</v>
      </c>
      <c r="H1041" s="232"/>
      <c r="I1041" s="233"/>
      <c r="J1041" s="14">
        <v>3</v>
      </c>
      <c r="K1041" s="138">
        <v>7</v>
      </c>
      <c r="L1041" s="138">
        <v>21</v>
      </c>
    </row>
    <row r="1042" spans="1:12" x14ac:dyDescent="0.25">
      <c r="A1042" s="1">
        <v>1041</v>
      </c>
      <c r="B1042" s="1">
        <v>301</v>
      </c>
      <c r="C1042" s="232" t="s">
        <v>3493</v>
      </c>
      <c r="D1042" s="232" t="s">
        <v>2553</v>
      </c>
      <c r="E1042" s="1" t="s">
        <v>3559</v>
      </c>
      <c r="F1042" s="232" t="s">
        <v>2689</v>
      </c>
      <c r="G1042" s="1" t="s">
        <v>3534</v>
      </c>
      <c r="H1042" s="232"/>
      <c r="I1042" s="233"/>
      <c r="J1042" s="14">
        <v>1</v>
      </c>
      <c r="K1042" s="138">
        <v>50</v>
      </c>
      <c r="L1042" s="138">
        <v>50</v>
      </c>
    </row>
    <row r="1043" spans="1:12" x14ac:dyDescent="0.25">
      <c r="A1043" s="1">
        <v>1042</v>
      </c>
      <c r="B1043" s="1">
        <v>302</v>
      </c>
      <c r="C1043" s="232" t="s">
        <v>3481</v>
      </c>
      <c r="D1043" s="232" t="s">
        <v>2554</v>
      </c>
      <c r="E1043" s="1" t="s">
        <v>3560</v>
      </c>
      <c r="F1043" s="232" t="s">
        <v>2595</v>
      </c>
      <c r="G1043" s="1" t="s">
        <v>3537</v>
      </c>
      <c r="H1043" s="232"/>
      <c r="I1043" s="233"/>
      <c r="J1043" s="14">
        <v>1</v>
      </c>
      <c r="K1043" s="138">
        <v>0.5</v>
      </c>
      <c r="L1043" s="138">
        <v>0.5</v>
      </c>
    </row>
    <row r="1044" spans="1:12" x14ac:dyDescent="0.25">
      <c r="A1044" s="1">
        <v>1043</v>
      </c>
      <c r="B1044" s="1">
        <v>302</v>
      </c>
      <c r="C1044" s="232" t="s">
        <v>3482</v>
      </c>
      <c r="D1044" s="232" t="s">
        <v>2554</v>
      </c>
      <c r="E1044" s="1" t="s">
        <v>3560</v>
      </c>
      <c r="F1044" s="232" t="s">
        <v>2598</v>
      </c>
      <c r="G1044" s="1" t="s">
        <v>3538</v>
      </c>
      <c r="H1044" s="232"/>
      <c r="I1044" s="233"/>
      <c r="J1044" s="14">
        <v>7</v>
      </c>
      <c r="K1044" s="138">
        <v>3</v>
      </c>
      <c r="L1044" s="138">
        <v>21</v>
      </c>
    </row>
    <row r="1045" spans="1:12" x14ac:dyDescent="0.25">
      <c r="A1045" s="1">
        <v>1044</v>
      </c>
      <c r="B1045" s="1">
        <v>302</v>
      </c>
      <c r="C1045" s="232" t="s">
        <v>3483</v>
      </c>
      <c r="D1045" s="232" t="s">
        <v>2554</v>
      </c>
      <c r="E1045" s="1" t="s">
        <v>3560</v>
      </c>
      <c r="F1045" s="232" t="s">
        <v>2601</v>
      </c>
      <c r="G1045" s="1" t="s">
        <v>3539</v>
      </c>
      <c r="H1045" s="232"/>
      <c r="I1045" s="233"/>
      <c r="J1045" s="14">
        <v>7</v>
      </c>
      <c r="K1045" s="138">
        <v>3</v>
      </c>
      <c r="L1045" s="138">
        <v>21</v>
      </c>
    </row>
    <row r="1046" spans="1:12" x14ac:dyDescent="0.25">
      <c r="A1046" s="1">
        <v>1045</v>
      </c>
      <c r="B1046" s="1">
        <v>302</v>
      </c>
      <c r="C1046" s="232" t="s">
        <v>3484</v>
      </c>
      <c r="D1046" s="232" t="s">
        <v>2554</v>
      </c>
      <c r="E1046" s="1" t="s">
        <v>3560</v>
      </c>
      <c r="F1046" s="232" t="s">
        <v>2604</v>
      </c>
      <c r="G1046" s="1" t="s">
        <v>3540</v>
      </c>
      <c r="H1046" s="232"/>
      <c r="I1046" s="233"/>
      <c r="J1046" s="14">
        <v>7</v>
      </c>
      <c r="K1046" s="138">
        <v>77</v>
      </c>
      <c r="L1046" s="138">
        <v>539</v>
      </c>
    </row>
    <row r="1047" spans="1:12" x14ac:dyDescent="0.25">
      <c r="A1047" s="1">
        <v>1046</v>
      </c>
      <c r="B1047" s="1">
        <v>302</v>
      </c>
      <c r="C1047" s="232" t="s">
        <v>3485</v>
      </c>
      <c r="D1047" s="232" t="s">
        <v>2554</v>
      </c>
      <c r="E1047" s="1" t="s">
        <v>3560</v>
      </c>
      <c r="F1047" s="232" t="s">
        <v>2607</v>
      </c>
      <c r="G1047" s="1" t="s">
        <v>3541</v>
      </c>
      <c r="H1047" s="232"/>
      <c r="I1047" s="233"/>
      <c r="J1047" s="14">
        <v>1</v>
      </c>
      <c r="K1047" s="138">
        <v>22</v>
      </c>
      <c r="L1047" s="138">
        <v>22</v>
      </c>
    </row>
    <row r="1048" spans="1:12" x14ac:dyDescent="0.25">
      <c r="A1048" s="1">
        <v>1047</v>
      </c>
      <c r="B1048" s="1">
        <v>302</v>
      </c>
      <c r="C1048" s="232" t="s">
        <v>3486</v>
      </c>
      <c r="D1048" s="232" t="s">
        <v>2554</v>
      </c>
      <c r="E1048" s="1" t="s">
        <v>3560</v>
      </c>
      <c r="F1048" s="232" t="s">
        <v>2610</v>
      </c>
      <c r="G1048" s="1" t="s">
        <v>3542</v>
      </c>
      <c r="H1048" s="232"/>
      <c r="I1048" s="233"/>
      <c r="J1048" s="14">
        <v>1</v>
      </c>
      <c r="K1048" s="138">
        <v>0.4</v>
      </c>
      <c r="L1048" s="138">
        <v>0.4</v>
      </c>
    </row>
    <row r="1049" spans="1:12" x14ac:dyDescent="0.25">
      <c r="A1049" s="1">
        <v>1048</v>
      </c>
      <c r="B1049" s="1">
        <v>302</v>
      </c>
      <c r="C1049" s="232" t="s">
        <v>3487</v>
      </c>
      <c r="D1049" s="232" t="s">
        <v>2554</v>
      </c>
      <c r="E1049" s="1" t="s">
        <v>3560</v>
      </c>
      <c r="F1049" s="232" t="s">
        <v>2613</v>
      </c>
      <c r="G1049" s="1" t="s">
        <v>3543</v>
      </c>
      <c r="H1049" s="232"/>
      <c r="I1049" s="233"/>
      <c r="J1049" s="14">
        <v>6</v>
      </c>
      <c r="K1049" s="138">
        <v>45</v>
      </c>
      <c r="L1049" s="138">
        <v>270</v>
      </c>
    </row>
    <row r="1050" spans="1:12" x14ac:dyDescent="0.25">
      <c r="A1050" s="1">
        <v>1049</v>
      </c>
      <c r="B1050" s="1">
        <v>303</v>
      </c>
      <c r="C1050" s="232" t="s">
        <v>3507</v>
      </c>
      <c r="D1050" s="232" t="s">
        <v>2555</v>
      </c>
      <c r="E1050" s="1" t="s">
        <v>3561</v>
      </c>
      <c r="F1050" s="232" t="s">
        <v>2863</v>
      </c>
      <c r="G1050" s="1" t="s">
        <v>3548</v>
      </c>
      <c r="H1050" s="232"/>
      <c r="I1050" s="233"/>
      <c r="J1050" s="14">
        <v>3</v>
      </c>
      <c r="K1050" s="138">
        <v>10</v>
      </c>
      <c r="L1050" s="138">
        <v>30</v>
      </c>
    </row>
    <row r="1051" spans="1:12" x14ac:dyDescent="0.25">
      <c r="A1051" s="1">
        <v>1050</v>
      </c>
      <c r="B1051" s="1">
        <v>304</v>
      </c>
      <c r="C1051" s="232" t="s">
        <v>3509</v>
      </c>
      <c r="D1051" s="232" t="s">
        <v>2556</v>
      </c>
      <c r="E1051" s="1" t="s">
        <v>3562</v>
      </c>
      <c r="F1051" s="232" t="s">
        <v>3009</v>
      </c>
      <c r="G1051" s="1" t="s">
        <v>3552</v>
      </c>
      <c r="H1051" s="232"/>
      <c r="I1051" s="233"/>
      <c r="J1051" s="14">
        <v>1</v>
      </c>
      <c r="K1051" s="138">
        <v>3</v>
      </c>
      <c r="L1051" s="138">
        <v>3</v>
      </c>
    </row>
    <row r="1052" spans="1:12" x14ac:dyDescent="0.25">
      <c r="A1052" s="1">
        <v>1051</v>
      </c>
      <c r="B1052" s="1">
        <v>304</v>
      </c>
      <c r="C1052" s="232" t="s">
        <v>3508</v>
      </c>
      <c r="D1052" s="232" t="s">
        <v>2556</v>
      </c>
      <c r="E1052" s="1" t="s">
        <v>3562</v>
      </c>
      <c r="F1052" s="232" t="s">
        <v>2900</v>
      </c>
      <c r="G1052" s="1" t="s">
        <v>3553</v>
      </c>
      <c r="H1052" s="232"/>
      <c r="I1052" s="233"/>
      <c r="J1052" s="14">
        <v>1</v>
      </c>
      <c r="K1052" s="138">
        <v>4</v>
      </c>
      <c r="L1052" s="138">
        <v>4</v>
      </c>
    </row>
    <row r="1053" spans="1:12" x14ac:dyDescent="0.25">
      <c r="A1053" s="1">
        <v>1052</v>
      </c>
      <c r="B1053" s="1">
        <v>304</v>
      </c>
      <c r="C1053" s="232" t="s">
        <v>3502</v>
      </c>
      <c r="D1053" s="232" t="s">
        <v>2556</v>
      </c>
      <c r="E1053" s="1" t="s">
        <v>3562</v>
      </c>
      <c r="F1053" s="232" t="s">
        <v>2788</v>
      </c>
      <c r="G1053" s="1" t="s">
        <v>3551</v>
      </c>
      <c r="H1053" s="232"/>
      <c r="I1053" s="233"/>
      <c r="J1053" s="14">
        <v>1</v>
      </c>
      <c r="K1053" s="138">
        <v>150</v>
      </c>
      <c r="L1053" s="138">
        <v>150</v>
      </c>
    </row>
    <row r="1054" spans="1:12" x14ac:dyDescent="0.25">
      <c r="A1054" s="1">
        <v>1053</v>
      </c>
      <c r="B1054" s="1">
        <v>305</v>
      </c>
      <c r="C1054" s="232" t="s">
        <v>3504</v>
      </c>
      <c r="D1054" s="232" t="s">
        <v>2557</v>
      </c>
      <c r="E1054" s="1" t="s">
        <v>3563</v>
      </c>
      <c r="F1054" s="232" t="s">
        <v>2794</v>
      </c>
      <c r="G1054" s="1" t="s">
        <v>3555</v>
      </c>
      <c r="H1054" s="232"/>
      <c r="I1054" s="233"/>
      <c r="J1054" s="14">
        <v>70</v>
      </c>
      <c r="K1054" s="138">
        <v>1.7</v>
      </c>
      <c r="L1054" s="138">
        <v>119</v>
      </c>
    </row>
    <row r="1055" spans="1:12" x14ac:dyDescent="0.25">
      <c r="A1055" s="1">
        <v>1054</v>
      </c>
      <c r="B1055" s="1">
        <v>306</v>
      </c>
      <c r="C1055" s="232" t="s">
        <v>3473</v>
      </c>
      <c r="D1055" s="232" t="s">
        <v>2552</v>
      </c>
      <c r="E1055" s="1" t="s">
        <v>3558</v>
      </c>
      <c r="F1055" s="232" t="s">
        <v>2571</v>
      </c>
      <c r="G1055" s="1" t="s">
        <v>3518</v>
      </c>
      <c r="H1055" s="232" t="s">
        <v>3461</v>
      </c>
      <c r="I1055" s="233" t="s">
        <v>3462</v>
      </c>
      <c r="J1055" s="14">
        <v>5</v>
      </c>
      <c r="K1055" s="138">
        <v>5</v>
      </c>
      <c r="L1055" s="138">
        <v>25</v>
      </c>
    </row>
    <row r="1056" spans="1:12" x14ac:dyDescent="0.25">
      <c r="A1056" s="1">
        <v>1055</v>
      </c>
      <c r="B1056" s="1">
        <v>306</v>
      </c>
      <c r="C1056" s="232" t="s">
        <v>3495</v>
      </c>
      <c r="D1056" s="232" t="s">
        <v>2552</v>
      </c>
      <c r="E1056" s="1" t="s">
        <v>3558</v>
      </c>
      <c r="F1056" s="232" t="s">
        <v>2745</v>
      </c>
      <c r="G1056" s="1" t="s">
        <v>3517</v>
      </c>
      <c r="H1056" s="232" t="s">
        <v>3463</v>
      </c>
      <c r="I1056" s="233" t="s">
        <v>3464</v>
      </c>
      <c r="J1056" s="14">
        <v>2</v>
      </c>
      <c r="K1056" s="138">
        <v>148</v>
      </c>
      <c r="L1056" s="138">
        <v>296</v>
      </c>
    </row>
    <row r="1057" spans="1:12" x14ac:dyDescent="0.25">
      <c r="A1057" s="1">
        <v>1056</v>
      </c>
      <c r="B1057" s="1">
        <v>306</v>
      </c>
      <c r="C1057" s="232" t="s">
        <v>3496</v>
      </c>
      <c r="D1057" s="232" t="s">
        <v>2552</v>
      </c>
      <c r="E1057" s="1" t="s">
        <v>3558</v>
      </c>
      <c r="F1057" s="232" t="s">
        <v>2750</v>
      </c>
      <c r="G1057" s="1" t="s">
        <v>3519</v>
      </c>
      <c r="H1057" s="232" t="s">
        <v>3465</v>
      </c>
      <c r="I1057" s="233" t="s">
        <v>3817</v>
      </c>
      <c r="J1057" s="14">
        <v>7</v>
      </c>
      <c r="K1057" s="138">
        <v>25</v>
      </c>
      <c r="L1057" s="138">
        <v>175</v>
      </c>
    </row>
    <row r="1058" spans="1:12" x14ac:dyDescent="0.25">
      <c r="A1058" s="1">
        <v>1057</v>
      </c>
      <c r="B1058" s="1">
        <v>306</v>
      </c>
      <c r="C1058" s="232" t="s">
        <v>3497</v>
      </c>
      <c r="D1058" s="232" t="s">
        <v>2552</v>
      </c>
      <c r="E1058" s="1" t="s">
        <v>3558</v>
      </c>
      <c r="F1058" s="232" t="s">
        <v>2753</v>
      </c>
      <c r="G1058" s="1" t="s">
        <v>3520</v>
      </c>
      <c r="H1058" s="232" t="s">
        <v>3466</v>
      </c>
      <c r="I1058" s="233" t="s">
        <v>3818</v>
      </c>
      <c r="J1058" s="14">
        <v>4</v>
      </c>
      <c r="K1058" s="138">
        <v>10</v>
      </c>
      <c r="L1058" s="138">
        <v>40</v>
      </c>
    </row>
    <row r="1059" spans="1:12" x14ac:dyDescent="0.25">
      <c r="A1059" s="1">
        <v>1058</v>
      </c>
      <c r="B1059" s="1">
        <v>306</v>
      </c>
      <c r="C1059" s="232" t="s">
        <v>3474</v>
      </c>
      <c r="D1059" s="232" t="s">
        <v>2552</v>
      </c>
      <c r="E1059" s="1" t="s">
        <v>3558</v>
      </c>
      <c r="F1059" s="232" t="s">
        <v>2574</v>
      </c>
      <c r="G1059" s="1" t="s">
        <v>3521</v>
      </c>
      <c r="H1059" s="232" t="s">
        <v>3467</v>
      </c>
      <c r="I1059" s="233" t="s">
        <v>3819</v>
      </c>
      <c r="J1059" s="14">
        <v>4</v>
      </c>
      <c r="K1059" s="138">
        <v>77</v>
      </c>
      <c r="L1059" s="138">
        <v>308</v>
      </c>
    </row>
    <row r="1060" spans="1:12" x14ac:dyDescent="0.25">
      <c r="A1060" s="1">
        <v>1059</v>
      </c>
      <c r="B1060" s="1">
        <v>306</v>
      </c>
      <c r="C1060" s="232" t="s">
        <v>3498</v>
      </c>
      <c r="D1060" s="232" t="s">
        <v>2552</v>
      </c>
      <c r="E1060" s="1" t="s">
        <v>3558</v>
      </c>
      <c r="F1060" s="232" t="s">
        <v>2758</v>
      </c>
      <c r="G1060" s="1" t="s">
        <v>3522</v>
      </c>
      <c r="H1060" s="232" t="s">
        <v>3468</v>
      </c>
      <c r="I1060" s="233" t="s">
        <v>3820</v>
      </c>
      <c r="J1060" s="14">
        <v>3</v>
      </c>
      <c r="K1060" s="138">
        <v>1.6</v>
      </c>
      <c r="L1060" s="138">
        <v>4.8</v>
      </c>
    </row>
    <row r="1061" spans="1:12" x14ac:dyDescent="0.25">
      <c r="A1061" s="1">
        <v>1060</v>
      </c>
      <c r="B1061" s="1">
        <v>306</v>
      </c>
      <c r="C1061" s="232" t="s">
        <v>3475</v>
      </c>
      <c r="D1061" s="232" t="s">
        <v>2552</v>
      </c>
      <c r="E1061" s="1" t="s">
        <v>3558</v>
      </c>
      <c r="F1061" s="232" t="s">
        <v>2577</v>
      </c>
      <c r="G1061" s="1" t="s">
        <v>3523</v>
      </c>
      <c r="H1061" s="232"/>
      <c r="I1061" s="233"/>
      <c r="J1061" s="14">
        <v>4</v>
      </c>
      <c r="K1061" s="138">
        <v>42</v>
      </c>
      <c r="L1061" s="138">
        <v>168</v>
      </c>
    </row>
    <row r="1062" spans="1:12" x14ac:dyDescent="0.25">
      <c r="A1062" s="1">
        <v>1061</v>
      </c>
      <c r="B1062" s="1">
        <v>307</v>
      </c>
      <c r="C1062" s="232" t="s">
        <v>3477</v>
      </c>
      <c r="D1062" s="232" t="s">
        <v>2553</v>
      </c>
      <c r="E1062" s="1" t="s">
        <v>3559</v>
      </c>
      <c r="F1062" s="232" t="s">
        <v>2583</v>
      </c>
      <c r="G1062" s="1" t="s">
        <v>3527</v>
      </c>
      <c r="H1062" s="232"/>
      <c r="I1062" s="233"/>
      <c r="J1062" s="14">
        <v>2</v>
      </c>
      <c r="K1062" s="138">
        <v>20</v>
      </c>
      <c r="L1062" s="138">
        <v>40</v>
      </c>
    </row>
    <row r="1063" spans="1:12" x14ac:dyDescent="0.25">
      <c r="A1063" s="1">
        <v>1062</v>
      </c>
      <c r="B1063" s="1">
        <v>307</v>
      </c>
      <c r="C1063" s="232" t="s">
        <v>3490</v>
      </c>
      <c r="D1063" s="232" t="s">
        <v>2553</v>
      </c>
      <c r="E1063" s="1" t="s">
        <v>3559</v>
      </c>
      <c r="F1063" s="232" t="s">
        <v>2630</v>
      </c>
      <c r="G1063" s="1" t="s">
        <v>3529</v>
      </c>
      <c r="H1063" s="232"/>
      <c r="I1063" s="233"/>
      <c r="J1063" s="14">
        <v>6</v>
      </c>
      <c r="K1063" s="138">
        <v>18</v>
      </c>
      <c r="L1063" s="138">
        <v>108</v>
      </c>
    </row>
    <row r="1064" spans="1:12" x14ac:dyDescent="0.25">
      <c r="A1064" s="1">
        <v>1063</v>
      </c>
      <c r="B1064" s="1">
        <v>307</v>
      </c>
      <c r="C1064" s="232" t="s">
        <v>3480</v>
      </c>
      <c r="D1064" s="232" t="s">
        <v>2553</v>
      </c>
      <c r="E1064" s="1" t="s">
        <v>3559</v>
      </c>
      <c r="F1064" s="232" t="s">
        <v>2592</v>
      </c>
      <c r="G1064" s="1" t="s">
        <v>3533</v>
      </c>
      <c r="H1064" s="232"/>
      <c r="I1064" s="233"/>
      <c r="J1064" s="14">
        <v>2</v>
      </c>
      <c r="K1064" s="138">
        <v>7</v>
      </c>
      <c r="L1064" s="138">
        <v>14</v>
      </c>
    </row>
    <row r="1065" spans="1:12" x14ac:dyDescent="0.25">
      <c r="A1065" s="1">
        <v>1064</v>
      </c>
      <c r="B1065" s="1">
        <v>307</v>
      </c>
      <c r="C1065" s="232" t="s">
        <v>3493</v>
      </c>
      <c r="D1065" s="232" t="s">
        <v>2553</v>
      </c>
      <c r="E1065" s="1" t="s">
        <v>3559</v>
      </c>
      <c r="F1065" s="232" t="s">
        <v>2689</v>
      </c>
      <c r="G1065" s="1" t="s">
        <v>3534</v>
      </c>
      <c r="H1065" s="232"/>
      <c r="I1065" s="233"/>
      <c r="J1065" s="14">
        <v>1</v>
      </c>
      <c r="K1065" s="138">
        <v>50</v>
      </c>
      <c r="L1065" s="138">
        <v>50</v>
      </c>
    </row>
    <row r="1066" spans="1:12" x14ac:dyDescent="0.25">
      <c r="A1066" s="1">
        <v>1065</v>
      </c>
      <c r="B1066" s="1">
        <v>308</v>
      </c>
      <c r="C1066" s="232" t="s">
        <v>3500</v>
      </c>
      <c r="D1066" s="232" t="s">
        <v>2554</v>
      </c>
      <c r="E1066" s="1" t="s">
        <v>3560</v>
      </c>
      <c r="F1066" s="232" t="s">
        <v>2782</v>
      </c>
      <c r="G1066" s="1" t="s">
        <v>3536</v>
      </c>
      <c r="H1066" s="232"/>
      <c r="I1066" s="233"/>
      <c r="J1066" s="14">
        <v>10</v>
      </c>
      <c r="K1066" s="138">
        <v>10</v>
      </c>
      <c r="L1066" s="138">
        <v>100</v>
      </c>
    </row>
    <row r="1067" spans="1:12" x14ac:dyDescent="0.25">
      <c r="A1067" s="1">
        <v>1066</v>
      </c>
      <c r="B1067" s="1">
        <v>308</v>
      </c>
      <c r="C1067" s="232" t="s">
        <v>3481</v>
      </c>
      <c r="D1067" s="232" t="s">
        <v>2554</v>
      </c>
      <c r="E1067" s="1" t="s">
        <v>3560</v>
      </c>
      <c r="F1067" s="232" t="s">
        <v>2595</v>
      </c>
      <c r="G1067" s="1" t="s">
        <v>3537</v>
      </c>
      <c r="H1067" s="232"/>
      <c r="I1067" s="233"/>
      <c r="J1067" s="14">
        <v>1</v>
      </c>
      <c r="K1067" s="138">
        <v>0.5</v>
      </c>
      <c r="L1067" s="138">
        <v>0.5</v>
      </c>
    </row>
    <row r="1068" spans="1:12" x14ac:dyDescent="0.25">
      <c r="A1068" s="1">
        <v>1067</v>
      </c>
      <c r="B1068" s="1">
        <v>308</v>
      </c>
      <c r="C1068" s="232" t="s">
        <v>3482</v>
      </c>
      <c r="D1068" s="232" t="s">
        <v>2554</v>
      </c>
      <c r="E1068" s="1" t="s">
        <v>3560</v>
      </c>
      <c r="F1068" s="232" t="s">
        <v>2598</v>
      </c>
      <c r="G1068" s="1" t="s">
        <v>3538</v>
      </c>
      <c r="H1068" s="232"/>
      <c r="I1068" s="233"/>
      <c r="J1068" s="14">
        <v>10</v>
      </c>
      <c r="K1068" s="138">
        <v>3</v>
      </c>
      <c r="L1068" s="138">
        <v>30</v>
      </c>
    </row>
    <row r="1069" spans="1:12" x14ac:dyDescent="0.25">
      <c r="A1069" s="1">
        <v>1068</v>
      </c>
      <c r="B1069" s="1">
        <v>308</v>
      </c>
      <c r="C1069" s="232" t="s">
        <v>3483</v>
      </c>
      <c r="D1069" s="232" t="s">
        <v>2554</v>
      </c>
      <c r="E1069" s="1" t="s">
        <v>3560</v>
      </c>
      <c r="F1069" s="232" t="s">
        <v>2601</v>
      </c>
      <c r="G1069" s="1" t="s">
        <v>3539</v>
      </c>
      <c r="H1069" s="232"/>
      <c r="I1069" s="233"/>
      <c r="J1069" s="14">
        <v>10</v>
      </c>
      <c r="K1069" s="138">
        <v>3</v>
      </c>
      <c r="L1069" s="138">
        <v>30</v>
      </c>
    </row>
    <row r="1070" spans="1:12" x14ac:dyDescent="0.25">
      <c r="A1070" s="1">
        <v>1069</v>
      </c>
      <c r="B1070" s="1">
        <v>309</v>
      </c>
      <c r="C1070" s="232" t="s">
        <v>3488</v>
      </c>
      <c r="D1070" s="232" t="s">
        <v>2555</v>
      </c>
      <c r="E1070" s="1" t="s">
        <v>3561</v>
      </c>
      <c r="F1070" s="232" t="s">
        <v>2616</v>
      </c>
      <c r="G1070" s="1" t="s">
        <v>3549</v>
      </c>
      <c r="H1070" s="232"/>
      <c r="I1070" s="233"/>
      <c r="J1070" s="14">
        <v>5</v>
      </c>
      <c r="K1070" s="138">
        <v>3</v>
      </c>
      <c r="L1070" s="138">
        <v>15</v>
      </c>
    </row>
    <row r="1071" spans="1:12" x14ac:dyDescent="0.25">
      <c r="A1071" s="1">
        <v>1070</v>
      </c>
      <c r="B1071" s="1">
        <v>309</v>
      </c>
      <c r="C1071" s="232" t="s">
        <v>3507</v>
      </c>
      <c r="D1071" s="232" t="s">
        <v>2555</v>
      </c>
      <c r="E1071" s="1" t="s">
        <v>3561</v>
      </c>
      <c r="F1071" s="232" t="s">
        <v>2863</v>
      </c>
      <c r="G1071" s="1" t="s">
        <v>3548</v>
      </c>
      <c r="H1071" s="232"/>
      <c r="I1071" s="233"/>
      <c r="J1071" s="14">
        <v>3</v>
      </c>
      <c r="K1071" s="138">
        <v>10</v>
      </c>
      <c r="L1071" s="138">
        <v>30</v>
      </c>
    </row>
    <row r="1072" spans="1:12" x14ac:dyDescent="0.25">
      <c r="A1072" s="1">
        <v>1071</v>
      </c>
      <c r="B1072" s="1">
        <v>310</v>
      </c>
      <c r="C1072" s="232" t="s">
        <v>3502</v>
      </c>
      <c r="D1072" s="232" t="s">
        <v>2556</v>
      </c>
      <c r="E1072" s="1" t="s">
        <v>3562</v>
      </c>
      <c r="F1072" s="232" t="s">
        <v>2788</v>
      </c>
      <c r="G1072" s="1" t="s">
        <v>3551</v>
      </c>
      <c r="H1072" s="232"/>
      <c r="I1072" s="233"/>
      <c r="J1072" s="14">
        <v>1</v>
      </c>
      <c r="K1072" s="138">
        <v>150</v>
      </c>
      <c r="L1072" s="138">
        <v>150</v>
      </c>
    </row>
    <row r="1073" spans="1:12" x14ac:dyDescent="0.25">
      <c r="A1073" s="1">
        <v>1072</v>
      </c>
      <c r="B1073" s="1">
        <v>310</v>
      </c>
      <c r="C1073" s="232" t="s">
        <v>3508</v>
      </c>
      <c r="D1073" s="232" t="s">
        <v>2556</v>
      </c>
      <c r="E1073" s="1" t="s">
        <v>3562</v>
      </c>
      <c r="F1073" s="232" t="s">
        <v>2900</v>
      </c>
      <c r="G1073" s="1" t="s">
        <v>3553</v>
      </c>
      <c r="H1073" s="232"/>
      <c r="I1073" s="233"/>
      <c r="J1073" s="14">
        <v>1</v>
      </c>
      <c r="K1073" s="138">
        <v>4</v>
      </c>
      <c r="L1073" s="138">
        <v>4</v>
      </c>
    </row>
    <row r="1074" spans="1:12" x14ac:dyDescent="0.25">
      <c r="A1074" s="1">
        <v>1073</v>
      </c>
      <c r="B1074" s="1">
        <v>311</v>
      </c>
      <c r="C1074" s="232" t="s">
        <v>3504</v>
      </c>
      <c r="D1074" s="232" t="s">
        <v>2557</v>
      </c>
      <c r="E1074" s="1" t="s">
        <v>3563</v>
      </c>
      <c r="F1074" s="232" t="s">
        <v>2794</v>
      </c>
      <c r="G1074" s="1" t="s">
        <v>3555</v>
      </c>
      <c r="H1074" s="232"/>
      <c r="I1074" s="233"/>
      <c r="J1074" s="14">
        <v>110</v>
      </c>
      <c r="K1074" s="138">
        <v>1.7</v>
      </c>
      <c r="L1074" s="138">
        <v>187</v>
      </c>
    </row>
    <row r="1075" spans="1:12" x14ac:dyDescent="0.25">
      <c r="A1075" s="1">
        <v>1074</v>
      </c>
      <c r="B1075" s="1">
        <v>312</v>
      </c>
      <c r="C1075" s="232" t="s">
        <v>3504</v>
      </c>
      <c r="D1075" s="232" t="s">
        <v>2557</v>
      </c>
      <c r="E1075" s="1" t="s">
        <v>3563</v>
      </c>
      <c r="F1075" s="232" t="s">
        <v>2794</v>
      </c>
      <c r="G1075" s="1" t="s">
        <v>3555</v>
      </c>
      <c r="H1075" s="232"/>
      <c r="I1075" s="233"/>
      <c r="J1075" s="14">
        <v>110</v>
      </c>
      <c r="K1075" s="138">
        <v>1.7</v>
      </c>
      <c r="L1075" s="138">
        <v>187</v>
      </c>
    </row>
    <row r="1076" spans="1:12" x14ac:dyDescent="0.25">
      <c r="A1076" s="1">
        <v>1075</v>
      </c>
      <c r="B1076" s="1">
        <v>313</v>
      </c>
      <c r="C1076" s="232" t="s">
        <v>3470</v>
      </c>
      <c r="D1076" s="232" t="s">
        <v>2552</v>
      </c>
      <c r="E1076" s="1" t="s">
        <v>3558</v>
      </c>
      <c r="F1076" s="232" t="s">
        <v>2562</v>
      </c>
      <c r="G1076" s="1" t="s">
        <v>3514</v>
      </c>
      <c r="H1076" s="232"/>
      <c r="I1076" s="233"/>
      <c r="J1076" s="14">
        <v>4</v>
      </c>
      <c r="K1076" s="138">
        <v>6</v>
      </c>
      <c r="L1076" s="138">
        <v>24</v>
      </c>
    </row>
    <row r="1077" spans="1:12" x14ac:dyDescent="0.25">
      <c r="A1077" s="1">
        <v>1076</v>
      </c>
      <c r="B1077" s="1">
        <v>313</v>
      </c>
      <c r="C1077" s="232" t="s">
        <v>3471</v>
      </c>
      <c r="D1077" s="232" t="s">
        <v>2552</v>
      </c>
      <c r="E1077" s="1" t="s">
        <v>3558</v>
      </c>
      <c r="F1077" s="232" t="s">
        <v>2565</v>
      </c>
      <c r="G1077" s="1" t="s">
        <v>3515</v>
      </c>
      <c r="H1077" s="232"/>
      <c r="I1077" s="233"/>
      <c r="J1077" s="14">
        <v>20</v>
      </c>
      <c r="K1077" s="138">
        <v>75</v>
      </c>
      <c r="L1077" s="138">
        <v>1500</v>
      </c>
    </row>
    <row r="1078" spans="1:12" x14ac:dyDescent="0.25">
      <c r="A1078" s="1">
        <v>1077</v>
      </c>
      <c r="B1078" s="1">
        <v>313</v>
      </c>
      <c r="C1078" s="232" t="s">
        <v>3472</v>
      </c>
      <c r="D1078" s="232" t="s">
        <v>2552</v>
      </c>
      <c r="E1078" s="1" t="s">
        <v>3558</v>
      </c>
      <c r="F1078" s="232" t="s">
        <v>2568</v>
      </c>
      <c r="G1078" s="1" t="s">
        <v>3516</v>
      </c>
      <c r="H1078" s="232"/>
      <c r="I1078" s="233"/>
      <c r="J1078" s="14">
        <v>50</v>
      </c>
      <c r="K1078" s="138">
        <v>75</v>
      </c>
      <c r="L1078" s="138">
        <v>3750</v>
      </c>
    </row>
    <row r="1079" spans="1:12" x14ac:dyDescent="0.25">
      <c r="A1079" s="1">
        <v>1078</v>
      </c>
      <c r="B1079" s="1">
        <v>313</v>
      </c>
      <c r="C1079" s="232" t="s">
        <v>3473</v>
      </c>
      <c r="D1079" s="232" t="s">
        <v>2552</v>
      </c>
      <c r="E1079" s="1" t="s">
        <v>3558</v>
      </c>
      <c r="F1079" s="232" t="s">
        <v>2571</v>
      </c>
      <c r="G1079" s="1" t="s">
        <v>3518</v>
      </c>
      <c r="H1079" s="232"/>
      <c r="I1079" s="233"/>
      <c r="J1079" s="14">
        <v>80</v>
      </c>
      <c r="K1079" s="138">
        <v>5</v>
      </c>
      <c r="L1079" s="138">
        <v>400</v>
      </c>
    </row>
    <row r="1080" spans="1:12" x14ac:dyDescent="0.25">
      <c r="A1080" s="1">
        <v>1079</v>
      </c>
      <c r="B1080" s="1">
        <v>313</v>
      </c>
      <c r="C1080" s="232" t="s">
        <v>3497</v>
      </c>
      <c r="D1080" s="232" t="s">
        <v>2552</v>
      </c>
      <c r="E1080" s="1" t="s">
        <v>3558</v>
      </c>
      <c r="F1080" s="232" t="s">
        <v>2753</v>
      </c>
      <c r="G1080" s="1" t="s">
        <v>3520</v>
      </c>
      <c r="H1080" s="232"/>
      <c r="I1080" s="233"/>
      <c r="J1080" s="14">
        <v>11</v>
      </c>
      <c r="K1080" s="138">
        <v>10</v>
      </c>
      <c r="L1080" s="138">
        <v>110</v>
      </c>
    </row>
    <row r="1081" spans="1:12" x14ac:dyDescent="0.25">
      <c r="A1081" s="1">
        <v>1080</v>
      </c>
      <c r="B1081" s="1">
        <v>313</v>
      </c>
      <c r="C1081" s="232" t="s">
        <v>3496</v>
      </c>
      <c r="D1081" s="232" t="s">
        <v>2552</v>
      </c>
      <c r="E1081" s="1" t="s">
        <v>3558</v>
      </c>
      <c r="F1081" s="232" t="s">
        <v>2750</v>
      </c>
      <c r="G1081" s="1" t="s">
        <v>3519</v>
      </c>
      <c r="H1081" s="232"/>
      <c r="I1081" s="233"/>
      <c r="J1081" s="14">
        <v>5</v>
      </c>
      <c r="K1081" s="138">
        <v>25</v>
      </c>
      <c r="L1081" s="138">
        <v>125</v>
      </c>
    </row>
    <row r="1082" spans="1:12" x14ac:dyDescent="0.25">
      <c r="A1082" s="1">
        <v>1081</v>
      </c>
      <c r="B1082" s="1">
        <v>313</v>
      </c>
      <c r="C1082" s="232" t="s">
        <v>3474</v>
      </c>
      <c r="D1082" s="232" t="s">
        <v>2552</v>
      </c>
      <c r="E1082" s="1" t="s">
        <v>3558</v>
      </c>
      <c r="F1082" s="232" t="s">
        <v>2574</v>
      </c>
      <c r="G1082" s="1" t="s">
        <v>3521</v>
      </c>
      <c r="H1082" s="232"/>
      <c r="I1082" s="233"/>
      <c r="J1082" s="14">
        <v>11</v>
      </c>
      <c r="K1082" s="138">
        <v>77</v>
      </c>
      <c r="L1082" s="138">
        <v>847</v>
      </c>
    </row>
    <row r="1083" spans="1:12" x14ac:dyDescent="0.25">
      <c r="A1083" s="1">
        <v>1082</v>
      </c>
      <c r="B1083" s="1">
        <v>313</v>
      </c>
      <c r="C1083" s="232" t="s">
        <v>3475</v>
      </c>
      <c r="D1083" s="232" t="s">
        <v>2552</v>
      </c>
      <c r="E1083" s="1" t="s">
        <v>3558</v>
      </c>
      <c r="F1083" s="232" t="s">
        <v>2577</v>
      </c>
      <c r="G1083" s="1" t="s">
        <v>3523</v>
      </c>
      <c r="H1083" s="232"/>
      <c r="I1083" s="233"/>
      <c r="J1083" s="14">
        <v>11</v>
      </c>
      <c r="K1083" s="138">
        <v>42</v>
      </c>
      <c r="L1083" s="138">
        <v>462</v>
      </c>
    </row>
    <row r="1084" spans="1:12" x14ac:dyDescent="0.25">
      <c r="A1084" s="1">
        <v>1083</v>
      </c>
      <c r="B1084" s="1">
        <v>313</v>
      </c>
      <c r="C1084" s="232" t="s">
        <v>3476</v>
      </c>
      <c r="D1084" s="232" t="s">
        <v>2552</v>
      </c>
      <c r="E1084" s="1" t="s">
        <v>3558</v>
      </c>
      <c r="F1084" s="232" t="s">
        <v>2580</v>
      </c>
      <c r="G1084" s="1" t="s">
        <v>3524</v>
      </c>
      <c r="H1084" s="232"/>
      <c r="I1084" s="233"/>
      <c r="J1084" s="14">
        <v>11</v>
      </c>
      <c r="K1084" s="138">
        <v>6</v>
      </c>
      <c r="L1084" s="138">
        <v>66</v>
      </c>
    </row>
    <row r="1085" spans="1:12" x14ac:dyDescent="0.25">
      <c r="A1085" s="1">
        <v>1084</v>
      </c>
      <c r="B1085" s="1">
        <v>314</v>
      </c>
      <c r="C1085" s="232" t="s">
        <v>3477</v>
      </c>
      <c r="D1085" s="232" t="s">
        <v>2553</v>
      </c>
      <c r="E1085" s="1" t="s">
        <v>3559</v>
      </c>
      <c r="F1085" s="232" t="s">
        <v>2583</v>
      </c>
      <c r="G1085" s="1" t="s">
        <v>3527</v>
      </c>
      <c r="H1085" s="232"/>
      <c r="I1085" s="233"/>
      <c r="J1085" s="14">
        <v>3</v>
      </c>
      <c r="K1085" s="138">
        <v>20</v>
      </c>
      <c r="L1085" s="138">
        <v>60</v>
      </c>
    </row>
    <row r="1086" spans="1:12" x14ac:dyDescent="0.25">
      <c r="A1086" s="1">
        <v>1085</v>
      </c>
      <c r="B1086" s="1">
        <v>314</v>
      </c>
      <c r="C1086" s="232" t="s">
        <v>3478</v>
      </c>
      <c r="D1086" s="232" t="s">
        <v>2553</v>
      </c>
      <c r="E1086" s="1" t="s">
        <v>3559</v>
      </c>
      <c r="F1086" s="232" t="s">
        <v>2586</v>
      </c>
      <c r="G1086" s="1" t="s">
        <v>3528</v>
      </c>
      <c r="H1086" s="232"/>
      <c r="I1086" s="233"/>
      <c r="J1086" s="14">
        <v>30</v>
      </c>
      <c r="K1086" s="138">
        <v>18</v>
      </c>
      <c r="L1086" s="138">
        <v>540</v>
      </c>
    </row>
    <row r="1087" spans="1:12" x14ac:dyDescent="0.25">
      <c r="A1087" s="1">
        <v>1086</v>
      </c>
      <c r="B1087" s="1">
        <v>314</v>
      </c>
      <c r="C1087" s="232" t="s">
        <v>3479</v>
      </c>
      <c r="D1087" s="232" t="s">
        <v>2553</v>
      </c>
      <c r="E1087" s="1" t="s">
        <v>3559</v>
      </c>
      <c r="F1087" s="232" t="s">
        <v>2589</v>
      </c>
      <c r="G1087" s="1" t="s">
        <v>3530</v>
      </c>
      <c r="H1087" s="232"/>
      <c r="I1087" s="233"/>
      <c r="J1087" s="14">
        <v>1</v>
      </c>
      <c r="K1087" s="138">
        <v>70</v>
      </c>
      <c r="L1087" s="138">
        <v>70</v>
      </c>
    </row>
    <row r="1088" spans="1:12" x14ac:dyDescent="0.25">
      <c r="A1088" s="1">
        <v>1087</v>
      </c>
      <c r="B1088" s="1">
        <v>314</v>
      </c>
      <c r="C1088" s="232" t="s">
        <v>3491</v>
      </c>
      <c r="D1088" s="232" t="s">
        <v>2553</v>
      </c>
      <c r="E1088" s="1" t="s">
        <v>3559</v>
      </c>
      <c r="F1088" s="232" t="s">
        <v>2635</v>
      </c>
      <c r="G1088" s="1" t="s">
        <v>3531</v>
      </c>
      <c r="H1088" s="232"/>
      <c r="I1088" s="233"/>
      <c r="J1088" s="14">
        <v>1</v>
      </c>
      <c r="K1088" s="138">
        <v>40</v>
      </c>
      <c r="L1088" s="138">
        <v>40</v>
      </c>
    </row>
    <row r="1089" spans="1:12" x14ac:dyDescent="0.25">
      <c r="A1089" s="1">
        <v>1088</v>
      </c>
      <c r="B1089" s="1">
        <v>314</v>
      </c>
      <c r="C1089" s="232" t="s">
        <v>3480</v>
      </c>
      <c r="D1089" s="232" t="s">
        <v>2553</v>
      </c>
      <c r="E1089" s="1" t="s">
        <v>3559</v>
      </c>
      <c r="F1089" s="232" t="s">
        <v>2592</v>
      </c>
      <c r="G1089" s="1" t="s">
        <v>3533</v>
      </c>
      <c r="H1089" s="232"/>
      <c r="I1089" s="233"/>
      <c r="J1089" s="14">
        <v>4</v>
      </c>
      <c r="K1089" s="138">
        <v>7</v>
      </c>
      <c r="L1089" s="138">
        <v>28</v>
      </c>
    </row>
    <row r="1090" spans="1:12" x14ac:dyDescent="0.25">
      <c r="A1090" s="1">
        <v>1089</v>
      </c>
      <c r="B1090" s="1">
        <v>314</v>
      </c>
      <c r="C1090" s="232" t="s">
        <v>3493</v>
      </c>
      <c r="D1090" s="232" t="s">
        <v>2553</v>
      </c>
      <c r="E1090" s="1" t="s">
        <v>3559</v>
      </c>
      <c r="F1090" s="232" t="s">
        <v>2689</v>
      </c>
      <c r="G1090" s="1" t="s">
        <v>3534</v>
      </c>
      <c r="H1090" s="232"/>
      <c r="I1090" s="233"/>
      <c r="J1090" s="14">
        <v>1</v>
      </c>
      <c r="K1090" s="138">
        <v>50</v>
      </c>
      <c r="L1090" s="138">
        <v>50</v>
      </c>
    </row>
    <row r="1091" spans="1:12" x14ac:dyDescent="0.25">
      <c r="A1091" s="1">
        <v>1090</v>
      </c>
      <c r="B1091" s="1">
        <v>315</v>
      </c>
      <c r="C1091" s="232" t="s">
        <v>3481</v>
      </c>
      <c r="D1091" s="232" t="s">
        <v>2554</v>
      </c>
      <c r="E1091" s="1" t="s">
        <v>3560</v>
      </c>
      <c r="F1091" s="232" t="s">
        <v>2595</v>
      </c>
      <c r="G1091" s="1" t="s">
        <v>3537</v>
      </c>
      <c r="H1091" s="232"/>
      <c r="I1091" s="233"/>
      <c r="J1091" s="14">
        <v>1</v>
      </c>
      <c r="K1091" s="138">
        <v>0.5</v>
      </c>
      <c r="L1091" s="138">
        <v>0.5</v>
      </c>
    </row>
    <row r="1092" spans="1:12" x14ac:dyDescent="0.25">
      <c r="A1092" s="1">
        <v>1091</v>
      </c>
      <c r="B1092" s="1">
        <v>315</v>
      </c>
      <c r="C1092" s="232" t="s">
        <v>3482</v>
      </c>
      <c r="D1092" s="232" t="s">
        <v>2554</v>
      </c>
      <c r="E1092" s="1" t="s">
        <v>3560</v>
      </c>
      <c r="F1092" s="232" t="s">
        <v>2598</v>
      </c>
      <c r="G1092" s="1" t="s">
        <v>3538</v>
      </c>
      <c r="H1092" s="232"/>
      <c r="I1092" s="233"/>
      <c r="J1092" s="14">
        <v>10</v>
      </c>
      <c r="K1092" s="138">
        <v>3</v>
      </c>
      <c r="L1092" s="138">
        <v>30</v>
      </c>
    </row>
    <row r="1093" spans="1:12" x14ac:dyDescent="0.25">
      <c r="A1093" s="1">
        <v>1092</v>
      </c>
      <c r="B1093" s="1">
        <v>315</v>
      </c>
      <c r="C1093" s="232" t="s">
        <v>3500</v>
      </c>
      <c r="D1093" s="232" t="s">
        <v>2554</v>
      </c>
      <c r="E1093" s="1" t="s">
        <v>3560</v>
      </c>
      <c r="F1093" s="232" t="s">
        <v>2782</v>
      </c>
      <c r="G1093" s="1" t="s">
        <v>3536</v>
      </c>
      <c r="H1093" s="232"/>
      <c r="I1093" s="233"/>
      <c r="J1093" s="14">
        <v>10</v>
      </c>
      <c r="K1093" s="138">
        <v>10</v>
      </c>
      <c r="L1093" s="138">
        <v>100</v>
      </c>
    </row>
    <row r="1094" spans="1:12" x14ac:dyDescent="0.25">
      <c r="A1094" s="1">
        <v>1093</v>
      </c>
      <c r="B1094" s="1">
        <v>315</v>
      </c>
      <c r="C1094" s="232" t="s">
        <v>3483</v>
      </c>
      <c r="D1094" s="232" t="s">
        <v>2554</v>
      </c>
      <c r="E1094" s="1" t="s">
        <v>3560</v>
      </c>
      <c r="F1094" s="232" t="s">
        <v>2601</v>
      </c>
      <c r="G1094" s="1" t="s">
        <v>3539</v>
      </c>
      <c r="H1094" s="232"/>
      <c r="I1094" s="233"/>
      <c r="J1094" s="14">
        <v>10</v>
      </c>
      <c r="K1094" s="138">
        <v>3</v>
      </c>
      <c r="L1094" s="138">
        <v>30</v>
      </c>
    </row>
    <row r="1095" spans="1:12" x14ac:dyDescent="0.25">
      <c r="A1095" s="1">
        <v>1094</v>
      </c>
      <c r="B1095" s="1">
        <v>315</v>
      </c>
      <c r="C1095" s="232" t="s">
        <v>3484</v>
      </c>
      <c r="D1095" s="232" t="s">
        <v>2554</v>
      </c>
      <c r="E1095" s="1" t="s">
        <v>3560</v>
      </c>
      <c r="F1095" s="232" t="s">
        <v>2604</v>
      </c>
      <c r="G1095" s="1" t="s">
        <v>3540</v>
      </c>
      <c r="H1095" s="232"/>
      <c r="I1095" s="233"/>
      <c r="J1095" s="14">
        <v>1</v>
      </c>
      <c r="K1095" s="138">
        <v>77</v>
      </c>
      <c r="L1095" s="138">
        <v>77</v>
      </c>
    </row>
    <row r="1096" spans="1:12" x14ac:dyDescent="0.25">
      <c r="A1096" s="1">
        <v>1095</v>
      </c>
      <c r="B1096" s="1">
        <v>315</v>
      </c>
      <c r="C1096" s="232" t="s">
        <v>3485</v>
      </c>
      <c r="D1096" s="232" t="s">
        <v>2554</v>
      </c>
      <c r="E1096" s="1" t="s">
        <v>3560</v>
      </c>
      <c r="F1096" s="232" t="s">
        <v>2607</v>
      </c>
      <c r="G1096" s="1" t="s">
        <v>3541</v>
      </c>
      <c r="H1096" s="232"/>
      <c r="I1096" s="233"/>
      <c r="J1096" s="14">
        <v>1</v>
      </c>
      <c r="K1096" s="138">
        <v>22</v>
      </c>
      <c r="L1096" s="138">
        <v>22</v>
      </c>
    </row>
    <row r="1097" spans="1:12" x14ac:dyDescent="0.25">
      <c r="A1097" s="1">
        <v>1096</v>
      </c>
      <c r="B1097" s="1">
        <v>315</v>
      </c>
      <c r="C1097" s="232" t="s">
        <v>3486</v>
      </c>
      <c r="D1097" s="232" t="s">
        <v>2554</v>
      </c>
      <c r="E1097" s="1" t="s">
        <v>3560</v>
      </c>
      <c r="F1097" s="232" t="s">
        <v>2610</v>
      </c>
      <c r="G1097" s="1" t="s">
        <v>3542</v>
      </c>
      <c r="H1097" s="232"/>
      <c r="I1097" s="233"/>
      <c r="J1097" s="14">
        <v>1</v>
      </c>
      <c r="K1097" s="138">
        <v>0.4</v>
      </c>
      <c r="L1097" s="138">
        <v>0.4</v>
      </c>
    </row>
    <row r="1098" spans="1:12" x14ac:dyDescent="0.25">
      <c r="A1098" s="1">
        <v>1097</v>
      </c>
      <c r="B1098" s="1">
        <v>315</v>
      </c>
      <c r="C1098" s="232" t="s">
        <v>3487</v>
      </c>
      <c r="D1098" s="232" t="s">
        <v>2554</v>
      </c>
      <c r="E1098" s="1" t="s">
        <v>3560</v>
      </c>
      <c r="F1098" s="232" t="s">
        <v>2613</v>
      </c>
      <c r="G1098" s="1" t="s">
        <v>3543</v>
      </c>
      <c r="H1098" s="232"/>
      <c r="I1098" s="233"/>
      <c r="J1098" s="14">
        <v>1</v>
      </c>
      <c r="K1098" s="138">
        <v>45</v>
      </c>
      <c r="L1098" s="138">
        <v>45</v>
      </c>
    </row>
    <row r="1099" spans="1:12" x14ac:dyDescent="0.25">
      <c r="A1099" s="1">
        <v>1098</v>
      </c>
      <c r="B1099" s="1">
        <v>316</v>
      </c>
      <c r="C1099" s="232" t="s">
        <v>3504</v>
      </c>
      <c r="D1099" s="232" t="s">
        <v>2557</v>
      </c>
      <c r="E1099" s="1" t="s">
        <v>3563</v>
      </c>
      <c r="F1099" s="232" t="s">
        <v>2794</v>
      </c>
      <c r="G1099" s="1" t="s">
        <v>3555</v>
      </c>
      <c r="H1099" s="232"/>
      <c r="I1099" s="233"/>
      <c r="J1099" s="14">
        <v>50</v>
      </c>
      <c r="K1099" s="138">
        <v>1.7</v>
      </c>
      <c r="L1099" s="138">
        <v>85</v>
      </c>
    </row>
    <row r="1100" spans="1:12" x14ac:dyDescent="0.25">
      <c r="A1100" s="1">
        <v>1099</v>
      </c>
      <c r="B1100" s="1">
        <v>317</v>
      </c>
      <c r="C1100" s="232" t="s">
        <v>3470</v>
      </c>
      <c r="D1100" s="232" t="s">
        <v>2552</v>
      </c>
      <c r="E1100" s="1" t="s">
        <v>3558</v>
      </c>
      <c r="F1100" s="232" t="s">
        <v>2562</v>
      </c>
      <c r="G1100" s="1" t="s">
        <v>3514</v>
      </c>
      <c r="H1100" s="232"/>
      <c r="I1100" s="233"/>
      <c r="J1100" s="14">
        <v>2</v>
      </c>
      <c r="K1100" s="138">
        <v>6</v>
      </c>
      <c r="L1100" s="138">
        <v>12</v>
      </c>
    </row>
    <row r="1101" spans="1:12" x14ac:dyDescent="0.25">
      <c r="A1101" s="1">
        <v>1100</v>
      </c>
      <c r="B1101" s="1">
        <v>317</v>
      </c>
      <c r="C1101" s="232" t="s">
        <v>3473</v>
      </c>
      <c r="D1101" s="232" t="s">
        <v>2552</v>
      </c>
      <c r="E1101" s="1" t="s">
        <v>3558</v>
      </c>
      <c r="F1101" s="232" t="s">
        <v>2571</v>
      </c>
      <c r="G1101" s="1" t="s">
        <v>3518</v>
      </c>
      <c r="H1101" s="232"/>
      <c r="I1101" s="233"/>
      <c r="J1101" s="14">
        <v>300</v>
      </c>
      <c r="K1101" s="138">
        <v>5</v>
      </c>
      <c r="L1101" s="138">
        <v>1500</v>
      </c>
    </row>
    <row r="1102" spans="1:12" x14ac:dyDescent="0.25">
      <c r="A1102" s="1">
        <v>1101</v>
      </c>
      <c r="B1102" s="1">
        <v>317</v>
      </c>
      <c r="C1102" s="232" t="s">
        <v>3497</v>
      </c>
      <c r="D1102" s="232" t="s">
        <v>2552</v>
      </c>
      <c r="E1102" s="1" t="s">
        <v>3558</v>
      </c>
      <c r="F1102" s="232" t="s">
        <v>2753</v>
      </c>
      <c r="G1102" s="1" t="s">
        <v>3520</v>
      </c>
      <c r="H1102" s="232"/>
      <c r="I1102" s="233"/>
      <c r="J1102" s="14">
        <v>12</v>
      </c>
      <c r="K1102" s="138">
        <v>10</v>
      </c>
      <c r="L1102" s="138">
        <v>120</v>
      </c>
    </row>
    <row r="1103" spans="1:12" x14ac:dyDescent="0.25">
      <c r="A1103" s="1">
        <v>1102</v>
      </c>
      <c r="B1103" s="1">
        <v>317</v>
      </c>
      <c r="C1103" s="232" t="s">
        <v>3475</v>
      </c>
      <c r="D1103" s="232" t="s">
        <v>2552</v>
      </c>
      <c r="E1103" s="1" t="s">
        <v>3558</v>
      </c>
      <c r="F1103" s="232" t="s">
        <v>2577</v>
      </c>
      <c r="G1103" s="1" t="s">
        <v>3523</v>
      </c>
      <c r="H1103" s="232"/>
      <c r="I1103" s="233"/>
      <c r="J1103" s="14">
        <v>12</v>
      </c>
      <c r="K1103" s="138">
        <v>42</v>
      </c>
      <c r="L1103" s="138">
        <v>504</v>
      </c>
    </row>
    <row r="1104" spans="1:12" x14ac:dyDescent="0.25">
      <c r="A1104" s="1">
        <v>1103</v>
      </c>
      <c r="B1104" s="1">
        <v>317</v>
      </c>
      <c r="C1104" s="232" t="s">
        <v>3476</v>
      </c>
      <c r="D1104" s="232" t="s">
        <v>2552</v>
      </c>
      <c r="E1104" s="1" t="s">
        <v>3558</v>
      </c>
      <c r="F1104" s="232" t="s">
        <v>2580</v>
      </c>
      <c r="G1104" s="1" t="s">
        <v>3524</v>
      </c>
      <c r="H1104" s="232"/>
      <c r="I1104" s="233"/>
      <c r="J1104" s="14">
        <v>12</v>
      </c>
      <c r="K1104" s="138">
        <v>6</v>
      </c>
      <c r="L1104" s="138">
        <v>72</v>
      </c>
    </row>
    <row r="1105" spans="1:12" x14ac:dyDescent="0.25">
      <c r="A1105" s="1">
        <v>1104</v>
      </c>
      <c r="B1105" s="1">
        <v>318</v>
      </c>
      <c r="C1105" s="232" t="s">
        <v>3477</v>
      </c>
      <c r="D1105" s="232" t="s">
        <v>2553</v>
      </c>
      <c r="E1105" s="1" t="s">
        <v>3559</v>
      </c>
      <c r="F1105" s="232" t="s">
        <v>2583</v>
      </c>
      <c r="G1105" s="1" t="s">
        <v>3527</v>
      </c>
      <c r="H1105" s="232"/>
      <c r="I1105" s="233"/>
      <c r="J1105" s="14">
        <v>2</v>
      </c>
      <c r="K1105" s="138">
        <v>20</v>
      </c>
      <c r="L1105" s="138">
        <v>40</v>
      </c>
    </row>
    <row r="1106" spans="1:12" x14ac:dyDescent="0.25">
      <c r="A1106" s="1">
        <v>1105</v>
      </c>
      <c r="B1106" s="1">
        <v>318</v>
      </c>
      <c r="C1106" s="232" t="s">
        <v>3478</v>
      </c>
      <c r="D1106" s="232" t="s">
        <v>2553</v>
      </c>
      <c r="E1106" s="1" t="s">
        <v>3559</v>
      </c>
      <c r="F1106" s="232" t="s">
        <v>2586</v>
      </c>
      <c r="G1106" s="1" t="s">
        <v>3528</v>
      </c>
      <c r="H1106" s="232"/>
      <c r="I1106" s="233"/>
      <c r="J1106" s="14">
        <v>20</v>
      </c>
      <c r="K1106" s="138">
        <v>18</v>
      </c>
      <c r="L1106" s="138">
        <v>360</v>
      </c>
    </row>
    <row r="1107" spans="1:12" x14ac:dyDescent="0.25">
      <c r="A1107" s="1">
        <v>1106</v>
      </c>
      <c r="B1107" s="1">
        <v>318</v>
      </c>
      <c r="C1107" s="232" t="s">
        <v>3490</v>
      </c>
      <c r="D1107" s="232" t="s">
        <v>2553</v>
      </c>
      <c r="E1107" s="1" t="s">
        <v>3559</v>
      </c>
      <c r="F1107" s="232" t="s">
        <v>2630</v>
      </c>
      <c r="G1107" s="1" t="s">
        <v>3529</v>
      </c>
      <c r="H1107" s="232"/>
      <c r="I1107" s="233"/>
      <c r="J1107" s="14">
        <v>100</v>
      </c>
      <c r="K1107" s="138">
        <v>18</v>
      </c>
      <c r="L1107" s="138">
        <v>1800</v>
      </c>
    </row>
    <row r="1108" spans="1:12" x14ac:dyDescent="0.25">
      <c r="A1108" s="1">
        <v>1107</v>
      </c>
      <c r="B1108" s="1">
        <v>318</v>
      </c>
      <c r="C1108" s="232" t="s">
        <v>3479</v>
      </c>
      <c r="D1108" s="232" t="s">
        <v>2553</v>
      </c>
      <c r="E1108" s="1" t="s">
        <v>3559</v>
      </c>
      <c r="F1108" s="232" t="s">
        <v>2589</v>
      </c>
      <c r="G1108" s="1" t="s">
        <v>3530</v>
      </c>
      <c r="H1108" s="232"/>
      <c r="I1108" s="233"/>
      <c r="J1108" s="14">
        <v>1</v>
      </c>
      <c r="K1108" s="138">
        <v>70</v>
      </c>
      <c r="L1108" s="138">
        <v>70</v>
      </c>
    </row>
    <row r="1109" spans="1:12" x14ac:dyDescent="0.25">
      <c r="A1109" s="1">
        <v>1108</v>
      </c>
      <c r="B1109" s="1">
        <v>318</v>
      </c>
      <c r="C1109" s="232" t="s">
        <v>3491</v>
      </c>
      <c r="D1109" s="232" t="s">
        <v>2553</v>
      </c>
      <c r="E1109" s="1" t="s">
        <v>3559</v>
      </c>
      <c r="F1109" s="232" t="s">
        <v>2635</v>
      </c>
      <c r="G1109" s="1" t="s">
        <v>3531</v>
      </c>
      <c r="H1109" s="232"/>
      <c r="I1109" s="233"/>
      <c r="J1109" s="14">
        <v>1</v>
      </c>
      <c r="K1109" s="138">
        <v>40</v>
      </c>
      <c r="L1109" s="138">
        <v>40</v>
      </c>
    </row>
    <row r="1110" spans="1:12" x14ac:dyDescent="0.25">
      <c r="A1110" s="1">
        <v>1109</v>
      </c>
      <c r="B1110" s="1">
        <v>318</v>
      </c>
      <c r="C1110" s="232" t="s">
        <v>3480</v>
      </c>
      <c r="D1110" s="232" t="s">
        <v>2553</v>
      </c>
      <c r="E1110" s="1" t="s">
        <v>3559</v>
      </c>
      <c r="F1110" s="232" t="s">
        <v>2592</v>
      </c>
      <c r="G1110" s="1" t="s">
        <v>3533</v>
      </c>
      <c r="H1110" s="232"/>
      <c r="I1110" s="233"/>
      <c r="J1110" s="14">
        <v>3</v>
      </c>
      <c r="K1110" s="138">
        <v>7</v>
      </c>
      <c r="L1110" s="138">
        <v>21</v>
      </c>
    </row>
    <row r="1111" spans="1:12" x14ac:dyDescent="0.25">
      <c r="A1111" s="1">
        <v>1110</v>
      </c>
      <c r="B1111" s="1">
        <v>318</v>
      </c>
      <c r="C1111" s="232" t="s">
        <v>3493</v>
      </c>
      <c r="D1111" s="232" t="s">
        <v>2553</v>
      </c>
      <c r="E1111" s="1" t="s">
        <v>3559</v>
      </c>
      <c r="F1111" s="232" t="s">
        <v>2689</v>
      </c>
      <c r="G1111" s="1" t="s">
        <v>3534</v>
      </c>
      <c r="H1111" s="232"/>
      <c r="I1111" s="233"/>
      <c r="J1111" s="14">
        <v>1</v>
      </c>
      <c r="K1111" s="138">
        <v>50</v>
      </c>
      <c r="L1111" s="138">
        <v>50</v>
      </c>
    </row>
    <row r="1112" spans="1:12" x14ac:dyDescent="0.25">
      <c r="A1112" s="1">
        <v>1111</v>
      </c>
      <c r="B1112" s="1">
        <v>319</v>
      </c>
      <c r="C1112" s="232" t="s">
        <v>3500</v>
      </c>
      <c r="D1112" s="232" t="s">
        <v>2554</v>
      </c>
      <c r="E1112" s="1" t="s">
        <v>3560</v>
      </c>
      <c r="F1112" s="232" t="s">
        <v>2782</v>
      </c>
      <c r="G1112" s="1" t="s">
        <v>3536</v>
      </c>
      <c r="H1112" s="232"/>
      <c r="I1112" s="233"/>
      <c r="J1112" s="14">
        <v>1</v>
      </c>
      <c r="K1112" s="138">
        <v>10</v>
      </c>
      <c r="L1112" s="138">
        <v>10</v>
      </c>
    </row>
    <row r="1113" spans="1:12" x14ac:dyDescent="0.25">
      <c r="A1113" s="1">
        <v>1112</v>
      </c>
      <c r="B1113" s="1">
        <v>319</v>
      </c>
      <c r="C1113" s="232" t="s">
        <v>3481</v>
      </c>
      <c r="D1113" s="232" t="s">
        <v>2554</v>
      </c>
      <c r="E1113" s="1" t="s">
        <v>3560</v>
      </c>
      <c r="F1113" s="232" t="s">
        <v>2595</v>
      </c>
      <c r="G1113" s="1" t="s">
        <v>3537</v>
      </c>
      <c r="H1113" s="232"/>
      <c r="I1113" s="233"/>
      <c r="J1113" s="14">
        <v>1</v>
      </c>
      <c r="K1113" s="138">
        <v>0.5</v>
      </c>
      <c r="L1113" s="138">
        <v>0.5</v>
      </c>
    </row>
    <row r="1114" spans="1:12" x14ac:dyDescent="0.25">
      <c r="A1114" s="1">
        <v>1113</v>
      </c>
      <c r="B1114" s="1">
        <v>319</v>
      </c>
      <c r="C1114" s="232" t="s">
        <v>3482</v>
      </c>
      <c r="D1114" s="232" t="s">
        <v>2554</v>
      </c>
      <c r="E1114" s="1" t="s">
        <v>3560</v>
      </c>
      <c r="F1114" s="232" t="s">
        <v>2598</v>
      </c>
      <c r="G1114" s="1" t="s">
        <v>3538</v>
      </c>
      <c r="H1114" s="232"/>
      <c r="I1114" s="233"/>
      <c r="J1114" s="14">
        <v>6</v>
      </c>
      <c r="K1114" s="138">
        <v>3</v>
      </c>
      <c r="L1114" s="138">
        <v>18</v>
      </c>
    </row>
    <row r="1115" spans="1:12" x14ac:dyDescent="0.25">
      <c r="A1115" s="1">
        <v>1114</v>
      </c>
      <c r="B1115" s="1">
        <v>319</v>
      </c>
      <c r="C1115" s="232" t="s">
        <v>3483</v>
      </c>
      <c r="D1115" s="232" t="s">
        <v>2554</v>
      </c>
      <c r="E1115" s="1" t="s">
        <v>3560</v>
      </c>
      <c r="F1115" s="232" t="s">
        <v>2601</v>
      </c>
      <c r="G1115" s="1" t="s">
        <v>3539</v>
      </c>
      <c r="H1115" s="232"/>
      <c r="I1115" s="233"/>
      <c r="J1115" s="14">
        <v>6</v>
      </c>
      <c r="K1115" s="138">
        <v>3</v>
      </c>
      <c r="L1115" s="138">
        <v>18</v>
      </c>
    </row>
    <row r="1116" spans="1:12" x14ac:dyDescent="0.25">
      <c r="A1116" s="1">
        <v>1115</v>
      </c>
      <c r="B1116" s="1">
        <v>320</v>
      </c>
      <c r="C1116" s="232" t="s">
        <v>3489</v>
      </c>
      <c r="D1116" s="232" t="s">
        <v>2556</v>
      </c>
      <c r="E1116" s="1" t="s">
        <v>3562</v>
      </c>
      <c r="F1116" s="232" t="s">
        <v>2619</v>
      </c>
      <c r="G1116" s="1" t="s">
        <v>3550</v>
      </c>
      <c r="H1116" s="232"/>
      <c r="I1116" s="233"/>
      <c r="J1116" s="14">
        <v>1</v>
      </c>
      <c r="K1116" s="138">
        <v>95</v>
      </c>
      <c r="L1116" s="138">
        <v>95</v>
      </c>
    </row>
    <row r="1117" spans="1:12" x14ac:dyDescent="0.25">
      <c r="A1117" s="1">
        <v>1116</v>
      </c>
      <c r="B1117" s="1">
        <v>320</v>
      </c>
      <c r="C1117" s="232" t="s">
        <v>3509</v>
      </c>
      <c r="D1117" s="232" t="s">
        <v>2556</v>
      </c>
      <c r="E1117" s="1" t="s">
        <v>3562</v>
      </c>
      <c r="F1117" s="232" t="s">
        <v>3009</v>
      </c>
      <c r="G1117" s="1" t="s">
        <v>3552</v>
      </c>
      <c r="H1117" s="232"/>
      <c r="I1117" s="233"/>
      <c r="J1117" s="14">
        <v>1</v>
      </c>
      <c r="K1117" s="138">
        <v>3</v>
      </c>
      <c r="L1117" s="138">
        <v>3</v>
      </c>
    </row>
    <row r="1118" spans="1:12" x14ac:dyDescent="0.25">
      <c r="A1118" s="1">
        <v>1117</v>
      </c>
      <c r="B1118" s="1">
        <v>320</v>
      </c>
      <c r="C1118" s="232" t="s">
        <v>3508</v>
      </c>
      <c r="D1118" s="232" t="s">
        <v>2556</v>
      </c>
      <c r="E1118" s="1" t="s">
        <v>3562</v>
      </c>
      <c r="F1118" s="232" t="s">
        <v>2900</v>
      </c>
      <c r="G1118" s="1" t="s">
        <v>3553</v>
      </c>
      <c r="H1118" s="232"/>
      <c r="I1118" s="233"/>
      <c r="J1118" s="14">
        <v>1</v>
      </c>
      <c r="K1118" s="138">
        <v>4</v>
      </c>
      <c r="L1118" s="138">
        <v>4</v>
      </c>
    </row>
    <row r="1119" spans="1:12" x14ac:dyDescent="0.25">
      <c r="A1119" s="1">
        <v>1118</v>
      </c>
      <c r="B1119" s="1">
        <v>321</v>
      </c>
      <c r="C1119" s="232" t="s">
        <v>3489</v>
      </c>
      <c r="D1119" s="232" t="s">
        <v>2556</v>
      </c>
      <c r="E1119" s="1" t="s">
        <v>3562</v>
      </c>
      <c r="F1119" s="232" t="s">
        <v>2619</v>
      </c>
      <c r="G1119" s="1" t="s">
        <v>3550</v>
      </c>
      <c r="H1119" s="232"/>
      <c r="I1119" s="233"/>
      <c r="J1119" s="14">
        <v>1</v>
      </c>
      <c r="K1119" s="138">
        <v>95</v>
      </c>
      <c r="L1119" s="138">
        <v>95</v>
      </c>
    </row>
    <row r="1120" spans="1:12" x14ac:dyDescent="0.25">
      <c r="A1120" s="1">
        <v>1119</v>
      </c>
      <c r="B1120" s="1">
        <v>321</v>
      </c>
      <c r="C1120" s="232" t="s">
        <v>3509</v>
      </c>
      <c r="D1120" s="232" t="s">
        <v>2556</v>
      </c>
      <c r="E1120" s="1" t="s">
        <v>3562</v>
      </c>
      <c r="F1120" s="232" t="s">
        <v>3009</v>
      </c>
      <c r="G1120" s="1" t="s">
        <v>3552</v>
      </c>
      <c r="H1120" s="232"/>
      <c r="I1120" s="233"/>
      <c r="J1120" s="14">
        <v>1</v>
      </c>
      <c r="K1120" s="138">
        <v>3</v>
      </c>
      <c r="L1120" s="138">
        <v>3</v>
      </c>
    </row>
    <row r="1121" spans="1:12" x14ac:dyDescent="0.25">
      <c r="A1121" s="1">
        <v>1120</v>
      </c>
      <c r="B1121" s="1">
        <v>321</v>
      </c>
      <c r="C1121" s="232" t="s">
        <v>3508</v>
      </c>
      <c r="D1121" s="232" t="s">
        <v>2556</v>
      </c>
      <c r="E1121" s="1" t="s">
        <v>3562</v>
      </c>
      <c r="F1121" s="232" t="s">
        <v>2900</v>
      </c>
      <c r="G1121" s="1" t="s">
        <v>3553</v>
      </c>
      <c r="H1121" s="232"/>
      <c r="I1121" s="233"/>
      <c r="J1121" s="14">
        <v>1</v>
      </c>
      <c r="K1121" s="138">
        <v>4</v>
      </c>
      <c r="L1121" s="138">
        <v>4</v>
      </c>
    </row>
    <row r="1122" spans="1:12" x14ac:dyDescent="0.25">
      <c r="A1122" s="1">
        <v>1121</v>
      </c>
      <c r="B1122" s="1">
        <v>322</v>
      </c>
      <c r="C1122" s="232" t="s">
        <v>3470</v>
      </c>
      <c r="D1122" s="232" t="s">
        <v>2552</v>
      </c>
      <c r="E1122" s="1" t="s">
        <v>3558</v>
      </c>
      <c r="F1122" s="232" t="s">
        <v>2562</v>
      </c>
      <c r="G1122" s="1" t="s">
        <v>3514</v>
      </c>
      <c r="H1122" s="232"/>
      <c r="I1122" s="233"/>
      <c r="J1122" s="14">
        <v>2</v>
      </c>
      <c r="K1122" s="138">
        <v>6</v>
      </c>
      <c r="L1122" s="138">
        <v>12</v>
      </c>
    </row>
    <row r="1123" spans="1:12" x14ac:dyDescent="0.25">
      <c r="A1123" s="1">
        <v>1122</v>
      </c>
      <c r="B1123" s="1">
        <v>322</v>
      </c>
      <c r="C1123" s="232" t="s">
        <v>3473</v>
      </c>
      <c r="D1123" s="232" t="s">
        <v>2552</v>
      </c>
      <c r="E1123" s="1" t="s">
        <v>3558</v>
      </c>
      <c r="F1123" s="232" t="s">
        <v>2571</v>
      </c>
      <c r="G1123" s="1" t="s">
        <v>3518</v>
      </c>
      <c r="H1123" s="232"/>
      <c r="I1123" s="233"/>
      <c r="J1123" s="14">
        <v>200</v>
      </c>
      <c r="K1123" s="138">
        <v>5</v>
      </c>
      <c r="L1123" s="138">
        <v>1000</v>
      </c>
    </row>
    <row r="1124" spans="1:12" x14ac:dyDescent="0.25">
      <c r="A1124" s="1">
        <v>1123</v>
      </c>
      <c r="B1124" s="1">
        <v>322</v>
      </c>
      <c r="C1124" s="232" t="s">
        <v>3497</v>
      </c>
      <c r="D1124" s="232" t="s">
        <v>2552</v>
      </c>
      <c r="E1124" s="1" t="s">
        <v>3558</v>
      </c>
      <c r="F1124" s="232" t="s">
        <v>2753</v>
      </c>
      <c r="G1124" s="1" t="s">
        <v>3520</v>
      </c>
      <c r="H1124" s="232"/>
      <c r="I1124" s="233"/>
      <c r="J1124" s="14">
        <v>10</v>
      </c>
      <c r="K1124" s="138">
        <v>10</v>
      </c>
      <c r="L1124" s="138">
        <v>100</v>
      </c>
    </row>
    <row r="1125" spans="1:12" x14ac:dyDescent="0.25">
      <c r="A1125" s="1">
        <v>1124</v>
      </c>
      <c r="B1125" s="1">
        <v>322</v>
      </c>
      <c r="C1125" s="232" t="s">
        <v>3474</v>
      </c>
      <c r="D1125" s="232" t="s">
        <v>2552</v>
      </c>
      <c r="E1125" s="1" t="s">
        <v>3558</v>
      </c>
      <c r="F1125" s="232" t="s">
        <v>2574</v>
      </c>
      <c r="G1125" s="1" t="s">
        <v>3521</v>
      </c>
      <c r="H1125" s="232"/>
      <c r="I1125" s="233"/>
      <c r="J1125" s="14">
        <v>10</v>
      </c>
      <c r="K1125" s="138">
        <v>77</v>
      </c>
      <c r="L1125" s="138">
        <v>770</v>
      </c>
    </row>
    <row r="1126" spans="1:12" x14ac:dyDescent="0.25">
      <c r="A1126" s="1">
        <v>1125</v>
      </c>
      <c r="B1126" s="1">
        <v>322</v>
      </c>
      <c r="C1126" s="232" t="s">
        <v>3475</v>
      </c>
      <c r="D1126" s="232" t="s">
        <v>2552</v>
      </c>
      <c r="E1126" s="1" t="s">
        <v>3558</v>
      </c>
      <c r="F1126" s="232" t="s">
        <v>2577</v>
      </c>
      <c r="G1126" s="1" t="s">
        <v>3523</v>
      </c>
      <c r="H1126" s="232"/>
      <c r="I1126" s="233"/>
      <c r="J1126" s="14">
        <v>10</v>
      </c>
      <c r="K1126" s="138">
        <v>42</v>
      </c>
      <c r="L1126" s="138">
        <v>420</v>
      </c>
    </row>
    <row r="1127" spans="1:12" x14ac:dyDescent="0.25">
      <c r="A1127" s="1">
        <v>1126</v>
      </c>
      <c r="B1127" s="1">
        <v>322</v>
      </c>
      <c r="C1127" s="232" t="s">
        <v>3476</v>
      </c>
      <c r="D1127" s="232" t="s">
        <v>2552</v>
      </c>
      <c r="E1127" s="1" t="s">
        <v>3558</v>
      </c>
      <c r="F1127" s="232" t="s">
        <v>2580</v>
      </c>
      <c r="G1127" s="1" t="s">
        <v>3524</v>
      </c>
      <c r="H1127" s="232"/>
      <c r="I1127" s="233"/>
      <c r="J1127" s="14">
        <v>10</v>
      </c>
      <c r="K1127" s="138">
        <v>6</v>
      </c>
      <c r="L1127" s="138">
        <v>60</v>
      </c>
    </row>
    <row r="1128" spans="1:12" x14ac:dyDescent="0.25">
      <c r="A1128" s="1">
        <v>1127</v>
      </c>
      <c r="B1128" s="1">
        <v>323</v>
      </c>
      <c r="C1128" s="232" t="s">
        <v>3477</v>
      </c>
      <c r="D1128" s="232" t="s">
        <v>2553</v>
      </c>
      <c r="E1128" s="1" t="s">
        <v>3559</v>
      </c>
      <c r="F1128" s="232" t="s">
        <v>2583</v>
      </c>
      <c r="G1128" s="1" t="s">
        <v>3527</v>
      </c>
      <c r="H1128" s="232"/>
      <c r="I1128" s="233"/>
      <c r="J1128" s="14">
        <v>2</v>
      </c>
      <c r="K1128" s="138">
        <v>20</v>
      </c>
      <c r="L1128" s="138">
        <v>40</v>
      </c>
    </row>
    <row r="1129" spans="1:12" x14ac:dyDescent="0.25">
      <c r="A1129" s="1">
        <v>1128</v>
      </c>
      <c r="B1129" s="1">
        <v>323</v>
      </c>
      <c r="C1129" s="232" t="s">
        <v>3478</v>
      </c>
      <c r="D1129" s="232" t="s">
        <v>2553</v>
      </c>
      <c r="E1129" s="1" t="s">
        <v>3559</v>
      </c>
      <c r="F1129" s="232" t="s">
        <v>2586</v>
      </c>
      <c r="G1129" s="1" t="s">
        <v>3528</v>
      </c>
      <c r="H1129" s="232"/>
      <c r="I1129" s="233"/>
      <c r="J1129" s="14">
        <v>10</v>
      </c>
      <c r="K1129" s="138">
        <v>18</v>
      </c>
      <c r="L1129" s="138">
        <v>180</v>
      </c>
    </row>
    <row r="1130" spans="1:12" x14ac:dyDescent="0.25">
      <c r="A1130" s="1">
        <v>1129</v>
      </c>
      <c r="B1130" s="1">
        <v>323</v>
      </c>
      <c r="C1130" s="232" t="s">
        <v>3490</v>
      </c>
      <c r="D1130" s="232" t="s">
        <v>2553</v>
      </c>
      <c r="E1130" s="1" t="s">
        <v>3559</v>
      </c>
      <c r="F1130" s="232" t="s">
        <v>2630</v>
      </c>
      <c r="G1130" s="1" t="s">
        <v>3529</v>
      </c>
      <c r="H1130" s="232"/>
      <c r="I1130" s="233"/>
      <c r="J1130" s="14">
        <v>100</v>
      </c>
      <c r="K1130" s="138">
        <v>18</v>
      </c>
      <c r="L1130" s="138">
        <v>1800</v>
      </c>
    </row>
    <row r="1131" spans="1:12" x14ac:dyDescent="0.25">
      <c r="A1131" s="1">
        <v>1130</v>
      </c>
      <c r="B1131" s="1">
        <v>323</v>
      </c>
      <c r="C1131" s="232" t="s">
        <v>3479</v>
      </c>
      <c r="D1131" s="232" t="s">
        <v>2553</v>
      </c>
      <c r="E1131" s="1" t="s">
        <v>3559</v>
      </c>
      <c r="F1131" s="232" t="s">
        <v>2589</v>
      </c>
      <c r="G1131" s="1" t="s">
        <v>3530</v>
      </c>
      <c r="H1131" s="232"/>
      <c r="I1131" s="233"/>
      <c r="J1131" s="14">
        <v>1</v>
      </c>
      <c r="K1131" s="138">
        <v>70</v>
      </c>
      <c r="L1131" s="138">
        <v>70</v>
      </c>
    </row>
    <row r="1132" spans="1:12" x14ac:dyDescent="0.25">
      <c r="A1132" s="1">
        <v>1131</v>
      </c>
      <c r="B1132" s="1">
        <v>323</v>
      </c>
      <c r="C1132" s="232" t="s">
        <v>3491</v>
      </c>
      <c r="D1132" s="232" t="s">
        <v>2553</v>
      </c>
      <c r="E1132" s="1" t="s">
        <v>3559</v>
      </c>
      <c r="F1132" s="232" t="s">
        <v>2635</v>
      </c>
      <c r="G1132" s="1" t="s">
        <v>3531</v>
      </c>
      <c r="H1132" s="232"/>
      <c r="I1132" s="233"/>
      <c r="J1132" s="14">
        <v>1</v>
      </c>
      <c r="K1132" s="138">
        <v>40</v>
      </c>
      <c r="L1132" s="138">
        <v>40</v>
      </c>
    </row>
    <row r="1133" spans="1:12" x14ac:dyDescent="0.25">
      <c r="A1133" s="1">
        <v>1132</v>
      </c>
      <c r="B1133" s="1">
        <v>323</v>
      </c>
      <c r="C1133" s="232" t="s">
        <v>3480</v>
      </c>
      <c r="D1133" s="232" t="s">
        <v>2553</v>
      </c>
      <c r="E1133" s="1" t="s">
        <v>3559</v>
      </c>
      <c r="F1133" s="232" t="s">
        <v>2592</v>
      </c>
      <c r="G1133" s="1" t="s">
        <v>3533</v>
      </c>
      <c r="H1133" s="232"/>
      <c r="I1133" s="233"/>
      <c r="J1133" s="14">
        <v>3</v>
      </c>
      <c r="K1133" s="138">
        <v>7</v>
      </c>
      <c r="L1133" s="138">
        <v>21</v>
      </c>
    </row>
    <row r="1134" spans="1:12" x14ac:dyDescent="0.25">
      <c r="A1134" s="1">
        <v>1133</v>
      </c>
      <c r="B1134" s="1">
        <v>323</v>
      </c>
      <c r="C1134" s="232" t="s">
        <v>3493</v>
      </c>
      <c r="D1134" s="232" t="s">
        <v>2553</v>
      </c>
      <c r="E1134" s="1" t="s">
        <v>3559</v>
      </c>
      <c r="F1134" s="232" t="s">
        <v>2689</v>
      </c>
      <c r="G1134" s="1" t="s">
        <v>3534</v>
      </c>
      <c r="H1134" s="232"/>
      <c r="I1134" s="233"/>
      <c r="J1134" s="14">
        <v>1</v>
      </c>
      <c r="K1134" s="138">
        <v>50</v>
      </c>
      <c r="L1134" s="138">
        <v>50</v>
      </c>
    </row>
    <row r="1135" spans="1:12" x14ac:dyDescent="0.25">
      <c r="A1135" s="1">
        <v>1134</v>
      </c>
      <c r="B1135" s="1">
        <v>324</v>
      </c>
      <c r="C1135" s="232" t="s">
        <v>3500</v>
      </c>
      <c r="D1135" s="232" t="s">
        <v>2554</v>
      </c>
      <c r="E1135" s="1" t="s">
        <v>3560</v>
      </c>
      <c r="F1135" s="232" t="s">
        <v>2782</v>
      </c>
      <c r="G1135" s="1" t="s">
        <v>3536</v>
      </c>
      <c r="H1135" s="232"/>
      <c r="I1135" s="233"/>
      <c r="J1135" s="14">
        <v>1</v>
      </c>
      <c r="K1135" s="138">
        <v>10</v>
      </c>
      <c r="L1135" s="138">
        <v>10</v>
      </c>
    </row>
    <row r="1136" spans="1:12" x14ac:dyDescent="0.25">
      <c r="A1136" s="1">
        <v>1135</v>
      </c>
      <c r="B1136" s="1">
        <v>324</v>
      </c>
      <c r="C1136" s="232" t="s">
        <v>3481</v>
      </c>
      <c r="D1136" s="232" t="s">
        <v>2554</v>
      </c>
      <c r="E1136" s="1" t="s">
        <v>3560</v>
      </c>
      <c r="F1136" s="232" t="s">
        <v>2595</v>
      </c>
      <c r="G1136" s="1" t="s">
        <v>3537</v>
      </c>
      <c r="H1136" s="232"/>
      <c r="I1136" s="233"/>
      <c r="J1136" s="14">
        <v>1</v>
      </c>
      <c r="K1136" s="138">
        <v>0.5</v>
      </c>
      <c r="L1136" s="138">
        <v>0.5</v>
      </c>
    </row>
    <row r="1137" spans="1:12" x14ac:dyDescent="0.25">
      <c r="A1137" s="1">
        <v>1136</v>
      </c>
      <c r="B1137" s="1">
        <v>324</v>
      </c>
      <c r="C1137" s="232" t="s">
        <v>3482</v>
      </c>
      <c r="D1137" s="232" t="s">
        <v>2554</v>
      </c>
      <c r="E1137" s="1" t="s">
        <v>3560</v>
      </c>
      <c r="F1137" s="232" t="s">
        <v>2598</v>
      </c>
      <c r="G1137" s="1" t="s">
        <v>3538</v>
      </c>
      <c r="H1137" s="232"/>
      <c r="I1137" s="233"/>
      <c r="J1137" s="14">
        <v>6</v>
      </c>
      <c r="K1137" s="138">
        <v>3</v>
      </c>
      <c r="L1137" s="138">
        <v>18</v>
      </c>
    </row>
    <row r="1138" spans="1:12" x14ac:dyDescent="0.25">
      <c r="A1138" s="1">
        <v>1137</v>
      </c>
      <c r="B1138" s="1">
        <v>324</v>
      </c>
      <c r="C1138" s="232" t="s">
        <v>3483</v>
      </c>
      <c r="D1138" s="232" t="s">
        <v>2554</v>
      </c>
      <c r="E1138" s="1" t="s">
        <v>3560</v>
      </c>
      <c r="F1138" s="232" t="s">
        <v>2601</v>
      </c>
      <c r="G1138" s="1" t="s">
        <v>3539</v>
      </c>
      <c r="H1138" s="232"/>
      <c r="I1138" s="233"/>
      <c r="J1138" s="14">
        <v>6</v>
      </c>
      <c r="K1138" s="138">
        <v>3</v>
      </c>
      <c r="L1138" s="138">
        <v>18</v>
      </c>
    </row>
    <row r="1139" spans="1:12" x14ac:dyDescent="0.25">
      <c r="A1139" s="1">
        <v>1138</v>
      </c>
      <c r="B1139" s="1">
        <v>324</v>
      </c>
      <c r="C1139" s="232" t="s">
        <v>3484</v>
      </c>
      <c r="D1139" s="232" t="s">
        <v>2554</v>
      </c>
      <c r="E1139" s="1" t="s">
        <v>3560</v>
      </c>
      <c r="F1139" s="232" t="s">
        <v>2604</v>
      </c>
      <c r="G1139" s="1" t="s">
        <v>3540</v>
      </c>
      <c r="H1139" s="232"/>
      <c r="I1139" s="233"/>
      <c r="J1139" s="14">
        <v>1</v>
      </c>
      <c r="K1139" s="138">
        <v>77</v>
      </c>
      <c r="L1139" s="138">
        <v>77</v>
      </c>
    </row>
    <row r="1140" spans="1:12" x14ac:dyDescent="0.25">
      <c r="A1140" s="1">
        <v>1139</v>
      </c>
      <c r="B1140" s="1">
        <v>324</v>
      </c>
      <c r="C1140" s="232" t="s">
        <v>3485</v>
      </c>
      <c r="D1140" s="232" t="s">
        <v>2554</v>
      </c>
      <c r="E1140" s="1" t="s">
        <v>3560</v>
      </c>
      <c r="F1140" s="232" t="s">
        <v>2607</v>
      </c>
      <c r="G1140" s="1" t="s">
        <v>3541</v>
      </c>
      <c r="H1140" s="232"/>
      <c r="I1140" s="233"/>
      <c r="J1140" s="14">
        <v>1</v>
      </c>
      <c r="K1140" s="138">
        <v>22</v>
      </c>
      <c r="L1140" s="138">
        <v>22</v>
      </c>
    </row>
    <row r="1141" spans="1:12" x14ac:dyDescent="0.25">
      <c r="A1141" s="1">
        <v>1140</v>
      </c>
      <c r="B1141" s="1">
        <v>324</v>
      </c>
      <c r="C1141" s="232" t="s">
        <v>3486</v>
      </c>
      <c r="D1141" s="232" t="s">
        <v>2554</v>
      </c>
      <c r="E1141" s="1" t="s">
        <v>3560</v>
      </c>
      <c r="F1141" s="232" t="s">
        <v>2610</v>
      </c>
      <c r="G1141" s="1" t="s">
        <v>3542</v>
      </c>
      <c r="H1141" s="232"/>
      <c r="I1141" s="233"/>
      <c r="J1141" s="14">
        <v>1</v>
      </c>
      <c r="K1141" s="138">
        <v>0.4</v>
      </c>
      <c r="L1141" s="138">
        <v>0.4</v>
      </c>
    </row>
    <row r="1142" spans="1:12" x14ac:dyDescent="0.25">
      <c r="A1142" s="1">
        <v>1141</v>
      </c>
      <c r="B1142" s="1">
        <v>324</v>
      </c>
      <c r="C1142" s="232" t="s">
        <v>3487</v>
      </c>
      <c r="D1142" s="232" t="s">
        <v>2554</v>
      </c>
      <c r="E1142" s="1" t="s">
        <v>3560</v>
      </c>
      <c r="F1142" s="232" t="s">
        <v>2613</v>
      </c>
      <c r="G1142" s="1" t="s">
        <v>3543</v>
      </c>
      <c r="H1142" s="232"/>
      <c r="I1142" s="233"/>
      <c r="J1142" s="14">
        <v>4</v>
      </c>
      <c r="K1142" s="138">
        <v>45</v>
      </c>
      <c r="L1142" s="138">
        <v>180</v>
      </c>
    </row>
    <row r="1143" spans="1:12" x14ac:dyDescent="0.25">
      <c r="A1143" s="1">
        <v>1142</v>
      </c>
      <c r="B1143" s="1">
        <v>325</v>
      </c>
      <c r="C1143" s="232" t="s">
        <v>3489</v>
      </c>
      <c r="D1143" s="232" t="s">
        <v>2556</v>
      </c>
      <c r="E1143" s="1" t="s">
        <v>3562</v>
      </c>
      <c r="F1143" s="232" t="s">
        <v>2619</v>
      </c>
      <c r="G1143" s="1" t="s">
        <v>3550</v>
      </c>
      <c r="H1143" s="232"/>
      <c r="I1143" s="233"/>
      <c r="J1143" s="14">
        <v>1</v>
      </c>
      <c r="K1143" s="138">
        <v>95</v>
      </c>
      <c r="L1143" s="138">
        <v>95</v>
      </c>
    </row>
    <row r="1144" spans="1:12" x14ac:dyDescent="0.25">
      <c r="A1144" s="1">
        <v>1143</v>
      </c>
      <c r="B1144" s="1">
        <v>325</v>
      </c>
      <c r="C1144" s="232" t="s">
        <v>3509</v>
      </c>
      <c r="D1144" s="232" t="s">
        <v>2556</v>
      </c>
      <c r="E1144" s="1" t="s">
        <v>3562</v>
      </c>
      <c r="F1144" s="232" t="s">
        <v>3009</v>
      </c>
      <c r="G1144" s="1" t="s">
        <v>3552</v>
      </c>
      <c r="H1144" s="232"/>
      <c r="I1144" s="233"/>
      <c r="J1144" s="14">
        <v>1</v>
      </c>
      <c r="K1144" s="138">
        <v>3</v>
      </c>
      <c r="L1144" s="138">
        <v>3</v>
      </c>
    </row>
    <row r="1145" spans="1:12" x14ac:dyDescent="0.25">
      <c r="A1145" s="1">
        <v>1144</v>
      </c>
      <c r="B1145" s="1">
        <v>325</v>
      </c>
      <c r="C1145" s="232" t="s">
        <v>3508</v>
      </c>
      <c r="D1145" s="232" t="s">
        <v>2556</v>
      </c>
      <c r="E1145" s="1" t="s">
        <v>3562</v>
      </c>
      <c r="F1145" s="232" t="s">
        <v>2900</v>
      </c>
      <c r="G1145" s="1" t="s">
        <v>3553</v>
      </c>
      <c r="H1145" s="232"/>
      <c r="I1145" s="233"/>
      <c r="J1145" s="14">
        <v>1</v>
      </c>
      <c r="K1145" s="138">
        <v>4</v>
      </c>
      <c r="L1145" s="138">
        <v>4</v>
      </c>
    </row>
    <row r="1146" spans="1:12" x14ac:dyDescent="0.25">
      <c r="A1146" s="1">
        <v>1145</v>
      </c>
      <c r="B1146" s="1">
        <v>326</v>
      </c>
      <c r="C1146" s="232" t="s">
        <v>3494</v>
      </c>
      <c r="D1146" s="232" t="s">
        <v>2552</v>
      </c>
      <c r="E1146" s="1" t="s">
        <v>3558</v>
      </c>
      <c r="F1146" s="232" t="s">
        <v>2738</v>
      </c>
      <c r="G1146" s="1" t="s">
        <v>3513</v>
      </c>
      <c r="H1146" s="232"/>
      <c r="I1146" s="233"/>
      <c r="J1146" s="14">
        <v>6</v>
      </c>
      <c r="K1146" s="138">
        <v>7</v>
      </c>
      <c r="L1146" s="138">
        <v>42</v>
      </c>
    </row>
    <row r="1147" spans="1:12" x14ac:dyDescent="0.25">
      <c r="A1147" s="1">
        <v>1146</v>
      </c>
      <c r="B1147" s="1">
        <v>326</v>
      </c>
      <c r="C1147" s="232" t="s">
        <v>3471</v>
      </c>
      <c r="D1147" s="232" t="s">
        <v>2552</v>
      </c>
      <c r="E1147" s="1" t="s">
        <v>3558</v>
      </c>
      <c r="F1147" s="232" t="s">
        <v>2565</v>
      </c>
      <c r="G1147" s="1" t="s">
        <v>3515</v>
      </c>
      <c r="H1147" s="232"/>
      <c r="I1147" s="233"/>
      <c r="J1147" s="14">
        <v>25</v>
      </c>
      <c r="K1147" s="138">
        <v>75</v>
      </c>
      <c r="L1147" s="138">
        <v>1875</v>
      </c>
    </row>
    <row r="1148" spans="1:12" x14ac:dyDescent="0.25">
      <c r="A1148" s="1">
        <v>1147</v>
      </c>
      <c r="B1148" s="1">
        <v>326</v>
      </c>
      <c r="C1148" s="232" t="s">
        <v>3495</v>
      </c>
      <c r="D1148" s="232" t="s">
        <v>2552</v>
      </c>
      <c r="E1148" s="1" t="s">
        <v>3558</v>
      </c>
      <c r="F1148" s="232" t="s">
        <v>2745</v>
      </c>
      <c r="G1148" s="1" t="s">
        <v>3517</v>
      </c>
      <c r="H1148" s="232"/>
      <c r="I1148" s="233"/>
      <c r="J1148" s="14">
        <v>19</v>
      </c>
      <c r="K1148" s="138">
        <v>148</v>
      </c>
      <c r="L1148" s="138">
        <v>2812</v>
      </c>
    </row>
    <row r="1149" spans="1:12" x14ac:dyDescent="0.25">
      <c r="A1149" s="1">
        <v>1148</v>
      </c>
      <c r="B1149" s="1">
        <v>326</v>
      </c>
      <c r="C1149" s="232" t="s">
        <v>3473</v>
      </c>
      <c r="D1149" s="232" t="s">
        <v>2552</v>
      </c>
      <c r="E1149" s="1" t="s">
        <v>3558</v>
      </c>
      <c r="F1149" s="232" t="s">
        <v>2571</v>
      </c>
      <c r="G1149" s="1" t="s">
        <v>3518</v>
      </c>
      <c r="H1149" s="232"/>
      <c r="I1149" s="233"/>
      <c r="J1149" s="14">
        <v>40</v>
      </c>
      <c r="K1149" s="138">
        <v>5</v>
      </c>
      <c r="L1149" s="138">
        <v>200</v>
      </c>
    </row>
    <row r="1150" spans="1:12" x14ac:dyDescent="0.25">
      <c r="A1150" s="1">
        <v>1149</v>
      </c>
      <c r="B1150" s="1">
        <v>326</v>
      </c>
      <c r="C1150" s="232" t="s">
        <v>3496</v>
      </c>
      <c r="D1150" s="232" t="s">
        <v>2552</v>
      </c>
      <c r="E1150" s="1" t="s">
        <v>3558</v>
      </c>
      <c r="F1150" s="232" t="s">
        <v>2750</v>
      </c>
      <c r="G1150" s="1" t="s">
        <v>3519</v>
      </c>
      <c r="H1150" s="232"/>
      <c r="I1150" s="233"/>
      <c r="J1150" s="14">
        <v>12</v>
      </c>
      <c r="K1150" s="138">
        <v>25</v>
      </c>
      <c r="L1150" s="138">
        <v>300</v>
      </c>
    </row>
    <row r="1151" spans="1:12" x14ac:dyDescent="0.25">
      <c r="A1151" s="1">
        <v>1150</v>
      </c>
      <c r="B1151" s="1">
        <v>326</v>
      </c>
      <c r="C1151" s="232" t="s">
        <v>3497</v>
      </c>
      <c r="D1151" s="232" t="s">
        <v>2552</v>
      </c>
      <c r="E1151" s="1" t="s">
        <v>3558</v>
      </c>
      <c r="F1151" s="232" t="s">
        <v>2753</v>
      </c>
      <c r="G1151" s="1" t="s">
        <v>3520</v>
      </c>
      <c r="H1151" s="232"/>
      <c r="I1151" s="233"/>
      <c r="J1151" s="14">
        <v>5</v>
      </c>
      <c r="K1151" s="138">
        <v>10</v>
      </c>
      <c r="L1151" s="138">
        <v>50</v>
      </c>
    </row>
    <row r="1152" spans="1:12" x14ac:dyDescent="0.25">
      <c r="A1152" s="1">
        <v>1151</v>
      </c>
      <c r="B1152" s="1">
        <v>326</v>
      </c>
      <c r="C1152" s="232" t="s">
        <v>3474</v>
      </c>
      <c r="D1152" s="232" t="s">
        <v>2552</v>
      </c>
      <c r="E1152" s="1" t="s">
        <v>3558</v>
      </c>
      <c r="F1152" s="232" t="s">
        <v>2574</v>
      </c>
      <c r="G1152" s="1" t="s">
        <v>3521</v>
      </c>
      <c r="H1152" s="232"/>
      <c r="I1152" s="233"/>
      <c r="J1152" s="14">
        <v>4</v>
      </c>
      <c r="K1152" s="138">
        <v>77</v>
      </c>
      <c r="L1152" s="138">
        <v>308</v>
      </c>
    </row>
    <row r="1153" spans="1:12" x14ac:dyDescent="0.25">
      <c r="A1153" s="1">
        <v>1152</v>
      </c>
      <c r="B1153" s="1">
        <v>326</v>
      </c>
      <c r="C1153" s="232" t="s">
        <v>3498</v>
      </c>
      <c r="D1153" s="232" t="s">
        <v>2552</v>
      </c>
      <c r="E1153" s="1" t="s">
        <v>3558</v>
      </c>
      <c r="F1153" s="232" t="s">
        <v>2758</v>
      </c>
      <c r="G1153" s="1" t="s">
        <v>3522</v>
      </c>
      <c r="H1153" s="232"/>
      <c r="I1153" s="233"/>
      <c r="J1153" s="14">
        <v>3</v>
      </c>
      <c r="K1153" s="138">
        <v>1.6</v>
      </c>
      <c r="L1153" s="138">
        <v>4.8</v>
      </c>
    </row>
    <row r="1154" spans="1:12" x14ac:dyDescent="0.25">
      <c r="A1154" s="1">
        <v>1153</v>
      </c>
      <c r="B1154" s="1">
        <v>326</v>
      </c>
      <c r="C1154" s="232" t="s">
        <v>3475</v>
      </c>
      <c r="D1154" s="232" t="s">
        <v>2552</v>
      </c>
      <c r="E1154" s="1" t="s">
        <v>3558</v>
      </c>
      <c r="F1154" s="232" t="s">
        <v>2577</v>
      </c>
      <c r="G1154" s="1" t="s">
        <v>3523</v>
      </c>
      <c r="H1154" s="232"/>
      <c r="I1154" s="233"/>
      <c r="J1154" s="14">
        <v>4</v>
      </c>
      <c r="K1154" s="138">
        <v>42</v>
      </c>
      <c r="L1154" s="138">
        <v>168</v>
      </c>
    </row>
    <row r="1155" spans="1:12" x14ac:dyDescent="0.25">
      <c r="A1155" s="1">
        <v>1154</v>
      </c>
      <c r="B1155" s="1">
        <v>326</v>
      </c>
      <c r="C1155" s="232" t="s">
        <v>3476</v>
      </c>
      <c r="D1155" s="232" t="s">
        <v>2552</v>
      </c>
      <c r="E1155" s="1" t="s">
        <v>3558</v>
      </c>
      <c r="F1155" s="232" t="s">
        <v>2580</v>
      </c>
      <c r="G1155" s="1" t="s">
        <v>3524</v>
      </c>
      <c r="H1155" s="232"/>
      <c r="I1155" s="233"/>
      <c r="J1155" s="14">
        <v>6</v>
      </c>
      <c r="K1155" s="138">
        <v>6</v>
      </c>
      <c r="L1155" s="138">
        <v>36</v>
      </c>
    </row>
    <row r="1156" spans="1:12" x14ac:dyDescent="0.25">
      <c r="A1156" s="1">
        <v>1155</v>
      </c>
      <c r="B1156" s="1">
        <v>327</v>
      </c>
      <c r="C1156" s="232" t="s">
        <v>3494</v>
      </c>
      <c r="D1156" s="232" t="s">
        <v>2552</v>
      </c>
      <c r="E1156" s="1" t="s">
        <v>3558</v>
      </c>
      <c r="F1156" s="232" t="s">
        <v>2738</v>
      </c>
      <c r="G1156" s="1" t="s">
        <v>3513</v>
      </c>
      <c r="H1156" s="232"/>
      <c r="I1156" s="233"/>
      <c r="J1156" s="14">
        <v>5</v>
      </c>
      <c r="K1156" s="138">
        <v>7</v>
      </c>
      <c r="L1156" s="138">
        <v>35</v>
      </c>
    </row>
    <row r="1157" spans="1:12" x14ac:dyDescent="0.25">
      <c r="A1157" s="1">
        <v>1156</v>
      </c>
      <c r="B1157" s="1">
        <v>327</v>
      </c>
      <c r="C1157" s="232" t="s">
        <v>3495</v>
      </c>
      <c r="D1157" s="232" t="s">
        <v>2552</v>
      </c>
      <c r="E1157" s="1" t="s">
        <v>3558</v>
      </c>
      <c r="F1157" s="232" t="s">
        <v>2745</v>
      </c>
      <c r="G1157" s="1" t="s">
        <v>3517</v>
      </c>
      <c r="H1157" s="232"/>
      <c r="I1157" s="233"/>
      <c r="J1157" s="14">
        <v>19</v>
      </c>
      <c r="K1157" s="138">
        <v>148</v>
      </c>
      <c r="L1157" s="138">
        <v>2812</v>
      </c>
    </row>
    <row r="1158" spans="1:12" x14ac:dyDescent="0.25">
      <c r="A1158" s="1">
        <v>1157</v>
      </c>
      <c r="B1158" s="1">
        <v>327</v>
      </c>
      <c r="C1158" s="232" t="s">
        <v>3473</v>
      </c>
      <c r="D1158" s="232" t="s">
        <v>2552</v>
      </c>
      <c r="E1158" s="1" t="s">
        <v>3558</v>
      </c>
      <c r="F1158" s="232" t="s">
        <v>2571</v>
      </c>
      <c r="G1158" s="1" t="s">
        <v>3518</v>
      </c>
      <c r="H1158" s="232"/>
      <c r="I1158" s="233"/>
      <c r="J1158" s="14">
        <v>40</v>
      </c>
      <c r="K1158" s="138">
        <v>5</v>
      </c>
      <c r="L1158" s="138">
        <v>200</v>
      </c>
    </row>
    <row r="1159" spans="1:12" x14ac:dyDescent="0.25">
      <c r="A1159" s="1">
        <v>1158</v>
      </c>
      <c r="B1159" s="1">
        <v>327</v>
      </c>
      <c r="C1159" s="232" t="s">
        <v>3496</v>
      </c>
      <c r="D1159" s="232" t="s">
        <v>2552</v>
      </c>
      <c r="E1159" s="1" t="s">
        <v>3558</v>
      </c>
      <c r="F1159" s="232" t="s">
        <v>2750</v>
      </c>
      <c r="G1159" s="1" t="s">
        <v>3519</v>
      </c>
      <c r="H1159" s="232"/>
      <c r="I1159" s="233"/>
      <c r="J1159" s="14">
        <v>12</v>
      </c>
      <c r="K1159" s="138">
        <v>25</v>
      </c>
      <c r="L1159" s="138">
        <v>300</v>
      </c>
    </row>
    <row r="1160" spans="1:12" x14ac:dyDescent="0.25">
      <c r="A1160" s="1">
        <v>1159</v>
      </c>
      <c r="B1160" s="1">
        <v>327</v>
      </c>
      <c r="C1160" s="232" t="s">
        <v>3497</v>
      </c>
      <c r="D1160" s="232" t="s">
        <v>2552</v>
      </c>
      <c r="E1160" s="1" t="s">
        <v>3558</v>
      </c>
      <c r="F1160" s="232" t="s">
        <v>2753</v>
      </c>
      <c r="G1160" s="1" t="s">
        <v>3520</v>
      </c>
      <c r="H1160" s="232"/>
      <c r="I1160" s="233"/>
      <c r="J1160" s="14">
        <v>5</v>
      </c>
      <c r="K1160" s="138">
        <v>10</v>
      </c>
      <c r="L1160" s="138">
        <v>50</v>
      </c>
    </row>
    <row r="1161" spans="1:12" x14ac:dyDescent="0.25">
      <c r="A1161" s="1">
        <v>1160</v>
      </c>
      <c r="B1161" s="1">
        <v>328</v>
      </c>
      <c r="C1161" s="232" t="s">
        <v>3477</v>
      </c>
      <c r="D1161" s="232" t="s">
        <v>2553</v>
      </c>
      <c r="E1161" s="1" t="s">
        <v>3559</v>
      </c>
      <c r="F1161" s="232" t="s">
        <v>2583</v>
      </c>
      <c r="G1161" s="1" t="s">
        <v>3527</v>
      </c>
      <c r="H1161" s="232"/>
      <c r="I1161" s="233"/>
      <c r="J1161" s="14">
        <v>3</v>
      </c>
      <c r="K1161" s="138">
        <v>20</v>
      </c>
      <c r="L1161" s="138">
        <v>60</v>
      </c>
    </row>
    <row r="1162" spans="1:12" x14ac:dyDescent="0.25">
      <c r="A1162" s="1">
        <v>1161</v>
      </c>
      <c r="B1162" s="1">
        <v>328</v>
      </c>
      <c r="C1162" s="232" t="s">
        <v>3478</v>
      </c>
      <c r="D1162" s="232" t="s">
        <v>2553</v>
      </c>
      <c r="E1162" s="1" t="s">
        <v>3559</v>
      </c>
      <c r="F1162" s="232" t="s">
        <v>2586</v>
      </c>
      <c r="G1162" s="1" t="s">
        <v>3528</v>
      </c>
      <c r="H1162" s="232"/>
      <c r="I1162" s="233"/>
      <c r="J1162" s="14">
        <v>15</v>
      </c>
      <c r="K1162" s="138">
        <v>18</v>
      </c>
      <c r="L1162" s="138">
        <v>270</v>
      </c>
    </row>
    <row r="1163" spans="1:12" x14ac:dyDescent="0.25">
      <c r="A1163" s="1">
        <v>1162</v>
      </c>
      <c r="B1163" s="1">
        <v>328</v>
      </c>
      <c r="C1163" s="232" t="s">
        <v>3490</v>
      </c>
      <c r="D1163" s="232" t="s">
        <v>2553</v>
      </c>
      <c r="E1163" s="1" t="s">
        <v>3559</v>
      </c>
      <c r="F1163" s="232" t="s">
        <v>2630</v>
      </c>
      <c r="G1163" s="1" t="s">
        <v>3529</v>
      </c>
      <c r="H1163" s="232"/>
      <c r="I1163" s="233"/>
      <c r="J1163" s="14">
        <v>40</v>
      </c>
      <c r="K1163" s="138">
        <v>18</v>
      </c>
      <c r="L1163" s="138">
        <v>720</v>
      </c>
    </row>
    <row r="1164" spans="1:12" x14ac:dyDescent="0.25">
      <c r="A1164" s="1">
        <v>1163</v>
      </c>
      <c r="B1164" s="1">
        <v>328</v>
      </c>
      <c r="C1164" s="232" t="s">
        <v>3479</v>
      </c>
      <c r="D1164" s="232" t="s">
        <v>2553</v>
      </c>
      <c r="E1164" s="1" t="s">
        <v>3559</v>
      </c>
      <c r="F1164" s="232" t="s">
        <v>2589</v>
      </c>
      <c r="G1164" s="1" t="s">
        <v>3530</v>
      </c>
      <c r="H1164" s="232"/>
      <c r="I1164" s="233"/>
      <c r="J1164" s="14">
        <v>1</v>
      </c>
      <c r="K1164" s="138">
        <v>70</v>
      </c>
      <c r="L1164" s="138">
        <v>70</v>
      </c>
    </row>
    <row r="1165" spans="1:12" x14ac:dyDescent="0.25">
      <c r="A1165" s="1">
        <v>1164</v>
      </c>
      <c r="B1165" s="1">
        <v>328</v>
      </c>
      <c r="C1165" s="232" t="s">
        <v>3491</v>
      </c>
      <c r="D1165" s="232" t="s">
        <v>2553</v>
      </c>
      <c r="E1165" s="1" t="s">
        <v>3559</v>
      </c>
      <c r="F1165" s="232" t="s">
        <v>2635</v>
      </c>
      <c r="G1165" s="1" t="s">
        <v>3531</v>
      </c>
      <c r="H1165" s="232"/>
      <c r="I1165" s="233"/>
      <c r="J1165" s="14">
        <v>1</v>
      </c>
      <c r="K1165" s="138">
        <v>40</v>
      </c>
      <c r="L1165" s="138">
        <v>40</v>
      </c>
    </row>
    <row r="1166" spans="1:12" x14ac:dyDescent="0.25">
      <c r="A1166" s="1">
        <v>1165</v>
      </c>
      <c r="B1166" s="1">
        <v>328</v>
      </c>
      <c r="C1166" s="232" t="s">
        <v>3499</v>
      </c>
      <c r="D1166" s="232" t="s">
        <v>2553</v>
      </c>
      <c r="E1166" s="1" t="s">
        <v>3559</v>
      </c>
      <c r="F1166" s="232" t="s">
        <v>2775</v>
      </c>
      <c r="G1166" s="1" t="s">
        <v>3532</v>
      </c>
      <c r="H1166" s="232"/>
      <c r="I1166" s="233"/>
      <c r="J1166" s="14">
        <v>1</v>
      </c>
      <c r="K1166" s="138">
        <v>100</v>
      </c>
      <c r="L1166" s="138">
        <v>100</v>
      </c>
    </row>
    <row r="1167" spans="1:12" x14ac:dyDescent="0.25">
      <c r="A1167" s="1">
        <v>1166</v>
      </c>
      <c r="B1167" s="1">
        <v>328</v>
      </c>
      <c r="C1167" s="232" t="s">
        <v>3480</v>
      </c>
      <c r="D1167" s="232" t="s">
        <v>2553</v>
      </c>
      <c r="E1167" s="1" t="s">
        <v>3559</v>
      </c>
      <c r="F1167" s="232" t="s">
        <v>2592</v>
      </c>
      <c r="G1167" s="1" t="s">
        <v>3533</v>
      </c>
      <c r="H1167" s="232"/>
      <c r="I1167" s="233"/>
      <c r="J1167" s="14">
        <v>2</v>
      </c>
      <c r="K1167" s="138">
        <v>7</v>
      </c>
      <c r="L1167" s="138">
        <v>14</v>
      </c>
    </row>
    <row r="1168" spans="1:12" x14ac:dyDescent="0.25">
      <c r="A1168" s="1">
        <v>1167</v>
      </c>
      <c r="B1168" s="1">
        <v>328</v>
      </c>
      <c r="C1168" s="232" t="s">
        <v>3493</v>
      </c>
      <c r="D1168" s="232" t="s">
        <v>2553</v>
      </c>
      <c r="E1168" s="1" t="s">
        <v>3559</v>
      </c>
      <c r="F1168" s="232" t="s">
        <v>2689</v>
      </c>
      <c r="G1168" s="1" t="s">
        <v>3534</v>
      </c>
      <c r="H1168" s="232"/>
      <c r="I1168" s="233"/>
      <c r="J1168" s="14">
        <v>1</v>
      </c>
      <c r="K1168" s="138">
        <v>50</v>
      </c>
      <c r="L1168" s="138">
        <v>50</v>
      </c>
    </row>
    <row r="1169" spans="1:12" x14ac:dyDescent="0.25">
      <c r="A1169" s="1">
        <v>1168</v>
      </c>
      <c r="B1169" s="1">
        <v>329</v>
      </c>
      <c r="C1169" s="232" t="s">
        <v>3500</v>
      </c>
      <c r="D1169" s="232" t="s">
        <v>2554</v>
      </c>
      <c r="E1169" s="1" t="s">
        <v>3560</v>
      </c>
      <c r="F1169" s="232" t="s">
        <v>2782</v>
      </c>
      <c r="G1169" s="1" t="s">
        <v>3536</v>
      </c>
      <c r="H1169" s="232"/>
      <c r="I1169" s="233"/>
      <c r="J1169" s="14">
        <v>1</v>
      </c>
      <c r="K1169" s="138">
        <v>10</v>
      </c>
      <c r="L1169" s="138">
        <v>10</v>
      </c>
    </row>
    <row r="1170" spans="1:12" x14ac:dyDescent="0.25">
      <c r="A1170" s="1">
        <v>1169</v>
      </c>
      <c r="B1170" s="1">
        <v>329</v>
      </c>
      <c r="C1170" s="232" t="s">
        <v>3481</v>
      </c>
      <c r="D1170" s="232" t="s">
        <v>2554</v>
      </c>
      <c r="E1170" s="1" t="s">
        <v>3560</v>
      </c>
      <c r="F1170" s="232" t="s">
        <v>2595</v>
      </c>
      <c r="G1170" s="1" t="s">
        <v>3537</v>
      </c>
      <c r="H1170" s="232"/>
      <c r="I1170" s="233"/>
      <c r="J1170" s="14">
        <v>1</v>
      </c>
      <c r="K1170" s="138">
        <v>0.5</v>
      </c>
      <c r="L1170" s="138">
        <v>0.5</v>
      </c>
    </row>
    <row r="1171" spans="1:12" x14ac:dyDescent="0.25">
      <c r="A1171" s="1">
        <v>1170</v>
      </c>
      <c r="B1171" s="1">
        <v>329</v>
      </c>
      <c r="C1171" s="232" t="s">
        <v>3482</v>
      </c>
      <c r="D1171" s="232" t="s">
        <v>2554</v>
      </c>
      <c r="E1171" s="1" t="s">
        <v>3560</v>
      </c>
      <c r="F1171" s="232" t="s">
        <v>2598</v>
      </c>
      <c r="G1171" s="1" t="s">
        <v>3538</v>
      </c>
      <c r="H1171" s="232"/>
      <c r="I1171" s="233"/>
      <c r="J1171" s="14">
        <v>17</v>
      </c>
      <c r="K1171" s="138">
        <v>3</v>
      </c>
      <c r="L1171" s="138">
        <v>51</v>
      </c>
    </row>
    <row r="1172" spans="1:12" x14ac:dyDescent="0.25">
      <c r="A1172" s="1">
        <v>1171</v>
      </c>
      <c r="B1172" s="1">
        <v>329</v>
      </c>
      <c r="C1172" s="232" t="s">
        <v>3483</v>
      </c>
      <c r="D1172" s="232" t="s">
        <v>2554</v>
      </c>
      <c r="E1172" s="1" t="s">
        <v>3560</v>
      </c>
      <c r="F1172" s="232" t="s">
        <v>2601</v>
      </c>
      <c r="G1172" s="1" t="s">
        <v>3539</v>
      </c>
      <c r="H1172" s="232"/>
      <c r="I1172" s="233"/>
      <c r="J1172" s="14">
        <v>8</v>
      </c>
      <c r="K1172" s="138">
        <v>3</v>
      </c>
      <c r="L1172" s="138">
        <v>24</v>
      </c>
    </row>
    <row r="1173" spans="1:12" x14ac:dyDescent="0.25">
      <c r="A1173" s="1">
        <v>1172</v>
      </c>
      <c r="B1173" s="1">
        <v>329</v>
      </c>
      <c r="C1173" s="232" t="s">
        <v>3485</v>
      </c>
      <c r="D1173" s="232" t="s">
        <v>2554</v>
      </c>
      <c r="E1173" s="1" t="s">
        <v>3560</v>
      </c>
      <c r="F1173" s="232" t="s">
        <v>2607</v>
      </c>
      <c r="G1173" s="1" t="s">
        <v>3541</v>
      </c>
      <c r="H1173" s="232"/>
      <c r="I1173" s="233"/>
      <c r="J1173" s="14">
        <v>1</v>
      </c>
      <c r="K1173" s="138">
        <v>22</v>
      </c>
      <c r="L1173" s="138">
        <v>22</v>
      </c>
    </row>
    <row r="1174" spans="1:12" x14ac:dyDescent="0.25">
      <c r="A1174" s="1">
        <v>1173</v>
      </c>
      <c r="B1174" s="1">
        <v>330</v>
      </c>
      <c r="C1174" s="232" t="s">
        <v>3505</v>
      </c>
      <c r="D1174" s="232" t="s">
        <v>2555</v>
      </c>
      <c r="E1174" s="1" t="s">
        <v>3561</v>
      </c>
      <c r="F1174" s="232" t="s">
        <v>2809</v>
      </c>
      <c r="G1174" s="1" t="s">
        <v>3544</v>
      </c>
      <c r="H1174" s="232"/>
      <c r="I1174" s="233"/>
      <c r="J1174" s="14">
        <v>1</v>
      </c>
      <c r="K1174" s="138">
        <v>200</v>
      </c>
      <c r="L1174" s="138">
        <v>200</v>
      </c>
    </row>
    <row r="1175" spans="1:12" x14ac:dyDescent="0.25">
      <c r="A1175" s="1">
        <v>1174</v>
      </c>
      <c r="B1175" s="1">
        <v>330</v>
      </c>
      <c r="C1175" s="232" t="s">
        <v>3510</v>
      </c>
      <c r="D1175" s="232" t="s">
        <v>2555</v>
      </c>
      <c r="E1175" s="1" t="s">
        <v>3561</v>
      </c>
      <c r="F1175" s="232" t="s">
        <v>3280</v>
      </c>
      <c r="G1175" s="1" t="s">
        <v>3547</v>
      </c>
      <c r="H1175" s="232"/>
      <c r="I1175" s="233"/>
      <c r="J1175" s="14">
        <v>10</v>
      </c>
      <c r="K1175" s="138">
        <v>15</v>
      </c>
      <c r="L1175" s="138">
        <v>150</v>
      </c>
    </row>
    <row r="1176" spans="1:12" x14ac:dyDescent="0.25">
      <c r="A1176" s="1">
        <v>1175</v>
      </c>
      <c r="B1176" s="1">
        <v>330</v>
      </c>
      <c r="C1176" s="232" t="s">
        <v>3488</v>
      </c>
      <c r="D1176" s="232" t="s">
        <v>2555</v>
      </c>
      <c r="E1176" s="1" t="s">
        <v>3561</v>
      </c>
      <c r="F1176" s="232" t="s">
        <v>2616</v>
      </c>
      <c r="G1176" s="1" t="s">
        <v>3549</v>
      </c>
      <c r="H1176" s="232"/>
      <c r="I1176" s="233"/>
      <c r="J1176" s="14">
        <v>4</v>
      </c>
      <c r="K1176" s="138">
        <v>3</v>
      </c>
      <c r="L1176" s="138">
        <v>12</v>
      </c>
    </row>
    <row r="1177" spans="1:12" x14ac:dyDescent="0.25">
      <c r="A1177" s="1">
        <v>1176</v>
      </c>
      <c r="B1177" s="1">
        <v>331</v>
      </c>
      <c r="C1177" s="232" t="s">
        <v>3489</v>
      </c>
      <c r="D1177" s="232" t="s">
        <v>2556</v>
      </c>
      <c r="E1177" s="1" t="s">
        <v>3562</v>
      </c>
      <c r="F1177" s="232" t="s">
        <v>2619</v>
      </c>
      <c r="G1177" s="1" t="s">
        <v>3550</v>
      </c>
      <c r="H1177" s="232"/>
      <c r="I1177" s="233"/>
      <c r="J1177" s="14">
        <v>1</v>
      </c>
      <c r="K1177" s="138">
        <v>95</v>
      </c>
      <c r="L1177" s="138">
        <v>95</v>
      </c>
    </row>
    <row r="1178" spans="1:12" x14ac:dyDescent="0.25">
      <c r="A1178" s="1">
        <v>1177</v>
      </c>
      <c r="B1178" s="1">
        <v>331</v>
      </c>
      <c r="C1178" s="232" t="s">
        <v>3503</v>
      </c>
      <c r="D1178" s="232" t="s">
        <v>2556</v>
      </c>
      <c r="E1178" s="1" t="s">
        <v>3562</v>
      </c>
      <c r="F1178" s="232" t="s">
        <v>2791</v>
      </c>
      <c r="G1178" s="1" t="s">
        <v>3554</v>
      </c>
      <c r="H1178" s="232"/>
      <c r="I1178" s="233"/>
      <c r="J1178" s="14">
        <v>15</v>
      </c>
      <c r="K1178" s="138">
        <v>5</v>
      </c>
      <c r="L1178" s="138">
        <v>75</v>
      </c>
    </row>
    <row r="1179" spans="1:12" x14ac:dyDescent="0.25">
      <c r="A1179" s="1">
        <v>1178</v>
      </c>
      <c r="B1179" s="1">
        <v>332</v>
      </c>
      <c r="C1179" s="232" t="s">
        <v>3504</v>
      </c>
      <c r="D1179" s="232" t="s">
        <v>2557</v>
      </c>
      <c r="E1179" s="1" t="s">
        <v>3563</v>
      </c>
      <c r="F1179" s="232" t="s">
        <v>2794</v>
      </c>
      <c r="G1179" s="1" t="s">
        <v>3555</v>
      </c>
      <c r="H1179" s="232"/>
      <c r="I1179" s="233"/>
      <c r="J1179" s="14">
        <v>20</v>
      </c>
      <c r="K1179" s="138">
        <v>1.7</v>
      </c>
      <c r="L1179" s="138">
        <v>34</v>
      </c>
    </row>
    <row r="1180" spans="1:12" x14ac:dyDescent="0.25">
      <c r="A1180" s="1">
        <v>1179</v>
      </c>
      <c r="B1180" s="1">
        <v>333</v>
      </c>
      <c r="C1180" s="232" t="s">
        <v>3504</v>
      </c>
      <c r="D1180" s="232" t="s">
        <v>2557</v>
      </c>
      <c r="E1180" s="1" t="s">
        <v>3563</v>
      </c>
      <c r="F1180" s="232" t="s">
        <v>2794</v>
      </c>
      <c r="G1180" s="1" t="s">
        <v>3555</v>
      </c>
      <c r="H1180" s="232"/>
      <c r="I1180" s="233"/>
      <c r="J1180" s="14">
        <v>20</v>
      </c>
      <c r="K1180" s="138">
        <v>1.7</v>
      </c>
      <c r="L1180" s="138">
        <v>34</v>
      </c>
    </row>
    <row r="1181" spans="1:12" x14ac:dyDescent="0.25">
      <c r="A1181" s="1">
        <v>1180</v>
      </c>
      <c r="B1181" s="1">
        <v>334</v>
      </c>
      <c r="C1181" s="232" t="s">
        <v>3496</v>
      </c>
      <c r="D1181" s="232" t="s">
        <v>2552</v>
      </c>
      <c r="E1181" s="1" t="s">
        <v>3558</v>
      </c>
      <c r="F1181" s="232" t="s">
        <v>2750</v>
      </c>
      <c r="G1181" s="1" t="s">
        <v>3519</v>
      </c>
      <c r="H1181" s="232"/>
      <c r="I1181" s="233"/>
      <c r="J1181" s="14">
        <v>5</v>
      </c>
      <c r="K1181" s="138">
        <v>25</v>
      </c>
      <c r="L1181" s="138">
        <v>125</v>
      </c>
    </row>
    <row r="1182" spans="1:12" x14ac:dyDescent="0.25">
      <c r="A1182" s="1">
        <v>1181</v>
      </c>
      <c r="B1182" s="1">
        <v>334</v>
      </c>
      <c r="C1182" s="232" t="s">
        <v>3497</v>
      </c>
      <c r="D1182" s="232" t="s">
        <v>2552</v>
      </c>
      <c r="E1182" s="1" t="s">
        <v>3558</v>
      </c>
      <c r="F1182" s="232" t="s">
        <v>2753</v>
      </c>
      <c r="G1182" s="1" t="s">
        <v>3520</v>
      </c>
      <c r="H1182" s="232"/>
      <c r="I1182" s="233"/>
      <c r="J1182" s="14">
        <v>3</v>
      </c>
      <c r="K1182" s="138">
        <v>10</v>
      </c>
      <c r="L1182" s="138">
        <v>30</v>
      </c>
    </row>
    <row r="1183" spans="1:12" x14ac:dyDescent="0.25">
      <c r="A1183" s="1">
        <v>1182</v>
      </c>
      <c r="B1183" s="1">
        <v>334</v>
      </c>
      <c r="C1183" s="232" t="s">
        <v>3474</v>
      </c>
      <c r="D1183" s="232" t="s">
        <v>2552</v>
      </c>
      <c r="E1183" s="1" t="s">
        <v>3558</v>
      </c>
      <c r="F1183" s="232" t="s">
        <v>2574</v>
      </c>
      <c r="G1183" s="1" t="s">
        <v>3521</v>
      </c>
      <c r="H1183" s="232"/>
      <c r="I1183" s="233"/>
      <c r="J1183" s="14">
        <v>4</v>
      </c>
      <c r="K1183" s="138">
        <v>77</v>
      </c>
      <c r="L1183" s="138">
        <v>308</v>
      </c>
    </row>
    <row r="1184" spans="1:12" x14ac:dyDescent="0.25">
      <c r="A1184" s="1">
        <v>1183</v>
      </c>
      <c r="B1184" s="1">
        <v>334</v>
      </c>
      <c r="C1184" s="232" t="s">
        <v>3498</v>
      </c>
      <c r="D1184" s="232" t="s">
        <v>2552</v>
      </c>
      <c r="E1184" s="1" t="s">
        <v>3558</v>
      </c>
      <c r="F1184" s="232" t="s">
        <v>2758</v>
      </c>
      <c r="G1184" s="1" t="s">
        <v>3522</v>
      </c>
      <c r="H1184" s="232"/>
      <c r="I1184" s="233"/>
      <c r="J1184" s="14">
        <v>4</v>
      </c>
      <c r="K1184" s="138">
        <v>1.6</v>
      </c>
      <c r="L1184" s="138">
        <v>6.4</v>
      </c>
    </row>
    <row r="1185" spans="1:12" x14ac:dyDescent="0.25">
      <c r="A1185" s="1">
        <v>1184</v>
      </c>
      <c r="B1185" s="1">
        <v>334</v>
      </c>
      <c r="C1185" s="232" t="s">
        <v>3475</v>
      </c>
      <c r="D1185" s="232" t="s">
        <v>2552</v>
      </c>
      <c r="E1185" s="1" t="s">
        <v>3558</v>
      </c>
      <c r="F1185" s="232" t="s">
        <v>2577</v>
      </c>
      <c r="G1185" s="1" t="s">
        <v>3523</v>
      </c>
      <c r="H1185" s="232"/>
      <c r="I1185" s="233"/>
      <c r="J1185" s="14">
        <v>4</v>
      </c>
      <c r="K1185" s="138">
        <v>42</v>
      </c>
      <c r="L1185" s="138">
        <v>168</v>
      </c>
    </row>
    <row r="1186" spans="1:12" x14ac:dyDescent="0.25">
      <c r="A1186" s="1">
        <v>1185</v>
      </c>
      <c r="B1186" s="1">
        <v>334</v>
      </c>
      <c r="C1186" s="232" t="s">
        <v>3476</v>
      </c>
      <c r="D1186" s="232" t="s">
        <v>2552</v>
      </c>
      <c r="E1186" s="1" t="s">
        <v>3558</v>
      </c>
      <c r="F1186" s="232" t="s">
        <v>2580</v>
      </c>
      <c r="G1186" s="1" t="s">
        <v>3524</v>
      </c>
      <c r="H1186" s="232"/>
      <c r="I1186" s="233"/>
      <c r="J1186" s="14">
        <v>4</v>
      </c>
      <c r="K1186" s="138">
        <v>6</v>
      </c>
      <c r="L1186" s="138">
        <v>24</v>
      </c>
    </row>
    <row r="1187" spans="1:12" x14ac:dyDescent="0.25">
      <c r="A1187" s="1">
        <v>1186</v>
      </c>
      <c r="B1187" s="1">
        <v>335</v>
      </c>
      <c r="C1187" s="232" t="s">
        <v>3477</v>
      </c>
      <c r="D1187" s="232" t="s">
        <v>2553</v>
      </c>
      <c r="E1187" s="1" t="s">
        <v>3559</v>
      </c>
      <c r="F1187" s="232" t="s">
        <v>2583</v>
      </c>
      <c r="G1187" s="1" t="s">
        <v>3527</v>
      </c>
      <c r="H1187" s="232"/>
      <c r="I1187" s="233"/>
      <c r="J1187" s="14">
        <v>3</v>
      </c>
      <c r="K1187" s="138">
        <v>20</v>
      </c>
      <c r="L1187" s="138">
        <v>60</v>
      </c>
    </row>
    <row r="1188" spans="1:12" x14ac:dyDescent="0.25">
      <c r="A1188" s="1">
        <v>1187</v>
      </c>
      <c r="B1188" s="1">
        <v>335</v>
      </c>
      <c r="C1188" s="232" t="s">
        <v>3490</v>
      </c>
      <c r="D1188" s="232" t="s">
        <v>2553</v>
      </c>
      <c r="E1188" s="1" t="s">
        <v>3559</v>
      </c>
      <c r="F1188" s="232" t="s">
        <v>2630</v>
      </c>
      <c r="G1188" s="1" t="s">
        <v>3529</v>
      </c>
      <c r="H1188" s="232"/>
      <c r="I1188" s="233"/>
      <c r="J1188" s="14">
        <v>48</v>
      </c>
      <c r="K1188" s="138">
        <v>18</v>
      </c>
      <c r="L1188" s="138">
        <v>864</v>
      </c>
    </row>
    <row r="1189" spans="1:12" x14ac:dyDescent="0.25">
      <c r="A1189" s="1">
        <v>1188</v>
      </c>
      <c r="B1189" s="1">
        <v>335</v>
      </c>
      <c r="C1189" s="232" t="s">
        <v>3479</v>
      </c>
      <c r="D1189" s="232" t="s">
        <v>2553</v>
      </c>
      <c r="E1189" s="1" t="s">
        <v>3559</v>
      </c>
      <c r="F1189" s="232" t="s">
        <v>2589</v>
      </c>
      <c r="G1189" s="1" t="s">
        <v>3530</v>
      </c>
      <c r="H1189" s="232"/>
      <c r="I1189" s="233"/>
      <c r="J1189" s="14">
        <v>1</v>
      </c>
      <c r="K1189" s="138">
        <v>70</v>
      </c>
      <c r="L1189" s="138">
        <v>70</v>
      </c>
    </row>
    <row r="1190" spans="1:12" x14ac:dyDescent="0.25">
      <c r="A1190" s="1">
        <v>1189</v>
      </c>
      <c r="B1190" s="1">
        <v>335</v>
      </c>
      <c r="C1190" s="232" t="s">
        <v>3491</v>
      </c>
      <c r="D1190" s="232" t="s">
        <v>2553</v>
      </c>
      <c r="E1190" s="1" t="s">
        <v>3559</v>
      </c>
      <c r="F1190" s="232" t="s">
        <v>2635</v>
      </c>
      <c r="G1190" s="1" t="s">
        <v>3531</v>
      </c>
      <c r="H1190" s="232"/>
      <c r="I1190" s="233"/>
      <c r="J1190" s="14">
        <v>1</v>
      </c>
      <c r="K1190" s="138">
        <v>40</v>
      </c>
      <c r="L1190" s="138">
        <v>40</v>
      </c>
    </row>
    <row r="1191" spans="1:12" x14ac:dyDescent="0.25">
      <c r="A1191" s="1">
        <v>1190</v>
      </c>
      <c r="B1191" s="1">
        <v>335</v>
      </c>
      <c r="C1191" s="232" t="s">
        <v>3499</v>
      </c>
      <c r="D1191" s="232" t="s">
        <v>2553</v>
      </c>
      <c r="E1191" s="1" t="s">
        <v>3559</v>
      </c>
      <c r="F1191" s="232" t="s">
        <v>2775</v>
      </c>
      <c r="G1191" s="1" t="s">
        <v>3532</v>
      </c>
      <c r="H1191" s="232"/>
      <c r="I1191" s="233"/>
      <c r="J1191" s="14">
        <v>1</v>
      </c>
      <c r="K1191" s="138">
        <v>100</v>
      </c>
      <c r="L1191" s="138">
        <v>100</v>
      </c>
    </row>
    <row r="1192" spans="1:12" x14ac:dyDescent="0.25">
      <c r="A1192" s="1">
        <v>1191</v>
      </c>
      <c r="B1192" s="1">
        <v>335</v>
      </c>
      <c r="C1192" s="232" t="s">
        <v>3480</v>
      </c>
      <c r="D1192" s="232" t="s">
        <v>2553</v>
      </c>
      <c r="E1192" s="1" t="s">
        <v>3559</v>
      </c>
      <c r="F1192" s="232" t="s">
        <v>2592</v>
      </c>
      <c r="G1192" s="1" t="s">
        <v>3533</v>
      </c>
      <c r="H1192" s="232"/>
      <c r="I1192" s="233"/>
      <c r="J1192" s="14">
        <v>4</v>
      </c>
      <c r="K1192" s="138">
        <v>7</v>
      </c>
      <c r="L1192" s="138">
        <v>28</v>
      </c>
    </row>
    <row r="1193" spans="1:12" x14ac:dyDescent="0.25">
      <c r="A1193" s="1">
        <v>1192</v>
      </c>
      <c r="B1193" s="1">
        <v>335</v>
      </c>
      <c r="C1193" s="232" t="s">
        <v>3493</v>
      </c>
      <c r="D1193" s="232" t="s">
        <v>2553</v>
      </c>
      <c r="E1193" s="1" t="s">
        <v>3559</v>
      </c>
      <c r="F1193" s="232" t="s">
        <v>2689</v>
      </c>
      <c r="G1193" s="1" t="s">
        <v>3534</v>
      </c>
      <c r="H1193" s="232"/>
      <c r="I1193" s="233"/>
      <c r="J1193" s="14">
        <v>2</v>
      </c>
      <c r="K1193" s="138">
        <v>50</v>
      </c>
      <c r="L1193" s="138">
        <v>100</v>
      </c>
    </row>
    <row r="1194" spans="1:12" x14ac:dyDescent="0.25">
      <c r="A1194" s="1">
        <v>1193</v>
      </c>
      <c r="B1194" s="1">
        <v>336</v>
      </c>
      <c r="C1194" s="232" t="s">
        <v>3481</v>
      </c>
      <c r="D1194" s="232" t="s">
        <v>2554</v>
      </c>
      <c r="E1194" s="1" t="s">
        <v>3560</v>
      </c>
      <c r="F1194" s="232" t="s">
        <v>2595</v>
      </c>
      <c r="G1194" s="1" t="s">
        <v>3537</v>
      </c>
      <c r="H1194" s="232"/>
      <c r="I1194" s="233"/>
      <c r="J1194" s="14">
        <v>1</v>
      </c>
      <c r="K1194" s="138">
        <v>0.5</v>
      </c>
      <c r="L1194" s="138">
        <v>0.5</v>
      </c>
    </row>
    <row r="1195" spans="1:12" x14ac:dyDescent="0.25">
      <c r="A1195" s="1">
        <v>1194</v>
      </c>
      <c r="B1195" s="1">
        <v>336</v>
      </c>
      <c r="C1195" s="232" t="s">
        <v>3482</v>
      </c>
      <c r="D1195" s="232" t="s">
        <v>2554</v>
      </c>
      <c r="E1195" s="1" t="s">
        <v>3560</v>
      </c>
      <c r="F1195" s="232" t="s">
        <v>2598</v>
      </c>
      <c r="G1195" s="1" t="s">
        <v>3538</v>
      </c>
      <c r="H1195" s="232"/>
      <c r="I1195" s="233"/>
      <c r="J1195" s="14">
        <v>22</v>
      </c>
      <c r="K1195" s="138">
        <v>3</v>
      </c>
      <c r="L1195" s="138">
        <v>66</v>
      </c>
    </row>
    <row r="1196" spans="1:12" x14ac:dyDescent="0.25">
      <c r="A1196" s="1">
        <v>1195</v>
      </c>
      <c r="B1196" s="1">
        <v>336</v>
      </c>
      <c r="C1196" s="232" t="s">
        <v>3483</v>
      </c>
      <c r="D1196" s="232" t="s">
        <v>2554</v>
      </c>
      <c r="E1196" s="1" t="s">
        <v>3560</v>
      </c>
      <c r="F1196" s="232" t="s">
        <v>2601</v>
      </c>
      <c r="G1196" s="1" t="s">
        <v>3539</v>
      </c>
      <c r="H1196" s="232"/>
      <c r="I1196" s="233"/>
      <c r="J1196" s="14">
        <v>12</v>
      </c>
      <c r="K1196" s="138">
        <v>3</v>
      </c>
      <c r="L1196" s="138">
        <v>36</v>
      </c>
    </row>
    <row r="1197" spans="1:12" x14ac:dyDescent="0.25">
      <c r="A1197" s="1">
        <v>1196</v>
      </c>
      <c r="B1197" s="1">
        <v>336</v>
      </c>
      <c r="C1197" s="232" t="s">
        <v>3485</v>
      </c>
      <c r="D1197" s="232" t="s">
        <v>2554</v>
      </c>
      <c r="E1197" s="1" t="s">
        <v>3560</v>
      </c>
      <c r="F1197" s="232" t="s">
        <v>2607</v>
      </c>
      <c r="G1197" s="1" t="s">
        <v>3541</v>
      </c>
      <c r="H1197" s="232"/>
      <c r="I1197" s="233"/>
      <c r="J1197" s="14">
        <v>1</v>
      </c>
      <c r="K1197" s="138">
        <v>22</v>
      </c>
      <c r="L1197" s="138">
        <v>22</v>
      </c>
    </row>
    <row r="1198" spans="1:12" x14ac:dyDescent="0.25">
      <c r="A1198" s="1">
        <v>1197</v>
      </c>
      <c r="B1198" s="1">
        <v>337</v>
      </c>
      <c r="C1198" s="232" t="s">
        <v>3507</v>
      </c>
      <c r="D1198" s="232" t="s">
        <v>2555</v>
      </c>
      <c r="E1198" s="1" t="s">
        <v>3561</v>
      </c>
      <c r="F1198" s="232" t="s">
        <v>2863</v>
      </c>
      <c r="G1198" s="1" t="s">
        <v>3548</v>
      </c>
      <c r="H1198" s="232"/>
      <c r="I1198" s="233"/>
      <c r="J1198" s="14">
        <v>3</v>
      </c>
      <c r="K1198" s="138">
        <v>10</v>
      </c>
      <c r="L1198" s="138">
        <v>30</v>
      </c>
    </row>
    <row r="1199" spans="1:12" x14ac:dyDescent="0.25">
      <c r="A1199" s="1">
        <v>1198</v>
      </c>
      <c r="B1199" s="1">
        <v>337</v>
      </c>
      <c r="C1199" s="232" t="s">
        <v>3488</v>
      </c>
      <c r="D1199" s="232" t="s">
        <v>2555</v>
      </c>
      <c r="E1199" s="1" t="s">
        <v>3561</v>
      </c>
      <c r="F1199" s="232" t="s">
        <v>2616</v>
      </c>
      <c r="G1199" s="1" t="s">
        <v>3549</v>
      </c>
      <c r="H1199" s="232"/>
      <c r="I1199" s="233"/>
      <c r="J1199" s="14">
        <v>5</v>
      </c>
      <c r="K1199" s="138">
        <v>3</v>
      </c>
      <c r="L1199" s="138">
        <v>15</v>
      </c>
    </row>
    <row r="1200" spans="1:12" x14ac:dyDescent="0.25">
      <c r="A1200" s="1">
        <v>1199</v>
      </c>
      <c r="B1200" s="1">
        <v>338</v>
      </c>
      <c r="C1200" s="232" t="s">
        <v>3488</v>
      </c>
      <c r="D1200" s="232" t="s">
        <v>2555</v>
      </c>
      <c r="E1200" s="1" t="s">
        <v>3561</v>
      </c>
      <c r="F1200" s="232" t="s">
        <v>2616</v>
      </c>
      <c r="G1200" s="1" t="s">
        <v>3549</v>
      </c>
      <c r="H1200" s="232"/>
      <c r="I1200" s="233"/>
      <c r="J1200" s="14">
        <v>5</v>
      </c>
      <c r="K1200" s="138">
        <v>3</v>
      </c>
      <c r="L1200" s="138">
        <v>15</v>
      </c>
    </row>
    <row r="1201" spans="1:12" x14ac:dyDescent="0.25">
      <c r="A1201" s="1">
        <v>1200</v>
      </c>
      <c r="B1201" s="1">
        <v>338</v>
      </c>
      <c r="C1201" s="232" t="s">
        <v>3507</v>
      </c>
      <c r="D1201" s="232" t="s">
        <v>2555</v>
      </c>
      <c r="E1201" s="1" t="s">
        <v>3561</v>
      </c>
      <c r="F1201" s="232" t="s">
        <v>2863</v>
      </c>
      <c r="G1201" s="1" t="s">
        <v>3548</v>
      </c>
      <c r="H1201" s="232"/>
      <c r="I1201" s="233"/>
      <c r="J1201" s="14">
        <v>3</v>
      </c>
      <c r="K1201" s="138">
        <v>10</v>
      </c>
      <c r="L1201" s="138">
        <v>30</v>
      </c>
    </row>
    <row r="1202" spans="1:12" x14ac:dyDescent="0.25">
      <c r="A1202" s="1">
        <v>1201</v>
      </c>
      <c r="B1202" s="1">
        <v>339</v>
      </c>
      <c r="C1202" s="232" t="s">
        <v>3496</v>
      </c>
      <c r="D1202" s="232" t="s">
        <v>2552</v>
      </c>
      <c r="E1202" s="1" t="s">
        <v>3558</v>
      </c>
      <c r="F1202" s="232" t="s">
        <v>2750</v>
      </c>
      <c r="G1202" s="1" t="s">
        <v>3519</v>
      </c>
      <c r="H1202" s="232"/>
      <c r="I1202" s="233"/>
      <c r="J1202" s="14">
        <v>3</v>
      </c>
      <c r="K1202" s="138">
        <v>25</v>
      </c>
      <c r="L1202" s="138">
        <v>75</v>
      </c>
    </row>
    <row r="1203" spans="1:12" x14ac:dyDescent="0.25">
      <c r="A1203" s="1">
        <v>1202</v>
      </c>
      <c r="B1203" s="1">
        <v>339</v>
      </c>
      <c r="C1203" s="232" t="s">
        <v>3497</v>
      </c>
      <c r="D1203" s="232" t="s">
        <v>2552</v>
      </c>
      <c r="E1203" s="1" t="s">
        <v>3558</v>
      </c>
      <c r="F1203" s="232" t="s">
        <v>2753</v>
      </c>
      <c r="G1203" s="1" t="s">
        <v>3520</v>
      </c>
      <c r="H1203" s="232"/>
      <c r="I1203" s="233"/>
      <c r="J1203" s="14">
        <v>5</v>
      </c>
      <c r="K1203" s="138">
        <v>10</v>
      </c>
      <c r="L1203" s="138">
        <v>50</v>
      </c>
    </row>
    <row r="1204" spans="1:12" x14ac:dyDescent="0.25">
      <c r="A1204" s="1">
        <v>1203</v>
      </c>
      <c r="B1204" s="1">
        <v>339</v>
      </c>
      <c r="C1204" s="232" t="s">
        <v>3474</v>
      </c>
      <c r="D1204" s="232" t="s">
        <v>2552</v>
      </c>
      <c r="E1204" s="1" t="s">
        <v>3558</v>
      </c>
      <c r="F1204" s="232" t="s">
        <v>2574</v>
      </c>
      <c r="G1204" s="1" t="s">
        <v>3521</v>
      </c>
      <c r="H1204" s="232"/>
      <c r="I1204" s="233"/>
      <c r="J1204" s="14">
        <v>1</v>
      </c>
      <c r="K1204" s="138">
        <v>77</v>
      </c>
      <c r="L1204" s="138">
        <v>77</v>
      </c>
    </row>
    <row r="1205" spans="1:12" x14ac:dyDescent="0.25">
      <c r="A1205" s="1">
        <v>1204</v>
      </c>
      <c r="B1205" s="1">
        <v>339</v>
      </c>
      <c r="C1205" s="232" t="s">
        <v>3498</v>
      </c>
      <c r="D1205" s="232" t="s">
        <v>2552</v>
      </c>
      <c r="E1205" s="1" t="s">
        <v>3558</v>
      </c>
      <c r="F1205" s="232" t="s">
        <v>2758</v>
      </c>
      <c r="G1205" s="1" t="s">
        <v>3522</v>
      </c>
      <c r="H1205" s="232"/>
      <c r="I1205" s="233"/>
      <c r="J1205" s="14">
        <v>3</v>
      </c>
      <c r="K1205" s="138">
        <v>1.6</v>
      </c>
      <c r="L1205" s="138">
        <v>4.8</v>
      </c>
    </row>
    <row r="1206" spans="1:12" x14ac:dyDescent="0.25">
      <c r="A1206" s="1">
        <v>1205</v>
      </c>
      <c r="B1206" s="1">
        <v>339</v>
      </c>
      <c r="C1206" s="232" t="s">
        <v>3475</v>
      </c>
      <c r="D1206" s="232" t="s">
        <v>2552</v>
      </c>
      <c r="E1206" s="1" t="s">
        <v>3558</v>
      </c>
      <c r="F1206" s="232" t="s">
        <v>2577</v>
      </c>
      <c r="G1206" s="1" t="s">
        <v>3523</v>
      </c>
      <c r="H1206" s="232"/>
      <c r="I1206" s="233"/>
      <c r="J1206" s="14">
        <v>1</v>
      </c>
      <c r="K1206" s="138">
        <v>42</v>
      </c>
      <c r="L1206" s="138">
        <v>42</v>
      </c>
    </row>
    <row r="1207" spans="1:12" x14ac:dyDescent="0.25">
      <c r="A1207" s="1">
        <v>1206</v>
      </c>
      <c r="B1207" s="1">
        <v>339</v>
      </c>
      <c r="C1207" s="232" t="s">
        <v>3476</v>
      </c>
      <c r="D1207" s="232" t="s">
        <v>2552</v>
      </c>
      <c r="E1207" s="1" t="s">
        <v>3558</v>
      </c>
      <c r="F1207" s="232" t="s">
        <v>2580</v>
      </c>
      <c r="G1207" s="1" t="s">
        <v>3524</v>
      </c>
      <c r="H1207" s="232"/>
      <c r="I1207" s="233"/>
      <c r="J1207" s="14">
        <v>3</v>
      </c>
      <c r="K1207" s="138">
        <v>6</v>
      </c>
      <c r="L1207" s="138">
        <v>18</v>
      </c>
    </row>
    <row r="1208" spans="1:12" x14ac:dyDescent="0.25">
      <c r="A1208" s="1">
        <v>1207</v>
      </c>
      <c r="B1208" s="1">
        <v>340</v>
      </c>
      <c r="C1208" s="232" t="s">
        <v>3477</v>
      </c>
      <c r="D1208" s="232" t="s">
        <v>2553</v>
      </c>
      <c r="E1208" s="1" t="s">
        <v>3559</v>
      </c>
      <c r="F1208" s="232" t="s">
        <v>2583</v>
      </c>
      <c r="G1208" s="1" t="s">
        <v>3527</v>
      </c>
      <c r="H1208" s="232"/>
      <c r="I1208" s="233"/>
      <c r="J1208" s="14">
        <v>2</v>
      </c>
      <c r="K1208" s="138">
        <v>20</v>
      </c>
      <c r="L1208" s="138">
        <v>40</v>
      </c>
    </row>
    <row r="1209" spans="1:12" x14ac:dyDescent="0.25">
      <c r="A1209" s="1">
        <v>1208</v>
      </c>
      <c r="B1209" s="1">
        <v>340</v>
      </c>
      <c r="C1209" s="232" t="s">
        <v>3493</v>
      </c>
      <c r="D1209" s="232" t="s">
        <v>2553</v>
      </c>
      <c r="E1209" s="1" t="s">
        <v>3559</v>
      </c>
      <c r="F1209" s="232" t="s">
        <v>2689</v>
      </c>
      <c r="G1209" s="1" t="s">
        <v>3534</v>
      </c>
      <c r="H1209" s="232"/>
      <c r="I1209" s="233"/>
      <c r="J1209" s="14">
        <v>1</v>
      </c>
      <c r="K1209" s="138">
        <v>50</v>
      </c>
      <c r="L1209" s="138">
        <v>50</v>
      </c>
    </row>
    <row r="1210" spans="1:12" x14ac:dyDescent="0.25">
      <c r="A1210" s="1">
        <v>1209</v>
      </c>
      <c r="B1210" s="1">
        <v>340</v>
      </c>
      <c r="C1210" s="232" t="s">
        <v>3480</v>
      </c>
      <c r="D1210" s="232" t="s">
        <v>2553</v>
      </c>
      <c r="E1210" s="1" t="s">
        <v>3559</v>
      </c>
      <c r="F1210" s="232" t="s">
        <v>2592</v>
      </c>
      <c r="G1210" s="1" t="s">
        <v>3533</v>
      </c>
      <c r="H1210" s="232"/>
      <c r="I1210" s="233"/>
      <c r="J1210" s="14">
        <v>2</v>
      </c>
      <c r="K1210" s="138">
        <v>7</v>
      </c>
      <c r="L1210" s="138">
        <v>14</v>
      </c>
    </row>
    <row r="1211" spans="1:12" x14ac:dyDescent="0.25">
      <c r="A1211" s="1">
        <v>1210</v>
      </c>
      <c r="B1211" s="1">
        <v>340</v>
      </c>
      <c r="C1211" s="232" t="s">
        <v>3479</v>
      </c>
      <c r="D1211" s="232" t="s">
        <v>2553</v>
      </c>
      <c r="E1211" s="1" t="s">
        <v>3559</v>
      </c>
      <c r="F1211" s="232" t="s">
        <v>2589</v>
      </c>
      <c r="G1211" s="1" t="s">
        <v>3530</v>
      </c>
      <c r="H1211" s="232"/>
      <c r="I1211" s="233"/>
      <c r="J1211" s="14">
        <v>1</v>
      </c>
      <c r="K1211" s="138">
        <v>70</v>
      </c>
      <c r="L1211" s="138">
        <v>70</v>
      </c>
    </row>
    <row r="1212" spans="1:12" x14ac:dyDescent="0.25">
      <c r="A1212" s="1">
        <v>1211</v>
      </c>
      <c r="B1212" s="1">
        <v>341</v>
      </c>
      <c r="C1212" s="232" t="s">
        <v>3502</v>
      </c>
      <c r="D1212" s="232" t="s">
        <v>2556</v>
      </c>
      <c r="E1212" s="1" t="s">
        <v>3562</v>
      </c>
      <c r="F1212" s="232" t="s">
        <v>2788</v>
      </c>
      <c r="G1212" s="1" t="s">
        <v>3551</v>
      </c>
      <c r="H1212" s="232"/>
      <c r="I1212" s="233"/>
      <c r="J1212" s="14">
        <v>1</v>
      </c>
      <c r="K1212" s="138">
        <v>150</v>
      </c>
      <c r="L1212" s="138">
        <v>150</v>
      </c>
    </row>
    <row r="1213" spans="1:12" x14ac:dyDescent="0.25">
      <c r="A1213" s="1">
        <v>1212</v>
      </c>
      <c r="B1213" s="1">
        <v>342</v>
      </c>
      <c r="C1213" s="232" t="s">
        <v>3470</v>
      </c>
      <c r="D1213" s="232" t="s">
        <v>2552</v>
      </c>
      <c r="E1213" s="1" t="s">
        <v>3558</v>
      </c>
      <c r="F1213" s="232" t="s">
        <v>2562</v>
      </c>
      <c r="G1213" s="1" t="s">
        <v>3514</v>
      </c>
      <c r="H1213" s="232"/>
      <c r="I1213" s="233"/>
      <c r="J1213" s="14">
        <v>2</v>
      </c>
      <c r="K1213" s="138">
        <v>6</v>
      </c>
      <c r="L1213" s="138">
        <v>12</v>
      </c>
    </row>
    <row r="1214" spans="1:12" x14ac:dyDescent="0.25">
      <c r="A1214" s="1">
        <v>1213</v>
      </c>
      <c r="B1214" s="1">
        <v>342</v>
      </c>
      <c r="C1214" s="232" t="s">
        <v>3471</v>
      </c>
      <c r="D1214" s="232" t="s">
        <v>2552</v>
      </c>
      <c r="E1214" s="1" t="s">
        <v>3558</v>
      </c>
      <c r="F1214" s="232" t="s">
        <v>2565</v>
      </c>
      <c r="G1214" s="1" t="s">
        <v>3515</v>
      </c>
      <c r="H1214" s="232"/>
      <c r="I1214" s="233"/>
      <c r="J1214" s="14">
        <v>35</v>
      </c>
      <c r="K1214" s="138">
        <v>75</v>
      </c>
      <c r="L1214" s="138">
        <v>2625</v>
      </c>
    </row>
    <row r="1215" spans="1:12" x14ac:dyDescent="0.25">
      <c r="A1215" s="1">
        <v>1214</v>
      </c>
      <c r="B1215" s="1">
        <v>342</v>
      </c>
      <c r="C1215" s="232" t="s">
        <v>3473</v>
      </c>
      <c r="D1215" s="232" t="s">
        <v>2552</v>
      </c>
      <c r="E1215" s="1" t="s">
        <v>3558</v>
      </c>
      <c r="F1215" s="232" t="s">
        <v>2571</v>
      </c>
      <c r="G1215" s="1" t="s">
        <v>3518</v>
      </c>
      <c r="H1215" s="232"/>
      <c r="I1215" s="233"/>
      <c r="J1215" s="14">
        <v>150</v>
      </c>
      <c r="K1215" s="138">
        <v>5</v>
      </c>
      <c r="L1215" s="138">
        <v>750</v>
      </c>
    </row>
    <row r="1216" spans="1:12" x14ac:dyDescent="0.25">
      <c r="A1216" s="1">
        <v>1215</v>
      </c>
      <c r="B1216" s="1">
        <v>342</v>
      </c>
      <c r="C1216" s="232" t="s">
        <v>3497</v>
      </c>
      <c r="D1216" s="232" t="s">
        <v>2552</v>
      </c>
      <c r="E1216" s="1" t="s">
        <v>3558</v>
      </c>
      <c r="F1216" s="232" t="s">
        <v>2753</v>
      </c>
      <c r="G1216" s="1" t="s">
        <v>3520</v>
      </c>
      <c r="H1216" s="232"/>
      <c r="I1216" s="233"/>
      <c r="J1216" s="14">
        <v>5</v>
      </c>
      <c r="K1216" s="138">
        <v>10</v>
      </c>
      <c r="L1216" s="138">
        <v>50</v>
      </c>
    </row>
    <row r="1217" spans="1:12" x14ac:dyDescent="0.25">
      <c r="A1217" s="1">
        <v>1216</v>
      </c>
      <c r="B1217" s="1">
        <v>342</v>
      </c>
      <c r="C1217" s="232" t="s">
        <v>3474</v>
      </c>
      <c r="D1217" s="232" t="s">
        <v>2552</v>
      </c>
      <c r="E1217" s="1" t="s">
        <v>3558</v>
      </c>
      <c r="F1217" s="232" t="s">
        <v>2574</v>
      </c>
      <c r="G1217" s="1" t="s">
        <v>3521</v>
      </c>
      <c r="H1217" s="232"/>
      <c r="I1217" s="233"/>
      <c r="J1217" s="14">
        <v>5</v>
      </c>
      <c r="K1217" s="138">
        <v>77</v>
      </c>
      <c r="L1217" s="138">
        <v>385</v>
      </c>
    </row>
    <row r="1218" spans="1:12" x14ac:dyDescent="0.25">
      <c r="A1218" s="1">
        <v>1217</v>
      </c>
      <c r="B1218" s="1">
        <v>342</v>
      </c>
      <c r="C1218" s="232" t="s">
        <v>3475</v>
      </c>
      <c r="D1218" s="232" t="s">
        <v>2552</v>
      </c>
      <c r="E1218" s="1" t="s">
        <v>3558</v>
      </c>
      <c r="F1218" s="232" t="s">
        <v>2577</v>
      </c>
      <c r="G1218" s="1" t="s">
        <v>3523</v>
      </c>
      <c r="H1218" s="232"/>
      <c r="I1218" s="233"/>
      <c r="J1218" s="14">
        <v>5</v>
      </c>
      <c r="K1218" s="138">
        <v>42</v>
      </c>
      <c r="L1218" s="138">
        <v>210</v>
      </c>
    </row>
    <row r="1219" spans="1:12" x14ac:dyDescent="0.25">
      <c r="A1219" s="1">
        <v>1218</v>
      </c>
      <c r="B1219" s="1">
        <v>342</v>
      </c>
      <c r="C1219" s="232" t="s">
        <v>3476</v>
      </c>
      <c r="D1219" s="232" t="s">
        <v>2552</v>
      </c>
      <c r="E1219" s="1" t="s">
        <v>3558</v>
      </c>
      <c r="F1219" s="232" t="s">
        <v>2580</v>
      </c>
      <c r="G1219" s="1" t="s">
        <v>3524</v>
      </c>
      <c r="H1219" s="232"/>
      <c r="I1219" s="233"/>
      <c r="J1219" s="14">
        <v>5</v>
      </c>
      <c r="K1219" s="138">
        <v>6</v>
      </c>
      <c r="L1219" s="138">
        <v>30</v>
      </c>
    </row>
    <row r="1220" spans="1:12" x14ac:dyDescent="0.25">
      <c r="A1220" s="1">
        <v>1219</v>
      </c>
      <c r="B1220" s="1">
        <v>342</v>
      </c>
      <c r="C1220" s="232" t="s">
        <v>3556</v>
      </c>
      <c r="D1220" s="232" t="s">
        <v>2552</v>
      </c>
      <c r="E1220" s="1" t="s">
        <v>3558</v>
      </c>
      <c r="F1220" s="232" t="s">
        <v>3511</v>
      </c>
      <c r="G1220" s="1" t="s">
        <v>3525</v>
      </c>
      <c r="H1220" s="232"/>
      <c r="I1220" s="233"/>
      <c r="J1220" s="14">
        <v>1</v>
      </c>
      <c r="K1220" s="138">
        <v>9</v>
      </c>
      <c r="L1220" s="138">
        <v>9</v>
      </c>
    </row>
    <row r="1221" spans="1:12" x14ac:dyDescent="0.25">
      <c r="A1221" s="1">
        <v>1220</v>
      </c>
      <c r="B1221" s="1">
        <v>343</v>
      </c>
      <c r="C1221" s="232" t="s">
        <v>3477</v>
      </c>
      <c r="D1221" s="232" t="s">
        <v>2553</v>
      </c>
      <c r="E1221" s="1" t="s">
        <v>3559</v>
      </c>
      <c r="F1221" s="232" t="s">
        <v>2583</v>
      </c>
      <c r="G1221" s="1" t="s">
        <v>3527</v>
      </c>
      <c r="H1221" s="232"/>
      <c r="I1221" s="233"/>
      <c r="J1221" s="14">
        <v>3</v>
      </c>
      <c r="K1221" s="138">
        <v>20</v>
      </c>
      <c r="L1221" s="138">
        <v>60</v>
      </c>
    </row>
    <row r="1222" spans="1:12" x14ac:dyDescent="0.25">
      <c r="A1222" s="1">
        <v>1221</v>
      </c>
      <c r="B1222" s="1">
        <v>343</v>
      </c>
      <c r="C1222" s="232" t="s">
        <v>3478</v>
      </c>
      <c r="D1222" s="232" t="s">
        <v>2553</v>
      </c>
      <c r="E1222" s="1" t="s">
        <v>3559</v>
      </c>
      <c r="F1222" s="232" t="s">
        <v>2586</v>
      </c>
      <c r="G1222" s="1" t="s">
        <v>3528</v>
      </c>
      <c r="H1222" s="232"/>
      <c r="I1222" s="233"/>
      <c r="J1222" s="14">
        <v>50</v>
      </c>
      <c r="K1222" s="138">
        <v>18</v>
      </c>
      <c r="L1222" s="138">
        <v>900</v>
      </c>
    </row>
    <row r="1223" spans="1:12" x14ac:dyDescent="0.25">
      <c r="A1223" s="1">
        <v>1222</v>
      </c>
      <c r="B1223" s="1">
        <v>343</v>
      </c>
      <c r="C1223" s="232" t="s">
        <v>3490</v>
      </c>
      <c r="D1223" s="232" t="s">
        <v>2553</v>
      </c>
      <c r="E1223" s="1" t="s">
        <v>3559</v>
      </c>
      <c r="F1223" s="232" t="s">
        <v>2630</v>
      </c>
      <c r="G1223" s="1" t="s">
        <v>3529</v>
      </c>
      <c r="H1223" s="232"/>
      <c r="I1223" s="233"/>
      <c r="J1223" s="14">
        <v>70</v>
      </c>
      <c r="K1223" s="138">
        <v>18</v>
      </c>
      <c r="L1223" s="138">
        <v>1260</v>
      </c>
    </row>
    <row r="1224" spans="1:12" x14ac:dyDescent="0.25">
      <c r="A1224" s="1">
        <v>1223</v>
      </c>
      <c r="B1224" s="1">
        <v>343</v>
      </c>
      <c r="C1224" s="232" t="s">
        <v>3479</v>
      </c>
      <c r="D1224" s="232" t="s">
        <v>2553</v>
      </c>
      <c r="E1224" s="1" t="s">
        <v>3559</v>
      </c>
      <c r="F1224" s="232" t="s">
        <v>2589</v>
      </c>
      <c r="G1224" s="1" t="s">
        <v>3530</v>
      </c>
      <c r="H1224" s="232"/>
      <c r="I1224" s="233"/>
      <c r="J1224" s="14">
        <v>1</v>
      </c>
      <c r="K1224" s="138">
        <v>70</v>
      </c>
      <c r="L1224" s="138">
        <v>70</v>
      </c>
    </row>
    <row r="1225" spans="1:12" x14ac:dyDescent="0.25">
      <c r="A1225" s="1">
        <v>1224</v>
      </c>
      <c r="B1225" s="1">
        <v>343</v>
      </c>
      <c r="C1225" s="232" t="s">
        <v>3491</v>
      </c>
      <c r="D1225" s="232" t="s">
        <v>2553</v>
      </c>
      <c r="E1225" s="1" t="s">
        <v>3559</v>
      </c>
      <c r="F1225" s="232" t="s">
        <v>2635</v>
      </c>
      <c r="G1225" s="1" t="s">
        <v>3531</v>
      </c>
      <c r="H1225" s="232"/>
      <c r="I1225" s="233"/>
      <c r="J1225" s="14">
        <v>1</v>
      </c>
      <c r="K1225" s="138">
        <v>40</v>
      </c>
      <c r="L1225" s="138">
        <v>40</v>
      </c>
    </row>
    <row r="1226" spans="1:12" x14ac:dyDescent="0.25">
      <c r="A1226" s="1">
        <v>1225</v>
      </c>
      <c r="B1226" s="1">
        <v>343</v>
      </c>
      <c r="C1226" s="232" t="s">
        <v>3480</v>
      </c>
      <c r="D1226" s="232" t="s">
        <v>2553</v>
      </c>
      <c r="E1226" s="1" t="s">
        <v>3559</v>
      </c>
      <c r="F1226" s="232" t="s">
        <v>2592</v>
      </c>
      <c r="G1226" s="1" t="s">
        <v>3533</v>
      </c>
      <c r="H1226" s="232"/>
      <c r="I1226" s="233"/>
      <c r="J1226" s="14">
        <v>3</v>
      </c>
      <c r="K1226" s="138">
        <v>7</v>
      </c>
      <c r="L1226" s="138">
        <v>21</v>
      </c>
    </row>
    <row r="1227" spans="1:12" x14ac:dyDescent="0.25">
      <c r="A1227" s="1">
        <v>1226</v>
      </c>
      <c r="B1227" s="1">
        <v>343</v>
      </c>
      <c r="C1227" s="232" t="s">
        <v>3493</v>
      </c>
      <c r="D1227" s="232" t="s">
        <v>2553</v>
      </c>
      <c r="E1227" s="1" t="s">
        <v>3559</v>
      </c>
      <c r="F1227" s="232" t="s">
        <v>2689</v>
      </c>
      <c r="G1227" s="1" t="s">
        <v>3534</v>
      </c>
      <c r="H1227" s="232"/>
      <c r="I1227" s="233"/>
      <c r="J1227" s="14">
        <v>1</v>
      </c>
      <c r="K1227" s="138">
        <v>50</v>
      </c>
      <c r="L1227" s="138">
        <v>50</v>
      </c>
    </row>
    <row r="1228" spans="1:12" x14ac:dyDescent="0.25">
      <c r="A1228" s="1">
        <v>1227</v>
      </c>
      <c r="B1228" s="1">
        <v>344</v>
      </c>
      <c r="C1228" s="232" t="s">
        <v>3488</v>
      </c>
      <c r="D1228" s="232" t="s">
        <v>2555</v>
      </c>
      <c r="E1228" s="1" t="s">
        <v>3561</v>
      </c>
      <c r="F1228" s="232" t="s">
        <v>2616</v>
      </c>
      <c r="G1228" s="1" t="s">
        <v>3549</v>
      </c>
      <c r="H1228" s="232"/>
      <c r="I1228" s="233"/>
      <c r="J1228" s="14">
        <v>4</v>
      </c>
      <c r="K1228" s="138">
        <v>3</v>
      </c>
      <c r="L1228" s="138">
        <v>12</v>
      </c>
    </row>
    <row r="1229" spans="1:12" x14ac:dyDescent="0.25">
      <c r="A1229" s="1">
        <v>1228</v>
      </c>
      <c r="B1229" s="1">
        <v>344</v>
      </c>
      <c r="C1229" s="232" t="s">
        <v>3507</v>
      </c>
      <c r="D1229" s="232" t="s">
        <v>2555</v>
      </c>
      <c r="E1229" s="1" t="s">
        <v>3561</v>
      </c>
      <c r="F1229" s="232" t="s">
        <v>2863</v>
      </c>
      <c r="G1229" s="1" t="s">
        <v>3548</v>
      </c>
      <c r="H1229" s="232"/>
      <c r="I1229" s="233"/>
      <c r="J1229" s="14">
        <v>3</v>
      </c>
      <c r="K1229" s="138">
        <v>10</v>
      </c>
      <c r="L1229" s="138">
        <v>30</v>
      </c>
    </row>
    <row r="1230" spans="1:12" x14ac:dyDescent="0.25">
      <c r="A1230" s="1">
        <v>1229</v>
      </c>
      <c r="B1230" s="1">
        <v>344</v>
      </c>
      <c r="C1230" s="232" t="s">
        <v>3501</v>
      </c>
      <c r="D1230" s="232" t="s">
        <v>2555</v>
      </c>
      <c r="E1230" s="1" t="s">
        <v>3561</v>
      </c>
      <c r="F1230" s="232" t="s">
        <v>2785</v>
      </c>
      <c r="G1230" s="1" t="s">
        <v>3546</v>
      </c>
      <c r="H1230" s="232"/>
      <c r="I1230" s="233"/>
      <c r="J1230" s="14">
        <v>1</v>
      </c>
      <c r="K1230" s="138">
        <v>10</v>
      </c>
      <c r="L1230" s="138">
        <v>10</v>
      </c>
    </row>
    <row r="1231" spans="1:12" x14ac:dyDescent="0.25">
      <c r="A1231" s="1">
        <v>1230</v>
      </c>
      <c r="B1231" s="1">
        <v>344</v>
      </c>
      <c r="C1231" s="232" t="s">
        <v>3506</v>
      </c>
      <c r="D1231" s="232" t="s">
        <v>2555</v>
      </c>
      <c r="E1231" s="1" t="s">
        <v>3561</v>
      </c>
      <c r="F1231" s="232" t="s">
        <v>2840</v>
      </c>
      <c r="G1231" s="1" t="s">
        <v>3545</v>
      </c>
      <c r="H1231" s="232"/>
      <c r="I1231" s="233"/>
      <c r="J1231" s="14">
        <v>1</v>
      </c>
      <c r="K1231" s="138">
        <v>6</v>
      </c>
      <c r="L1231" s="138">
        <v>6</v>
      </c>
    </row>
    <row r="1232" spans="1:12" x14ac:dyDescent="0.25">
      <c r="A1232" s="1">
        <v>1231</v>
      </c>
      <c r="B1232" s="1">
        <v>345</v>
      </c>
      <c r="C1232" s="232" t="s">
        <v>3502</v>
      </c>
      <c r="D1232" s="232" t="s">
        <v>2556</v>
      </c>
      <c r="E1232" s="1" t="s">
        <v>3562</v>
      </c>
      <c r="F1232" s="232" t="s">
        <v>2788</v>
      </c>
      <c r="G1232" s="1" t="s">
        <v>3551</v>
      </c>
      <c r="H1232" s="232"/>
      <c r="I1232" s="233"/>
      <c r="J1232" s="14">
        <v>1</v>
      </c>
      <c r="K1232" s="138">
        <v>150</v>
      </c>
      <c r="L1232" s="138">
        <v>150</v>
      </c>
    </row>
    <row r="1233" spans="1:12" x14ac:dyDescent="0.25">
      <c r="A1233" s="1">
        <v>1232</v>
      </c>
      <c r="B1233" s="1">
        <v>345</v>
      </c>
      <c r="C1233" s="232" t="s">
        <v>3509</v>
      </c>
      <c r="D1233" s="232" t="s">
        <v>2556</v>
      </c>
      <c r="E1233" s="1" t="s">
        <v>3562</v>
      </c>
      <c r="F1233" s="232" t="s">
        <v>3009</v>
      </c>
      <c r="G1233" s="1" t="s">
        <v>3552</v>
      </c>
      <c r="H1233" s="232"/>
      <c r="I1233" s="233"/>
      <c r="J1233" s="14">
        <v>1</v>
      </c>
      <c r="K1233" s="138">
        <v>3</v>
      </c>
      <c r="L1233" s="138">
        <v>3</v>
      </c>
    </row>
    <row r="1234" spans="1:12" x14ac:dyDescent="0.25">
      <c r="A1234" s="1">
        <v>1233</v>
      </c>
      <c r="B1234" s="1">
        <v>345</v>
      </c>
      <c r="C1234" s="232" t="s">
        <v>3508</v>
      </c>
      <c r="D1234" s="232" t="s">
        <v>2556</v>
      </c>
      <c r="E1234" s="1" t="s">
        <v>3562</v>
      </c>
      <c r="F1234" s="232" t="s">
        <v>2900</v>
      </c>
      <c r="G1234" s="1" t="s">
        <v>3553</v>
      </c>
      <c r="H1234" s="232"/>
      <c r="I1234" s="233"/>
      <c r="J1234" s="14">
        <v>1</v>
      </c>
      <c r="K1234" s="138">
        <v>4</v>
      </c>
      <c r="L1234" s="138">
        <v>4</v>
      </c>
    </row>
    <row r="1235" spans="1:12" x14ac:dyDescent="0.25">
      <c r="A1235" s="1">
        <v>1234</v>
      </c>
      <c r="B1235" s="1">
        <v>346</v>
      </c>
      <c r="C1235" s="232" t="s">
        <v>3502</v>
      </c>
      <c r="D1235" s="232" t="s">
        <v>2556</v>
      </c>
      <c r="E1235" s="1" t="s">
        <v>3562</v>
      </c>
      <c r="F1235" s="232" t="s">
        <v>2788</v>
      </c>
      <c r="G1235" s="1" t="s">
        <v>3551</v>
      </c>
      <c r="H1235" s="232"/>
      <c r="I1235" s="233"/>
      <c r="J1235" s="14">
        <v>1</v>
      </c>
      <c r="K1235" s="138">
        <v>150</v>
      </c>
      <c r="L1235" s="138">
        <v>150</v>
      </c>
    </row>
    <row r="1236" spans="1:12" x14ac:dyDescent="0.25">
      <c r="A1236" s="1">
        <v>1235</v>
      </c>
      <c r="B1236" s="1">
        <v>346</v>
      </c>
      <c r="C1236" s="232" t="s">
        <v>3509</v>
      </c>
      <c r="D1236" s="232" t="s">
        <v>2556</v>
      </c>
      <c r="E1236" s="1" t="s">
        <v>3562</v>
      </c>
      <c r="F1236" s="232" t="s">
        <v>3009</v>
      </c>
      <c r="G1236" s="1" t="s">
        <v>3552</v>
      </c>
      <c r="H1236" s="232"/>
      <c r="I1236" s="233"/>
      <c r="J1236" s="14">
        <v>1</v>
      </c>
      <c r="K1236" s="138">
        <v>3</v>
      </c>
      <c r="L1236" s="138">
        <v>3</v>
      </c>
    </row>
    <row r="1237" spans="1:12" x14ac:dyDescent="0.25">
      <c r="A1237" s="1">
        <v>1236</v>
      </c>
      <c r="B1237" s="1">
        <v>346</v>
      </c>
      <c r="C1237" s="232" t="s">
        <v>3508</v>
      </c>
      <c r="D1237" s="232" t="s">
        <v>2556</v>
      </c>
      <c r="E1237" s="1" t="s">
        <v>3562</v>
      </c>
      <c r="F1237" s="232" t="s">
        <v>2900</v>
      </c>
      <c r="G1237" s="1" t="s">
        <v>3553</v>
      </c>
      <c r="H1237" s="232"/>
      <c r="I1237" s="233"/>
      <c r="J1237" s="14">
        <v>1</v>
      </c>
      <c r="K1237" s="138">
        <v>4</v>
      </c>
      <c r="L1237" s="138">
        <v>4</v>
      </c>
    </row>
    <row r="1238" spans="1:12" x14ac:dyDescent="0.25">
      <c r="A1238" s="1">
        <v>1237</v>
      </c>
      <c r="B1238" s="1">
        <v>347</v>
      </c>
      <c r="C1238" s="232" t="s">
        <v>3470</v>
      </c>
      <c r="D1238" s="232" t="s">
        <v>2552</v>
      </c>
      <c r="E1238" s="1" t="s">
        <v>3558</v>
      </c>
      <c r="F1238" s="232" t="s">
        <v>2562</v>
      </c>
      <c r="G1238" s="1" t="s">
        <v>3514</v>
      </c>
      <c r="H1238" s="232" t="s">
        <v>3821</v>
      </c>
      <c r="I1238" s="233" t="s">
        <v>3822</v>
      </c>
      <c r="J1238" s="14">
        <v>10</v>
      </c>
      <c r="K1238" s="138">
        <v>6</v>
      </c>
      <c r="L1238" s="138">
        <v>60</v>
      </c>
    </row>
    <row r="1239" spans="1:12" x14ac:dyDescent="0.25">
      <c r="A1239" s="1">
        <v>1238</v>
      </c>
      <c r="B1239" s="1">
        <v>347</v>
      </c>
      <c r="C1239" s="232" t="s">
        <v>3473</v>
      </c>
      <c r="D1239" s="232" t="s">
        <v>2552</v>
      </c>
      <c r="E1239" s="1" t="s">
        <v>3558</v>
      </c>
      <c r="F1239" s="232" t="s">
        <v>2571</v>
      </c>
      <c r="G1239" s="1" t="s">
        <v>3518</v>
      </c>
      <c r="H1239" s="232"/>
      <c r="I1239" s="233"/>
      <c r="J1239" s="14">
        <v>70</v>
      </c>
      <c r="K1239" s="138">
        <v>5</v>
      </c>
      <c r="L1239" s="138">
        <v>350</v>
      </c>
    </row>
    <row r="1240" spans="1:12" x14ac:dyDescent="0.25">
      <c r="A1240" s="1">
        <v>1239</v>
      </c>
      <c r="B1240" s="1">
        <v>347</v>
      </c>
      <c r="C1240" s="232" t="s">
        <v>3496</v>
      </c>
      <c r="D1240" s="232" t="s">
        <v>2552</v>
      </c>
      <c r="E1240" s="1" t="s">
        <v>3558</v>
      </c>
      <c r="F1240" s="232" t="s">
        <v>2750</v>
      </c>
      <c r="G1240" s="1" t="s">
        <v>3519</v>
      </c>
      <c r="H1240" s="232"/>
      <c r="I1240" s="233"/>
      <c r="J1240" s="14">
        <v>13</v>
      </c>
      <c r="K1240" s="138">
        <v>25</v>
      </c>
      <c r="L1240" s="138">
        <v>325</v>
      </c>
    </row>
    <row r="1241" spans="1:12" x14ac:dyDescent="0.25">
      <c r="A1241" s="1">
        <v>1240</v>
      </c>
      <c r="B1241" s="1">
        <v>347</v>
      </c>
      <c r="C1241" s="232" t="s">
        <v>3497</v>
      </c>
      <c r="D1241" s="232" t="s">
        <v>2552</v>
      </c>
      <c r="E1241" s="1" t="s">
        <v>3558</v>
      </c>
      <c r="F1241" s="232" t="s">
        <v>2753</v>
      </c>
      <c r="G1241" s="1" t="s">
        <v>3520</v>
      </c>
      <c r="H1241" s="232"/>
      <c r="I1241" s="233"/>
      <c r="J1241" s="14">
        <v>5</v>
      </c>
      <c r="K1241" s="138">
        <v>10</v>
      </c>
      <c r="L1241" s="138">
        <v>50</v>
      </c>
    </row>
    <row r="1242" spans="1:12" x14ac:dyDescent="0.25">
      <c r="A1242" s="1">
        <v>1241</v>
      </c>
      <c r="B1242" s="1">
        <v>347</v>
      </c>
      <c r="C1242" s="232" t="s">
        <v>3474</v>
      </c>
      <c r="D1242" s="232" t="s">
        <v>2552</v>
      </c>
      <c r="E1242" s="1" t="s">
        <v>3558</v>
      </c>
      <c r="F1242" s="232" t="s">
        <v>2574</v>
      </c>
      <c r="G1242" s="1" t="s">
        <v>3521</v>
      </c>
      <c r="H1242" s="232"/>
      <c r="I1242" s="233"/>
      <c r="J1242" s="14">
        <v>8</v>
      </c>
      <c r="K1242" s="138">
        <v>77</v>
      </c>
      <c r="L1242" s="138">
        <v>616</v>
      </c>
    </row>
    <row r="1243" spans="1:12" x14ac:dyDescent="0.25">
      <c r="A1243" s="1">
        <v>1242</v>
      </c>
      <c r="B1243" s="1">
        <v>347</v>
      </c>
      <c r="C1243" s="232" t="s">
        <v>3498</v>
      </c>
      <c r="D1243" s="232" t="s">
        <v>2552</v>
      </c>
      <c r="E1243" s="1" t="s">
        <v>3558</v>
      </c>
      <c r="F1243" s="232" t="s">
        <v>2758</v>
      </c>
      <c r="G1243" s="1" t="s">
        <v>3522</v>
      </c>
      <c r="H1243" s="232"/>
      <c r="I1243" s="233"/>
      <c r="J1243" s="14">
        <v>2</v>
      </c>
      <c r="K1243" s="138">
        <v>1.6</v>
      </c>
      <c r="L1243" s="138">
        <v>3.2</v>
      </c>
    </row>
    <row r="1244" spans="1:12" x14ac:dyDescent="0.25">
      <c r="A1244" s="1">
        <v>1243</v>
      </c>
      <c r="B1244" s="1">
        <v>347</v>
      </c>
      <c r="C1244" s="232" t="s">
        <v>3475</v>
      </c>
      <c r="D1244" s="232" t="s">
        <v>2552</v>
      </c>
      <c r="E1244" s="1" t="s">
        <v>3558</v>
      </c>
      <c r="F1244" s="232" t="s">
        <v>2577</v>
      </c>
      <c r="G1244" s="1" t="s">
        <v>3523</v>
      </c>
      <c r="H1244" s="232"/>
      <c r="I1244" s="233"/>
      <c r="J1244" s="14">
        <v>8</v>
      </c>
      <c r="K1244" s="138">
        <v>42</v>
      </c>
      <c r="L1244" s="138">
        <v>336</v>
      </c>
    </row>
    <row r="1245" spans="1:12" x14ac:dyDescent="0.25">
      <c r="A1245" s="1">
        <v>1244</v>
      </c>
      <c r="B1245" s="1">
        <v>347</v>
      </c>
      <c r="C1245" s="232" t="s">
        <v>3476</v>
      </c>
      <c r="D1245" s="232" t="s">
        <v>2552</v>
      </c>
      <c r="E1245" s="1" t="s">
        <v>3558</v>
      </c>
      <c r="F1245" s="232" t="s">
        <v>2580</v>
      </c>
      <c r="G1245" s="1" t="s">
        <v>3524</v>
      </c>
      <c r="H1245" s="232"/>
      <c r="I1245" s="233"/>
      <c r="J1245" s="14">
        <v>8</v>
      </c>
      <c r="K1245" s="138">
        <v>6</v>
      </c>
      <c r="L1245" s="138">
        <v>48</v>
      </c>
    </row>
    <row r="1246" spans="1:12" x14ac:dyDescent="0.25">
      <c r="A1246" s="1">
        <v>1245</v>
      </c>
      <c r="B1246" s="1">
        <v>348</v>
      </c>
      <c r="C1246" s="232" t="s">
        <v>3477</v>
      </c>
      <c r="D1246" s="232" t="s">
        <v>2553</v>
      </c>
      <c r="E1246" s="1" t="s">
        <v>3559</v>
      </c>
      <c r="F1246" s="232" t="s">
        <v>2583</v>
      </c>
      <c r="G1246" s="1" t="s">
        <v>3527</v>
      </c>
      <c r="H1246" s="232"/>
      <c r="I1246" s="233"/>
      <c r="J1246" s="14">
        <v>3</v>
      </c>
      <c r="K1246" s="138">
        <v>20</v>
      </c>
      <c r="L1246" s="138">
        <v>60</v>
      </c>
    </row>
    <row r="1247" spans="1:12" x14ac:dyDescent="0.25">
      <c r="A1247" s="1">
        <v>1246</v>
      </c>
      <c r="B1247" s="1">
        <v>348</v>
      </c>
      <c r="C1247" s="232" t="s">
        <v>3478</v>
      </c>
      <c r="D1247" s="232" t="s">
        <v>2553</v>
      </c>
      <c r="E1247" s="1" t="s">
        <v>3559</v>
      </c>
      <c r="F1247" s="232" t="s">
        <v>2586</v>
      </c>
      <c r="G1247" s="1" t="s">
        <v>3528</v>
      </c>
      <c r="H1247" s="232"/>
      <c r="I1247" s="233"/>
      <c r="J1247" s="14">
        <v>80</v>
      </c>
      <c r="K1247" s="138">
        <v>18</v>
      </c>
      <c r="L1247" s="138">
        <v>1440</v>
      </c>
    </row>
    <row r="1248" spans="1:12" x14ac:dyDescent="0.25">
      <c r="A1248" s="1">
        <v>1247</v>
      </c>
      <c r="B1248" s="1">
        <v>348</v>
      </c>
      <c r="C1248" s="232" t="s">
        <v>3490</v>
      </c>
      <c r="D1248" s="232" t="s">
        <v>2553</v>
      </c>
      <c r="E1248" s="1" t="s">
        <v>3559</v>
      </c>
      <c r="F1248" s="232" t="s">
        <v>2630</v>
      </c>
      <c r="G1248" s="1" t="s">
        <v>3529</v>
      </c>
      <c r="H1248" s="232"/>
      <c r="I1248" s="233"/>
      <c r="J1248" s="14">
        <v>30</v>
      </c>
      <c r="K1248" s="138">
        <v>18</v>
      </c>
      <c r="L1248" s="138">
        <v>540</v>
      </c>
    </row>
    <row r="1249" spans="1:12" x14ac:dyDescent="0.25">
      <c r="A1249" s="1">
        <v>1248</v>
      </c>
      <c r="B1249" s="1">
        <v>348</v>
      </c>
      <c r="C1249" s="232" t="s">
        <v>3479</v>
      </c>
      <c r="D1249" s="232" t="s">
        <v>2553</v>
      </c>
      <c r="E1249" s="1" t="s">
        <v>3559</v>
      </c>
      <c r="F1249" s="232" t="s">
        <v>2589</v>
      </c>
      <c r="G1249" s="1" t="s">
        <v>3530</v>
      </c>
      <c r="H1249" s="232"/>
      <c r="I1249" s="233"/>
      <c r="J1249" s="14">
        <v>1</v>
      </c>
      <c r="K1249" s="138">
        <v>70</v>
      </c>
      <c r="L1249" s="138">
        <v>70</v>
      </c>
    </row>
    <row r="1250" spans="1:12" x14ac:dyDescent="0.25">
      <c r="A1250" s="1">
        <v>1249</v>
      </c>
      <c r="B1250" s="1">
        <v>348</v>
      </c>
      <c r="C1250" s="232" t="s">
        <v>3499</v>
      </c>
      <c r="D1250" s="232" t="s">
        <v>2553</v>
      </c>
      <c r="E1250" s="1" t="s">
        <v>3559</v>
      </c>
      <c r="F1250" s="232" t="s">
        <v>2775</v>
      </c>
      <c r="G1250" s="1" t="s">
        <v>3532</v>
      </c>
      <c r="H1250" s="232"/>
      <c r="I1250" s="233"/>
      <c r="J1250" s="14">
        <v>1</v>
      </c>
      <c r="K1250" s="138">
        <v>100</v>
      </c>
      <c r="L1250" s="138">
        <v>100</v>
      </c>
    </row>
    <row r="1251" spans="1:12" x14ac:dyDescent="0.25">
      <c r="A1251" s="1">
        <v>1250</v>
      </c>
      <c r="B1251" s="1">
        <v>348</v>
      </c>
      <c r="C1251" s="232" t="s">
        <v>3480</v>
      </c>
      <c r="D1251" s="232" t="s">
        <v>2553</v>
      </c>
      <c r="E1251" s="1" t="s">
        <v>3559</v>
      </c>
      <c r="F1251" s="232" t="s">
        <v>2592</v>
      </c>
      <c r="G1251" s="1" t="s">
        <v>3533</v>
      </c>
      <c r="H1251" s="232"/>
      <c r="I1251" s="233"/>
      <c r="J1251" s="14">
        <v>3</v>
      </c>
      <c r="K1251" s="138">
        <v>7</v>
      </c>
      <c r="L1251" s="138">
        <v>21</v>
      </c>
    </row>
    <row r="1252" spans="1:12" x14ac:dyDescent="0.25">
      <c r="A1252" s="1">
        <v>1251</v>
      </c>
      <c r="B1252" s="1">
        <v>348</v>
      </c>
      <c r="C1252" s="232" t="s">
        <v>3493</v>
      </c>
      <c r="D1252" s="232" t="s">
        <v>2553</v>
      </c>
      <c r="E1252" s="1" t="s">
        <v>3559</v>
      </c>
      <c r="F1252" s="232" t="s">
        <v>2689</v>
      </c>
      <c r="G1252" s="1" t="s">
        <v>3534</v>
      </c>
      <c r="H1252" s="232"/>
      <c r="I1252" s="233"/>
      <c r="J1252" s="14">
        <v>1</v>
      </c>
      <c r="K1252" s="138">
        <v>50</v>
      </c>
      <c r="L1252" s="138">
        <v>50</v>
      </c>
    </row>
    <row r="1253" spans="1:12" x14ac:dyDescent="0.25">
      <c r="A1253" s="1">
        <v>1252</v>
      </c>
      <c r="B1253" s="1">
        <v>349</v>
      </c>
      <c r="C1253" s="232" t="s">
        <v>3481</v>
      </c>
      <c r="D1253" s="232" t="s">
        <v>2554</v>
      </c>
      <c r="E1253" s="1" t="s">
        <v>3560</v>
      </c>
      <c r="F1253" s="232" t="s">
        <v>2595</v>
      </c>
      <c r="G1253" s="1" t="s">
        <v>3537</v>
      </c>
      <c r="H1253" s="232"/>
      <c r="I1253" s="233"/>
      <c r="J1253" s="14">
        <v>1</v>
      </c>
      <c r="K1253" s="138">
        <v>0.5</v>
      </c>
      <c r="L1253" s="138">
        <v>0.5</v>
      </c>
    </row>
    <row r="1254" spans="1:12" x14ac:dyDescent="0.25">
      <c r="A1254" s="1">
        <v>1253</v>
      </c>
      <c r="B1254" s="1">
        <v>349</v>
      </c>
      <c r="C1254" s="232" t="s">
        <v>3482</v>
      </c>
      <c r="D1254" s="232" t="s">
        <v>2554</v>
      </c>
      <c r="E1254" s="1" t="s">
        <v>3560</v>
      </c>
      <c r="F1254" s="232" t="s">
        <v>2598</v>
      </c>
      <c r="G1254" s="1" t="s">
        <v>3538</v>
      </c>
      <c r="H1254" s="232"/>
      <c r="I1254" s="233"/>
      <c r="J1254" s="14">
        <v>29</v>
      </c>
      <c r="K1254" s="138">
        <v>3</v>
      </c>
      <c r="L1254" s="138">
        <v>87</v>
      </c>
    </row>
    <row r="1255" spans="1:12" x14ac:dyDescent="0.25">
      <c r="A1255" s="1">
        <v>1254</v>
      </c>
      <c r="B1255" s="1">
        <v>349</v>
      </c>
      <c r="C1255" s="232" t="s">
        <v>3483</v>
      </c>
      <c r="D1255" s="232" t="s">
        <v>2554</v>
      </c>
      <c r="E1255" s="1" t="s">
        <v>3560</v>
      </c>
      <c r="F1255" s="232" t="s">
        <v>2601</v>
      </c>
      <c r="G1255" s="1" t="s">
        <v>3539</v>
      </c>
      <c r="H1255" s="232"/>
      <c r="I1255" s="233"/>
      <c r="J1255" s="14">
        <v>15</v>
      </c>
      <c r="K1255" s="138">
        <v>3</v>
      </c>
      <c r="L1255" s="138">
        <v>45</v>
      </c>
    </row>
    <row r="1256" spans="1:12" x14ac:dyDescent="0.25">
      <c r="A1256" s="1">
        <v>1255</v>
      </c>
      <c r="B1256" s="1">
        <v>349</v>
      </c>
      <c r="C1256" s="232" t="s">
        <v>3485</v>
      </c>
      <c r="D1256" s="232" t="s">
        <v>2554</v>
      </c>
      <c r="E1256" s="1" t="s">
        <v>3560</v>
      </c>
      <c r="F1256" s="232" t="s">
        <v>2607</v>
      </c>
      <c r="G1256" s="1" t="s">
        <v>3541</v>
      </c>
      <c r="H1256" s="232"/>
      <c r="I1256" s="233"/>
      <c r="J1256" s="14">
        <v>1</v>
      </c>
      <c r="K1256" s="138">
        <v>22</v>
      </c>
      <c r="L1256" s="138">
        <v>22</v>
      </c>
    </row>
    <row r="1257" spans="1:12" x14ac:dyDescent="0.25">
      <c r="A1257" s="1">
        <v>1256</v>
      </c>
      <c r="B1257" s="1">
        <v>350</v>
      </c>
      <c r="C1257" s="232" t="s">
        <v>3488</v>
      </c>
      <c r="D1257" s="232" t="s">
        <v>2555</v>
      </c>
      <c r="E1257" s="1" t="s">
        <v>3561</v>
      </c>
      <c r="F1257" s="232" t="s">
        <v>2616</v>
      </c>
      <c r="G1257" s="1" t="s">
        <v>3549</v>
      </c>
      <c r="H1257" s="232"/>
      <c r="I1257" s="233"/>
      <c r="J1257" s="14">
        <v>5</v>
      </c>
      <c r="K1257" s="138">
        <v>3</v>
      </c>
      <c r="L1257" s="138">
        <v>15</v>
      </c>
    </row>
    <row r="1258" spans="1:12" x14ac:dyDescent="0.25">
      <c r="A1258" s="1">
        <v>1257</v>
      </c>
      <c r="B1258" s="1">
        <v>351</v>
      </c>
      <c r="C1258" s="232" t="s">
        <v>3504</v>
      </c>
      <c r="D1258" s="232" t="s">
        <v>2557</v>
      </c>
      <c r="E1258" s="1" t="s">
        <v>3563</v>
      </c>
      <c r="F1258" s="232" t="s">
        <v>2794</v>
      </c>
      <c r="G1258" s="1" t="s">
        <v>3555</v>
      </c>
      <c r="H1258" s="232"/>
      <c r="I1258" s="233"/>
      <c r="J1258" s="14">
        <v>70</v>
      </c>
      <c r="K1258" s="138">
        <v>1.7</v>
      </c>
      <c r="L1258" s="138">
        <v>119</v>
      </c>
    </row>
    <row r="1259" spans="1:12" x14ac:dyDescent="0.25">
      <c r="A1259" s="1">
        <v>1258</v>
      </c>
      <c r="B1259" s="1">
        <v>352</v>
      </c>
      <c r="C1259" s="232" t="s">
        <v>3497</v>
      </c>
      <c r="D1259" s="232" t="s">
        <v>2552</v>
      </c>
      <c r="E1259" s="1" t="s">
        <v>3558</v>
      </c>
      <c r="F1259" s="232" t="s">
        <v>2753</v>
      </c>
      <c r="G1259" s="1" t="s">
        <v>3520</v>
      </c>
      <c r="H1259" s="232"/>
      <c r="I1259" s="233"/>
      <c r="J1259" s="14">
        <v>9</v>
      </c>
      <c r="K1259" s="138">
        <v>10</v>
      </c>
      <c r="L1259" s="138">
        <v>90</v>
      </c>
    </row>
    <row r="1260" spans="1:12" x14ac:dyDescent="0.25">
      <c r="A1260" s="1">
        <v>1259</v>
      </c>
      <c r="B1260" s="1">
        <v>352</v>
      </c>
      <c r="C1260" s="232" t="s">
        <v>3474</v>
      </c>
      <c r="D1260" s="232" t="s">
        <v>2552</v>
      </c>
      <c r="E1260" s="1" t="s">
        <v>3558</v>
      </c>
      <c r="F1260" s="232" t="s">
        <v>2574</v>
      </c>
      <c r="G1260" s="1" t="s">
        <v>3521</v>
      </c>
      <c r="H1260" s="232"/>
      <c r="I1260" s="233"/>
      <c r="J1260" s="14">
        <v>9</v>
      </c>
      <c r="K1260" s="138">
        <v>77</v>
      </c>
      <c r="L1260" s="138">
        <v>693</v>
      </c>
    </row>
    <row r="1261" spans="1:12" x14ac:dyDescent="0.25">
      <c r="A1261" s="1">
        <v>1260</v>
      </c>
      <c r="B1261" s="1">
        <v>352</v>
      </c>
      <c r="C1261" s="232" t="s">
        <v>3475</v>
      </c>
      <c r="D1261" s="232" t="s">
        <v>2552</v>
      </c>
      <c r="E1261" s="1" t="s">
        <v>3558</v>
      </c>
      <c r="F1261" s="232" t="s">
        <v>2577</v>
      </c>
      <c r="G1261" s="1" t="s">
        <v>3523</v>
      </c>
      <c r="H1261" s="232"/>
      <c r="I1261" s="233"/>
      <c r="J1261" s="14">
        <v>9</v>
      </c>
      <c r="K1261" s="138">
        <v>42</v>
      </c>
      <c r="L1261" s="138">
        <v>378</v>
      </c>
    </row>
    <row r="1262" spans="1:12" x14ac:dyDescent="0.25">
      <c r="A1262" s="1">
        <v>1261</v>
      </c>
      <c r="B1262" s="1">
        <v>352</v>
      </c>
      <c r="C1262" s="232" t="s">
        <v>3476</v>
      </c>
      <c r="D1262" s="232" t="s">
        <v>2552</v>
      </c>
      <c r="E1262" s="1" t="s">
        <v>3558</v>
      </c>
      <c r="F1262" s="232" t="s">
        <v>2580</v>
      </c>
      <c r="G1262" s="1" t="s">
        <v>3524</v>
      </c>
      <c r="H1262" s="232"/>
      <c r="I1262" s="233"/>
      <c r="J1262" s="14">
        <v>9</v>
      </c>
      <c r="K1262" s="138">
        <v>6</v>
      </c>
      <c r="L1262" s="138">
        <v>54</v>
      </c>
    </row>
    <row r="1263" spans="1:12" x14ac:dyDescent="0.25">
      <c r="A1263" s="1">
        <v>1262</v>
      </c>
      <c r="B1263" s="1">
        <v>353</v>
      </c>
      <c r="C1263" s="232" t="s">
        <v>3477</v>
      </c>
      <c r="D1263" s="232" t="s">
        <v>2553</v>
      </c>
      <c r="E1263" s="1" t="s">
        <v>3559</v>
      </c>
      <c r="F1263" s="232" t="s">
        <v>2583</v>
      </c>
      <c r="G1263" s="1" t="s">
        <v>3527</v>
      </c>
      <c r="H1263" s="232"/>
      <c r="I1263" s="233"/>
      <c r="J1263" s="14">
        <v>3</v>
      </c>
      <c r="K1263" s="138">
        <v>20</v>
      </c>
      <c r="L1263" s="138">
        <v>60</v>
      </c>
    </row>
    <row r="1264" spans="1:12" x14ac:dyDescent="0.25">
      <c r="A1264" s="1">
        <v>1263</v>
      </c>
      <c r="B1264" s="1">
        <v>353</v>
      </c>
      <c r="C1264" s="232" t="s">
        <v>3478</v>
      </c>
      <c r="D1264" s="232" t="s">
        <v>2553</v>
      </c>
      <c r="E1264" s="1" t="s">
        <v>3559</v>
      </c>
      <c r="F1264" s="232" t="s">
        <v>2586</v>
      </c>
      <c r="G1264" s="1" t="s">
        <v>3528</v>
      </c>
      <c r="H1264" s="232"/>
      <c r="I1264" s="233"/>
      <c r="J1264" s="14">
        <v>20</v>
      </c>
      <c r="K1264" s="138">
        <v>18</v>
      </c>
      <c r="L1264" s="138">
        <v>360</v>
      </c>
    </row>
    <row r="1265" spans="1:12" x14ac:dyDescent="0.25">
      <c r="A1265" s="1">
        <v>1264</v>
      </c>
      <c r="B1265" s="1">
        <v>353</v>
      </c>
      <c r="C1265" s="232" t="s">
        <v>3490</v>
      </c>
      <c r="D1265" s="232" t="s">
        <v>2553</v>
      </c>
      <c r="E1265" s="1" t="s">
        <v>3559</v>
      </c>
      <c r="F1265" s="232" t="s">
        <v>2630</v>
      </c>
      <c r="G1265" s="1" t="s">
        <v>3529</v>
      </c>
      <c r="H1265" s="232"/>
      <c r="I1265" s="233"/>
      <c r="J1265" s="14">
        <v>50</v>
      </c>
      <c r="K1265" s="138">
        <v>18</v>
      </c>
      <c r="L1265" s="138">
        <v>900</v>
      </c>
    </row>
    <row r="1266" spans="1:12" x14ac:dyDescent="0.25">
      <c r="A1266" s="1">
        <v>1265</v>
      </c>
      <c r="B1266" s="1">
        <v>353</v>
      </c>
      <c r="C1266" s="232" t="s">
        <v>3479</v>
      </c>
      <c r="D1266" s="232" t="s">
        <v>2553</v>
      </c>
      <c r="E1266" s="1" t="s">
        <v>3559</v>
      </c>
      <c r="F1266" s="232" t="s">
        <v>2589</v>
      </c>
      <c r="G1266" s="1" t="s">
        <v>3530</v>
      </c>
      <c r="H1266" s="232"/>
      <c r="I1266" s="233"/>
      <c r="J1266" s="14">
        <v>1</v>
      </c>
      <c r="K1266" s="138">
        <v>70</v>
      </c>
      <c r="L1266" s="138">
        <v>70</v>
      </c>
    </row>
    <row r="1267" spans="1:12" x14ac:dyDescent="0.25">
      <c r="A1267" s="1">
        <v>1266</v>
      </c>
      <c r="B1267" s="1">
        <v>353</v>
      </c>
      <c r="C1267" s="232" t="s">
        <v>3480</v>
      </c>
      <c r="D1267" s="232" t="s">
        <v>2553</v>
      </c>
      <c r="E1267" s="1" t="s">
        <v>3559</v>
      </c>
      <c r="F1267" s="232" t="s">
        <v>2592</v>
      </c>
      <c r="G1267" s="1" t="s">
        <v>3533</v>
      </c>
      <c r="H1267" s="232"/>
      <c r="I1267" s="233"/>
      <c r="J1267" s="14">
        <v>3</v>
      </c>
      <c r="K1267" s="138">
        <v>7</v>
      </c>
      <c r="L1267" s="138">
        <v>21</v>
      </c>
    </row>
    <row r="1268" spans="1:12" x14ac:dyDescent="0.25">
      <c r="A1268" s="1">
        <v>1267</v>
      </c>
      <c r="B1268" s="1">
        <v>353</v>
      </c>
      <c r="C1268" s="232" t="s">
        <v>3493</v>
      </c>
      <c r="D1268" s="232" t="s">
        <v>2553</v>
      </c>
      <c r="E1268" s="1" t="s">
        <v>3559</v>
      </c>
      <c r="F1268" s="232" t="s">
        <v>2689</v>
      </c>
      <c r="G1268" s="1" t="s">
        <v>3534</v>
      </c>
      <c r="H1268" s="232"/>
      <c r="I1268" s="233"/>
      <c r="J1268" s="14">
        <v>1</v>
      </c>
      <c r="K1268" s="138">
        <v>50</v>
      </c>
      <c r="L1268" s="138">
        <v>50</v>
      </c>
    </row>
    <row r="1269" spans="1:12" x14ac:dyDescent="0.25">
      <c r="A1269" s="1">
        <v>1268</v>
      </c>
      <c r="B1269" s="1">
        <v>354</v>
      </c>
      <c r="C1269" s="232" t="s">
        <v>3481</v>
      </c>
      <c r="D1269" s="232" t="s">
        <v>2554</v>
      </c>
      <c r="E1269" s="1" t="s">
        <v>3560</v>
      </c>
      <c r="F1269" s="232" t="s">
        <v>2595</v>
      </c>
      <c r="G1269" s="1" t="s">
        <v>3537</v>
      </c>
      <c r="H1269" s="232"/>
      <c r="I1269" s="233"/>
      <c r="J1269" s="14">
        <v>1</v>
      </c>
      <c r="K1269" s="138">
        <v>0.5</v>
      </c>
      <c r="L1269" s="138">
        <v>0.5</v>
      </c>
    </row>
    <row r="1270" spans="1:12" x14ac:dyDescent="0.25">
      <c r="A1270" s="1">
        <v>1269</v>
      </c>
      <c r="B1270" s="1">
        <v>354</v>
      </c>
      <c r="C1270" s="232" t="s">
        <v>3482</v>
      </c>
      <c r="D1270" s="232" t="s">
        <v>2554</v>
      </c>
      <c r="E1270" s="1" t="s">
        <v>3560</v>
      </c>
      <c r="F1270" s="232" t="s">
        <v>2598</v>
      </c>
      <c r="G1270" s="1" t="s">
        <v>3538</v>
      </c>
      <c r="H1270" s="232"/>
      <c r="I1270" s="233"/>
      <c r="J1270" s="14">
        <v>1</v>
      </c>
      <c r="K1270" s="138">
        <v>3</v>
      </c>
      <c r="L1270" s="138">
        <v>3</v>
      </c>
    </row>
    <row r="1271" spans="1:12" x14ac:dyDescent="0.25">
      <c r="A1271" s="1">
        <v>1270</v>
      </c>
      <c r="B1271" s="1">
        <v>354</v>
      </c>
      <c r="C1271" s="232" t="s">
        <v>3483</v>
      </c>
      <c r="D1271" s="232" t="s">
        <v>2554</v>
      </c>
      <c r="E1271" s="1" t="s">
        <v>3560</v>
      </c>
      <c r="F1271" s="232" t="s">
        <v>2601</v>
      </c>
      <c r="G1271" s="1" t="s">
        <v>3539</v>
      </c>
      <c r="H1271" s="232"/>
      <c r="I1271" s="233"/>
      <c r="J1271" s="14">
        <v>1</v>
      </c>
      <c r="K1271" s="138">
        <v>3</v>
      </c>
      <c r="L1271" s="138">
        <v>3</v>
      </c>
    </row>
    <row r="1272" spans="1:12" x14ac:dyDescent="0.25">
      <c r="A1272" s="1">
        <v>1271</v>
      </c>
      <c r="B1272" s="1">
        <v>355</v>
      </c>
      <c r="C1272" s="232" t="s">
        <v>3488</v>
      </c>
      <c r="D1272" s="232" t="s">
        <v>2555</v>
      </c>
      <c r="E1272" s="1" t="s">
        <v>3561</v>
      </c>
      <c r="F1272" s="232" t="s">
        <v>2616</v>
      </c>
      <c r="G1272" s="1" t="s">
        <v>3549</v>
      </c>
      <c r="H1272" s="232"/>
      <c r="I1272" s="233"/>
      <c r="J1272" s="14">
        <v>3</v>
      </c>
      <c r="K1272" s="138">
        <v>3</v>
      </c>
      <c r="L1272" s="138">
        <v>9</v>
      </c>
    </row>
    <row r="1273" spans="1:12" x14ac:dyDescent="0.25">
      <c r="A1273" s="1">
        <v>1272</v>
      </c>
      <c r="B1273" s="1">
        <v>356</v>
      </c>
      <c r="C1273" s="232" t="s">
        <v>3502</v>
      </c>
      <c r="D1273" s="232" t="s">
        <v>2556</v>
      </c>
      <c r="E1273" s="1" t="s">
        <v>3562</v>
      </c>
      <c r="F1273" s="232" t="s">
        <v>2788</v>
      </c>
      <c r="G1273" s="1" t="s">
        <v>3551</v>
      </c>
      <c r="H1273" s="232"/>
      <c r="I1273" s="233"/>
      <c r="J1273" s="14">
        <v>1</v>
      </c>
      <c r="K1273" s="138">
        <v>150</v>
      </c>
      <c r="L1273" s="138">
        <v>150</v>
      </c>
    </row>
    <row r="1274" spans="1:12" x14ac:dyDescent="0.25">
      <c r="A1274" s="1">
        <v>1273</v>
      </c>
      <c r="B1274" s="1">
        <v>357</v>
      </c>
      <c r="C1274" s="232" t="s">
        <v>3480</v>
      </c>
      <c r="D1274" s="232" t="s">
        <v>2553</v>
      </c>
      <c r="E1274" s="1" t="s">
        <v>3559</v>
      </c>
      <c r="F1274" s="232" t="s">
        <v>2592</v>
      </c>
      <c r="G1274" s="1" t="s">
        <v>3533</v>
      </c>
      <c r="H1274" s="232" t="s">
        <v>3823</v>
      </c>
      <c r="I1274" s="233"/>
      <c r="J1274" s="14">
        <v>3</v>
      </c>
      <c r="K1274" s="138">
        <v>7</v>
      </c>
      <c r="L1274" s="138">
        <v>21</v>
      </c>
    </row>
    <row r="1275" spans="1:12" x14ac:dyDescent="0.25">
      <c r="A1275" s="1">
        <v>1274</v>
      </c>
      <c r="B1275" s="1">
        <v>357</v>
      </c>
      <c r="C1275" s="232" t="s">
        <v>3477</v>
      </c>
      <c r="D1275" s="232" t="s">
        <v>2553</v>
      </c>
      <c r="E1275" s="1" t="s">
        <v>3559</v>
      </c>
      <c r="F1275" s="232" t="s">
        <v>2583</v>
      </c>
      <c r="G1275" s="1" t="s">
        <v>3527</v>
      </c>
      <c r="H1275" s="232" t="s">
        <v>3824</v>
      </c>
      <c r="I1275" s="233"/>
      <c r="J1275" s="14">
        <v>4</v>
      </c>
      <c r="K1275" s="138">
        <v>20</v>
      </c>
      <c r="L1275" s="138">
        <v>80</v>
      </c>
    </row>
    <row r="1276" spans="1:12" x14ac:dyDescent="0.25">
      <c r="A1276" s="1">
        <v>1275</v>
      </c>
      <c r="B1276" s="1">
        <v>357</v>
      </c>
      <c r="C1276" s="232" t="s">
        <v>3493</v>
      </c>
      <c r="D1276" s="232" t="s">
        <v>2553</v>
      </c>
      <c r="E1276" s="1" t="s">
        <v>3559</v>
      </c>
      <c r="F1276" s="232" t="s">
        <v>2689</v>
      </c>
      <c r="G1276" s="1" t="s">
        <v>3534</v>
      </c>
      <c r="H1276" s="232" t="s">
        <v>3825</v>
      </c>
      <c r="I1276" s="233"/>
      <c r="J1276" s="14">
        <v>1</v>
      </c>
      <c r="K1276" s="138">
        <v>50</v>
      </c>
      <c r="L1276" s="138">
        <v>50</v>
      </c>
    </row>
    <row r="1277" spans="1:12" x14ac:dyDescent="0.25">
      <c r="A1277" s="1">
        <v>1276</v>
      </c>
      <c r="B1277" s="1">
        <v>357</v>
      </c>
      <c r="C1277" s="232" t="s">
        <v>3490</v>
      </c>
      <c r="D1277" s="232" t="s">
        <v>2553</v>
      </c>
      <c r="E1277" s="1" t="s">
        <v>3559</v>
      </c>
      <c r="F1277" s="232" t="s">
        <v>2630</v>
      </c>
      <c r="G1277" s="1" t="s">
        <v>3529</v>
      </c>
      <c r="H1277" s="232" t="s">
        <v>3826</v>
      </c>
      <c r="I1277" s="233"/>
      <c r="J1277" s="14">
        <v>80</v>
      </c>
      <c r="K1277" s="138">
        <v>18</v>
      </c>
      <c r="L1277" s="138">
        <v>1440</v>
      </c>
    </row>
    <row r="1278" spans="1:12" x14ac:dyDescent="0.25">
      <c r="A1278" s="1">
        <v>1277</v>
      </c>
      <c r="B1278" s="1">
        <v>357</v>
      </c>
      <c r="C1278" s="232" t="s">
        <v>3479</v>
      </c>
      <c r="D1278" s="232" t="s">
        <v>2553</v>
      </c>
      <c r="E1278" s="1" t="s">
        <v>3559</v>
      </c>
      <c r="F1278" s="232" t="s">
        <v>2589</v>
      </c>
      <c r="G1278" s="1" t="s">
        <v>3530</v>
      </c>
      <c r="H1278" s="232" t="s">
        <v>3827</v>
      </c>
      <c r="I1278" s="233"/>
      <c r="J1278" s="14">
        <v>1</v>
      </c>
      <c r="K1278" s="138">
        <v>70</v>
      </c>
      <c r="L1278" s="138">
        <v>70</v>
      </c>
    </row>
    <row r="1279" spans="1:12" x14ac:dyDescent="0.25">
      <c r="A1279" s="1">
        <v>1278</v>
      </c>
      <c r="B1279" s="1">
        <v>358</v>
      </c>
      <c r="C1279" s="232" t="s">
        <v>3482</v>
      </c>
      <c r="D1279" s="232" t="s">
        <v>2554</v>
      </c>
      <c r="E1279" s="1" t="s">
        <v>3560</v>
      </c>
      <c r="F1279" s="232" t="s">
        <v>2598</v>
      </c>
      <c r="G1279" s="1" t="s">
        <v>3538</v>
      </c>
      <c r="H1279" s="232" t="s">
        <v>3828</v>
      </c>
      <c r="I1279" s="233"/>
      <c r="J1279" s="14">
        <v>75</v>
      </c>
      <c r="K1279" s="138">
        <v>3</v>
      </c>
      <c r="L1279" s="138">
        <v>225</v>
      </c>
    </row>
    <row r="1280" spans="1:12" x14ac:dyDescent="0.25">
      <c r="A1280" s="1">
        <v>1279</v>
      </c>
      <c r="B1280" s="1">
        <v>359</v>
      </c>
      <c r="C1280" s="232" t="s">
        <v>3474</v>
      </c>
      <c r="D1280" s="232" t="s">
        <v>2552</v>
      </c>
      <c r="E1280" s="1" t="s">
        <v>3558</v>
      </c>
      <c r="F1280" s="232" t="s">
        <v>2574</v>
      </c>
      <c r="G1280" s="1" t="s">
        <v>3521</v>
      </c>
      <c r="H1280" s="232" t="s">
        <v>3829</v>
      </c>
      <c r="I1280" s="233"/>
      <c r="J1280" s="14">
        <v>3</v>
      </c>
      <c r="K1280" s="138">
        <v>77</v>
      </c>
      <c r="L1280" s="138">
        <v>231</v>
      </c>
    </row>
    <row r="1281" spans="1:12" x14ac:dyDescent="0.25">
      <c r="A1281" s="1">
        <v>1280</v>
      </c>
      <c r="B1281" s="1">
        <v>359</v>
      </c>
      <c r="C1281" s="232" t="s">
        <v>3475</v>
      </c>
      <c r="D1281" s="232" t="s">
        <v>2552</v>
      </c>
      <c r="E1281" s="1" t="s">
        <v>3558</v>
      </c>
      <c r="F1281" s="232" t="s">
        <v>2577</v>
      </c>
      <c r="G1281" s="1" t="s">
        <v>3523</v>
      </c>
      <c r="H1281" s="232" t="s">
        <v>3830</v>
      </c>
      <c r="I1281" s="233"/>
      <c r="J1281" s="14">
        <v>5</v>
      </c>
      <c r="K1281" s="138">
        <v>42</v>
      </c>
      <c r="L1281" s="138">
        <v>210</v>
      </c>
    </row>
    <row r="1282" spans="1:12" x14ac:dyDescent="0.25">
      <c r="A1282" s="1">
        <v>1281</v>
      </c>
      <c r="B1282" s="1">
        <v>360</v>
      </c>
      <c r="C1282" s="232" t="s">
        <v>3504</v>
      </c>
      <c r="D1282" s="232" t="s">
        <v>2557</v>
      </c>
      <c r="E1282" s="1" t="s">
        <v>3563</v>
      </c>
      <c r="F1282" s="232" t="s">
        <v>2794</v>
      </c>
      <c r="G1282" s="1" t="s">
        <v>3555</v>
      </c>
      <c r="H1282" s="232" t="s">
        <v>3831</v>
      </c>
      <c r="I1282" s="233"/>
      <c r="J1282" s="14">
        <v>75</v>
      </c>
      <c r="K1282" s="138">
        <v>1.7</v>
      </c>
      <c r="L1282" s="138">
        <v>127.5</v>
      </c>
    </row>
    <row r="1283" spans="1:12" x14ac:dyDescent="0.25">
      <c r="A1283" s="1">
        <v>1282</v>
      </c>
      <c r="B1283" s="1">
        <v>361</v>
      </c>
      <c r="C1283" s="232" t="s">
        <v>3483</v>
      </c>
      <c r="D1283" s="232" t="s">
        <v>2554</v>
      </c>
      <c r="E1283" s="1" t="s">
        <v>3560</v>
      </c>
      <c r="F1283" s="232" t="s">
        <v>2601</v>
      </c>
      <c r="G1283" s="1" t="s">
        <v>3539</v>
      </c>
      <c r="H1283" s="232" t="s">
        <v>3832</v>
      </c>
      <c r="I1283" s="233"/>
      <c r="J1283" s="14">
        <v>10</v>
      </c>
      <c r="K1283" s="138">
        <v>3</v>
      </c>
      <c r="L1283" s="138">
        <v>30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5972-49E6-42E6-80BF-B6FE1134BECC}">
  <dimension ref="A1:D362"/>
  <sheetViews>
    <sheetView workbookViewId="0">
      <selection activeCell="C12" sqref="C12"/>
    </sheetView>
  </sheetViews>
  <sheetFormatPr defaultRowHeight="15" x14ac:dyDescent="0.25"/>
  <cols>
    <col min="1" max="1" width="9.28515625" style="1" bestFit="1" customWidth="1"/>
    <col min="2" max="2" width="16.28515625" style="1" bestFit="1" customWidth="1"/>
    <col min="3" max="3" width="26.140625" style="1" bestFit="1" customWidth="1"/>
    <col min="4" max="4" width="26.140625" style="1" customWidth="1"/>
    <col min="5" max="16384" width="9.140625" style="1"/>
  </cols>
  <sheetData>
    <row r="1" spans="1:4" x14ac:dyDescent="0.25">
      <c r="A1" s="1" t="s">
        <v>476</v>
      </c>
      <c r="B1" s="1" t="s">
        <v>2550</v>
      </c>
      <c r="C1" s="1" t="s">
        <v>2551</v>
      </c>
      <c r="D1" t="s">
        <v>4</v>
      </c>
    </row>
    <row r="2" spans="1:4" x14ac:dyDescent="0.25">
      <c r="A2" s="1">
        <v>1</v>
      </c>
      <c r="B2" s="1">
        <v>5</v>
      </c>
      <c r="C2" s="1" t="s">
        <v>2552</v>
      </c>
      <c r="D2" t="s">
        <v>3573</v>
      </c>
    </row>
    <row r="3" spans="1:4" x14ac:dyDescent="0.25">
      <c r="A3" s="1">
        <v>2</v>
      </c>
      <c r="B3" s="1">
        <v>5</v>
      </c>
      <c r="C3" s="1" t="s">
        <v>2553</v>
      </c>
      <c r="D3" t="s">
        <v>3573</v>
      </c>
    </row>
    <row r="4" spans="1:4" x14ac:dyDescent="0.25">
      <c r="A4" s="1">
        <v>3</v>
      </c>
      <c r="B4" s="1">
        <v>5</v>
      </c>
      <c r="C4" s="1" t="s">
        <v>2554</v>
      </c>
      <c r="D4" t="s">
        <v>3573</v>
      </c>
    </row>
    <row r="5" spans="1:4" x14ac:dyDescent="0.25">
      <c r="A5" s="1">
        <v>4</v>
      </c>
      <c r="B5" s="1">
        <v>5</v>
      </c>
      <c r="C5" s="1" t="s">
        <v>2555</v>
      </c>
      <c r="D5" t="s">
        <v>3573</v>
      </c>
    </row>
    <row r="6" spans="1:4" x14ac:dyDescent="0.25">
      <c r="A6" s="1">
        <v>5</v>
      </c>
      <c r="B6" s="1">
        <v>5</v>
      </c>
      <c r="C6" s="1" t="s">
        <v>2556</v>
      </c>
      <c r="D6" t="s">
        <v>3573</v>
      </c>
    </row>
    <row r="7" spans="1:4" x14ac:dyDescent="0.25">
      <c r="A7" s="1">
        <v>6</v>
      </c>
      <c r="B7" s="1">
        <v>6</v>
      </c>
      <c r="C7" s="1" t="s">
        <v>2552</v>
      </c>
      <c r="D7" t="s">
        <v>3573</v>
      </c>
    </row>
    <row r="8" spans="1:4" x14ac:dyDescent="0.25">
      <c r="A8" s="1">
        <v>7</v>
      </c>
      <c r="B8" s="1">
        <v>6</v>
      </c>
      <c r="C8" s="1" t="s">
        <v>2553</v>
      </c>
      <c r="D8" t="s">
        <v>3573</v>
      </c>
    </row>
    <row r="9" spans="1:4" x14ac:dyDescent="0.25">
      <c r="A9" s="1">
        <v>8</v>
      </c>
      <c r="B9" s="1">
        <v>6</v>
      </c>
      <c r="C9" s="1" t="s">
        <v>2554</v>
      </c>
      <c r="D9" t="s">
        <v>3573</v>
      </c>
    </row>
    <row r="10" spans="1:4" x14ac:dyDescent="0.25">
      <c r="A10" s="1">
        <v>9</v>
      </c>
      <c r="B10" s="1">
        <v>6</v>
      </c>
      <c r="C10" s="1" t="s">
        <v>2555</v>
      </c>
      <c r="D10" t="s">
        <v>3573</v>
      </c>
    </row>
    <row r="11" spans="1:4" x14ac:dyDescent="0.25">
      <c r="A11" s="1">
        <v>10</v>
      </c>
      <c r="B11" s="1">
        <v>6</v>
      </c>
      <c r="C11" s="1" t="s">
        <v>2556</v>
      </c>
      <c r="D11" t="s">
        <v>3573</v>
      </c>
    </row>
    <row r="12" spans="1:4" x14ac:dyDescent="0.25">
      <c r="A12" s="1">
        <v>11</v>
      </c>
      <c r="B12" s="1">
        <v>7</v>
      </c>
      <c r="C12" s="1" t="s">
        <v>2552</v>
      </c>
      <c r="D12" t="s">
        <v>3573</v>
      </c>
    </row>
    <row r="13" spans="1:4" x14ac:dyDescent="0.25">
      <c r="A13" s="1">
        <v>12</v>
      </c>
      <c r="B13" s="1">
        <v>7</v>
      </c>
      <c r="C13" s="1" t="s">
        <v>2554</v>
      </c>
      <c r="D13" t="s">
        <v>3573</v>
      </c>
    </row>
    <row r="14" spans="1:4" x14ac:dyDescent="0.25">
      <c r="A14" s="1">
        <v>13</v>
      </c>
      <c r="B14" s="1">
        <v>7</v>
      </c>
      <c r="C14" s="1" t="s">
        <v>2555</v>
      </c>
      <c r="D14" t="s">
        <v>3573</v>
      </c>
    </row>
    <row r="15" spans="1:4" x14ac:dyDescent="0.25">
      <c r="A15" s="1">
        <v>14</v>
      </c>
      <c r="B15" s="1">
        <v>7</v>
      </c>
      <c r="C15" s="1" t="s">
        <v>2553</v>
      </c>
      <c r="D15" t="s">
        <v>3573</v>
      </c>
    </row>
    <row r="16" spans="1:4" x14ac:dyDescent="0.25">
      <c r="A16" s="1">
        <v>15</v>
      </c>
      <c r="B16" s="1">
        <v>8</v>
      </c>
      <c r="C16" s="1" t="s">
        <v>2552</v>
      </c>
      <c r="D16" t="s">
        <v>3573</v>
      </c>
    </row>
    <row r="17" spans="1:4" x14ac:dyDescent="0.25">
      <c r="A17" s="1">
        <v>16</v>
      </c>
      <c r="B17" s="1">
        <v>8</v>
      </c>
      <c r="C17" s="1" t="s">
        <v>2554</v>
      </c>
      <c r="D17" t="s">
        <v>3573</v>
      </c>
    </row>
    <row r="18" spans="1:4" x14ac:dyDescent="0.25">
      <c r="A18" s="1">
        <v>17</v>
      </c>
      <c r="B18" s="1">
        <v>8</v>
      </c>
      <c r="C18" s="1" t="s">
        <v>2553</v>
      </c>
      <c r="D18" t="s">
        <v>3573</v>
      </c>
    </row>
    <row r="19" spans="1:4" x14ac:dyDescent="0.25">
      <c r="A19" s="1">
        <v>18</v>
      </c>
      <c r="B19" s="1">
        <v>9</v>
      </c>
      <c r="C19" s="1" t="s">
        <v>2552</v>
      </c>
      <c r="D19" t="s">
        <v>3573</v>
      </c>
    </row>
    <row r="20" spans="1:4" x14ac:dyDescent="0.25">
      <c r="A20" s="1">
        <v>19</v>
      </c>
      <c r="B20" s="1">
        <v>9</v>
      </c>
      <c r="C20" s="1" t="s">
        <v>2554</v>
      </c>
      <c r="D20" t="s">
        <v>3573</v>
      </c>
    </row>
    <row r="21" spans="1:4" x14ac:dyDescent="0.25">
      <c r="A21" s="1">
        <v>20</v>
      </c>
      <c r="B21" s="1">
        <v>9</v>
      </c>
      <c r="C21" s="1" t="s">
        <v>2555</v>
      </c>
      <c r="D21" t="s">
        <v>3573</v>
      </c>
    </row>
    <row r="22" spans="1:4" x14ac:dyDescent="0.25">
      <c r="A22" s="1">
        <v>21</v>
      </c>
      <c r="B22" s="1">
        <v>9</v>
      </c>
      <c r="C22" s="1" t="s">
        <v>2553</v>
      </c>
      <c r="D22" t="s">
        <v>3573</v>
      </c>
    </row>
    <row r="23" spans="1:4" x14ac:dyDescent="0.25">
      <c r="A23" s="1">
        <v>22</v>
      </c>
      <c r="B23" s="1">
        <v>9</v>
      </c>
      <c r="C23" s="1" t="s">
        <v>2556</v>
      </c>
      <c r="D23" t="s">
        <v>3573</v>
      </c>
    </row>
    <row r="24" spans="1:4" x14ac:dyDescent="0.25">
      <c r="A24" s="1">
        <v>23</v>
      </c>
      <c r="B24" s="1">
        <v>10</v>
      </c>
      <c r="C24" s="1" t="s">
        <v>2552</v>
      </c>
      <c r="D24" t="s">
        <v>3573</v>
      </c>
    </row>
    <row r="25" spans="1:4" x14ac:dyDescent="0.25">
      <c r="A25" s="1">
        <v>24</v>
      </c>
      <c r="B25" s="1">
        <v>10</v>
      </c>
      <c r="C25" s="1" t="s">
        <v>2554</v>
      </c>
      <c r="D25" t="s">
        <v>3573</v>
      </c>
    </row>
    <row r="26" spans="1:4" x14ac:dyDescent="0.25">
      <c r="A26" s="1">
        <v>25</v>
      </c>
      <c r="B26" s="1">
        <v>10</v>
      </c>
      <c r="C26" s="1" t="s">
        <v>2553</v>
      </c>
      <c r="D26" t="s">
        <v>3573</v>
      </c>
    </row>
    <row r="27" spans="1:4" x14ac:dyDescent="0.25">
      <c r="A27" s="1">
        <v>26</v>
      </c>
      <c r="B27" s="1">
        <v>11</v>
      </c>
      <c r="C27" s="1" t="s">
        <v>2552</v>
      </c>
      <c r="D27" t="s">
        <v>3573</v>
      </c>
    </row>
    <row r="28" spans="1:4" x14ac:dyDescent="0.25">
      <c r="A28" s="1">
        <v>27</v>
      </c>
      <c r="B28" s="1">
        <v>11</v>
      </c>
      <c r="C28" s="1" t="s">
        <v>2553</v>
      </c>
      <c r="D28" t="s">
        <v>3573</v>
      </c>
    </row>
    <row r="29" spans="1:4" x14ac:dyDescent="0.25">
      <c r="A29" s="1">
        <v>28</v>
      </c>
      <c r="B29" s="1">
        <v>11</v>
      </c>
      <c r="C29" s="1" t="s">
        <v>2554</v>
      </c>
      <c r="D29" t="s">
        <v>3573</v>
      </c>
    </row>
    <row r="30" spans="1:4" x14ac:dyDescent="0.25">
      <c r="A30" s="1">
        <v>29</v>
      </c>
      <c r="B30" s="1">
        <v>11</v>
      </c>
      <c r="C30" s="1" t="s">
        <v>2555</v>
      </c>
      <c r="D30" t="s">
        <v>3573</v>
      </c>
    </row>
    <row r="31" spans="1:4" x14ac:dyDescent="0.25">
      <c r="A31" s="1">
        <v>30</v>
      </c>
      <c r="B31" s="1">
        <v>11</v>
      </c>
      <c r="C31" s="1" t="s">
        <v>2556</v>
      </c>
      <c r="D31" t="s">
        <v>3573</v>
      </c>
    </row>
    <row r="32" spans="1:4" x14ac:dyDescent="0.25">
      <c r="A32" s="1">
        <v>31</v>
      </c>
      <c r="B32" s="1">
        <v>11</v>
      </c>
      <c r="C32" s="1" t="s">
        <v>2557</v>
      </c>
      <c r="D32" t="s">
        <v>3573</v>
      </c>
    </row>
    <row r="33" spans="1:4" x14ac:dyDescent="0.25">
      <c r="A33" s="1">
        <v>32</v>
      </c>
      <c r="B33" s="1">
        <v>11</v>
      </c>
      <c r="C33" s="1" t="s">
        <v>2557</v>
      </c>
      <c r="D33" t="s">
        <v>3573</v>
      </c>
    </row>
    <row r="34" spans="1:4" x14ac:dyDescent="0.25">
      <c r="A34" s="1">
        <v>33</v>
      </c>
      <c r="B34" s="1">
        <v>12</v>
      </c>
      <c r="C34" s="1" t="s">
        <v>2552</v>
      </c>
      <c r="D34" t="s">
        <v>3573</v>
      </c>
    </row>
    <row r="35" spans="1:4" x14ac:dyDescent="0.25">
      <c r="A35" s="1">
        <v>34</v>
      </c>
      <c r="B35" s="1">
        <v>12</v>
      </c>
      <c r="C35" s="1" t="s">
        <v>2553</v>
      </c>
      <c r="D35" t="s">
        <v>3573</v>
      </c>
    </row>
    <row r="36" spans="1:4" x14ac:dyDescent="0.25">
      <c r="A36" s="1">
        <v>35</v>
      </c>
      <c r="B36" s="1">
        <v>12</v>
      </c>
      <c r="C36" s="1" t="s">
        <v>2554</v>
      </c>
      <c r="D36" t="s">
        <v>3573</v>
      </c>
    </row>
    <row r="37" spans="1:4" x14ac:dyDescent="0.25">
      <c r="A37" s="1">
        <v>36</v>
      </c>
      <c r="B37" s="1">
        <v>12</v>
      </c>
      <c r="C37" s="1" t="s">
        <v>2555</v>
      </c>
      <c r="D37" t="s">
        <v>3573</v>
      </c>
    </row>
    <row r="38" spans="1:4" x14ac:dyDescent="0.25">
      <c r="A38" s="1">
        <v>37</v>
      </c>
      <c r="B38" s="1">
        <v>12</v>
      </c>
      <c r="C38" s="1" t="s">
        <v>2557</v>
      </c>
      <c r="D38" t="s">
        <v>3573</v>
      </c>
    </row>
    <row r="39" spans="1:4" x14ac:dyDescent="0.25">
      <c r="A39" s="1">
        <v>38</v>
      </c>
      <c r="B39" s="1">
        <v>13</v>
      </c>
      <c r="C39" s="1" t="s">
        <v>2552</v>
      </c>
      <c r="D39" t="s">
        <v>3573</v>
      </c>
    </row>
    <row r="40" spans="1:4" x14ac:dyDescent="0.25">
      <c r="A40" s="1">
        <v>39</v>
      </c>
      <c r="B40" s="1">
        <v>13</v>
      </c>
      <c r="C40" s="1" t="s">
        <v>2553</v>
      </c>
      <c r="D40" t="s">
        <v>3573</v>
      </c>
    </row>
    <row r="41" spans="1:4" x14ac:dyDescent="0.25">
      <c r="A41" s="1">
        <v>40</v>
      </c>
      <c r="B41" s="1">
        <v>13</v>
      </c>
      <c r="C41" s="1" t="s">
        <v>2554</v>
      </c>
      <c r="D41" t="s">
        <v>3573</v>
      </c>
    </row>
    <row r="42" spans="1:4" x14ac:dyDescent="0.25">
      <c r="A42" s="1">
        <v>41</v>
      </c>
      <c r="B42" s="1">
        <v>13</v>
      </c>
      <c r="C42" s="1" t="s">
        <v>2555</v>
      </c>
      <c r="D42" t="s">
        <v>3573</v>
      </c>
    </row>
    <row r="43" spans="1:4" x14ac:dyDescent="0.25">
      <c r="A43" s="1">
        <v>42</v>
      </c>
      <c r="B43" s="1">
        <v>13</v>
      </c>
      <c r="C43" s="1" t="s">
        <v>2556</v>
      </c>
      <c r="D43" t="s">
        <v>3573</v>
      </c>
    </row>
    <row r="44" spans="1:4" x14ac:dyDescent="0.25">
      <c r="A44" s="1">
        <v>43</v>
      </c>
      <c r="B44" s="1">
        <v>13</v>
      </c>
      <c r="C44" s="1" t="s">
        <v>2557</v>
      </c>
      <c r="D44" t="s">
        <v>3573</v>
      </c>
    </row>
    <row r="45" spans="1:4" x14ac:dyDescent="0.25">
      <c r="A45" s="1">
        <v>44</v>
      </c>
      <c r="B45" s="1">
        <v>14</v>
      </c>
      <c r="C45" s="1" t="s">
        <v>2552</v>
      </c>
      <c r="D45" t="s">
        <v>3573</v>
      </c>
    </row>
    <row r="46" spans="1:4" x14ac:dyDescent="0.25">
      <c r="A46" s="1">
        <v>45</v>
      </c>
      <c r="B46" s="1">
        <v>14</v>
      </c>
      <c r="C46" s="1" t="s">
        <v>2553</v>
      </c>
      <c r="D46" t="s">
        <v>3573</v>
      </c>
    </row>
    <row r="47" spans="1:4" x14ac:dyDescent="0.25">
      <c r="A47" s="1">
        <v>46</v>
      </c>
      <c r="B47" s="1">
        <v>14</v>
      </c>
      <c r="C47" s="1" t="s">
        <v>2555</v>
      </c>
      <c r="D47" t="s">
        <v>3573</v>
      </c>
    </row>
    <row r="48" spans="1:4" x14ac:dyDescent="0.25">
      <c r="A48" s="1">
        <v>47</v>
      </c>
      <c r="B48" s="1">
        <v>14</v>
      </c>
      <c r="C48" s="1" t="s">
        <v>2557</v>
      </c>
      <c r="D48" t="s">
        <v>3573</v>
      </c>
    </row>
    <row r="49" spans="1:4" x14ac:dyDescent="0.25">
      <c r="A49" s="1">
        <v>48</v>
      </c>
      <c r="B49" s="1">
        <v>15</v>
      </c>
      <c r="C49" s="1" t="s">
        <v>2552</v>
      </c>
      <c r="D49" t="s">
        <v>3573</v>
      </c>
    </row>
    <row r="50" spans="1:4" x14ac:dyDescent="0.25">
      <c r="A50" s="1">
        <v>49</v>
      </c>
      <c r="B50" s="1">
        <v>16</v>
      </c>
      <c r="C50" s="1" t="s">
        <v>2552</v>
      </c>
      <c r="D50" t="s">
        <v>3573</v>
      </c>
    </row>
    <row r="51" spans="1:4" x14ac:dyDescent="0.25">
      <c r="A51" s="1">
        <v>50</v>
      </c>
      <c r="B51" s="1">
        <v>16</v>
      </c>
      <c r="C51" s="1" t="s">
        <v>2553</v>
      </c>
      <c r="D51" t="s">
        <v>3573</v>
      </c>
    </row>
    <row r="52" spans="1:4" x14ac:dyDescent="0.25">
      <c r="A52" s="1">
        <v>51</v>
      </c>
      <c r="B52" s="1">
        <v>16</v>
      </c>
      <c r="C52" s="1" t="s">
        <v>2554</v>
      </c>
      <c r="D52" t="s">
        <v>3573</v>
      </c>
    </row>
    <row r="53" spans="1:4" x14ac:dyDescent="0.25">
      <c r="A53" s="1">
        <v>52</v>
      </c>
      <c r="B53" s="1">
        <v>16</v>
      </c>
      <c r="C53" s="1" t="s">
        <v>2555</v>
      </c>
      <c r="D53" t="s">
        <v>3573</v>
      </c>
    </row>
    <row r="54" spans="1:4" x14ac:dyDescent="0.25">
      <c r="A54" s="1">
        <v>53</v>
      </c>
      <c r="B54" s="1">
        <v>16</v>
      </c>
      <c r="C54" s="1" t="s">
        <v>2556</v>
      </c>
      <c r="D54" t="s">
        <v>3573</v>
      </c>
    </row>
    <row r="55" spans="1:4" x14ac:dyDescent="0.25">
      <c r="A55" s="1">
        <v>54</v>
      </c>
      <c r="B55" s="1">
        <v>16</v>
      </c>
      <c r="C55" s="1" t="s">
        <v>2557</v>
      </c>
      <c r="D55" t="s">
        <v>3573</v>
      </c>
    </row>
    <row r="56" spans="1:4" x14ac:dyDescent="0.25">
      <c r="A56" s="1">
        <v>55</v>
      </c>
      <c r="B56" s="1">
        <v>16</v>
      </c>
      <c r="C56" s="1" t="s">
        <v>2557</v>
      </c>
      <c r="D56" t="s">
        <v>3573</v>
      </c>
    </row>
    <row r="57" spans="1:4" x14ac:dyDescent="0.25">
      <c r="A57" s="1">
        <v>56</v>
      </c>
      <c r="B57" s="1">
        <v>17</v>
      </c>
      <c r="C57" s="1" t="s">
        <v>2552</v>
      </c>
      <c r="D57" t="s">
        <v>3573</v>
      </c>
    </row>
    <row r="58" spans="1:4" x14ac:dyDescent="0.25">
      <c r="A58" s="1">
        <v>57</v>
      </c>
      <c r="B58" s="1">
        <v>17</v>
      </c>
      <c r="C58" s="1" t="s">
        <v>2553</v>
      </c>
      <c r="D58" t="s">
        <v>3573</v>
      </c>
    </row>
    <row r="59" spans="1:4" x14ac:dyDescent="0.25">
      <c r="A59" s="1">
        <v>58</v>
      </c>
      <c r="B59" s="1">
        <v>17</v>
      </c>
      <c r="C59" s="1" t="s">
        <v>2552</v>
      </c>
      <c r="D59" t="s">
        <v>3573</v>
      </c>
    </row>
    <row r="60" spans="1:4" x14ac:dyDescent="0.25">
      <c r="A60" s="1">
        <v>59</v>
      </c>
      <c r="B60" s="1">
        <v>17</v>
      </c>
      <c r="C60" s="1" t="s">
        <v>2552</v>
      </c>
      <c r="D60" t="s">
        <v>3573</v>
      </c>
    </row>
    <row r="61" spans="1:4" x14ac:dyDescent="0.25">
      <c r="A61" s="1">
        <v>60</v>
      </c>
      <c r="B61" s="1">
        <v>17</v>
      </c>
      <c r="C61" s="1" t="s">
        <v>2557</v>
      </c>
      <c r="D61" t="s">
        <v>3573</v>
      </c>
    </row>
    <row r="62" spans="1:4" x14ac:dyDescent="0.25">
      <c r="A62" s="1">
        <v>61</v>
      </c>
      <c r="B62" s="1">
        <v>18</v>
      </c>
      <c r="C62" s="1" t="s">
        <v>2552</v>
      </c>
      <c r="D62" t="s">
        <v>3573</v>
      </c>
    </row>
    <row r="63" spans="1:4" x14ac:dyDescent="0.25">
      <c r="A63" s="1">
        <v>62</v>
      </c>
      <c r="B63" s="1">
        <v>18</v>
      </c>
      <c r="C63" s="1" t="s">
        <v>2553</v>
      </c>
      <c r="D63" t="s">
        <v>3573</v>
      </c>
    </row>
    <row r="64" spans="1:4" x14ac:dyDescent="0.25">
      <c r="A64" s="1">
        <v>63</v>
      </c>
      <c r="B64" s="1">
        <v>18</v>
      </c>
      <c r="C64" s="1" t="s">
        <v>2557</v>
      </c>
      <c r="D64" t="s">
        <v>3573</v>
      </c>
    </row>
    <row r="65" spans="1:4" x14ac:dyDescent="0.25">
      <c r="A65" s="1">
        <v>64</v>
      </c>
      <c r="B65" s="1">
        <v>19</v>
      </c>
      <c r="C65" s="1" t="s">
        <v>2552</v>
      </c>
      <c r="D65" t="s">
        <v>3573</v>
      </c>
    </row>
    <row r="66" spans="1:4" x14ac:dyDescent="0.25">
      <c r="A66" s="1">
        <v>65</v>
      </c>
      <c r="B66" s="1">
        <v>19</v>
      </c>
      <c r="C66" s="1" t="s">
        <v>2553</v>
      </c>
      <c r="D66" t="s">
        <v>3573</v>
      </c>
    </row>
    <row r="67" spans="1:4" x14ac:dyDescent="0.25">
      <c r="A67" s="1">
        <v>66</v>
      </c>
      <c r="B67" s="1">
        <v>19</v>
      </c>
      <c r="C67" s="1" t="s">
        <v>2554</v>
      </c>
      <c r="D67" t="s">
        <v>3573</v>
      </c>
    </row>
    <row r="68" spans="1:4" x14ac:dyDescent="0.25">
      <c r="A68" s="1">
        <v>67</v>
      </c>
      <c r="B68" s="1">
        <v>19</v>
      </c>
      <c r="C68" s="1" t="s">
        <v>2553</v>
      </c>
      <c r="D68" t="s">
        <v>3573</v>
      </c>
    </row>
    <row r="69" spans="1:4" x14ac:dyDescent="0.25">
      <c r="A69" s="1">
        <v>68</v>
      </c>
      <c r="B69" s="1">
        <v>19</v>
      </c>
      <c r="C69" s="1" t="s">
        <v>2555</v>
      </c>
      <c r="D69" t="s">
        <v>3573</v>
      </c>
    </row>
    <row r="70" spans="1:4" x14ac:dyDescent="0.25">
      <c r="A70" s="1">
        <v>69</v>
      </c>
      <c r="B70" s="1">
        <v>20</v>
      </c>
      <c r="C70" s="1" t="s">
        <v>2552</v>
      </c>
      <c r="D70" t="s">
        <v>3573</v>
      </c>
    </row>
    <row r="71" spans="1:4" x14ac:dyDescent="0.25">
      <c r="A71" s="1">
        <v>70</v>
      </c>
      <c r="B71" s="1">
        <v>20</v>
      </c>
      <c r="C71" s="1" t="s">
        <v>2553</v>
      </c>
      <c r="D71" t="s">
        <v>3573</v>
      </c>
    </row>
    <row r="72" spans="1:4" x14ac:dyDescent="0.25">
      <c r="A72" s="1">
        <v>71</v>
      </c>
      <c r="B72" s="1">
        <v>20</v>
      </c>
      <c r="C72" s="1" t="s">
        <v>2556</v>
      </c>
      <c r="D72" t="s">
        <v>3573</v>
      </c>
    </row>
    <row r="73" spans="1:4" x14ac:dyDescent="0.25">
      <c r="A73" s="1">
        <v>72</v>
      </c>
      <c r="B73" s="1">
        <v>20</v>
      </c>
      <c r="C73" s="1" t="s">
        <v>2557</v>
      </c>
      <c r="D73" t="s">
        <v>3573</v>
      </c>
    </row>
    <row r="74" spans="1:4" x14ac:dyDescent="0.25">
      <c r="A74" s="1">
        <v>73</v>
      </c>
      <c r="B74" s="1">
        <v>21</v>
      </c>
      <c r="C74" s="1" t="s">
        <v>2552</v>
      </c>
      <c r="D74" t="s">
        <v>3573</v>
      </c>
    </row>
    <row r="75" spans="1:4" x14ac:dyDescent="0.25">
      <c r="A75" s="1">
        <v>74</v>
      </c>
      <c r="B75" s="1">
        <v>21</v>
      </c>
      <c r="C75" s="1" t="s">
        <v>2553</v>
      </c>
      <c r="D75" t="s">
        <v>3573</v>
      </c>
    </row>
    <row r="76" spans="1:4" x14ac:dyDescent="0.25">
      <c r="A76" s="1">
        <v>75</v>
      </c>
      <c r="B76" s="1">
        <v>21</v>
      </c>
      <c r="C76" s="1" t="s">
        <v>2554</v>
      </c>
      <c r="D76" t="s">
        <v>3573</v>
      </c>
    </row>
    <row r="77" spans="1:4" x14ac:dyDescent="0.25">
      <c r="A77" s="1">
        <v>76</v>
      </c>
      <c r="B77" s="1">
        <v>21</v>
      </c>
      <c r="C77" s="1" t="s">
        <v>2555</v>
      </c>
      <c r="D77" t="s">
        <v>3573</v>
      </c>
    </row>
    <row r="78" spans="1:4" x14ac:dyDescent="0.25">
      <c r="A78" s="1">
        <v>77</v>
      </c>
      <c r="B78" s="1">
        <v>21</v>
      </c>
      <c r="C78" s="1" t="s">
        <v>2556</v>
      </c>
      <c r="D78" t="s">
        <v>3573</v>
      </c>
    </row>
    <row r="79" spans="1:4" x14ac:dyDescent="0.25">
      <c r="A79" s="1">
        <v>78</v>
      </c>
      <c r="B79" s="1">
        <v>21</v>
      </c>
      <c r="C79" s="1" t="s">
        <v>2556</v>
      </c>
      <c r="D79" t="s">
        <v>3573</v>
      </c>
    </row>
    <row r="80" spans="1:4" x14ac:dyDescent="0.25">
      <c r="A80" s="1">
        <v>79</v>
      </c>
      <c r="B80" s="1">
        <v>22</v>
      </c>
      <c r="C80" s="1" t="s">
        <v>2552</v>
      </c>
      <c r="D80" t="s">
        <v>3573</v>
      </c>
    </row>
    <row r="81" spans="1:4" x14ac:dyDescent="0.25">
      <c r="A81" s="1">
        <v>80</v>
      </c>
      <c r="B81" s="1">
        <v>22</v>
      </c>
      <c r="C81" s="1" t="s">
        <v>2553</v>
      </c>
      <c r="D81" t="s">
        <v>3573</v>
      </c>
    </row>
    <row r="82" spans="1:4" x14ac:dyDescent="0.25">
      <c r="A82" s="1">
        <v>81</v>
      </c>
      <c r="B82" s="1">
        <v>22</v>
      </c>
      <c r="C82" s="1" t="s">
        <v>2554</v>
      </c>
      <c r="D82" t="s">
        <v>3573</v>
      </c>
    </row>
    <row r="83" spans="1:4" x14ac:dyDescent="0.25">
      <c r="A83" s="1">
        <v>82</v>
      </c>
      <c r="B83" s="1">
        <v>22</v>
      </c>
      <c r="C83" s="1" t="s">
        <v>2555</v>
      </c>
      <c r="D83" t="s">
        <v>3573</v>
      </c>
    </row>
    <row r="84" spans="1:4" x14ac:dyDescent="0.25">
      <c r="A84" s="1">
        <v>83</v>
      </c>
      <c r="B84" s="1">
        <v>22</v>
      </c>
      <c r="C84" s="1" t="s">
        <v>2556</v>
      </c>
      <c r="D84" t="s">
        <v>3573</v>
      </c>
    </row>
    <row r="85" spans="1:4" x14ac:dyDescent="0.25">
      <c r="A85" s="1">
        <v>84</v>
      </c>
      <c r="B85" s="1">
        <v>22</v>
      </c>
      <c r="C85" s="1" t="s">
        <v>2556</v>
      </c>
      <c r="D85" t="s">
        <v>3573</v>
      </c>
    </row>
    <row r="86" spans="1:4" x14ac:dyDescent="0.25">
      <c r="A86" s="1">
        <v>85</v>
      </c>
      <c r="B86" s="1">
        <v>23</v>
      </c>
      <c r="C86" s="1" t="s">
        <v>2552</v>
      </c>
      <c r="D86" t="s">
        <v>3573</v>
      </c>
    </row>
    <row r="87" spans="1:4" x14ac:dyDescent="0.25">
      <c r="A87" s="1">
        <v>86</v>
      </c>
      <c r="B87" s="1">
        <v>23</v>
      </c>
      <c r="C87" s="1" t="s">
        <v>2553</v>
      </c>
      <c r="D87" t="s">
        <v>3573</v>
      </c>
    </row>
    <row r="88" spans="1:4" x14ac:dyDescent="0.25">
      <c r="A88" s="1">
        <v>87</v>
      </c>
      <c r="B88" s="1">
        <v>23</v>
      </c>
      <c r="C88" s="1" t="s">
        <v>2554</v>
      </c>
      <c r="D88" t="s">
        <v>3573</v>
      </c>
    </row>
    <row r="89" spans="1:4" x14ac:dyDescent="0.25">
      <c r="A89" s="1">
        <v>88</v>
      </c>
      <c r="B89" s="1">
        <v>23</v>
      </c>
      <c r="C89" s="1" t="s">
        <v>2556</v>
      </c>
      <c r="D89" t="s">
        <v>3573</v>
      </c>
    </row>
    <row r="90" spans="1:4" x14ac:dyDescent="0.25">
      <c r="A90" s="1">
        <v>89</v>
      </c>
      <c r="B90" s="1">
        <v>23</v>
      </c>
      <c r="C90" s="1" t="s">
        <v>2556</v>
      </c>
      <c r="D90" t="s">
        <v>3573</v>
      </c>
    </row>
    <row r="91" spans="1:4" x14ac:dyDescent="0.25">
      <c r="A91" s="1">
        <v>90</v>
      </c>
      <c r="B91" s="1">
        <v>24</v>
      </c>
      <c r="C91" s="1" t="s">
        <v>2552</v>
      </c>
      <c r="D91" t="s">
        <v>3573</v>
      </c>
    </row>
    <row r="92" spans="1:4" x14ac:dyDescent="0.25">
      <c r="A92" s="1">
        <v>91</v>
      </c>
      <c r="B92" s="1">
        <v>24</v>
      </c>
      <c r="C92" s="1" t="s">
        <v>2553</v>
      </c>
      <c r="D92" t="s">
        <v>3573</v>
      </c>
    </row>
    <row r="93" spans="1:4" x14ac:dyDescent="0.25">
      <c r="A93" s="1">
        <v>92</v>
      </c>
      <c r="B93" s="1">
        <v>24</v>
      </c>
      <c r="C93" s="1" t="s">
        <v>2554</v>
      </c>
      <c r="D93" t="s">
        <v>3573</v>
      </c>
    </row>
    <row r="94" spans="1:4" x14ac:dyDescent="0.25">
      <c r="A94" s="1">
        <v>93</v>
      </c>
      <c r="B94" s="1">
        <v>24</v>
      </c>
      <c r="C94" s="1" t="s">
        <v>2555</v>
      </c>
      <c r="D94" t="s">
        <v>3573</v>
      </c>
    </row>
    <row r="95" spans="1:4" x14ac:dyDescent="0.25">
      <c r="A95" s="1">
        <v>94</v>
      </c>
      <c r="B95" s="1">
        <v>24</v>
      </c>
      <c r="C95" s="1" t="s">
        <v>2556</v>
      </c>
      <c r="D95" t="s">
        <v>3573</v>
      </c>
    </row>
    <row r="96" spans="1:4" x14ac:dyDescent="0.25">
      <c r="A96" s="1">
        <v>95</v>
      </c>
      <c r="B96" s="1">
        <v>24</v>
      </c>
      <c r="C96" s="1" t="s">
        <v>2552</v>
      </c>
      <c r="D96" t="s">
        <v>3573</v>
      </c>
    </row>
    <row r="97" spans="1:4" x14ac:dyDescent="0.25">
      <c r="A97" s="1">
        <v>96</v>
      </c>
      <c r="B97" s="1">
        <v>24</v>
      </c>
      <c r="C97" s="1" t="s">
        <v>2553</v>
      </c>
      <c r="D97" t="s">
        <v>3573</v>
      </c>
    </row>
    <row r="98" spans="1:4" x14ac:dyDescent="0.25">
      <c r="A98" s="1">
        <v>97</v>
      </c>
      <c r="B98" s="1">
        <v>24</v>
      </c>
      <c r="C98" s="1" t="s">
        <v>2554</v>
      </c>
      <c r="D98" t="s">
        <v>3573</v>
      </c>
    </row>
    <row r="99" spans="1:4" x14ac:dyDescent="0.25">
      <c r="A99" s="1">
        <v>98</v>
      </c>
      <c r="B99" s="1">
        <v>24</v>
      </c>
      <c r="C99" s="1" t="s">
        <v>2555</v>
      </c>
      <c r="D99" t="s">
        <v>3573</v>
      </c>
    </row>
    <row r="100" spans="1:4" x14ac:dyDescent="0.25">
      <c r="A100" s="1">
        <v>99</v>
      </c>
      <c r="B100" s="1">
        <v>24</v>
      </c>
      <c r="C100" s="1" t="s">
        <v>2556</v>
      </c>
      <c r="D100" t="s">
        <v>3573</v>
      </c>
    </row>
    <row r="101" spans="1:4" x14ac:dyDescent="0.25">
      <c r="A101" s="1">
        <v>100</v>
      </c>
      <c r="B101" s="1">
        <v>25</v>
      </c>
      <c r="C101" s="1" t="s">
        <v>2552</v>
      </c>
      <c r="D101" t="s">
        <v>3573</v>
      </c>
    </row>
    <row r="102" spans="1:4" x14ac:dyDescent="0.25">
      <c r="A102" s="1">
        <v>101</v>
      </c>
      <c r="B102" s="1">
        <v>25</v>
      </c>
      <c r="C102" s="1" t="s">
        <v>2553</v>
      </c>
      <c r="D102" t="s">
        <v>3573</v>
      </c>
    </row>
    <row r="103" spans="1:4" x14ac:dyDescent="0.25">
      <c r="A103" s="1">
        <v>102</v>
      </c>
      <c r="B103" s="1">
        <v>25</v>
      </c>
      <c r="C103" s="1" t="s">
        <v>2554</v>
      </c>
      <c r="D103" t="s">
        <v>3573</v>
      </c>
    </row>
    <row r="104" spans="1:4" x14ac:dyDescent="0.25">
      <c r="A104" s="1">
        <v>103</v>
      </c>
      <c r="B104" s="1">
        <v>25</v>
      </c>
      <c r="C104" s="1" t="s">
        <v>2555</v>
      </c>
      <c r="D104" t="s">
        <v>3573</v>
      </c>
    </row>
    <row r="105" spans="1:4" x14ac:dyDescent="0.25">
      <c r="A105" s="1">
        <v>104</v>
      </c>
      <c r="B105" s="1">
        <v>25</v>
      </c>
      <c r="C105" s="1" t="s">
        <v>2556</v>
      </c>
      <c r="D105" t="s">
        <v>3573</v>
      </c>
    </row>
    <row r="106" spans="1:4" x14ac:dyDescent="0.25">
      <c r="A106" s="1">
        <v>105</v>
      </c>
      <c r="B106" s="1">
        <v>25</v>
      </c>
      <c r="C106" s="1" t="s">
        <v>2557</v>
      </c>
      <c r="D106" t="s">
        <v>3573</v>
      </c>
    </row>
    <row r="107" spans="1:4" x14ac:dyDescent="0.25">
      <c r="A107" s="1">
        <v>106</v>
      </c>
      <c r="B107" s="1">
        <v>25</v>
      </c>
      <c r="C107" s="1" t="s">
        <v>2552</v>
      </c>
      <c r="D107" t="s">
        <v>3573</v>
      </c>
    </row>
    <row r="108" spans="1:4" x14ac:dyDescent="0.25">
      <c r="A108" s="1">
        <v>107</v>
      </c>
      <c r="B108" s="1">
        <v>25</v>
      </c>
      <c r="C108" s="1" t="s">
        <v>2556</v>
      </c>
      <c r="D108" t="s">
        <v>3573</v>
      </c>
    </row>
    <row r="109" spans="1:4" x14ac:dyDescent="0.25">
      <c r="A109" s="1">
        <v>108</v>
      </c>
      <c r="B109" s="1">
        <v>25</v>
      </c>
      <c r="C109" s="1" t="s">
        <v>2556</v>
      </c>
      <c r="D109" t="s">
        <v>3573</v>
      </c>
    </row>
    <row r="110" spans="1:4" x14ac:dyDescent="0.25">
      <c r="A110" s="1">
        <v>109</v>
      </c>
      <c r="B110" s="1">
        <v>26</v>
      </c>
      <c r="C110" s="1" t="s">
        <v>2552</v>
      </c>
      <c r="D110" t="s">
        <v>3573</v>
      </c>
    </row>
    <row r="111" spans="1:4" x14ac:dyDescent="0.25">
      <c r="A111" s="1">
        <v>110</v>
      </c>
      <c r="B111" s="1">
        <v>26</v>
      </c>
      <c r="C111" s="1" t="s">
        <v>2553</v>
      </c>
      <c r="D111" t="s">
        <v>3573</v>
      </c>
    </row>
    <row r="112" spans="1:4" x14ac:dyDescent="0.25">
      <c r="A112" s="1">
        <v>111</v>
      </c>
      <c r="B112" s="1">
        <v>26</v>
      </c>
      <c r="C112" s="1" t="s">
        <v>2554</v>
      </c>
      <c r="D112" t="s">
        <v>3573</v>
      </c>
    </row>
    <row r="113" spans="1:4" x14ac:dyDescent="0.25">
      <c r="A113" s="1">
        <v>112</v>
      </c>
      <c r="B113" s="1">
        <v>26</v>
      </c>
      <c r="C113" s="1" t="s">
        <v>2555</v>
      </c>
      <c r="D113" t="s">
        <v>3573</v>
      </c>
    </row>
    <row r="114" spans="1:4" x14ac:dyDescent="0.25">
      <c r="A114" s="1">
        <v>113</v>
      </c>
      <c r="B114" s="1">
        <v>26</v>
      </c>
      <c r="C114" s="1" t="s">
        <v>2556</v>
      </c>
      <c r="D114" t="s">
        <v>3573</v>
      </c>
    </row>
    <row r="115" spans="1:4" x14ac:dyDescent="0.25">
      <c r="A115" s="1">
        <v>114</v>
      </c>
      <c r="B115" s="1">
        <v>26</v>
      </c>
      <c r="C115" s="1" t="s">
        <v>2554</v>
      </c>
      <c r="D115" t="s">
        <v>3573</v>
      </c>
    </row>
    <row r="116" spans="1:4" x14ac:dyDescent="0.25">
      <c r="A116" s="1">
        <v>115</v>
      </c>
      <c r="B116" s="1">
        <v>26</v>
      </c>
      <c r="C116" s="1" t="s">
        <v>2552</v>
      </c>
      <c r="D116" t="s">
        <v>3573</v>
      </c>
    </row>
    <row r="117" spans="1:4" x14ac:dyDescent="0.25">
      <c r="A117" s="1">
        <v>116</v>
      </c>
      <c r="B117" s="1">
        <v>26</v>
      </c>
      <c r="C117" s="1" t="s">
        <v>2556</v>
      </c>
      <c r="D117" t="s">
        <v>3573</v>
      </c>
    </row>
    <row r="118" spans="1:4" x14ac:dyDescent="0.25">
      <c r="A118" s="1">
        <v>117</v>
      </c>
      <c r="B118" s="1">
        <v>27</v>
      </c>
      <c r="C118" s="1" t="s">
        <v>2552</v>
      </c>
      <c r="D118" t="s">
        <v>3573</v>
      </c>
    </row>
    <row r="119" spans="1:4" x14ac:dyDescent="0.25">
      <c r="A119" s="1">
        <v>118</v>
      </c>
      <c r="B119" s="1">
        <v>27</v>
      </c>
      <c r="C119" s="1" t="s">
        <v>2553</v>
      </c>
      <c r="D119" t="s">
        <v>3573</v>
      </c>
    </row>
    <row r="120" spans="1:4" x14ac:dyDescent="0.25">
      <c r="A120" s="1">
        <v>119</v>
      </c>
      <c r="B120" s="1">
        <v>27</v>
      </c>
      <c r="C120" s="1" t="s">
        <v>2555</v>
      </c>
      <c r="D120" t="s">
        <v>3573</v>
      </c>
    </row>
    <row r="121" spans="1:4" x14ac:dyDescent="0.25">
      <c r="A121" s="1">
        <v>120</v>
      </c>
      <c r="B121" s="1">
        <v>28</v>
      </c>
      <c r="C121" s="1" t="s">
        <v>2552</v>
      </c>
      <c r="D121" t="s">
        <v>3573</v>
      </c>
    </row>
    <row r="122" spans="1:4" x14ac:dyDescent="0.25">
      <c r="A122" s="1">
        <v>121</v>
      </c>
      <c r="B122" s="1">
        <v>28</v>
      </c>
      <c r="C122" s="1" t="s">
        <v>2554</v>
      </c>
      <c r="D122" t="s">
        <v>3573</v>
      </c>
    </row>
    <row r="123" spans="1:4" x14ac:dyDescent="0.25">
      <c r="A123" s="1">
        <v>122</v>
      </c>
      <c r="B123" s="1">
        <v>28</v>
      </c>
      <c r="C123" s="1" t="s">
        <v>2555</v>
      </c>
      <c r="D123" t="s">
        <v>3573</v>
      </c>
    </row>
    <row r="124" spans="1:4" x14ac:dyDescent="0.25">
      <c r="A124" s="1">
        <v>123</v>
      </c>
      <c r="B124" s="1">
        <v>28</v>
      </c>
      <c r="C124" s="1" t="s">
        <v>2556</v>
      </c>
      <c r="D124" t="s">
        <v>3573</v>
      </c>
    </row>
    <row r="125" spans="1:4" x14ac:dyDescent="0.25">
      <c r="A125" s="1">
        <v>124</v>
      </c>
      <c r="B125" s="1">
        <v>28</v>
      </c>
      <c r="C125" s="1" t="s">
        <v>2553</v>
      </c>
      <c r="D125" t="s">
        <v>3573</v>
      </c>
    </row>
    <row r="126" spans="1:4" x14ac:dyDescent="0.25">
      <c r="A126" s="1">
        <v>125</v>
      </c>
      <c r="B126" s="1">
        <v>29</v>
      </c>
      <c r="C126" s="1" t="s">
        <v>2552</v>
      </c>
      <c r="D126" t="s">
        <v>3573</v>
      </c>
    </row>
    <row r="127" spans="1:4" x14ac:dyDescent="0.25">
      <c r="A127" s="1">
        <v>126</v>
      </c>
      <c r="B127" s="1">
        <v>29</v>
      </c>
      <c r="C127" s="1" t="s">
        <v>2553</v>
      </c>
      <c r="D127" t="s">
        <v>3573</v>
      </c>
    </row>
    <row r="128" spans="1:4" x14ac:dyDescent="0.25">
      <c r="A128" s="1">
        <v>127</v>
      </c>
      <c r="B128" s="1">
        <v>29</v>
      </c>
      <c r="C128" s="1" t="s">
        <v>2554</v>
      </c>
      <c r="D128" t="s">
        <v>3573</v>
      </c>
    </row>
    <row r="129" spans="1:4" x14ac:dyDescent="0.25">
      <c r="A129" s="1">
        <v>128</v>
      </c>
      <c r="B129" s="1">
        <v>29</v>
      </c>
      <c r="C129" s="1" t="s">
        <v>2555</v>
      </c>
      <c r="D129" t="s">
        <v>3573</v>
      </c>
    </row>
    <row r="130" spans="1:4" x14ac:dyDescent="0.25">
      <c r="A130" s="1">
        <v>129</v>
      </c>
      <c r="B130" s="1">
        <v>29</v>
      </c>
      <c r="C130" s="1" t="s">
        <v>2556</v>
      </c>
      <c r="D130" t="s">
        <v>3573</v>
      </c>
    </row>
    <row r="131" spans="1:4" x14ac:dyDescent="0.25">
      <c r="A131" s="1">
        <v>130</v>
      </c>
      <c r="B131" s="1">
        <v>30</v>
      </c>
      <c r="C131" s="1" t="s">
        <v>2552</v>
      </c>
      <c r="D131" t="s">
        <v>3573</v>
      </c>
    </row>
    <row r="132" spans="1:4" x14ac:dyDescent="0.25">
      <c r="A132" s="1">
        <v>131</v>
      </c>
      <c r="B132" s="1">
        <v>30</v>
      </c>
      <c r="C132" s="1" t="s">
        <v>2553</v>
      </c>
      <c r="D132" t="s">
        <v>3573</v>
      </c>
    </row>
    <row r="133" spans="1:4" x14ac:dyDescent="0.25">
      <c r="A133" s="1">
        <v>132</v>
      </c>
      <c r="B133" s="1">
        <v>30</v>
      </c>
      <c r="C133" s="1" t="s">
        <v>2554</v>
      </c>
      <c r="D133" t="s">
        <v>3573</v>
      </c>
    </row>
    <row r="134" spans="1:4" x14ac:dyDescent="0.25">
      <c r="A134" s="1">
        <v>133</v>
      </c>
      <c r="B134" s="1">
        <v>30</v>
      </c>
      <c r="C134" s="1" t="s">
        <v>2555</v>
      </c>
      <c r="D134" t="s">
        <v>3573</v>
      </c>
    </row>
    <row r="135" spans="1:4" x14ac:dyDescent="0.25">
      <c r="A135" s="1">
        <v>134</v>
      </c>
      <c r="B135" s="1">
        <v>30</v>
      </c>
      <c r="C135" s="1" t="s">
        <v>2556</v>
      </c>
      <c r="D135" t="s">
        <v>3573</v>
      </c>
    </row>
    <row r="136" spans="1:4" x14ac:dyDescent="0.25">
      <c r="A136" s="1">
        <v>135</v>
      </c>
      <c r="B136" s="1">
        <v>31</v>
      </c>
      <c r="C136" s="1" t="s">
        <v>2552</v>
      </c>
      <c r="D136" t="s">
        <v>16</v>
      </c>
    </row>
    <row r="137" spans="1:4" x14ac:dyDescent="0.25">
      <c r="A137" s="1">
        <v>136</v>
      </c>
      <c r="B137" s="1">
        <v>32</v>
      </c>
      <c r="C137" s="1" t="s">
        <v>2552</v>
      </c>
      <c r="D137" t="s">
        <v>16</v>
      </c>
    </row>
    <row r="138" spans="1:4" x14ac:dyDescent="0.25">
      <c r="A138" s="1">
        <v>137</v>
      </c>
      <c r="B138" s="1">
        <v>33</v>
      </c>
      <c r="C138" s="1" t="s">
        <v>2552</v>
      </c>
      <c r="D138" t="s">
        <v>16</v>
      </c>
    </row>
    <row r="139" spans="1:4" x14ac:dyDescent="0.25">
      <c r="A139" s="1">
        <v>138</v>
      </c>
      <c r="B139" s="1">
        <v>33</v>
      </c>
      <c r="C139" s="1" t="s">
        <v>2552</v>
      </c>
      <c r="D139" t="s">
        <v>16</v>
      </c>
    </row>
    <row r="140" spans="1:4" x14ac:dyDescent="0.25">
      <c r="A140" s="1">
        <v>139</v>
      </c>
      <c r="B140" s="1">
        <v>34</v>
      </c>
      <c r="C140" s="1" t="s">
        <v>2552</v>
      </c>
      <c r="D140" t="s">
        <v>3573</v>
      </c>
    </row>
    <row r="141" spans="1:4" x14ac:dyDescent="0.25">
      <c r="A141" s="1">
        <v>140</v>
      </c>
      <c r="B141" s="1">
        <v>34</v>
      </c>
      <c r="C141" s="1" t="s">
        <v>2553</v>
      </c>
      <c r="D141" t="s">
        <v>3573</v>
      </c>
    </row>
    <row r="142" spans="1:4" x14ac:dyDescent="0.25">
      <c r="A142" s="1">
        <v>141</v>
      </c>
      <c r="B142" s="1">
        <v>34</v>
      </c>
      <c r="C142" s="1" t="s">
        <v>2554</v>
      </c>
      <c r="D142" t="s">
        <v>3573</v>
      </c>
    </row>
    <row r="143" spans="1:4" x14ac:dyDescent="0.25">
      <c r="A143" s="1">
        <v>142</v>
      </c>
      <c r="B143" s="1">
        <v>34</v>
      </c>
      <c r="C143" s="1" t="s">
        <v>2555</v>
      </c>
      <c r="D143" t="s">
        <v>3573</v>
      </c>
    </row>
    <row r="144" spans="1:4" x14ac:dyDescent="0.25">
      <c r="A144" s="1">
        <v>143</v>
      </c>
      <c r="B144" s="1">
        <v>34</v>
      </c>
      <c r="C144" s="1" t="s">
        <v>2556</v>
      </c>
      <c r="D144" t="s">
        <v>3573</v>
      </c>
    </row>
    <row r="145" spans="1:4" x14ac:dyDescent="0.25">
      <c r="A145" s="1">
        <v>144</v>
      </c>
      <c r="B145" s="1">
        <v>35</v>
      </c>
      <c r="C145" s="1" t="s">
        <v>2552</v>
      </c>
      <c r="D145" t="s">
        <v>3573</v>
      </c>
    </row>
    <row r="146" spans="1:4" x14ac:dyDescent="0.25">
      <c r="A146" s="1">
        <v>145</v>
      </c>
      <c r="B146" s="1">
        <v>35</v>
      </c>
      <c r="C146" s="1" t="s">
        <v>2553</v>
      </c>
      <c r="D146" t="s">
        <v>3573</v>
      </c>
    </row>
    <row r="147" spans="1:4" x14ac:dyDescent="0.25">
      <c r="A147" s="1">
        <v>146</v>
      </c>
      <c r="B147" s="1">
        <v>35</v>
      </c>
      <c r="C147" s="1" t="s">
        <v>2554</v>
      </c>
      <c r="D147" t="s">
        <v>3573</v>
      </c>
    </row>
    <row r="148" spans="1:4" x14ac:dyDescent="0.25">
      <c r="A148" s="1">
        <v>147</v>
      </c>
      <c r="B148" s="1">
        <v>35</v>
      </c>
      <c r="C148" s="1" t="s">
        <v>2555</v>
      </c>
      <c r="D148" t="s">
        <v>3573</v>
      </c>
    </row>
    <row r="149" spans="1:4" x14ac:dyDescent="0.25">
      <c r="A149" s="1">
        <v>148</v>
      </c>
      <c r="B149" s="1">
        <v>35</v>
      </c>
      <c r="C149" s="1" t="s">
        <v>2556</v>
      </c>
      <c r="D149" t="s">
        <v>3573</v>
      </c>
    </row>
    <row r="150" spans="1:4" x14ac:dyDescent="0.25">
      <c r="A150" s="1">
        <v>149</v>
      </c>
      <c r="B150" s="1">
        <v>36</v>
      </c>
      <c r="C150" s="1" t="s">
        <v>2552</v>
      </c>
      <c r="D150" t="s">
        <v>3573</v>
      </c>
    </row>
    <row r="151" spans="1:4" x14ac:dyDescent="0.25">
      <c r="A151" s="1">
        <v>150</v>
      </c>
      <c r="B151" s="1">
        <v>36</v>
      </c>
      <c r="C151" s="1" t="s">
        <v>2553</v>
      </c>
      <c r="D151" t="s">
        <v>3573</v>
      </c>
    </row>
    <row r="152" spans="1:4" x14ac:dyDescent="0.25">
      <c r="A152" s="1">
        <v>151</v>
      </c>
      <c r="B152" s="1">
        <v>36</v>
      </c>
      <c r="C152" s="1" t="s">
        <v>2554</v>
      </c>
      <c r="D152" t="s">
        <v>3573</v>
      </c>
    </row>
    <row r="153" spans="1:4" x14ac:dyDescent="0.25">
      <c r="A153" s="1">
        <v>152</v>
      </c>
      <c r="B153" s="1">
        <v>36</v>
      </c>
      <c r="C153" s="1" t="s">
        <v>2555</v>
      </c>
      <c r="D153" t="s">
        <v>3573</v>
      </c>
    </row>
    <row r="154" spans="1:4" x14ac:dyDescent="0.25">
      <c r="A154" s="1">
        <v>153</v>
      </c>
      <c r="B154" s="1">
        <v>36</v>
      </c>
      <c r="C154" s="1" t="s">
        <v>2556</v>
      </c>
      <c r="D154" t="s">
        <v>3573</v>
      </c>
    </row>
    <row r="155" spans="1:4" x14ac:dyDescent="0.25">
      <c r="A155" s="1">
        <v>154</v>
      </c>
      <c r="B155" s="1">
        <v>37</v>
      </c>
      <c r="C155" s="1" t="s">
        <v>2554</v>
      </c>
      <c r="D155" t="s">
        <v>3573</v>
      </c>
    </row>
    <row r="156" spans="1:4" x14ac:dyDescent="0.25">
      <c r="A156" s="1">
        <v>155</v>
      </c>
      <c r="B156" s="1">
        <v>37</v>
      </c>
      <c r="C156" s="1" t="s">
        <v>2552</v>
      </c>
      <c r="D156" t="s">
        <v>3573</v>
      </c>
    </row>
    <row r="157" spans="1:4" x14ac:dyDescent="0.25">
      <c r="A157" s="1">
        <v>156</v>
      </c>
      <c r="B157" s="1">
        <v>38</v>
      </c>
      <c r="C157" s="1" t="s">
        <v>2557</v>
      </c>
      <c r="D157" t="s">
        <v>16</v>
      </c>
    </row>
    <row r="158" spans="1:4" x14ac:dyDescent="0.25">
      <c r="A158" s="1">
        <v>157</v>
      </c>
      <c r="B158" s="1">
        <v>39</v>
      </c>
      <c r="C158" s="1" t="s">
        <v>2552</v>
      </c>
      <c r="D158" t="s">
        <v>3573</v>
      </c>
    </row>
    <row r="159" spans="1:4" x14ac:dyDescent="0.25">
      <c r="A159" s="1">
        <v>158</v>
      </c>
      <c r="B159" s="1">
        <v>39</v>
      </c>
      <c r="C159" s="1" t="s">
        <v>2553</v>
      </c>
      <c r="D159" t="s">
        <v>3573</v>
      </c>
    </row>
    <row r="160" spans="1:4" x14ac:dyDescent="0.25">
      <c r="A160" s="1">
        <v>159</v>
      </c>
      <c r="B160" s="1">
        <v>39</v>
      </c>
      <c r="C160" s="1" t="s">
        <v>2554</v>
      </c>
      <c r="D160" t="s">
        <v>3573</v>
      </c>
    </row>
    <row r="161" spans="1:4" x14ac:dyDescent="0.25">
      <c r="A161" s="1">
        <v>160</v>
      </c>
      <c r="B161" s="1">
        <v>39</v>
      </c>
      <c r="C161" s="1" t="s">
        <v>2555</v>
      </c>
      <c r="D161" t="s">
        <v>3573</v>
      </c>
    </row>
    <row r="162" spans="1:4" x14ac:dyDescent="0.25">
      <c r="A162" s="1">
        <v>161</v>
      </c>
      <c r="B162" s="1">
        <v>39</v>
      </c>
      <c r="C162" s="1" t="s">
        <v>2556</v>
      </c>
      <c r="D162" t="s">
        <v>3573</v>
      </c>
    </row>
    <row r="163" spans="1:4" x14ac:dyDescent="0.25">
      <c r="A163" s="1">
        <v>162</v>
      </c>
      <c r="B163" s="1">
        <v>39</v>
      </c>
      <c r="C163" s="1" t="s">
        <v>2556</v>
      </c>
      <c r="D163" t="s">
        <v>3573</v>
      </c>
    </row>
    <row r="164" spans="1:4" x14ac:dyDescent="0.25">
      <c r="A164" s="1">
        <v>163</v>
      </c>
      <c r="B164" s="1">
        <v>40</v>
      </c>
      <c r="C164" s="1" t="s">
        <v>2552</v>
      </c>
      <c r="D164" t="s">
        <v>3573</v>
      </c>
    </row>
    <row r="165" spans="1:4" x14ac:dyDescent="0.25">
      <c r="A165" s="1">
        <v>164</v>
      </c>
      <c r="B165" s="1">
        <v>40</v>
      </c>
      <c r="C165" s="1" t="s">
        <v>2553</v>
      </c>
      <c r="D165" t="s">
        <v>3573</v>
      </c>
    </row>
    <row r="166" spans="1:4" x14ac:dyDescent="0.25">
      <c r="A166" s="1">
        <v>165</v>
      </c>
      <c r="B166" s="1">
        <v>40</v>
      </c>
      <c r="C166" s="1" t="s">
        <v>2554</v>
      </c>
      <c r="D166" t="s">
        <v>3573</v>
      </c>
    </row>
    <row r="167" spans="1:4" x14ac:dyDescent="0.25">
      <c r="A167" s="1">
        <v>166</v>
      </c>
      <c r="B167" s="1">
        <v>40</v>
      </c>
      <c r="C167" s="1" t="s">
        <v>2555</v>
      </c>
      <c r="D167" t="s">
        <v>3573</v>
      </c>
    </row>
    <row r="168" spans="1:4" x14ac:dyDescent="0.25">
      <c r="A168" s="1">
        <v>167</v>
      </c>
      <c r="B168" s="1">
        <v>40</v>
      </c>
      <c r="C168" s="1" t="s">
        <v>2556</v>
      </c>
      <c r="D168" t="s">
        <v>3573</v>
      </c>
    </row>
    <row r="169" spans="1:4" x14ac:dyDescent="0.25">
      <c r="A169" s="1">
        <v>168</v>
      </c>
      <c r="B169" s="1">
        <v>40</v>
      </c>
      <c r="C169" s="1" t="s">
        <v>2557</v>
      </c>
      <c r="D169" t="s">
        <v>3573</v>
      </c>
    </row>
    <row r="170" spans="1:4" x14ac:dyDescent="0.25">
      <c r="A170" s="1">
        <v>169</v>
      </c>
      <c r="B170" s="1">
        <v>41</v>
      </c>
      <c r="C170" s="1" t="s">
        <v>2553</v>
      </c>
      <c r="D170" t="s">
        <v>3573</v>
      </c>
    </row>
    <row r="171" spans="1:4" x14ac:dyDescent="0.25">
      <c r="A171" s="1">
        <v>170</v>
      </c>
      <c r="B171" s="1">
        <v>41</v>
      </c>
      <c r="C171" s="1" t="s">
        <v>2554</v>
      </c>
      <c r="D171" t="s">
        <v>3573</v>
      </c>
    </row>
    <row r="172" spans="1:4" x14ac:dyDescent="0.25">
      <c r="A172" s="1">
        <v>171</v>
      </c>
      <c r="B172" s="1">
        <v>41</v>
      </c>
      <c r="C172" s="1" t="s">
        <v>2554</v>
      </c>
      <c r="D172" t="s">
        <v>3573</v>
      </c>
    </row>
    <row r="173" spans="1:4" x14ac:dyDescent="0.25">
      <c r="A173" s="1">
        <v>172</v>
      </c>
      <c r="B173" s="1">
        <v>41</v>
      </c>
      <c r="C173" s="1" t="s">
        <v>2552</v>
      </c>
      <c r="D173" t="s">
        <v>3573</v>
      </c>
    </row>
    <row r="174" spans="1:4" x14ac:dyDescent="0.25">
      <c r="A174" s="1">
        <v>173</v>
      </c>
      <c r="B174" s="1">
        <v>41</v>
      </c>
      <c r="C174" s="1" t="s">
        <v>2553</v>
      </c>
      <c r="D174" t="s">
        <v>3573</v>
      </c>
    </row>
    <row r="175" spans="1:4" x14ac:dyDescent="0.25">
      <c r="A175" s="1">
        <v>174</v>
      </c>
      <c r="B175" s="1">
        <v>41</v>
      </c>
      <c r="C175" s="1" t="s">
        <v>2555</v>
      </c>
      <c r="D175" t="s">
        <v>3573</v>
      </c>
    </row>
    <row r="176" spans="1:4" x14ac:dyDescent="0.25">
      <c r="A176" s="1">
        <v>175</v>
      </c>
      <c r="B176" s="1">
        <v>42</v>
      </c>
      <c r="C176" s="1" t="s">
        <v>2552</v>
      </c>
      <c r="D176" t="s">
        <v>3573</v>
      </c>
    </row>
    <row r="177" spans="1:4" x14ac:dyDescent="0.25">
      <c r="A177" s="1">
        <v>176</v>
      </c>
      <c r="B177" s="1">
        <v>42</v>
      </c>
      <c r="C177" s="1" t="s">
        <v>2553</v>
      </c>
      <c r="D177" t="s">
        <v>3573</v>
      </c>
    </row>
    <row r="178" spans="1:4" x14ac:dyDescent="0.25">
      <c r="A178" s="1">
        <v>177</v>
      </c>
      <c r="B178" s="1">
        <v>42</v>
      </c>
      <c r="C178" s="1" t="s">
        <v>2554</v>
      </c>
      <c r="D178" t="s">
        <v>3573</v>
      </c>
    </row>
    <row r="179" spans="1:4" x14ac:dyDescent="0.25">
      <c r="A179" s="1">
        <v>178</v>
      </c>
      <c r="B179" s="1">
        <v>42</v>
      </c>
      <c r="C179" s="1" t="s">
        <v>2552</v>
      </c>
      <c r="D179" t="s">
        <v>3573</v>
      </c>
    </row>
    <row r="180" spans="1:4" x14ac:dyDescent="0.25">
      <c r="A180" s="1">
        <v>179</v>
      </c>
      <c r="B180" s="1">
        <v>43</v>
      </c>
      <c r="C180" s="1" t="s">
        <v>2554</v>
      </c>
      <c r="D180" t="s">
        <v>3573</v>
      </c>
    </row>
    <row r="181" spans="1:4" x14ac:dyDescent="0.25">
      <c r="A181" s="1">
        <v>180</v>
      </c>
      <c r="B181" s="1">
        <v>43</v>
      </c>
      <c r="C181" s="1" t="s">
        <v>2553</v>
      </c>
      <c r="D181" t="s">
        <v>3573</v>
      </c>
    </row>
    <row r="182" spans="1:4" x14ac:dyDescent="0.25">
      <c r="A182" s="1">
        <v>181</v>
      </c>
      <c r="B182" s="1">
        <v>43</v>
      </c>
      <c r="C182" s="1" t="s">
        <v>2552</v>
      </c>
      <c r="D182" t="s">
        <v>3573</v>
      </c>
    </row>
    <row r="183" spans="1:4" x14ac:dyDescent="0.25">
      <c r="A183" s="1">
        <v>182</v>
      </c>
      <c r="B183" s="1">
        <v>43</v>
      </c>
      <c r="C183" s="1" t="s">
        <v>2552</v>
      </c>
      <c r="D183" t="s">
        <v>3573</v>
      </c>
    </row>
    <row r="184" spans="1:4" x14ac:dyDescent="0.25">
      <c r="A184" s="1">
        <v>183</v>
      </c>
      <c r="B184" s="1">
        <v>44</v>
      </c>
      <c r="C184" s="1" t="s">
        <v>2552</v>
      </c>
      <c r="D184" t="s">
        <v>3573</v>
      </c>
    </row>
    <row r="185" spans="1:4" x14ac:dyDescent="0.25">
      <c r="A185" s="1">
        <v>184</v>
      </c>
      <c r="B185" s="1">
        <v>44</v>
      </c>
      <c r="C185" s="1" t="s">
        <v>2553</v>
      </c>
      <c r="D185" t="s">
        <v>3573</v>
      </c>
    </row>
    <row r="186" spans="1:4" x14ac:dyDescent="0.25">
      <c r="A186" s="1">
        <v>185</v>
      </c>
      <c r="B186" s="1">
        <v>44</v>
      </c>
      <c r="C186" s="1" t="s">
        <v>2554</v>
      </c>
      <c r="D186" t="s">
        <v>3573</v>
      </c>
    </row>
    <row r="187" spans="1:4" x14ac:dyDescent="0.25">
      <c r="A187" s="1">
        <v>186</v>
      </c>
      <c r="B187" s="1">
        <v>45</v>
      </c>
      <c r="C187" s="1" t="s">
        <v>2552</v>
      </c>
      <c r="D187" t="s">
        <v>3573</v>
      </c>
    </row>
    <row r="188" spans="1:4" x14ac:dyDescent="0.25">
      <c r="A188" s="1">
        <v>187</v>
      </c>
      <c r="B188" s="1">
        <v>45</v>
      </c>
      <c r="C188" s="1" t="s">
        <v>2554</v>
      </c>
      <c r="D188" t="s">
        <v>3573</v>
      </c>
    </row>
    <row r="189" spans="1:4" x14ac:dyDescent="0.25">
      <c r="A189" s="1">
        <v>188</v>
      </c>
      <c r="B189" s="1">
        <v>45</v>
      </c>
      <c r="C189" s="1" t="s">
        <v>2553</v>
      </c>
      <c r="D189" t="s">
        <v>3573</v>
      </c>
    </row>
    <row r="190" spans="1:4" x14ac:dyDescent="0.25">
      <c r="A190" s="1">
        <v>189</v>
      </c>
      <c r="B190" s="1">
        <v>46</v>
      </c>
      <c r="C190" s="1" t="s">
        <v>2552</v>
      </c>
      <c r="D190" t="s">
        <v>3573</v>
      </c>
    </row>
    <row r="191" spans="1:4" x14ac:dyDescent="0.25">
      <c r="A191" s="1">
        <v>190</v>
      </c>
      <c r="B191" s="1">
        <v>46</v>
      </c>
      <c r="C191" s="1" t="s">
        <v>2553</v>
      </c>
      <c r="D191" t="s">
        <v>3573</v>
      </c>
    </row>
    <row r="192" spans="1:4" x14ac:dyDescent="0.25">
      <c r="A192" s="1">
        <v>191</v>
      </c>
      <c r="B192" s="1">
        <v>47</v>
      </c>
      <c r="C192" s="1" t="s">
        <v>2552</v>
      </c>
      <c r="D192" t="s">
        <v>3573</v>
      </c>
    </row>
    <row r="193" spans="1:4" x14ac:dyDescent="0.25">
      <c r="A193" s="1">
        <v>192</v>
      </c>
      <c r="B193" s="1">
        <v>47</v>
      </c>
      <c r="C193" s="1" t="s">
        <v>2553</v>
      </c>
      <c r="D193" t="s">
        <v>3573</v>
      </c>
    </row>
    <row r="194" spans="1:4" x14ac:dyDescent="0.25">
      <c r="A194" s="1">
        <v>193</v>
      </c>
      <c r="B194" s="1">
        <v>47</v>
      </c>
      <c r="C194" s="1" t="s">
        <v>2553</v>
      </c>
      <c r="D194" t="s">
        <v>3573</v>
      </c>
    </row>
    <row r="195" spans="1:4" x14ac:dyDescent="0.25">
      <c r="A195" s="1">
        <v>194</v>
      </c>
      <c r="B195" s="1">
        <v>47</v>
      </c>
      <c r="C195" s="1" t="s">
        <v>2552</v>
      </c>
      <c r="D195" t="s">
        <v>3573</v>
      </c>
    </row>
    <row r="196" spans="1:4" x14ac:dyDescent="0.25">
      <c r="A196" s="1">
        <v>195</v>
      </c>
      <c r="B196" s="1">
        <v>48</v>
      </c>
      <c r="C196" s="1" t="s">
        <v>2552</v>
      </c>
      <c r="D196" t="s">
        <v>3573</v>
      </c>
    </row>
    <row r="197" spans="1:4" x14ac:dyDescent="0.25">
      <c r="A197" s="1">
        <v>196</v>
      </c>
      <c r="B197" s="1">
        <v>48</v>
      </c>
      <c r="C197" s="1" t="s">
        <v>2552</v>
      </c>
      <c r="D197" t="s">
        <v>3573</v>
      </c>
    </row>
    <row r="198" spans="1:4" x14ac:dyDescent="0.25">
      <c r="A198" s="1">
        <v>197</v>
      </c>
      <c r="B198" s="1">
        <v>48</v>
      </c>
      <c r="C198" s="1" t="s">
        <v>2553</v>
      </c>
      <c r="D198" t="s">
        <v>3573</v>
      </c>
    </row>
    <row r="199" spans="1:4" x14ac:dyDescent="0.25">
      <c r="A199" s="1">
        <v>198</v>
      </c>
      <c r="B199" s="1">
        <v>48</v>
      </c>
      <c r="C199" s="1" t="s">
        <v>2554</v>
      </c>
      <c r="D199" t="s">
        <v>3573</v>
      </c>
    </row>
    <row r="200" spans="1:4" x14ac:dyDescent="0.25">
      <c r="A200" s="1">
        <v>199</v>
      </c>
      <c r="B200" s="1">
        <v>48</v>
      </c>
      <c r="C200" s="1" t="s">
        <v>2555</v>
      </c>
      <c r="D200" t="s">
        <v>3573</v>
      </c>
    </row>
    <row r="201" spans="1:4" x14ac:dyDescent="0.25">
      <c r="A201" s="1">
        <v>200</v>
      </c>
      <c r="B201" s="1">
        <v>48</v>
      </c>
      <c r="C201" s="1" t="s">
        <v>2556</v>
      </c>
      <c r="D201" t="s">
        <v>3573</v>
      </c>
    </row>
    <row r="202" spans="1:4" x14ac:dyDescent="0.25">
      <c r="A202" s="1">
        <v>201</v>
      </c>
      <c r="B202" s="1">
        <v>48</v>
      </c>
      <c r="C202" s="1" t="s">
        <v>2557</v>
      </c>
      <c r="D202" t="s">
        <v>3573</v>
      </c>
    </row>
    <row r="203" spans="1:4" x14ac:dyDescent="0.25">
      <c r="A203" s="1">
        <v>202</v>
      </c>
      <c r="B203" s="1">
        <v>49</v>
      </c>
      <c r="C203" s="1" t="s">
        <v>2552</v>
      </c>
      <c r="D203" t="s">
        <v>3573</v>
      </c>
    </row>
    <row r="204" spans="1:4" x14ac:dyDescent="0.25">
      <c r="A204" s="1">
        <v>203</v>
      </c>
      <c r="B204" s="1">
        <v>49</v>
      </c>
      <c r="C204" s="1" t="s">
        <v>2553</v>
      </c>
      <c r="D204" t="s">
        <v>3573</v>
      </c>
    </row>
    <row r="205" spans="1:4" x14ac:dyDescent="0.25">
      <c r="A205" s="1">
        <v>204</v>
      </c>
      <c r="B205" s="1">
        <v>49</v>
      </c>
      <c r="C205" s="1" t="s">
        <v>2554</v>
      </c>
      <c r="D205" t="s">
        <v>3573</v>
      </c>
    </row>
    <row r="206" spans="1:4" x14ac:dyDescent="0.25">
      <c r="A206" s="1">
        <v>205</v>
      </c>
      <c r="B206" s="1">
        <v>49</v>
      </c>
      <c r="C206" s="1" t="s">
        <v>2555</v>
      </c>
      <c r="D206" t="s">
        <v>3573</v>
      </c>
    </row>
    <row r="207" spans="1:4" x14ac:dyDescent="0.25">
      <c r="A207" s="1">
        <v>206</v>
      </c>
      <c r="B207" s="1">
        <v>49</v>
      </c>
      <c r="C207" s="1" t="s">
        <v>2556</v>
      </c>
      <c r="D207" t="s">
        <v>3573</v>
      </c>
    </row>
    <row r="208" spans="1:4" x14ac:dyDescent="0.25">
      <c r="A208" s="1">
        <v>207</v>
      </c>
      <c r="B208" s="1">
        <v>49</v>
      </c>
      <c r="C208" s="1" t="s">
        <v>2557</v>
      </c>
      <c r="D208" t="s">
        <v>3573</v>
      </c>
    </row>
    <row r="209" spans="1:4" x14ac:dyDescent="0.25">
      <c r="A209" s="1">
        <v>208</v>
      </c>
      <c r="B209" s="1">
        <v>49</v>
      </c>
      <c r="C209" s="1" t="s">
        <v>2557</v>
      </c>
      <c r="D209" t="s">
        <v>3573</v>
      </c>
    </row>
    <row r="210" spans="1:4" x14ac:dyDescent="0.25">
      <c r="A210" s="1">
        <v>209</v>
      </c>
      <c r="B210" s="1">
        <v>50</v>
      </c>
      <c r="C210" s="1" t="s">
        <v>2552</v>
      </c>
      <c r="D210" t="s">
        <v>3573</v>
      </c>
    </row>
    <row r="211" spans="1:4" x14ac:dyDescent="0.25">
      <c r="A211" s="1">
        <v>210</v>
      </c>
      <c r="B211" s="1">
        <v>50</v>
      </c>
      <c r="C211" s="1" t="s">
        <v>2553</v>
      </c>
      <c r="D211" t="s">
        <v>3573</v>
      </c>
    </row>
    <row r="212" spans="1:4" x14ac:dyDescent="0.25">
      <c r="A212" s="1">
        <v>211</v>
      </c>
      <c r="B212" s="1">
        <v>50</v>
      </c>
      <c r="C212" s="1" t="s">
        <v>2554</v>
      </c>
      <c r="D212" t="s">
        <v>3573</v>
      </c>
    </row>
    <row r="213" spans="1:4" x14ac:dyDescent="0.25">
      <c r="A213" s="1">
        <v>212</v>
      </c>
      <c r="B213" s="1">
        <v>50</v>
      </c>
      <c r="C213" s="1" t="s">
        <v>2555</v>
      </c>
      <c r="D213" t="s">
        <v>3573</v>
      </c>
    </row>
    <row r="214" spans="1:4" x14ac:dyDescent="0.25">
      <c r="A214" s="1">
        <v>213</v>
      </c>
      <c r="B214" s="1">
        <v>50</v>
      </c>
      <c r="C214" s="1" t="s">
        <v>2556</v>
      </c>
      <c r="D214" t="s">
        <v>3573</v>
      </c>
    </row>
    <row r="215" spans="1:4" x14ac:dyDescent="0.25">
      <c r="A215" s="1">
        <v>214</v>
      </c>
      <c r="B215" s="1">
        <v>50</v>
      </c>
      <c r="C215" s="1" t="s">
        <v>2557</v>
      </c>
      <c r="D215" t="s">
        <v>3573</v>
      </c>
    </row>
    <row r="216" spans="1:4" x14ac:dyDescent="0.25">
      <c r="A216" s="1">
        <v>215</v>
      </c>
      <c r="B216" s="1">
        <v>51</v>
      </c>
      <c r="C216" s="1" t="s">
        <v>2552</v>
      </c>
      <c r="D216" t="s">
        <v>3573</v>
      </c>
    </row>
    <row r="217" spans="1:4" x14ac:dyDescent="0.25">
      <c r="A217" s="1">
        <v>216</v>
      </c>
      <c r="B217" s="1">
        <v>51</v>
      </c>
      <c r="C217" s="1" t="s">
        <v>2553</v>
      </c>
      <c r="D217" t="s">
        <v>3573</v>
      </c>
    </row>
    <row r="218" spans="1:4" x14ac:dyDescent="0.25">
      <c r="A218" s="1">
        <v>217</v>
      </c>
      <c r="B218" s="1">
        <v>51</v>
      </c>
      <c r="C218" s="1" t="s">
        <v>2554</v>
      </c>
      <c r="D218" t="s">
        <v>3573</v>
      </c>
    </row>
    <row r="219" spans="1:4" x14ac:dyDescent="0.25">
      <c r="A219" s="1">
        <v>218</v>
      </c>
      <c r="B219" s="1">
        <v>51</v>
      </c>
      <c r="C219" s="1" t="s">
        <v>2555</v>
      </c>
      <c r="D219" t="s">
        <v>3573</v>
      </c>
    </row>
    <row r="220" spans="1:4" x14ac:dyDescent="0.25">
      <c r="A220" s="1">
        <v>219</v>
      </c>
      <c r="B220" s="1">
        <v>51</v>
      </c>
      <c r="C220" s="1" t="s">
        <v>2556</v>
      </c>
      <c r="D220" t="s">
        <v>3573</v>
      </c>
    </row>
    <row r="221" spans="1:4" x14ac:dyDescent="0.25">
      <c r="A221" s="1">
        <v>220</v>
      </c>
      <c r="B221" s="1">
        <v>51</v>
      </c>
      <c r="C221" s="1" t="s">
        <v>2557</v>
      </c>
      <c r="D221" t="s">
        <v>3573</v>
      </c>
    </row>
    <row r="222" spans="1:4" x14ac:dyDescent="0.25">
      <c r="A222" s="1">
        <v>221</v>
      </c>
      <c r="B222" s="1">
        <v>52</v>
      </c>
      <c r="C222" s="1" t="s">
        <v>2552</v>
      </c>
      <c r="D222" t="s">
        <v>3573</v>
      </c>
    </row>
    <row r="223" spans="1:4" x14ac:dyDescent="0.25">
      <c r="A223" s="1">
        <v>222</v>
      </c>
      <c r="B223" s="1">
        <v>52</v>
      </c>
      <c r="C223" s="1" t="s">
        <v>2553</v>
      </c>
      <c r="D223" t="s">
        <v>3573</v>
      </c>
    </row>
    <row r="224" spans="1:4" x14ac:dyDescent="0.25">
      <c r="A224" s="1">
        <v>223</v>
      </c>
      <c r="B224" s="1">
        <v>52</v>
      </c>
      <c r="C224" s="1" t="s">
        <v>2554</v>
      </c>
      <c r="D224" t="s">
        <v>3573</v>
      </c>
    </row>
    <row r="225" spans="1:4" x14ac:dyDescent="0.25">
      <c r="A225" s="1">
        <v>224</v>
      </c>
      <c r="B225" s="1">
        <v>52</v>
      </c>
      <c r="C225" s="1" t="s">
        <v>2555</v>
      </c>
      <c r="D225" t="s">
        <v>3573</v>
      </c>
    </row>
    <row r="226" spans="1:4" x14ac:dyDescent="0.25">
      <c r="A226" s="1">
        <v>225</v>
      </c>
      <c r="B226" s="1">
        <v>52</v>
      </c>
      <c r="C226" s="1" t="s">
        <v>2556</v>
      </c>
      <c r="D226" t="s">
        <v>3573</v>
      </c>
    </row>
    <row r="227" spans="1:4" x14ac:dyDescent="0.25">
      <c r="A227" s="1">
        <v>226</v>
      </c>
      <c r="B227" s="1">
        <v>52</v>
      </c>
      <c r="C227" s="1" t="s">
        <v>2556</v>
      </c>
      <c r="D227" t="s">
        <v>3573</v>
      </c>
    </row>
    <row r="228" spans="1:4" x14ac:dyDescent="0.25">
      <c r="A228" s="1">
        <v>227</v>
      </c>
      <c r="B228" s="1">
        <v>53</v>
      </c>
      <c r="C228" s="1" t="s">
        <v>2552</v>
      </c>
      <c r="D228" t="s">
        <v>3573</v>
      </c>
    </row>
    <row r="229" spans="1:4" x14ac:dyDescent="0.25">
      <c r="A229" s="1">
        <v>228</v>
      </c>
      <c r="B229" s="1">
        <v>53</v>
      </c>
      <c r="C229" s="1" t="s">
        <v>2554</v>
      </c>
      <c r="D229" t="s">
        <v>3573</v>
      </c>
    </row>
    <row r="230" spans="1:4" x14ac:dyDescent="0.25">
      <c r="A230" s="1">
        <v>229</v>
      </c>
      <c r="B230" s="1">
        <v>53</v>
      </c>
      <c r="C230" s="1" t="s">
        <v>2556</v>
      </c>
      <c r="D230" t="s">
        <v>3573</v>
      </c>
    </row>
    <row r="231" spans="1:4" x14ac:dyDescent="0.25">
      <c r="A231" s="1">
        <v>230</v>
      </c>
      <c r="B231" s="1">
        <v>54</v>
      </c>
      <c r="C231" s="1" t="s">
        <v>2552</v>
      </c>
      <c r="D231" t="s">
        <v>3573</v>
      </c>
    </row>
    <row r="232" spans="1:4" x14ac:dyDescent="0.25">
      <c r="A232" s="1">
        <v>231</v>
      </c>
      <c r="B232" s="1">
        <v>54</v>
      </c>
      <c r="C232" s="1" t="s">
        <v>2553</v>
      </c>
      <c r="D232" t="s">
        <v>3573</v>
      </c>
    </row>
    <row r="233" spans="1:4" x14ac:dyDescent="0.25">
      <c r="A233" s="1">
        <v>232</v>
      </c>
      <c r="B233" s="1">
        <v>54</v>
      </c>
      <c r="C233" s="1" t="s">
        <v>2554</v>
      </c>
      <c r="D233" t="s">
        <v>3573</v>
      </c>
    </row>
    <row r="234" spans="1:4" x14ac:dyDescent="0.25">
      <c r="A234" s="1">
        <v>233</v>
      </c>
      <c r="B234" s="1">
        <v>54</v>
      </c>
      <c r="C234" s="1" t="s">
        <v>2555</v>
      </c>
      <c r="D234" t="s">
        <v>3573</v>
      </c>
    </row>
    <row r="235" spans="1:4" x14ac:dyDescent="0.25">
      <c r="A235" s="1">
        <v>234</v>
      </c>
      <c r="B235" s="1">
        <v>54</v>
      </c>
      <c r="C235" s="1" t="s">
        <v>2556</v>
      </c>
      <c r="D235" t="s">
        <v>3573</v>
      </c>
    </row>
    <row r="236" spans="1:4" x14ac:dyDescent="0.25">
      <c r="A236" s="1">
        <v>235</v>
      </c>
      <c r="B236" s="1">
        <v>54</v>
      </c>
      <c r="C236" s="1" t="s">
        <v>2556</v>
      </c>
      <c r="D236" t="s">
        <v>3573</v>
      </c>
    </row>
    <row r="237" spans="1:4" x14ac:dyDescent="0.25">
      <c r="A237" s="1">
        <v>236</v>
      </c>
      <c r="B237" s="1">
        <v>55</v>
      </c>
      <c r="C237" s="1" t="s">
        <v>2552</v>
      </c>
      <c r="D237" t="s">
        <v>3573</v>
      </c>
    </row>
    <row r="238" spans="1:4" x14ac:dyDescent="0.25">
      <c r="A238" s="1">
        <v>237</v>
      </c>
      <c r="B238" s="1">
        <v>55</v>
      </c>
      <c r="C238" s="1" t="s">
        <v>2553</v>
      </c>
      <c r="D238" t="s">
        <v>3573</v>
      </c>
    </row>
    <row r="239" spans="1:4" x14ac:dyDescent="0.25">
      <c r="A239" s="1">
        <v>238</v>
      </c>
      <c r="B239" s="1">
        <v>55</v>
      </c>
      <c r="C239" s="1" t="s">
        <v>2554</v>
      </c>
      <c r="D239" t="s">
        <v>3573</v>
      </c>
    </row>
    <row r="240" spans="1:4" x14ac:dyDescent="0.25">
      <c r="A240" s="1">
        <v>239</v>
      </c>
      <c r="B240" s="1">
        <v>55</v>
      </c>
      <c r="C240" s="1" t="s">
        <v>2555</v>
      </c>
      <c r="D240" t="s">
        <v>3573</v>
      </c>
    </row>
    <row r="241" spans="1:4" x14ac:dyDescent="0.25">
      <c r="A241" s="1">
        <v>240</v>
      </c>
      <c r="B241" s="1">
        <v>55</v>
      </c>
      <c r="C241" s="1" t="s">
        <v>2556</v>
      </c>
      <c r="D241" t="s">
        <v>3573</v>
      </c>
    </row>
    <row r="242" spans="1:4" x14ac:dyDescent="0.25">
      <c r="A242" s="1">
        <v>241</v>
      </c>
      <c r="B242" s="1">
        <v>56</v>
      </c>
      <c r="C242" s="1" t="s">
        <v>2552</v>
      </c>
      <c r="D242" t="s">
        <v>3573</v>
      </c>
    </row>
    <row r="243" spans="1:4" x14ac:dyDescent="0.25">
      <c r="A243" s="1">
        <v>242</v>
      </c>
      <c r="B243" s="1">
        <v>56</v>
      </c>
      <c r="C243" s="1" t="s">
        <v>2553</v>
      </c>
      <c r="D243" t="s">
        <v>3573</v>
      </c>
    </row>
    <row r="244" spans="1:4" x14ac:dyDescent="0.25">
      <c r="A244" s="1">
        <v>243</v>
      </c>
      <c r="B244" s="1">
        <v>56</v>
      </c>
      <c r="C244" s="1" t="s">
        <v>2554</v>
      </c>
      <c r="D244" t="s">
        <v>3573</v>
      </c>
    </row>
    <row r="245" spans="1:4" x14ac:dyDescent="0.25">
      <c r="A245" s="1">
        <v>244</v>
      </c>
      <c r="B245" s="1">
        <v>56</v>
      </c>
      <c r="C245" s="1" t="s">
        <v>2555</v>
      </c>
      <c r="D245" t="s">
        <v>3573</v>
      </c>
    </row>
    <row r="246" spans="1:4" x14ac:dyDescent="0.25">
      <c r="A246" s="1">
        <v>245</v>
      </c>
      <c r="B246" s="1">
        <v>56</v>
      </c>
      <c r="C246" s="1" t="s">
        <v>2556</v>
      </c>
      <c r="D246" t="s">
        <v>3573</v>
      </c>
    </row>
    <row r="247" spans="1:4" x14ac:dyDescent="0.25">
      <c r="A247" s="1">
        <v>246</v>
      </c>
      <c r="B247" s="1">
        <v>56</v>
      </c>
      <c r="C247" s="1" t="s">
        <v>2557</v>
      </c>
      <c r="D247" t="s">
        <v>3573</v>
      </c>
    </row>
    <row r="248" spans="1:4" x14ac:dyDescent="0.25">
      <c r="A248" s="1">
        <v>247</v>
      </c>
      <c r="B248" s="1">
        <v>57</v>
      </c>
      <c r="C248" s="1" t="s">
        <v>2552</v>
      </c>
      <c r="D248" t="s">
        <v>3573</v>
      </c>
    </row>
    <row r="249" spans="1:4" x14ac:dyDescent="0.25">
      <c r="A249" s="1">
        <v>248</v>
      </c>
      <c r="B249" s="1">
        <v>57</v>
      </c>
      <c r="C249" s="1" t="s">
        <v>2553</v>
      </c>
      <c r="D249" t="s">
        <v>3573</v>
      </c>
    </row>
    <row r="250" spans="1:4" x14ac:dyDescent="0.25">
      <c r="A250" s="1">
        <v>249</v>
      </c>
      <c r="B250" s="1">
        <v>57</v>
      </c>
      <c r="C250" s="1" t="s">
        <v>2554</v>
      </c>
      <c r="D250" t="s">
        <v>3573</v>
      </c>
    </row>
    <row r="251" spans="1:4" x14ac:dyDescent="0.25">
      <c r="A251" s="1">
        <v>250</v>
      </c>
      <c r="B251" s="1">
        <v>57</v>
      </c>
      <c r="C251" s="1" t="s">
        <v>2555</v>
      </c>
      <c r="D251" t="s">
        <v>3573</v>
      </c>
    </row>
    <row r="252" spans="1:4" x14ac:dyDescent="0.25">
      <c r="A252" s="1">
        <v>251</v>
      </c>
      <c r="B252" s="1">
        <v>57</v>
      </c>
      <c r="C252" s="1" t="s">
        <v>2556</v>
      </c>
      <c r="D252" t="s">
        <v>3573</v>
      </c>
    </row>
    <row r="253" spans="1:4" x14ac:dyDescent="0.25">
      <c r="A253" s="1">
        <v>252</v>
      </c>
      <c r="B253" s="1">
        <v>57</v>
      </c>
      <c r="C253" s="1" t="s">
        <v>2556</v>
      </c>
      <c r="D253" t="s">
        <v>3573</v>
      </c>
    </row>
    <row r="254" spans="1:4" x14ac:dyDescent="0.25">
      <c r="A254" s="1">
        <v>253</v>
      </c>
      <c r="B254" s="1">
        <v>58</v>
      </c>
      <c r="C254" s="1" t="s">
        <v>2552</v>
      </c>
      <c r="D254" t="s">
        <v>3573</v>
      </c>
    </row>
    <row r="255" spans="1:4" x14ac:dyDescent="0.25">
      <c r="A255" s="1">
        <v>254</v>
      </c>
      <c r="B255" s="1">
        <v>58</v>
      </c>
      <c r="C255" s="1" t="s">
        <v>2553</v>
      </c>
      <c r="D255" t="s">
        <v>3573</v>
      </c>
    </row>
    <row r="256" spans="1:4" x14ac:dyDescent="0.25">
      <c r="A256" s="1">
        <v>255</v>
      </c>
      <c r="B256" s="1">
        <v>58</v>
      </c>
      <c r="C256" s="1" t="s">
        <v>2554</v>
      </c>
      <c r="D256" t="s">
        <v>3573</v>
      </c>
    </row>
    <row r="257" spans="1:4" x14ac:dyDescent="0.25">
      <c r="A257" s="1">
        <v>256</v>
      </c>
      <c r="B257" s="1">
        <v>58</v>
      </c>
      <c r="C257" s="1" t="s">
        <v>2555</v>
      </c>
      <c r="D257" t="s">
        <v>3573</v>
      </c>
    </row>
    <row r="258" spans="1:4" x14ac:dyDescent="0.25">
      <c r="A258" s="1">
        <v>257</v>
      </c>
      <c r="B258" s="1">
        <v>58</v>
      </c>
      <c r="C258" s="1" t="s">
        <v>2556</v>
      </c>
      <c r="D258" t="s">
        <v>3573</v>
      </c>
    </row>
    <row r="259" spans="1:4" x14ac:dyDescent="0.25">
      <c r="A259" s="1">
        <v>258</v>
      </c>
      <c r="B259" s="1">
        <v>58</v>
      </c>
      <c r="C259" s="1" t="s">
        <v>2556</v>
      </c>
      <c r="D259" t="s">
        <v>3573</v>
      </c>
    </row>
    <row r="260" spans="1:4" x14ac:dyDescent="0.25">
      <c r="A260" s="1">
        <v>259</v>
      </c>
      <c r="B260" s="1">
        <v>59</v>
      </c>
      <c r="C260" s="1" t="s">
        <v>2557</v>
      </c>
      <c r="D260" t="s">
        <v>3573</v>
      </c>
    </row>
    <row r="261" spans="1:4" x14ac:dyDescent="0.25">
      <c r="A261" s="1">
        <v>260</v>
      </c>
      <c r="B261" s="1">
        <v>59</v>
      </c>
      <c r="C261" s="1" t="s">
        <v>2556</v>
      </c>
      <c r="D261" t="s">
        <v>3573</v>
      </c>
    </row>
    <row r="262" spans="1:4" x14ac:dyDescent="0.25">
      <c r="A262" s="1">
        <v>261</v>
      </c>
      <c r="B262" s="1">
        <v>59</v>
      </c>
      <c r="C262" s="1" t="s">
        <v>2554</v>
      </c>
      <c r="D262" t="s">
        <v>3573</v>
      </c>
    </row>
    <row r="263" spans="1:4" x14ac:dyDescent="0.25">
      <c r="A263" s="1">
        <v>262</v>
      </c>
      <c r="B263" s="1">
        <v>59</v>
      </c>
      <c r="C263" s="1" t="s">
        <v>2553</v>
      </c>
      <c r="D263" t="s">
        <v>3573</v>
      </c>
    </row>
    <row r="264" spans="1:4" x14ac:dyDescent="0.25">
      <c r="A264" s="1">
        <v>263</v>
      </c>
      <c r="B264" s="1">
        <v>59</v>
      </c>
      <c r="C264" s="1" t="s">
        <v>2552</v>
      </c>
      <c r="D264" t="s">
        <v>3573</v>
      </c>
    </row>
    <row r="265" spans="1:4" x14ac:dyDescent="0.25">
      <c r="A265" s="1">
        <v>264</v>
      </c>
      <c r="B265" s="1">
        <v>59</v>
      </c>
      <c r="C265" s="1" t="s">
        <v>2553</v>
      </c>
      <c r="D265" t="s">
        <v>3573</v>
      </c>
    </row>
    <row r="266" spans="1:4" x14ac:dyDescent="0.25">
      <c r="A266" s="1">
        <v>265</v>
      </c>
      <c r="B266" s="1">
        <v>59</v>
      </c>
      <c r="C266" s="1" t="s">
        <v>2552</v>
      </c>
      <c r="D266" t="s">
        <v>3573</v>
      </c>
    </row>
    <row r="267" spans="1:4" x14ac:dyDescent="0.25">
      <c r="A267" s="1">
        <v>266</v>
      </c>
      <c r="B267" s="1">
        <v>60</v>
      </c>
      <c r="C267" s="1" t="s">
        <v>2552</v>
      </c>
      <c r="D267" t="s">
        <v>3573</v>
      </c>
    </row>
    <row r="268" spans="1:4" x14ac:dyDescent="0.25">
      <c r="A268" s="1">
        <v>267</v>
      </c>
      <c r="B268" s="1">
        <v>60</v>
      </c>
      <c r="C268" s="1" t="s">
        <v>2553</v>
      </c>
      <c r="D268" t="s">
        <v>3573</v>
      </c>
    </row>
    <row r="269" spans="1:4" x14ac:dyDescent="0.25">
      <c r="A269" s="1">
        <v>268</v>
      </c>
      <c r="B269" s="1">
        <v>60</v>
      </c>
      <c r="C269" s="1" t="s">
        <v>2554</v>
      </c>
      <c r="D269" t="s">
        <v>3573</v>
      </c>
    </row>
    <row r="270" spans="1:4" x14ac:dyDescent="0.25">
      <c r="A270" s="1">
        <v>269</v>
      </c>
      <c r="B270" s="1">
        <v>60</v>
      </c>
      <c r="C270" s="1" t="s">
        <v>2556</v>
      </c>
      <c r="D270" t="s">
        <v>3573</v>
      </c>
    </row>
    <row r="271" spans="1:4" x14ac:dyDescent="0.25">
      <c r="A271" s="1">
        <v>270</v>
      </c>
      <c r="B271" s="1">
        <v>61</v>
      </c>
      <c r="C271" s="1" t="s">
        <v>2552</v>
      </c>
      <c r="D271" t="s">
        <v>3573</v>
      </c>
    </row>
    <row r="272" spans="1:4" x14ac:dyDescent="0.25">
      <c r="A272" s="1">
        <v>271</v>
      </c>
      <c r="B272" s="1">
        <v>61</v>
      </c>
      <c r="C272" s="1" t="s">
        <v>2553</v>
      </c>
      <c r="D272" t="s">
        <v>3573</v>
      </c>
    </row>
    <row r="273" spans="1:4" x14ac:dyDescent="0.25">
      <c r="A273" s="1">
        <v>272</v>
      </c>
      <c r="B273" s="1">
        <v>62</v>
      </c>
      <c r="C273" s="1" t="s">
        <v>2553</v>
      </c>
      <c r="D273" t="s">
        <v>3573</v>
      </c>
    </row>
    <row r="274" spans="1:4" x14ac:dyDescent="0.25">
      <c r="A274" s="1">
        <v>273</v>
      </c>
      <c r="B274" s="1">
        <v>62</v>
      </c>
      <c r="C274" s="1" t="s">
        <v>2553</v>
      </c>
      <c r="D274" t="s">
        <v>3573</v>
      </c>
    </row>
    <row r="275" spans="1:4" x14ac:dyDescent="0.25">
      <c r="A275" s="1">
        <v>274</v>
      </c>
      <c r="B275" s="1">
        <v>62</v>
      </c>
      <c r="C275" s="1" t="s">
        <v>2554</v>
      </c>
      <c r="D275" t="s">
        <v>3573</v>
      </c>
    </row>
    <row r="276" spans="1:4" x14ac:dyDescent="0.25">
      <c r="A276" s="1">
        <v>275</v>
      </c>
      <c r="B276" s="1">
        <v>62</v>
      </c>
      <c r="C276" s="1" t="s">
        <v>2555</v>
      </c>
      <c r="D276" t="s">
        <v>3573</v>
      </c>
    </row>
    <row r="277" spans="1:4" x14ac:dyDescent="0.25">
      <c r="A277" s="1">
        <v>276</v>
      </c>
      <c r="B277" s="1">
        <v>62</v>
      </c>
      <c r="C277" s="1" t="s">
        <v>2556</v>
      </c>
      <c r="D277" t="s">
        <v>3573</v>
      </c>
    </row>
    <row r="278" spans="1:4" x14ac:dyDescent="0.25">
      <c r="A278" s="1">
        <v>277</v>
      </c>
      <c r="B278" s="1">
        <v>62</v>
      </c>
      <c r="C278" s="1" t="s">
        <v>2557</v>
      </c>
      <c r="D278" t="s">
        <v>3573</v>
      </c>
    </row>
    <row r="279" spans="1:4" x14ac:dyDescent="0.25">
      <c r="A279" s="1">
        <v>278</v>
      </c>
      <c r="B279" s="1">
        <v>62</v>
      </c>
      <c r="C279" s="1" t="s">
        <v>2552</v>
      </c>
      <c r="D279" t="s">
        <v>3573</v>
      </c>
    </row>
    <row r="280" spans="1:4" x14ac:dyDescent="0.25">
      <c r="A280" s="1">
        <v>279</v>
      </c>
      <c r="B280" s="1">
        <v>62</v>
      </c>
      <c r="C280" s="1" t="s">
        <v>2553</v>
      </c>
      <c r="D280" t="s">
        <v>3573</v>
      </c>
    </row>
    <row r="281" spans="1:4" x14ac:dyDescent="0.25">
      <c r="A281" s="1">
        <v>280</v>
      </c>
      <c r="B281" s="1">
        <v>62</v>
      </c>
      <c r="C281" s="1" t="s">
        <v>2554</v>
      </c>
      <c r="D281" t="s">
        <v>3573</v>
      </c>
    </row>
    <row r="282" spans="1:4" x14ac:dyDescent="0.25">
      <c r="A282" s="1">
        <v>281</v>
      </c>
      <c r="B282" s="1">
        <v>63</v>
      </c>
      <c r="C282" s="1" t="s">
        <v>2552</v>
      </c>
      <c r="D282" t="s">
        <v>3573</v>
      </c>
    </row>
    <row r="283" spans="1:4" x14ac:dyDescent="0.25">
      <c r="A283" s="1">
        <v>282</v>
      </c>
      <c r="B283" s="1">
        <v>63</v>
      </c>
      <c r="C283" s="1" t="s">
        <v>2553</v>
      </c>
      <c r="D283" t="s">
        <v>3573</v>
      </c>
    </row>
    <row r="284" spans="1:4" x14ac:dyDescent="0.25">
      <c r="A284" s="1">
        <v>283</v>
      </c>
      <c r="B284" s="1">
        <v>63</v>
      </c>
      <c r="C284" s="1" t="s">
        <v>2554</v>
      </c>
      <c r="D284" t="s">
        <v>3573</v>
      </c>
    </row>
    <row r="285" spans="1:4" x14ac:dyDescent="0.25">
      <c r="A285" s="1">
        <v>284</v>
      </c>
      <c r="B285" s="1">
        <v>63</v>
      </c>
      <c r="C285" s="1" t="s">
        <v>2557</v>
      </c>
      <c r="D285" t="s">
        <v>3573</v>
      </c>
    </row>
    <row r="286" spans="1:4" x14ac:dyDescent="0.25">
      <c r="A286" s="1">
        <v>285</v>
      </c>
      <c r="B286" s="1">
        <v>64</v>
      </c>
      <c r="C286" s="1" t="s">
        <v>2552</v>
      </c>
      <c r="D286" t="s">
        <v>3573</v>
      </c>
    </row>
    <row r="287" spans="1:4" x14ac:dyDescent="0.25">
      <c r="A287" s="1">
        <v>286</v>
      </c>
      <c r="B287" s="1">
        <v>64</v>
      </c>
      <c r="C287" s="1" t="s">
        <v>2553</v>
      </c>
      <c r="D287" t="s">
        <v>3573</v>
      </c>
    </row>
    <row r="288" spans="1:4" x14ac:dyDescent="0.25">
      <c r="A288" s="1">
        <v>287</v>
      </c>
      <c r="B288" s="1">
        <v>64</v>
      </c>
      <c r="C288" s="1" t="s">
        <v>2554</v>
      </c>
      <c r="D288" t="s">
        <v>3573</v>
      </c>
    </row>
    <row r="289" spans="1:4" x14ac:dyDescent="0.25">
      <c r="A289" s="1">
        <v>288</v>
      </c>
      <c r="B289" s="1">
        <v>64</v>
      </c>
      <c r="C289" s="1" t="s">
        <v>2555</v>
      </c>
      <c r="D289" t="s">
        <v>3573</v>
      </c>
    </row>
    <row r="290" spans="1:4" x14ac:dyDescent="0.25">
      <c r="A290" s="1">
        <v>289</v>
      </c>
      <c r="B290" s="1">
        <v>65</v>
      </c>
      <c r="C290" s="1" t="s">
        <v>2552</v>
      </c>
      <c r="D290" t="s">
        <v>3573</v>
      </c>
    </row>
    <row r="291" spans="1:4" x14ac:dyDescent="0.25">
      <c r="A291" s="1">
        <v>290</v>
      </c>
      <c r="B291" s="1">
        <v>65</v>
      </c>
      <c r="C291" s="1" t="s">
        <v>2553</v>
      </c>
      <c r="D291" t="s">
        <v>3573</v>
      </c>
    </row>
    <row r="292" spans="1:4" x14ac:dyDescent="0.25">
      <c r="A292" s="1">
        <v>291</v>
      </c>
      <c r="B292" s="1">
        <v>65</v>
      </c>
      <c r="C292" s="1" t="s">
        <v>2554</v>
      </c>
      <c r="D292" t="s">
        <v>3573</v>
      </c>
    </row>
    <row r="293" spans="1:4" x14ac:dyDescent="0.25">
      <c r="A293" s="1">
        <v>292</v>
      </c>
      <c r="B293" s="1">
        <v>65</v>
      </c>
      <c r="C293" s="1" t="s">
        <v>2555</v>
      </c>
      <c r="D293" t="s">
        <v>3573</v>
      </c>
    </row>
    <row r="294" spans="1:4" x14ac:dyDescent="0.25">
      <c r="A294" s="1">
        <v>293</v>
      </c>
      <c r="B294" s="1">
        <v>65</v>
      </c>
      <c r="C294" s="1" t="s">
        <v>2556</v>
      </c>
      <c r="D294" t="s">
        <v>3573</v>
      </c>
    </row>
    <row r="295" spans="1:4" x14ac:dyDescent="0.25">
      <c r="A295" s="1">
        <v>294</v>
      </c>
      <c r="B295" s="1">
        <v>65</v>
      </c>
      <c r="C295" s="1" t="s">
        <v>2556</v>
      </c>
      <c r="D295" t="s">
        <v>3573</v>
      </c>
    </row>
    <row r="296" spans="1:4" x14ac:dyDescent="0.25">
      <c r="A296" s="1">
        <v>295</v>
      </c>
      <c r="B296" s="1">
        <v>66</v>
      </c>
      <c r="C296" s="1" t="s">
        <v>2553</v>
      </c>
      <c r="D296" t="s">
        <v>3573</v>
      </c>
    </row>
    <row r="297" spans="1:4" x14ac:dyDescent="0.25">
      <c r="A297" s="1">
        <v>296</v>
      </c>
      <c r="B297" s="1">
        <v>67</v>
      </c>
      <c r="C297" s="1" t="s">
        <v>2552</v>
      </c>
      <c r="D297" t="s">
        <v>3573</v>
      </c>
    </row>
    <row r="298" spans="1:4" x14ac:dyDescent="0.25">
      <c r="A298" s="1">
        <v>297</v>
      </c>
      <c r="B298" s="1">
        <v>67</v>
      </c>
      <c r="C298" s="1" t="s">
        <v>2553</v>
      </c>
      <c r="D298" t="s">
        <v>3573</v>
      </c>
    </row>
    <row r="299" spans="1:4" x14ac:dyDescent="0.25">
      <c r="A299" s="1">
        <v>298</v>
      </c>
      <c r="B299" s="1">
        <v>67</v>
      </c>
      <c r="C299" s="1" t="s">
        <v>2554</v>
      </c>
      <c r="D299" t="s">
        <v>3573</v>
      </c>
    </row>
    <row r="300" spans="1:4" x14ac:dyDescent="0.25">
      <c r="A300" s="1">
        <v>299</v>
      </c>
      <c r="B300" s="1">
        <v>67</v>
      </c>
      <c r="C300" s="1" t="s">
        <v>2555</v>
      </c>
      <c r="D300" t="s">
        <v>3573</v>
      </c>
    </row>
    <row r="301" spans="1:4" x14ac:dyDescent="0.25">
      <c r="A301" s="1">
        <v>300</v>
      </c>
      <c r="B301" s="1">
        <v>68</v>
      </c>
      <c r="C301" s="1" t="s">
        <v>2552</v>
      </c>
      <c r="D301" t="s">
        <v>3573</v>
      </c>
    </row>
    <row r="302" spans="1:4" x14ac:dyDescent="0.25">
      <c r="A302" s="1">
        <v>301</v>
      </c>
      <c r="B302" s="1">
        <v>68</v>
      </c>
      <c r="C302" s="1" t="s">
        <v>2553</v>
      </c>
      <c r="D302" t="s">
        <v>3573</v>
      </c>
    </row>
    <row r="303" spans="1:4" x14ac:dyDescent="0.25">
      <c r="A303" s="1">
        <v>302</v>
      </c>
      <c r="B303" s="1">
        <v>68</v>
      </c>
      <c r="C303" s="1" t="s">
        <v>2554</v>
      </c>
      <c r="D303" t="s">
        <v>3573</v>
      </c>
    </row>
    <row r="304" spans="1:4" x14ac:dyDescent="0.25">
      <c r="A304" s="1">
        <v>303</v>
      </c>
      <c r="B304" s="1">
        <v>68</v>
      </c>
      <c r="C304" s="1" t="s">
        <v>2555</v>
      </c>
      <c r="D304" t="s">
        <v>3573</v>
      </c>
    </row>
    <row r="305" spans="1:4" x14ac:dyDescent="0.25">
      <c r="A305" s="1">
        <v>304</v>
      </c>
      <c r="B305" s="1">
        <v>68</v>
      </c>
      <c r="C305" s="1" t="s">
        <v>2556</v>
      </c>
      <c r="D305" t="s">
        <v>3573</v>
      </c>
    </row>
    <row r="306" spans="1:4" x14ac:dyDescent="0.25">
      <c r="A306" s="1">
        <v>305</v>
      </c>
      <c r="B306" s="1">
        <v>68</v>
      </c>
      <c r="C306" s="1" t="s">
        <v>2557</v>
      </c>
      <c r="D306" t="s">
        <v>3573</v>
      </c>
    </row>
    <row r="307" spans="1:4" x14ac:dyDescent="0.25">
      <c r="A307" s="1">
        <v>306</v>
      </c>
      <c r="B307" s="1">
        <v>69</v>
      </c>
      <c r="C307" s="1" t="s">
        <v>2552</v>
      </c>
      <c r="D307" t="s">
        <v>3573</v>
      </c>
    </row>
    <row r="308" spans="1:4" x14ac:dyDescent="0.25">
      <c r="A308" s="1">
        <v>307</v>
      </c>
      <c r="B308" s="1">
        <v>69</v>
      </c>
      <c r="C308" s="1" t="s">
        <v>2553</v>
      </c>
      <c r="D308" t="s">
        <v>3573</v>
      </c>
    </row>
    <row r="309" spans="1:4" x14ac:dyDescent="0.25">
      <c r="A309" s="1">
        <v>308</v>
      </c>
      <c r="B309" s="1">
        <v>69</v>
      </c>
      <c r="C309" s="1" t="s">
        <v>2554</v>
      </c>
      <c r="D309" t="s">
        <v>3573</v>
      </c>
    </row>
    <row r="310" spans="1:4" x14ac:dyDescent="0.25">
      <c r="A310" s="1">
        <v>309</v>
      </c>
      <c r="B310" s="1">
        <v>69</v>
      </c>
      <c r="C310" s="1" t="s">
        <v>2555</v>
      </c>
      <c r="D310" t="s">
        <v>3573</v>
      </c>
    </row>
    <row r="311" spans="1:4" x14ac:dyDescent="0.25">
      <c r="A311" s="1">
        <v>310</v>
      </c>
      <c r="B311" s="1">
        <v>69</v>
      </c>
      <c r="C311" s="1" t="s">
        <v>2556</v>
      </c>
      <c r="D311" t="s">
        <v>3573</v>
      </c>
    </row>
    <row r="312" spans="1:4" x14ac:dyDescent="0.25">
      <c r="A312" s="1">
        <v>311</v>
      </c>
      <c r="B312" s="1">
        <v>69</v>
      </c>
      <c r="C312" s="1" t="s">
        <v>2557</v>
      </c>
      <c r="D312" t="s">
        <v>3573</v>
      </c>
    </row>
    <row r="313" spans="1:4" x14ac:dyDescent="0.25">
      <c r="A313" s="1">
        <v>312</v>
      </c>
      <c r="B313" s="1">
        <v>69</v>
      </c>
      <c r="C313" s="1" t="s">
        <v>2557</v>
      </c>
      <c r="D313" t="s">
        <v>3573</v>
      </c>
    </row>
    <row r="314" spans="1:4" x14ac:dyDescent="0.25">
      <c r="A314" s="1">
        <v>313</v>
      </c>
      <c r="B314" s="1">
        <v>70</v>
      </c>
      <c r="C314" s="1" t="s">
        <v>2552</v>
      </c>
      <c r="D314" t="s">
        <v>3573</v>
      </c>
    </row>
    <row r="315" spans="1:4" x14ac:dyDescent="0.25">
      <c r="A315" s="1">
        <v>314</v>
      </c>
      <c r="B315" s="1">
        <v>70</v>
      </c>
      <c r="C315" s="1" t="s">
        <v>2553</v>
      </c>
      <c r="D315" t="s">
        <v>3573</v>
      </c>
    </row>
    <row r="316" spans="1:4" x14ac:dyDescent="0.25">
      <c r="A316" s="1">
        <v>315</v>
      </c>
      <c r="B316" s="1">
        <v>70</v>
      </c>
      <c r="C316" s="1" t="s">
        <v>2554</v>
      </c>
      <c r="D316" t="s">
        <v>3573</v>
      </c>
    </row>
    <row r="317" spans="1:4" x14ac:dyDescent="0.25">
      <c r="A317" s="1">
        <v>316</v>
      </c>
      <c r="B317" s="1">
        <v>70</v>
      </c>
      <c r="C317" s="1" t="s">
        <v>2557</v>
      </c>
      <c r="D317" t="s">
        <v>3573</v>
      </c>
    </row>
    <row r="318" spans="1:4" x14ac:dyDescent="0.25">
      <c r="A318" s="1">
        <v>317</v>
      </c>
      <c r="B318" s="1">
        <v>71</v>
      </c>
      <c r="C318" s="1" t="s">
        <v>2552</v>
      </c>
      <c r="D318" t="s">
        <v>3573</v>
      </c>
    </row>
    <row r="319" spans="1:4" x14ac:dyDescent="0.25">
      <c r="A319" s="1">
        <v>318</v>
      </c>
      <c r="B319" s="1">
        <v>71</v>
      </c>
      <c r="C319" s="1" t="s">
        <v>2553</v>
      </c>
      <c r="D319" t="s">
        <v>3573</v>
      </c>
    </row>
    <row r="320" spans="1:4" x14ac:dyDescent="0.25">
      <c r="A320" s="1">
        <v>319</v>
      </c>
      <c r="B320" s="1">
        <v>71</v>
      </c>
      <c r="C320" s="1" t="s">
        <v>2554</v>
      </c>
      <c r="D320" t="s">
        <v>3573</v>
      </c>
    </row>
    <row r="321" spans="1:4" x14ac:dyDescent="0.25">
      <c r="A321" s="1">
        <v>320</v>
      </c>
      <c r="B321" s="1">
        <v>71</v>
      </c>
      <c r="C321" s="1" t="s">
        <v>2556</v>
      </c>
      <c r="D321" t="s">
        <v>3573</v>
      </c>
    </row>
    <row r="322" spans="1:4" x14ac:dyDescent="0.25">
      <c r="A322" s="1">
        <v>321</v>
      </c>
      <c r="B322" s="1">
        <v>71</v>
      </c>
      <c r="C322" s="1" t="s">
        <v>2556</v>
      </c>
      <c r="D322" t="s">
        <v>3573</v>
      </c>
    </row>
    <row r="323" spans="1:4" x14ac:dyDescent="0.25">
      <c r="A323" s="1">
        <v>322</v>
      </c>
      <c r="B323" s="1">
        <v>72</v>
      </c>
      <c r="C323" s="1" t="s">
        <v>2552</v>
      </c>
      <c r="D323" t="s">
        <v>3573</v>
      </c>
    </row>
    <row r="324" spans="1:4" x14ac:dyDescent="0.25">
      <c r="A324" s="1">
        <v>323</v>
      </c>
      <c r="B324" s="1">
        <v>72</v>
      </c>
      <c r="C324" s="1" t="s">
        <v>2553</v>
      </c>
      <c r="D324" t="s">
        <v>3573</v>
      </c>
    </row>
    <row r="325" spans="1:4" x14ac:dyDescent="0.25">
      <c r="A325" s="1">
        <v>324</v>
      </c>
      <c r="B325" s="1">
        <v>72</v>
      </c>
      <c r="C325" s="1" t="s">
        <v>2554</v>
      </c>
      <c r="D325" t="s">
        <v>3573</v>
      </c>
    </row>
    <row r="326" spans="1:4" x14ac:dyDescent="0.25">
      <c r="A326" s="1">
        <v>325</v>
      </c>
      <c r="B326" s="1">
        <v>72</v>
      </c>
      <c r="C326" s="1" t="s">
        <v>2556</v>
      </c>
      <c r="D326" t="s">
        <v>3573</v>
      </c>
    </row>
    <row r="327" spans="1:4" x14ac:dyDescent="0.25">
      <c r="A327" s="1">
        <v>326</v>
      </c>
      <c r="B327" s="1">
        <v>73</v>
      </c>
      <c r="C327" s="1" t="s">
        <v>2552</v>
      </c>
      <c r="D327" t="s">
        <v>3573</v>
      </c>
    </row>
    <row r="328" spans="1:4" x14ac:dyDescent="0.25">
      <c r="A328" s="1">
        <v>327</v>
      </c>
      <c r="B328" s="1">
        <v>73</v>
      </c>
      <c r="C328" s="1" t="s">
        <v>2552</v>
      </c>
      <c r="D328" t="s">
        <v>3573</v>
      </c>
    </row>
    <row r="329" spans="1:4" x14ac:dyDescent="0.25">
      <c r="A329" s="1">
        <v>328</v>
      </c>
      <c r="B329" s="1">
        <v>73</v>
      </c>
      <c r="C329" s="1" t="s">
        <v>2553</v>
      </c>
      <c r="D329" t="s">
        <v>3573</v>
      </c>
    </row>
    <row r="330" spans="1:4" x14ac:dyDescent="0.25">
      <c r="A330" s="1">
        <v>329</v>
      </c>
      <c r="B330" s="1">
        <v>73</v>
      </c>
      <c r="C330" s="1" t="s">
        <v>2554</v>
      </c>
      <c r="D330" t="s">
        <v>3573</v>
      </c>
    </row>
    <row r="331" spans="1:4" x14ac:dyDescent="0.25">
      <c r="A331" s="1">
        <v>330</v>
      </c>
      <c r="B331" s="1">
        <v>73</v>
      </c>
      <c r="C331" s="1" t="s">
        <v>2555</v>
      </c>
      <c r="D331" t="s">
        <v>3573</v>
      </c>
    </row>
    <row r="332" spans="1:4" x14ac:dyDescent="0.25">
      <c r="A332" s="1">
        <v>331</v>
      </c>
      <c r="B332" s="1">
        <v>73</v>
      </c>
      <c r="C332" s="1" t="s">
        <v>2556</v>
      </c>
      <c r="D332" t="s">
        <v>3573</v>
      </c>
    </row>
    <row r="333" spans="1:4" x14ac:dyDescent="0.25">
      <c r="A333" s="1">
        <v>332</v>
      </c>
      <c r="B333" s="1">
        <v>73</v>
      </c>
      <c r="C333" s="1" t="s">
        <v>2557</v>
      </c>
      <c r="D333" t="s">
        <v>3573</v>
      </c>
    </row>
    <row r="334" spans="1:4" x14ac:dyDescent="0.25">
      <c r="A334" s="1">
        <v>333</v>
      </c>
      <c r="B334" s="1">
        <v>73</v>
      </c>
      <c r="C334" s="1" t="s">
        <v>2557</v>
      </c>
      <c r="D334" t="s">
        <v>3573</v>
      </c>
    </row>
    <row r="335" spans="1:4" x14ac:dyDescent="0.25">
      <c r="A335" s="1">
        <v>334</v>
      </c>
      <c r="B335" s="1">
        <v>74</v>
      </c>
      <c r="C335" s="1" t="s">
        <v>2552</v>
      </c>
      <c r="D335" t="s">
        <v>3573</v>
      </c>
    </row>
    <row r="336" spans="1:4" x14ac:dyDescent="0.25">
      <c r="A336" s="1">
        <v>335</v>
      </c>
      <c r="B336" s="1">
        <v>74</v>
      </c>
      <c r="C336" s="1" t="s">
        <v>2553</v>
      </c>
      <c r="D336" t="s">
        <v>3573</v>
      </c>
    </row>
    <row r="337" spans="1:4" x14ac:dyDescent="0.25">
      <c r="A337" s="1">
        <v>336</v>
      </c>
      <c r="B337" s="1">
        <v>74</v>
      </c>
      <c r="C337" s="1" t="s">
        <v>2554</v>
      </c>
      <c r="D337" t="s">
        <v>3573</v>
      </c>
    </row>
    <row r="338" spans="1:4" x14ac:dyDescent="0.25">
      <c r="A338" s="1">
        <v>337</v>
      </c>
      <c r="B338" s="1">
        <v>74</v>
      </c>
      <c r="C338" s="1" t="s">
        <v>2555</v>
      </c>
      <c r="D338" t="s">
        <v>3573</v>
      </c>
    </row>
    <row r="339" spans="1:4" x14ac:dyDescent="0.25">
      <c r="A339" s="1">
        <v>338</v>
      </c>
      <c r="B339" s="1">
        <v>74</v>
      </c>
      <c r="C339" s="1" t="s">
        <v>2555</v>
      </c>
      <c r="D339" t="s">
        <v>3573</v>
      </c>
    </row>
    <row r="340" spans="1:4" x14ac:dyDescent="0.25">
      <c r="A340" s="1">
        <v>339</v>
      </c>
      <c r="B340" s="1">
        <v>75</v>
      </c>
      <c r="C340" s="1" t="s">
        <v>2552</v>
      </c>
      <c r="D340" t="s">
        <v>3573</v>
      </c>
    </row>
    <row r="341" spans="1:4" x14ac:dyDescent="0.25">
      <c r="A341" s="1">
        <v>340</v>
      </c>
      <c r="B341" s="1">
        <v>75</v>
      </c>
      <c r="C341" s="1" t="s">
        <v>2553</v>
      </c>
      <c r="D341" t="s">
        <v>3573</v>
      </c>
    </row>
    <row r="342" spans="1:4" x14ac:dyDescent="0.25">
      <c r="A342" s="1">
        <v>341</v>
      </c>
      <c r="B342" s="1">
        <v>75</v>
      </c>
      <c r="C342" s="1" t="s">
        <v>2556</v>
      </c>
      <c r="D342" t="s">
        <v>3573</v>
      </c>
    </row>
    <row r="343" spans="1:4" x14ac:dyDescent="0.25">
      <c r="A343" s="1">
        <v>342</v>
      </c>
      <c r="B343" s="1">
        <v>76</v>
      </c>
      <c r="C343" s="1" t="s">
        <v>2552</v>
      </c>
      <c r="D343" t="s">
        <v>3573</v>
      </c>
    </row>
    <row r="344" spans="1:4" x14ac:dyDescent="0.25">
      <c r="A344" s="1">
        <v>343</v>
      </c>
      <c r="B344" s="1">
        <v>76</v>
      </c>
      <c r="C344" s="1" t="s">
        <v>2553</v>
      </c>
      <c r="D344" t="s">
        <v>3573</v>
      </c>
    </row>
    <row r="345" spans="1:4" x14ac:dyDescent="0.25">
      <c r="A345" s="1">
        <v>344</v>
      </c>
      <c r="B345" s="1">
        <v>76</v>
      </c>
      <c r="C345" s="1" t="s">
        <v>2555</v>
      </c>
      <c r="D345" t="s">
        <v>3573</v>
      </c>
    </row>
    <row r="346" spans="1:4" x14ac:dyDescent="0.25">
      <c r="A346" s="1">
        <v>345</v>
      </c>
      <c r="B346" s="1">
        <v>76</v>
      </c>
      <c r="C346" s="1" t="s">
        <v>2556</v>
      </c>
      <c r="D346" t="s">
        <v>3573</v>
      </c>
    </row>
    <row r="347" spans="1:4" x14ac:dyDescent="0.25">
      <c r="A347" s="1">
        <v>346</v>
      </c>
      <c r="B347" s="1">
        <v>76</v>
      </c>
      <c r="C347" s="1" t="s">
        <v>2556</v>
      </c>
      <c r="D347" t="s">
        <v>3573</v>
      </c>
    </row>
    <row r="348" spans="1:4" x14ac:dyDescent="0.25">
      <c r="A348" s="1">
        <v>347</v>
      </c>
      <c r="B348" s="1">
        <v>77</v>
      </c>
      <c r="C348" s="1" t="s">
        <v>2552</v>
      </c>
      <c r="D348" t="s">
        <v>3573</v>
      </c>
    </row>
    <row r="349" spans="1:4" x14ac:dyDescent="0.25">
      <c r="A349" s="1">
        <v>348</v>
      </c>
      <c r="B349" s="1">
        <v>77</v>
      </c>
      <c r="C349" s="1" t="s">
        <v>2553</v>
      </c>
      <c r="D349" t="s">
        <v>3573</v>
      </c>
    </row>
    <row r="350" spans="1:4" x14ac:dyDescent="0.25">
      <c r="A350" s="1">
        <v>349</v>
      </c>
      <c r="B350" s="1">
        <v>77</v>
      </c>
      <c r="C350" s="1" t="s">
        <v>2554</v>
      </c>
      <c r="D350" t="s">
        <v>3573</v>
      </c>
    </row>
    <row r="351" spans="1:4" x14ac:dyDescent="0.25">
      <c r="A351" s="1">
        <v>350</v>
      </c>
      <c r="B351" s="1">
        <v>77</v>
      </c>
      <c r="C351" s="1" t="s">
        <v>2555</v>
      </c>
      <c r="D351" t="s">
        <v>3573</v>
      </c>
    </row>
    <row r="352" spans="1:4" x14ac:dyDescent="0.25">
      <c r="A352" s="1">
        <v>351</v>
      </c>
      <c r="B352" s="1">
        <v>77</v>
      </c>
      <c r="C352" s="1" t="s">
        <v>2557</v>
      </c>
      <c r="D352" t="s">
        <v>3573</v>
      </c>
    </row>
    <row r="353" spans="1:4" x14ac:dyDescent="0.25">
      <c r="A353" s="1">
        <v>352</v>
      </c>
      <c r="B353" s="1">
        <v>78</v>
      </c>
      <c r="C353" s="1" t="s">
        <v>2552</v>
      </c>
      <c r="D353" t="s">
        <v>3573</v>
      </c>
    </row>
    <row r="354" spans="1:4" x14ac:dyDescent="0.25">
      <c r="A354" s="1">
        <v>353</v>
      </c>
      <c r="B354" s="1">
        <v>78</v>
      </c>
      <c r="C354" s="1" t="s">
        <v>2553</v>
      </c>
      <c r="D354" t="s">
        <v>3573</v>
      </c>
    </row>
    <row r="355" spans="1:4" x14ac:dyDescent="0.25">
      <c r="A355" s="1">
        <v>354</v>
      </c>
      <c r="B355" s="1">
        <v>78</v>
      </c>
      <c r="C355" s="1" t="s">
        <v>2554</v>
      </c>
      <c r="D355" t="s">
        <v>3573</v>
      </c>
    </row>
    <row r="356" spans="1:4" x14ac:dyDescent="0.25">
      <c r="A356" s="1">
        <v>355</v>
      </c>
      <c r="B356" s="1">
        <v>78</v>
      </c>
      <c r="C356" s="1" t="s">
        <v>2555</v>
      </c>
      <c r="D356" t="s">
        <v>3573</v>
      </c>
    </row>
    <row r="357" spans="1:4" x14ac:dyDescent="0.25">
      <c r="A357" s="1">
        <v>356</v>
      </c>
      <c r="B357" s="1">
        <v>78</v>
      </c>
      <c r="C357" s="1" t="s">
        <v>2556</v>
      </c>
      <c r="D357" t="s">
        <v>3573</v>
      </c>
    </row>
    <row r="358" spans="1:4" x14ac:dyDescent="0.25">
      <c r="A358" s="1">
        <v>357</v>
      </c>
      <c r="B358" s="1">
        <v>79</v>
      </c>
      <c r="C358" s="1" t="s">
        <v>2553</v>
      </c>
      <c r="D358" t="s">
        <v>3573</v>
      </c>
    </row>
    <row r="359" spans="1:4" x14ac:dyDescent="0.25">
      <c r="A359" s="1">
        <v>358</v>
      </c>
      <c r="B359" s="1">
        <v>79</v>
      </c>
      <c r="C359" s="1" t="s">
        <v>2554</v>
      </c>
      <c r="D359" t="s">
        <v>3573</v>
      </c>
    </row>
    <row r="360" spans="1:4" x14ac:dyDescent="0.25">
      <c r="A360" s="1">
        <v>359</v>
      </c>
      <c r="B360" s="1">
        <v>79</v>
      </c>
      <c r="C360" s="1" t="s">
        <v>2552</v>
      </c>
      <c r="D360" t="s">
        <v>3573</v>
      </c>
    </row>
    <row r="361" spans="1:4" x14ac:dyDescent="0.25">
      <c r="A361" s="1">
        <v>360</v>
      </c>
      <c r="B361" s="1">
        <v>79</v>
      </c>
      <c r="C361" s="1" t="s">
        <v>2557</v>
      </c>
      <c r="D361" t="s">
        <v>3573</v>
      </c>
    </row>
    <row r="362" spans="1:4" x14ac:dyDescent="0.25">
      <c r="A362" s="1">
        <v>361</v>
      </c>
      <c r="B362" s="1">
        <v>79</v>
      </c>
      <c r="C362" s="1" t="s">
        <v>2554</v>
      </c>
      <c r="D362" t="s">
        <v>3573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6CAC-E826-4C6C-B0C6-8BF971B8E4F7}">
  <sheetPr>
    <tabColor rgb="FF1DB9C3"/>
  </sheetPr>
  <dimension ref="B1:BJ3993"/>
  <sheetViews>
    <sheetView showGridLines="0" zoomScale="85" zoomScaleNormal="85" workbookViewId="0">
      <pane xSplit="6" ySplit="5" topLeftCell="G6" activePane="bottomRight" state="frozen"/>
      <selection pane="topRight" activeCell="G1" sqref="G1"/>
      <selection pane="bottomLeft" activeCell="A6" sqref="A6"/>
      <selection pane="bottomRight" activeCell="D22" sqref="D22"/>
    </sheetView>
  </sheetViews>
  <sheetFormatPr defaultColWidth="8.7109375" defaultRowHeight="15" customHeight="1" x14ac:dyDescent="0.25"/>
  <cols>
    <col min="1" max="1" width="4.42578125" style="21" customWidth="1"/>
    <col min="2" max="2" width="13" style="27" customWidth="1"/>
    <col min="3" max="3" width="20" style="27" customWidth="1"/>
    <col min="4" max="4" width="29" style="38" customWidth="1"/>
    <col min="5" max="5" width="20.42578125" style="38" customWidth="1"/>
    <col min="6" max="6" width="18.5703125" style="39" customWidth="1"/>
    <col min="7" max="8" width="14.28515625" style="21" bestFit="1" customWidth="1"/>
    <col min="9" max="9" width="14.42578125" style="21" bestFit="1" customWidth="1"/>
    <col min="10" max="10" width="14.28515625" style="21" bestFit="1" customWidth="1"/>
    <col min="11" max="11" width="14.28515625" style="21" customWidth="1"/>
    <col min="12" max="12" width="14.28515625" style="21" bestFit="1" customWidth="1"/>
    <col min="13" max="13" width="18.42578125" style="21" bestFit="1" customWidth="1"/>
    <col min="14" max="14" width="13.5703125" bestFit="1" customWidth="1"/>
    <col min="15" max="15" width="14.28515625" style="21" bestFit="1" customWidth="1"/>
    <col min="16" max="16" width="14.42578125" style="21" bestFit="1" customWidth="1"/>
    <col min="17" max="17" width="15.28515625" style="21" bestFit="1" customWidth="1"/>
    <col min="18" max="18" width="13.85546875" style="21" bestFit="1" customWidth="1"/>
    <col min="19" max="19" width="14.140625" style="21" bestFit="1" customWidth="1"/>
    <col min="20" max="20" width="14.28515625" style="21" bestFit="1" customWidth="1"/>
    <col min="21" max="21" width="13.5703125" style="21" bestFit="1" customWidth="1"/>
    <col min="22" max="22" width="13.5703125" style="21" customWidth="1"/>
    <col min="23" max="23" width="21.42578125" style="21" customWidth="1"/>
    <col min="24" max="24" width="14.28515625" style="21" bestFit="1" customWidth="1"/>
    <col min="25" max="25" width="14.140625" style="21" bestFit="1" customWidth="1"/>
    <col min="26" max="26" width="14.42578125" style="21" bestFit="1" customWidth="1"/>
    <col min="27" max="27" width="14.28515625" style="21" bestFit="1" customWidth="1"/>
    <col min="28" max="28" width="13.7109375" style="21" bestFit="1" customWidth="1"/>
    <col min="29" max="29" width="14.140625" style="21" bestFit="1" customWidth="1"/>
    <col min="30" max="30" width="22.7109375" style="21" bestFit="1" customWidth="1"/>
    <col min="31" max="31" width="18.42578125" style="21" bestFit="1" customWidth="1"/>
    <col min="32" max="32" width="13.5703125" style="21" bestFit="1" customWidth="1"/>
    <col min="33" max="33" width="17" style="21" bestFit="1" customWidth="1"/>
    <col min="34" max="34" width="13.85546875" style="21" bestFit="1" customWidth="1"/>
    <col min="35" max="35" width="14.28515625" style="21" bestFit="1" customWidth="1"/>
    <col min="36" max="36" width="13.5703125" style="21" bestFit="1" customWidth="1"/>
    <col min="37" max="37" width="14.28515625" style="21" bestFit="1" customWidth="1"/>
    <col min="38" max="38" width="13.7109375" style="21" bestFit="1" customWidth="1"/>
    <col min="39" max="39" width="14.140625" style="21" bestFit="1" customWidth="1"/>
    <col min="40" max="41" width="13.5703125" style="21" bestFit="1" customWidth="1"/>
    <col min="42" max="42" width="14.42578125" style="21" bestFit="1" customWidth="1"/>
    <col min="43" max="43" width="17.28515625" style="21" bestFit="1" customWidth="1"/>
    <col min="44" max="44" width="14.42578125" style="21" bestFit="1" customWidth="1"/>
    <col min="45" max="45" width="14.28515625" style="21" bestFit="1" customWidth="1"/>
    <col min="46" max="46" width="29" style="21" bestFit="1" customWidth="1"/>
    <col min="47" max="47" width="15.42578125" style="21" customWidth="1"/>
    <col min="48" max="48" width="14.7109375" style="21" customWidth="1"/>
    <col min="49" max="49" width="13.28515625" style="21" customWidth="1"/>
    <col min="50" max="50" width="14.42578125" style="21" customWidth="1"/>
    <col min="51" max="51" width="23.85546875" style="21" customWidth="1"/>
    <col min="52" max="52" width="32.42578125" style="21" bestFit="1" customWidth="1"/>
    <col min="53" max="53" width="17.5703125" style="21" customWidth="1"/>
    <col min="54" max="54" width="18.85546875" style="21" customWidth="1"/>
    <col min="55" max="55" width="21" style="21" customWidth="1"/>
    <col min="56" max="56" width="32.42578125" style="21" bestFit="1" customWidth="1"/>
    <col min="57" max="57" width="19.5703125" style="21" customWidth="1"/>
    <col min="58" max="58" width="17.140625" style="21" customWidth="1"/>
    <col min="59" max="59" width="18.85546875" style="21" customWidth="1"/>
    <col min="60" max="60" width="32.42578125" style="21" bestFit="1" customWidth="1"/>
    <col min="61" max="61" width="19.140625" style="21" customWidth="1"/>
    <col min="62" max="62" width="18.28515625" style="21" customWidth="1"/>
    <col min="63" max="16384" width="8.7109375" style="21"/>
  </cols>
  <sheetData>
    <row r="1" spans="2:62" ht="21.95" customHeight="1" x14ac:dyDescent="0.25">
      <c r="B1" s="168" t="s">
        <v>95</v>
      </c>
      <c r="C1" s="169"/>
      <c r="D1" s="169"/>
      <c r="E1" s="169"/>
      <c r="F1" s="170"/>
      <c r="G1" s="177" t="s">
        <v>195</v>
      </c>
      <c r="H1" s="178"/>
      <c r="I1" s="178"/>
      <c r="J1" s="178"/>
      <c r="K1" s="178"/>
      <c r="L1" s="178"/>
      <c r="M1" s="179"/>
      <c r="N1" s="139" t="s">
        <v>196</v>
      </c>
      <c r="O1" s="140"/>
      <c r="P1" s="140"/>
      <c r="Q1" s="141"/>
      <c r="R1" s="148" t="s">
        <v>197</v>
      </c>
      <c r="S1" s="149"/>
      <c r="T1" s="149"/>
      <c r="U1" s="149"/>
      <c r="V1" s="149"/>
      <c r="W1" s="150"/>
      <c r="X1" s="157" t="s">
        <v>198</v>
      </c>
      <c r="Y1" s="158"/>
      <c r="Z1" s="158"/>
      <c r="AA1" s="158"/>
      <c r="AB1" s="158"/>
      <c r="AC1" s="158"/>
      <c r="AD1" s="158"/>
      <c r="AE1" s="158"/>
      <c r="AF1" s="158"/>
      <c r="AG1" s="158"/>
      <c r="AH1" s="158"/>
      <c r="AI1" s="158"/>
      <c r="AJ1" s="158"/>
      <c r="AK1" s="158"/>
      <c r="AL1" s="158"/>
      <c r="AM1" s="158"/>
      <c r="AN1" s="158"/>
      <c r="AO1" s="158"/>
      <c r="AP1" s="158"/>
      <c r="AQ1" s="158"/>
      <c r="AR1" s="158"/>
      <c r="AS1" s="159"/>
      <c r="AT1" s="166" t="s">
        <v>199</v>
      </c>
      <c r="AU1" s="167"/>
      <c r="AV1" s="167"/>
      <c r="AW1" s="167"/>
      <c r="AX1" s="167"/>
      <c r="AY1" s="167"/>
      <c r="AZ1" s="167"/>
      <c r="BA1" s="167"/>
      <c r="BB1" s="167"/>
      <c r="BC1" s="167"/>
      <c r="BD1" s="167"/>
      <c r="BE1" s="167"/>
      <c r="BF1" s="167"/>
      <c r="BG1" s="167"/>
      <c r="BH1" s="167"/>
      <c r="BI1" s="167"/>
      <c r="BJ1" s="167"/>
    </row>
    <row r="2" spans="2:62" ht="21.95" customHeight="1" x14ac:dyDescent="0.25">
      <c r="B2" s="171"/>
      <c r="C2" s="172"/>
      <c r="D2" s="172"/>
      <c r="E2" s="172"/>
      <c r="F2" s="173"/>
      <c r="G2" s="180"/>
      <c r="H2" s="181"/>
      <c r="I2" s="181"/>
      <c r="J2" s="181"/>
      <c r="K2" s="181"/>
      <c r="L2" s="181"/>
      <c r="M2" s="182"/>
      <c r="N2" s="142"/>
      <c r="O2" s="143"/>
      <c r="P2" s="143"/>
      <c r="Q2" s="144"/>
      <c r="R2" s="151"/>
      <c r="S2" s="152"/>
      <c r="T2" s="152"/>
      <c r="U2" s="152"/>
      <c r="V2" s="152"/>
      <c r="W2" s="153"/>
      <c r="X2" s="160"/>
      <c r="Y2" s="161"/>
      <c r="Z2" s="161"/>
      <c r="AA2" s="161"/>
      <c r="AB2" s="161"/>
      <c r="AC2" s="161"/>
      <c r="AD2" s="161"/>
      <c r="AE2" s="161"/>
      <c r="AF2" s="161"/>
      <c r="AG2" s="161"/>
      <c r="AH2" s="161"/>
      <c r="AI2" s="161"/>
      <c r="AJ2" s="161"/>
      <c r="AK2" s="161"/>
      <c r="AL2" s="161"/>
      <c r="AM2" s="161"/>
      <c r="AN2" s="161"/>
      <c r="AO2" s="161"/>
      <c r="AP2" s="161"/>
      <c r="AQ2" s="161"/>
      <c r="AR2" s="161"/>
      <c r="AS2" s="162"/>
      <c r="AT2" s="166"/>
      <c r="AU2" s="167"/>
      <c r="AV2" s="167"/>
      <c r="AW2" s="167"/>
      <c r="AX2" s="167"/>
      <c r="AY2" s="167"/>
      <c r="AZ2" s="167"/>
      <c r="BA2" s="167"/>
      <c r="BB2" s="167"/>
      <c r="BC2" s="167"/>
      <c r="BD2" s="167"/>
      <c r="BE2" s="167"/>
      <c r="BF2" s="167"/>
      <c r="BG2" s="167"/>
      <c r="BH2" s="167"/>
      <c r="BI2" s="167"/>
      <c r="BJ2" s="167"/>
    </row>
    <row r="3" spans="2:62" ht="21.95" customHeight="1" thickBot="1" x14ac:dyDescent="0.3">
      <c r="B3" s="174"/>
      <c r="C3" s="175"/>
      <c r="D3" s="175"/>
      <c r="E3" s="175"/>
      <c r="F3" s="176"/>
      <c r="G3" s="183"/>
      <c r="H3" s="184"/>
      <c r="I3" s="184"/>
      <c r="J3" s="184"/>
      <c r="K3" s="184"/>
      <c r="L3" s="184"/>
      <c r="M3" s="185"/>
      <c r="N3" s="145"/>
      <c r="O3" s="146"/>
      <c r="P3" s="146"/>
      <c r="Q3" s="147"/>
      <c r="R3" s="154"/>
      <c r="S3" s="155"/>
      <c r="T3" s="155"/>
      <c r="U3" s="155"/>
      <c r="V3" s="155"/>
      <c r="W3" s="156"/>
      <c r="X3" s="163"/>
      <c r="Y3" s="164"/>
      <c r="Z3" s="164"/>
      <c r="AA3" s="164"/>
      <c r="AB3" s="164"/>
      <c r="AC3" s="164"/>
      <c r="AD3" s="164"/>
      <c r="AE3" s="164"/>
      <c r="AF3" s="164"/>
      <c r="AG3" s="164"/>
      <c r="AH3" s="164"/>
      <c r="AI3" s="164"/>
      <c r="AJ3" s="164"/>
      <c r="AK3" s="164"/>
      <c r="AL3" s="164"/>
      <c r="AM3" s="164"/>
      <c r="AN3" s="164"/>
      <c r="AO3" s="164"/>
      <c r="AP3" s="164"/>
      <c r="AQ3" s="164"/>
      <c r="AR3" s="164"/>
      <c r="AS3" s="165"/>
      <c r="AT3" s="166"/>
      <c r="AU3" s="167"/>
      <c r="AV3" s="167"/>
      <c r="AW3" s="167"/>
      <c r="AX3" s="167"/>
      <c r="AY3" s="167"/>
      <c r="AZ3" s="167"/>
      <c r="BA3" s="167"/>
      <c r="BB3" s="167"/>
      <c r="BC3" s="167"/>
      <c r="BD3" s="167"/>
      <c r="BE3" s="167"/>
      <c r="BF3" s="167"/>
      <c r="BG3" s="167"/>
      <c r="BH3" s="167"/>
      <c r="BI3" s="167"/>
      <c r="BJ3" s="167"/>
    </row>
    <row r="4" spans="2:62" s="39" customFormat="1" ht="35.25" customHeight="1" x14ac:dyDescent="0.25">
      <c r="B4" s="61" t="s">
        <v>99</v>
      </c>
      <c r="C4" s="62" t="s">
        <v>100</v>
      </c>
      <c r="D4" s="62" t="s">
        <v>146</v>
      </c>
      <c r="E4" s="62" t="s">
        <v>104</v>
      </c>
      <c r="F4" s="63" t="s">
        <v>111</v>
      </c>
      <c r="G4" s="61" t="s">
        <v>200</v>
      </c>
      <c r="H4" s="62" t="s">
        <v>201</v>
      </c>
      <c r="I4" s="62" t="s">
        <v>202</v>
      </c>
      <c r="J4" s="62" t="s">
        <v>203</v>
      </c>
      <c r="K4" s="62" t="s">
        <v>204</v>
      </c>
      <c r="L4" s="62" t="s">
        <v>205</v>
      </c>
      <c r="M4" s="63" t="s">
        <v>206</v>
      </c>
      <c r="N4" s="62" t="s">
        <v>207</v>
      </c>
      <c r="O4" s="62" t="s">
        <v>208</v>
      </c>
      <c r="P4" s="62" t="s">
        <v>209</v>
      </c>
      <c r="Q4" s="63" t="s">
        <v>210</v>
      </c>
      <c r="R4" s="61" t="s">
        <v>211</v>
      </c>
      <c r="S4" s="65" t="s">
        <v>212</v>
      </c>
      <c r="T4" s="62" t="s">
        <v>213</v>
      </c>
      <c r="U4" s="62" t="s">
        <v>214</v>
      </c>
      <c r="V4" s="63" t="s">
        <v>215</v>
      </c>
      <c r="W4" s="63" t="s">
        <v>216</v>
      </c>
      <c r="X4" s="66" t="s">
        <v>217</v>
      </c>
      <c r="Y4" s="29" t="s">
        <v>218</v>
      </c>
      <c r="Z4" s="29" t="s">
        <v>219</v>
      </c>
      <c r="AA4" s="29" t="s">
        <v>220</v>
      </c>
      <c r="AB4" s="29" t="s">
        <v>221</v>
      </c>
      <c r="AC4" s="29" t="s">
        <v>222</v>
      </c>
      <c r="AD4" s="29" t="s">
        <v>223</v>
      </c>
      <c r="AE4" s="29" t="s">
        <v>224</v>
      </c>
      <c r="AF4" s="29" t="s">
        <v>225</v>
      </c>
      <c r="AG4" s="29" t="s">
        <v>226</v>
      </c>
      <c r="AH4" s="29" t="s">
        <v>227</v>
      </c>
      <c r="AI4" s="29" t="s">
        <v>228</v>
      </c>
      <c r="AJ4" s="29" t="s">
        <v>229</v>
      </c>
      <c r="AK4" s="29" t="s">
        <v>230</v>
      </c>
      <c r="AL4" s="29" t="s">
        <v>231</v>
      </c>
      <c r="AM4" s="29" t="s">
        <v>232</v>
      </c>
      <c r="AN4" s="29" t="s">
        <v>233</v>
      </c>
      <c r="AO4" s="29" t="s">
        <v>234</v>
      </c>
      <c r="AP4" s="29" t="s">
        <v>235</v>
      </c>
      <c r="AQ4" s="29" t="s">
        <v>236</v>
      </c>
      <c r="AR4" s="29" t="s">
        <v>237</v>
      </c>
      <c r="AS4" s="67" t="s">
        <v>238</v>
      </c>
      <c r="AT4" s="61" t="s">
        <v>239</v>
      </c>
      <c r="AU4" s="62" t="s">
        <v>240</v>
      </c>
      <c r="AV4" s="62" t="s">
        <v>241</v>
      </c>
      <c r="AW4" s="62" t="s">
        <v>242</v>
      </c>
      <c r="AX4" s="62" t="s">
        <v>243</v>
      </c>
      <c r="AY4" s="62" t="s">
        <v>244</v>
      </c>
      <c r="AZ4" s="62" t="s">
        <v>245</v>
      </c>
      <c r="BA4" s="62" t="s">
        <v>246</v>
      </c>
      <c r="BB4" s="62" t="s">
        <v>247</v>
      </c>
      <c r="BC4" s="62" t="s">
        <v>248</v>
      </c>
      <c r="BD4" s="62" t="s">
        <v>249</v>
      </c>
      <c r="BE4" s="62" t="s">
        <v>250</v>
      </c>
      <c r="BF4" s="62" t="s">
        <v>251</v>
      </c>
      <c r="BG4" s="62" t="s">
        <v>252</v>
      </c>
      <c r="BH4" s="62" t="s">
        <v>253</v>
      </c>
      <c r="BI4" s="62" t="s">
        <v>254</v>
      </c>
      <c r="BJ4" s="62" t="s">
        <v>255</v>
      </c>
    </row>
    <row r="5" spans="2:62" s="39" customFormat="1" ht="35.25" customHeight="1" x14ac:dyDescent="0.25">
      <c r="B5" s="47" t="s">
        <v>147</v>
      </c>
      <c r="C5" s="18" t="s">
        <v>148</v>
      </c>
      <c r="D5" s="18" t="s">
        <v>194</v>
      </c>
      <c r="E5" s="18" t="s">
        <v>152</v>
      </c>
      <c r="F5" s="48" t="s">
        <v>159</v>
      </c>
      <c r="G5" s="47" t="s">
        <v>256</v>
      </c>
      <c r="H5" s="18" t="s">
        <v>257</v>
      </c>
      <c r="I5" s="18" t="s">
        <v>258</v>
      </c>
      <c r="J5" s="18" t="s">
        <v>259</v>
      </c>
      <c r="K5" s="18" t="s">
        <v>260</v>
      </c>
      <c r="L5" s="18" t="s">
        <v>261</v>
      </c>
      <c r="M5" s="48" t="s">
        <v>262</v>
      </c>
      <c r="N5" s="18" t="s">
        <v>263</v>
      </c>
      <c r="O5" s="18" t="s">
        <v>264</v>
      </c>
      <c r="P5" s="18" t="s">
        <v>265</v>
      </c>
      <c r="Q5" s="48" t="s">
        <v>266</v>
      </c>
      <c r="R5" s="47" t="s">
        <v>267</v>
      </c>
      <c r="S5" s="18" t="s">
        <v>268</v>
      </c>
      <c r="T5" s="18" t="s">
        <v>269</v>
      </c>
      <c r="U5" s="18" t="s">
        <v>270</v>
      </c>
      <c r="V5" s="48" t="s">
        <v>271</v>
      </c>
      <c r="W5" s="48" t="s">
        <v>272</v>
      </c>
      <c r="X5" s="18" t="s">
        <v>273</v>
      </c>
      <c r="Y5" s="18" t="s">
        <v>274</v>
      </c>
      <c r="Z5" s="18" t="s">
        <v>275</v>
      </c>
      <c r="AA5" s="18" t="s">
        <v>276</v>
      </c>
      <c r="AB5" s="18" t="s">
        <v>277</v>
      </c>
      <c r="AC5" s="18" t="s">
        <v>278</v>
      </c>
      <c r="AD5" s="18" t="s">
        <v>279</v>
      </c>
      <c r="AE5" s="18" t="s">
        <v>280</v>
      </c>
      <c r="AF5" s="18" t="s">
        <v>281</v>
      </c>
      <c r="AG5" s="18" t="s">
        <v>282</v>
      </c>
      <c r="AH5" s="18" t="s">
        <v>283</v>
      </c>
      <c r="AI5" s="18" t="s">
        <v>284</v>
      </c>
      <c r="AJ5" s="18" t="s">
        <v>285</v>
      </c>
      <c r="AK5" s="18" t="s">
        <v>286</v>
      </c>
      <c r="AL5" s="18" t="s">
        <v>287</v>
      </c>
      <c r="AM5" s="18" t="s">
        <v>288</v>
      </c>
      <c r="AN5" s="18" t="s">
        <v>289</v>
      </c>
      <c r="AO5" s="18" t="s">
        <v>290</v>
      </c>
      <c r="AP5" s="18" t="s">
        <v>291</v>
      </c>
      <c r="AQ5" s="18" t="s">
        <v>292</v>
      </c>
      <c r="AR5" s="18" t="s">
        <v>293</v>
      </c>
      <c r="AS5" s="18" t="s">
        <v>294</v>
      </c>
      <c r="AT5" s="47" t="s">
        <v>295</v>
      </c>
      <c r="AU5" s="18" t="s">
        <v>296</v>
      </c>
      <c r="AV5" s="18" t="s">
        <v>297</v>
      </c>
      <c r="AW5" s="18" t="s">
        <v>298</v>
      </c>
      <c r="AX5" s="18" t="s">
        <v>299</v>
      </c>
      <c r="AY5" s="18" t="s">
        <v>300</v>
      </c>
      <c r="AZ5" s="18" t="s">
        <v>301</v>
      </c>
      <c r="BA5" s="18" t="s">
        <v>302</v>
      </c>
      <c r="BB5" s="18" t="s">
        <v>303</v>
      </c>
      <c r="BC5" s="18" t="s">
        <v>304</v>
      </c>
      <c r="BD5" s="18" t="s">
        <v>305</v>
      </c>
      <c r="BE5" s="18" t="s">
        <v>306</v>
      </c>
      <c r="BF5" s="18" t="s">
        <v>307</v>
      </c>
      <c r="BG5" s="18" t="s">
        <v>308</v>
      </c>
      <c r="BH5" s="18" t="s">
        <v>309</v>
      </c>
      <c r="BI5" s="18" t="s">
        <v>310</v>
      </c>
      <c r="BJ5" s="18" t="s">
        <v>311</v>
      </c>
    </row>
    <row r="6" spans="2:62" ht="25.15" customHeight="1" x14ac:dyDescent="0.25">
      <c r="B6" s="49">
        <v>1</v>
      </c>
      <c r="C6" s="37"/>
      <c r="D6" s="87" t="str">
        <f>IF(tbl_Assessment[[#This Row],[Ben Code]]&lt;&gt;"",INDEX(tbl_Ben_Info[],MATCH(tbl_Assessment[[#This Row],[Ben Code]],tbl_Ben_Info[Ben Code],0),48),"")</f>
        <v/>
      </c>
      <c r="E6" s="116" t="str">
        <f>IF(tbl_Assessment[[#This Row],[Ben Code]]&lt;&gt;"",INDEX(tbl_Ben_Info[],MATCH(tbl_Assessment[[#This Row],[Ben Code]],tbl_Ben_Info[Ben Code],0),6),"")</f>
        <v/>
      </c>
      <c r="F6" s="113" t="str">
        <f>IF(tbl_Assessment[[#This Row],[Ben Code]]&lt;&gt;"",INDEX(tbl_Ben_Info[],MATCH(tbl_Assessment[[#This Row],[Ben Code]],tbl_Ben_Info[Ben Code],0),13),"")</f>
        <v/>
      </c>
      <c r="G6" s="49"/>
      <c r="H6" s="37"/>
      <c r="I6" s="37"/>
      <c r="J6" s="37"/>
      <c r="K6" s="37"/>
      <c r="L6" s="37"/>
      <c r="M6" s="59"/>
      <c r="N6" s="37"/>
      <c r="O6" s="37"/>
      <c r="P6" s="37"/>
      <c r="Q6" s="59"/>
      <c r="R6" s="49"/>
      <c r="S6" s="37"/>
      <c r="T6" s="37"/>
      <c r="U6" s="37"/>
      <c r="V6" s="37"/>
      <c r="W6" s="96" t="str">
        <f>tbl_Assessment[[#This Row],[Ben Code]] &amp; "-"&amp;tbl_Assessment[[#This Row],[admin4Pcode]]&amp;"-" &amp; TEXT(COUNTIF(INDEX(tbl_Assessment[Ben Code],1):tbl_Assessment[[#This Row],[Ben Code]], tbl_Assessment[[#This Row],[Ben Code]]), "00")</f>
        <v>--00</v>
      </c>
      <c r="X6" s="37"/>
      <c r="Y6" s="37"/>
      <c r="Z6" s="37"/>
      <c r="AA6" s="37"/>
      <c r="AB6" s="37"/>
      <c r="AC6" s="37"/>
      <c r="AD6" s="37"/>
      <c r="AE6" s="37"/>
      <c r="AF6" s="37"/>
      <c r="AG6" s="37"/>
      <c r="AH6" s="37"/>
      <c r="AI6" s="37"/>
      <c r="AJ6" s="37"/>
      <c r="AK6" s="37"/>
      <c r="AL6" s="37"/>
      <c r="AM6" s="37"/>
      <c r="AN6" s="37"/>
      <c r="AO6" s="37"/>
      <c r="AP6" s="37"/>
      <c r="AQ6" s="37"/>
      <c r="AR6" s="37"/>
      <c r="AS6" s="37"/>
      <c r="AT6" s="49"/>
      <c r="AU6" s="41"/>
      <c r="AV6" s="37"/>
      <c r="AW6" s="37"/>
      <c r="AX6" s="37"/>
      <c r="AY6" s="37"/>
      <c r="AZ6" s="37"/>
      <c r="BA6" s="37"/>
      <c r="BB6" s="41"/>
      <c r="BC6" s="37"/>
      <c r="BD6" s="37"/>
      <c r="BE6" s="37"/>
      <c r="BF6" s="41"/>
      <c r="BG6" s="37"/>
      <c r="BH6" s="37"/>
      <c r="BI6" s="37"/>
      <c r="BJ6" s="41"/>
    </row>
    <row r="7" spans="2:62" ht="25.15" customHeight="1" x14ac:dyDescent="0.25">
      <c r="B7" s="49">
        <v>2</v>
      </c>
      <c r="C7" s="37"/>
      <c r="D7" s="87" t="str">
        <f>IF(tbl_Assessment[[#This Row],[Ben Code]]&lt;&gt;"",INDEX(tbl_Ben_Info[],MATCH(tbl_Assessment[[#This Row],[Ben Code]],tbl_Ben_Info[Ben Code],0),48),"")</f>
        <v/>
      </c>
      <c r="E7" s="116" t="str">
        <f>IF(tbl_Assessment[[#This Row],[Ben Code]]&lt;&gt;"",INDEX(tbl_Ben_Info[],MATCH(tbl_Assessment[[#This Row],[Ben Code]],tbl_Ben_Info[Ben Code],0),6),"")</f>
        <v/>
      </c>
      <c r="F7" s="113" t="str">
        <f>IF(tbl_Assessment[[#This Row],[Ben Code]]&lt;&gt;"",INDEX(tbl_Ben_Info[],MATCH(tbl_Assessment[[#This Row],[Ben Code]],tbl_Ben_Info[Ben Code],0),13),"")</f>
        <v/>
      </c>
      <c r="G7" s="49"/>
      <c r="H7" s="37"/>
      <c r="I7" s="37"/>
      <c r="J7" s="37"/>
      <c r="K7" s="37"/>
      <c r="L7" s="37"/>
      <c r="M7" s="59"/>
      <c r="N7" s="37"/>
      <c r="O7" s="37"/>
      <c r="P7" s="37"/>
      <c r="Q7" s="59"/>
      <c r="R7" s="49"/>
      <c r="S7" s="37"/>
      <c r="T7" s="37"/>
      <c r="U7" s="37"/>
      <c r="V7" s="37"/>
      <c r="W7" s="96" t="str">
        <f>tbl_Assessment[[#This Row],[Ben Code]] &amp; "-"&amp;tbl_Assessment[[#This Row],[admin4Pcode]]&amp;"-" &amp; TEXT(COUNTIF(INDEX(tbl_Assessment[Ben Code],1):tbl_Assessment[[#This Row],[Ben Code]], tbl_Assessment[[#This Row],[Ben Code]]), "00")</f>
        <v>--00</v>
      </c>
      <c r="X7" s="37"/>
      <c r="Y7" s="37"/>
      <c r="Z7" s="37"/>
      <c r="AA7" s="37"/>
      <c r="AB7" s="37"/>
      <c r="AC7" s="37"/>
      <c r="AD7" s="37"/>
      <c r="AE7" s="37"/>
      <c r="AF7" s="37"/>
      <c r="AG7" s="37"/>
      <c r="AH7" s="37"/>
      <c r="AI7" s="37"/>
      <c r="AJ7" s="37"/>
      <c r="AK7" s="37"/>
      <c r="AL7" s="37"/>
      <c r="AM7" s="37"/>
      <c r="AN7" s="37"/>
      <c r="AO7" s="37"/>
      <c r="AP7" s="37"/>
      <c r="AQ7" s="37"/>
      <c r="AR7" s="37"/>
      <c r="AS7" s="37"/>
      <c r="AT7" s="49"/>
      <c r="AU7" s="41"/>
      <c r="AV7" s="37"/>
      <c r="AW7" s="37"/>
      <c r="AX7" s="37"/>
      <c r="AY7" s="37"/>
      <c r="AZ7" s="37"/>
      <c r="BA7" s="37"/>
      <c r="BB7" s="41"/>
      <c r="BC7" s="37"/>
      <c r="BD7" s="37"/>
      <c r="BE7" s="37"/>
      <c r="BF7" s="41"/>
      <c r="BG7" s="37"/>
      <c r="BH7" s="37"/>
      <c r="BI7" s="37"/>
      <c r="BJ7" s="41"/>
    </row>
    <row r="8" spans="2:62" ht="25.15" customHeight="1" x14ac:dyDescent="0.25">
      <c r="B8" s="49">
        <v>3</v>
      </c>
      <c r="C8" s="37"/>
      <c r="D8" s="87" t="str">
        <f>IF(tbl_Assessment[[#This Row],[Ben Code]]&lt;&gt;"",INDEX(tbl_Ben_Info[],MATCH(tbl_Assessment[[#This Row],[Ben Code]],tbl_Ben_Info[Ben Code],0),48),"")</f>
        <v/>
      </c>
      <c r="E8" s="116" t="str">
        <f>IF(tbl_Assessment[[#This Row],[Ben Code]]&lt;&gt;"",INDEX(tbl_Ben_Info[],MATCH(tbl_Assessment[[#This Row],[Ben Code]],tbl_Ben_Info[Ben Code],0),6),"")</f>
        <v/>
      </c>
      <c r="F8" s="113" t="str">
        <f>IF(tbl_Assessment[[#This Row],[Ben Code]]&lt;&gt;"",INDEX(tbl_Ben_Info[],MATCH(tbl_Assessment[[#This Row],[Ben Code]],tbl_Ben_Info[Ben Code],0),13),"")</f>
        <v/>
      </c>
      <c r="G8" s="49"/>
      <c r="H8" s="37"/>
      <c r="I8" s="37"/>
      <c r="J8" s="37"/>
      <c r="K8" s="37"/>
      <c r="L8" s="37"/>
      <c r="M8" s="59"/>
      <c r="N8" s="37"/>
      <c r="O8" s="37"/>
      <c r="P8" s="37"/>
      <c r="Q8" s="59"/>
      <c r="R8" s="49"/>
      <c r="S8" s="37"/>
      <c r="T8" s="37"/>
      <c r="U8" s="37"/>
      <c r="V8" s="37"/>
      <c r="W8" s="96" t="str">
        <f>tbl_Assessment[[#This Row],[Ben Code]] &amp; "-"&amp;tbl_Assessment[[#This Row],[admin4Pcode]]&amp;"-" &amp; TEXT(COUNTIF(INDEX(tbl_Assessment[Ben Code],1):tbl_Assessment[[#This Row],[Ben Code]], tbl_Assessment[[#This Row],[Ben Code]]), "00")</f>
        <v>--00</v>
      </c>
      <c r="X8" s="37"/>
      <c r="Y8" s="37"/>
      <c r="Z8" s="37"/>
      <c r="AA8" s="37"/>
      <c r="AB8" s="37"/>
      <c r="AC8" s="37"/>
      <c r="AD8" s="37"/>
      <c r="AE8" s="37"/>
      <c r="AF8" s="37"/>
      <c r="AG8" s="37"/>
      <c r="AH8" s="37"/>
      <c r="AI8" s="37"/>
      <c r="AJ8" s="37"/>
      <c r="AK8" s="37"/>
      <c r="AL8" s="37"/>
      <c r="AM8" s="37"/>
      <c r="AN8" s="37"/>
      <c r="AO8" s="37"/>
      <c r="AP8" s="37"/>
      <c r="AQ8" s="37"/>
      <c r="AR8" s="37"/>
      <c r="AS8" s="37"/>
      <c r="AT8" s="49"/>
      <c r="AU8" s="41"/>
      <c r="AV8" s="37"/>
      <c r="AW8" s="37"/>
      <c r="AX8" s="37"/>
      <c r="AY8" s="37"/>
      <c r="AZ8" s="37"/>
      <c r="BA8" s="37"/>
      <c r="BB8" s="41"/>
      <c r="BC8" s="37"/>
      <c r="BD8" s="37"/>
      <c r="BE8" s="37"/>
      <c r="BF8" s="41"/>
      <c r="BG8" s="37"/>
      <c r="BH8" s="37"/>
      <c r="BI8" s="37"/>
      <c r="BJ8" s="41"/>
    </row>
    <row r="9" spans="2:62" ht="25.15" customHeight="1" x14ac:dyDescent="0.25">
      <c r="B9" s="49">
        <v>4</v>
      </c>
      <c r="C9" s="37"/>
      <c r="D9" s="87" t="str">
        <f>IF(tbl_Assessment[[#This Row],[Ben Code]]&lt;&gt;"",INDEX(tbl_Ben_Info[],MATCH(tbl_Assessment[[#This Row],[Ben Code]],tbl_Ben_Info[Ben Code],0),48),"")</f>
        <v/>
      </c>
      <c r="E9" s="116" t="str">
        <f>IF(tbl_Assessment[[#This Row],[Ben Code]]&lt;&gt;"",INDEX(tbl_Ben_Info[],MATCH(tbl_Assessment[[#This Row],[Ben Code]],tbl_Ben_Info[Ben Code],0),6),"")</f>
        <v/>
      </c>
      <c r="F9" s="113" t="str">
        <f>IF(tbl_Assessment[[#This Row],[Ben Code]]&lt;&gt;"",INDEX(tbl_Ben_Info[],MATCH(tbl_Assessment[[#This Row],[Ben Code]],tbl_Ben_Info[Ben Code],0),13),"")</f>
        <v/>
      </c>
      <c r="G9" s="49"/>
      <c r="H9" s="37"/>
      <c r="I9" s="37"/>
      <c r="J9" s="37"/>
      <c r="K9" s="37"/>
      <c r="L9" s="37"/>
      <c r="M9" s="59"/>
      <c r="N9" s="37"/>
      <c r="O9" s="37"/>
      <c r="P9" s="37"/>
      <c r="Q9" s="59"/>
      <c r="R9" s="49"/>
      <c r="S9" s="37"/>
      <c r="T9" s="37"/>
      <c r="U9" s="37"/>
      <c r="V9" s="37"/>
      <c r="W9" s="96" t="str">
        <f>tbl_Assessment[[#This Row],[Ben Code]] &amp; "-"&amp;tbl_Assessment[[#This Row],[admin4Pcode]]&amp;"-" &amp; TEXT(COUNTIF(INDEX(tbl_Assessment[Ben Code],1):tbl_Assessment[[#This Row],[Ben Code]], tbl_Assessment[[#This Row],[Ben Code]]), "00")</f>
        <v>--00</v>
      </c>
      <c r="X9" s="37"/>
      <c r="Y9" s="37"/>
      <c r="Z9" s="37"/>
      <c r="AA9" s="37"/>
      <c r="AB9" s="37"/>
      <c r="AC9" s="37"/>
      <c r="AD9" s="37"/>
      <c r="AE9" s="37"/>
      <c r="AF9" s="37"/>
      <c r="AG9" s="37"/>
      <c r="AH9" s="37"/>
      <c r="AI9" s="37"/>
      <c r="AJ9" s="37"/>
      <c r="AK9" s="37"/>
      <c r="AL9" s="37"/>
      <c r="AM9" s="37"/>
      <c r="AN9" s="37"/>
      <c r="AO9" s="37"/>
      <c r="AP9" s="37"/>
      <c r="AQ9" s="37"/>
      <c r="AR9" s="37"/>
      <c r="AS9" s="37"/>
      <c r="AT9" s="49"/>
      <c r="AU9" s="41"/>
      <c r="AV9" s="37"/>
      <c r="AW9" s="37"/>
      <c r="AX9" s="37"/>
      <c r="AY9" s="37"/>
      <c r="AZ9" s="37"/>
      <c r="BA9" s="37"/>
      <c r="BB9" s="41"/>
      <c r="BC9" s="37"/>
      <c r="BD9" s="37"/>
      <c r="BE9" s="37"/>
      <c r="BF9" s="41"/>
      <c r="BG9" s="37"/>
      <c r="BH9" s="37"/>
      <c r="BI9" s="37"/>
      <c r="BJ9" s="41"/>
    </row>
    <row r="10" spans="2:62" ht="25.15" customHeight="1" x14ac:dyDescent="0.25">
      <c r="B10" s="49">
        <v>5</v>
      </c>
      <c r="C10" s="37"/>
      <c r="D10" s="87" t="str">
        <f>IF(tbl_Assessment[[#This Row],[Ben Code]]&lt;&gt;"",INDEX(tbl_Ben_Info[],MATCH(tbl_Assessment[[#This Row],[Ben Code]],tbl_Ben_Info[Ben Code],0),48),"")</f>
        <v/>
      </c>
      <c r="E10" s="116" t="str">
        <f>IF(tbl_Assessment[[#This Row],[Ben Code]]&lt;&gt;"",INDEX(tbl_Ben_Info[],MATCH(tbl_Assessment[[#This Row],[Ben Code]],tbl_Ben_Info[Ben Code],0),6),"")</f>
        <v/>
      </c>
      <c r="F10" s="113" t="str">
        <f>IF(tbl_Assessment[[#This Row],[Ben Code]]&lt;&gt;"",INDEX(tbl_Ben_Info[],MATCH(tbl_Assessment[[#This Row],[Ben Code]],tbl_Ben_Info[Ben Code],0),13),"")</f>
        <v/>
      </c>
      <c r="G10" s="49"/>
      <c r="H10" s="37"/>
      <c r="I10" s="37"/>
      <c r="J10" s="37"/>
      <c r="K10" s="37"/>
      <c r="L10" s="37"/>
      <c r="M10" s="59"/>
      <c r="N10" s="37"/>
      <c r="O10" s="37"/>
      <c r="P10" s="37"/>
      <c r="Q10" s="59"/>
      <c r="R10" s="49"/>
      <c r="S10" s="37"/>
      <c r="T10" s="37"/>
      <c r="U10" s="37"/>
      <c r="V10" s="37"/>
      <c r="W10" s="96" t="str">
        <f>tbl_Assessment[[#This Row],[Ben Code]] &amp; "-"&amp;tbl_Assessment[[#This Row],[admin4Pcode]]&amp;"-" &amp; TEXT(COUNTIF(INDEX(tbl_Assessment[Ben Code],1):tbl_Assessment[[#This Row],[Ben Code]], tbl_Assessment[[#This Row],[Ben Code]]), "00")</f>
        <v>--00</v>
      </c>
      <c r="X10" s="37"/>
      <c r="Y10" s="37"/>
      <c r="Z10" s="37"/>
      <c r="AA10" s="37"/>
      <c r="AB10" s="37"/>
      <c r="AC10" s="37"/>
      <c r="AD10" s="37"/>
      <c r="AE10" s="37"/>
      <c r="AF10" s="37"/>
      <c r="AG10" s="37"/>
      <c r="AH10" s="37"/>
      <c r="AI10" s="37"/>
      <c r="AJ10" s="37"/>
      <c r="AK10" s="37"/>
      <c r="AL10" s="37"/>
      <c r="AM10" s="37"/>
      <c r="AN10" s="37"/>
      <c r="AO10" s="37"/>
      <c r="AP10" s="37"/>
      <c r="AQ10" s="37"/>
      <c r="AR10" s="37"/>
      <c r="AS10" s="37"/>
      <c r="AT10" s="49"/>
      <c r="AU10" s="41"/>
      <c r="AV10" s="37"/>
      <c r="AW10" s="37"/>
      <c r="AX10" s="37"/>
      <c r="AY10" s="37"/>
      <c r="AZ10" s="37"/>
      <c r="BA10" s="37"/>
      <c r="BB10" s="41"/>
      <c r="BC10" s="37"/>
      <c r="BD10" s="37"/>
      <c r="BE10" s="37"/>
      <c r="BF10" s="41"/>
      <c r="BG10" s="37"/>
      <c r="BH10" s="37"/>
      <c r="BI10" s="37"/>
      <c r="BJ10" s="41"/>
    </row>
    <row r="11" spans="2:62" ht="25.15" customHeight="1" x14ac:dyDescent="0.25">
      <c r="B11" s="49">
        <v>6</v>
      </c>
      <c r="C11" s="37"/>
      <c r="D11" s="87" t="str">
        <f>IF(tbl_Assessment[[#This Row],[Ben Code]]&lt;&gt;"",INDEX(tbl_Ben_Info[],MATCH(tbl_Assessment[[#This Row],[Ben Code]],tbl_Ben_Info[Ben Code],0),48),"")</f>
        <v/>
      </c>
      <c r="E11" s="116" t="str">
        <f>IF(tbl_Assessment[[#This Row],[Ben Code]]&lt;&gt;"",INDEX(tbl_Ben_Info[],MATCH(tbl_Assessment[[#This Row],[Ben Code]],tbl_Ben_Info[Ben Code],0),6),"")</f>
        <v/>
      </c>
      <c r="F11" s="113" t="str">
        <f>IF(tbl_Assessment[[#This Row],[Ben Code]]&lt;&gt;"",INDEX(tbl_Ben_Info[],MATCH(tbl_Assessment[[#This Row],[Ben Code]],tbl_Ben_Info[Ben Code],0),13),"")</f>
        <v/>
      </c>
      <c r="G11" s="49"/>
      <c r="H11" s="37"/>
      <c r="I11" s="37"/>
      <c r="J11" s="37"/>
      <c r="K11" s="37"/>
      <c r="L11" s="37"/>
      <c r="M11" s="59"/>
      <c r="N11" s="37"/>
      <c r="O11" s="37"/>
      <c r="P11" s="37"/>
      <c r="Q11" s="59"/>
      <c r="R11" s="49"/>
      <c r="S11" s="37"/>
      <c r="T11" s="37"/>
      <c r="U11" s="37"/>
      <c r="V11" s="37"/>
      <c r="W11" s="96" t="str">
        <f>tbl_Assessment[[#This Row],[Ben Code]] &amp; "-"&amp;tbl_Assessment[[#This Row],[admin4Pcode]]&amp;"-" &amp; TEXT(COUNTIF(INDEX(tbl_Assessment[Ben Code],1):tbl_Assessment[[#This Row],[Ben Code]], tbl_Assessment[[#This Row],[Ben Code]]), "00")</f>
        <v>--00</v>
      </c>
      <c r="X11" s="37"/>
      <c r="Y11" s="37"/>
      <c r="Z11" s="37"/>
      <c r="AA11" s="37"/>
      <c r="AB11" s="37"/>
      <c r="AC11" s="37"/>
      <c r="AD11" s="37"/>
      <c r="AE11" s="37"/>
      <c r="AF11" s="37"/>
      <c r="AG11" s="37"/>
      <c r="AH11" s="37"/>
      <c r="AI11" s="37"/>
      <c r="AJ11" s="37"/>
      <c r="AK11" s="37"/>
      <c r="AL11" s="37"/>
      <c r="AM11" s="37"/>
      <c r="AN11" s="37"/>
      <c r="AO11" s="37"/>
      <c r="AP11" s="37"/>
      <c r="AQ11" s="37"/>
      <c r="AR11" s="37"/>
      <c r="AS11" s="37"/>
      <c r="AT11" s="49"/>
      <c r="AU11" s="41"/>
      <c r="AV11" s="37"/>
      <c r="AW11" s="37"/>
      <c r="AX11" s="37"/>
      <c r="AY11" s="37"/>
      <c r="AZ11" s="37"/>
      <c r="BA11" s="37"/>
      <c r="BB11" s="41"/>
      <c r="BC11" s="37"/>
      <c r="BD11" s="37"/>
      <c r="BE11" s="37"/>
      <c r="BF11" s="41"/>
      <c r="BG11" s="37"/>
      <c r="BH11" s="37"/>
      <c r="BI11" s="37"/>
      <c r="BJ11" s="41"/>
    </row>
    <row r="12" spans="2:62" ht="25.15" customHeight="1" x14ac:dyDescent="0.25">
      <c r="B12" s="49">
        <v>7</v>
      </c>
      <c r="C12" s="37"/>
      <c r="D12" s="87" t="str">
        <f>IF(tbl_Assessment[[#This Row],[Ben Code]]&lt;&gt;"",INDEX(tbl_Ben_Info[],MATCH(tbl_Assessment[[#This Row],[Ben Code]],tbl_Ben_Info[Ben Code],0),48),"")</f>
        <v/>
      </c>
      <c r="E12" s="116" t="str">
        <f>IF(tbl_Assessment[[#This Row],[Ben Code]]&lt;&gt;"",INDEX(tbl_Ben_Info[],MATCH(tbl_Assessment[[#This Row],[Ben Code]],tbl_Ben_Info[Ben Code],0),6),"")</f>
        <v/>
      </c>
      <c r="F12" s="113" t="str">
        <f>IF(tbl_Assessment[[#This Row],[Ben Code]]&lt;&gt;"",INDEX(tbl_Ben_Info[],MATCH(tbl_Assessment[[#This Row],[Ben Code]],tbl_Ben_Info[Ben Code],0),13),"")</f>
        <v/>
      </c>
      <c r="G12" s="49"/>
      <c r="H12" s="37"/>
      <c r="I12" s="37"/>
      <c r="J12" s="37"/>
      <c r="K12" s="37"/>
      <c r="L12" s="37"/>
      <c r="M12" s="59"/>
      <c r="N12" s="37"/>
      <c r="O12" s="37"/>
      <c r="P12" s="37"/>
      <c r="Q12" s="59"/>
      <c r="R12" s="49"/>
      <c r="S12" s="37"/>
      <c r="T12" s="37"/>
      <c r="U12" s="37"/>
      <c r="V12" s="37"/>
      <c r="W12" s="96" t="str">
        <f>tbl_Assessment[[#This Row],[Ben Code]] &amp; "-"&amp;tbl_Assessment[[#This Row],[admin4Pcode]]&amp;"-" &amp; TEXT(COUNTIF(INDEX(tbl_Assessment[Ben Code],1):tbl_Assessment[[#This Row],[Ben Code]], tbl_Assessment[[#This Row],[Ben Code]]), "00")</f>
        <v>--00</v>
      </c>
      <c r="X12" s="37"/>
      <c r="Y12" s="37"/>
      <c r="Z12" s="37"/>
      <c r="AA12" s="37"/>
      <c r="AB12" s="37"/>
      <c r="AC12" s="37"/>
      <c r="AD12" s="37"/>
      <c r="AE12" s="37"/>
      <c r="AF12" s="37"/>
      <c r="AG12" s="37"/>
      <c r="AH12" s="37"/>
      <c r="AI12" s="37"/>
      <c r="AJ12" s="37"/>
      <c r="AK12" s="37"/>
      <c r="AL12" s="37"/>
      <c r="AM12" s="37"/>
      <c r="AN12" s="37"/>
      <c r="AO12" s="37"/>
      <c r="AP12" s="37"/>
      <c r="AQ12" s="37"/>
      <c r="AR12" s="37"/>
      <c r="AS12" s="37"/>
      <c r="AT12" s="49"/>
      <c r="AU12" s="41"/>
      <c r="AV12" s="37"/>
      <c r="AW12" s="37"/>
      <c r="AX12" s="37"/>
      <c r="AY12" s="37"/>
      <c r="AZ12" s="37"/>
      <c r="BA12" s="37"/>
      <c r="BB12" s="41"/>
      <c r="BC12" s="37"/>
      <c r="BD12" s="37"/>
      <c r="BE12" s="37"/>
      <c r="BF12" s="41"/>
      <c r="BG12" s="37"/>
      <c r="BH12" s="37"/>
      <c r="BI12" s="37"/>
      <c r="BJ12" s="41"/>
    </row>
    <row r="13" spans="2:62" ht="25.15" customHeight="1" x14ac:dyDescent="0.25">
      <c r="B13" s="49">
        <v>8</v>
      </c>
      <c r="C13" s="37"/>
      <c r="D13" s="87" t="str">
        <f>IF(tbl_Assessment[[#This Row],[Ben Code]]&lt;&gt;"",INDEX(tbl_Ben_Info[],MATCH(tbl_Assessment[[#This Row],[Ben Code]],tbl_Ben_Info[Ben Code],0),48),"")</f>
        <v/>
      </c>
      <c r="E13" s="116" t="str">
        <f>IF(tbl_Assessment[[#This Row],[Ben Code]]&lt;&gt;"",INDEX(tbl_Ben_Info[],MATCH(tbl_Assessment[[#This Row],[Ben Code]],tbl_Ben_Info[Ben Code],0),6),"")</f>
        <v/>
      </c>
      <c r="F13" s="113" t="str">
        <f>IF(tbl_Assessment[[#This Row],[Ben Code]]&lt;&gt;"",INDEX(tbl_Ben_Info[],MATCH(tbl_Assessment[[#This Row],[Ben Code]],tbl_Ben_Info[Ben Code],0),13),"")</f>
        <v/>
      </c>
      <c r="G13" s="49"/>
      <c r="H13" s="37"/>
      <c r="I13" s="37"/>
      <c r="J13" s="37"/>
      <c r="K13" s="37"/>
      <c r="L13" s="37"/>
      <c r="M13" s="59"/>
      <c r="N13" s="37"/>
      <c r="O13" s="37"/>
      <c r="P13" s="37"/>
      <c r="Q13" s="59"/>
      <c r="R13" s="49"/>
      <c r="S13" s="37"/>
      <c r="T13" s="37"/>
      <c r="U13" s="37"/>
      <c r="V13" s="37"/>
      <c r="W13" s="96" t="str">
        <f>tbl_Assessment[[#This Row],[Ben Code]] &amp; "-"&amp;tbl_Assessment[[#This Row],[admin4Pcode]]&amp;"-" &amp; TEXT(COUNTIF(INDEX(tbl_Assessment[Ben Code],1):tbl_Assessment[[#This Row],[Ben Code]], tbl_Assessment[[#This Row],[Ben Code]]), "00")</f>
        <v>--00</v>
      </c>
      <c r="X13" s="37"/>
      <c r="Y13" s="37"/>
      <c r="Z13" s="37"/>
      <c r="AA13" s="37"/>
      <c r="AB13" s="37"/>
      <c r="AC13" s="37"/>
      <c r="AD13" s="37"/>
      <c r="AE13" s="37"/>
      <c r="AF13" s="37"/>
      <c r="AG13" s="37"/>
      <c r="AH13" s="37"/>
      <c r="AI13" s="37"/>
      <c r="AJ13" s="37"/>
      <c r="AK13" s="37"/>
      <c r="AL13" s="37"/>
      <c r="AM13" s="37"/>
      <c r="AN13" s="37"/>
      <c r="AO13" s="37"/>
      <c r="AP13" s="37"/>
      <c r="AQ13" s="37"/>
      <c r="AR13" s="37"/>
      <c r="AS13" s="37"/>
      <c r="AT13" s="49"/>
      <c r="AU13" s="41"/>
      <c r="AV13" s="37"/>
      <c r="AW13" s="37"/>
      <c r="AX13" s="37"/>
      <c r="AY13" s="37"/>
      <c r="AZ13" s="37"/>
      <c r="BA13" s="37"/>
      <c r="BB13" s="41"/>
      <c r="BC13" s="37"/>
      <c r="BD13" s="37"/>
      <c r="BE13" s="37"/>
      <c r="BF13" s="41"/>
      <c r="BG13" s="37"/>
      <c r="BH13" s="37"/>
      <c r="BI13" s="37"/>
      <c r="BJ13" s="41"/>
    </row>
    <row r="14" spans="2:62" ht="25.15" customHeight="1" x14ac:dyDescent="0.25">
      <c r="B14" s="49">
        <v>9</v>
      </c>
      <c r="C14" s="37"/>
      <c r="D14" s="87" t="str">
        <f>IF(tbl_Assessment[[#This Row],[Ben Code]]&lt;&gt;"",INDEX(tbl_Ben_Info[],MATCH(tbl_Assessment[[#This Row],[Ben Code]],tbl_Ben_Info[Ben Code],0),48),"")</f>
        <v/>
      </c>
      <c r="E14" s="116" t="str">
        <f>IF(tbl_Assessment[[#This Row],[Ben Code]]&lt;&gt;"",INDEX(tbl_Ben_Info[],MATCH(tbl_Assessment[[#This Row],[Ben Code]],tbl_Ben_Info[Ben Code],0),6),"")</f>
        <v/>
      </c>
      <c r="F14" s="113" t="str">
        <f>IF(tbl_Assessment[[#This Row],[Ben Code]]&lt;&gt;"",INDEX(tbl_Ben_Info[],MATCH(tbl_Assessment[[#This Row],[Ben Code]],tbl_Ben_Info[Ben Code],0),13),"")</f>
        <v/>
      </c>
      <c r="G14" s="49"/>
      <c r="H14" s="37"/>
      <c r="I14" s="37"/>
      <c r="J14" s="37"/>
      <c r="K14" s="37"/>
      <c r="L14" s="37"/>
      <c r="M14" s="59"/>
      <c r="N14" s="37"/>
      <c r="O14" s="37"/>
      <c r="P14" s="37"/>
      <c r="Q14" s="59"/>
      <c r="R14" s="49"/>
      <c r="S14" s="37"/>
      <c r="T14" s="37"/>
      <c r="U14" s="37"/>
      <c r="V14" s="37"/>
      <c r="W14" s="96" t="str">
        <f>tbl_Assessment[[#This Row],[Ben Code]] &amp; "-"&amp;tbl_Assessment[[#This Row],[admin4Pcode]]&amp;"-" &amp; TEXT(COUNTIF(INDEX(tbl_Assessment[Ben Code],1):tbl_Assessment[[#This Row],[Ben Code]], tbl_Assessment[[#This Row],[Ben Code]]), "00")</f>
        <v>--00</v>
      </c>
      <c r="X14" s="37"/>
      <c r="Y14" s="37"/>
      <c r="Z14" s="37"/>
      <c r="AA14" s="37"/>
      <c r="AB14" s="37"/>
      <c r="AC14" s="37"/>
      <c r="AD14" s="37"/>
      <c r="AE14" s="37"/>
      <c r="AF14" s="37"/>
      <c r="AG14" s="37"/>
      <c r="AH14" s="37"/>
      <c r="AI14" s="37"/>
      <c r="AJ14" s="37"/>
      <c r="AK14" s="37"/>
      <c r="AL14" s="37"/>
      <c r="AM14" s="37"/>
      <c r="AN14" s="37"/>
      <c r="AO14" s="37"/>
      <c r="AP14" s="37"/>
      <c r="AQ14" s="37"/>
      <c r="AR14" s="37"/>
      <c r="AS14" s="37"/>
      <c r="AT14" s="49"/>
      <c r="AU14" s="41"/>
      <c r="AV14" s="37"/>
      <c r="AW14" s="37"/>
      <c r="AX14" s="37"/>
      <c r="AY14" s="37"/>
      <c r="AZ14" s="37"/>
      <c r="BA14" s="37"/>
      <c r="BB14" s="41"/>
      <c r="BC14" s="37"/>
      <c r="BD14" s="37"/>
      <c r="BE14" s="37"/>
      <c r="BF14" s="41"/>
      <c r="BG14" s="37"/>
      <c r="BH14" s="37"/>
      <c r="BI14" s="37"/>
      <c r="BJ14" s="41"/>
    </row>
    <row r="15" spans="2:62" ht="25.15" customHeight="1" x14ac:dyDescent="0.25">
      <c r="B15" s="49">
        <v>10</v>
      </c>
      <c r="C15" s="37"/>
      <c r="D15" s="87" t="str">
        <f>IF(tbl_Assessment[[#This Row],[Ben Code]]&lt;&gt;"",INDEX(tbl_Ben_Info[],MATCH(tbl_Assessment[[#This Row],[Ben Code]],tbl_Ben_Info[Ben Code],0),48),"")</f>
        <v/>
      </c>
      <c r="E15" s="116" t="str">
        <f>IF(tbl_Assessment[[#This Row],[Ben Code]]&lt;&gt;"",INDEX(tbl_Ben_Info[],MATCH(tbl_Assessment[[#This Row],[Ben Code]],tbl_Ben_Info[Ben Code],0),6),"")</f>
        <v/>
      </c>
      <c r="F15" s="113" t="str">
        <f>IF(tbl_Assessment[[#This Row],[Ben Code]]&lt;&gt;"",INDEX(tbl_Ben_Info[],MATCH(tbl_Assessment[[#This Row],[Ben Code]],tbl_Ben_Info[Ben Code],0),13),"")</f>
        <v/>
      </c>
      <c r="G15" s="49"/>
      <c r="H15" s="37"/>
      <c r="I15" s="37"/>
      <c r="J15" s="37"/>
      <c r="K15" s="37"/>
      <c r="L15" s="37"/>
      <c r="M15" s="59"/>
      <c r="N15" s="37"/>
      <c r="O15" s="37"/>
      <c r="P15" s="37"/>
      <c r="Q15" s="59"/>
      <c r="R15" s="49"/>
      <c r="S15" s="37"/>
      <c r="T15" s="37"/>
      <c r="U15" s="37"/>
      <c r="V15" s="37"/>
      <c r="W15" s="96" t="str">
        <f>tbl_Assessment[[#This Row],[Ben Code]] &amp; "-"&amp;tbl_Assessment[[#This Row],[admin4Pcode]]&amp;"-" &amp; TEXT(COUNTIF(INDEX(tbl_Assessment[Ben Code],1):tbl_Assessment[[#This Row],[Ben Code]], tbl_Assessment[[#This Row],[Ben Code]]), "00")</f>
        <v>--00</v>
      </c>
      <c r="X15" s="37"/>
      <c r="Y15" s="37"/>
      <c r="Z15" s="37"/>
      <c r="AA15" s="37"/>
      <c r="AB15" s="37"/>
      <c r="AC15" s="37"/>
      <c r="AD15" s="37"/>
      <c r="AE15" s="37"/>
      <c r="AF15" s="37"/>
      <c r="AG15" s="37"/>
      <c r="AH15" s="37"/>
      <c r="AI15" s="37"/>
      <c r="AJ15" s="37"/>
      <c r="AK15" s="37"/>
      <c r="AL15" s="37"/>
      <c r="AM15" s="37"/>
      <c r="AN15" s="37"/>
      <c r="AO15" s="37"/>
      <c r="AP15" s="37"/>
      <c r="AQ15" s="37"/>
      <c r="AR15" s="37"/>
      <c r="AS15" s="37"/>
      <c r="AT15" s="49"/>
      <c r="AU15" s="41"/>
      <c r="AV15" s="37"/>
      <c r="AW15" s="37"/>
      <c r="AX15" s="37"/>
      <c r="AY15" s="37"/>
      <c r="AZ15" s="37"/>
      <c r="BA15" s="37"/>
      <c r="BB15" s="41"/>
      <c r="BC15" s="37"/>
      <c r="BD15" s="37"/>
      <c r="BE15" s="37"/>
      <c r="BF15" s="41"/>
      <c r="BG15" s="37"/>
      <c r="BH15" s="37"/>
      <c r="BI15" s="37"/>
      <c r="BJ15" s="41"/>
    </row>
    <row r="16" spans="2:62" ht="25.15" customHeight="1" x14ac:dyDescent="0.25">
      <c r="B16" s="49">
        <v>11</v>
      </c>
      <c r="C16" s="37"/>
      <c r="D16" s="87" t="str">
        <f>IF(tbl_Assessment[[#This Row],[Ben Code]]&lt;&gt;"",INDEX(tbl_Ben_Info[],MATCH(tbl_Assessment[[#This Row],[Ben Code]],tbl_Ben_Info[Ben Code],0),48),"")</f>
        <v/>
      </c>
      <c r="E16" s="116" t="str">
        <f>IF(tbl_Assessment[[#This Row],[Ben Code]]&lt;&gt;"",INDEX(tbl_Ben_Info[],MATCH(tbl_Assessment[[#This Row],[Ben Code]],tbl_Ben_Info[Ben Code],0),6),"")</f>
        <v/>
      </c>
      <c r="F16" s="113" t="str">
        <f>IF(tbl_Assessment[[#This Row],[Ben Code]]&lt;&gt;"",INDEX(tbl_Ben_Info[],MATCH(tbl_Assessment[[#This Row],[Ben Code]],tbl_Ben_Info[Ben Code],0),13),"")</f>
        <v/>
      </c>
      <c r="G16" s="49"/>
      <c r="H16" s="37"/>
      <c r="I16" s="37"/>
      <c r="J16" s="37"/>
      <c r="K16" s="37"/>
      <c r="L16" s="37"/>
      <c r="M16" s="59"/>
      <c r="N16" s="37"/>
      <c r="O16" s="37"/>
      <c r="P16" s="37"/>
      <c r="Q16" s="59"/>
      <c r="R16" s="49"/>
      <c r="S16" s="37"/>
      <c r="T16" s="37"/>
      <c r="U16" s="37"/>
      <c r="V16" s="37"/>
      <c r="W16" s="96" t="str">
        <f>tbl_Assessment[[#This Row],[Ben Code]] &amp; "-"&amp;tbl_Assessment[[#This Row],[admin4Pcode]]&amp;"-" &amp; TEXT(COUNTIF(INDEX(tbl_Assessment[Ben Code],1):tbl_Assessment[[#This Row],[Ben Code]], tbl_Assessment[[#This Row],[Ben Code]]), "00")</f>
        <v>--00</v>
      </c>
      <c r="X16" s="37"/>
      <c r="Y16" s="37"/>
      <c r="Z16" s="37"/>
      <c r="AA16" s="37"/>
      <c r="AB16" s="37"/>
      <c r="AC16" s="37"/>
      <c r="AD16" s="37"/>
      <c r="AE16" s="37"/>
      <c r="AF16" s="37"/>
      <c r="AG16" s="37"/>
      <c r="AH16" s="37"/>
      <c r="AI16" s="37"/>
      <c r="AJ16" s="37"/>
      <c r="AK16" s="37"/>
      <c r="AL16" s="37"/>
      <c r="AM16" s="37"/>
      <c r="AN16" s="37"/>
      <c r="AO16" s="37"/>
      <c r="AP16" s="37"/>
      <c r="AQ16" s="37"/>
      <c r="AR16" s="37"/>
      <c r="AS16" s="37"/>
      <c r="AT16" s="49"/>
      <c r="AU16" s="41"/>
      <c r="AV16" s="37"/>
      <c r="AW16" s="37"/>
      <c r="AX16" s="37"/>
      <c r="AY16" s="37"/>
      <c r="AZ16" s="37"/>
      <c r="BA16" s="37"/>
      <c r="BB16" s="41"/>
      <c r="BC16" s="37"/>
      <c r="BD16" s="37"/>
      <c r="BE16" s="37"/>
      <c r="BF16" s="41"/>
      <c r="BG16" s="37"/>
      <c r="BH16" s="37"/>
      <c r="BI16" s="37"/>
      <c r="BJ16" s="41"/>
    </row>
    <row r="17" spans="2:62" ht="25.15" customHeight="1" x14ac:dyDescent="0.25">
      <c r="B17" s="49">
        <v>12</v>
      </c>
      <c r="C17" s="37"/>
      <c r="D17" s="87" t="str">
        <f>IF(tbl_Assessment[[#This Row],[Ben Code]]&lt;&gt;"",INDEX(tbl_Ben_Info[],MATCH(tbl_Assessment[[#This Row],[Ben Code]],tbl_Ben_Info[Ben Code],0),48),"")</f>
        <v/>
      </c>
      <c r="E17" s="116" t="str">
        <f>IF(tbl_Assessment[[#This Row],[Ben Code]]&lt;&gt;"",INDEX(tbl_Ben_Info[],MATCH(tbl_Assessment[[#This Row],[Ben Code]],tbl_Ben_Info[Ben Code],0),6),"")</f>
        <v/>
      </c>
      <c r="F17" s="113" t="str">
        <f>IF(tbl_Assessment[[#This Row],[Ben Code]]&lt;&gt;"",INDEX(tbl_Ben_Info[],MATCH(tbl_Assessment[[#This Row],[Ben Code]],tbl_Ben_Info[Ben Code],0),13),"")</f>
        <v/>
      </c>
      <c r="G17" s="49"/>
      <c r="H17" s="37"/>
      <c r="I17" s="37"/>
      <c r="J17" s="37"/>
      <c r="K17" s="37"/>
      <c r="L17" s="37"/>
      <c r="M17" s="59"/>
      <c r="N17" s="37"/>
      <c r="O17" s="37"/>
      <c r="P17" s="37"/>
      <c r="Q17" s="59"/>
      <c r="R17" s="49"/>
      <c r="S17" s="37"/>
      <c r="T17" s="37"/>
      <c r="U17" s="37"/>
      <c r="V17" s="37"/>
      <c r="W17" s="96" t="str">
        <f>tbl_Assessment[[#This Row],[Ben Code]] &amp; "-"&amp;tbl_Assessment[[#This Row],[admin4Pcode]]&amp;"-" &amp; TEXT(COUNTIF(INDEX(tbl_Assessment[Ben Code],1):tbl_Assessment[[#This Row],[Ben Code]], tbl_Assessment[[#This Row],[Ben Code]]), "00")</f>
        <v>--00</v>
      </c>
      <c r="X17" s="37"/>
      <c r="Y17" s="37"/>
      <c r="Z17" s="37"/>
      <c r="AA17" s="37"/>
      <c r="AB17" s="37"/>
      <c r="AC17" s="37"/>
      <c r="AD17" s="37"/>
      <c r="AE17" s="37"/>
      <c r="AF17" s="37"/>
      <c r="AG17" s="37"/>
      <c r="AH17" s="37"/>
      <c r="AI17" s="37"/>
      <c r="AJ17" s="37"/>
      <c r="AK17" s="37"/>
      <c r="AL17" s="37"/>
      <c r="AM17" s="37"/>
      <c r="AN17" s="37"/>
      <c r="AO17" s="37"/>
      <c r="AP17" s="37"/>
      <c r="AQ17" s="37"/>
      <c r="AR17" s="37"/>
      <c r="AS17" s="37"/>
      <c r="AT17" s="49"/>
      <c r="AU17" s="41"/>
      <c r="AV17" s="37"/>
      <c r="AW17" s="37"/>
      <c r="AX17" s="37"/>
      <c r="AY17" s="37"/>
      <c r="AZ17" s="37"/>
      <c r="BA17" s="37"/>
      <c r="BB17" s="41"/>
      <c r="BC17" s="37"/>
      <c r="BD17" s="37"/>
      <c r="BE17" s="37"/>
      <c r="BF17" s="41"/>
      <c r="BG17" s="37"/>
      <c r="BH17" s="37"/>
      <c r="BI17" s="37"/>
      <c r="BJ17" s="41"/>
    </row>
    <row r="18" spans="2:62" ht="25.15" customHeight="1" x14ac:dyDescent="0.25">
      <c r="B18" s="49">
        <v>13</v>
      </c>
      <c r="C18" s="37"/>
      <c r="D18" s="87" t="str">
        <f>IF(tbl_Assessment[[#This Row],[Ben Code]]&lt;&gt;"",INDEX(tbl_Ben_Info[],MATCH(tbl_Assessment[[#This Row],[Ben Code]],tbl_Ben_Info[Ben Code],0),48),"")</f>
        <v/>
      </c>
      <c r="E18" s="116" t="str">
        <f>IF(tbl_Assessment[[#This Row],[Ben Code]]&lt;&gt;"",INDEX(tbl_Ben_Info[],MATCH(tbl_Assessment[[#This Row],[Ben Code]],tbl_Ben_Info[Ben Code],0),6),"")</f>
        <v/>
      </c>
      <c r="F18" s="113" t="str">
        <f>IF(tbl_Assessment[[#This Row],[Ben Code]]&lt;&gt;"",INDEX(tbl_Ben_Info[],MATCH(tbl_Assessment[[#This Row],[Ben Code]],tbl_Ben_Info[Ben Code],0),13),"")</f>
        <v/>
      </c>
      <c r="G18" s="49"/>
      <c r="H18" s="37"/>
      <c r="I18" s="37"/>
      <c r="J18" s="37"/>
      <c r="K18" s="37"/>
      <c r="L18" s="37"/>
      <c r="M18" s="59"/>
      <c r="N18" s="37"/>
      <c r="O18" s="37"/>
      <c r="P18" s="37"/>
      <c r="Q18" s="59"/>
      <c r="R18" s="49"/>
      <c r="S18" s="37"/>
      <c r="T18" s="37"/>
      <c r="U18" s="37"/>
      <c r="V18" s="37"/>
      <c r="W18" s="96" t="str">
        <f>tbl_Assessment[[#This Row],[Ben Code]] &amp; "-"&amp;tbl_Assessment[[#This Row],[admin4Pcode]]&amp;"-" &amp; TEXT(COUNTIF(INDEX(tbl_Assessment[Ben Code],1):tbl_Assessment[[#This Row],[Ben Code]], tbl_Assessment[[#This Row],[Ben Code]]), "00")</f>
        <v>--00</v>
      </c>
      <c r="X18" s="37"/>
      <c r="Y18" s="37"/>
      <c r="Z18" s="37"/>
      <c r="AA18" s="37"/>
      <c r="AB18" s="37"/>
      <c r="AC18" s="37"/>
      <c r="AD18" s="37"/>
      <c r="AE18" s="37"/>
      <c r="AF18" s="37"/>
      <c r="AG18" s="37"/>
      <c r="AH18" s="37"/>
      <c r="AI18" s="37"/>
      <c r="AJ18" s="37"/>
      <c r="AK18" s="37"/>
      <c r="AL18" s="37"/>
      <c r="AM18" s="37"/>
      <c r="AN18" s="37"/>
      <c r="AO18" s="37"/>
      <c r="AP18" s="37"/>
      <c r="AQ18" s="37"/>
      <c r="AR18" s="37"/>
      <c r="AS18" s="37"/>
      <c r="AT18" s="49"/>
      <c r="AU18" s="41"/>
      <c r="AV18" s="37"/>
      <c r="AW18" s="37"/>
      <c r="AX18" s="37"/>
      <c r="AY18" s="37"/>
      <c r="AZ18" s="37"/>
      <c r="BA18" s="37"/>
      <c r="BB18" s="41"/>
      <c r="BC18" s="37"/>
      <c r="BD18" s="37"/>
      <c r="BE18" s="37"/>
      <c r="BF18" s="41"/>
      <c r="BG18" s="37"/>
      <c r="BH18" s="37"/>
      <c r="BI18" s="37"/>
      <c r="BJ18" s="41"/>
    </row>
    <row r="19" spans="2:62" ht="25.15" customHeight="1" x14ac:dyDescent="0.25">
      <c r="B19" s="49">
        <v>14</v>
      </c>
      <c r="C19" s="37"/>
      <c r="D19" s="87" t="str">
        <f>IF(tbl_Assessment[[#This Row],[Ben Code]]&lt;&gt;"",INDEX(tbl_Ben_Info[],MATCH(tbl_Assessment[[#This Row],[Ben Code]],tbl_Ben_Info[Ben Code],0),48),"")</f>
        <v/>
      </c>
      <c r="E19" s="116" t="str">
        <f>IF(tbl_Assessment[[#This Row],[Ben Code]]&lt;&gt;"",INDEX(tbl_Ben_Info[],MATCH(tbl_Assessment[[#This Row],[Ben Code]],tbl_Ben_Info[Ben Code],0),6),"")</f>
        <v/>
      </c>
      <c r="F19" s="113" t="str">
        <f>IF(tbl_Assessment[[#This Row],[Ben Code]]&lt;&gt;"",INDEX(tbl_Ben_Info[],MATCH(tbl_Assessment[[#This Row],[Ben Code]],tbl_Ben_Info[Ben Code],0),13),"")</f>
        <v/>
      </c>
      <c r="G19" s="49"/>
      <c r="H19" s="37"/>
      <c r="I19" s="37"/>
      <c r="J19" s="37"/>
      <c r="K19" s="37"/>
      <c r="L19" s="37"/>
      <c r="M19" s="59"/>
      <c r="N19" s="37"/>
      <c r="O19" s="37"/>
      <c r="P19" s="37"/>
      <c r="Q19" s="59"/>
      <c r="R19" s="49"/>
      <c r="S19" s="37"/>
      <c r="T19" s="37"/>
      <c r="U19" s="37"/>
      <c r="V19" s="37"/>
      <c r="W19" s="96" t="str">
        <f>tbl_Assessment[[#This Row],[Ben Code]] &amp; "-"&amp;tbl_Assessment[[#This Row],[admin4Pcode]]&amp;"-" &amp; TEXT(COUNTIF(INDEX(tbl_Assessment[Ben Code],1):tbl_Assessment[[#This Row],[Ben Code]], tbl_Assessment[[#This Row],[Ben Code]]), "00")</f>
        <v>--00</v>
      </c>
      <c r="X19" s="37"/>
      <c r="Y19" s="37"/>
      <c r="Z19" s="37"/>
      <c r="AA19" s="37"/>
      <c r="AB19" s="37"/>
      <c r="AC19" s="37"/>
      <c r="AD19" s="37"/>
      <c r="AE19" s="37"/>
      <c r="AF19" s="37"/>
      <c r="AG19" s="37"/>
      <c r="AH19" s="37"/>
      <c r="AI19" s="37"/>
      <c r="AJ19" s="37"/>
      <c r="AK19" s="37"/>
      <c r="AL19" s="37"/>
      <c r="AM19" s="37"/>
      <c r="AN19" s="37"/>
      <c r="AO19" s="37"/>
      <c r="AP19" s="37"/>
      <c r="AQ19" s="37"/>
      <c r="AR19" s="37"/>
      <c r="AS19" s="37"/>
      <c r="AT19" s="49"/>
      <c r="AU19" s="41"/>
      <c r="AV19" s="37"/>
      <c r="AW19" s="37"/>
      <c r="AX19" s="37"/>
      <c r="AY19" s="37"/>
      <c r="AZ19" s="37"/>
      <c r="BA19" s="37"/>
      <c r="BB19" s="41"/>
      <c r="BC19" s="37"/>
      <c r="BD19" s="37"/>
      <c r="BE19" s="37"/>
      <c r="BF19" s="41"/>
      <c r="BG19" s="37"/>
      <c r="BH19" s="37"/>
      <c r="BI19" s="37"/>
      <c r="BJ19" s="41"/>
    </row>
    <row r="20" spans="2:62" ht="25.15" customHeight="1" x14ac:dyDescent="0.25">
      <c r="B20" s="49">
        <v>15</v>
      </c>
      <c r="C20" s="37"/>
      <c r="D20" s="87" t="str">
        <f>IF(tbl_Assessment[[#This Row],[Ben Code]]&lt;&gt;"",INDEX(tbl_Ben_Info[],MATCH(tbl_Assessment[[#This Row],[Ben Code]],tbl_Ben_Info[Ben Code],0),48),"")</f>
        <v/>
      </c>
      <c r="E20" s="116" t="str">
        <f>IF(tbl_Assessment[[#This Row],[Ben Code]]&lt;&gt;"",INDEX(tbl_Ben_Info[],MATCH(tbl_Assessment[[#This Row],[Ben Code]],tbl_Ben_Info[Ben Code],0),6),"")</f>
        <v/>
      </c>
      <c r="F20" s="113" t="str">
        <f>IF(tbl_Assessment[[#This Row],[Ben Code]]&lt;&gt;"",INDEX(tbl_Ben_Info[],MATCH(tbl_Assessment[[#This Row],[Ben Code]],tbl_Ben_Info[Ben Code],0),13),"")</f>
        <v/>
      </c>
      <c r="G20" s="49"/>
      <c r="H20" s="37"/>
      <c r="I20" s="37"/>
      <c r="J20" s="37"/>
      <c r="K20" s="37"/>
      <c r="L20" s="37"/>
      <c r="M20" s="59"/>
      <c r="N20" s="37"/>
      <c r="O20" s="37"/>
      <c r="P20" s="37"/>
      <c r="Q20" s="59"/>
      <c r="R20" s="49"/>
      <c r="S20" s="37"/>
      <c r="T20" s="37"/>
      <c r="U20" s="37"/>
      <c r="V20" s="37"/>
      <c r="W20" s="96" t="str">
        <f>tbl_Assessment[[#This Row],[Ben Code]] &amp; "-"&amp;tbl_Assessment[[#This Row],[admin4Pcode]]&amp;"-" &amp; TEXT(COUNTIF(INDEX(tbl_Assessment[Ben Code],1):tbl_Assessment[[#This Row],[Ben Code]], tbl_Assessment[[#This Row],[Ben Code]]), "00")</f>
        <v>--00</v>
      </c>
      <c r="X20" s="37"/>
      <c r="Y20" s="37"/>
      <c r="Z20" s="37"/>
      <c r="AA20" s="37"/>
      <c r="AB20" s="37"/>
      <c r="AC20" s="37"/>
      <c r="AD20" s="37"/>
      <c r="AE20" s="37"/>
      <c r="AF20" s="37"/>
      <c r="AG20" s="37"/>
      <c r="AH20" s="37"/>
      <c r="AI20" s="37"/>
      <c r="AJ20" s="37"/>
      <c r="AK20" s="37"/>
      <c r="AL20" s="37"/>
      <c r="AM20" s="37"/>
      <c r="AN20" s="37"/>
      <c r="AO20" s="37"/>
      <c r="AP20" s="37"/>
      <c r="AQ20" s="37"/>
      <c r="AR20" s="37"/>
      <c r="AS20" s="37"/>
      <c r="AT20" s="49"/>
      <c r="AU20" s="41"/>
      <c r="AV20" s="37"/>
      <c r="AW20" s="37"/>
      <c r="AX20" s="37"/>
      <c r="AY20" s="37"/>
      <c r="AZ20" s="37"/>
      <c r="BA20" s="37"/>
      <c r="BB20" s="41"/>
      <c r="BC20" s="37"/>
      <c r="BD20" s="37"/>
      <c r="BE20" s="37"/>
      <c r="BF20" s="41"/>
      <c r="BG20" s="37"/>
      <c r="BH20" s="37"/>
      <c r="BI20" s="37"/>
      <c r="BJ20" s="41"/>
    </row>
    <row r="21" spans="2:62" ht="25.15" customHeight="1" x14ac:dyDescent="0.25">
      <c r="B21" s="49">
        <v>16</v>
      </c>
      <c r="C21" s="37"/>
      <c r="D21" s="87" t="str">
        <f>IF(tbl_Assessment[[#This Row],[Ben Code]]&lt;&gt;"",INDEX(tbl_Ben_Info[],MATCH(tbl_Assessment[[#This Row],[Ben Code]],tbl_Ben_Info[Ben Code],0),48),"")</f>
        <v/>
      </c>
      <c r="E21" s="116" t="str">
        <f>IF(tbl_Assessment[[#This Row],[Ben Code]]&lt;&gt;"",INDEX(tbl_Ben_Info[],MATCH(tbl_Assessment[[#This Row],[Ben Code]],tbl_Ben_Info[Ben Code],0),6),"")</f>
        <v/>
      </c>
      <c r="F21" s="113" t="str">
        <f>IF(tbl_Assessment[[#This Row],[Ben Code]]&lt;&gt;"",INDEX(tbl_Ben_Info[],MATCH(tbl_Assessment[[#This Row],[Ben Code]],tbl_Ben_Info[Ben Code],0),13),"")</f>
        <v/>
      </c>
      <c r="G21" s="49"/>
      <c r="H21" s="37"/>
      <c r="I21" s="37"/>
      <c r="J21" s="37"/>
      <c r="K21" s="37"/>
      <c r="L21" s="37"/>
      <c r="M21" s="59"/>
      <c r="N21" s="37"/>
      <c r="O21" s="37"/>
      <c r="P21" s="37"/>
      <c r="Q21" s="59"/>
      <c r="R21" s="49"/>
      <c r="S21" s="37"/>
      <c r="T21" s="37"/>
      <c r="U21" s="37"/>
      <c r="V21" s="37"/>
      <c r="W21" s="96" t="str">
        <f>tbl_Assessment[[#This Row],[Ben Code]] &amp; "-"&amp;tbl_Assessment[[#This Row],[admin4Pcode]]&amp;"-" &amp; TEXT(COUNTIF(INDEX(tbl_Assessment[Ben Code],1):tbl_Assessment[[#This Row],[Ben Code]], tbl_Assessment[[#This Row],[Ben Code]]), "00")</f>
        <v>--00</v>
      </c>
      <c r="X21" s="37"/>
      <c r="Y21" s="37"/>
      <c r="Z21" s="37"/>
      <c r="AA21" s="37"/>
      <c r="AB21" s="37"/>
      <c r="AC21" s="37"/>
      <c r="AD21" s="37"/>
      <c r="AE21" s="37"/>
      <c r="AF21" s="37"/>
      <c r="AG21" s="37"/>
      <c r="AH21" s="37"/>
      <c r="AI21" s="37"/>
      <c r="AJ21" s="37"/>
      <c r="AK21" s="37"/>
      <c r="AL21" s="37"/>
      <c r="AM21" s="37"/>
      <c r="AN21" s="37"/>
      <c r="AO21" s="37"/>
      <c r="AP21" s="37"/>
      <c r="AQ21" s="37"/>
      <c r="AR21" s="37"/>
      <c r="AS21" s="37"/>
      <c r="AT21" s="49"/>
      <c r="AU21" s="41"/>
      <c r="AV21" s="37"/>
      <c r="AW21" s="37"/>
      <c r="AX21" s="37"/>
      <c r="AY21" s="37"/>
      <c r="AZ21" s="37"/>
      <c r="BA21" s="37"/>
      <c r="BB21" s="41"/>
      <c r="BC21" s="37"/>
      <c r="BD21" s="37"/>
      <c r="BE21" s="37"/>
      <c r="BF21" s="41"/>
      <c r="BG21" s="37"/>
      <c r="BH21" s="37"/>
      <c r="BI21" s="37"/>
      <c r="BJ21" s="41"/>
    </row>
    <row r="22" spans="2:62" ht="25.15" customHeight="1" x14ac:dyDescent="0.25">
      <c r="B22" s="49">
        <v>17</v>
      </c>
      <c r="C22" s="37"/>
      <c r="D22" s="87" t="str">
        <f>IF(tbl_Assessment[[#This Row],[Ben Code]]&lt;&gt;"",INDEX(tbl_Ben_Info[],MATCH(tbl_Assessment[[#This Row],[Ben Code]],tbl_Ben_Info[Ben Code],0),48),"")</f>
        <v/>
      </c>
      <c r="E22" s="116" t="str">
        <f>IF(tbl_Assessment[[#This Row],[Ben Code]]&lt;&gt;"",INDEX(tbl_Ben_Info[],MATCH(tbl_Assessment[[#This Row],[Ben Code]],tbl_Ben_Info[Ben Code],0),6),"")</f>
        <v/>
      </c>
      <c r="F22" s="113" t="str">
        <f>IF(tbl_Assessment[[#This Row],[Ben Code]]&lt;&gt;"",INDEX(tbl_Ben_Info[],MATCH(tbl_Assessment[[#This Row],[Ben Code]],tbl_Ben_Info[Ben Code],0),13),"")</f>
        <v/>
      </c>
      <c r="G22" s="49"/>
      <c r="H22" s="37"/>
      <c r="I22" s="37"/>
      <c r="J22" s="37"/>
      <c r="K22" s="37"/>
      <c r="L22" s="37"/>
      <c r="M22" s="59"/>
      <c r="N22" s="37"/>
      <c r="O22" s="37"/>
      <c r="P22" s="37"/>
      <c r="Q22" s="59"/>
      <c r="R22" s="49"/>
      <c r="S22" s="37"/>
      <c r="T22" s="37"/>
      <c r="U22" s="37"/>
      <c r="V22" s="37"/>
      <c r="W22" s="96" t="str">
        <f>tbl_Assessment[[#This Row],[Ben Code]] &amp; "-"&amp;tbl_Assessment[[#This Row],[admin4Pcode]]&amp;"-" &amp; TEXT(COUNTIF(INDEX(tbl_Assessment[Ben Code],1):tbl_Assessment[[#This Row],[Ben Code]], tbl_Assessment[[#This Row],[Ben Code]]), "00")</f>
        <v>--00</v>
      </c>
      <c r="X22" s="37"/>
      <c r="Y22" s="37"/>
      <c r="Z22" s="37"/>
      <c r="AA22" s="37"/>
      <c r="AB22" s="37"/>
      <c r="AC22" s="37"/>
      <c r="AD22" s="37"/>
      <c r="AE22" s="37"/>
      <c r="AF22" s="37"/>
      <c r="AG22" s="37"/>
      <c r="AH22" s="37"/>
      <c r="AI22" s="37"/>
      <c r="AJ22" s="37"/>
      <c r="AK22" s="37"/>
      <c r="AL22" s="37"/>
      <c r="AM22" s="37"/>
      <c r="AN22" s="37"/>
      <c r="AO22" s="37"/>
      <c r="AP22" s="37"/>
      <c r="AQ22" s="37"/>
      <c r="AR22" s="37"/>
      <c r="AS22" s="37"/>
      <c r="AT22" s="49"/>
      <c r="AU22" s="41"/>
      <c r="AV22" s="37"/>
      <c r="AW22" s="37"/>
      <c r="AX22" s="37"/>
      <c r="AY22" s="37"/>
      <c r="AZ22" s="37"/>
      <c r="BA22" s="37"/>
      <c r="BB22" s="41"/>
      <c r="BC22" s="37"/>
      <c r="BD22" s="37"/>
      <c r="BE22" s="37"/>
      <c r="BF22" s="41"/>
      <c r="BG22" s="37"/>
      <c r="BH22" s="37"/>
      <c r="BI22" s="37"/>
      <c r="BJ22" s="41"/>
    </row>
    <row r="23" spans="2:62" ht="25.15" customHeight="1" x14ac:dyDescent="0.25">
      <c r="B23" s="49">
        <v>18</v>
      </c>
      <c r="C23" s="37"/>
      <c r="D23" s="87" t="str">
        <f>IF(tbl_Assessment[[#This Row],[Ben Code]]&lt;&gt;"",INDEX(tbl_Ben_Info[],MATCH(tbl_Assessment[[#This Row],[Ben Code]],tbl_Ben_Info[Ben Code],0),48),"")</f>
        <v/>
      </c>
      <c r="E23" s="116" t="str">
        <f>IF(tbl_Assessment[[#This Row],[Ben Code]]&lt;&gt;"",INDEX(tbl_Ben_Info[],MATCH(tbl_Assessment[[#This Row],[Ben Code]],tbl_Ben_Info[Ben Code],0),6),"")</f>
        <v/>
      </c>
      <c r="F23" s="113" t="str">
        <f>IF(tbl_Assessment[[#This Row],[Ben Code]]&lt;&gt;"",INDEX(tbl_Ben_Info[],MATCH(tbl_Assessment[[#This Row],[Ben Code]],tbl_Ben_Info[Ben Code],0),13),"")</f>
        <v/>
      </c>
      <c r="G23" s="49"/>
      <c r="H23" s="37"/>
      <c r="I23" s="37"/>
      <c r="J23" s="37"/>
      <c r="K23" s="37"/>
      <c r="L23" s="37"/>
      <c r="M23" s="59"/>
      <c r="N23" s="37"/>
      <c r="O23" s="37"/>
      <c r="P23" s="37"/>
      <c r="Q23" s="59"/>
      <c r="R23" s="49"/>
      <c r="S23" s="37"/>
      <c r="T23" s="37"/>
      <c r="U23" s="37"/>
      <c r="V23" s="37"/>
      <c r="W23" s="96" t="str">
        <f>tbl_Assessment[[#This Row],[Ben Code]] &amp; "-"&amp;tbl_Assessment[[#This Row],[admin4Pcode]]&amp;"-" &amp; TEXT(COUNTIF(INDEX(tbl_Assessment[Ben Code],1):tbl_Assessment[[#This Row],[Ben Code]], tbl_Assessment[[#This Row],[Ben Code]]), "00")</f>
        <v>--00</v>
      </c>
      <c r="X23" s="37"/>
      <c r="Y23" s="37"/>
      <c r="Z23" s="37"/>
      <c r="AA23" s="37"/>
      <c r="AB23" s="37"/>
      <c r="AC23" s="37"/>
      <c r="AD23" s="37"/>
      <c r="AE23" s="37"/>
      <c r="AF23" s="37"/>
      <c r="AG23" s="37"/>
      <c r="AH23" s="37"/>
      <c r="AI23" s="37"/>
      <c r="AJ23" s="37"/>
      <c r="AK23" s="37"/>
      <c r="AL23" s="37"/>
      <c r="AM23" s="37"/>
      <c r="AN23" s="37"/>
      <c r="AO23" s="37"/>
      <c r="AP23" s="37"/>
      <c r="AQ23" s="37"/>
      <c r="AR23" s="37"/>
      <c r="AS23" s="37"/>
      <c r="AT23" s="49"/>
      <c r="AU23" s="41"/>
      <c r="AV23" s="37"/>
      <c r="AW23" s="37"/>
      <c r="AX23" s="37"/>
      <c r="AY23" s="37"/>
      <c r="AZ23" s="37"/>
      <c r="BA23" s="37"/>
      <c r="BB23" s="41"/>
      <c r="BC23" s="37"/>
      <c r="BD23" s="37"/>
      <c r="BE23" s="37"/>
      <c r="BF23" s="41"/>
      <c r="BG23" s="37"/>
      <c r="BH23" s="37"/>
      <c r="BI23" s="37"/>
      <c r="BJ23" s="41"/>
    </row>
    <row r="24" spans="2:62" ht="25.15" customHeight="1" x14ac:dyDescent="0.25">
      <c r="B24" s="49">
        <v>19</v>
      </c>
      <c r="C24" s="37"/>
      <c r="D24" s="87" t="str">
        <f>IF(tbl_Assessment[[#This Row],[Ben Code]]&lt;&gt;"",INDEX(tbl_Ben_Info[],MATCH(tbl_Assessment[[#This Row],[Ben Code]],tbl_Ben_Info[Ben Code],0),48),"")</f>
        <v/>
      </c>
      <c r="E24" s="116" t="str">
        <f>IF(tbl_Assessment[[#This Row],[Ben Code]]&lt;&gt;"",INDEX(tbl_Ben_Info[],MATCH(tbl_Assessment[[#This Row],[Ben Code]],tbl_Ben_Info[Ben Code],0),6),"")</f>
        <v/>
      </c>
      <c r="F24" s="113" t="str">
        <f>IF(tbl_Assessment[[#This Row],[Ben Code]]&lt;&gt;"",INDEX(tbl_Ben_Info[],MATCH(tbl_Assessment[[#This Row],[Ben Code]],tbl_Ben_Info[Ben Code],0),13),"")</f>
        <v/>
      </c>
      <c r="G24" s="49"/>
      <c r="H24" s="37"/>
      <c r="I24" s="37"/>
      <c r="J24" s="37"/>
      <c r="K24" s="37"/>
      <c r="L24" s="37"/>
      <c r="M24" s="59"/>
      <c r="N24" s="37"/>
      <c r="O24" s="37"/>
      <c r="P24" s="37"/>
      <c r="Q24" s="59"/>
      <c r="R24" s="49"/>
      <c r="S24" s="37"/>
      <c r="T24" s="37"/>
      <c r="U24" s="37"/>
      <c r="V24" s="37"/>
      <c r="W24" s="96" t="str">
        <f>tbl_Assessment[[#This Row],[Ben Code]] &amp; "-"&amp;tbl_Assessment[[#This Row],[admin4Pcode]]&amp;"-" &amp; TEXT(COUNTIF(INDEX(tbl_Assessment[Ben Code],1):tbl_Assessment[[#This Row],[Ben Code]], tbl_Assessment[[#This Row],[Ben Code]]), "00")</f>
        <v>--00</v>
      </c>
      <c r="X24" s="37"/>
      <c r="Y24" s="37"/>
      <c r="Z24" s="37"/>
      <c r="AA24" s="37"/>
      <c r="AB24" s="37"/>
      <c r="AC24" s="37"/>
      <c r="AD24" s="37"/>
      <c r="AE24" s="37"/>
      <c r="AF24" s="37"/>
      <c r="AG24" s="37"/>
      <c r="AH24" s="37"/>
      <c r="AI24" s="37"/>
      <c r="AJ24" s="37"/>
      <c r="AK24" s="37"/>
      <c r="AL24" s="37"/>
      <c r="AM24" s="37"/>
      <c r="AN24" s="37"/>
      <c r="AO24" s="37"/>
      <c r="AP24" s="37"/>
      <c r="AQ24" s="37"/>
      <c r="AR24" s="37"/>
      <c r="AS24" s="37"/>
      <c r="AT24" s="49"/>
      <c r="AU24" s="41"/>
      <c r="AV24" s="37"/>
      <c r="AW24" s="37"/>
      <c r="AX24" s="37"/>
      <c r="AY24" s="37"/>
      <c r="AZ24" s="37"/>
      <c r="BA24" s="37"/>
      <c r="BB24" s="41"/>
      <c r="BC24" s="37"/>
      <c r="BD24" s="37"/>
      <c r="BE24" s="37"/>
      <c r="BF24" s="41"/>
      <c r="BG24" s="37"/>
      <c r="BH24" s="37"/>
      <c r="BI24" s="37"/>
      <c r="BJ24" s="41"/>
    </row>
    <row r="25" spans="2:62" ht="25.15" customHeight="1" x14ac:dyDescent="0.25">
      <c r="B25" s="49">
        <v>20</v>
      </c>
      <c r="C25" s="37"/>
      <c r="D25" s="87" t="str">
        <f>IF(tbl_Assessment[[#This Row],[Ben Code]]&lt;&gt;"",INDEX(tbl_Ben_Info[],MATCH(tbl_Assessment[[#This Row],[Ben Code]],tbl_Ben_Info[Ben Code],0),48),"")</f>
        <v/>
      </c>
      <c r="E25" s="116" t="str">
        <f>IF(tbl_Assessment[[#This Row],[Ben Code]]&lt;&gt;"",INDEX(tbl_Ben_Info[],MATCH(tbl_Assessment[[#This Row],[Ben Code]],tbl_Ben_Info[Ben Code],0),6),"")</f>
        <v/>
      </c>
      <c r="F25" s="113" t="str">
        <f>IF(tbl_Assessment[[#This Row],[Ben Code]]&lt;&gt;"",INDEX(tbl_Ben_Info[],MATCH(tbl_Assessment[[#This Row],[Ben Code]],tbl_Ben_Info[Ben Code],0),13),"")</f>
        <v/>
      </c>
      <c r="G25" s="49"/>
      <c r="H25" s="37"/>
      <c r="I25" s="37"/>
      <c r="J25" s="37"/>
      <c r="K25" s="37"/>
      <c r="L25" s="37"/>
      <c r="M25" s="59"/>
      <c r="N25" s="37"/>
      <c r="O25" s="37"/>
      <c r="P25" s="37"/>
      <c r="Q25" s="59"/>
      <c r="R25" s="49"/>
      <c r="S25" s="37"/>
      <c r="T25" s="37"/>
      <c r="U25" s="37"/>
      <c r="V25" s="37"/>
      <c r="W25" s="96" t="str">
        <f>tbl_Assessment[[#This Row],[Ben Code]] &amp; "-"&amp;tbl_Assessment[[#This Row],[admin4Pcode]]&amp;"-" &amp; TEXT(COUNTIF(INDEX(tbl_Assessment[Ben Code],1):tbl_Assessment[[#This Row],[Ben Code]], tbl_Assessment[[#This Row],[Ben Code]]), "00")</f>
        <v>--00</v>
      </c>
      <c r="X25" s="37"/>
      <c r="Y25" s="37"/>
      <c r="Z25" s="37"/>
      <c r="AA25" s="37"/>
      <c r="AB25" s="37"/>
      <c r="AC25" s="37"/>
      <c r="AD25" s="37"/>
      <c r="AE25" s="37"/>
      <c r="AF25" s="37"/>
      <c r="AG25" s="37"/>
      <c r="AH25" s="37"/>
      <c r="AI25" s="37"/>
      <c r="AJ25" s="37"/>
      <c r="AK25" s="37"/>
      <c r="AL25" s="37"/>
      <c r="AM25" s="37"/>
      <c r="AN25" s="37"/>
      <c r="AO25" s="37"/>
      <c r="AP25" s="37"/>
      <c r="AQ25" s="37"/>
      <c r="AR25" s="37"/>
      <c r="AS25" s="37"/>
      <c r="AT25" s="49"/>
      <c r="AU25" s="41"/>
      <c r="AV25" s="37"/>
      <c r="AW25" s="37"/>
      <c r="AX25" s="37"/>
      <c r="AY25" s="37"/>
      <c r="AZ25" s="37"/>
      <c r="BA25" s="37"/>
      <c r="BB25" s="41"/>
      <c r="BC25" s="37"/>
      <c r="BD25" s="37"/>
      <c r="BE25" s="37"/>
      <c r="BF25" s="41"/>
      <c r="BG25" s="37"/>
      <c r="BH25" s="37"/>
      <c r="BI25" s="37"/>
      <c r="BJ25" s="41"/>
    </row>
    <row r="26" spans="2:62" ht="25.15" customHeight="1" x14ac:dyDescent="0.25">
      <c r="B26" s="49">
        <v>21</v>
      </c>
      <c r="C26" s="37"/>
      <c r="D26" s="87" t="str">
        <f>IF(tbl_Assessment[[#This Row],[Ben Code]]&lt;&gt;"",INDEX(tbl_Ben_Info[],MATCH(tbl_Assessment[[#This Row],[Ben Code]],tbl_Ben_Info[Ben Code],0),48),"")</f>
        <v/>
      </c>
      <c r="E26" s="116" t="str">
        <f>IF(tbl_Assessment[[#This Row],[Ben Code]]&lt;&gt;"",INDEX(tbl_Ben_Info[],MATCH(tbl_Assessment[[#This Row],[Ben Code]],tbl_Ben_Info[Ben Code],0),6),"")</f>
        <v/>
      </c>
      <c r="F26" s="113" t="str">
        <f>IF(tbl_Assessment[[#This Row],[Ben Code]]&lt;&gt;"",INDEX(tbl_Ben_Info[],MATCH(tbl_Assessment[[#This Row],[Ben Code]],tbl_Ben_Info[Ben Code],0),13),"")</f>
        <v/>
      </c>
      <c r="G26" s="49"/>
      <c r="H26" s="37"/>
      <c r="I26" s="37"/>
      <c r="J26" s="37"/>
      <c r="K26" s="37"/>
      <c r="L26" s="37"/>
      <c r="M26" s="59"/>
      <c r="N26" s="37"/>
      <c r="O26" s="37"/>
      <c r="P26" s="37"/>
      <c r="Q26" s="59"/>
      <c r="R26" s="49"/>
      <c r="S26" s="37"/>
      <c r="T26" s="37"/>
      <c r="U26" s="37"/>
      <c r="V26" s="37"/>
      <c r="W26" s="96" t="str">
        <f>tbl_Assessment[[#This Row],[Ben Code]] &amp; "-"&amp;tbl_Assessment[[#This Row],[admin4Pcode]]&amp;"-" &amp; TEXT(COUNTIF(INDEX(tbl_Assessment[Ben Code],1):tbl_Assessment[[#This Row],[Ben Code]], tbl_Assessment[[#This Row],[Ben Code]]), "00")</f>
        <v>--00</v>
      </c>
      <c r="X26" s="37"/>
      <c r="Y26" s="37"/>
      <c r="Z26" s="37"/>
      <c r="AA26" s="37"/>
      <c r="AB26" s="37"/>
      <c r="AC26" s="37"/>
      <c r="AD26" s="37"/>
      <c r="AE26" s="37"/>
      <c r="AF26" s="37"/>
      <c r="AG26" s="37"/>
      <c r="AH26" s="37"/>
      <c r="AI26" s="37"/>
      <c r="AJ26" s="37"/>
      <c r="AK26" s="37"/>
      <c r="AL26" s="37"/>
      <c r="AM26" s="37"/>
      <c r="AN26" s="37"/>
      <c r="AO26" s="37"/>
      <c r="AP26" s="37"/>
      <c r="AQ26" s="37"/>
      <c r="AR26" s="37"/>
      <c r="AS26" s="37"/>
      <c r="AT26" s="49"/>
      <c r="AU26" s="41"/>
      <c r="AV26" s="37"/>
      <c r="AW26" s="37"/>
      <c r="AX26" s="37"/>
      <c r="AY26" s="37"/>
      <c r="AZ26" s="37"/>
      <c r="BA26" s="37"/>
      <c r="BB26" s="41"/>
      <c r="BC26" s="37"/>
      <c r="BD26" s="37"/>
      <c r="BE26" s="37"/>
      <c r="BF26" s="41"/>
      <c r="BG26" s="37"/>
      <c r="BH26" s="37"/>
      <c r="BI26" s="37"/>
      <c r="BJ26" s="41"/>
    </row>
    <row r="27" spans="2:62" ht="25.15" customHeight="1" x14ac:dyDescent="0.25">
      <c r="B27" s="49">
        <v>22</v>
      </c>
      <c r="C27" s="37"/>
      <c r="D27" s="87" t="str">
        <f>IF(tbl_Assessment[[#This Row],[Ben Code]]&lt;&gt;"",INDEX(tbl_Ben_Info[],MATCH(tbl_Assessment[[#This Row],[Ben Code]],tbl_Ben_Info[Ben Code],0),48),"")</f>
        <v/>
      </c>
      <c r="E27" s="116" t="str">
        <f>IF(tbl_Assessment[[#This Row],[Ben Code]]&lt;&gt;"",INDEX(tbl_Ben_Info[],MATCH(tbl_Assessment[[#This Row],[Ben Code]],tbl_Ben_Info[Ben Code],0),6),"")</f>
        <v/>
      </c>
      <c r="F27" s="113" t="str">
        <f>IF(tbl_Assessment[[#This Row],[Ben Code]]&lt;&gt;"",INDEX(tbl_Ben_Info[],MATCH(tbl_Assessment[[#This Row],[Ben Code]],tbl_Ben_Info[Ben Code],0),13),"")</f>
        <v/>
      </c>
      <c r="G27" s="49"/>
      <c r="H27" s="37"/>
      <c r="I27" s="37"/>
      <c r="J27" s="37"/>
      <c r="K27" s="37"/>
      <c r="L27" s="37"/>
      <c r="M27" s="59"/>
      <c r="N27" s="37"/>
      <c r="O27" s="37"/>
      <c r="P27" s="37"/>
      <c r="Q27" s="59"/>
      <c r="R27" s="49"/>
      <c r="S27" s="37"/>
      <c r="T27" s="37"/>
      <c r="U27" s="37"/>
      <c r="V27" s="37"/>
      <c r="W27" s="96" t="str">
        <f>tbl_Assessment[[#This Row],[Ben Code]] &amp; "-"&amp;tbl_Assessment[[#This Row],[admin4Pcode]]&amp;"-" &amp; TEXT(COUNTIF(INDEX(tbl_Assessment[Ben Code],1):tbl_Assessment[[#This Row],[Ben Code]], tbl_Assessment[[#This Row],[Ben Code]]), "00")</f>
        <v>--00</v>
      </c>
      <c r="X27" s="37"/>
      <c r="Y27" s="37"/>
      <c r="Z27" s="37"/>
      <c r="AA27" s="37"/>
      <c r="AB27" s="37"/>
      <c r="AC27" s="37"/>
      <c r="AD27" s="37"/>
      <c r="AE27" s="37"/>
      <c r="AF27" s="37"/>
      <c r="AG27" s="37"/>
      <c r="AH27" s="37"/>
      <c r="AI27" s="37"/>
      <c r="AJ27" s="37"/>
      <c r="AK27" s="37"/>
      <c r="AL27" s="37"/>
      <c r="AM27" s="37"/>
      <c r="AN27" s="37"/>
      <c r="AO27" s="37"/>
      <c r="AP27" s="37"/>
      <c r="AQ27" s="37"/>
      <c r="AR27" s="37"/>
      <c r="AS27" s="37"/>
      <c r="AT27" s="49"/>
      <c r="AU27" s="41"/>
      <c r="AV27" s="37"/>
      <c r="AW27" s="37"/>
      <c r="AX27" s="37"/>
      <c r="AY27" s="37"/>
      <c r="AZ27" s="37"/>
      <c r="BA27" s="37"/>
      <c r="BB27" s="41"/>
      <c r="BC27" s="37"/>
      <c r="BD27" s="37"/>
      <c r="BE27" s="37"/>
      <c r="BF27" s="41"/>
      <c r="BG27" s="37"/>
      <c r="BH27" s="37"/>
      <c r="BI27" s="37"/>
      <c r="BJ27" s="41"/>
    </row>
    <row r="28" spans="2:62" ht="25.15" customHeight="1" x14ac:dyDescent="0.25">
      <c r="B28" s="49">
        <v>23</v>
      </c>
      <c r="C28" s="37"/>
      <c r="D28" s="87" t="str">
        <f>IF(tbl_Assessment[[#This Row],[Ben Code]]&lt;&gt;"",INDEX(tbl_Ben_Info[],MATCH(tbl_Assessment[[#This Row],[Ben Code]],tbl_Ben_Info[Ben Code],0),48),"")</f>
        <v/>
      </c>
      <c r="E28" s="116" t="str">
        <f>IF(tbl_Assessment[[#This Row],[Ben Code]]&lt;&gt;"",INDEX(tbl_Ben_Info[],MATCH(tbl_Assessment[[#This Row],[Ben Code]],tbl_Ben_Info[Ben Code],0),6),"")</f>
        <v/>
      </c>
      <c r="F28" s="113" t="str">
        <f>IF(tbl_Assessment[[#This Row],[Ben Code]]&lt;&gt;"",INDEX(tbl_Ben_Info[],MATCH(tbl_Assessment[[#This Row],[Ben Code]],tbl_Ben_Info[Ben Code],0),13),"")</f>
        <v/>
      </c>
      <c r="G28" s="49"/>
      <c r="H28" s="37"/>
      <c r="I28" s="37"/>
      <c r="J28" s="37"/>
      <c r="K28" s="37"/>
      <c r="L28" s="37"/>
      <c r="M28" s="59"/>
      <c r="N28" s="37"/>
      <c r="O28" s="37"/>
      <c r="P28" s="37"/>
      <c r="Q28" s="59"/>
      <c r="R28" s="49"/>
      <c r="S28" s="37"/>
      <c r="T28" s="37"/>
      <c r="U28" s="37"/>
      <c r="V28" s="37"/>
      <c r="W28" s="96" t="str">
        <f>tbl_Assessment[[#This Row],[Ben Code]] &amp; "-"&amp;tbl_Assessment[[#This Row],[admin4Pcode]]&amp;"-" &amp; TEXT(COUNTIF(INDEX(tbl_Assessment[Ben Code],1):tbl_Assessment[[#This Row],[Ben Code]], tbl_Assessment[[#This Row],[Ben Code]]), "00")</f>
        <v>--00</v>
      </c>
      <c r="X28" s="37"/>
      <c r="Y28" s="37"/>
      <c r="Z28" s="37"/>
      <c r="AA28" s="37"/>
      <c r="AB28" s="37"/>
      <c r="AC28" s="37"/>
      <c r="AD28" s="37"/>
      <c r="AE28" s="37"/>
      <c r="AF28" s="37"/>
      <c r="AG28" s="37"/>
      <c r="AH28" s="37"/>
      <c r="AI28" s="37"/>
      <c r="AJ28" s="37"/>
      <c r="AK28" s="37"/>
      <c r="AL28" s="37"/>
      <c r="AM28" s="37"/>
      <c r="AN28" s="37"/>
      <c r="AO28" s="37"/>
      <c r="AP28" s="37"/>
      <c r="AQ28" s="37"/>
      <c r="AR28" s="37"/>
      <c r="AS28" s="37"/>
      <c r="AT28" s="49"/>
      <c r="AU28" s="41"/>
      <c r="AV28" s="37"/>
      <c r="AW28" s="37"/>
      <c r="AX28" s="37"/>
      <c r="AY28" s="37"/>
      <c r="AZ28" s="37"/>
      <c r="BA28" s="37"/>
      <c r="BB28" s="41"/>
      <c r="BC28" s="37"/>
      <c r="BD28" s="37"/>
      <c r="BE28" s="37"/>
      <c r="BF28" s="41"/>
      <c r="BG28" s="37"/>
      <c r="BH28" s="37"/>
      <c r="BI28" s="37"/>
      <c r="BJ28" s="41"/>
    </row>
    <row r="29" spans="2:62" ht="25.15" customHeight="1" x14ac:dyDescent="0.25">
      <c r="B29" s="49">
        <v>24</v>
      </c>
      <c r="C29" s="37"/>
      <c r="D29" s="87" t="str">
        <f>IF(tbl_Assessment[[#This Row],[Ben Code]]&lt;&gt;"",INDEX(tbl_Ben_Info[],MATCH(tbl_Assessment[[#This Row],[Ben Code]],tbl_Ben_Info[Ben Code],0),48),"")</f>
        <v/>
      </c>
      <c r="E29" s="116" t="str">
        <f>IF(tbl_Assessment[[#This Row],[Ben Code]]&lt;&gt;"",INDEX(tbl_Ben_Info[],MATCH(tbl_Assessment[[#This Row],[Ben Code]],tbl_Ben_Info[Ben Code],0),6),"")</f>
        <v/>
      </c>
      <c r="F29" s="113" t="str">
        <f>IF(tbl_Assessment[[#This Row],[Ben Code]]&lt;&gt;"",INDEX(tbl_Ben_Info[],MATCH(tbl_Assessment[[#This Row],[Ben Code]],tbl_Ben_Info[Ben Code],0),13),"")</f>
        <v/>
      </c>
      <c r="G29" s="49"/>
      <c r="H29" s="37"/>
      <c r="I29" s="37"/>
      <c r="J29" s="37"/>
      <c r="K29" s="37"/>
      <c r="L29" s="37"/>
      <c r="M29" s="59"/>
      <c r="N29" s="37"/>
      <c r="O29" s="37"/>
      <c r="P29" s="37"/>
      <c r="Q29" s="59"/>
      <c r="R29" s="49"/>
      <c r="S29" s="37"/>
      <c r="T29" s="37"/>
      <c r="U29" s="37"/>
      <c r="V29" s="37"/>
      <c r="W29" s="96" t="str">
        <f>tbl_Assessment[[#This Row],[Ben Code]] &amp; "-"&amp;tbl_Assessment[[#This Row],[admin4Pcode]]&amp;"-" &amp; TEXT(COUNTIF(INDEX(tbl_Assessment[Ben Code],1):tbl_Assessment[[#This Row],[Ben Code]], tbl_Assessment[[#This Row],[Ben Code]]), "00")</f>
        <v>--00</v>
      </c>
      <c r="X29" s="37"/>
      <c r="Y29" s="37"/>
      <c r="Z29" s="37"/>
      <c r="AA29" s="37"/>
      <c r="AB29" s="37"/>
      <c r="AC29" s="37"/>
      <c r="AD29" s="37"/>
      <c r="AE29" s="37"/>
      <c r="AF29" s="37"/>
      <c r="AG29" s="37"/>
      <c r="AH29" s="37"/>
      <c r="AI29" s="37"/>
      <c r="AJ29" s="37"/>
      <c r="AK29" s="37"/>
      <c r="AL29" s="37"/>
      <c r="AM29" s="37"/>
      <c r="AN29" s="37"/>
      <c r="AO29" s="37"/>
      <c r="AP29" s="37"/>
      <c r="AQ29" s="37"/>
      <c r="AR29" s="37"/>
      <c r="AS29" s="37"/>
      <c r="AT29" s="49"/>
      <c r="AU29" s="41"/>
      <c r="AV29" s="37"/>
      <c r="AW29" s="37"/>
      <c r="AX29" s="37"/>
      <c r="AY29" s="37"/>
      <c r="AZ29" s="37"/>
      <c r="BA29" s="37"/>
      <c r="BB29" s="41"/>
      <c r="BC29" s="37"/>
      <c r="BD29" s="37"/>
      <c r="BE29" s="37"/>
      <c r="BF29" s="41"/>
      <c r="BG29" s="37"/>
      <c r="BH29" s="37"/>
      <c r="BI29" s="37"/>
      <c r="BJ29" s="41"/>
    </row>
    <row r="30" spans="2:62" ht="25.15" customHeight="1" x14ac:dyDescent="0.25">
      <c r="B30" s="49">
        <v>25</v>
      </c>
      <c r="C30" s="37"/>
      <c r="D30" s="87" t="str">
        <f>IF(tbl_Assessment[[#This Row],[Ben Code]]&lt;&gt;"",INDEX(tbl_Ben_Info[],MATCH(tbl_Assessment[[#This Row],[Ben Code]],tbl_Ben_Info[Ben Code],0),48),"")</f>
        <v/>
      </c>
      <c r="E30" s="116" t="str">
        <f>IF(tbl_Assessment[[#This Row],[Ben Code]]&lt;&gt;"",INDEX(tbl_Ben_Info[],MATCH(tbl_Assessment[[#This Row],[Ben Code]],tbl_Ben_Info[Ben Code],0),6),"")</f>
        <v/>
      </c>
      <c r="F30" s="113" t="str">
        <f>IF(tbl_Assessment[[#This Row],[Ben Code]]&lt;&gt;"",INDEX(tbl_Ben_Info[],MATCH(tbl_Assessment[[#This Row],[Ben Code]],tbl_Ben_Info[Ben Code],0),13),"")</f>
        <v/>
      </c>
      <c r="G30" s="49"/>
      <c r="H30" s="37"/>
      <c r="I30" s="37"/>
      <c r="J30" s="37"/>
      <c r="K30" s="37"/>
      <c r="L30" s="37"/>
      <c r="M30" s="59"/>
      <c r="N30" s="37"/>
      <c r="O30" s="37"/>
      <c r="P30" s="37"/>
      <c r="Q30" s="59"/>
      <c r="R30" s="49"/>
      <c r="S30" s="37"/>
      <c r="T30" s="37"/>
      <c r="U30" s="37"/>
      <c r="V30" s="37"/>
      <c r="W30" s="96" t="str">
        <f>tbl_Assessment[[#This Row],[Ben Code]] &amp; "-"&amp;tbl_Assessment[[#This Row],[admin4Pcode]]&amp;"-" &amp; TEXT(COUNTIF(INDEX(tbl_Assessment[Ben Code],1):tbl_Assessment[[#This Row],[Ben Code]], tbl_Assessment[[#This Row],[Ben Code]]), "00")</f>
        <v>--00</v>
      </c>
      <c r="X30" s="37"/>
      <c r="Y30" s="37"/>
      <c r="Z30" s="37"/>
      <c r="AA30" s="37"/>
      <c r="AB30" s="37"/>
      <c r="AC30" s="37"/>
      <c r="AD30" s="37"/>
      <c r="AE30" s="37"/>
      <c r="AF30" s="37"/>
      <c r="AG30" s="37"/>
      <c r="AH30" s="37"/>
      <c r="AI30" s="37"/>
      <c r="AJ30" s="37"/>
      <c r="AK30" s="37"/>
      <c r="AL30" s="37"/>
      <c r="AM30" s="37"/>
      <c r="AN30" s="37"/>
      <c r="AO30" s="37"/>
      <c r="AP30" s="37"/>
      <c r="AQ30" s="37"/>
      <c r="AR30" s="37"/>
      <c r="AS30" s="37"/>
      <c r="AT30" s="49"/>
      <c r="AU30" s="41"/>
      <c r="AV30" s="37"/>
      <c r="AW30" s="37"/>
      <c r="AX30" s="37"/>
      <c r="AY30" s="37"/>
      <c r="AZ30" s="37"/>
      <c r="BA30" s="37"/>
      <c r="BB30" s="41"/>
      <c r="BC30" s="37"/>
      <c r="BD30" s="37"/>
      <c r="BE30" s="37"/>
      <c r="BF30" s="41"/>
      <c r="BG30" s="37"/>
      <c r="BH30" s="37"/>
      <c r="BI30" s="37"/>
      <c r="BJ30" s="41"/>
    </row>
    <row r="31" spans="2:62" ht="25.15" customHeight="1" x14ac:dyDescent="0.25">
      <c r="B31" s="49">
        <v>26</v>
      </c>
      <c r="C31" s="37"/>
      <c r="D31" s="87" t="str">
        <f>IF(tbl_Assessment[[#This Row],[Ben Code]]&lt;&gt;"",INDEX(tbl_Ben_Info[],MATCH(tbl_Assessment[[#This Row],[Ben Code]],tbl_Ben_Info[Ben Code],0),48),"")</f>
        <v/>
      </c>
      <c r="E31" s="116" t="str">
        <f>IF(tbl_Assessment[[#This Row],[Ben Code]]&lt;&gt;"",INDEX(tbl_Ben_Info[],MATCH(tbl_Assessment[[#This Row],[Ben Code]],tbl_Ben_Info[Ben Code],0),6),"")</f>
        <v/>
      </c>
      <c r="F31" s="113" t="str">
        <f>IF(tbl_Assessment[[#This Row],[Ben Code]]&lt;&gt;"",INDEX(tbl_Ben_Info[],MATCH(tbl_Assessment[[#This Row],[Ben Code]],tbl_Ben_Info[Ben Code],0),13),"")</f>
        <v/>
      </c>
      <c r="G31" s="49"/>
      <c r="H31" s="37"/>
      <c r="I31" s="37"/>
      <c r="J31" s="37"/>
      <c r="K31" s="37"/>
      <c r="L31" s="37"/>
      <c r="M31" s="59"/>
      <c r="N31" s="37"/>
      <c r="O31" s="37"/>
      <c r="P31" s="37"/>
      <c r="Q31" s="59"/>
      <c r="R31" s="49"/>
      <c r="S31" s="37"/>
      <c r="T31" s="37"/>
      <c r="U31" s="37"/>
      <c r="V31" s="37"/>
      <c r="W31" s="96" t="str">
        <f>tbl_Assessment[[#This Row],[Ben Code]] &amp; "-"&amp;tbl_Assessment[[#This Row],[admin4Pcode]]&amp;"-" &amp; TEXT(COUNTIF(INDEX(tbl_Assessment[Ben Code],1):tbl_Assessment[[#This Row],[Ben Code]], tbl_Assessment[[#This Row],[Ben Code]]), "00")</f>
        <v>--00</v>
      </c>
      <c r="X31" s="37"/>
      <c r="Y31" s="37"/>
      <c r="Z31" s="37"/>
      <c r="AA31" s="37"/>
      <c r="AB31" s="37"/>
      <c r="AC31" s="37"/>
      <c r="AD31" s="37"/>
      <c r="AE31" s="37"/>
      <c r="AF31" s="37"/>
      <c r="AG31" s="37"/>
      <c r="AH31" s="37"/>
      <c r="AI31" s="37"/>
      <c r="AJ31" s="37"/>
      <c r="AK31" s="37"/>
      <c r="AL31" s="37"/>
      <c r="AM31" s="37"/>
      <c r="AN31" s="37"/>
      <c r="AO31" s="37"/>
      <c r="AP31" s="37"/>
      <c r="AQ31" s="37"/>
      <c r="AR31" s="37"/>
      <c r="AS31" s="37"/>
      <c r="AT31" s="49"/>
      <c r="AU31" s="41"/>
      <c r="AV31" s="37"/>
      <c r="AW31" s="37"/>
      <c r="AX31" s="37"/>
      <c r="AY31" s="37"/>
      <c r="AZ31" s="37"/>
      <c r="BA31" s="37"/>
      <c r="BB31" s="41"/>
      <c r="BC31" s="37"/>
      <c r="BD31" s="37"/>
      <c r="BE31" s="37"/>
      <c r="BF31" s="41"/>
      <c r="BG31" s="37"/>
      <c r="BH31" s="37"/>
      <c r="BI31" s="37"/>
      <c r="BJ31" s="41"/>
    </row>
    <row r="32" spans="2:62" ht="25.15" customHeight="1" x14ac:dyDescent="0.25">
      <c r="B32" s="49">
        <v>27</v>
      </c>
      <c r="C32" s="37"/>
      <c r="D32" s="87" t="str">
        <f>IF(tbl_Assessment[[#This Row],[Ben Code]]&lt;&gt;"",INDEX(tbl_Ben_Info[],MATCH(tbl_Assessment[[#This Row],[Ben Code]],tbl_Ben_Info[Ben Code],0),48),"")</f>
        <v/>
      </c>
      <c r="E32" s="116" t="str">
        <f>IF(tbl_Assessment[[#This Row],[Ben Code]]&lt;&gt;"",INDEX(tbl_Ben_Info[],MATCH(tbl_Assessment[[#This Row],[Ben Code]],tbl_Ben_Info[Ben Code],0),6),"")</f>
        <v/>
      </c>
      <c r="F32" s="113" t="str">
        <f>IF(tbl_Assessment[[#This Row],[Ben Code]]&lt;&gt;"",INDEX(tbl_Ben_Info[],MATCH(tbl_Assessment[[#This Row],[Ben Code]],tbl_Ben_Info[Ben Code],0),13),"")</f>
        <v/>
      </c>
      <c r="G32" s="49"/>
      <c r="H32" s="37"/>
      <c r="I32" s="37"/>
      <c r="J32" s="37"/>
      <c r="K32" s="37"/>
      <c r="L32" s="37"/>
      <c r="M32" s="59"/>
      <c r="N32" s="37"/>
      <c r="O32" s="37"/>
      <c r="P32" s="37"/>
      <c r="Q32" s="59"/>
      <c r="R32" s="49"/>
      <c r="S32" s="37"/>
      <c r="T32" s="37"/>
      <c r="U32" s="37"/>
      <c r="V32" s="37"/>
      <c r="W32" s="96" t="str">
        <f>tbl_Assessment[[#This Row],[Ben Code]] &amp; "-"&amp;tbl_Assessment[[#This Row],[admin4Pcode]]&amp;"-" &amp; TEXT(COUNTIF(INDEX(tbl_Assessment[Ben Code],1):tbl_Assessment[[#This Row],[Ben Code]], tbl_Assessment[[#This Row],[Ben Code]]), "00")</f>
        <v>--00</v>
      </c>
      <c r="X32" s="37"/>
      <c r="Y32" s="37"/>
      <c r="Z32" s="37"/>
      <c r="AA32" s="37"/>
      <c r="AB32" s="37"/>
      <c r="AC32" s="37"/>
      <c r="AD32" s="37"/>
      <c r="AE32" s="37"/>
      <c r="AF32" s="37"/>
      <c r="AG32" s="37"/>
      <c r="AH32" s="37"/>
      <c r="AI32" s="37"/>
      <c r="AJ32" s="37"/>
      <c r="AK32" s="37"/>
      <c r="AL32" s="37"/>
      <c r="AM32" s="37"/>
      <c r="AN32" s="37"/>
      <c r="AO32" s="37"/>
      <c r="AP32" s="37"/>
      <c r="AQ32" s="37"/>
      <c r="AR32" s="37"/>
      <c r="AS32" s="37"/>
      <c r="AT32" s="49"/>
      <c r="AU32" s="41"/>
      <c r="AV32" s="37"/>
      <c r="AW32" s="37"/>
      <c r="AX32" s="37"/>
      <c r="AY32" s="37"/>
      <c r="AZ32" s="37"/>
      <c r="BA32" s="37"/>
      <c r="BB32" s="41"/>
      <c r="BC32" s="37"/>
      <c r="BD32" s="37"/>
      <c r="BE32" s="37"/>
      <c r="BF32" s="41"/>
      <c r="BG32" s="37"/>
      <c r="BH32" s="37"/>
      <c r="BI32" s="37"/>
      <c r="BJ32" s="41"/>
    </row>
    <row r="33" spans="2:62" ht="25.15" customHeight="1" x14ac:dyDescent="0.25">
      <c r="B33" s="49">
        <v>28</v>
      </c>
      <c r="C33" s="37"/>
      <c r="D33" s="87" t="str">
        <f>IF(tbl_Assessment[[#This Row],[Ben Code]]&lt;&gt;"",INDEX(tbl_Ben_Info[],MATCH(tbl_Assessment[[#This Row],[Ben Code]],tbl_Ben_Info[Ben Code],0),48),"")</f>
        <v/>
      </c>
      <c r="E33" s="116" t="str">
        <f>IF(tbl_Assessment[[#This Row],[Ben Code]]&lt;&gt;"",INDEX(tbl_Ben_Info[],MATCH(tbl_Assessment[[#This Row],[Ben Code]],tbl_Ben_Info[Ben Code],0),6),"")</f>
        <v/>
      </c>
      <c r="F33" s="113" t="str">
        <f>IF(tbl_Assessment[[#This Row],[Ben Code]]&lt;&gt;"",INDEX(tbl_Ben_Info[],MATCH(tbl_Assessment[[#This Row],[Ben Code]],tbl_Ben_Info[Ben Code],0),13),"")</f>
        <v/>
      </c>
      <c r="G33" s="49"/>
      <c r="H33" s="37"/>
      <c r="I33" s="37"/>
      <c r="J33" s="37"/>
      <c r="K33" s="37"/>
      <c r="L33" s="37"/>
      <c r="M33" s="59"/>
      <c r="N33" s="37"/>
      <c r="O33" s="37"/>
      <c r="P33" s="37"/>
      <c r="Q33" s="59"/>
      <c r="R33" s="49"/>
      <c r="S33" s="37"/>
      <c r="T33" s="37"/>
      <c r="U33" s="37"/>
      <c r="V33" s="37"/>
      <c r="W33" s="96" t="str">
        <f>tbl_Assessment[[#This Row],[Ben Code]] &amp; "-"&amp;tbl_Assessment[[#This Row],[admin4Pcode]]&amp;"-" &amp; TEXT(COUNTIF(INDEX(tbl_Assessment[Ben Code],1):tbl_Assessment[[#This Row],[Ben Code]], tbl_Assessment[[#This Row],[Ben Code]]), "00")</f>
        <v>--00</v>
      </c>
      <c r="X33" s="37"/>
      <c r="Y33" s="37"/>
      <c r="Z33" s="37"/>
      <c r="AA33" s="37"/>
      <c r="AB33" s="37"/>
      <c r="AC33" s="37"/>
      <c r="AD33" s="37"/>
      <c r="AE33" s="37"/>
      <c r="AF33" s="37"/>
      <c r="AG33" s="37"/>
      <c r="AH33" s="37"/>
      <c r="AI33" s="37"/>
      <c r="AJ33" s="37"/>
      <c r="AK33" s="37"/>
      <c r="AL33" s="37"/>
      <c r="AM33" s="37"/>
      <c r="AN33" s="37"/>
      <c r="AO33" s="37"/>
      <c r="AP33" s="37"/>
      <c r="AQ33" s="37"/>
      <c r="AR33" s="37"/>
      <c r="AS33" s="37"/>
      <c r="AT33" s="49"/>
      <c r="AU33" s="41"/>
      <c r="AV33" s="37"/>
      <c r="AW33" s="37"/>
      <c r="AX33" s="37"/>
      <c r="AY33" s="37"/>
      <c r="AZ33" s="37"/>
      <c r="BA33" s="37"/>
      <c r="BB33" s="41"/>
      <c r="BC33" s="37"/>
      <c r="BD33" s="37"/>
      <c r="BE33" s="37"/>
      <c r="BF33" s="41"/>
      <c r="BG33" s="37"/>
      <c r="BH33" s="37"/>
      <c r="BI33" s="37"/>
      <c r="BJ33" s="41"/>
    </row>
    <row r="34" spans="2:62" ht="25.15" customHeight="1" x14ac:dyDescent="0.25">
      <c r="B34" s="49">
        <v>29</v>
      </c>
      <c r="C34" s="37"/>
      <c r="D34" s="87" t="str">
        <f>IF(tbl_Assessment[[#This Row],[Ben Code]]&lt;&gt;"",INDEX(tbl_Ben_Info[],MATCH(tbl_Assessment[[#This Row],[Ben Code]],tbl_Ben_Info[Ben Code],0),48),"")</f>
        <v/>
      </c>
      <c r="E34" s="116" t="str">
        <f>IF(tbl_Assessment[[#This Row],[Ben Code]]&lt;&gt;"",INDEX(tbl_Ben_Info[],MATCH(tbl_Assessment[[#This Row],[Ben Code]],tbl_Ben_Info[Ben Code],0),6),"")</f>
        <v/>
      </c>
      <c r="F34" s="113" t="str">
        <f>IF(tbl_Assessment[[#This Row],[Ben Code]]&lt;&gt;"",INDEX(tbl_Ben_Info[],MATCH(tbl_Assessment[[#This Row],[Ben Code]],tbl_Ben_Info[Ben Code],0),13),"")</f>
        <v/>
      </c>
      <c r="G34" s="49"/>
      <c r="H34" s="37"/>
      <c r="I34" s="37"/>
      <c r="J34" s="37"/>
      <c r="K34" s="37"/>
      <c r="L34" s="37"/>
      <c r="M34" s="59"/>
      <c r="N34" s="37"/>
      <c r="O34" s="37"/>
      <c r="P34" s="37"/>
      <c r="Q34" s="59"/>
      <c r="R34" s="49"/>
      <c r="S34" s="37"/>
      <c r="T34" s="37"/>
      <c r="U34" s="37"/>
      <c r="V34" s="37"/>
      <c r="W34" s="96" t="str">
        <f>tbl_Assessment[[#This Row],[Ben Code]] &amp; "-"&amp;tbl_Assessment[[#This Row],[admin4Pcode]]&amp;"-" &amp; TEXT(COUNTIF(INDEX(tbl_Assessment[Ben Code],1):tbl_Assessment[[#This Row],[Ben Code]], tbl_Assessment[[#This Row],[Ben Code]]), "00")</f>
        <v>--00</v>
      </c>
      <c r="X34" s="37"/>
      <c r="Y34" s="37"/>
      <c r="Z34" s="37"/>
      <c r="AA34" s="37"/>
      <c r="AB34" s="37"/>
      <c r="AC34" s="37"/>
      <c r="AD34" s="37"/>
      <c r="AE34" s="37"/>
      <c r="AF34" s="37"/>
      <c r="AG34" s="37"/>
      <c r="AH34" s="37"/>
      <c r="AI34" s="37"/>
      <c r="AJ34" s="37"/>
      <c r="AK34" s="37"/>
      <c r="AL34" s="37"/>
      <c r="AM34" s="37"/>
      <c r="AN34" s="37"/>
      <c r="AO34" s="37"/>
      <c r="AP34" s="37"/>
      <c r="AQ34" s="37"/>
      <c r="AR34" s="37"/>
      <c r="AS34" s="37"/>
      <c r="AT34" s="49"/>
      <c r="AU34" s="41"/>
      <c r="AV34" s="37"/>
      <c r="AW34" s="37"/>
      <c r="AX34" s="37"/>
      <c r="AY34" s="37"/>
      <c r="AZ34" s="37"/>
      <c r="BA34" s="37"/>
      <c r="BB34" s="41"/>
      <c r="BC34" s="37"/>
      <c r="BD34" s="37"/>
      <c r="BE34" s="37"/>
      <c r="BF34" s="41"/>
      <c r="BG34" s="37"/>
      <c r="BH34" s="37"/>
      <c r="BI34" s="37"/>
      <c r="BJ34" s="41"/>
    </row>
    <row r="35" spans="2:62" ht="25.15" customHeight="1" x14ac:dyDescent="0.25">
      <c r="B35" s="49">
        <v>30</v>
      </c>
      <c r="C35" s="37"/>
      <c r="D35" s="87" t="str">
        <f>IF(tbl_Assessment[[#This Row],[Ben Code]]&lt;&gt;"",INDEX(tbl_Ben_Info[],MATCH(tbl_Assessment[[#This Row],[Ben Code]],tbl_Ben_Info[Ben Code],0),48),"")</f>
        <v/>
      </c>
      <c r="E35" s="116" t="str">
        <f>IF(tbl_Assessment[[#This Row],[Ben Code]]&lt;&gt;"",INDEX(tbl_Ben_Info[],MATCH(tbl_Assessment[[#This Row],[Ben Code]],tbl_Ben_Info[Ben Code],0),6),"")</f>
        <v/>
      </c>
      <c r="F35" s="113" t="str">
        <f>IF(tbl_Assessment[[#This Row],[Ben Code]]&lt;&gt;"",INDEX(tbl_Ben_Info[],MATCH(tbl_Assessment[[#This Row],[Ben Code]],tbl_Ben_Info[Ben Code],0),13),"")</f>
        <v/>
      </c>
      <c r="G35" s="49"/>
      <c r="H35" s="37"/>
      <c r="I35" s="37"/>
      <c r="J35" s="37"/>
      <c r="K35" s="37"/>
      <c r="L35" s="37"/>
      <c r="M35" s="59"/>
      <c r="N35" s="37"/>
      <c r="O35" s="37"/>
      <c r="P35" s="37"/>
      <c r="Q35" s="59"/>
      <c r="R35" s="49"/>
      <c r="S35" s="37"/>
      <c r="T35" s="37"/>
      <c r="U35" s="37"/>
      <c r="V35" s="37"/>
      <c r="W35" s="96" t="str">
        <f>tbl_Assessment[[#This Row],[Ben Code]] &amp; "-"&amp;tbl_Assessment[[#This Row],[admin4Pcode]]&amp;"-" &amp; TEXT(COUNTIF(INDEX(tbl_Assessment[Ben Code],1):tbl_Assessment[[#This Row],[Ben Code]], tbl_Assessment[[#This Row],[Ben Code]]), "00")</f>
        <v>--00</v>
      </c>
      <c r="X35" s="37"/>
      <c r="Y35" s="37"/>
      <c r="Z35" s="37"/>
      <c r="AA35" s="37"/>
      <c r="AB35" s="37"/>
      <c r="AC35" s="37"/>
      <c r="AD35" s="37"/>
      <c r="AE35" s="37"/>
      <c r="AF35" s="37"/>
      <c r="AG35" s="37"/>
      <c r="AH35" s="37"/>
      <c r="AI35" s="37"/>
      <c r="AJ35" s="37"/>
      <c r="AK35" s="37"/>
      <c r="AL35" s="37"/>
      <c r="AM35" s="37"/>
      <c r="AN35" s="37"/>
      <c r="AO35" s="37"/>
      <c r="AP35" s="37"/>
      <c r="AQ35" s="37"/>
      <c r="AR35" s="37"/>
      <c r="AS35" s="37"/>
      <c r="AT35" s="49"/>
      <c r="AU35" s="41"/>
      <c r="AV35" s="37"/>
      <c r="AW35" s="37"/>
      <c r="AX35" s="37"/>
      <c r="AY35" s="37"/>
      <c r="AZ35" s="37"/>
      <c r="BA35" s="37"/>
      <c r="BB35" s="41"/>
      <c r="BC35" s="37"/>
      <c r="BD35" s="37"/>
      <c r="BE35" s="37"/>
      <c r="BF35" s="41"/>
      <c r="BG35" s="37"/>
      <c r="BH35" s="37"/>
      <c r="BI35" s="37"/>
      <c r="BJ35" s="41"/>
    </row>
    <row r="36" spans="2:62" ht="25.15" customHeight="1" x14ac:dyDescent="0.25">
      <c r="B36" s="49">
        <v>31</v>
      </c>
      <c r="C36" s="37"/>
      <c r="D36" s="87" t="str">
        <f>IF(tbl_Assessment[[#This Row],[Ben Code]]&lt;&gt;"",INDEX(tbl_Ben_Info[],MATCH(tbl_Assessment[[#This Row],[Ben Code]],tbl_Ben_Info[Ben Code],0),48),"")</f>
        <v/>
      </c>
      <c r="E36" s="116" t="str">
        <f>IF(tbl_Assessment[[#This Row],[Ben Code]]&lt;&gt;"",INDEX(tbl_Ben_Info[],MATCH(tbl_Assessment[[#This Row],[Ben Code]],tbl_Ben_Info[Ben Code],0),6),"")</f>
        <v/>
      </c>
      <c r="F36" s="113" t="str">
        <f>IF(tbl_Assessment[[#This Row],[Ben Code]]&lt;&gt;"",INDEX(tbl_Ben_Info[],MATCH(tbl_Assessment[[#This Row],[Ben Code]],tbl_Ben_Info[Ben Code],0),13),"")</f>
        <v/>
      </c>
      <c r="G36" s="49"/>
      <c r="H36" s="37"/>
      <c r="I36" s="37"/>
      <c r="J36" s="37"/>
      <c r="K36" s="37"/>
      <c r="L36" s="37"/>
      <c r="M36" s="59"/>
      <c r="N36" s="37"/>
      <c r="O36" s="37"/>
      <c r="P36" s="37"/>
      <c r="Q36" s="59"/>
      <c r="R36" s="49"/>
      <c r="S36" s="37"/>
      <c r="T36" s="37"/>
      <c r="U36" s="37"/>
      <c r="V36" s="37"/>
      <c r="W36" s="96" t="str">
        <f>tbl_Assessment[[#This Row],[Ben Code]] &amp; "-"&amp;tbl_Assessment[[#This Row],[admin4Pcode]]&amp;"-" &amp; TEXT(COUNTIF(INDEX(tbl_Assessment[Ben Code],1):tbl_Assessment[[#This Row],[Ben Code]], tbl_Assessment[[#This Row],[Ben Code]]), "00")</f>
        <v>--00</v>
      </c>
      <c r="X36" s="37"/>
      <c r="Y36" s="37"/>
      <c r="Z36" s="37"/>
      <c r="AA36" s="37"/>
      <c r="AB36" s="37"/>
      <c r="AC36" s="37"/>
      <c r="AD36" s="37"/>
      <c r="AE36" s="37"/>
      <c r="AF36" s="37"/>
      <c r="AG36" s="37"/>
      <c r="AH36" s="37"/>
      <c r="AI36" s="37"/>
      <c r="AJ36" s="37"/>
      <c r="AK36" s="37"/>
      <c r="AL36" s="37"/>
      <c r="AM36" s="37"/>
      <c r="AN36" s="37"/>
      <c r="AO36" s="37"/>
      <c r="AP36" s="37"/>
      <c r="AQ36" s="37"/>
      <c r="AR36" s="37"/>
      <c r="AS36" s="37"/>
      <c r="AT36" s="49"/>
      <c r="AU36" s="41"/>
      <c r="AV36" s="37"/>
      <c r="AW36" s="37"/>
      <c r="AX36" s="37"/>
      <c r="AY36" s="37"/>
      <c r="AZ36" s="37"/>
      <c r="BA36" s="37"/>
      <c r="BB36" s="41"/>
      <c r="BC36" s="37"/>
      <c r="BD36" s="37"/>
      <c r="BE36" s="37"/>
      <c r="BF36" s="41"/>
      <c r="BG36" s="37"/>
      <c r="BH36" s="37"/>
      <c r="BI36" s="37"/>
      <c r="BJ36" s="41"/>
    </row>
    <row r="37" spans="2:62" ht="25.15" customHeight="1" x14ac:dyDescent="0.25">
      <c r="B37" s="49">
        <v>32</v>
      </c>
      <c r="C37" s="37"/>
      <c r="D37" s="87" t="str">
        <f>IF(tbl_Assessment[[#This Row],[Ben Code]]&lt;&gt;"",INDEX(tbl_Ben_Info[],MATCH(tbl_Assessment[[#This Row],[Ben Code]],tbl_Ben_Info[Ben Code],0),48),"")</f>
        <v/>
      </c>
      <c r="E37" s="116" t="str">
        <f>IF(tbl_Assessment[[#This Row],[Ben Code]]&lt;&gt;"",INDEX(tbl_Ben_Info[],MATCH(tbl_Assessment[[#This Row],[Ben Code]],tbl_Ben_Info[Ben Code],0),6),"")</f>
        <v/>
      </c>
      <c r="F37" s="113" t="str">
        <f>IF(tbl_Assessment[[#This Row],[Ben Code]]&lt;&gt;"",INDEX(tbl_Ben_Info[],MATCH(tbl_Assessment[[#This Row],[Ben Code]],tbl_Ben_Info[Ben Code],0),13),"")</f>
        <v/>
      </c>
      <c r="G37" s="49"/>
      <c r="H37" s="37"/>
      <c r="I37" s="37"/>
      <c r="J37" s="37"/>
      <c r="K37" s="37"/>
      <c r="L37" s="37"/>
      <c r="M37" s="59"/>
      <c r="N37" s="37"/>
      <c r="O37" s="37"/>
      <c r="P37" s="37"/>
      <c r="Q37" s="59"/>
      <c r="R37" s="49"/>
      <c r="S37" s="37"/>
      <c r="T37" s="37"/>
      <c r="U37" s="37"/>
      <c r="V37" s="37"/>
      <c r="W37" s="96" t="str">
        <f>tbl_Assessment[[#This Row],[Ben Code]] &amp; "-"&amp;tbl_Assessment[[#This Row],[admin4Pcode]]&amp;"-" &amp; TEXT(COUNTIF(INDEX(tbl_Assessment[Ben Code],1):tbl_Assessment[[#This Row],[Ben Code]], tbl_Assessment[[#This Row],[Ben Code]]), "00")</f>
        <v>--00</v>
      </c>
      <c r="X37" s="37"/>
      <c r="Y37" s="37"/>
      <c r="Z37" s="37"/>
      <c r="AA37" s="37"/>
      <c r="AB37" s="37"/>
      <c r="AC37" s="37"/>
      <c r="AD37" s="37"/>
      <c r="AE37" s="37"/>
      <c r="AF37" s="37"/>
      <c r="AG37" s="37"/>
      <c r="AH37" s="37"/>
      <c r="AI37" s="37"/>
      <c r="AJ37" s="37"/>
      <c r="AK37" s="37"/>
      <c r="AL37" s="37"/>
      <c r="AM37" s="37"/>
      <c r="AN37" s="37"/>
      <c r="AO37" s="37"/>
      <c r="AP37" s="37"/>
      <c r="AQ37" s="37"/>
      <c r="AR37" s="37"/>
      <c r="AS37" s="37"/>
      <c r="AT37" s="49"/>
      <c r="AU37" s="41"/>
      <c r="AV37" s="37"/>
      <c r="AW37" s="37"/>
      <c r="AX37" s="37"/>
      <c r="AY37" s="37"/>
      <c r="AZ37" s="37"/>
      <c r="BA37" s="37"/>
      <c r="BB37" s="41"/>
      <c r="BC37" s="37"/>
      <c r="BD37" s="37"/>
      <c r="BE37" s="37"/>
      <c r="BF37" s="41"/>
      <c r="BG37" s="37"/>
      <c r="BH37" s="37"/>
      <c r="BI37" s="37"/>
      <c r="BJ37" s="41"/>
    </row>
    <row r="38" spans="2:62" ht="25.15" customHeight="1" x14ac:dyDescent="0.25">
      <c r="B38" s="49">
        <v>33</v>
      </c>
      <c r="C38" s="37"/>
      <c r="D38" s="87" t="str">
        <f>IF(tbl_Assessment[[#This Row],[Ben Code]]&lt;&gt;"",INDEX(tbl_Ben_Info[],MATCH(tbl_Assessment[[#This Row],[Ben Code]],tbl_Ben_Info[Ben Code],0),48),"")</f>
        <v/>
      </c>
      <c r="E38" s="116" t="str">
        <f>IF(tbl_Assessment[[#This Row],[Ben Code]]&lt;&gt;"",INDEX(tbl_Ben_Info[],MATCH(tbl_Assessment[[#This Row],[Ben Code]],tbl_Ben_Info[Ben Code],0),6),"")</f>
        <v/>
      </c>
      <c r="F38" s="113" t="str">
        <f>IF(tbl_Assessment[[#This Row],[Ben Code]]&lt;&gt;"",INDEX(tbl_Ben_Info[],MATCH(tbl_Assessment[[#This Row],[Ben Code]],tbl_Ben_Info[Ben Code],0),13),"")</f>
        <v/>
      </c>
      <c r="G38" s="49"/>
      <c r="H38" s="37"/>
      <c r="I38" s="37"/>
      <c r="J38" s="37"/>
      <c r="K38" s="37"/>
      <c r="L38" s="37"/>
      <c r="M38" s="59"/>
      <c r="N38" s="37"/>
      <c r="O38" s="37"/>
      <c r="P38" s="37"/>
      <c r="Q38" s="59"/>
      <c r="R38" s="49"/>
      <c r="S38" s="37"/>
      <c r="T38" s="37"/>
      <c r="U38" s="37"/>
      <c r="V38" s="37"/>
      <c r="W38" s="96" t="str">
        <f>tbl_Assessment[[#This Row],[Ben Code]] &amp; "-"&amp;tbl_Assessment[[#This Row],[admin4Pcode]]&amp;"-" &amp; TEXT(COUNTIF(INDEX(tbl_Assessment[Ben Code],1):tbl_Assessment[[#This Row],[Ben Code]], tbl_Assessment[[#This Row],[Ben Code]]), "00")</f>
        <v>--00</v>
      </c>
      <c r="X38" s="37"/>
      <c r="Y38" s="37"/>
      <c r="Z38" s="37"/>
      <c r="AA38" s="37"/>
      <c r="AB38" s="37"/>
      <c r="AC38" s="37"/>
      <c r="AD38" s="37"/>
      <c r="AE38" s="37"/>
      <c r="AF38" s="37"/>
      <c r="AG38" s="37"/>
      <c r="AH38" s="37"/>
      <c r="AI38" s="37"/>
      <c r="AJ38" s="37"/>
      <c r="AK38" s="37"/>
      <c r="AL38" s="37"/>
      <c r="AM38" s="37"/>
      <c r="AN38" s="37"/>
      <c r="AO38" s="37"/>
      <c r="AP38" s="37"/>
      <c r="AQ38" s="37"/>
      <c r="AR38" s="37"/>
      <c r="AS38" s="37"/>
      <c r="AT38" s="49"/>
      <c r="AU38" s="41"/>
      <c r="AV38" s="37"/>
      <c r="AW38" s="37"/>
      <c r="AX38" s="37"/>
      <c r="AY38" s="37"/>
      <c r="AZ38" s="37"/>
      <c r="BA38" s="37"/>
      <c r="BB38" s="41"/>
      <c r="BC38" s="37"/>
      <c r="BD38" s="37"/>
      <c r="BE38" s="37"/>
      <c r="BF38" s="41"/>
      <c r="BG38" s="37"/>
      <c r="BH38" s="37"/>
      <c r="BI38" s="37"/>
      <c r="BJ38" s="41"/>
    </row>
    <row r="39" spans="2:62" ht="25.15" customHeight="1" x14ac:dyDescent="0.25">
      <c r="B39" s="49">
        <v>34</v>
      </c>
      <c r="C39" s="37"/>
      <c r="D39" s="87" t="str">
        <f>IF(tbl_Assessment[[#This Row],[Ben Code]]&lt;&gt;"",INDEX(tbl_Ben_Info[],MATCH(tbl_Assessment[[#This Row],[Ben Code]],tbl_Ben_Info[Ben Code],0),48),"")</f>
        <v/>
      </c>
      <c r="E39" s="116" t="str">
        <f>IF(tbl_Assessment[[#This Row],[Ben Code]]&lt;&gt;"",INDEX(tbl_Ben_Info[],MATCH(tbl_Assessment[[#This Row],[Ben Code]],tbl_Ben_Info[Ben Code],0),6),"")</f>
        <v/>
      </c>
      <c r="F39" s="113" t="str">
        <f>IF(tbl_Assessment[[#This Row],[Ben Code]]&lt;&gt;"",INDEX(tbl_Ben_Info[],MATCH(tbl_Assessment[[#This Row],[Ben Code]],tbl_Ben_Info[Ben Code],0),13),"")</f>
        <v/>
      </c>
      <c r="G39" s="49"/>
      <c r="H39" s="37"/>
      <c r="I39" s="37"/>
      <c r="J39" s="37"/>
      <c r="K39" s="37"/>
      <c r="L39" s="37"/>
      <c r="M39" s="59"/>
      <c r="N39" s="37"/>
      <c r="O39" s="37"/>
      <c r="P39" s="37"/>
      <c r="Q39" s="59"/>
      <c r="R39" s="49"/>
      <c r="S39" s="37"/>
      <c r="T39" s="37"/>
      <c r="U39" s="37"/>
      <c r="V39" s="37"/>
      <c r="W39" s="96" t="str">
        <f>tbl_Assessment[[#This Row],[Ben Code]] &amp; "-"&amp;tbl_Assessment[[#This Row],[admin4Pcode]]&amp;"-" &amp; TEXT(COUNTIF(INDEX(tbl_Assessment[Ben Code],1):tbl_Assessment[[#This Row],[Ben Code]], tbl_Assessment[[#This Row],[Ben Code]]), "00")</f>
        <v>--00</v>
      </c>
      <c r="X39" s="37"/>
      <c r="Y39" s="37"/>
      <c r="Z39" s="37"/>
      <c r="AA39" s="37"/>
      <c r="AB39" s="37"/>
      <c r="AC39" s="37"/>
      <c r="AD39" s="37"/>
      <c r="AE39" s="37"/>
      <c r="AF39" s="37"/>
      <c r="AG39" s="37"/>
      <c r="AH39" s="37"/>
      <c r="AI39" s="37"/>
      <c r="AJ39" s="37"/>
      <c r="AK39" s="37"/>
      <c r="AL39" s="37"/>
      <c r="AM39" s="37"/>
      <c r="AN39" s="37"/>
      <c r="AO39" s="37"/>
      <c r="AP39" s="37"/>
      <c r="AQ39" s="37"/>
      <c r="AR39" s="37"/>
      <c r="AS39" s="37"/>
      <c r="AT39" s="49"/>
      <c r="AU39" s="41"/>
      <c r="AV39" s="37"/>
      <c r="AW39" s="37"/>
      <c r="AX39" s="37"/>
      <c r="AY39" s="37"/>
      <c r="AZ39" s="37"/>
      <c r="BA39" s="37"/>
      <c r="BB39" s="41"/>
      <c r="BC39" s="37"/>
      <c r="BD39" s="37"/>
      <c r="BE39" s="37"/>
      <c r="BF39" s="41"/>
      <c r="BG39" s="37"/>
      <c r="BH39" s="37"/>
      <c r="BI39" s="37"/>
      <c r="BJ39" s="41"/>
    </row>
    <row r="40" spans="2:62" ht="25.15" customHeight="1" x14ac:dyDescent="0.25">
      <c r="B40" s="49">
        <v>35</v>
      </c>
      <c r="C40" s="37"/>
      <c r="D40" s="87" t="str">
        <f>IF(tbl_Assessment[[#This Row],[Ben Code]]&lt;&gt;"",INDEX(tbl_Ben_Info[],MATCH(tbl_Assessment[[#This Row],[Ben Code]],tbl_Ben_Info[Ben Code],0),48),"")</f>
        <v/>
      </c>
      <c r="E40" s="116" t="str">
        <f>IF(tbl_Assessment[[#This Row],[Ben Code]]&lt;&gt;"",INDEX(tbl_Ben_Info[],MATCH(tbl_Assessment[[#This Row],[Ben Code]],tbl_Ben_Info[Ben Code],0),6),"")</f>
        <v/>
      </c>
      <c r="F40" s="113" t="str">
        <f>IF(tbl_Assessment[[#This Row],[Ben Code]]&lt;&gt;"",INDEX(tbl_Ben_Info[],MATCH(tbl_Assessment[[#This Row],[Ben Code]],tbl_Ben_Info[Ben Code],0),13),"")</f>
        <v/>
      </c>
      <c r="G40" s="49"/>
      <c r="H40" s="37"/>
      <c r="I40" s="37"/>
      <c r="J40" s="37"/>
      <c r="K40" s="37"/>
      <c r="L40" s="37"/>
      <c r="M40" s="59"/>
      <c r="N40" s="37"/>
      <c r="O40" s="37"/>
      <c r="P40" s="37"/>
      <c r="Q40" s="59"/>
      <c r="R40" s="49"/>
      <c r="S40" s="37"/>
      <c r="T40" s="37"/>
      <c r="U40" s="37"/>
      <c r="V40" s="37"/>
      <c r="W40" s="96" t="str">
        <f>tbl_Assessment[[#This Row],[Ben Code]] &amp; "-"&amp;tbl_Assessment[[#This Row],[admin4Pcode]]&amp;"-" &amp; TEXT(COUNTIF(INDEX(tbl_Assessment[Ben Code],1):tbl_Assessment[[#This Row],[Ben Code]], tbl_Assessment[[#This Row],[Ben Code]]), "00")</f>
        <v>--00</v>
      </c>
      <c r="X40" s="37"/>
      <c r="Y40" s="37"/>
      <c r="Z40" s="37"/>
      <c r="AA40" s="37"/>
      <c r="AB40" s="37"/>
      <c r="AC40" s="37"/>
      <c r="AD40" s="37"/>
      <c r="AE40" s="37"/>
      <c r="AF40" s="37"/>
      <c r="AG40" s="37"/>
      <c r="AH40" s="37"/>
      <c r="AI40" s="37"/>
      <c r="AJ40" s="37"/>
      <c r="AK40" s="37"/>
      <c r="AL40" s="37"/>
      <c r="AM40" s="37"/>
      <c r="AN40" s="37"/>
      <c r="AO40" s="37"/>
      <c r="AP40" s="37"/>
      <c r="AQ40" s="37"/>
      <c r="AR40" s="37"/>
      <c r="AS40" s="37"/>
      <c r="AT40" s="49"/>
      <c r="AU40" s="41"/>
      <c r="AV40" s="37"/>
      <c r="AW40" s="37"/>
      <c r="AX40" s="37"/>
      <c r="AY40" s="37"/>
      <c r="AZ40" s="37"/>
      <c r="BA40" s="37"/>
      <c r="BB40" s="41"/>
      <c r="BC40" s="37"/>
      <c r="BD40" s="37"/>
      <c r="BE40" s="37"/>
      <c r="BF40" s="41"/>
      <c r="BG40" s="37"/>
      <c r="BH40" s="37"/>
      <c r="BI40" s="37"/>
      <c r="BJ40" s="41"/>
    </row>
    <row r="41" spans="2:62" ht="25.15" customHeight="1" x14ac:dyDescent="0.25">
      <c r="B41" s="49">
        <v>36</v>
      </c>
      <c r="C41" s="37"/>
      <c r="D41" s="87" t="str">
        <f>IF(tbl_Assessment[[#This Row],[Ben Code]]&lt;&gt;"",INDEX(tbl_Ben_Info[],MATCH(tbl_Assessment[[#This Row],[Ben Code]],tbl_Ben_Info[Ben Code],0),48),"")</f>
        <v/>
      </c>
      <c r="E41" s="116" t="str">
        <f>IF(tbl_Assessment[[#This Row],[Ben Code]]&lt;&gt;"",INDEX(tbl_Ben_Info[],MATCH(tbl_Assessment[[#This Row],[Ben Code]],tbl_Ben_Info[Ben Code],0),6),"")</f>
        <v/>
      </c>
      <c r="F41" s="113" t="str">
        <f>IF(tbl_Assessment[[#This Row],[Ben Code]]&lt;&gt;"",INDEX(tbl_Ben_Info[],MATCH(tbl_Assessment[[#This Row],[Ben Code]],tbl_Ben_Info[Ben Code],0),13),"")</f>
        <v/>
      </c>
      <c r="G41" s="49"/>
      <c r="H41" s="37"/>
      <c r="I41" s="37"/>
      <c r="J41" s="37"/>
      <c r="K41" s="37"/>
      <c r="L41" s="37"/>
      <c r="M41" s="59"/>
      <c r="N41" s="37"/>
      <c r="O41" s="37"/>
      <c r="P41" s="37"/>
      <c r="Q41" s="59"/>
      <c r="R41" s="49"/>
      <c r="S41" s="37"/>
      <c r="T41" s="37"/>
      <c r="U41" s="37"/>
      <c r="V41" s="37"/>
      <c r="W41" s="96" t="str">
        <f>tbl_Assessment[[#This Row],[Ben Code]] &amp; "-"&amp;tbl_Assessment[[#This Row],[admin4Pcode]]&amp;"-" &amp; TEXT(COUNTIF(INDEX(tbl_Assessment[Ben Code],1):tbl_Assessment[[#This Row],[Ben Code]], tbl_Assessment[[#This Row],[Ben Code]]), "00")</f>
        <v>--00</v>
      </c>
      <c r="X41" s="37"/>
      <c r="Y41" s="37"/>
      <c r="Z41" s="37"/>
      <c r="AA41" s="37"/>
      <c r="AB41" s="37"/>
      <c r="AC41" s="37"/>
      <c r="AD41" s="37"/>
      <c r="AE41" s="37"/>
      <c r="AF41" s="37"/>
      <c r="AG41" s="37"/>
      <c r="AH41" s="37"/>
      <c r="AI41" s="37"/>
      <c r="AJ41" s="37"/>
      <c r="AK41" s="37"/>
      <c r="AL41" s="37"/>
      <c r="AM41" s="37"/>
      <c r="AN41" s="37"/>
      <c r="AO41" s="37"/>
      <c r="AP41" s="37"/>
      <c r="AQ41" s="37"/>
      <c r="AR41" s="37"/>
      <c r="AS41" s="37"/>
      <c r="AT41" s="49"/>
      <c r="AU41" s="41"/>
      <c r="AV41" s="37"/>
      <c r="AW41" s="37"/>
      <c r="AX41" s="37"/>
      <c r="AY41" s="37"/>
      <c r="AZ41" s="37"/>
      <c r="BA41" s="37"/>
      <c r="BB41" s="41"/>
      <c r="BC41" s="37"/>
      <c r="BD41" s="37"/>
      <c r="BE41" s="37"/>
      <c r="BF41" s="41"/>
      <c r="BG41" s="37"/>
      <c r="BH41" s="37"/>
      <c r="BI41" s="37"/>
      <c r="BJ41" s="41"/>
    </row>
    <row r="42" spans="2:62" ht="25.15" customHeight="1" x14ac:dyDescent="0.25">
      <c r="B42" s="49">
        <v>37</v>
      </c>
      <c r="C42" s="37"/>
      <c r="D42" s="87" t="str">
        <f>IF(tbl_Assessment[[#This Row],[Ben Code]]&lt;&gt;"",INDEX(tbl_Ben_Info[],MATCH(tbl_Assessment[[#This Row],[Ben Code]],tbl_Ben_Info[Ben Code],0),48),"")</f>
        <v/>
      </c>
      <c r="E42" s="116" t="str">
        <f>IF(tbl_Assessment[[#This Row],[Ben Code]]&lt;&gt;"",INDEX(tbl_Ben_Info[],MATCH(tbl_Assessment[[#This Row],[Ben Code]],tbl_Ben_Info[Ben Code],0),6),"")</f>
        <v/>
      </c>
      <c r="F42" s="113" t="str">
        <f>IF(tbl_Assessment[[#This Row],[Ben Code]]&lt;&gt;"",INDEX(tbl_Ben_Info[],MATCH(tbl_Assessment[[#This Row],[Ben Code]],tbl_Ben_Info[Ben Code],0),13),"")</f>
        <v/>
      </c>
      <c r="G42" s="49"/>
      <c r="H42" s="37"/>
      <c r="I42" s="37"/>
      <c r="J42" s="37"/>
      <c r="K42" s="37"/>
      <c r="L42" s="37"/>
      <c r="M42" s="59"/>
      <c r="N42" s="37"/>
      <c r="O42" s="37"/>
      <c r="P42" s="37"/>
      <c r="Q42" s="59"/>
      <c r="R42" s="49"/>
      <c r="S42" s="37"/>
      <c r="T42" s="37"/>
      <c r="U42" s="37"/>
      <c r="V42" s="37"/>
      <c r="W42" s="96" t="str">
        <f>tbl_Assessment[[#This Row],[Ben Code]] &amp; "-"&amp;tbl_Assessment[[#This Row],[admin4Pcode]]&amp;"-" &amp; TEXT(COUNTIF(INDEX(tbl_Assessment[Ben Code],1):tbl_Assessment[[#This Row],[Ben Code]], tbl_Assessment[[#This Row],[Ben Code]]), "00")</f>
        <v>--00</v>
      </c>
      <c r="X42" s="37"/>
      <c r="Y42" s="37"/>
      <c r="Z42" s="37"/>
      <c r="AA42" s="37"/>
      <c r="AB42" s="37"/>
      <c r="AC42" s="37"/>
      <c r="AD42" s="37"/>
      <c r="AE42" s="37"/>
      <c r="AF42" s="37"/>
      <c r="AG42" s="37"/>
      <c r="AH42" s="37"/>
      <c r="AI42" s="37"/>
      <c r="AJ42" s="37"/>
      <c r="AK42" s="37"/>
      <c r="AL42" s="37"/>
      <c r="AM42" s="37"/>
      <c r="AN42" s="37"/>
      <c r="AO42" s="37"/>
      <c r="AP42" s="37"/>
      <c r="AQ42" s="37"/>
      <c r="AR42" s="37"/>
      <c r="AS42" s="37"/>
      <c r="AT42" s="49"/>
      <c r="AU42" s="41"/>
      <c r="AV42" s="37"/>
      <c r="AW42" s="37"/>
      <c r="AX42" s="37"/>
      <c r="AY42" s="37"/>
      <c r="AZ42" s="37"/>
      <c r="BA42" s="37"/>
      <c r="BB42" s="41"/>
      <c r="BC42" s="37"/>
      <c r="BD42" s="37"/>
      <c r="BE42" s="37"/>
      <c r="BF42" s="41"/>
      <c r="BG42" s="37"/>
      <c r="BH42" s="37"/>
      <c r="BI42" s="37"/>
      <c r="BJ42" s="41"/>
    </row>
    <row r="43" spans="2:62" ht="25.15" customHeight="1" x14ac:dyDescent="0.25">
      <c r="B43" s="49">
        <v>38</v>
      </c>
      <c r="C43" s="37"/>
      <c r="D43" s="87" t="str">
        <f>IF(tbl_Assessment[[#This Row],[Ben Code]]&lt;&gt;"",INDEX(tbl_Ben_Info[],MATCH(tbl_Assessment[[#This Row],[Ben Code]],tbl_Ben_Info[Ben Code],0),48),"")</f>
        <v/>
      </c>
      <c r="E43" s="116" t="str">
        <f>IF(tbl_Assessment[[#This Row],[Ben Code]]&lt;&gt;"",INDEX(tbl_Ben_Info[],MATCH(tbl_Assessment[[#This Row],[Ben Code]],tbl_Ben_Info[Ben Code],0),6),"")</f>
        <v/>
      </c>
      <c r="F43" s="113" t="str">
        <f>IF(tbl_Assessment[[#This Row],[Ben Code]]&lt;&gt;"",INDEX(tbl_Ben_Info[],MATCH(tbl_Assessment[[#This Row],[Ben Code]],tbl_Ben_Info[Ben Code],0),13),"")</f>
        <v/>
      </c>
      <c r="G43" s="49"/>
      <c r="H43" s="37"/>
      <c r="I43" s="37"/>
      <c r="J43" s="37"/>
      <c r="K43" s="37"/>
      <c r="L43" s="37"/>
      <c r="M43" s="59"/>
      <c r="N43" s="37"/>
      <c r="O43" s="37"/>
      <c r="P43" s="37"/>
      <c r="Q43" s="59"/>
      <c r="R43" s="49"/>
      <c r="S43" s="37"/>
      <c r="T43" s="37"/>
      <c r="U43" s="37"/>
      <c r="V43" s="37"/>
      <c r="W43" s="96" t="str">
        <f>tbl_Assessment[[#This Row],[Ben Code]] &amp; "-"&amp;tbl_Assessment[[#This Row],[admin4Pcode]]&amp;"-" &amp; TEXT(COUNTIF(INDEX(tbl_Assessment[Ben Code],1):tbl_Assessment[[#This Row],[Ben Code]], tbl_Assessment[[#This Row],[Ben Code]]), "00")</f>
        <v>--00</v>
      </c>
      <c r="X43" s="37"/>
      <c r="Y43" s="37"/>
      <c r="Z43" s="37"/>
      <c r="AA43" s="37"/>
      <c r="AB43" s="37"/>
      <c r="AC43" s="37"/>
      <c r="AD43" s="37"/>
      <c r="AE43" s="37"/>
      <c r="AF43" s="37"/>
      <c r="AG43" s="37"/>
      <c r="AH43" s="37"/>
      <c r="AI43" s="37"/>
      <c r="AJ43" s="37"/>
      <c r="AK43" s="37"/>
      <c r="AL43" s="37"/>
      <c r="AM43" s="37"/>
      <c r="AN43" s="37"/>
      <c r="AO43" s="37"/>
      <c r="AP43" s="37"/>
      <c r="AQ43" s="37"/>
      <c r="AR43" s="37"/>
      <c r="AS43" s="37"/>
      <c r="AT43" s="49"/>
      <c r="AU43" s="41"/>
      <c r="AV43" s="37"/>
      <c r="AW43" s="37"/>
      <c r="AX43" s="37"/>
      <c r="AY43" s="37"/>
      <c r="AZ43" s="37"/>
      <c r="BA43" s="37"/>
      <c r="BB43" s="41"/>
      <c r="BC43" s="37"/>
      <c r="BD43" s="37"/>
      <c r="BE43" s="37"/>
      <c r="BF43" s="41"/>
      <c r="BG43" s="37"/>
      <c r="BH43" s="37"/>
      <c r="BI43" s="37"/>
      <c r="BJ43" s="41"/>
    </row>
    <row r="44" spans="2:62" ht="25.15" customHeight="1" x14ac:dyDescent="0.25">
      <c r="B44" s="49">
        <v>39</v>
      </c>
      <c r="C44" s="37"/>
      <c r="D44" s="87" t="str">
        <f>IF(tbl_Assessment[[#This Row],[Ben Code]]&lt;&gt;"",INDEX(tbl_Ben_Info[],MATCH(tbl_Assessment[[#This Row],[Ben Code]],tbl_Ben_Info[Ben Code],0),48),"")</f>
        <v/>
      </c>
      <c r="E44" s="116" t="str">
        <f>IF(tbl_Assessment[[#This Row],[Ben Code]]&lt;&gt;"",INDEX(tbl_Ben_Info[],MATCH(tbl_Assessment[[#This Row],[Ben Code]],tbl_Ben_Info[Ben Code],0),6),"")</f>
        <v/>
      </c>
      <c r="F44" s="113" t="str">
        <f>IF(tbl_Assessment[[#This Row],[Ben Code]]&lt;&gt;"",INDEX(tbl_Ben_Info[],MATCH(tbl_Assessment[[#This Row],[Ben Code]],tbl_Ben_Info[Ben Code],0),13),"")</f>
        <v/>
      </c>
      <c r="G44" s="49"/>
      <c r="H44" s="37"/>
      <c r="I44" s="37"/>
      <c r="J44" s="37"/>
      <c r="K44" s="37"/>
      <c r="L44" s="37"/>
      <c r="M44" s="59"/>
      <c r="N44" s="37"/>
      <c r="O44" s="37"/>
      <c r="P44" s="37"/>
      <c r="Q44" s="59"/>
      <c r="R44" s="49"/>
      <c r="S44" s="37"/>
      <c r="T44" s="37"/>
      <c r="U44" s="37"/>
      <c r="V44" s="37"/>
      <c r="W44" s="96" t="str">
        <f>tbl_Assessment[[#This Row],[Ben Code]] &amp; "-"&amp;tbl_Assessment[[#This Row],[admin4Pcode]]&amp;"-" &amp; TEXT(COUNTIF(INDEX(tbl_Assessment[Ben Code],1):tbl_Assessment[[#This Row],[Ben Code]], tbl_Assessment[[#This Row],[Ben Code]]), "00")</f>
        <v>--00</v>
      </c>
      <c r="X44" s="37"/>
      <c r="Y44" s="37"/>
      <c r="Z44" s="37"/>
      <c r="AA44" s="37"/>
      <c r="AB44" s="37"/>
      <c r="AC44" s="37"/>
      <c r="AD44" s="37"/>
      <c r="AE44" s="37"/>
      <c r="AF44" s="37"/>
      <c r="AG44" s="37"/>
      <c r="AH44" s="37"/>
      <c r="AI44" s="37"/>
      <c r="AJ44" s="37"/>
      <c r="AK44" s="37"/>
      <c r="AL44" s="37"/>
      <c r="AM44" s="37"/>
      <c r="AN44" s="37"/>
      <c r="AO44" s="37"/>
      <c r="AP44" s="37"/>
      <c r="AQ44" s="37"/>
      <c r="AR44" s="37"/>
      <c r="AS44" s="37"/>
      <c r="AT44" s="49"/>
      <c r="AU44" s="41"/>
      <c r="AV44" s="37"/>
      <c r="AW44" s="37"/>
      <c r="AX44" s="37"/>
      <c r="AY44" s="37"/>
      <c r="AZ44" s="37"/>
      <c r="BA44" s="37"/>
      <c r="BB44" s="41"/>
      <c r="BC44" s="37"/>
      <c r="BD44" s="37"/>
      <c r="BE44" s="37"/>
      <c r="BF44" s="41"/>
      <c r="BG44" s="37"/>
      <c r="BH44" s="37"/>
      <c r="BI44" s="37"/>
      <c r="BJ44" s="41"/>
    </row>
    <row r="45" spans="2:62" ht="25.15" customHeight="1" x14ac:dyDescent="0.25">
      <c r="B45" s="49">
        <v>40</v>
      </c>
      <c r="C45" s="37"/>
      <c r="D45" s="87" t="str">
        <f>IF(tbl_Assessment[[#This Row],[Ben Code]]&lt;&gt;"",INDEX(tbl_Ben_Info[],MATCH(tbl_Assessment[[#This Row],[Ben Code]],tbl_Ben_Info[Ben Code],0),48),"")</f>
        <v/>
      </c>
      <c r="E45" s="116" t="str">
        <f>IF(tbl_Assessment[[#This Row],[Ben Code]]&lt;&gt;"",INDEX(tbl_Ben_Info[],MATCH(tbl_Assessment[[#This Row],[Ben Code]],tbl_Ben_Info[Ben Code],0),6),"")</f>
        <v/>
      </c>
      <c r="F45" s="113" t="str">
        <f>IF(tbl_Assessment[[#This Row],[Ben Code]]&lt;&gt;"",INDEX(tbl_Ben_Info[],MATCH(tbl_Assessment[[#This Row],[Ben Code]],tbl_Ben_Info[Ben Code],0),13),"")</f>
        <v/>
      </c>
      <c r="G45" s="49"/>
      <c r="H45" s="37"/>
      <c r="I45" s="37"/>
      <c r="J45" s="37"/>
      <c r="K45" s="37"/>
      <c r="L45" s="37"/>
      <c r="M45" s="59"/>
      <c r="N45" s="37"/>
      <c r="O45" s="37"/>
      <c r="P45" s="37"/>
      <c r="Q45" s="59"/>
      <c r="R45" s="49"/>
      <c r="S45" s="37"/>
      <c r="T45" s="37"/>
      <c r="U45" s="37"/>
      <c r="V45" s="37"/>
      <c r="W45" s="96" t="str">
        <f>tbl_Assessment[[#This Row],[Ben Code]] &amp; "-"&amp;tbl_Assessment[[#This Row],[admin4Pcode]]&amp;"-" &amp; TEXT(COUNTIF(INDEX(tbl_Assessment[Ben Code],1):tbl_Assessment[[#This Row],[Ben Code]], tbl_Assessment[[#This Row],[Ben Code]]), "00")</f>
        <v>--00</v>
      </c>
      <c r="X45" s="37"/>
      <c r="Y45" s="37"/>
      <c r="Z45" s="37"/>
      <c r="AA45" s="37"/>
      <c r="AB45" s="37"/>
      <c r="AC45" s="37"/>
      <c r="AD45" s="37"/>
      <c r="AE45" s="37"/>
      <c r="AF45" s="37"/>
      <c r="AG45" s="37"/>
      <c r="AH45" s="37"/>
      <c r="AI45" s="37"/>
      <c r="AJ45" s="37"/>
      <c r="AK45" s="37"/>
      <c r="AL45" s="37"/>
      <c r="AM45" s="37"/>
      <c r="AN45" s="37"/>
      <c r="AO45" s="37"/>
      <c r="AP45" s="37"/>
      <c r="AQ45" s="37"/>
      <c r="AR45" s="37"/>
      <c r="AS45" s="37"/>
      <c r="AT45" s="49"/>
      <c r="AU45" s="41"/>
      <c r="AV45" s="37"/>
      <c r="AW45" s="37"/>
      <c r="AX45" s="37"/>
      <c r="AY45" s="37"/>
      <c r="AZ45" s="37"/>
      <c r="BA45" s="37"/>
      <c r="BB45" s="41"/>
      <c r="BC45" s="37"/>
      <c r="BD45" s="37"/>
      <c r="BE45" s="37"/>
      <c r="BF45" s="41"/>
      <c r="BG45" s="37"/>
      <c r="BH45" s="37"/>
      <c r="BI45" s="37"/>
      <c r="BJ45" s="41"/>
    </row>
    <row r="46" spans="2:62" ht="25.15" customHeight="1" x14ac:dyDescent="0.25">
      <c r="B46" s="49">
        <v>41</v>
      </c>
      <c r="C46" s="37"/>
      <c r="D46" s="87" t="str">
        <f>IF(tbl_Assessment[[#This Row],[Ben Code]]&lt;&gt;"",INDEX(tbl_Ben_Info[],MATCH(tbl_Assessment[[#This Row],[Ben Code]],tbl_Ben_Info[Ben Code],0),48),"")</f>
        <v/>
      </c>
      <c r="E46" s="116" t="str">
        <f>IF(tbl_Assessment[[#This Row],[Ben Code]]&lt;&gt;"",INDEX(tbl_Ben_Info[],MATCH(tbl_Assessment[[#This Row],[Ben Code]],tbl_Ben_Info[Ben Code],0),6),"")</f>
        <v/>
      </c>
      <c r="F46" s="113" t="str">
        <f>IF(tbl_Assessment[[#This Row],[Ben Code]]&lt;&gt;"",INDEX(tbl_Ben_Info[],MATCH(tbl_Assessment[[#This Row],[Ben Code]],tbl_Ben_Info[Ben Code],0),13),"")</f>
        <v/>
      </c>
      <c r="G46" s="49"/>
      <c r="H46" s="37"/>
      <c r="I46" s="37"/>
      <c r="J46" s="37"/>
      <c r="K46" s="37"/>
      <c r="L46" s="37"/>
      <c r="M46" s="59"/>
      <c r="N46" s="37"/>
      <c r="O46" s="37"/>
      <c r="P46" s="37"/>
      <c r="Q46" s="59"/>
      <c r="R46" s="49"/>
      <c r="S46" s="37"/>
      <c r="T46" s="37"/>
      <c r="U46" s="37"/>
      <c r="V46" s="37"/>
      <c r="W46" s="96" t="str">
        <f>tbl_Assessment[[#This Row],[Ben Code]] &amp; "-"&amp;tbl_Assessment[[#This Row],[admin4Pcode]]&amp;"-" &amp; TEXT(COUNTIF(INDEX(tbl_Assessment[Ben Code],1):tbl_Assessment[[#This Row],[Ben Code]], tbl_Assessment[[#This Row],[Ben Code]]), "00")</f>
        <v>--00</v>
      </c>
      <c r="X46" s="37"/>
      <c r="Y46" s="37"/>
      <c r="Z46" s="37"/>
      <c r="AA46" s="37"/>
      <c r="AB46" s="37"/>
      <c r="AC46" s="37"/>
      <c r="AD46" s="37"/>
      <c r="AE46" s="37"/>
      <c r="AF46" s="37"/>
      <c r="AG46" s="37"/>
      <c r="AH46" s="37"/>
      <c r="AI46" s="37"/>
      <c r="AJ46" s="37"/>
      <c r="AK46" s="37"/>
      <c r="AL46" s="37"/>
      <c r="AM46" s="37"/>
      <c r="AN46" s="37"/>
      <c r="AO46" s="37"/>
      <c r="AP46" s="37"/>
      <c r="AQ46" s="37"/>
      <c r="AR46" s="37"/>
      <c r="AS46" s="37"/>
      <c r="AT46" s="49"/>
      <c r="AU46" s="41"/>
      <c r="AV46" s="37"/>
      <c r="AW46" s="37"/>
      <c r="AX46" s="37"/>
      <c r="AY46" s="37"/>
      <c r="AZ46" s="37"/>
      <c r="BA46" s="37"/>
      <c r="BB46" s="41"/>
      <c r="BC46" s="37"/>
      <c r="BD46" s="37"/>
      <c r="BE46" s="37"/>
      <c r="BF46" s="41"/>
      <c r="BG46" s="37"/>
      <c r="BH46" s="37"/>
      <c r="BI46" s="37"/>
      <c r="BJ46" s="41"/>
    </row>
    <row r="47" spans="2:62" ht="25.15" customHeight="1" x14ac:dyDescent="0.25">
      <c r="B47" s="49">
        <v>42</v>
      </c>
      <c r="C47" s="37"/>
      <c r="D47" s="87" t="str">
        <f>IF(tbl_Assessment[[#This Row],[Ben Code]]&lt;&gt;"",INDEX(tbl_Ben_Info[],MATCH(tbl_Assessment[[#This Row],[Ben Code]],tbl_Ben_Info[Ben Code],0),48),"")</f>
        <v/>
      </c>
      <c r="E47" s="116" t="str">
        <f>IF(tbl_Assessment[[#This Row],[Ben Code]]&lt;&gt;"",INDEX(tbl_Ben_Info[],MATCH(tbl_Assessment[[#This Row],[Ben Code]],tbl_Ben_Info[Ben Code],0),6),"")</f>
        <v/>
      </c>
      <c r="F47" s="113" t="str">
        <f>IF(tbl_Assessment[[#This Row],[Ben Code]]&lt;&gt;"",INDEX(tbl_Ben_Info[],MATCH(tbl_Assessment[[#This Row],[Ben Code]],tbl_Ben_Info[Ben Code],0),13),"")</f>
        <v/>
      </c>
      <c r="G47" s="49"/>
      <c r="H47" s="37"/>
      <c r="I47" s="37"/>
      <c r="J47" s="37"/>
      <c r="K47" s="37"/>
      <c r="L47" s="37"/>
      <c r="M47" s="59"/>
      <c r="N47" s="37"/>
      <c r="O47" s="37"/>
      <c r="P47" s="37"/>
      <c r="Q47" s="59"/>
      <c r="R47" s="49"/>
      <c r="S47" s="37"/>
      <c r="T47" s="37"/>
      <c r="U47" s="37"/>
      <c r="V47" s="37"/>
      <c r="W47" s="96" t="str">
        <f>tbl_Assessment[[#This Row],[Ben Code]] &amp; "-"&amp;tbl_Assessment[[#This Row],[admin4Pcode]]&amp;"-" &amp; TEXT(COUNTIF(INDEX(tbl_Assessment[Ben Code],1):tbl_Assessment[[#This Row],[Ben Code]], tbl_Assessment[[#This Row],[Ben Code]]), "00")</f>
        <v>--00</v>
      </c>
      <c r="X47" s="37"/>
      <c r="Y47" s="37"/>
      <c r="Z47" s="37"/>
      <c r="AA47" s="37"/>
      <c r="AB47" s="37"/>
      <c r="AC47" s="37"/>
      <c r="AD47" s="37"/>
      <c r="AE47" s="37"/>
      <c r="AF47" s="37"/>
      <c r="AG47" s="37"/>
      <c r="AH47" s="37"/>
      <c r="AI47" s="37"/>
      <c r="AJ47" s="37"/>
      <c r="AK47" s="37"/>
      <c r="AL47" s="37"/>
      <c r="AM47" s="37"/>
      <c r="AN47" s="37"/>
      <c r="AO47" s="37"/>
      <c r="AP47" s="37"/>
      <c r="AQ47" s="37"/>
      <c r="AR47" s="37"/>
      <c r="AS47" s="37"/>
      <c r="AT47" s="49"/>
      <c r="AU47" s="41"/>
      <c r="AV47" s="37"/>
      <c r="AW47" s="37"/>
      <c r="AX47" s="37"/>
      <c r="AY47" s="37"/>
      <c r="AZ47" s="37"/>
      <c r="BA47" s="37"/>
      <c r="BB47" s="41"/>
      <c r="BC47" s="37"/>
      <c r="BD47" s="37"/>
      <c r="BE47" s="37"/>
      <c r="BF47" s="41"/>
      <c r="BG47" s="37"/>
      <c r="BH47" s="37"/>
      <c r="BI47" s="37"/>
      <c r="BJ47" s="41"/>
    </row>
    <row r="48" spans="2:62" ht="25.15" customHeight="1" x14ac:dyDescent="0.25">
      <c r="B48" s="49">
        <v>43</v>
      </c>
      <c r="C48" s="37"/>
      <c r="D48" s="87" t="str">
        <f>IF(tbl_Assessment[[#This Row],[Ben Code]]&lt;&gt;"",INDEX(tbl_Ben_Info[],MATCH(tbl_Assessment[[#This Row],[Ben Code]],tbl_Ben_Info[Ben Code],0),48),"")</f>
        <v/>
      </c>
      <c r="E48" s="116" t="str">
        <f>IF(tbl_Assessment[[#This Row],[Ben Code]]&lt;&gt;"",INDEX(tbl_Ben_Info[],MATCH(tbl_Assessment[[#This Row],[Ben Code]],tbl_Ben_Info[Ben Code],0),6),"")</f>
        <v/>
      </c>
      <c r="F48" s="113" t="str">
        <f>IF(tbl_Assessment[[#This Row],[Ben Code]]&lt;&gt;"",INDEX(tbl_Ben_Info[],MATCH(tbl_Assessment[[#This Row],[Ben Code]],tbl_Ben_Info[Ben Code],0),13),"")</f>
        <v/>
      </c>
      <c r="G48" s="49"/>
      <c r="H48" s="37"/>
      <c r="I48" s="37"/>
      <c r="J48" s="37"/>
      <c r="K48" s="37"/>
      <c r="L48" s="37"/>
      <c r="M48" s="59"/>
      <c r="N48" s="37"/>
      <c r="O48" s="37"/>
      <c r="P48" s="37"/>
      <c r="Q48" s="59"/>
      <c r="R48" s="49"/>
      <c r="S48" s="37"/>
      <c r="T48" s="37"/>
      <c r="U48" s="37"/>
      <c r="V48" s="37"/>
      <c r="W48" s="96" t="str">
        <f>tbl_Assessment[[#This Row],[Ben Code]] &amp; "-"&amp;tbl_Assessment[[#This Row],[admin4Pcode]]&amp;"-" &amp; TEXT(COUNTIF(INDEX(tbl_Assessment[Ben Code],1):tbl_Assessment[[#This Row],[Ben Code]], tbl_Assessment[[#This Row],[Ben Code]]), "00")</f>
        <v>--00</v>
      </c>
      <c r="X48" s="37"/>
      <c r="Y48" s="37"/>
      <c r="Z48" s="37"/>
      <c r="AA48" s="37"/>
      <c r="AB48" s="37"/>
      <c r="AC48" s="37"/>
      <c r="AD48" s="37"/>
      <c r="AE48" s="37"/>
      <c r="AF48" s="37"/>
      <c r="AG48" s="37"/>
      <c r="AH48" s="37"/>
      <c r="AI48" s="37"/>
      <c r="AJ48" s="37"/>
      <c r="AK48" s="37"/>
      <c r="AL48" s="37"/>
      <c r="AM48" s="37"/>
      <c r="AN48" s="37"/>
      <c r="AO48" s="37"/>
      <c r="AP48" s="37"/>
      <c r="AQ48" s="37"/>
      <c r="AR48" s="37"/>
      <c r="AS48" s="37"/>
      <c r="AT48" s="49"/>
      <c r="AU48" s="41"/>
      <c r="AV48" s="37"/>
      <c r="AW48" s="37"/>
      <c r="AX48" s="37"/>
      <c r="AY48" s="37"/>
      <c r="AZ48" s="37"/>
      <c r="BA48" s="37"/>
      <c r="BB48" s="41"/>
      <c r="BC48" s="37"/>
      <c r="BD48" s="37"/>
      <c r="BE48" s="37"/>
      <c r="BF48" s="41"/>
      <c r="BG48" s="37"/>
      <c r="BH48" s="37"/>
      <c r="BI48" s="37"/>
      <c r="BJ48" s="41"/>
    </row>
    <row r="49" spans="2:62" ht="25.15" customHeight="1" x14ac:dyDescent="0.25">
      <c r="B49" s="49">
        <v>44</v>
      </c>
      <c r="C49" s="37"/>
      <c r="D49" s="87" t="str">
        <f>IF(tbl_Assessment[[#This Row],[Ben Code]]&lt;&gt;"",INDEX(tbl_Ben_Info[],MATCH(tbl_Assessment[[#This Row],[Ben Code]],tbl_Ben_Info[Ben Code],0),48),"")</f>
        <v/>
      </c>
      <c r="E49" s="116" t="str">
        <f>IF(tbl_Assessment[[#This Row],[Ben Code]]&lt;&gt;"",INDEX(tbl_Ben_Info[],MATCH(tbl_Assessment[[#This Row],[Ben Code]],tbl_Ben_Info[Ben Code],0),6),"")</f>
        <v/>
      </c>
      <c r="F49" s="113" t="str">
        <f>IF(tbl_Assessment[[#This Row],[Ben Code]]&lt;&gt;"",INDEX(tbl_Ben_Info[],MATCH(tbl_Assessment[[#This Row],[Ben Code]],tbl_Ben_Info[Ben Code],0),13),"")</f>
        <v/>
      </c>
      <c r="G49" s="49"/>
      <c r="H49" s="37"/>
      <c r="I49" s="37"/>
      <c r="J49" s="37"/>
      <c r="K49" s="37"/>
      <c r="L49" s="37"/>
      <c r="M49" s="59"/>
      <c r="N49" s="37"/>
      <c r="O49" s="37"/>
      <c r="P49" s="37"/>
      <c r="Q49" s="59"/>
      <c r="R49" s="49"/>
      <c r="S49" s="37"/>
      <c r="T49" s="37"/>
      <c r="U49" s="37"/>
      <c r="V49" s="37"/>
      <c r="W49" s="96" t="str">
        <f>tbl_Assessment[[#This Row],[Ben Code]] &amp; "-"&amp;tbl_Assessment[[#This Row],[admin4Pcode]]&amp;"-" &amp; TEXT(COUNTIF(INDEX(tbl_Assessment[Ben Code],1):tbl_Assessment[[#This Row],[Ben Code]], tbl_Assessment[[#This Row],[Ben Code]]), "00")</f>
        <v>--00</v>
      </c>
      <c r="X49" s="37"/>
      <c r="Y49" s="37"/>
      <c r="Z49" s="37"/>
      <c r="AA49" s="37"/>
      <c r="AB49" s="37"/>
      <c r="AC49" s="37"/>
      <c r="AD49" s="37"/>
      <c r="AE49" s="37"/>
      <c r="AF49" s="37"/>
      <c r="AG49" s="37"/>
      <c r="AH49" s="37"/>
      <c r="AI49" s="37"/>
      <c r="AJ49" s="37"/>
      <c r="AK49" s="37"/>
      <c r="AL49" s="37"/>
      <c r="AM49" s="37"/>
      <c r="AN49" s="37"/>
      <c r="AO49" s="37"/>
      <c r="AP49" s="37"/>
      <c r="AQ49" s="37"/>
      <c r="AR49" s="37"/>
      <c r="AS49" s="37"/>
      <c r="AT49" s="49"/>
      <c r="AU49" s="41"/>
      <c r="AV49" s="37"/>
      <c r="AW49" s="37"/>
      <c r="AX49" s="37"/>
      <c r="AY49" s="37"/>
      <c r="AZ49" s="37"/>
      <c r="BA49" s="37"/>
      <c r="BB49" s="41"/>
      <c r="BC49" s="37"/>
      <c r="BD49" s="37"/>
      <c r="BE49" s="37"/>
      <c r="BF49" s="41"/>
      <c r="BG49" s="37"/>
      <c r="BH49" s="37"/>
      <c r="BI49" s="37"/>
      <c r="BJ49" s="41"/>
    </row>
    <row r="50" spans="2:62" ht="25.15" customHeight="1" x14ac:dyDescent="0.25">
      <c r="B50" s="49">
        <v>45</v>
      </c>
      <c r="C50" s="37"/>
      <c r="D50" s="87" t="str">
        <f>IF(tbl_Assessment[[#This Row],[Ben Code]]&lt;&gt;"",INDEX(tbl_Ben_Info[],MATCH(tbl_Assessment[[#This Row],[Ben Code]],tbl_Ben_Info[Ben Code],0),48),"")</f>
        <v/>
      </c>
      <c r="E50" s="116" t="str">
        <f>IF(tbl_Assessment[[#This Row],[Ben Code]]&lt;&gt;"",INDEX(tbl_Ben_Info[],MATCH(tbl_Assessment[[#This Row],[Ben Code]],tbl_Ben_Info[Ben Code],0),6),"")</f>
        <v/>
      </c>
      <c r="F50" s="113" t="str">
        <f>IF(tbl_Assessment[[#This Row],[Ben Code]]&lt;&gt;"",INDEX(tbl_Ben_Info[],MATCH(tbl_Assessment[[#This Row],[Ben Code]],tbl_Ben_Info[Ben Code],0),13),"")</f>
        <v/>
      </c>
      <c r="G50" s="49"/>
      <c r="H50" s="37"/>
      <c r="I50" s="37"/>
      <c r="J50" s="37"/>
      <c r="K50" s="37"/>
      <c r="L50" s="37"/>
      <c r="M50" s="59"/>
      <c r="N50" s="37"/>
      <c r="O50" s="37"/>
      <c r="P50" s="37"/>
      <c r="Q50" s="59"/>
      <c r="R50" s="49"/>
      <c r="S50" s="37"/>
      <c r="T50" s="37"/>
      <c r="U50" s="37"/>
      <c r="V50" s="37"/>
      <c r="W50" s="96" t="str">
        <f>tbl_Assessment[[#This Row],[Ben Code]] &amp; "-"&amp;tbl_Assessment[[#This Row],[admin4Pcode]]&amp;"-" &amp; TEXT(COUNTIF(INDEX(tbl_Assessment[Ben Code],1):tbl_Assessment[[#This Row],[Ben Code]], tbl_Assessment[[#This Row],[Ben Code]]), "00")</f>
        <v>--00</v>
      </c>
      <c r="X50" s="37"/>
      <c r="Y50" s="37"/>
      <c r="Z50" s="37"/>
      <c r="AA50" s="37"/>
      <c r="AB50" s="37"/>
      <c r="AC50" s="37"/>
      <c r="AD50" s="37"/>
      <c r="AE50" s="37"/>
      <c r="AF50" s="37"/>
      <c r="AG50" s="37"/>
      <c r="AH50" s="37"/>
      <c r="AI50" s="37"/>
      <c r="AJ50" s="37"/>
      <c r="AK50" s="37"/>
      <c r="AL50" s="37"/>
      <c r="AM50" s="37"/>
      <c r="AN50" s="37"/>
      <c r="AO50" s="37"/>
      <c r="AP50" s="37"/>
      <c r="AQ50" s="37"/>
      <c r="AR50" s="37"/>
      <c r="AS50" s="37"/>
      <c r="AT50" s="49"/>
      <c r="AU50" s="41"/>
      <c r="AV50" s="37"/>
      <c r="AW50" s="37"/>
      <c r="AX50" s="37"/>
      <c r="AY50" s="37"/>
      <c r="AZ50" s="37"/>
      <c r="BA50" s="37"/>
      <c r="BB50" s="41"/>
      <c r="BC50" s="37"/>
      <c r="BD50" s="37"/>
      <c r="BE50" s="37"/>
      <c r="BF50" s="41"/>
      <c r="BG50" s="37"/>
      <c r="BH50" s="37"/>
      <c r="BI50" s="37"/>
      <c r="BJ50" s="41"/>
    </row>
    <row r="51" spans="2:62" ht="25.15" customHeight="1" x14ac:dyDescent="0.25">
      <c r="B51" s="49">
        <v>46</v>
      </c>
      <c r="C51" s="37"/>
      <c r="D51" s="87" t="str">
        <f>IF(tbl_Assessment[[#This Row],[Ben Code]]&lt;&gt;"",INDEX(tbl_Ben_Info[],MATCH(tbl_Assessment[[#This Row],[Ben Code]],tbl_Ben_Info[Ben Code],0),48),"")</f>
        <v/>
      </c>
      <c r="E51" s="116" t="str">
        <f>IF(tbl_Assessment[[#This Row],[Ben Code]]&lt;&gt;"",INDEX(tbl_Ben_Info[],MATCH(tbl_Assessment[[#This Row],[Ben Code]],tbl_Ben_Info[Ben Code],0),6),"")</f>
        <v/>
      </c>
      <c r="F51" s="113" t="str">
        <f>IF(tbl_Assessment[[#This Row],[Ben Code]]&lt;&gt;"",INDEX(tbl_Ben_Info[],MATCH(tbl_Assessment[[#This Row],[Ben Code]],tbl_Ben_Info[Ben Code],0),13),"")</f>
        <v/>
      </c>
      <c r="G51" s="49"/>
      <c r="H51" s="37"/>
      <c r="I51" s="37"/>
      <c r="J51" s="37"/>
      <c r="K51" s="37"/>
      <c r="L51" s="37"/>
      <c r="M51" s="59"/>
      <c r="N51" s="37"/>
      <c r="O51" s="37"/>
      <c r="P51" s="37"/>
      <c r="Q51" s="59"/>
      <c r="R51" s="49"/>
      <c r="S51" s="37"/>
      <c r="T51" s="37"/>
      <c r="U51" s="37"/>
      <c r="V51" s="37"/>
      <c r="W51" s="96" t="str">
        <f>tbl_Assessment[[#This Row],[Ben Code]] &amp; "-"&amp;tbl_Assessment[[#This Row],[admin4Pcode]]&amp;"-" &amp; TEXT(COUNTIF(INDEX(tbl_Assessment[Ben Code],1):tbl_Assessment[[#This Row],[Ben Code]], tbl_Assessment[[#This Row],[Ben Code]]), "00")</f>
        <v>--00</v>
      </c>
      <c r="X51" s="37"/>
      <c r="Y51" s="37"/>
      <c r="Z51" s="37"/>
      <c r="AA51" s="37"/>
      <c r="AB51" s="37"/>
      <c r="AC51" s="37"/>
      <c r="AD51" s="37"/>
      <c r="AE51" s="37"/>
      <c r="AF51" s="37"/>
      <c r="AG51" s="37"/>
      <c r="AH51" s="37"/>
      <c r="AI51" s="37"/>
      <c r="AJ51" s="37"/>
      <c r="AK51" s="37"/>
      <c r="AL51" s="37"/>
      <c r="AM51" s="37"/>
      <c r="AN51" s="37"/>
      <c r="AO51" s="37"/>
      <c r="AP51" s="37"/>
      <c r="AQ51" s="37"/>
      <c r="AR51" s="37"/>
      <c r="AS51" s="37"/>
      <c r="AT51" s="49"/>
      <c r="AU51" s="41"/>
      <c r="AV51" s="37"/>
      <c r="AW51" s="37"/>
      <c r="AX51" s="37"/>
      <c r="AY51" s="37"/>
      <c r="AZ51" s="37"/>
      <c r="BA51" s="37"/>
      <c r="BB51" s="41"/>
      <c r="BC51" s="37"/>
      <c r="BD51" s="37"/>
      <c r="BE51" s="37"/>
      <c r="BF51" s="41"/>
      <c r="BG51" s="37"/>
      <c r="BH51" s="37"/>
      <c r="BI51" s="37"/>
      <c r="BJ51" s="41"/>
    </row>
    <row r="52" spans="2:62" ht="25.15" customHeight="1" x14ac:dyDescent="0.25">
      <c r="B52" s="49">
        <v>47</v>
      </c>
      <c r="C52" s="37"/>
      <c r="D52" s="87" t="str">
        <f>IF(tbl_Assessment[[#This Row],[Ben Code]]&lt;&gt;"",INDEX(tbl_Ben_Info[],MATCH(tbl_Assessment[[#This Row],[Ben Code]],tbl_Ben_Info[Ben Code],0),48),"")</f>
        <v/>
      </c>
      <c r="E52" s="116" t="str">
        <f>IF(tbl_Assessment[[#This Row],[Ben Code]]&lt;&gt;"",INDEX(tbl_Ben_Info[],MATCH(tbl_Assessment[[#This Row],[Ben Code]],tbl_Ben_Info[Ben Code],0),6),"")</f>
        <v/>
      </c>
      <c r="F52" s="113" t="str">
        <f>IF(tbl_Assessment[[#This Row],[Ben Code]]&lt;&gt;"",INDEX(tbl_Ben_Info[],MATCH(tbl_Assessment[[#This Row],[Ben Code]],tbl_Ben_Info[Ben Code],0),13),"")</f>
        <v/>
      </c>
      <c r="G52" s="49"/>
      <c r="H52" s="37"/>
      <c r="I52" s="37"/>
      <c r="J52" s="37"/>
      <c r="K52" s="37"/>
      <c r="L52" s="37"/>
      <c r="M52" s="59"/>
      <c r="N52" s="37"/>
      <c r="O52" s="37"/>
      <c r="P52" s="37"/>
      <c r="Q52" s="59"/>
      <c r="R52" s="49"/>
      <c r="S52" s="37"/>
      <c r="T52" s="37"/>
      <c r="U52" s="37"/>
      <c r="V52" s="37"/>
      <c r="W52" s="96" t="str">
        <f>tbl_Assessment[[#This Row],[Ben Code]] &amp; "-"&amp;tbl_Assessment[[#This Row],[admin4Pcode]]&amp;"-" &amp; TEXT(COUNTIF(INDEX(tbl_Assessment[Ben Code],1):tbl_Assessment[[#This Row],[Ben Code]], tbl_Assessment[[#This Row],[Ben Code]]), "00")</f>
        <v>--00</v>
      </c>
      <c r="X52" s="37"/>
      <c r="Y52" s="37"/>
      <c r="Z52" s="37"/>
      <c r="AA52" s="37"/>
      <c r="AB52" s="37"/>
      <c r="AC52" s="37"/>
      <c r="AD52" s="37"/>
      <c r="AE52" s="37"/>
      <c r="AF52" s="37"/>
      <c r="AG52" s="37"/>
      <c r="AH52" s="37"/>
      <c r="AI52" s="37"/>
      <c r="AJ52" s="37"/>
      <c r="AK52" s="37"/>
      <c r="AL52" s="37"/>
      <c r="AM52" s="37"/>
      <c r="AN52" s="37"/>
      <c r="AO52" s="37"/>
      <c r="AP52" s="37"/>
      <c r="AQ52" s="37"/>
      <c r="AR52" s="37"/>
      <c r="AS52" s="37"/>
      <c r="AT52" s="49"/>
      <c r="AU52" s="41"/>
      <c r="AV52" s="37"/>
      <c r="AW52" s="37"/>
      <c r="AX52" s="37"/>
      <c r="AY52" s="37"/>
      <c r="AZ52" s="37"/>
      <c r="BA52" s="37"/>
      <c r="BB52" s="41"/>
      <c r="BC52" s="37"/>
      <c r="BD52" s="37"/>
      <c r="BE52" s="37"/>
      <c r="BF52" s="41"/>
      <c r="BG52" s="37"/>
      <c r="BH52" s="37"/>
      <c r="BI52" s="37"/>
      <c r="BJ52" s="41"/>
    </row>
    <row r="53" spans="2:62" ht="25.15" customHeight="1" x14ac:dyDescent="0.25">
      <c r="B53" s="49">
        <v>48</v>
      </c>
      <c r="C53" s="37"/>
      <c r="D53" s="87" t="str">
        <f>IF(tbl_Assessment[[#This Row],[Ben Code]]&lt;&gt;"",INDEX(tbl_Ben_Info[],MATCH(tbl_Assessment[[#This Row],[Ben Code]],tbl_Ben_Info[Ben Code],0),48),"")</f>
        <v/>
      </c>
      <c r="E53" s="116" t="str">
        <f>IF(tbl_Assessment[[#This Row],[Ben Code]]&lt;&gt;"",INDEX(tbl_Ben_Info[],MATCH(tbl_Assessment[[#This Row],[Ben Code]],tbl_Ben_Info[Ben Code],0),6),"")</f>
        <v/>
      </c>
      <c r="F53" s="113" t="str">
        <f>IF(tbl_Assessment[[#This Row],[Ben Code]]&lt;&gt;"",INDEX(tbl_Ben_Info[],MATCH(tbl_Assessment[[#This Row],[Ben Code]],tbl_Ben_Info[Ben Code],0),13),"")</f>
        <v/>
      </c>
      <c r="G53" s="49"/>
      <c r="H53" s="37"/>
      <c r="I53" s="37"/>
      <c r="J53" s="37"/>
      <c r="K53" s="37"/>
      <c r="L53" s="37"/>
      <c r="M53" s="59"/>
      <c r="N53" s="37"/>
      <c r="O53" s="37"/>
      <c r="P53" s="37"/>
      <c r="Q53" s="59"/>
      <c r="R53" s="49"/>
      <c r="S53" s="37"/>
      <c r="T53" s="37"/>
      <c r="U53" s="37"/>
      <c r="V53" s="37"/>
      <c r="W53" s="96" t="str">
        <f>tbl_Assessment[[#This Row],[Ben Code]] &amp; "-"&amp;tbl_Assessment[[#This Row],[admin4Pcode]]&amp;"-" &amp; TEXT(COUNTIF(INDEX(tbl_Assessment[Ben Code],1):tbl_Assessment[[#This Row],[Ben Code]], tbl_Assessment[[#This Row],[Ben Code]]), "00")</f>
        <v>--00</v>
      </c>
      <c r="X53" s="37"/>
      <c r="Y53" s="37"/>
      <c r="Z53" s="37"/>
      <c r="AA53" s="37"/>
      <c r="AB53" s="37"/>
      <c r="AC53" s="37"/>
      <c r="AD53" s="37"/>
      <c r="AE53" s="37"/>
      <c r="AF53" s="37"/>
      <c r="AG53" s="37"/>
      <c r="AH53" s="37"/>
      <c r="AI53" s="37"/>
      <c r="AJ53" s="37"/>
      <c r="AK53" s="37"/>
      <c r="AL53" s="37"/>
      <c r="AM53" s="37"/>
      <c r="AN53" s="37"/>
      <c r="AO53" s="37"/>
      <c r="AP53" s="37"/>
      <c r="AQ53" s="37"/>
      <c r="AR53" s="37"/>
      <c r="AS53" s="37"/>
      <c r="AT53" s="49"/>
      <c r="AU53" s="41"/>
      <c r="AV53" s="37"/>
      <c r="AW53" s="37"/>
      <c r="AX53" s="37"/>
      <c r="AY53" s="37"/>
      <c r="AZ53" s="37"/>
      <c r="BA53" s="37"/>
      <c r="BB53" s="41"/>
      <c r="BC53" s="37"/>
      <c r="BD53" s="37"/>
      <c r="BE53" s="37"/>
      <c r="BF53" s="41"/>
      <c r="BG53" s="37"/>
      <c r="BH53" s="37"/>
      <c r="BI53" s="37"/>
      <c r="BJ53" s="41"/>
    </row>
    <row r="54" spans="2:62" ht="25.15" customHeight="1" x14ac:dyDescent="0.25">
      <c r="B54" s="49">
        <v>49</v>
      </c>
      <c r="C54" s="37"/>
      <c r="D54" s="87" t="str">
        <f>IF(tbl_Assessment[[#This Row],[Ben Code]]&lt;&gt;"",INDEX(tbl_Ben_Info[],MATCH(tbl_Assessment[[#This Row],[Ben Code]],tbl_Ben_Info[Ben Code],0),48),"")</f>
        <v/>
      </c>
      <c r="E54" s="116" t="str">
        <f>IF(tbl_Assessment[[#This Row],[Ben Code]]&lt;&gt;"",INDEX(tbl_Ben_Info[],MATCH(tbl_Assessment[[#This Row],[Ben Code]],tbl_Ben_Info[Ben Code],0),6),"")</f>
        <v/>
      </c>
      <c r="F54" s="113" t="str">
        <f>IF(tbl_Assessment[[#This Row],[Ben Code]]&lt;&gt;"",INDEX(tbl_Ben_Info[],MATCH(tbl_Assessment[[#This Row],[Ben Code]],tbl_Ben_Info[Ben Code],0),13),"")</f>
        <v/>
      </c>
      <c r="G54" s="49"/>
      <c r="H54" s="37"/>
      <c r="I54" s="37"/>
      <c r="J54" s="37"/>
      <c r="K54" s="37"/>
      <c r="L54" s="37"/>
      <c r="M54" s="59"/>
      <c r="N54" s="37"/>
      <c r="O54" s="37"/>
      <c r="P54" s="37"/>
      <c r="Q54" s="59"/>
      <c r="R54" s="49"/>
      <c r="S54" s="37"/>
      <c r="T54" s="37"/>
      <c r="U54" s="37"/>
      <c r="V54" s="37"/>
      <c r="W54" s="96" t="str">
        <f>tbl_Assessment[[#This Row],[Ben Code]] &amp; "-"&amp;tbl_Assessment[[#This Row],[admin4Pcode]]&amp;"-" &amp; TEXT(COUNTIF(INDEX(tbl_Assessment[Ben Code],1):tbl_Assessment[[#This Row],[Ben Code]], tbl_Assessment[[#This Row],[Ben Code]]), "00")</f>
        <v>--00</v>
      </c>
      <c r="X54" s="37"/>
      <c r="Y54" s="37"/>
      <c r="Z54" s="37"/>
      <c r="AA54" s="37"/>
      <c r="AB54" s="37"/>
      <c r="AC54" s="37"/>
      <c r="AD54" s="37"/>
      <c r="AE54" s="37"/>
      <c r="AF54" s="37"/>
      <c r="AG54" s="37"/>
      <c r="AH54" s="37"/>
      <c r="AI54" s="37"/>
      <c r="AJ54" s="37"/>
      <c r="AK54" s="37"/>
      <c r="AL54" s="37"/>
      <c r="AM54" s="37"/>
      <c r="AN54" s="37"/>
      <c r="AO54" s="37"/>
      <c r="AP54" s="37"/>
      <c r="AQ54" s="37"/>
      <c r="AR54" s="37"/>
      <c r="AS54" s="37"/>
      <c r="AT54" s="49"/>
      <c r="AU54" s="41"/>
      <c r="AV54" s="37"/>
      <c r="AW54" s="37"/>
      <c r="AX54" s="37"/>
      <c r="AY54" s="37"/>
      <c r="AZ54" s="37"/>
      <c r="BA54" s="37"/>
      <c r="BB54" s="41"/>
      <c r="BC54" s="37"/>
      <c r="BD54" s="37"/>
      <c r="BE54" s="37"/>
      <c r="BF54" s="41"/>
      <c r="BG54" s="37"/>
      <c r="BH54" s="37"/>
      <c r="BI54" s="37"/>
      <c r="BJ54" s="41"/>
    </row>
    <row r="55" spans="2:62" ht="25.15" customHeight="1" x14ac:dyDescent="0.25">
      <c r="B55" s="49">
        <v>50</v>
      </c>
      <c r="C55" s="37"/>
      <c r="D55" s="87" t="str">
        <f>IF(tbl_Assessment[[#This Row],[Ben Code]]&lt;&gt;"",INDEX(tbl_Ben_Info[],MATCH(tbl_Assessment[[#This Row],[Ben Code]],tbl_Ben_Info[Ben Code],0),48),"")</f>
        <v/>
      </c>
      <c r="E55" s="116" t="str">
        <f>IF(tbl_Assessment[[#This Row],[Ben Code]]&lt;&gt;"",INDEX(tbl_Ben_Info[],MATCH(tbl_Assessment[[#This Row],[Ben Code]],tbl_Ben_Info[Ben Code],0),6),"")</f>
        <v/>
      </c>
      <c r="F55" s="113" t="str">
        <f>IF(tbl_Assessment[[#This Row],[Ben Code]]&lt;&gt;"",INDEX(tbl_Ben_Info[],MATCH(tbl_Assessment[[#This Row],[Ben Code]],tbl_Ben_Info[Ben Code],0),13),"")</f>
        <v/>
      </c>
      <c r="G55" s="49"/>
      <c r="H55" s="37"/>
      <c r="I55" s="37"/>
      <c r="J55" s="37"/>
      <c r="K55" s="37"/>
      <c r="L55" s="37"/>
      <c r="M55" s="59"/>
      <c r="N55" s="37"/>
      <c r="O55" s="37"/>
      <c r="P55" s="37"/>
      <c r="Q55" s="59"/>
      <c r="R55" s="49"/>
      <c r="S55" s="37"/>
      <c r="T55" s="37"/>
      <c r="U55" s="37"/>
      <c r="V55" s="37"/>
      <c r="W55" s="96" t="str">
        <f>tbl_Assessment[[#This Row],[Ben Code]] &amp; "-"&amp;tbl_Assessment[[#This Row],[admin4Pcode]]&amp;"-" &amp; TEXT(COUNTIF(INDEX(tbl_Assessment[Ben Code],1):tbl_Assessment[[#This Row],[Ben Code]], tbl_Assessment[[#This Row],[Ben Code]]), "00")</f>
        <v>--00</v>
      </c>
      <c r="X55" s="37"/>
      <c r="Y55" s="37"/>
      <c r="Z55" s="37"/>
      <c r="AA55" s="37"/>
      <c r="AB55" s="37"/>
      <c r="AC55" s="37"/>
      <c r="AD55" s="37"/>
      <c r="AE55" s="37"/>
      <c r="AF55" s="37"/>
      <c r="AG55" s="37"/>
      <c r="AH55" s="37"/>
      <c r="AI55" s="37"/>
      <c r="AJ55" s="37"/>
      <c r="AK55" s="37"/>
      <c r="AL55" s="37"/>
      <c r="AM55" s="37"/>
      <c r="AN55" s="37"/>
      <c r="AO55" s="37"/>
      <c r="AP55" s="37"/>
      <c r="AQ55" s="37"/>
      <c r="AR55" s="37"/>
      <c r="AS55" s="37"/>
      <c r="AT55" s="49"/>
      <c r="AU55" s="41"/>
      <c r="AV55" s="37"/>
      <c r="AW55" s="37"/>
      <c r="AX55" s="37"/>
      <c r="AY55" s="37"/>
      <c r="AZ55" s="37"/>
      <c r="BA55" s="37"/>
      <c r="BB55" s="41"/>
      <c r="BC55" s="37"/>
      <c r="BD55" s="37"/>
      <c r="BE55" s="37"/>
      <c r="BF55" s="41"/>
      <c r="BG55" s="37"/>
      <c r="BH55" s="37"/>
      <c r="BI55" s="37"/>
      <c r="BJ55" s="41"/>
    </row>
    <row r="56" spans="2:62" ht="25.15" customHeight="1" x14ac:dyDescent="0.25">
      <c r="B56" s="49">
        <v>51</v>
      </c>
      <c r="C56" s="37"/>
      <c r="D56" s="87" t="str">
        <f>IF(tbl_Assessment[[#This Row],[Ben Code]]&lt;&gt;"",INDEX(tbl_Ben_Info[],MATCH(tbl_Assessment[[#This Row],[Ben Code]],tbl_Ben_Info[Ben Code],0),48),"")</f>
        <v/>
      </c>
      <c r="E56" s="116" t="str">
        <f>IF(tbl_Assessment[[#This Row],[Ben Code]]&lt;&gt;"",INDEX(tbl_Ben_Info[],MATCH(tbl_Assessment[[#This Row],[Ben Code]],tbl_Ben_Info[Ben Code],0),6),"")</f>
        <v/>
      </c>
      <c r="F56" s="113" t="str">
        <f>IF(tbl_Assessment[[#This Row],[Ben Code]]&lt;&gt;"",INDEX(tbl_Ben_Info[],MATCH(tbl_Assessment[[#This Row],[Ben Code]],tbl_Ben_Info[Ben Code],0),13),"")</f>
        <v/>
      </c>
      <c r="G56" s="49"/>
      <c r="H56" s="37"/>
      <c r="I56" s="37"/>
      <c r="J56" s="37"/>
      <c r="K56" s="37"/>
      <c r="L56" s="37"/>
      <c r="M56" s="59"/>
      <c r="N56" s="37"/>
      <c r="O56" s="37"/>
      <c r="P56" s="37"/>
      <c r="Q56" s="59"/>
      <c r="R56" s="49"/>
      <c r="S56" s="37"/>
      <c r="T56" s="37"/>
      <c r="U56" s="37"/>
      <c r="V56" s="37"/>
      <c r="W56" s="96" t="str">
        <f>tbl_Assessment[[#This Row],[Ben Code]] &amp; "-"&amp;tbl_Assessment[[#This Row],[admin4Pcode]]&amp;"-" &amp; TEXT(COUNTIF(INDEX(tbl_Assessment[Ben Code],1):tbl_Assessment[[#This Row],[Ben Code]], tbl_Assessment[[#This Row],[Ben Code]]), "00")</f>
        <v>--00</v>
      </c>
      <c r="X56" s="37"/>
      <c r="Y56" s="37"/>
      <c r="Z56" s="37"/>
      <c r="AA56" s="37"/>
      <c r="AB56" s="37"/>
      <c r="AC56" s="37"/>
      <c r="AD56" s="37"/>
      <c r="AE56" s="37"/>
      <c r="AF56" s="37"/>
      <c r="AG56" s="37"/>
      <c r="AH56" s="37"/>
      <c r="AI56" s="37"/>
      <c r="AJ56" s="37"/>
      <c r="AK56" s="37"/>
      <c r="AL56" s="37"/>
      <c r="AM56" s="37"/>
      <c r="AN56" s="37"/>
      <c r="AO56" s="37"/>
      <c r="AP56" s="37"/>
      <c r="AQ56" s="37"/>
      <c r="AR56" s="37"/>
      <c r="AS56" s="37"/>
      <c r="AT56" s="49"/>
      <c r="AU56" s="41"/>
      <c r="AV56" s="37"/>
      <c r="AW56" s="37"/>
      <c r="AX56" s="37"/>
      <c r="AY56" s="37"/>
      <c r="AZ56" s="37"/>
      <c r="BA56" s="37"/>
      <c r="BB56" s="41"/>
      <c r="BC56" s="37"/>
      <c r="BD56" s="37"/>
      <c r="BE56" s="37"/>
      <c r="BF56" s="41"/>
      <c r="BG56" s="37"/>
      <c r="BH56" s="37"/>
      <c r="BI56" s="37"/>
      <c r="BJ56" s="41"/>
    </row>
    <row r="57" spans="2:62" ht="25.15" customHeight="1" x14ac:dyDescent="0.25">
      <c r="B57" s="49">
        <v>52</v>
      </c>
      <c r="C57" s="37"/>
      <c r="D57" s="87" t="str">
        <f>IF(tbl_Assessment[[#This Row],[Ben Code]]&lt;&gt;"",INDEX(tbl_Ben_Info[],MATCH(tbl_Assessment[[#This Row],[Ben Code]],tbl_Ben_Info[Ben Code],0),48),"")</f>
        <v/>
      </c>
      <c r="E57" s="116" t="str">
        <f>IF(tbl_Assessment[[#This Row],[Ben Code]]&lt;&gt;"",INDEX(tbl_Ben_Info[],MATCH(tbl_Assessment[[#This Row],[Ben Code]],tbl_Ben_Info[Ben Code],0),6),"")</f>
        <v/>
      </c>
      <c r="F57" s="113" t="str">
        <f>IF(tbl_Assessment[[#This Row],[Ben Code]]&lt;&gt;"",INDEX(tbl_Ben_Info[],MATCH(tbl_Assessment[[#This Row],[Ben Code]],tbl_Ben_Info[Ben Code],0),13),"")</f>
        <v/>
      </c>
      <c r="G57" s="49"/>
      <c r="H57" s="37"/>
      <c r="I57" s="37"/>
      <c r="J57" s="37"/>
      <c r="K57" s="37"/>
      <c r="L57" s="37"/>
      <c r="M57" s="59"/>
      <c r="N57" s="37"/>
      <c r="O57" s="37"/>
      <c r="P57" s="37"/>
      <c r="Q57" s="59"/>
      <c r="R57" s="49"/>
      <c r="S57" s="37"/>
      <c r="T57" s="37"/>
      <c r="U57" s="37"/>
      <c r="V57" s="37"/>
      <c r="W57" s="96" t="str">
        <f>tbl_Assessment[[#This Row],[Ben Code]] &amp; "-"&amp;tbl_Assessment[[#This Row],[admin4Pcode]]&amp;"-" &amp; TEXT(COUNTIF(INDEX(tbl_Assessment[Ben Code],1):tbl_Assessment[[#This Row],[Ben Code]], tbl_Assessment[[#This Row],[Ben Code]]), "00")</f>
        <v>--00</v>
      </c>
      <c r="X57" s="37"/>
      <c r="Y57" s="37"/>
      <c r="Z57" s="37"/>
      <c r="AA57" s="37"/>
      <c r="AB57" s="37"/>
      <c r="AC57" s="37"/>
      <c r="AD57" s="37"/>
      <c r="AE57" s="37"/>
      <c r="AF57" s="37"/>
      <c r="AG57" s="37"/>
      <c r="AH57" s="37"/>
      <c r="AI57" s="37"/>
      <c r="AJ57" s="37"/>
      <c r="AK57" s="37"/>
      <c r="AL57" s="37"/>
      <c r="AM57" s="37"/>
      <c r="AN57" s="37"/>
      <c r="AO57" s="37"/>
      <c r="AP57" s="37"/>
      <c r="AQ57" s="37"/>
      <c r="AR57" s="37"/>
      <c r="AS57" s="37"/>
      <c r="AT57" s="49"/>
      <c r="AU57" s="41"/>
      <c r="AV57" s="37"/>
      <c r="AW57" s="37"/>
      <c r="AX57" s="37"/>
      <c r="AY57" s="37"/>
      <c r="AZ57" s="37"/>
      <c r="BA57" s="37"/>
      <c r="BB57" s="41"/>
      <c r="BC57" s="37"/>
      <c r="BD57" s="37"/>
      <c r="BE57" s="37"/>
      <c r="BF57" s="41"/>
      <c r="BG57" s="37"/>
      <c r="BH57" s="37"/>
      <c r="BI57" s="37"/>
      <c r="BJ57" s="41"/>
    </row>
    <row r="58" spans="2:62" ht="25.15" customHeight="1" x14ac:dyDescent="0.25">
      <c r="B58" s="49">
        <v>53</v>
      </c>
      <c r="C58" s="37"/>
      <c r="D58" s="87" t="str">
        <f>IF(tbl_Assessment[[#This Row],[Ben Code]]&lt;&gt;"",INDEX(tbl_Ben_Info[],MATCH(tbl_Assessment[[#This Row],[Ben Code]],tbl_Ben_Info[Ben Code],0),48),"")</f>
        <v/>
      </c>
      <c r="E58" s="116" t="str">
        <f>IF(tbl_Assessment[[#This Row],[Ben Code]]&lt;&gt;"",INDEX(tbl_Ben_Info[],MATCH(tbl_Assessment[[#This Row],[Ben Code]],tbl_Ben_Info[Ben Code],0),6),"")</f>
        <v/>
      </c>
      <c r="F58" s="113" t="str">
        <f>IF(tbl_Assessment[[#This Row],[Ben Code]]&lt;&gt;"",INDEX(tbl_Ben_Info[],MATCH(tbl_Assessment[[#This Row],[Ben Code]],tbl_Ben_Info[Ben Code],0),13),"")</f>
        <v/>
      </c>
      <c r="G58" s="49"/>
      <c r="H58" s="37"/>
      <c r="I58" s="37"/>
      <c r="J58" s="37"/>
      <c r="K58" s="37"/>
      <c r="L58" s="37"/>
      <c r="M58" s="59"/>
      <c r="N58" s="37"/>
      <c r="O58" s="37"/>
      <c r="P58" s="37"/>
      <c r="Q58" s="59"/>
      <c r="R58" s="49"/>
      <c r="S58" s="37"/>
      <c r="T58" s="37"/>
      <c r="U58" s="37"/>
      <c r="V58" s="37"/>
      <c r="W58" s="96" t="str">
        <f>tbl_Assessment[[#This Row],[Ben Code]] &amp; "-"&amp;tbl_Assessment[[#This Row],[admin4Pcode]]&amp;"-" &amp; TEXT(COUNTIF(INDEX(tbl_Assessment[Ben Code],1):tbl_Assessment[[#This Row],[Ben Code]], tbl_Assessment[[#This Row],[Ben Code]]), "00")</f>
        <v>--00</v>
      </c>
      <c r="X58" s="37"/>
      <c r="Y58" s="37"/>
      <c r="Z58" s="37"/>
      <c r="AA58" s="37"/>
      <c r="AB58" s="37"/>
      <c r="AC58" s="37"/>
      <c r="AD58" s="37"/>
      <c r="AE58" s="37"/>
      <c r="AF58" s="37"/>
      <c r="AG58" s="37"/>
      <c r="AH58" s="37"/>
      <c r="AI58" s="37"/>
      <c r="AJ58" s="37"/>
      <c r="AK58" s="37"/>
      <c r="AL58" s="37"/>
      <c r="AM58" s="37"/>
      <c r="AN58" s="37"/>
      <c r="AO58" s="37"/>
      <c r="AP58" s="37"/>
      <c r="AQ58" s="37"/>
      <c r="AR58" s="37"/>
      <c r="AS58" s="37"/>
      <c r="AT58" s="49"/>
      <c r="AU58" s="41"/>
      <c r="AV58" s="37"/>
      <c r="AW58" s="37"/>
      <c r="AX58" s="37"/>
      <c r="AY58" s="37"/>
      <c r="AZ58" s="37"/>
      <c r="BA58" s="37"/>
      <c r="BB58" s="41"/>
      <c r="BC58" s="37"/>
      <c r="BD58" s="37"/>
      <c r="BE58" s="37"/>
      <c r="BF58" s="41"/>
      <c r="BG58" s="37"/>
      <c r="BH58" s="37"/>
      <c r="BI58" s="37"/>
      <c r="BJ58" s="41"/>
    </row>
    <row r="59" spans="2:62" ht="25.15" customHeight="1" x14ac:dyDescent="0.25">
      <c r="B59" s="49">
        <v>54</v>
      </c>
      <c r="C59" s="37"/>
      <c r="D59" s="87" t="str">
        <f>IF(tbl_Assessment[[#This Row],[Ben Code]]&lt;&gt;"",INDEX(tbl_Ben_Info[],MATCH(tbl_Assessment[[#This Row],[Ben Code]],tbl_Ben_Info[Ben Code],0),48),"")</f>
        <v/>
      </c>
      <c r="E59" s="116" t="str">
        <f>IF(tbl_Assessment[[#This Row],[Ben Code]]&lt;&gt;"",INDEX(tbl_Ben_Info[],MATCH(tbl_Assessment[[#This Row],[Ben Code]],tbl_Ben_Info[Ben Code],0),6),"")</f>
        <v/>
      </c>
      <c r="F59" s="113" t="str">
        <f>IF(tbl_Assessment[[#This Row],[Ben Code]]&lt;&gt;"",INDEX(tbl_Ben_Info[],MATCH(tbl_Assessment[[#This Row],[Ben Code]],tbl_Ben_Info[Ben Code],0),13),"")</f>
        <v/>
      </c>
      <c r="G59" s="49"/>
      <c r="H59" s="37"/>
      <c r="I59" s="37"/>
      <c r="J59" s="37"/>
      <c r="K59" s="37"/>
      <c r="L59" s="37"/>
      <c r="M59" s="59"/>
      <c r="N59" s="37"/>
      <c r="O59" s="37"/>
      <c r="P59" s="37"/>
      <c r="Q59" s="59"/>
      <c r="R59" s="49"/>
      <c r="S59" s="37"/>
      <c r="T59" s="37"/>
      <c r="U59" s="37"/>
      <c r="V59" s="37"/>
      <c r="W59" s="96" t="str">
        <f>tbl_Assessment[[#This Row],[Ben Code]] &amp; "-"&amp;tbl_Assessment[[#This Row],[admin4Pcode]]&amp;"-" &amp; TEXT(COUNTIF(INDEX(tbl_Assessment[Ben Code],1):tbl_Assessment[[#This Row],[Ben Code]], tbl_Assessment[[#This Row],[Ben Code]]), "00")</f>
        <v>--00</v>
      </c>
      <c r="X59" s="37"/>
      <c r="Y59" s="37"/>
      <c r="Z59" s="37"/>
      <c r="AA59" s="37"/>
      <c r="AB59" s="37"/>
      <c r="AC59" s="37"/>
      <c r="AD59" s="37"/>
      <c r="AE59" s="37"/>
      <c r="AF59" s="37"/>
      <c r="AG59" s="37"/>
      <c r="AH59" s="37"/>
      <c r="AI59" s="37"/>
      <c r="AJ59" s="37"/>
      <c r="AK59" s="37"/>
      <c r="AL59" s="37"/>
      <c r="AM59" s="37"/>
      <c r="AN59" s="37"/>
      <c r="AO59" s="37"/>
      <c r="AP59" s="37"/>
      <c r="AQ59" s="37"/>
      <c r="AR59" s="37"/>
      <c r="AS59" s="37"/>
      <c r="AT59" s="49"/>
      <c r="AU59" s="41"/>
      <c r="AV59" s="37"/>
      <c r="AW59" s="37"/>
      <c r="AX59" s="37"/>
      <c r="AY59" s="37"/>
      <c r="AZ59" s="37"/>
      <c r="BA59" s="37"/>
      <c r="BB59" s="41"/>
      <c r="BC59" s="37"/>
      <c r="BD59" s="37"/>
      <c r="BE59" s="37"/>
      <c r="BF59" s="41"/>
      <c r="BG59" s="37"/>
      <c r="BH59" s="37"/>
      <c r="BI59" s="37"/>
      <c r="BJ59" s="41"/>
    </row>
    <row r="60" spans="2:62" ht="25.15" customHeight="1" x14ac:dyDescent="0.25">
      <c r="B60" s="49">
        <v>55</v>
      </c>
      <c r="C60" s="37"/>
      <c r="D60" s="87" t="str">
        <f>IF(tbl_Assessment[[#This Row],[Ben Code]]&lt;&gt;"",INDEX(tbl_Ben_Info[],MATCH(tbl_Assessment[[#This Row],[Ben Code]],tbl_Ben_Info[Ben Code],0),48),"")</f>
        <v/>
      </c>
      <c r="E60" s="116" t="str">
        <f>IF(tbl_Assessment[[#This Row],[Ben Code]]&lt;&gt;"",INDEX(tbl_Ben_Info[],MATCH(tbl_Assessment[[#This Row],[Ben Code]],tbl_Ben_Info[Ben Code],0),6),"")</f>
        <v/>
      </c>
      <c r="F60" s="113" t="str">
        <f>IF(tbl_Assessment[[#This Row],[Ben Code]]&lt;&gt;"",INDEX(tbl_Ben_Info[],MATCH(tbl_Assessment[[#This Row],[Ben Code]],tbl_Ben_Info[Ben Code],0),13),"")</f>
        <v/>
      </c>
      <c r="G60" s="49"/>
      <c r="H60" s="37"/>
      <c r="I60" s="37"/>
      <c r="J60" s="37"/>
      <c r="K60" s="37"/>
      <c r="L60" s="37"/>
      <c r="M60" s="59"/>
      <c r="N60" s="37"/>
      <c r="O60" s="37"/>
      <c r="P60" s="37"/>
      <c r="Q60" s="59"/>
      <c r="R60" s="49"/>
      <c r="S60" s="37"/>
      <c r="T60" s="37"/>
      <c r="U60" s="37"/>
      <c r="V60" s="37"/>
      <c r="W60" s="96" t="str">
        <f>tbl_Assessment[[#This Row],[Ben Code]] &amp; "-"&amp;tbl_Assessment[[#This Row],[admin4Pcode]]&amp;"-" &amp; TEXT(COUNTIF(INDEX(tbl_Assessment[Ben Code],1):tbl_Assessment[[#This Row],[Ben Code]], tbl_Assessment[[#This Row],[Ben Code]]), "00")</f>
        <v>--00</v>
      </c>
      <c r="X60" s="37"/>
      <c r="Y60" s="37"/>
      <c r="Z60" s="37"/>
      <c r="AA60" s="37"/>
      <c r="AB60" s="37"/>
      <c r="AC60" s="37"/>
      <c r="AD60" s="37"/>
      <c r="AE60" s="37"/>
      <c r="AF60" s="37"/>
      <c r="AG60" s="37"/>
      <c r="AH60" s="37"/>
      <c r="AI60" s="37"/>
      <c r="AJ60" s="37"/>
      <c r="AK60" s="37"/>
      <c r="AL60" s="37"/>
      <c r="AM60" s="37"/>
      <c r="AN60" s="37"/>
      <c r="AO60" s="37"/>
      <c r="AP60" s="37"/>
      <c r="AQ60" s="37"/>
      <c r="AR60" s="37"/>
      <c r="AS60" s="37"/>
      <c r="AT60" s="49"/>
      <c r="AU60" s="41"/>
      <c r="AV60" s="37"/>
      <c r="AW60" s="37"/>
      <c r="AX60" s="37"/>
      <c r="AY60" s="37"/>
      <c r="AZ60" s="37"/>
      <c r="BA60" s="37"/>
      <c r="BB60" s="41"/>
      <c r="BC60" s="37"/>
      <c r="BD60" s="37"/>
      <c r="BE60" s="37"/>
      <c r="BF60" s="41"/>
      <c r="BG60" s="37"/>
      <c r="BH60" s="37"/>
      <c r="BI60" s="37"/>
      <c r="BJ60" s="41"/>
    </row>
    <row r="61" spans="2:62" ht="25.15" customHeight="1" x14ac:dyDescent="0.25">
      <c r="B61" s="49">
        <v>56</v>
      </c>
      <c r="C61" s="37"/>
      <c r="D61" s="87" t="str">
        <f>IF(tbl_Assessment[[#This Row],[Ben Code]]&lt;&gt;"",INDEX(tbl_Ben_Info[],MATCH(tbl_Assessment[[#This Row],[Ben Code]],tbl_Ben_Info[Ben Code],0),48),"")</f>
        <v/>
      </c>
      <c r="E61" s="116" t="str">
        <f>IF(tbl_Assessment[[#This Row],[Ben Code]]&lt;&gt;"",INDEX(tbl_Ben_Info[],MATCH(tbl_Assessment[[#This Row],[Ben Code]],tbl_Ben_Info[Ben Code],0),6),"")</f>
        <v/>
      </c>
      <c r="F61" s="113" t="str">
        <f>IF(tbl_Assessment[[#This Row],[Ben Code]]&lt;&gt;"",INDEX(tbl_Ben_Info[],MATCH(tbl_Assessment[[#This Row],[Ben Code]],tbl_Ben_Info[Ben Code],0),13),"")</f>
        <v/>
      </c>
      <c r="G61" s="49"/>
      <c r="H61" s="37"/>
      <c r="I61" s="37"/>
      <c r="J61" s="37"/>
      <c r="K61" s="37"/>
      <c r="L61" s="37"/>
      <c r="M61" s="59"/>
      <c r="N61" s="37"/>
      <c r="O61" s="37"/>
      <c r="P61" s="37"/>
      <c r="Q61" s="59"/>
      <c r="R61" s="49"/>
      <c r="S61" s="37"/>
      <c r="T61" s="37"/>
      <c r="U61" s="37"/>
      <c r="V61" s="37"/>
      <c r="W61" s="96" t="str">
        <f>tbl_Assessment[[#This Row],[Ben Code]] &amp; "-"&amp;tbl_Assessment[[#This Row],[admin4Pcode]]&amp;"-" &amp; TEXT(COUNTIF(INDEX(tbl_Assessment[Ben Code],1):tbl_Assessment[[#This Row],[Ben Code]], tbl_Assessment[[#This Row],[Ben Code]]), "00")</f>
        <v>--00</v>
      </c>
      <c r="X61" s="37"/>
      <c r="Y61" s="37"/>
      <c r="Z61" s="37"/>
      <c r="AA61" s="37"/>
      <c r="AB61" s="37"/>
      <c r="AC61" s="37"/>
      <c r="AD61" s="37"/>
      <c r="AE61" s="37"/>
      <c r="AF61" s="37"/>
      <c r="AG61" s="37"/>
      <c r="AH61" s="37"/>
      <c r="AI61" s="37"/>
      <c r="AJ61" s="37"/>
      <c r="AK61" s="37"/>
      <c r="AL61" s="37"/>
      <c r="AM61" s="37"/>
      <c r="AN61" s="37"/>
      <c r="AO61" s="37"/>
      <c r="AP61" s="37"/>
      <c r="AQ61" s="37"/>
      <c r="AR61" s="37"/>
      <c r="AS61" s="37"/>
      <c r="AT61" s="49"/>
      <c r="AU61" s="41"/>
      <c r="AV61" s="37"/>
      <c r="AW61" s="37"/>
      <c r="AX61" s="37"/>
      <c r="AY61" s="37"/>
      <c r="AZ61" s="37"/>
      <c r="BA61" s="37"/>
      <c r="BB61" s="41"/>
      <c r="BC61" s="37"/>
      <c r="BD61" s="37"/>
      <c r="BE61" s="37"/>
      <c r="BF61" s="41"/>
      <c r="BG61" s="37"/>
      <c r="BH61" s="37"/>
      <c r="BI61" s="37"/>
      <c r="BJ61" s="41"/>
    </row>
    <row r="62" spans="2:62" ht="25.15" customHeight="1" x14ac:dyDescent="0.25">
      <c r="B62" s="49">
        <v>57</v>
      </c>
      <c r="C62" s="37"/>
      <c r="D62" s="87" t="str">
        <f>IF(tbl_Assessment[[#This Row],[Ben Code]]&lt;&gt;"",INDEX(tbl_Ben_Info[],MATCH(tbl_Assessment[[#This Row],[Ben Code]],tbl_Ben_Info[Ben Code],0),48),"")</f>
        <v/>
      </c>
      <c r="E62" s="116" t="str">
        <f>IF(tbl_Assessment[[#This Row],[Ben Code]]&lt;&gt;"",INDEX(tbl_Ben_Info[],MATCH(tbl_Assessment[[#This Row],[Ben Code]],tbl_Ben_Info[Ben Code],0),6),"")</f>
        <v/>
      </c>
      <c r="F62" s="113" t="str">
        <f>IF(tbl_Assessment[[#This Row],[Ben Code]]&lt;&gt;"",INDEX(tbl_Ben_Info[],MATCH(tbl_Assessment[[#This Row],[Ben Code]],tbl_Ben_Info[Ben Code],0),13),"")</f>
        <v/>
      </c>
      <c r="G62" s="49"/>
      <c r="H62" s="37"/>
      <c r="I62" s="37"/>
      <c r="J62" s="37"/>
      <c r="K62" s="37"/>
      <c r="L62" s="37"/>
      <c r="M62" s="59"/>
      <c r="N62" s="37"/>
      <c r="O62" s="37"/>
      <c r="P62" s="37"/>
      <c r="Q62" s="59"/>
      <c r="R62" s="49"/>
      <c r="S62" s="37"/>
      <c r="T62" s="37"/>
      <c r="U62" s="37"/>
      <c r="V62" s="37"/>
      <c r="W62" s="96" t="str">
        <f>tbl_Assessment[[#This Row],[Ben Code]] &amp; "-"&amp;tbl_Assessment[[#This Row],[admin4Pcode]]&amp;"-" &amp; TEXT(COUNTIF(INDEX(tbl_Assessment[Ben Code],1):tbl_Assessment[[#This Row],[Ben Code]], tbl_Assessment[[#This Row],[Ben Code]]), "00")</f>
        <v>--00</v>
      </c>
      <c r="X62" s="37"/>
      <c r="Y62" s="37"/>
      <c r="Z62" s="37"/>
      <c r="AA62" s="37"/>
      <c r="AB62" s="37"/>
      <c r="AC62" s="37"/>
      <c r="AD62" s="37"/>
      <c r="AE62" s="37"/>
      <c r="AF62" s="37"/>
      <c r="AG62" s="37"/>
      <c r="AH62" s="37"/>
      <c r="AI62" s="37"/>
      <c r="AJ62" s="37"/>
      <c r="AK62" s="37"/>
      <c r="AL62" s="37"/>
      <c r="AM62" s="37"/>
      <c r="AN62" s="37"/>
      <c r="AO62" s="37"/>
      <c r="AP62" s="37"/>
      <c r="AQ62" s="37"/>
      <c r="AR62" s="37"/>
      <c r="AS62" s="37"/>
      <c r="AT62" s="49"/>
      <c r="AU62" s="41"/>
      <c r="AV62" s="37"/>
      <c r="AW62" s="37"/>
      <c r="AX62" s="37"/>
      <c r="AY62" s="37"/>
      <c r="AZ62" s="37"/>
      <c r="BA62" s="37"/>
      <c r="BB62" s="41"/>
      <c r="BC62" s="37"/>
      <c r="BD62" s="37"/>
      <c r="BE62" s="37"/>
      <c r="BF62" s="41"/>
      <c r="BG62" s="37"/>
      <c r="BH62" s="37"/>
      <c r="BI62" s="37"/>
      <c r="BJ62" s="41"/>
    </row>
    <row r="63" spans="2:62" ht="25.15" customHeight="1" x14ac:dyDescent="0.25">
      <c r="B63" s="49">
        <v>58</v>
      </c>
      <c r="C63" s="37"/>
      <c r="D63" s="87" t="str">
        <f>IF(tbl_Assessment[[#This Row],[Ben Code]]&lt;&gt;"",INDEX(tbl_Ben_Info[],MATCH(tbl_Assessment[[#This Row],[Ben Code]],tbl_Ben_Info[Ben Code],0),48),"")</f>
        <v/>
      </c>
      <c r="E63" s="116" t="str">
        <f>IF(tbl_Assessment[[#This Row],[Ben Code]]&lt;&gt;"",INDEX(tbl_Ben_Info[],MATCH(tbl_Assessment[[#This Row],[Ben Code]],tbl_Ben_Info[Ben Code],0),6),"")</f>
        <v/>
      </c>
      <c r="F63" s="113" t="str">
        <f>IF(tbl_Assessment[[#This Row],[Ben Code]]&lt;&gt;"",INDEX(tbl_Ben_Info[],MATCH(tbl_Assessment[[#This Row],[Ben Code]],tbl_Ben_Info[Ben Code],0),13),"")</f>
        <v/>
      </c>
      <c r="G63" s="49"/>
      <c r="H63" s="37"/>
      <c r="I63" s="37"/>
      <c r="J63" s="37"/>
      <c r="K63" s="37"/>
      <c r="L63" s="37"/>
      <c r="M63" s="59"/>
      <c r="N63" s="37"/>
      <c r="O63" s="37"/>
      <c r="P63" s="37"/>
      <c r="Q63" s="59"/>
      <c r="R63" s="49"/>
      <c r="S63" s="37"/>
      <c r="T63" s="37"/>
      <c r="U63" s="37"/>
      <c r="V63" s="37"/>
      <c r="W63" s="96" t="str">
        <f>tbl_Assessment[[#This Row],[Ben Code]] &amp; "-"&amp;tbl_Assessment[[#This Row],[admin4Pcode]]&amp;"-" &amp; TEXT(COUNTIF(INDEX(tbl_Assessment[Ben Code],1):tbl_Assessment[[#This Row],[Ben Code]], tbl_Assessment[[#This Row],[Ben Code]]), "00")</f>
        <v>--00</v>
      </c>
      <c r="X63" s="37"/>
      <c r="Y63" s="37"/>
      <c r="Z63" s="37"/>
      <c r="AA63" s="37"/>
      <c r="AB63" s="37"/>
      <c r="AC63" s="37"/>
      <c r="AD63" s="37"/>
      <c r="AE63" s="37"/>
      <c r="AF63" s="37"/>
      <c r="AG63" s="37"/>
      <c r="AH63" s="37"/>
      <c r="AI63" s="37"/>
      <c r="AJ63" s="37"/>
      <c r="AK63" s="37"/>
      <c r="AL63" s="37"/>
      <c r="AM63" s="37"/>
      <c r="AN63" s="37"/>
      <c r="AO63" s="37"/>
      <c r="AP63" s="37"/>
      <c r="AQ63" s="37"/>
      <c r="AR63" s="37"/>
      <c r="AS63" s="37"/>
      <c r="AT63" s="49"/>
      <c r="AU63" s="41"/>
      <c r="AV63" s="37"/>
      <c r="AW63" s="37"/>
      <c r="AX63" s="37"/>
      <c r="AY63" s="37"/>
      <c r="AZ63" s="37"/>
      <c r="BA63" s="37"/>
      <c r="BB63" s="41"/>
      <c r="BC63" s="37"/>
      <c r="BD63" s="37"/>
      <c r="BE63" s="37"/>
      <c r="BF63" s="41"/>
      <c r="BG63" s="37"/>
      <c r="BH63" s="37"/>
      <c r="BI63" s="37"/>
      <c r="BJ63" s="41"/>
    </row>
    <row r="64" spans="2:62" ht="25.15" customHeight="1" x14ac:dyDescent="0.25">
      <c r="B64" s="49">
        <v>59</v>
      </c>
      <c r="C64" s="37"/>
      <c r="D64" s="87" t="str">
        <f>IF(tbl_Assessment[[#This Row],[Ben Code]]&lt;&gt;"",INDEX(tbl_Ben_Info[],MATCH(tbl_Assessment[[#This Row],[Ben Code]],tbl_Ben_Info[Ben Code],0),48),"")</f>
        <v/>
      </c>
      <c r="E64" s="116" t="str">
        <f>IF(tbl_Assessment[[#This Row],[Ben Code]]&lt;&gt;"",INDEX(tbl_Ben_Info[],MATCH(tbl_Assessment[[#This Row],[Ben Code]],tbl_Ben_Info[Ben Code],0),6),"")</f>
        <v/>
      </c>
      <c r="F64" s="113" t="str">
        <f>IF(tbl_Assessment[[#This Row],[Ben Code]]&lt;&gt;"",INDEX(tbl_Ben_Info[],MATCH(tbl_Assessment[[#This Row],[Ben Code]],tbl_Ben_Info[Ben Code],0),13),"")</f>
        <v/>
      </c>
      <c r="G64" s="49"/>
      <c r="H64" s="37"/>
      <c r="I64" s="37"/>
      <c r="J64" s="37"/>
      <c r="K64" s="37"/>
      <c r="L64" s="37"/>
      <c r="M64" s="59"/>
      <c r="N64" s="37"/>
      <c r="O64" s="37"/>
      <c r="P64" s="37"/>
      <c r="Q64" s="59"/>
      <c r="R64" s="49"/>
      <c r="S64" s="37"/>
      <c r="T64" s="37"/>
      <c r="U64" s="37"/>
      <c r="V64" s="37"/>
      <c r="W64" s="96" t="str">
        <f>tbl_Assessment[[#This Row],[Ben Code]] &amp; "-"&amp;tbl_Assessment[[#This Row],[admin4Pcode]]&amp;"-" &amp; TEXT(COUNTIF(INDEX(tbl_Assessment[Ben Code],1):tbl_Assessment[[#This Row],[Ben Code]], tbl_Assessment[[#This Row],[Ben Code]]), "00")</f>
        <v>--00</v>
      </c>
      <c r="X64" s="37"/>
      <c r="Y64" s="37"/>
      <c r="Z64" s="37"/>
      <c r="AA64" s="37"/>
      <c r="AB64" s="37"/>
      <c r="AC64" s="37"/>
      <c r="AD64" s="37"/>
      <c r="AE64" s="37"/>
      <c r="AF64" s="37"/>
      <c r="AG64" s="37"/>
      <c r="AH64" s="37"/>
      <c r="AI64" s="37"/>
      <c r="AJ64" s="37"/>
      <c r="AK64" s="37"/>
      <c r="AL64" s="37"/>
      <c r="AM64" s="37"/>
      <c r="AN64" s="37"/>
      <c r="AO64" s="37"/>
      <c r="AP64" s="37"/>
      <c r="AQ64" s="37"/>
      <c r="AR64" s="37"/>
      <c r="AS64" s="37"/>
      <c r="AT64" s="49"/>
      <c r="AU64" s="41"/>
      <c r="AV64" s="37"/>
      <c r="AW64" s="37"/>
      <c r="AX64" s="37"/>
      <c r="AY64" s="37"/>
      <c r="AZ64" s="37"/>
      <c r="BA64" s="37"/>
      <c r="BB64" s="41"/>
      <c r="BC64" s="37"/>
      <c r="BD64" s="37"/>
      <c r="BE64" s="37"/>
      <c r="BF64" s="41"/>
      <c r="BG64" s="37"/>
      <c r="BH64" s="37"/>
      <c r="BI64" s="37"/>
      <c r="BJ64" s="41"/>
    </row>
    <row r="65" spans="2:62" ht="25.15" customHeight="1" x14ac:dyDescent="0.25">
      <c r="B65" s="49">
        <v>60</v>
      </c>
      <c r="C65" s="37"/>
      <c r="D65" s="87" t="str">
        <f>IF(tbl_Assessment[[#This Row],[Ben Code]]&lt;&gt;"",INDEX(tbl_Ben_Info[],MATCH(tbl_Assessment[[#This Row],[Ben Code]],tbl_Ben_Info[Ben Code],0),48),"")</f>
        <v/>
      </c>
      <c r="E65" s="116" t="str">
        <f>IF(tbl_Assessment[[#This Row],[Ben Code]]&lt;&gt;"",INDEX(tbl_Ben_Info[],MATCH(tbl_Assessment[[#This Row],[Ben Code]],tbl_Ben_Info[Ben Code],0),6),"")</f>
        <v/>
      </c>
      <c r="F65" s="113" t="str">
        <f>IF(tbl_Assessment[[#This Row],[Ben Code]]&lt;&gt;"",INDEX(tbl_Ben_Info[],MATCH(tbl_Assessment[[#This Row],[Ben Code]],tbl_Ben_Info[Ben Code],0),13),"")</f>
        <v/>
      </c>
      <c r="G65" s="49"/>
      <c r="H65" s="37"/>
      <c r="I65" s="37"/>
      <c r="J65" s="37"/>
      <c r="K65" s="37"/>
      <c r="L65" s="37"/>
      <c r="M65" s="59"/>
      <c r="N65" s="37"/>
      <c r="O65" s="37"/>
      <c r="P65" s="37"/>
      <c r="Q65" s="59"/>
      <c r="R65" s="49"/>
      <c r="S65" s="37"/>
      <c r="T65" s="37"/>
      <c r="U65" s="37"/>
      <c r="V65" s="37"/>
      <c r="W65" s="96" t="str">
        <f>tbl_Assessment[[#This Row],[Ben Code]] &amp; "-"&amp;tbl_Assessment[[#This Row],[admin4Pcode]]&amp;"-" &amp; TEXT(COUNTIF(INDEX(tbl_Assessment[Ben Code],1):tbl_Assessment[[#This Row],[Ben Code]], tbl_Assessment[[#This Row],[Ben Code]]), "00")</f>
        <v>--00</v>
      </c>
      <c r="X65" s="37"/>
      <c r="Y65" s="37"/>
      <c r="Z65" s="37"/>
      <c r="AA65" s="37"/>
      <c r="AB65" s="37"/>
      <c r="AC65" s="37"/>
      <c r="AD65" s="37"/>
      <c r="AE65" s="37"/>
      <c r="AF65" s="37"/>
      <c r="AG65" s="37"/>
      <c r="AH65" s="37"/>
      <c r="AI65" s="37"/>
      <c r="AJ65" s="37"/>
      <c r="AK65" s="37"/>
      <c r="AL65" s="37"/>
      <c r="AM65" s="37"/>
      <c r="AN65" s="37"/>
      <c r="AO65" s="37"/>
      <c r="AP65" s="37"/>
      <c r="AQ65" s="37"/>
      <c r="AR65" s="37"/>
      <c r="AS65" s="37"/>
      <c r="AT65" s="49"/>
      <c r="AU65" s="41"/>
      <c r="AV65" s="37"/>
      <c r="AW65" s="37"/>
      <c r="AX65" s="37"/>
      <c r="AY65" s="37"/>
      <c r="AZ65" s="37"/>
      <c r="BA65" s="37"/>
      <c r="BB65" s="41"/>
      <c r="BC65" s="37"/>
      <c r="BD65" s="37"/>
      <c r="BE65" s="37"/>
      <c r="BF65" s="41"/>
      <c r="BG65" s="37"/>
      <c r="BH65" s="37"/>
      <c r="BI65" s="37"/>
      <c r="BJ65" s="41"/>
    </row>
    <row r="66" spans="2:62" ht="25.15" customHeight="1" x14ac:dyDescent="0.25">
      <c r="B66" s="49">
        <v>61</v>
      </c>
      <c r="C66" s="37"/>
      <c r="D66" s="87" t="str">
        <f>IF(tbl_Assessment[[#This Row],[Ben Code]]&lt;&gt;"",INDEX(tbl_Ben_Info[],MATCH(tbl_Assessment[[#This Row],[Ben Code]],tbl_Ben_Info[Ben Code],0),48),"")</f>
        <v/>
      </c>
      <c r="E66" s="116" t="str">
        <f>IF(tbl_Assessment[[#This Row],[Ben Code]]&lt;&gt;"",INDEX(tbl_Ben_Info[],MATCH(tbl_Assessment[[#This Row],[Ben Code]],tbl_Ben_Info[Ben Code],0),6),"")</f>
        <v/>
      </c>
      <c r="F66" s="113" t="str">
        <f>IF(tbl_Assessment[[#This Row],[Ben Code]]&lt;&gt;"",INDEX(tbl_Ben_Info[],MATCH(tbl_Assessment[[#This Row],[Ben Code]],tbl_Ben_Info[Ben Code],0),13),"")</f>
        <v/>
      </c>
      <c r="G66" s="49"/>
      <c r="H66" s="37"/>
      <c r="I66" s="37"/>
      <c r="J66" s="37"/>
      <c r="K66" s="37"/>
      <c r="L66" s="37"/>
      <c r="M66" s="59"/>
      <c r="N66" s="37"/>
      <c r="O66" s="37"/>
      <c r="P66" s="37"/>
      <c r="Q66" s="59"/>
      <c r="R66" s="49"/>
      <c r="S66" s="37"/>
      <c r="T66" s="37"/>
      <c r="U66" s="37"/>
      <c r="V66" s="37"/>
      <c r="W66" s="96" t="str">
        <f>tbl_Assessment[[#This Row],[Ben Code]] &amp; "-"&amp;tbl_Assessment[[#This Row],[admin4Pcode]]&amp;"-" &amp; TEXT(COUNTIF(INDEX(tbl_Assessment[Ben Code],1):tbl_Assessment[[#This Row],[Ben Code]], tbl_Assessment[[#This Row],[Ben Code]]), "00")</f>
        <v>--00</v>
      </c>
      <c r="X66" s="37"/>
      <c r="Y66" s="37"/>
      <c r="Z66" s="37"/>
      <c r="AA66" s="37"/>
      <c r="AB66" s="37"/>
      <c r="AC66" s="37"/>
      <c r="AD66" s="37"/>
      <c r="AE66" s="37"/>
      <c r="AF66" s="37"/>
      <c r="AG66" s="37"/>
      <c r="AH66" s="37"/>
      <c r="AI66" s="37"/>
      <c r="AJ66" s="37"/>
      <c r="AK66" s="37"/>
      <c r="AL66" s="37"/>
      <c r="AM66" s="37"/>
      <c r="AN66" s="37"/>
      <c r="AO66" s="37"/>
      <c r="AP66" s="37"/>
      <c r="AQ66" s="37"/>
      <c r="AR66" s="37"/>
      <c r="AS66" s="37"/>
      <c r="AT66" s="49"/>
      <c r="AU66" s="41"/>
      <c r="AV66" s="37"/>
      <c r="AW66" s="37"/>
      <c r="AX66" s="37"/>
      <c r="AY66" s="37"/>
      <c r="AZ66" s="37"/>
      <c r="BA66" s="37"/>
      <c r="BB66" s="41"/>
      <c r="BC66" s="37"/>
      <c r="BD66" s="37"/>
      <c r="BE66" s="37"/>
      <c r="BF66" s="41"/>
      <c r="BG66" s="37"/>
      <c r="BH66" s="37"/>
      <c r="BI66" s="37"/>
      <c r="BJ66" s="41"/>
    </row>
    <row r="67" spans="2:62" ht="25.15" customHeight="1" x14ac:dyDescent="0.25">
      <c r="B67" s="49">
        <v>62</v>
      </c>
      <c r="C67" s="37"/>
      <c r="D67" s="87" t="str">
        <f>IF(tbl_Assessment[[#This Row],[Ben Code]]&lt;&gt;"",INDEX(tbl_Ben_Info[],MATCH(tbl_Assessment[[#This Row],[Ben Code]],tbl_Ben_Info[Ben Code],0),48),"")</f>
        <v/>
      </c>
      <c r="E67" s="116" t="str">
        <f>IF(tbl_Assessment[[#This Row],[Ben Code]]&lt;&gt;"",INDEX(tbl_Ben_Info[],MATCH(tbl_Assessment[[#This Row],[Ben Code]],tbl_Ben_Info[Ben Code],0),6),"")</f>
        <v/>
      </c>
      <c r="F67" s="113" t="str">
        <f>IF(tbl_Assessment[[#This Row],[Ben Code]]&lt;&gt;"",INDEX(tbl_Ben_Info[],MATCH(tbl_Assessment[[#This Row],[Ben Code]],tbl_Ben_Info[Ben Code],0),13),"")</f>
        <v/>
      </c>
      <c r="G67" s="49"/>
      <c r="H67" s="37"/>
      <c r="I67" s="37"/>
      <c r="J67" s="37"/>
      <c r="K67" s="37"/>
      <c r="L67" s="37"/>
      <c r="M67" s="59"/>
      <c r="N67" s="37"/>
      <c r="O67" s="37"/>
      <c r="P67" s="37"/>
      <c r="Q67" s="59"/>
      <c r="R67" s="49"/>
      <c r="S67" s="37"/>
      <c r="T67" s="37"/>
      <c r="U67" s="37"/>
      <c r="V67" s="37"/>
      <c r="W67" s="96" t="str">
        <f>tbl_Assessment[[#This Row],[Ben Code]] &amp; "-"&amp;tbl_Assessment[[#This Row],[admin4Pcode]]&amp;"-" &amp; TEXT(COUNTIF(INDEX(tbl_Assessment[Ben Code],1):tbl_Assessment[[#This Row],[Ben Code]], tbl_Assessment[[#This Row],[Ben Code]]), "00")</f>
        <v>--00</v>
      </c>
      <c r="X67" s="37"/>
      <c r="Y67" s="37"/>
      <c r="Z67" s="37"/>
      <c r="AA67" s="37"/>
      <c r="AB67" s="37"/>
      <c r="AC67" s="37"/>
      <c r="AD67" s="37"/>
      <c r="AE67" s="37"/>
      <c r="AF67" s="37"/>
      <c r="AG67" s="37"/>
      <c r="AH67" s="37"/>
      <c r="AI67" s="37"/>
      <c r="AJ67" s="37"/>
      <c r="AK67" s="37"/>
      <c r="AL67" s="37"/>
      <c r="AM67" s="37"/>
      <c r="AN67" s="37"/>
      <c r="AO67" s="37"/>
      <c r="AP67" s="37"/>
      <c r="AQ67" s="37"/>
      <c r="AR67" s="37"/>
      <c r="AS67" s="37"/>
      <c r="AT67" s="49"/>
      <c r="AU67" s="41"/>
      <c r="AV67" s="37"/>
      <c r="AW67" s="37"/>
      <c r="AX67" s="37"/>
      <c r="AY67" s="37"/>
      <c r="AZ67" s="37"/>
      <c r="BA67" s="37"/>
      <c r="BB67" s="41"/>
      <c r="BC67" s="37"/>
      <c r="BD67" s="37"/>
      <c r="BE67" s="37"/>
      <c r="BF67" s="41"/>
      <c r="BG67" s="37"/>
      <c r="BH67" s="37"/>
      <c r="BI67" s="37"/>
      <c r="BJ67" s="41"/>
    </row>
    <row r="68" spans="2:62" ht="25.15" customHeight="1" x14ac:dyDescent="0.25">
      <c r="B68" s="49">
        <v>63</v>
      </c>
      <c r="C68" s="37"/>
      <c r="D68" s="87" t="str">
        <f>IF(tbl_Assessment[[#This Row],[Ben Code]]&lt;&gt;"",INDEX(tbl_Ben_Info[],MATCH(tbl_Assessment[[#This Row],[Ben Code]],tbl_Ben_Info[Ben Code],0),48),"")</f>
        <v/>
      </c>
      <c r="E68" s="116" t="str">
        <f>IF(tbl_Assessment[[#This Row],[Ben Code]]&lt;&gt;"",INDEX(tbl_Ben_Info[],MATCH(tbl_Assessment[[#This Row],[Ben Code]],tbl_Ben_Info[Ben Code],0),6),"")</f>
        <v/>
      </c>
      <c r="F68" s="113" t="str">
        <f>IF(tbl_Assessment[[#This Row],[Ben Code]]&lt;&gt;"",INDEX(tbl_Ben_Info[],MATCH(tbl_Assessment[[#This Row],[Ben Code]],tbl_Ben_Info[Ben Code],0),13),"")</f>
        <v/>
      </c>
      <c r="G68" s="49"/>
      <c r="H68" s="37"/>
      <c r="I68" s="37"/>
      <c r="J68" s="37"/>
      <c r="K68" s="37"/>
      <c r="L68" s="37"/>
      <c r="M68" s="59"/>
      <c r="N68" s="37"/>
      <c r="O68" s="37"/>
      <c r="P68" s="37"/>
      <c r="Q68" s="59"/>
      <c r="R68" s="49"/>
      <c r="S68" s="37"/>
      <c r="T68" s="37"/>
      <c r="U68" s="37"/>
      <c r="V68" s="37"/>
      <c r="W68" s="96" t="str">
        <f>tbl_Assessment[[#This Row],[Ben Code]] &amp; "-"&amp;tbl_Assessment[[#This Row],[admin4Pcode]]&amp;"-" &amp; TEXT(COUNTIF(INDEX(tbl_Assessment[Ben Code],1):tbl_Assessment[[#This Row],[Ben Code]], tbl_Assessment[[#This Row],[Ben Code]]), "00")</f>
        <v>--00</v>
      </c>
      <c r="X68" s="37"/>
      <c r="Y68" s="37"/>
      <c r="Z68" s="37"/>
      <c r="AA68" s="37"/>
      <c r="AB68" s="37"/>
      <c r="AC68" s="37"/>
      <c r="AD68" s="37"/>
      <c r="AE68" s="37"/>
      <c r="AF68" s="37"/>
      <c r="AG68" s="37"/>
      <c r="AH68" s="37"/>
      <c r="AI68" s="37"/>
      <c r="AJ68" s="37"/>
      <c r="AK68" s="37"/>
      <c r="AL68" s="37"/>
      <c r="AM68" s="37"/>
      <c r="AN68" s="37"/>
      <c r="AO68" s="37"/>
      <c r="AP68" s="37"/>
      <c r="AQ68" s="37"/>
      <c r="AR68" s="37"/>
      <c r="AS68" s="37"/>
      <c r="AT68" s="49"/>
      <c r="AU68" s="41"/>
      <c r="AV68" s="37"/>
      <c r="AW68" s="37"/>
      <c r="AX68" s="37"/>
      <c r="AY68" s="37"/>
      <c r="AZ68" s="37"/>
      <c r="BA68" s="37"/>
      <c r="BB68" s="41"/>
      <c r="BC68" s="37"/>
      <c r="BD68" s="37"/>
      <c r="BE68" s="37"/>
      <c r="BF68" s="41"/>
      <c r="BG68" s="37"/>
      <c r="BH68" s="37"/>
      <c r="BI68" s="37"/>
      <c r="BJ68" s="41"/>
    </row>
    <row r="69" spans="2:62" ht="25.15" customHeight="1" x14ac:dyDescent="0.25">
      <c r="B69" s="49">
        <v>64</v>
      </c>
      <c r="C69" s="37"/>
      <c r="D69" s="87" t="str">
        <f>IF(tbl_Assessment[[#This Row],[Ben Code]]&lt;&gt;"",INDEX(tbl_Ben_Info[],MATCH(tbl_Assessment[[#This Row],[Ben Code]],tbl_Ben_Info[Ben Code],0),48),"")</f>
        <v/>
      </c>
      <c r="E69" s="116" t="str">
        <f>IF(tbl_Assessment[[#This Row],[Ben Code]]&lt;&gt;"",INDEX(tbl_Ben_Info[],MATCH(tbl_Assessment[[#This Row],[Ben Code]],tbl_Ben_Info[Ben Code],0),6),"")</f>
        <v/>
      </c>
      <c r="F69" s="113" t="str">
        <f>IF(tbl_Assessment[[#This Row],[Ben Code]]&lt;&gt;"",INDEX(tbl_Ben_Info[],MATCH(tbl_Assessment[[#This Row],[Ben Code]],tbl_Ben_Info[Ben Code],0),13),"")</f>
        <v/>
      </c>
      <c r="G69" s="49"/>
      <c r="H69" s="37"/>
      <c r="I69" s="37"/>
      <c r="J69" s="37"/>
      <c r="K69" s="37"/>
      <c r="L69" s="37"/>
      <c r="M69" s="59"/>
      <c r="N69" s="37"/>
      <c r="O69" s="37"/>
      <c r="P69" s="37"/>
      <c r="Q69" s="59"/>
      <c r="R69" s="49"/>
      <c r="S69" s="37"/>
      <c r="T69" s="37"/>
      <c r="U69" s="37"/>
      <c r="V69" s="37"/>
      <c r="W69" s="96" t="str">
        <f>tbl_Assessment[[#This Row],[Ben Code]] &amp; "-"&amp;tbl_Assessment[[#This Row],[admin4Pcode]]&amp;"-" &amp; TEXT(COUNTIF(INDEX(tbl_Assessment[Ben Code],1):tbl_Assessment[[#This Row],[Ben Code]], tbl_Assessment[[#This Row],[Ben Code]]), "00")</f>
        <v>--00</v>
      </c>
      <c r="X69" s="37"/>
      <c r="Y69" s="37"/>
      <c r="Z69" s="37"/>
      <c r="AA69" s="37"/>
      <c r="AB69" s="37"/>
      <c r="AC69" s="37"/>
      <c r="AD69" s="37"/>
      <c r="AE69" s="37"/>
      <c r="AF69" s="37"/>
      <c r="AG69" s="37"/>
      <c r="AH69" s="37"/>
      <c r="AI69" s="37"/>
      <c r="AJ69" s="37"/>
      <c r="AK69" s="37"/>
      <c r="AL69" s="37"/>
      <c r="AM69" s="37"/>
      <c r="AN69" s="37"/>
      <c r="AO69" s="37"/>
      <c r="AP69" s="37"/>
      <c r="AQ69" s="37"/>
      <c r="AR69" s="37"/>
      <c r="AS69" s="37"/>
      <c r="AT69" s="49"/>
      <c r="AU69" s="41"/>
      <c r="AV69" s="37"/>
      <c r="AW69" s="37"/>
      <c r="AX69" s="37"/>
      <c r="AY69" s="37"/>
      <c r="AZ69" s="37"/>
      <c r="BA69" s="37"/>
      <c r="BB69" s="41"/>
      <c r="BC69" s="37"/>
      <c r="BD69" s="37"/>
      <c r="BE69" s="37"/>
      <c r="BF69" s="41"/>
      <c r="BG69" s="37"/>
      <c r="BH69" s="37"/>
      <c r="BI69" s="37"/>
      <c r="BJ69" s="41"/>
    </row>
    <row r="70" spans="2:62" ht="25.15" customHeight="1" x14ac:dyDescent="0.25">
      <c r="B70" s="49">
        <v>65</v>
      </c>
      <c r="C70" s="37"/>
      <c r="D70" s="87" t="str">
        <f>IF(tbl_Assessment[[#This Row],[Ben Code]]&lt;&gt;"",INDEX(tbl_Ben_Info[],MATCH(tbl_Assessment[[#This Row],[Ben Code]],tbl_Ben_Info[Ben Code],0),48),"")</f>
        <v/>
      </c>
      <c r="E70" s="116" t="str">
        <f>IF(tbl_Assessment[[#This Row],[Ben Code]]&lt;&gt;"",INDEX(tbl_Ben_Info[],MATCH(tbl_Assessment[[#This Row],[Ben Code]],tbl_Ben_Info[Ben Code],0),6),"")</f>
        <v/>
      </c>
      <c r="F70" s="113" t="str">
        <f>IF(tbl_Assessment[[#This Row],[Ben Code]]&lt;&gt;"",INDEX(tbl_Ben_Info[],MATCH(tbl_Assessment[[#This Row],[Ben Code]],tbl_Ben_Info[Ben Code],0),13),"")</f>
        <v/>
      </c>
      <c r="G70" s="49"/>
      <c r="H70" s="37"/>
      <c r="I70" s="37"/>
      <c r="J70" s="37"/>
      <c r="K70" s="37"/>
      <c r="L70" s="37"/>
      <c r="M70" s="59"/>
      <c r="N70" s="37"/>
      <c r="O70" s="37"/>
      <c r="P70" s="37"/>
      <c r="Q70" s="59"/>
      <c r="R70" s="49"/>
      <c r="S70" s="37"/>
      <c r="T70" s="37"/>
      <c r="U70" s="37"/>
      <c r="V70" s="37"/>
      <c r="W70" s="96" t="str">
        <f>tbl_Assessment[[#This Row],[Ben Code]] &amp; "-"&amp;tbl_Assessment[[#This Row],[admin4Pcode]]&amp;"-" &amp; TEXT(COUNTIF(INDEX(tbl_Assessment[Ben Code],1):tbl_Assessment[[#This Row],[Ben Code]], tbl_Assessment[[#This Row],[Ben Code]]), "00")</f>
        <v>--00</v>
      </c>
      <c r="X70" s="37"/>
      <c r="Y70" s="37"/>
      <c r="Z70" s="37"/>
      <c r="AA70" s="37"/>
      <c r="AB70" s="37"/>
      <c r="AC70" s="37"/>
      <c r="AD70" s="37"/>
      <c r="AE70" s="37"/>
      <c r="AF70" s="37"/>
      <c r="AG70" s="37"/>
      <c r="AH70" s="37"/>
      <c r="AI70" s="37"/>
      <c r="AJ70" s="37"/>
      <c r="AK70" s="37"/>
      <c r="AL70" s="37"/>
      <c r="AM70" s="37"/>
      <c r="AN70" s="37"/>
      <c r="AO70" s="37"/>
      <c r="AP70" s="37"/>
      <c r="AQ70" s="37"/>
      <c r="AR70" s="37"/>
      <c r="AS70" s="37"/>
      <c r="AT70" s="49"/>
      <c r="AU70" s="41"/>
      <c r="AV70" s="37"/>
      <c r="AW70" s="37"/>
      <c r="AX70" s="37"/>
      <c r="AY70" s="37"/>
      <c r="AZ70" s="37"/>
      <c r="BA70" s="37"/>
      <c r="BB70" s="41"/>
      <c r="BC70" s="37"/>
      <c r="BD70" s="37"/>
      <c r="BE70" s="37"/>
      <c r="BF70" s="41"/>
      <c r="BG70" s="37"/>
      <c r="BH70" s="37"/>
      <c r="BI70" s="37"/>
      <c r="BJ70" s="41"/>
    </row>
    <row r="71" spans="2:62" ht="25.15" customHeight="1" x14ac:dyDescent="0.25">
      <c r="B71" s="49">
        <v>66</v>
      </c>
      <c r="C71" s="37"/>
      <c r="D71" s="87" t="str">
        <f>IF(tbl_Assessment[[#This Row],[Ben Code]]&lt;&gt;"",INDEX(tbl_Ben_Info[],MATCH(tbl_Assessment[[#This Row],[Ben Code]],tbl_Ben_Info[Ben Code],0),48),"")</f>
        <v/>
      </c>
      <c r="E71" s="116" t="str">
        <f>IF(tbl_Assessment[[#This Row],[Ben Code]]&lt;&gt;"",INDEX(tbl_Ben_Info[],MATCH(tbl_Assessment[[#This Row],[Ben Code]],tbl_Ben_Info[Ben Code],0),6),"")</f>
        <v/>
      </c>
      <c r="F71" s="113" t="str">
        <f>IF(tbl_Assessment[[#This Row],[Ben Code]]&lt;&gt;"",INDEX(tbl_Ben_Info[],MATCH(tbl_Assessment[[#This Row],[Ben Code]],tbl_Ben_Info[Ben Code],0),13),"")</f>
        <v/>
      </c>
      <c r="G71" s="49"/>
      <c r="H71" s="37"/>
      <c r="I71" s="37"/>
      <c r="J71" s="37"/>
      <c r="K71" s="37"/>
      <c r="L71" s="37"/>
      <c r="M71" s="59"/>
      <c r="N71" s="37"/>
      <c r="O71" s="37"/>
      <c r="P71" s="37"/>
      <c r="Q71" s="59"/>
      <c r="R71" s="49"/>
      <c r="S71" s="37"/>
      <c r="T71" s="37"/>
      <c r="U71" s="37"/>
      <c r="V71" s="37"/>
      <c r="W71" s="96" t="str">
        <f>tbl_Assessment[[#This Row],[Ben Code]] &amp; "-"&amp;tbl_Assessment[[#This Row],[admin4Pcode]]&amp;"-" &amp; TEXT(COUNTIF(INDEX(tbl_Assessment[Ben Code],1):tbl_Assessment[[#This Row],[Ben Code]], tbl_Assessment[[#This Row],[Ben Code]]), "00")</f>
        <v>--00</v>
      </c>
      <c r="X71" s="37"/>
      <c r="Y71" s="37"/>
      <c r="Z71" s="37"/>
      <c r="AA71" s="37"/>
      <c r="AB71" s="37"/>
      <c r="AC71" s="37"/>
      <c r="AD71" s="37"/>
      <c r="AE71" s="37"/>
      <c r="AF71" s="37"/>
      <c r="AG71" s="37"/>
      <c r="AH71" s="37"/>
      <c r="AI71" s="37"/>
      <c r="AJ71" s="37"/>
      <c r="AK71" s="37"/>
      <c r="AL71" s="37"/>
      <c r="AM71" s="37"/>
      <c r="AN71" s="37"/>
      <c r="AO71" s="37"/>
      <c r="AP71" s="37"/>
      <c r="AQ71" s="37"/>
      <c r="AR71" s="37"/>
      <c r="AS71" s="37"/>
      <c r="AT71" s="49"/>
      <c r="AU71" s="41"/>
      <c r="AV71" s="37"/>
      <c r="AW71" s="37"/>
      <c r="AX71" s="37"/>
      <c r="AY71" s="37"/>
      <c r="AZ71" s="37"/>
      <c r="BA71" s="37"/>
      <c r="BB71" s="41"/>
      <c r="BC71" s="37"/>
      <c r="BD71" s="37"/>
      <c r="BE71" s="37"/>
      <c r="BF71" s="41"/>
      <c r="BG71" s="37"/>
      <c r="BH71" s="37"/>
      <c r="BI71" s="37"/>
      <c r="BJ71" s="41"/>
    </row>
    <row r="72" spans="2:62" ht="25.15" customHeight="1" x14ac:dyDescent="0.25">
      <c r="B72" s="49">
        <v>67</v>
      </c>
      <c r="C72" s="37"/>
      <c r="D72" s="87" t="str">
        <f>IF(tbl_Assessment[[#This Row],[Ben Code]]&lt;&gt;"",INDEX(tbl_Ben_Info[],MATCH(tbl_Assessment[[#This Row],[Ben Code]],tbl_Ben_Info[Ben Code],0),48),"")</f>
        <v/>
      </c>
      <c r="E72" s="116" t="str">
        <f>IF(tbl_Assessment[[#This Row],[Ben Code]]&lt;&gt;"",INDEX(tbl_Ben_Info[],MATCH(tbl_Assessment[[#This Row],[Ben Code]],tbl_Ben_Info[Ben Code],0),6),"")</f>
        <v/>
      </c>
      <c r="F72" s="113" t="str">
        <f>IF(tbl_Assessment[[#This Row],[Ben Code]]&lt;&gt;"",INDEX(tbl_Ben_Info[],MATCH(tbl_Assessment[[#This Row],[Ben Code]],tbl_Ben_Info[Ben Code],0),13),"")</f>
        <v/>
      </c>
      <c r="G72" s="49"/>
      <c r="H72" s="37"/>
      <c r="I72" s="37"/>
      <c r="J72" s="37"/>
      <c r="K72" s="37"/>
      <c r="L72" s="37"/>
      <c r="M72" s="59"/>
      <c r="N72" s="37"/>
      <c r="O72" s="37"/>
      <c r="P72" s="37"/>
      <c r="Q72" s="59"/>
      <c r="R72" s="49"/>
      <c r="S72" s="37"/>
      <c r="T72" s="37"/>
      <c r="U72" s="37"/>
      <c r="V72" s="37"/>
      <c r="W72" s="96" t="str">
        <f>tbl_Assessment[[#This Row],[Ben Code]] &amp; "-"&amp;tbl_Assessment[[#This Row],[admin4Pcode]]&amp;"-" &amp; TEXT(COUNTIF(INDEX(tbl_Assessment[Ben Code],1):tbl_Assessment[[#This Row],[Ben Code]], tbl_Assessment[[#This Row],[Ben Code]]), "00")</f>
        <v>--00</v>
      </c>
      <c r="X72" s="37"/>
      <c r="Y72" s="37"/>
      <c r="Z72" s="37"/>
      <c r="AA72" s="37"/>
      <c r="AB72" s="37"/>
      <c r="AC72" s="37"/>
      <c r="AD72" s="37"/>
      <c r="AE72" s="37"/>
      <c r="AF72" s="37"/>
      <c r="AG72" s="37"/>
      <c r="AH72" s="37"/>
      <c r="AI72" s="37"/>
      <c r="AJ72" s="37"/>
      <c r="AK72" s="37"/>
      <c r="AL72" s="37"/>
      <c r="AM72" s="37"/>
      <c r="AN72" s="37"/>
      <c r="AO72" s="37"/>
      <c r="AP72" s="37"/>
      <c r="AQ72" s="37"/>
      <c r="AR72" s="37"/>
      <c r="AS72" s="37"/>
      <c r="AT72" s="49"/>
      <c r="AU72" s="41"/>
      <c r="AV72" s="37"/>
      <c r="AW72" s="37"/>
      <c r="AX72" s="37"/>
      <c r="AY72" s="37"/>
      <c r="AZ72" s="37"/>
      <c r="BA72" s="37"/>
      <c r="BB72" s="41"/>
      <c r="BC72" s="37"/>
      <c r="BD72" s="37"/>
      <c r="BE72" s="37"/>
      <c r="BF72" s="41"/>
      <c r="BG72" s="37"/>
      <c r="BH72" s="37"/>
      <c r="BI72" s="37"/>
      <c r="BJ72" s="41"/>
    </row>
    <row r="73" spans="2:62" ht="25.15" customHeight="1" x14ac:dyDescent="0.25">
      <c r="B73" s="49">
        <v>68</v>
      </c>
      <c r="C73" s="37"/>
      <c r="D73" s="87" t="str">
        <f>IF(tbl_Assessment[[#This Row],[Ben Code]]&lt;&gt;"",INDEX(tbl_Ben_Info[],MATCH(tbl_Assessment[[#This Row],[Ben Code]],tbl_Ben_Info[Ben Code],0),48),"")</f>
        <v/>
      </c>
      <c r="E73" s="116" t="str">
        <f>IF(tbl_Assessment[[#This Row],[Ben Code]]&lt;&gt;"",INDEX(tbl_Ben_Info[],MATCH(tbl_Assessment[[#This Row],[Ben Code]],tbl_Ben_Info[Ben Code],0),6),"")</f>
        <v/>
      </c>
      <c r="F73" s="113" t="str">
        <f>IF(tbl_Assessment[[#This Row],[Ben Code]]&lt;&gt;"",INDEX(tbl_Ben_Info[],MATCH(tbl_Assessment[[#This Row],[Ben Code]],tbl_Ben_Info[Ben Code],0),13),"")</f>
        <v/>
      </c>
      <c r="G73" s="49"/>
      <c r="H73" s="37"/>
      <c r="I73" s="37"/>
      <c r="J73" s="37"/>
      <c r="K73" s="37"/>
      <c r="L73" s="37"/>
      <c r="M73" s="59"/>
      <c r="N73" s="37"/>
      <c r="O73" s="37"/>
      <c r="P73" s="37"/>
      <c r="Q73" s="59"/>
      <c r="R73" s="49"/>
      <c r="S73" s="37"/>
      <c r="T73" s="37"/>
      <c r="U73" s="37"/>
      <c r="V73" s="37"/>
      <c r="W73" s="96" t="str">
        <f>tbl_Assessment[[#This Row],[Ben Code]] &amp; "-"&amp;tbl_Assessment[[#This Row],[admin4Pcode]]&amp;"-" &amp; TEXT(COUNTIF(INDEX(tbl_Assessment[Ben Code],1):tbl_Assessment[[#This Row],[Ben Code]], tbl_Assessment[[#This Row],[Ben Code]]), "00")</f>
        <v>--00</v>
      </c>
      <c r="X73" s="37"/>
      <c r="Y73" s="37"/>
      <c r="Z73" s="37"/>
      <c r="AA73" s="37"/>
      <c r="AB73" s="37"/>
      <c r="AC73" s="37"/>
      <c r="AD73" s="37"/>
      <c r="AE73" s="37"/>
      <c r="AF73" s="37"/>
      <c r="AG73" s="37"/>
      <c r="AH73" s="37"/>
      <c r="AI73" s="37"/>
      <c r="AJ73" s="37"/>
      <c r="AK73" s="37"/>
      <c r="AL73" s="37"/>
      <c r="AM73" s="37"/>
      <c r="AN73" s="37"/>
      <c r="AO73" s="37"/>
      <c r="AP73" s="37"/>
      <c r="AQ73" s="37"/>
      <c r="AR73" s="37"/>
      <c r="AS73" s="37"/>
      <c r="AT73" s="49"/>
      <c r="AU73" s="41"/>
      <c r="AV73" s="37"/>
      <c r="AW73" s="37"/>
      <c r="AX73" s="37"/>
      <c r="AY73" s="37"/>
      <c r="AZ73" s="37"/>
      <c r="BA73" s="37"/>
      <c r="BB73" s="41"/>
      <c r="BC73" s="37"/>
      <c r="BD73" s="37"/>
      <c r="BE73" s="37"/>
      <c r="BF73" s="41"/>
      <c r="BG73" s="37"/>
      <c r="BH73" s="37"/>
      <c r="BI73" s="37"/>
      <c r="BJ73" s="41"/>
    </row>
    <row r="74" spans="2:62" ht="25.15" customHeight="1" x14ac:dyDescent="0.25">
      <c r="B74" s="49">
        <v>69</v>
      </c>
      <c r="C74" s="37"/>
      <c r="D74" s="87" t="str">
        <f>IF(tbl_Assessment[[#This Row],[Ben Code]]&lt;&gt;"",INDEX(tbl_Ben_Info[],MATCH(tbl_Assessment[[#This Row],[Ben Code]],tbl_Ben_Info[Ben Code],0),48),"")</f>
        <v/>
      </c>
      <c r="E74" s="116" t="str">
        <f>IF(tbl_Assessment[[#This Row],[Ben Code]]&lt;&gt;"",INDEX(tbl_Ben_Info[],MATCH(tbl_Assessment[[#This Row],[Ben Code]],tbl_Ben_Info[Ben Code],0),6),"")</f>
        <v/>
      </c>
      <c r="F74" s="113" t="str">
        <f>IF(tbl_Assessment[[#This Row],[Ben Code]]&lt;&gt;"",INDEX(tbl_Ben_Info[],MATCH(tbl_Assessment[[#This Row],[Ben Code]],tbl_Ben_Info[Ben Code],0),13),"")</f>
        <v/>
      </c>
      <c r="G74" s="49"/>
      <c r="H74" s="37"/>
      <c r="I74" s="37"/>
      <c r="J74" s="37"/>
      <c r="K74" s="37"/>
      <c r="L74" s="37"/>
      <c r="M74" s="59"/>
      <c r="N74" s="37"/>
      <c r="O74" s="37"/>
      <c r="P74" s="37"/>
      <c r="Q74" s="59"/>
      <c r="R74" s="49"/>
      <c r="S74" s="37"/>
      <c r="T74" s="37"/>
      <c r="U74" s="37"/>
      <c r="V74" s="37"/>
      <c r="W74" s="96" t="str">
        <f>tbl_Assessment[[#This Row],[Ben Code]] &amp; "-"&amp;tbl_Assessment[[#This Row],[admin4Pcode]]&amp;"-" &amp; TEXT(COUNTIF(INDEX(tbl_Assessment[Ben Code],1):tbl_Assessment[[#This Row],[Ben Code]], tbl_Assessment[[#This Row],[Ben Code]]), "00")</f>
        <v>--00</v>
      </c>
      <c r="X74" s="37"/>
      <c r="Y74" s="37"/>
      <c r="Z74" s="37"/>
      <c r="AA74" s="37"/>
      <c r="AB74" s="37"/>
      <c r="AC74" s="37"/>
      <c r="AD74" s="37"/>
      <c r="AE74" s="37"/>
      <c r="AF74" s="37"/>
      <c r="AG74" s="37"/>
      <c r="AH74" s="37"/>
      <c r="AI74" s="37"/>
      <c r="AJ74" s="37"/>
      <c r="AK74" s="37"/>
      <c r="AL74" s="37"/>
      <c r="AM74" s="37"/>
      <c r="AN74" s="37"/>
      <c r="AO74" s="37"/>
      <c r="AP74" s="37"/>
      <c r="AQ74" s="37"/>
      <c r="AR74" s="37"/>
      <c r="AS74" s="37"/>
      <c r="AT74" s="49"/>
      <c r="AU74" s="41"/>
      <c r="AV74" s="37"/>
      <c r="AW74" s="37"/>
      <c r="AX74" s="37"/>
      <c r="AY74" s="37"/>
      <c r="AZ74" s="37"/>
      <c r="BA74" s="37"/>
      <c r="BB74" s="41"/>
      <c r="BC74" s="37"/>
      <c r="BD74" s="37"/>
      <c r="BE74" s="37"/>
      <c r="BF74" s="41"/>
      <c r="BG74" s="37"/>
      <c r="BH74" s="37"/>
      <c r="BI74" s="37"/>
      <c r="BJ74" s="41"/>
    </row>
    <row r="75" spans="2:62" ht="25.15" customHeight="1" x14ac:dyDescent="0.25">
      <c r="B75" s="49">
        <v>70</v>
      </c>
      <c r="C75" s="37"/>
      <c r="D75" s="87" t="str">
        <f>IF(tbl_Assessment[[#This Row],[Ben Code]]&lt;&gt;"",INDEX(tbl_Ben_Info[],MATCH(tbl_Assessment[[#This Row],[Ben Code]],tbl_Ben_Info[Ben Code],0),48),"")</f>
        <v/>
      </c>
      <c r="E75" s="116" t="str">
        <f>IF(tbl_Assessment[[#This Row],[Ben Code]]&lt;&gt;"",INDEX(tbl_Ben_Info[],MATCH(tbl_Assessment[[#This Row],[Ben Code]],tbl_Ben_Info[Ben Code],0),6),"")</f>
        <v/>
      </c>
      <c r="F75" s="113" t="str">
        <f>IF(tbl_Assessment[[#This Row],[Ben Code]]&lt;&gt;"",INDEX(tbl_Ben_Info[],MATCH(tbl_Assessment[[#This Row],[Ben Code]],tbl_Ben_Info[Ben Code],0),13),"")</f>
        <v/>
      </c>
      <c r="G75" s="49"/>
      <c r="H75" s="37"/>
      <c r="I75" s="37"/>
      <c r="J75" s="37"/>
      <c r="K75" s="37"/>
      <c r="L75" s="37"/>
      <c r="M75" s="59"/>
      <c r="N75" s="37"/>
      <c r="O75" s="37"/>
      <c r="P75" s="37"/>
      <c r="Q75" s="59"/>
      <c r="R75" s="49"/>
      <c r="S75" s="37"/>
      <c r="T75" s="37"/>
      <c r="U75" s="37"/>
      <c r="V75" s="37"/>
      <c r="W75" s="96" t="str">
        <f>tbl_Assessment[[#This Row],[Ben Code]] &amp; "-"&amp;tbl_Assessment[[#This Row],[admin4Pcode]]&amp;"-" &amp; TEXT(COUNTIF(INDEX(tbl_Assessment[Ben Code],1):tbl_Assessment[[#This Row],[Ben Code]], tbl_Assessment[[#This Row],[Ben Code]]), "00")</f>
        <v>--00</v>
      </c>
      <c r="X75" s="37"/>
      <c r="Y75" s="37"/>
      <c r="Z75" s="37"/>
      <c r="AA75" s="37"/>
      <c r="AB75" s="37"/>
      <c r="AC75" s="37"/>
      <c r="AD75" s="37"/>
      <c r="AE75" s="37"/>
      <c r="AF75" s="37"/>
      <c r="AG75" s="37"/>
      <c r="AH75" s="37"/>
      <c r="AI75" s="37"/>
      <c r="AJ75" s="37"/>
      <c r="AK75" s="37"/>
      <c r="AL75" s="37"/>
      <c r="AM75" s="37"/>
      <c r="AN75" s="37"/>
      <c r="AO75" s="37"/>
      <c r="AP75" s="37"/>
      <c r="AQ75" s="37"/>
      <c r="AR75" s="37"/>
      <c r="AS75" s="37"/>
      <c r="AT75" s="49"/>
      <c r="AU75" s="41"/>
      <c r="AV75" s="37"/>
      <c r="AW75" s="37"/>
      <c r="AX75" s="37"/>
      <c r="AY75" s="37"/>
      <c r="AZ75" s="37"/>
      <c r="BA75" s="37"/>
      <c r="BB75" s="41"/>
      <c r="BC75" s="37"/>
      <c r="BD75" s="37"/>
      <c r="BE75" s="37"/>
      <c r="BF75" s="41"/>
      <c r="BG75" s="37"/>
      <c r="BH75" s="37"/>
      <c r="BI75" s="37"/>
      <c r="BJ75" s="41"/>
    </row>
    <row r="76" spans="2:62" ht="25.15" customHeight="1" x14ac:dyDescent="0.25">
      <c r="B76" s="49">
        <v>71</v>
      </c>
      <c r="C76" s="37"/>
      <c r="D76" s="87" t="str">
        <f>IF(tbl_Assessment[[#This Row],[Ben Code]]&lt;&gt;"",INDEX(tbl_Ben_Info[],MATCH(tbl_Assessment[[#This Row],[Ben Code]],tbl_Ben_Info[Ben Code],0),48),"")</f>
        <v/>
      </c>
      <c r="E76" s="116" t="str">
        <f>IF(tbl_Assessment[[#This Row],[Ben Code]]&lt;&gt;"",INDEX(tbl_Ben_Info[],MATCH(tbl_Assessment[[#This Row],[Ben Code]],tbl_Ben_Info[Ben Code],0),6),"")</f>
        <v/>
      </c>
      <c r="F76" s="113" t="str">
        <f>IF(tbl_Assessment[[#This Row],[Ben Code]]&lt;&gt;"",INDEX(tbl_Ben_Info[],MATCH(tbl_Assessment[[#This Row],[Ben Code]],tbl_Ben_Info[Ben Code],0),13),"")</f>
        <v/>
      </c>
      <c r="G76" s="49"/>
      <c r="H76" s="37"/>
      <c r="I76" s="37"/>
      <c r="J76" s="37"/>
      <c r="K76" s="37"/>
      <c r="L76" s="37"/>
      <c r="M76" s="59"/>
      <c r="N76" s="37"/>
      <c r="O76" s="37"/>
      <c r="P76" s="37"/>
      <c r="Q76" s="59"/>
      <c r="R76" s="49"/>
      <c r="S76" s="37"/>
      <c r="T76" s="37"/>
      <c r="U76" s="37"/>
      <c r="V76" s="37"/>
      <c r="W76" s="96" t="str">
        <f>tbl_Assessment[[#This Row],[Ben Code]] &amp; "-"&amp;tbl_Assessment[[#This Row],[admin4Pcode]]&amp;"-" &amp; TEXT(COUNTIF(INDEX(tbl_Assessment[Ben Code],1):tbl_Assessment[[#This Row],[Ben Code]], tbl_Assessment[[#This Row],[Ben Code]]), "00")</f>
        <v>--00</v>
      </c>
      <c r="X76" s="37"/>
      <c r="Y76" s="37"/>
      <c r="Z76" s="37"/>
      <c r="AA76" s="37"/>
      <c r="AB76" s="37"/>
      <c r="AC76" s="37"/>
      <c r="AD76" s="37"/>
      <c r="AE76" s="37"/>
      <c r="AF76" s="37"/>
      <c r="AG76" s="37"/>
      <c r="AH76" s="37"/>
      <c r="AI76" s="37"/>
      <c r="AJ76" s="37"/>
      <c r="AK76" s="37"/>
      <c r="AL76" s="37"/>
      <c r="AM76" s="37"/>
      <c r="AN76" s="37"/>
      <c r="AO76" s="37"/>
      <c r="AP76" s="37"/>
      <c r="AQ76" s="37"/>
      <c r="AR76" s="37"/>
      <c r="AS76" s="37"/>
      <c r="AT76" s="49"/>
      <c r="AU76" s="41"/>
      <c r="AV76" s="37"/>
      <c r="AW76" s="37"/>
      <c r="AX76" s="37"/>
      <c r="AY76" s="37"/>
      <c r="AZ76" s="37"/>
      <c r="BA76" s="37"/>
      <c r="BB76" s="41"/>
      <c r="BC76" s="37"/>
      <c r="BD76" s="37"/>
      <c r="BE76" s="37"/>
      <c r="BF76" s="41"/>
      <c r="BG76" s="37"/>
      <c r="BH76" s="37"/>
      <c r="BI76" s="37"/>
      <c r="BJ76" s="41"/>
    </row>
    <row r="77" spans="2:62" ht="25.15" customHeight="1" x14ac:dyDescent="0.25">
      <c r="B77" s="49">
        <v>72</v>
      </c>
      <c r="C77" s="37"/>
      <c r="D77" s="87" t="str">
        <f>IF(tbl_Assessment[[#This Row],[Ben Code]]&lt;&gt;"",INDEX(tbl_Ben_Info[],MATCH(tbl_Assessment[[#This Row],[Ben Code]],tbl_Ben_Info[Ben Code],0),48),"")</f>
        <v/>
      </c>
      <c r="E77" s="116" t="str">
        <f>IF(tbl_Assessment[[#This Row],[Ben Code]]&lt;&gt;"",INDEX(tbl_Ben_Info[],MATCH(tbl_Assessment[[#This Row],[Ben Code]],tbl_Ben_Info[Ben Code],0),6),"")</f>
        <v/>
      </c>
      <c r="F77" s="113" t="str">
        <f>IF(tbl_Assessment[[#This Row],[Ben Code]]&lt;&gt;"",INDEX(tbl_Ben_Info[],MATCH(tbl_Assessment[[#This Row],[Ben Code]],tbl_Ben_Info[Ben Code],0),13),"")</f>
        <v/>
      </c>
      <c r="G77" s="49"/>
      <c r="H77" s="37"/>
      <c r="I77" s="37"/>
      <c r="J77" s="37"/>
      <c r="K77" s="37"/>
      <c r="L77" s="37"/>
      <c r="M77" s="59"/>
      <c r="N77" s="37"/>
      <c r="O77" s="37"/>
      <c r="P77" s="37"/>
      <c r="Q77" s="59"/>
      <c r="R77" s="49"/>
      <c r="S77" s="37"/>
      <c r="T77" s="37"/>
      <c r="U77" s="37"/>
      <c r="V77" s="37"/>
      <c r="W77" s="96" t="str">
        <f>tbl_Assessment[[#This Row],[Ben Code]] &amp; "-"&amp;tbl_Assessment[[#This Row],[admin4Pcode]]&amp;"-" &amp; TEXT(COUNTIF(INDEX(tbl_Assessment[Ben Code],1):tbl_Assessment[[#This Row],[Ben Code]], tbl_Assessment[[#This Row],[Ben Code]]), "00")</f>
        <v>--00</v>
      </c>
      <c r="X77" s="37"/>
      <c r="Y77" s="37"/>
      <c r="Z77" s="37"/>
      <c r="AA77" s="37"/>
      <c r="AB77" s="37"/>
      <c r="AC77" s="37"/>
      <c r="AD77" s="37"/>
      <c r="AE77" s="37"/>
      <c r="AF77" s="37"/>
      <c r="AG77" s="37"/>
      <c r="AH77" s="37"/>
      <c r="AI77" s="37"/>
      <c r="AJ77" s="37"/>
      <c r="AK77" s="37"/>
      <c r="AL77" s="37"/>
      <c r="AM77" s="37"/>
      <c r="AN77" s="37"/>
      <c r="AO77" s="37"/>
      <c r="AP77" s="37"/>
      <c r="AQ77" s="37"/>
      <c r="AR77" s="37"/>
      <c r="AS77" s="37"/>
      <c r="AT77" s="49"/>
      <c r="AU77" s="41"/>
      <c r="AV77" s="37"/>
      <c r="AW77" s="37"/>
      <c r="AX77" s="37"/>
      <c r="AY77" s="37"/>
      <c r="AZ77" s="37"/>
      <c r="BA77" s="37"/>
      <c r="BB77" s="41"/>
      <c r="BC77" s="37"/>
      <c r="BD77" s="37"/>
      <c r="BE77" s="37"/>
      <c r="BF77" s="41"/>
      <c r="BG77" s="37"/>
      <c r="BH77" s="37"/>
      <c r="BI77" s="37"/>
      <c r="BJ77" s="41"/>
    </row>
    <row r="78" spans="2:62" ht="25.15" customHeight="1" x14ac:dyDescent="0.25">
      <c r="B78" s="49">
        <v>73</v>
      </c>
      <c r="C78" s="37"/>
      <c r="D78" s="87" t="str">
        <f>IF(tbl_Assessment[[#This Row],[Ben Code]]&lt;&gt;"",INDEX(tbl_Ben_Info[],MATCH(tbl_Assessment[[#This Row],[Ben Code]],tbl_Ben_Info[Ben Code],0),48),"")</f>
        <v/>
      </c>
      <c r="E78" s="116" t="str">
        <f>IF(tbl_Assessment[[#This Row],[Ben Code]]&lt;&gt;"",INDEX(tbl_Ben_Info[],MATCH(tbl_Assessment[[#This Row],[Ben Code]],tbl_Ben_Info[Ben Code],0),6),"")</f>
        <v/>
      </c>
      <c r="F78" s="113" t="str">
        <f>IF(tbl_Assessment[[#This Row],[Ben Code]]&lt;&gt;"",INDEX(tbl_Ben_Info[],MATCH(tbl_Assessment[[#This Row],[Ben Code]],tbl_Ben_Info[Ben Code],0),13),"")</f>
        <v/>
      </c>
      <c r="G78" s="49"/>
      <c r="H78" s="37"/>
      <c r="I78" s="37"/>
      <c r="J78" s="37"/>
      <c r="K78" s="37"/>
      <c r="L78" s="37"/>
      <c r="M78" s="59"/>
      <c r="N78" s="37"/>
      <c r="O78" s="37"/>
      <c r="P78" s="37"/>
      <c r="Q78" s="59"/>
      <c r="R78" s="49"/>
      <c r="S78" s="37"/>
      <c r="T78" s="37"/>
      <c r="U78" s="37"/>
      <c r="V78" s="37"/>
      <c r="W78" s="96" t="str">
        <f>tbl_Assessment[[#This Row],[Ben Code]] &amp; "-"&amp;tbl_Assessment[[#This Row],[admin4Pcode]]&amp;"-" &amp; TEXT(COUNTIF(INDEX(tbl_Assessment[Ben Code],1):tbl_Assessment[[#This Row],[Ben Code]], tbl_Assessment[[#This Row],[Ben Code]]), "00")</f>
        <v>--00</v>
      </c>
      <c r="X78" s="37"/>
      <c r="Y78" s="37"/>
      <c r="Z78" s="37"/>
      <c r="AA78" s="37"/>
      <c r="AB78" s="37"/>
      <c r="AC78" s="37"/>
      <c r="AD78" s="37"/>
      <c r="AE78" s="37"/>
      <c r="AF78" s="37"/>
      <c r="AG78" s="37"/>
      <c r="AH78" s="37"/>
      <c r="AI78" s="37"/>
      <c r="AJ78" s="37"/>
      <c r="AK78" s="37"/>
      <c r="AL78" s="37"/>
      <c r="AM78" s="37"/>
      <c r="AN78" s="37"/>
      <c r="AO78" s="37"/>
      <c r="AP78" s="37"/>
      <c r="AQ78" s="37"/>
      <c r="AR78" s="37"/>
      <c r="AS78" s="37"/>
      <c r="AT78" s="49"/>
      <c r="AU78" s="41"/>
      <c r="AV78" s="37"/>
      <c r="AW78" s="37"/>
      <c r="AX78" s="37"/>
      <c r="AY78" s="37"/>
      <c r="AZ78" s="37"/>
      <c r="BA78" s="37"/>
      <c r="BB78" s="41"/>
      <c r="BC78" s="37"/>
      <c r="BD78" s="37"/>
      <c r="BE78" s="37"/>
      <c r="BF78" s="41"/>
      <c r="BG78" s="37"/>
      <c r="BH78" s="37"/>
      <c r="BI78" s="37"/>
      <c r="BJ78" s="41"/>
    </row>
    <row r="79" spans="2:62" ht="25.15" customHeight="1" x14ac:dyDescent="0.25">
      <c r="B79" s="49">
        <v>74</v>
      </c>
      <c r="C79" s="37"/>
      <c r="D79" s="87" t="str">
        <f>IF(tbl_Assessment[[#This Row],[Ben Code]]&lt;&gt;"",INDEX(tbl_Ben_Info[],MATCH(tbl_Assessment[[#This Row],[Ben Code]],tbl_Ben_Info[Ben Code],0),48),"")</f>
        <v/>
      </c>
      <c r="E79" s="116" t="str">
        <f>IF(tbl_Assessment[[#This Row],[Ben Code]]&lt;&gt;"",INDEX(tbl_Ben_Info[],MATCH(tbl_Assessment[[#This Row],[Ben Code]],tbl_Ben_Info[Ben Code],0),6),"")</f>
        <v/>
      </c>
      <c r="F79" s="113" t="str">
        <f>IF(tbl_Assessment[[#This Row],[Ben Code]]&lt;&gt;"",INDEX(tbl_Ben_Info[],MATCH(tbl_Assessment[[#This Row],[Ben Code]],tbl_Ben_Info[Ben Code],0),13),"")</f>
        <v/>
      </c>
      <c r="G79" s="49"/>
      <c r="H79" s="37"/>
      <c r="I79" s="37"/>
      <c r="J79" s="37"/>
      <c r="K79" s="37"/>
      <c r="L79" s="37"/>
      <c r="M79" s="59"/>
      <c r="N79" s="37"/>
      <c r="O79" s="37"/>
      <c r="P79" s="37"/>
      <c r="Q79" s="59"/>
      <c r="R79" s="49"/>
      <c r="S79" s="37"/>
      <c r="T79" s="37"/>
      <c r="U79" s="37"/>
      <c r="V79" s="37"/>
      <c r="W79" s="96" t="str">
        <f>tbl_Assessment[[#This Row],[Ben Code]] &amp; "-"&amp;tbl_Assessment[[#This Row],[admin4Pcode]]&amp;"-" &amp; TEXT(COUNTIF(INDEX(tbl_Assessment[Ben Code],1):tbl_Assessment[[#This Row],[Ben Code]], tbl_Assessment[[#This Row],[Ben Code]]), "00")</f>
        <v>--00</v>
      </c>
      <c r="X79" s="37"/>
      <c r="Y79" s="37"/>
      <c r="Z79" s="37"/>
      <c r="AA79" s="37"/>
      <c r="AB79" s="37"/>
      <c r="AC79" s="37"/>
      <c r="AD79" s="37"/>
      <c r="AE79" s="37"/>
      <c r="AF79" s="37"/>
      <c r="AG79" s="37"/>
      <c r="AH79" s="37"/>
      <c r="AI79" s="37"/>
      <c r="AJ79" s="37"/>
      <c r="AK79" s="37"/>
      <c r="AL79" s="37"/>
      <c r="AM79" s="37"/>
      <c r="AN79" s="37"/>
      <c r="AO79" s="37"/>
      <c r="AP79" s="37"/>
      <c r="AQ79" s="37"/>
      <c r="AR79" s="37"/>
      <c r="AS79" s="37"/>
      <c r="AT79" s="49"/>
      <c r="AU79" s="41"/>
      <c r="AV79" s="37"/>
      <c r="AW79" s="37"/>
      <c r="AX79" s="37"/>
      <c r="AY79" s="37"/>
      <c r="AZ79" s="37"/>
      <c r="BA79" s="37"/>
      <c r="BB79" s="41"/>
      <c r="BC79" s="37"/>
      <c r="BD79" s="37"/>
      <c r="BE79" s="37"/>
      <c r="BF79" s="41"/>
      <c r="BG79" s="37"/>
      <c r="BH79" s="37"/>
      <c r="BI79" s="37"/>
      <c r="BJ79" s="41"/>
    </row>
    <row r="80" spans="2:62" ht="25.15" customHeight="1" x14ac:dyDescent="0.25">
      <c r="B80" s="49">
        <v>75</v>
      </c>
      <c r="C80" s="37"/>
      <c r="D80" s="87" t="str">
        <f>IF(tbl_Assessment[[#This Row],[Ben Code]]&lt;&gt;"",INDEX(tbl_Ben_Info[],MATCH(tbl_Assessment[[#This Row],[Ben Code]],tbl_Ben_Info[Ben Code],0),48),"")</f>
        <v/>
      </c>
      <c r="E80" s="116" t="str">
        <f>IF(tbl_Assessment[[#This Row],[Ben Code]]&lt;&gt;"",INDEX(tbl_Ben_Info[],MATCH(tbl_Assessment[[#This Row],[Ben Code]],tbl_Ben_Info[Ben Code],0),6),"")</f>
        <v/>
      </c>
      <c r="F80" s="113" t="str">
        <f>IF(tbl_Assessment[[#This Row],[Ben Code]]&lt;&gt;"",INDEX(tbl_Ben_Info[],MATCH(tbl_Assessment[[#This Row],[Ben Code]],tbl_Ben_Info[Ben Code],0),13),"")</f>
        <v/>
      </c>
      <c r="G80" s="49"/>
      <c r="H80" s="37"/>
      <c r="I80" s="37"/>
      <c r="J80" s="37"/>
      <c r="K80" s="37"/>
      <c r="L80" s="37"/>
      <c r="M80" s="59"/>
      <c r="N80" s="37"/>
      <c r="O80" s="37"/>
      <c r="P80" s="37"/>
      <c r="Q80" s="59"/>
      <c r="R80" s="49"/>
      <c r="S80" s="37"/>
      <c r="T80" s="37"/>
      <c r="U80" s="37"/>
      <c r="V80" s="37"/>
      <c r="W80" s="96" t="str">
        <f>tbl_Assessment[[#This Row],[Ben Code]] &amp; "-"&amp;tbl_Assessment[[#This Row],[admin4Pcode]]&amp;"-" &amp; TEXT(COUNTIF(INDEX(tbl_Assessment[Ben Code],1):tbl_Assessment[[#This Row],[Ben Code]], tbl_Assessment[[#This Row],[Ben Code]]), "00")</f>
        <v>--00</v>
      </c>
      <c r="X80" s="37"/>
      <c r="Y80" s="37"/>
      <c r="Z80" s="37"/>
      <c r="AA80" s="37"/>
      <c r="AB80" s="37"/>
      <c r="AC80" s="37"/>
      <c r="AD80" s="37"/>
      <c r="AE80" s="37"/>
      <c r="AF80" s="37"/>
      <c r="AG80" s="37"/>
      <c r="AH80" s="37"/>
      <c r="AI80" s="37"/>
      <c r="AJ80" s="37"/>
      <c r="AK80" s="37"/>
      <c r="AL80" s="37"/>
      <c r="AM80" s="37"/>
      <c r="AN80" s="37"/>
      <c r="AO80" s="37"/>
      <c r="AP80" s="37"/>
      <c r="AQ80" s="37"/>
      <c r="AR80" s="37"/>
      <c r="AS80" s="37"/>
      <c r="AT80" s="49"/>
      <c r="AU80" s="41"/>
      <c r="AV80" s="37"/>
      <c r="AW80" s="37"/>
      <c r="AX80" s="37"/>
      <c r="AY80" s="37"/>
      <c r="AZ80" s="37"/>
      <c r="BA80" s="37"/>
      <c r="BB80" s="41"/>
      <c r="BC80" s="37"/>
      <c r="BD80" s="37"/>
      <c r="BE80" s="37"/>
      <c r="BF80" s="41"/>
      <c r="BG80" s="37"/>
      <c r="BH80" s="37"/>
      <c r="BI80" s="37"/>
      <c r="BJ80" s="41"/>
    </row>
    <row r="81" spans="2:62" ht="25.15" customHeight="1" x14ac:dyDescent="0.25">
      <c r="B81" s="49">
        <v>76</v>
      </c>
      <c r="C81" s="37"/>
      <c r="D81" s="87" t="str">
        <f>IF(tbl_Assessment[[#This Row],[Ben Code]]&lt;&gt;"",INDEX(tbl_Ben_Info[],MATCH(tbl_Assessment[[#This Row],[Ben Code]],tbl_Ben_Info[Ben Code],0),48),"")</f>
        <v/>
      </c>
      <c r="E81" s="116" t="str">
        <f>IF(tbl_Assessment[[#This Row],[Ben Code]]&lt;&gt;"",INDEX(tbl_Ben_Info[],MATCH(tbl_Assessment[[#This Row],[Ben Code]],tbl_Ben_Info[Ben Code],0),6),"")</f>
        <v/>
      </c>
      <c r="F81" s="113" t="str">
        <f>IF(tbl_Assessment[[#This Row],[Ben Code]]&lt;&gt;"",INDEX(tbl_Ben_Info[],MATCH(tbl_Assessment[[#This Row],[Ben Code]],tbl_Ben_Info[Ben Code],0),13),"")</f>
        <v/>
      </c>
      <c r="G81" s="49"/>
      <c r="H81" s="37"/>
      <c r="I81" s="37"/>
      <c r="J81" s="37"/>
      <c r="K81" s="37"/>
      <c r="L81" s="37"/>
      <c r="M81" s="59"/>
      <c r="N81" s="37"/>
      <c r="O81" s="37"/>
      <c r="P81" s="37"/>
      <c r="Q81" s="59"/>
      <c r="R81" s="49"/>
      <c r="S81" s="37"/>
      <c r="T81" s="37"/>
      <c r="U81" s="37"/>
      <c r="V81" s="37"/>
      <c r="W81" s="96" t="str">
        <f>tbl_Assessment[[#This Row],[Ben Code]] &amp; "-"&amp;tbl_Assessment[[#This Row],[admin4Pcode]]&amp;"-" &amp; TEXT(COUNTIF(INDEX(tbl_Assessment[Ben Code],1):tbl_Assessment[[#This Row],[Ben Code]], tbl_Assessment[[#This Row],[Ben Code]]), "00")</f>
        <v>--00</v>
      </c>
      <c r="X81" s="37"/>
      <c r="Y81" s="37"/>
      <c r="Z81" s="37"/>
      <c r="AA81" s="37"/>
      <c r="AB81" s="37"/>
      <c r="AC81" s="37"/>
      <c r="AD81" s="37"/>
      <c r="AE81" s="37"/>
      <c r="AF81" s="37"/>
      <c r="AG81" s="37"/>
      <c r="AH81" s="37"/>
      <c r="AI81" s="37"/>
      <c r="AJ81" s="37"/>
      <c r="AK81" s="37"/>
      <c r="AL81" s="37"/>
      <c r="AM81" s="37"/>
      <c r="AN81" s="37"/>
      <c r="AO81" s="37"/>
      <c r="AP81" s="37"/>
      <c r="AQ81" s="37"/>
      <c r="AR81" s="37"/>
      <c r="AS81" s="37"/>
      <c r="AT81" s="49"/>
      <c r="AU81" s="41"/>
      <c r="AV81" s="37"/>
      <c r="AW81" s="37"/>
      <c r="AX81" s="37"/>
      <c r="AY81" s="37"/>
      <c r="AZ81" s="37"/>
      <c r="BA81" s="37"/>
      <c r="BB81" s="41"/>
      <c r="BC81" s="37"/>
      <c r="BD81" s="37"/>
      <c r="BE81" s="37"/>
      <c r="BF81" s="41"/>
      <c r="BG81" s="37"/>
      <c r="BH81" s="37"/>
      <c r="BI81" s="37"/>
      <c r="BJ81" s="41"/>
    </row>
    <row r="82" spans="2:62" ht="25.15" customHeight="1" x14ac:dyDescent="0.25">
      <c r="B82" s="49">
        <v>77</v>
      </c>
      <c r="C82" s="37"/>
      <c r="D82" s="87" t="str">
        <f>IF(tbl_Assessment[[#This Row],[Ben Code]]&lt;&gt;"",INDEX(tbl_Ben_Info[],MATCH(tbl_Assessment[[#This Row],[Ben Code]],tbl_Ben_Info[Ben Code],0),48),"")</f>
        <v/>
      </c>
      <c r="E82" s="116" t="str">
        <f>IF(tbl_Assessment[[#This Row],[Ben Code]]&lt;&gt;"",INDEX(tbl_Ben_Info[],MATCH(tbl_Assessment[[#This Row],[Ben Code]],tbl_Ben_Info[Ben Code],0),6),"")</f>
        <v/>
      </c>
      <c r="F82" s="113" t="str">
        <f>IF(tbl_Assessment[[#This Row],[Ben Code]]&lt;&gt;"",INDEX(tbl_Ben_Info[],MATCH(tbl_Assessment[[#This Row],[Ben Code]],tbl_Ben_Info[Ben Code],0),13),"")</f>
        <v/>
      </c>
      <c r="G82" s="49"/>
      <c r="H82" s="37"/>
      <c r="I82" s="37"/>
      <c r="J82" s="37"/>
      <c r="K82" s="37"/>
      <c r="L82" s="37"/>
      <c r="M82" s="59"/>
      <c r="N82" s="37"/>
      <c r="O82" s="37"/>
      <c r="P82" s="37"/>
      <c r="Q82" s="59"/>
      <c r="R82" s="49"/>
      <c r="S82" s="37"/>
      <c r="T82" s="37"/>
      <c r="U82" s="37"/>
      <c r="V82" s="37"/>
      <c r="W82" s="96" t="str">
        <f>tbl_Assessment[[#This Row],[Ben Code]] &amp; "-"&amp;tbl_Assessment[[#This Row],[admin4Pcode]]&amp;"-" &amp; TEXT(COUNTIF(INDEX(tbl_Assessment[Ben Code],1):tbl_Assessment[[#This Row],[Ben Code]], tbl_Assessment[[#This Row],[Ben Code]]), "00")</f>
        <v>--00</v>
      </c>
      <c r="X82" s="37"/>
      <c r="Y82" s="37"/>
      <c r="Z82" s="37"/>
      <c r="AA82" s="37"/>
      <c r="AB82" s="37"/>
      <c r="AC82" s="37"/>
      <c r="AD82" s="37"/>
      <c r="AE82" s="37"/>
      <c r="AF82" s="37"/>
      <c r="AG82" s="37"/>
      <c r="AH82" s="37"/>
      <c r="AI82" s="37"/>
      <c r="AJ82" s="37"/>
      <c r="AK82" s="37"/>
      <c r="AL82" s="37"/>
      <c r="AM82" s="37"/>
      <c r="AN82" s="37"/>
      <c r="AO82" s="37"/>
      <c r="AP82" s="37"/>
      <c r="AQ82" s="37"/>
      <c r="AR82" s="37"/>
      <c r="AS82" s="37"/>
      <c r="AT82" s="49"/>
      <c r="AU82" s="41"/>
      <c r="AV82" s="37"/>
      <c r="AW82" s="37"/>
      <c r="AX82" s="37"/>
      <c r="AY82" s="37"/>
      <c r="AZ82" s="37"/>
      <c r="BA82" s="37"/>
      <c r="BB82" s="41"/>
      <c r="BC82" s="37"/>
      <c r="BD82" s="37"/>
      <c r="BE82" s="37"/>
      <c r="BF82" s="41"/>
      <c r="BG82" s="37"/>
      <c r="BH82" s="37"/>
      <c r="BI82" s="37"/>
      <c r="BJ82" s="41"/>
    </row>
    <row r="83" spans="2:62" ht="25.15" customHeight="1" x14ac:dyDescent="0.25">
      <c r="B83" s="49">
        <v>78</v>
      </c>
      <c r="C83" s="37"/>
      <c r="D83" s="87" t="str">
        <f>IF(tbl_Assessment[[#This Row],[Ben Code]]&lt;&gt;"",INDEX(tbl_Ben_Info[],MATCH(tbl_Assessment[[#This Row],[Ben Code]],tbl_Ben_Info[Ben Code],0),48),"")</f>
        <v/>
      </c>
      <c r="E83" s="116" t="str">
        <f>IF(tbl_Assessment[[#This Row],[Ben Code]]&lt;&gt;"",INDEX(tbl_Ben_Info[],MATCH(tbl_Assessment[[#This Row],[Ben Code]],tbl_Ben_Info[Ben Code],0),6),"")</f>
        <v/>
      </c>
      <c r="F83" s="113" t="str">
        <f>IF(tbl_Assessment[[#This Row],[Ben Code]]&lt;&gt;"",INDEX(tbl_Ben_Info[],MATCH(tbl_Assessment[[#This Row],[Ben Code]],tbl_Ben_Info[Ben Code],0),13),"")</f>
        <v/>
      </c>
      <c r="G83" s="49"/>
      <c r="H83" s="37"/>
      <c r="I83" s="37"/>
      <c r="J83" s="37"/>
      <c r="K83" s="37"/>
      <c r="L83" s="37"/>
      <c r="M83" s="59"/>
      <c r="N83" s="37"/>
      <c r="O83" s="37"/>
      <c r="P83" s="37"/>
      <c r="Q83" s="59"/>
      <c r="R83" s="49"/>
      <c r="S83" s="37"/>
      <c r="T83" s="37"/>
      <c r="U83" s="37"/>
      <c r="V83" s="37"/>
      <c r="W83" s="96" t="str">
        <f>tbl_Assessment[[#This Row],[Ben Code]] &amp; "-"&amp;tbl_Assessment[[#This Row],[admin4Pcode]]&amp;"-" &amp; TEXT(COUNTIF(INDEX(tbl_Assessment[Ben Code],1):tbl_Assessment[[#This Row],[Ben Code]], tbl_Assessment[[#This Row],[Ben Code]]), "00")</f>
        <v>--00</v>
      </c>
      <c r="X83" s="37"/>
      <c r="Y83" s="37"/>
      <c r="Z83" s="37"/>
      <c r="AA83" s="37"/>
      <c r="AB83" s="37"/>
      <c r="AC83" s="37"/>
      <c r="AD83" s="37"/>
      <c r="AE83" s="37"/>
      <c r="AF83" s="37"/>
      <c r="AG83" s="37"/>
      <c r="AH83" s="37"/>
      <c r="AI83" s="37"/>
      <c r="AJ83" s="37"/>
      <c r="AK83" s="37"/>
      <c r="AL83" s="37"/>
      <c r="AM83" s="37"/>
      <c r="AN83" s="37"/>
      <c r="AO83" s="37"/>
      <c r="AP83" s="37"/>
      <c r="AQ83" s="37"/>
      <c r="AR83" s="37"/>
      <c r="AS83" s="37"/>
      <c r="AT83" s="49"/>
      <c r="AU83" s="41"/>
      <c r="AV83" s="37"/>
      <c r="AW83" s="37"/>
      <c r="AX83" s="37"/>
      <c r="AY83" s="37"/>
      <c r="AZ83" s="37"/>
      <c r="BA83" s="37"/>
      <c r="BB83" s="41"/>
      <c r="BC83" s="37"/>
      <c r="BD83" s="37"/>
      <c r="BE83" s="37"/>
      <c r="BF83" s="41"/>
      <c r="BG83" s="37"/>
      <c r="BH83" s="37"/>
      <c r="BI83" s="37"/>
      <c r="BJ83" s="41"/>
    </row>
    <row r="84" spans="2:62" ht="25.15" customHeight="1" x14ac:dyDescent="0.25">
      <c r="B84" s="49">
        <v>79</v>
      </c>
      <c r="C84" s="37"/>
      <c r="D84" s="87" t="str">
        <f>IF(tbl_Assessment[[#This Row],[Ben Code]]&lt;&gt;"",INDEX(tbl_Ben_Info[],MATCH(tbl_Assessment[[#This Row],[Ben Code]],tbl_Ben_Info[Ben Code],0),48),"")</f>
        <v/>
      </c>
      <c r="E84" s="116" t="str">
        <f>IF(tbl_Assessment[[#This Row],[Ben Code]]&lt;&gt;"",INDEX(tbl_Ben_Info[],MATCH(tbl_Assessment[[#This Row],[Ben Code]],tbl_Ben_Info[Ben Code],0),6),"")</f>
        <v/>
      </c>
      <c r="F84" s="113" t="str">
        <f>IF(tbl_Assessment[[#This Row],[Ben Code]]&lt;&gt;"",INDEX(tbl_Ben_Info[],MATCH(tbl_Assessment[[#This Row],[Ben Code]],tbl_Ben_Info[Ben Code],0),13),"")</f>
        <v/>
      </c>
      <c r="G84" s="49"/>
      <c r="H84" s="37"/>
      <c r="I84" s="37"/>
      <c r="J84" s="37"/>
      <c r="K84" s="37"/>
      <c r="L84" s="37"/>
      <c r="M84" s="59"/>
      <c r="N84" s="37"/>
      <c r="O84" s="37"/>
      <c r="P84" s="37"/>
      <c r="Q84" s="59"/>
      <c r="R84" s="49"/>
      <c r="S84" s="37"/>
      <c r="T84" s="37"/>
      <c r="U84" s="37"/>
      <c r="V84" s="37"/>
      <c r="W84" s="96" t="str">
        <f>tbl_Assessment[[#This Row],[Ben Code]] &amp; "-"&amp;tbl_Assessment[[#This Row],[admin4Pcode]]&amp;"-" &amp; TEXT(COUNTIF(INDEX(tbl_Assessment[Ben Code],1):tbl_Assessment[[#This Row],[Ben Code]], tbl_Assessment[[#This Row],[Ben Code]]), "00")</f>
        <v>--00</v>
      </c>
      <c r="X84" s="37"/>
      <c r="Y84" s="37"/>
      <c r="Z84" s="37"/>
      <c r="AA84" s="37"/>
      <c r="AB84" s="37"/>
      <c r="AC84" s="37"/>
      <c r="AD84" s="37"/>
      <c r="AE84" s="37"/>
      <c r="AF84" s="37"/>
      <c r="AG84" s="37"/>
      <c r="AH84" s="37"/>
      <c r="AI84" s="37"/>
      <c r="AJ84" s="37"/>
      <c r="AK84" s="37"/>
      <c r="AL84" s="37"/>
      <c r="AM84" s="37"/>
      <c r="AN84" s="37"/>
      <c r="AO84" s="37"/>
      <c r="AP84" s="37"/>
      <c r="AQ84" s="37"/>
      <c r="AR84" s="37"/>
      <c r="AS84" s="37"/>
      <c r="AT84" s="49"/>
      <c r="AU84" s="41"/>
      <c r="AV84" s="37"/>
      <c r="AW84" s="37"/>
      <c r="AX84" s="37"/>
      <c r="AY84" s="37"/>
      <c r="AZ84" s="37"/>
      <c r="BA84" s="37"/>
      <c r="BB84" s="41"/>
      <c r="BC84" s="37"/>
      <c r="BD84" s="37"/>
      <c r="BE84" s="37"/>
      <c r="BF84" s="41"/>
      <c r="BG84" s="37"/>
      <c r="BH84" s="37"/>
      <c r="BI84" s="37"/>
      <c r="BJ84" s="41"/>
    </row>
    <row r="85" spans="2:62" ht="25.15" customHeight="1" x14ac:dyDescent="0.25">
      <c r="B85" s="49">
        <v>80</v>
      </c>
      <c r="C85" s="37"/>
      <c r="D85" s="87" t="str">
        <f>IF(tbl_Assessment[[#This Row],[Ben Code]]&lt;&gt;"",INDEX(tbl_Ben_Info[],MATCH(tbl_Assessment[[#This Row],[Ben Code]],tbl_Ben_Info[Ben Code],0),48),"")</f>
        <v/>
      </c>
      <c r="E85" s="116" t="str">
        <f>IF(tbl_Assessment[[#This Row],[Ben Code]]&lt;&gt;"",INDEX(tbl_Ben_Info[],MATCH(tbl_Assessment[[#This Row],[Ben Code]],tbl_Ben_Info[Ben Code],0),6),"")</f>
        <v/>
      </c>
      <c r="F85" s="113" t="str">
        <f>IF(tbl_Assessment[[#This Row],[Ben Code]]&lt;&gt;"",INDEX(tbl_Ben_Info[],MATCH(tbl_Assessment[[#This Row],[Ben Code]],tbl_Ben_Info[Ben Code],0),13),"")</f>
        <v/>
      </c>
      <c r="G85" s="49"/>
      <c r="H85" s="37"/>
      <c r="I85" s="37"/>
      <c r="J85" s="37"/>
      <c r="K85" s="37"/>
      <c r="L85" s="37"/>
      <c r="M85" s="59"/>
      <c r="N85" s="37"/>
      <c r="O85" s="37"/>
      <c r="P85" s="37"/>
      <c r="Q85" s="59"/>
      <c r="R85" s="49"/>
      <c r="S85" s="37"/>
      <c r="T85" s="37"/>
      <c r="U85" s="37"/>
      <c r="V85" s="37"/>
      <c r="W85" s="96" t="str">
        <f>tbl_Assessment[[#This Row],[Ben Code]] &amp; "-"&amp;tbl_Assessment[[#This Row],[admin4Pcode]]&amp;"-" &amp; TEXT(COUNTIF(INDEX(tbl_Assessment[Ben Code],1):tbl_Assessment[[#This Row],[Ben Code]], tbl_Assessment[[#This Row],[Ben Code]]), "00")</f>
        <v>--00</v>
      </c>
      <c r="X85" s="37"/>
      <c r="Y85" s="37"/>
      <c r="Z85" s="37"/>
      <c r="AA85" s="37"/>
      <c r="AB85" s="37"/>
      <c r="AC85" s="37"/>
      <c r="AD85" s="37"/>
      <c r="AE85" s="37"/>
      <c r="AF85" s="37"/>
      <c r="AG85" s="37"/>
      <c r="AH85" s="37"/>
      <c r="AI85" s="37"/>
      <c r="AJ85" s="37"/>
      <c r="AK85" s="37"/>
      <c r="AL85" s="37"/>
      <c r="AM85" s="37"/>
      <c r="AN85" s="37"/>
      <c r="AO85" s="37"/>
      <c r="AP85" s="37"/>
      <c r="AQ85" s="37"/>
      <c r="AR85" s="37"/>
      <c r="AS85" s="37"/>
      <c r="AT85" s="49"/>
      <c r="AU85" s="41"/>
      <c r="AV85" s="37"/>
      <c r="AW85" s="37"/>
      <c r="AX85" s="37"/>
      <c r="AY85" s="37"/>
      <c r="AZ85" s="37"/>
      <c r="BA85" s="37"/>
      <c r="BB85" s="41"/>
      <c r="BC85" s="37"/>
      <c r="BD85" s="37"/>
      <c r="BE85" s="37"/>
      <c r="BF85" s="41"/>
      <c r="BG85" s="37"/>
      <c r="BH85" s="37"/>
      <c r="BI85" s="37"/>
      <c r="BJ85" s="41"/>
    </row>
    <row r="86" spans="2:62" ht="25.15" customHeight="1" x14ac:dyDescent="0.25">
      <c r="B86" s="49">
        <v>81</v>
      </c>
      <c r="C86" s="37"/>
      <c r="D86" s="87" t="str">
        <f>IF(tbl_Assessment[[#This Row],[Ben Code]]&lt;&gt;"",INDEX(tbl_Ben_Info[],MATCH(tbl_Assessment[[#This Row],[Ben Code]],tbl_Ben_Info[Ben Code],0),48),"")</f>
        <v/>
      </c>
      <c r="E86" s="116" t="str">
        <f>IF(tbl_Assessment[[#This Row],[Ben Code]]&lt;&gt;"",INDEX(tbl_Ben_Info[],MATCH(tbl_Assessment[[#This Row],[Ben Code]],tbl_Ben_Info[Ben Code],0),6),"")</f>
        <v/>
      </c>
      <c r="F86" s="113" t="str">
        <f>IF(tbl_Assessment[[#This Row],[Ben Code]]&lt;&gt;"",INDEX(tbl_Ben_Info[],MATCH(tbl_Assessment[[#This Row],[Ben Code]],tbl_Ben_Info[Ben Code],0),13),"")</f>
        <v/>
      </c>
      <c r="G86" s="49"/>
      <c r="H86" s="37"/>
      <c r="I86" s="37"/>
      <c r="J86" s="37"/>
      <c r="K86" s="37"/>
      <c r="L86" s="37"/>
      <c r="M86" s="59"/>
      <c r="N86" s="37"/>
      <c r="O86" s="37"/>
      <c r="P86" s="37"/>
      <c r="Q86" s="59"/>
      <c r="R86" s="49"/>
      <c r="S86" s="37"/>
      <c r="T86" s="37"/>
      <c r="U86" s="37"/>
      <c r="V86" s="37"/>
      <c r="W86" s="96" t="str">
        <f>tbl_Assessment[[#This Row],[Ben Code]] &amp; "-"&amp;tbl_Assessment[[#This Row],[admin4Pcode]]&amp;"-" &amp; TEXT(COUNTIF(INDEX(tbl_Assessment[Ben Code],1):tbl_Assessment[[#This Row],[Ben Code]], tbl_Assessment[[#This Row],[Ben Code]]), "00")</f>
        <v>--00</v>
      </c>
      <c r="X86" s="37"/>
      <c r="Y86" s="37"/>
      <c r="Z86" s="37"/>
      <c r="AA86" s="37"/>
      <c r="AB86" s="37"/>
      <c r="AC86" s="37"/>
      <c r="AD86" s="37"/>
      <c r="AE86" s="37"/>
      <c r="AF86" s="37"/>
      <c r="AG86" s="37"/>
      <c r="AH86" s="37"/>
      <c r="AI86" s="37"/>
      <c r="AJ86" s="37"/>
      <c r="AK86" s="37"/>
      <c r="AL86" s="37"/>
      <c r="AM86" s="37"/>
      <c r="AN86" s="37"/>
      <c r="AO86" s="37"/>
      <c r="AP86" s="37"/>
      <c r="AQ86" s="37"/>
      <c r="AR86" s="37"/>
      <c r="AS86" s="37"/>
      <c r="AT86" s="49"/>
      <c r="AU86" s="41"/>
      <c r="AV86" s="37"/>
      <c r="AW86" s="37"/>
      <c r="AX86" s="37"/>
      <c r="AY86" s="37"/>
      <c r="AZ86" s="37"/>
      <c r="BA86" s="37"/>
      <c r="BB86" s="41"/>
      <c r="BC86" s="37"/>
      <c r="BD86" s="37"/>
      <c r="BE86" s="37"/>
      <c r="BF86" s="41"/>
      <c r="BG86" s="37"/>
      <c r="BH86" s="37"/>
      <c r="BI86" s="37"/>
      <c r="BJ86" s="41"/>
    </row>
    <row r="87" spans="2:62" ht="25.15" customHeight="1" x14ac:dyDescent="0.25">
      <c r="B87" s="49">
        <v>82</v>
      </c>
      <c r="C87" s="37"/>
      <c r="D87" s="87" t="str">
        <f>IF(tbl_Assessment[[#This Row],[Ben Code]]&lt;&gt;"",INDEX(tbl_Ben_Info[],MATCH(tbl_Assessment[[#This Row],[Ben Code]],tbl_Ben_Info[Ben Code],0),48),"")</f>
        <v/>
      </c>
      <c r="E87" s="116" t="str">
        <f>IF(tbl_Assessment[[#This Row],[Ben Code]]&lt;&gt;"",INDEX(tbl_Ben_Info[],MATCH(tbl_Assessment[[#This Row],[Ben Code]],tbl_Ben_Info[Ben Code],0),6),"")</f>
        <v/>
      </c>
      <c r="F87" s="113" t="str">
        <f>IF(tbl_Assessment[[#This Row],[Ben Code]]&lt;&gt;"",INDEX(tbl_Ben_Info[],MATCH(tbl_Assessment[[#This Row],[Ben Code]],tbl_Ben_Info[Ben Code],0),13),"")</f>
        <v/>
      </c>
      <c r="G87" s="49"/>
      <c r="H87" s="37"/>
      <c r="I87" s="37"/>
      <c r="J87" s="37"/>
      <c r="K87" s="37"/>
      <c r="L87" s="37"/>
      <c r="M87" s="59"/>
      <c r="N87" s="37"/>
      <c r="O87" s="37"/>
      <c r="P87" s="37"/>
      <c r="Q87" s="59"/>
      <c r="R87" s="49"/>
      <c r="S87" s="37"/>
      <c r="T87" s="37"/>
      <c r="U87" s="37"/>
      <c r="V87" s="37"/>
      <c r="W87" s="96" t="str">
        <f>tbl_Assessment[[#This Row],[Ben Code]] &amp; "-"&amp;tbl_Assessment[[#This Row],[admin4Pcode]]&amp;"-" &amp; TEXT(COUNTIF(INDEX(tbl_Assessment[Ben Code],1):tbl_Assessment[[#This Row],[Ben Code]], tbl_Assessment[[#This Row],[Ben Code]]), "00")</f>
        <v>--00</v>
      </c>
      <c r="X87" s="37"/>
      <c r="Y87" s="37"/>
      <c r="Z87" s="37"/>
      <c r="AA87" s="37"/>
      <c r="AB87" s="37"/>
      <c r="AC87" s="37"/>
      <c r="AD87" s="37"/>
      <c r="AE87" s="37"/>
      <c r="AF87" s="37"/>
      <c r="AG87" s="37"/>
      <c r="AH87" s="37"/>
      <c r="AI87" s="37"/>
      <c r="AJ87" s="37"/>
      <c r="AK87" s="37"/>
      <c r="AL87" s="37"/>
      <c r="AM87" s="37"/>
      <c r="AN87" s="37"/>
      <c r="AO87" s="37"/>
      <c r="AP87" s="37"/>
      <c r="AQ87" s="37"/>
      <c r="AR87" s="37"/>
      <c r="AS87" s="37"/>
      <c r="AT87" s="49"/>
      <c r="AU87" s="41"/>
      <c r="AV87" s="37"/>
      <c r="AW87" s="37"/>
      <c r="AX87" s="37"/>
      <c r="AY87" s="37"/>
      <c r="AZ87" s="37"/>
      <c r="BA87" s="37"/>
      <c r="BB87" s="41"/>
      <c r="BC87" s="37"/>
      <c r="BD87" s="37"/>
      <c r="BE87" s="37"/>
      <c r="BF87" s="41"/>
      <c r="BG87" s="37"/>
      <c r="BH87" s="37"/>
      <c r="BI87" s="37"/>
      <c r="BJ87" s="41"/>
    </row>
    <row r="88" spans="2:62" ht="25.15" customHeight="1" x14ac:dyDescent="0.25">
      <c r="B88" s="49">
        <v>83</v>
      </c>
      <c r="C88" s="37"/>
      <c r="D88" s="87" t="str">
        <f>IF(tbl_Assessment[[#This Row],[Ben Code]]&lt;&gt;"",INDEX(tbl_Ben_Info[],MATCH(tbl_Assessment[[#This Row],[Ben Code]],tbl_Ben_Info[Ben Code],0),48),"")</f>
        <v/>
      </c>
      <c r="E88" s="116" t="str">
        <f>IF(tbl_Assessment[[#This Row],[Ben Code]]&lt;&gt;"",INDEX(tbl_Ben_Info[],MATCH(tbl_Assessment[[#This Row],[Ben Code]],tbl_Ben_Info[Ben Code],0),6),"")</f>
        <v/>
      </c>
      <c r="F88" s="113" t="str">
        <f>IF(tbl_Assessment[[#This Row],[Ben Code]]&lt;&gt;"",INDEX(tbl_Ben_Info[],MATCH(tbl_Assessment[[#This Row],[Ben Code]],tbl_Ben_Info[Ben Code],0),13),"")</f>
        <v/>
      </c>
      <c r="G88" s="49"/>
      <c r="H88" s="37"/>
      <c r="I88" s="37"/>
      <c r="J88" s="37"/>
      <c r="K88" s="37"/>
      <c r="L88" s="37"/>
      <c r="M88" s="59"/>
      <c r="N88" s="37"/>
      <c r="O88" s="37"/>
      <c r="P88" s="37"/>
      <c r="Q88" s="59"/>
      <c r="R88" s="49"/>
      <c r="S88" s="37"/>
      <c r="T88" s="37"/>
      <c r="U88" s="37"/>
      <c r="V88" s="37"/>
      <c r="W88" s="96" t="str">
        <f>tbl_Assessment[[#This Row],[Ben Code]] &amp; "-"&amp;tbl_Assessment[[#This Row],[admin4Pcode]]&amp;"-" &amp; TEXT(COUNTIF(INDEX(tbl_Assessment[Ben Code],1):tbl_Assessment[[#This Row],[Ben Code]], tbl_Assessment[[#This Row],[Ben Code]]), "00")</f>
        <v>--00</v>
      </c>
      <c r="X88" s="37"/>
      <c r="Y88" s="37"/>
      <c r="Z88" s="37"/>
      <c r="AA88" s="37"/>
      <c r="AB88" s="37"/>
      <c r="AC88" s="37"/>
      <c r="AD88" s="37"/>
      <c r="AE88" s="37"/>
      <c r="AF88" s="37"/>
      <c r="AG88" s="37"/>
      <c r="AH88" s="37"/>
      <c r="AI88" s="37"/>
      <c r="AJ88" s="37"/>
      <c r="AK88" s="37"/>
      <c r="AL88" s="37"/>
      <c r="AM88" s="37"/>
      <c r="AN88" s="37"/>
      <c r="AO88" s="37"/>
      <c r="AP88" s="37"/>
      <c r="AQ88" s="37"/>
      <c r="AR88" s="37"/>
      <c r="AS88" s="37"/>
      <c r="AT88" s="49"/>
      <c r="AU88" s="41"/>
      <c r="AV88" s="37"/>
      <c r="AW88" s="37"/>
      <c r="AX88" s="37"/>
      <c r="AY88" s="37"/>
      <c r="AZ88" s="37"/>
      <c r="BA88" s="37"/>
      <c r="BB88" s="41"/>
      <c r="BC88" s="37"/>
      <c r="BD88" s="37"/>
      <c r="BE88" s="37"/>
      <c r="BF88" s="41"/>
      <c r="BG88" s="37"/>
      <c r="BH88" s="37"/>
      <c r="BI88" s="37"/>
      <c r="BJ88" s="41"/>
    </row>
    <row r="89" spans="2:62" ht="25.15" customHeight="1" x14ac:dyDescent="0.25">
      <c r="B89" s="49">
        <v>84</v>
      </c>
      <c r="C89" s="37"/>
      <c r="D89" s="87" t="str">
        <f>IF(tbl_Assessment[[#This Row],[Ben Code]]&lt;&gt;"",INDEX(tbl_Ben_Info[],MATCH(tbl_Assessment[[#This Row],[Ben Code]],tbl_Ben_Info[Ben Code],0),48),"")</f>
        <v/>
      </c>
      <c r="E89" s="116" t="str">
        <f>IF(tbl_Assessment[[#This Row],[Ben Code]]&lt;&gt;"",INDEX(tbl_Ben_Info[],MATCH(tbl_Assessment[[#This Row],[Ben Code]],tbl_Ben_Info[Ben Code],0),6),"")</f>
        <v/>
      </c>
      <c r="F89" s="113" t="str">
        <f>IF(tbl_Assessment[[#This Row],[Ben Code]]&lt;&gt;"",INDEX(tbl_Ben_Info[],MATCH(tbl_Assessment[[#This Row],[Ben Code]],tbl_Ben_Info[Ben Code],0),13),"")</f>
        <v/>
      </c>
      <c r="G89" s="49"/>
      <c r="H89" s="37"/>
      <c r="I89" s="37"/>
      <c r="J89" s="37"/>
      <c r="K89" s="37"/>
      <c r="L89" s="37"/>
      <c r="M89" s="59"/>
      <c r="N89" s="37"/>
      <c r="O89" s="37"/>
      <c r="P89" s="37"/>
      <c r="Q89" s="59"/>
      <c r="R89" s="49"/>
      <c r="S89" s="37"/>
      <c r="T89" s="37"/>
      <c r="U89" s="37"/>
      <c r="V89" s="37"/>
      <c r="W89" s="96" t="str">
        <f>tbl_Assessment[[#This Row],[Ben Code]] &amp; "-"&amp;tbl_Assessment[[#This Row],[admin4Pcode]]&amp;"-" &amp; TEXT(COUNTIF(INDEX(tbl_Assessment[Ben Code],1):tbl_Assessment[[#This Row],[Ben Code]], tbl_Assessment[[#This Row],[Ben Code]]), "00")</f>
        <v>--00</v>
      </c>
      <c r="X89" s="37"/>
      <c r="Y89" s="37"/>
      <c r="Z89" s="37"/>
      <c r="AA89" s="37"/>
      <c r="AB89" s="37"/>
      <c r="AC89" s="37"/>
      <c r="AD89" s="37"/>
      <c r="AE89" s="37"/>
      <c r="AF89" s="37"/>
      <c r="AG89" s="37"/>
      <c r="AH89" s="37"/>
      <c r="AI89" s="37"/>
      <c r="AJ89" s="37"/>
      <c r="AK89" s="37"/>
      <c r="AL89" s="37"/>
      <c r="AM89" s="37"/>
      <c r="AN89" s="37"/>
      <c r="AO89" s="37"/>
      <c r="AP89" s="37"/>
      <c r="AQ89" s="37"/>
      <c r="AR89" s="37"/>
      <c r="AS89" s="37"/>
      <c r="AT89" s="49"/>
      <c r="AU89" s="41"/>
      <c r="AV89" s="37"/>
      <c r="AW89" s="37"/>
      <c r="AX89" s="37"/>
      <c r="AY89" s="37"/>
      <c r="AZ89" s="37"/>
      <c r="BA89" s="37"/>
      <c r="BB89" s="41"/>
      <c r="BC89" s="37"/>
      <c r="BD89" s="37"/>
      <c r="BE89" s="37"/>
      <c r="BF89" s="41"/>
      <c r="BG89" s="37"/>
      <c r="BH89" s="37"/>
      <c r="BI89" s="37"/>
      <c r="BJ89" s="41"/>
    </row>
    <row r="90" spans="2:62" ht="25.15" customHeight="1" x14ac:dyDescent="0.25">
      <c r="B90" s="49">
        <v>85</v>
      </c>
      <c r="C90" s="37"/>
      <c r="D90" s="87" t="str">
        <f>IF(tbl_Assessment[[#This Row],[Ben Code]]&lt;&gt;"",INDEX(tbl_Ben_Info[],MATCH(tbl_Assessment[[#This Row],[Ben Code]],tbl_Ben_Info[Ben Code],0),48),"")</f>
        <v/>
      </c>
      <c r="E90" s="116" t="str">
        <f>IF(tbl_Assessment[[#This Row],[Ben Code]]&lt;&gt;"",INDEX(tbl_Ben_Info[],MATCH(tbl_Assessment[[#This Row],[Ben Code]],tbl_Ben_Info[Ben Code],0),6),"")</f>
        <v/>
      </c>
      <c r="F90" s="113" t="str">
        <f>IF(tbl_Assessment[[#This Row],[Ben Code]]&lt;&gt;"",INDEX(tbl_Ben_Info[],MATCH(tbl_Assessment[[#This Row],[Ben Code]],tbl_Ben_Info[Ben Code],0),13),"")</f>
        <v/>
      </c>
      <c r="G90" s="49"/>
      <c r="H90" s="37"/>
      <c r="I90" s="37"/>
      <c r="J90" s="37"/>
      <c r="K90" s="37"/>
      <c r="L90" s="37"/>
      <c r="M90" s="59"/>
      <c r="N90" s="37"/>
      <c r="O90" s="37"/>
      <c r="P90" s="37"/>
      <c r="Q90" s="59"/>
      <c r="R90" s="49"/>
      <c r="S90" s="37"/>
      <c r="T90" s="37"/>
      <c r="U90" s="37"/>
      <c r="V90" s="37"/>
      <c r="W90" s="96" t="str">
        <f>tbl_Assessment[[#This Row],[Ben Code]] &amp; "-"&amp;tbl_Assessment[[#This Row],[admin4Pcode]]&amp;"-" &amp; TEXT(COUNTIF(INDEX(tbl_Assessment[Ben Code],1):tbl_Assessment[[#This Row],[Ben Code]], tbl_Assessment[[#This Row],[Ben Code]]), "00")</f>
        <v>--00</v>
      </c>
      <c r="X90" s="37"/>
      <c r="Y90" s="37"/>
      <c r="Z90" s="37"/>
      <c r="AA90" s="37"/>
      <c r="AB90" s="37"/>
      <c r="AC90" s="37"/>
      <c r="AD90" s="37"/>
      <c r="AE90" s="37"/>
      <c r="AF90" s="37"/>
      <c r="AG90" s="37"/>
      <c r="AH90" s="37"/>
      <c r="AI90" s="37"/>
      <c r="AJ90" s="37"/>
      <c r="AK90" s="37"/>
      <c r="AL90" s="37"/>
      <c r="AM90" s="37"/>
      <c r="AN90" s="37"/>
      <c r="AO90" s="37"/>
      <c r="AP90" s="37"/>
      <c r="AQ90" s="37"/>
      <c r="AR90" s="37"/>
      <c r="AS90" s="37"/>
      <c r="AT90" s="49"/>
      <c r="AU90" s="41"/>
      <c r="AV90" s="37"/>
      <c r="AW90" s="37"/>
      <c r="AX90" s="37"/>
      <c r="AY90" s="37"/>
      <c r="AZ90" s="37"/>
      <c r="BA90" s="37"/>
      <c r="BB90" s="41"/>
      <c r="BC90" s="37"/>
      <c r="BD90" s="37"/>
      <c r="BE90" s="37"/>
      <c r="BF90" s="41"/>
      <c r="BG90" s="37"/>
      <c r="BH90" s="37"/>
      <c r="BI90" s="37"/>
      <c r="BJ90" s="41"/>
    </row>
    <row r="91" spans="2:62" ht="25.15" customHeight="1" x14ac:dyDescent="0.25">
      <c r="B91" s="49">
        <v>86</v>
      </c>
      <c r="C91" s="37"/>
      <c r="D91" s="87" t="str">
        <f>IF(tbl_Assessment[[#This Row],[Ben Code]]&lt;&gt;"",INDEX(tbl_Ben_Info[],MATCH(tbl_Assessment[[#This Row],[Ben Code]],tbl_Ben_Info[Ben Code],0),48),"")</f>
        <v/>
      </c>
      <c r="E91" s="116" t="str">
        <f>IF(tbl_Assessment[[#This Row],[Ben Code]]&lt;&gt;"",INDEX(tbl_Ben_Info[],MATCH(tbl_Assessment[[#This Row],[Ben Code]],tbl_Ben_Info[Ben Code],0),6),"")</f>
        <v/>
      </c>
      <c r="F91" s="113" t="str">
        <f>IF(tbl_Assessment[[#This Row],[Ben Code]]&lt;&gt;"",INDEX(tbl_Ben_Info[],MATCH(tbl_Assessment[[#This Row],[Ben Code]],tbl_Ben_Info[Ben Code],0),13),"")</f>
        <v/>
      </c>
      <c r="G91" s="49"/>
      <c r="H91" s="37"/>
      <c r="I91" s="37"/>
      <c r="J91" s="37"/>
      <c r="K91" s="37"/>
      <c r="L91" s="37"/>
      <c r="M91" s="59"/>
      <c r="N91" s="37"/>
      <c r="O91" s="37"/>
      <c r="P91" s="37"/>
      <c r="Q91" s="59"/>
      <c r="R91" s="49"/>
      <c r="S91" s="37"/>
      <c r="T91" s="37"/>
      <c r="U91" s="37"/>
      <c r="V91" s="37"/>
      <c r="W91" s="96" t="str">
        <f>tbl_Assessment[[#This Row],[Ben Code]] &amp; "-"&amp;tbl_Assessment[[#This Row],[admin4Pcode]]&amp;"-" &amp; TEXT(COUNTIF(INDEX(tbl_Assessment[Ben Code],1):tbl_Assessment[[#This Row],[Ben Code]], tbl_Assessment[[#This Row],[Ben Code]]), "00")</f>
        <v>--00</v>
      </c>
      <c r="X91" s="37"/>
      <c r="Y91" s="37"/>
      <c r="Z91" s="37"/>
      <c r="AA91" s="37"/>
      <c r="AB91" s="37"/>
      <c r="AC91" s="37"/>
      <c r="AD91" s="37"/>
      <c r="AE91" s="37"/>
      <c r="AF91" s="37"/>
      <c r="AG91" s="37"/>
      <c r="AH91" s="37"/>
      <c r="AI91" s="37"/>
      <c r="AJ91" s="37"/>
      <c r="AK91" s="37"/>
      <c r="AL91" s="37"/>
      <c r="AM91" s="37"/>
      <c r="AN91" s="37"/>
      <c r="AO91" s="37"/>
      <c r="AP91" s="37"/>
      <c r="AQ91" s="37"/>
      <c r="AR91" s="37"/>
      <c r="AS91" s="37"/>
      <c r="AT91" s="49"/>
      <c r="AU91" s="41"/>
      <c r="AV91" s="37"/>
      <c r="AW91" s="37"/>
      <c r="AX91" s="37"/>
      <c r="AY91" s="37"/>
      <c r="AZ91" s="37"/>
      <c r="BA91" s="37"/>
      <c r="BB91" s="41"/>
      <c r="BC91" s="37"/>
      <c r="BD91" s="37"/>
      <c r="BE91" s="37"/>
      <c r="BF91" s="41"/>
      <c r="BG91" s="37"/>
      <c r="BH91" s="37"/>
      <c r="BI91" s="37"/>
      <c r="BJ91" s="41"/>
    </row>
    <row r="92" spans="2:62" ht="25.15" customHeight="1" x14ac:dyDescent="0.25">
      <c r="B92" s="49">
        <v>87</v>
      </c>
      <c r="C92" s="37"/>
      <c r="D92" s="87" t="str">
        <f>IF(tbl_Assessment[[#This Row],[Ben Code]]&lt;&gt;"",INDEX(tbl_Ben_Info[],MATCH(tbl_Assessment[[#This Row],[Ben Code]],tbl_Ben_Info[Ben Code],0),48),"")</f>
        <v/>
      </c>
      <c r="E92" s="116" t="str">
        <f>IF(tbl_Assessment[[#This Row],[Ben Code]]&lt;&gt;"",INDEX(tbl_Ben_Info[],MATCH(tbl_Assessment[[#This Row],[Ben Code]],tbl_Ben_Info[Ben Code],0),6),"")</f>
        <v/>
      </c>
      <c r="F92" s="113" t="str">
        <f>IF(tbl_Assessment[[#This Row],[Ben Code]]&lt;&gt;"",INDEX(tbl_Ben_Info[],MATCH(tbl_Assessment[[#This Row],[Ben Code]],tbl_Ben_Info[Ben Code],0),13),"")</f>
        <v/>
      </c>
      <c r="G92" s="49"/>
      <c r="H92" s="37"/>
      <c r="I92" s="37"/>
      <c r="J92" s="37"/>
      <c r="K92" s="37"/>
      <c r="L92" s="37"/>
      <c r="M92" s="59"/>
      <c r="N92" s="37"/>
      <c r="O92" s="37"/>
      <c r="P92" s="37"/>
      <c r="Q92" s="59"/>
      <c r="R92" s="49"/>
      <c r="S92" s="37"/>
      <c r="T92" s="37"/>
      <c r="U92" s="37"/>
      <c r="V92" s="37"/>
      <c r="W92" s="96" t="str">
        <f>tbl_Assessment[[#This Row],[Ben Code]] &amp; "-"&amp;tbl_Assessment[[#This Row],[admin4Pcode]]&amp;"-" &amp; TEXT(COUNTIF(INDEX(tbl_Assessment[Ben Code],1):tbl_Assessment[[#This Row],[Ben Code]], tbl_Assessment[[#This Row],[Ben Code]]), "00")</f>
        <v>--00</v>
      </c>
      <c r="X92" s="37"/>
      <c r="Y92" s="37"/>
      <c r="Z92" s="37"/>
      <c r="AA92" s="37"/>
      <c r="AB92" s="37"/>
      <c r="AC92" s="37"/>
      <c r="AD92" s="37"/>
      <c r="AE92" s="37"/>
      <c r="AF92" s="37"/>
      <c r="AG92" s="37"/>
      <c r="AH92" s="37"/>
      <c r="AI92" s="37"/>
      <c r="AJ92" s="37"/>
      <c r="AK92" s="37"/>
      <c r="AL92" s="37"/>
      <c r="AM92" s="37"/>
      <c r="AN92" s="37"/>
      <c r="AO92" s="37"/>
      <c r="AP92" s="37"/>
      <c r="AQ92" s="37"/>
      <c r="AR92" s="37"/>
      <c r="AS92" s="37"/>
      <c r="AT92" s="49"/>
      <c r="AU92" s="41"/>
      <c r="AV92" s="37"/>
      <c r="AW92" s="37"/>
      <c r="AX92" s="37"/>
      <c r="AY92" s="37"/>
      <c r="AZ92" s="37"/>
      <c r="BA92" s="37"/>
      <c r="BB92" s="41"/>
      <c r="BC92" s="37"/>
      <c r="BD92" s="37"/>
      <c r="BE92" s="37"/>
      <c r="BF92" s="41"/>
      <c r="BG92" s="37"/>
      <c r="BH92" s="37"/>
      <c r="BI92" s="37"/>
      <c r="BJ92" s="41"/>
    </row>
    <row r="93" spans="2:62" ht="25.15" customHeight="1" x14ac:dyDescent="0.25">
      <c r="B93" s="49">
        <v>88</v>
      </c>
      <c r="C93" s="37"/>
      <c r="D93" s="87" t="str">
        <f>IF(tbl_Assessment[[#This Row],[Ben Code]]&lt;&gt;"",INDEX(tbl_Ben_Info[],MATCH(tbl_Assessment[[#This Row],[Ben Code]],tbl_Ben_Info[Ben Code],0),48),"")</f>
        <v/>
      </c>
      <c r="E93" s="116" t="str">
        <f>IF(tbl_Assessment[[#This Row],[Ben Code]]&lt;&gt;"",INDEX(tbl_Ben_Info[],MATCH(tbl_Assessment[[#This Row],[Ben Code]],tbl_Ben_Info[Ben Code],0),6),"")</f>
        <v/>
      </c>
      <c r="F93" s="113" t="str">
        <f>IF(tbl_Assessment[[#This Row],[Ben Code]]&lt;&gt;"",INDEX(tbl_Ben_Info[],MATCH(tbl_Assessment[[#This Row],[Ben Code]],tbl_Ben_Info[Ben Code],0),13),"")</f>
        <v/>
      </c>
      <c r="G93" s="49"/>
      <c r="H93" s="37"/>
      <c r="I93" s="37"/>
      <c r="J93" s="37"/>
      <c r="K93" s="37"/>
      <c r="L93" s="37"/>
      <c r="M93" s="59"/>
      <c r="N93" s="37"/>
      <c r="O93" s="37"/>
      <c r="P93" s="37"/>
      <c r="Q93" s="59"/>
      <c r="R93" s="49"/>
      <c r="S93" s="37"/>
      <c r="T93" s="37"/>
      <c r="U93" s="37"/>
      <c r="V93" s="37"/>
      <c r="W93" s="96" t="str">
        <f>tbl_Assessment[[#This Row],[Ben Code]] &amp; "-"&amp;tbl_Assessment[[#This Row],[admin4Pcode]]&amp;"-" &amp; TEXT(COUNTIF(INDEX(tbl_Assessment[Ben Code],1):tbl_Assessment[[#This Row],[Ben Code]], tbl_Assessment[[#This Row],[Ben Code]]), "00")</f>
        <v>--00</v>
      </c>
      <c r="X93" s="37"/>
      <c r="Y93" s="37"/>
      <c r="Z93" s="37"/>
      <c r="AA93" s="37"/>
      <c r="AB93" s="37"/>
      <c r="AC93" s="37"/>
      <c r="AD93" s="37"/>
      <c r="AE93" s="37"/>
      <c r="AF93" s="37"/>
      <c r="AG93" s="37"/>
      <c r="AH93" s="37"/>
      <c r="AI93" s="37"/>
      <c r="AJ93" s="37"/>
      <c r="AK93" s="37"/>
      <c r="AL93" s="37"/>
      <c r="AM93" s="37"/>
      <c r="AN93" s="37"/>
      <c r="AO93" s="37"/>
      <c r="AP93" s="37"/>
      <c r="AQ93" s="37"/>
      <c r="AR93" s="37"/>
      <c r="AS93" s="37"/>
      <c r="AT93" s="49"/>
      <c r="AU93" s="41"/>
      <c r="AV93" s="37"/>
      <c r="AW93" s="37"/>
      <c r="AX93" s="37"/>
      <c r="AY93" s="37"/>
      <c r="AZ93" s="37"/>
      <c r="BA93" s="37"/>
      <c r="BB93" s="41"/>
      <c r="BC93" s="37"/>
      <c r="BD93" s="37"/>
      <c r="BE93" s="37"/>
      <c r="BF93" s="41"/>
      <c r="BG93" s="37"/>
      <c r="BH93" s="37"/>
      <c r="BI93" s="37"/>
      <c r="BJ93" s="41"/>
    </row>
    <row r="94" spans="2:62" ht="25.15" customHeight="1" x14ac:dyDescent="0.25">
      <c r="B94" s="49">
        <v>89</v>
      </c>
      <c r="C94" s="37"/>
      <c r="D94" s="87" t="str">
        <f>IF(tbl_Assessment[[#This Row],[Ben Code]]&lt;&gt;"",INDEX(tbl_Ben_Info[],MATCH(tbl_Assessment[[#This Row],[Ben Code]],tbl_Ben_Info[Ben Code],0),48),"")</f>
        <v/>
      </c>
      <c r="E94" s="116" t="str">
        <f>IF(tbl_Assessment[[#This Row],[Ben Code]]&lt;&gt;"",INDEX(tbl_Ben_Info[],MATCH(tbl_Assessment[[#This Row],[Ben Code]],tbl_Ben_Info[Ben Code],0),6),"")</f>
        <v/>
      </c>
      <c r="F94" s="113" t="str">
        <f>IF(tbl_Assessment[[#This Row],[Ben Code]]&lt;&gt;"",INDEX(tbl_Ben_Info[],MATCH(tbl_Assessment[[#This Row],[Ben Code]],tbl_Ben_Info[Ben Code],0),13),"")</f>
        <v/>
      </c>
      <c r="G94" s="49"/>
      <c r="H94" s="37"/>
      <c r="I94" s="37"/>
      <c r="J94" s="37"/>
      <c r="K94" s="37"/>
      <c r="L94" s="37"/>
      <c r="M94" s="59"/>
      <c r="N94" s="37"/>
      <c r="O94" s="37"/>
      <c r="P94" s="37"/>
      <c r="Q94" s="59"/>
      <c r="R94" s="49"/>
      <c r="S94" s="37"/>
      <c r="T94" s="37"/>
      <c r="U94" s="37"/>
      <c r="V94" s="37"/>
      <c r="W94" s="96" t="str">
        <f>tbl_Assessment[[#This Row],[Ben Code]] &amp; "-"&amp;tbl_Assessment[[#This Row],[admin4Pcode]]&amp;"-" &amp; TEXT(COUNTIF(INDEX(tbl_Assessment[Ben Code],1):tbl_Assessment[[#This Row],[Ben Code]], tbl_Assessment[[#This Row],[Ben Code]]), "00")</f>
        <v>--00</v>
      </c>
      <c r="X94" s="37"/>
      <c r="Y94" s="37"/>
      <c r="Z94" s="37"/>
      <c r="AA94" s="37"/>
      <c r="AB94" s="37"/>
      <c r="AC94" s="37"/>
      <c r="AD94" s="37"/>
      <c r="AE94" s="37"/>
      <c r="AF94" s="37"/>
      <c r="AG94" s="37"/>
      <c r="AH94" s="37"/>
      <c r="AI94" s="37"/>
      <c r="AJ94" s="37"/>
      <c r="AK94" s="37"/>
      <c r="AL94" s="37"/>
      <c r="AM94" s="37"/>
      <c r="AN94" s="37"/>
      <c r="AO94" s="37"/>
      <c r="AP94" s="37"/>
      <c r="AQ94" s="37"/>
      <c r="AR94" s="37"/>
      <c r="AS94" s="37"/>
      <c r="AT94" s="49"/>
      <c r="AU94" s="41"/>
      <c r="AV94" s="37"/>
      <c r="AW94" s="37"/>
      <c r="AX94" s="37"/>
      <c r="AY94" s="37"/>
      <c r="AZ94" s="37"/>
      <c r="BA94" s="37"/>
      <c r="BB94" s="41"/>
      <c r="BC94" s="37"/>
      <c r="BD94" s="37"/>
      <c r="BE94" s="37"/>
      <c r="BF94" s="41"/>
      <c r="BG94" s="37"/>
      <c r="BH94" s="37"/>
      <c r="BI94" s="37"/>
      <c r="BJ94" s="41"/>
    </row>
    <row r="95" spans="2:62" ht="25.15" customHeight="1" x14ac:dyDescent="0.25">
      <c r="B95" s="49">
        <v>90</v>
      </c>
      <c r="C95" s="37"/>
      <c r="D95" s="87" t="str">
        <f>IF(tbl_Assessment[[#This Row],[Ben Code]]&lt;&gt;"",INDEX(tbl_Ben_Info[],MATCH(tbl_Assessment[[#This Row],[Ben Code]],tbl_Ben_Info[Ben Code],0),48),"")</f>
        <v/>
      </c>
      <c r="E95" s="116" t="str">
        <f>IF(tbl_Assessment[[#This Row],[Ben Code]]&lt;&gt;"",INDEX(tbl_Ben_Info[],MATCH(tbl_Assessment[[#This Row],[Ben Code]],tbl_Ben_Info[Ben Code],0),6),"")</f>
        <v/>
      </c>
      <c r="F95" s="113" t="str">
        <f>IF(tbl_Assessment[[#This Row],[Ben Code]]&lt;&gt;"",INDEX(tbl_Ben_Info[],MATCH(tbl_Assessment[[#This Row],[Ben Code]],tbl_Ben_Info[Ben Code],0),13),"")</f>
        <v/>
      </c>
      <c r="G95" s="49"/>
      <c r="H95" s="37"/>
      <c r="I95" s="37"/>
      <c r="J95" s="37"/>
      <c r="K95" s="37"/>
      <c r="L95" s="37"/>
      <c r="M95" s="59"/>
      <c r="N95" s="37"/>
      <c r="O95" s="37"/>
      <c r="P95" s="37"/>
      <c r="Q95" s="59"/>
      <c r="R95" s="49"/>
      <c r="S95" s="37"/>
      <c r="T95" s="37"/>
      <c r="U95" s="37"/>
      <c r="V95" s="37"/>
      <c r="W95" s="96" t="str">
        <f>tbl_Assessment[[#This Row],[Ben Code]] &amp; "-"&amp;tbl_Assessment[[#This Row],[admin4Pcode]]&amp;"-" &amp; TEXT(COUNTIF(INDEX(tbl_Assessment[Ben Code],1):tbl_Assessment[[#This Row],[Ben Code]], tbl_Assessment[[#This Row],[Ben Code]]), "00")</f>
        <v>--00</v>
      </c>
      <c r="X95" s="37"/>
      <c r="Y95" s="37"/>
      <c r="Z95" s="37"/>
      <c r="AA95" s="37"/>
      <c r="AB95" s="37"/>
      <c r="AC95" s="37"/>
      <c r="AD95" s="37"/>
      <c r="AE95" s="37"/>
      <c r="AF95" s="37"/>
      <c r="AG95" s="37"/>
      <c r="AH95" s="37"/>
      <c r="AI95" s="37"/>
      <c r="AJ95" s="37"/>
      <c r="AK95" s="37"/>
      <c r="AL95" s="37"/>
      <c r="AM95" s="37"/>
      <c r="AN95" s="37"/>
      <c r="AO95" s="37"/>
      <c r="AP95" s="37"/>
      <c r="AQ95" s="37"/>
      <c r="AR95" s="37"/>
      <c r="AS95" s="37"/>
      <c r="AT95" s="49"/>
      <c r="AU95" s="41"/>
      <c r="AV95" s="37"/>
      <c r="AW95" s="37"/>
      <c r="AX95" s="37"/>
      <c r="AY95" s="37"/>
      <c r="AZ95" s="37"/>
      <c r="BA95" s="37"/>
      <c r="BB95" s="41"/>
      <c r="BC95" s="37"/>
      <c r="BD95" s="37"/>
      <c r="BE95" s="37"/>
      <c r="BF95" s="41"/>
      <c r="BG95" s="37"/>
      <c r="BH95" s="37"/>
      <c r="BI95" s="37"/>
      <c r="BJ95" s="41"/>
    </row>
    <row r="96" spans="2:62" ht="25.15" customHeight="1" x14ac:dyDescent="0.25">
      <c r="B96" s="49">
        <v>91</v>
      </c>
      <c r="C96" s="37"/>
      <c r="D96" s="87" t="str">
        <f>IF(tbl_Assessment[[#This Row],[Ben Code]]&lt;&gt;"",INDEX(tbl_Ben_Info[],MATCH(tbl_Assessment[[#This Row],[Ben Code]],tbl_Ben_Info[Ben Code],0),48),"")</f>
        <v/>
      </c>
      <c r="E96" s="116" t="str">
        <f>IF(tbl_Assessment[[#This Row],[Ben Code]]&lt;&gt;"",INDEX(tbl_Ben_Info[],MATCH(tbl_Assessment[[#This Row],[Ben Code]],tbl_Ben_Info[Ben Code],0),6),"")</f>
        <v/>
      </c>
      <c r="F96" s="113" t="str">
        <f>IF(tbl_Assessment[[#This Row],[Ben Code]]&lt;&gt;"",INDEX(tbl_Ben_Info[],MATCH(tbl_Assessment[[#This Row],[Ben Code]],tbl_Ben_Info[Ben Code],0),13),"")</f>
        <v/>
      </c>
      <c r="G96" s="49"/>
      <c r="H96" s="37"/>
      <c r="I96" s="37"/>
      <c r="J96" s="37"/>
      <c r="K96" s="37"/>
      <c r="L96" s="37"/>
      <c r="M96" s="59"/>
      <c r="N96" s="37"/>
      <c r="O96" s="37"/>
      <c r="P96" s="37"/>
      <c r="Q96" s="59"/>
      <c r="R96" s="49"/>
      <c r="S96" s="37"/>
      <c r="T96" s="37"/>
      <c r="U96" s="37"/>
      <c r="V96" s="37"/>
      <c r="W96" s="96" t="str">
        <f>tbl_Assessment[[#This Row],[Ben Code]] &amp; "-"&amp;tbl_Assessment[[#This Row],[admin4Pcode]]&amp;"-" &amp; TEXT(COUNTIF(INDEX(tbl_Assessment[Ben Code],1):tbl_Assessment[[#This Row],[Ben Code]], tbl_Assessment[[#This Row],[Ben Code]]), "00")</f>
        <v>--00</v>
      </c>
      <c r="X96" s="37"/>
      <c r="Y96" s="37"/>
      <c r="Z96" s="37"/>
      <c r="AA96" s="37"/>
      <c r="AB96" s="37"/>
      <c r="AC96" s="37"/>
      <c r="AD96" s="37"/>
      <c r="AE96" s="37"/>
      <c r="AF96" s="37"/>
      <c r="AG96" s="37"/>
      <c r="AH96" s="37"/>
      <c r="AI96" s="37"/>
      <c r="AJ96" s="37"/>
      <c r="AK96" s="37"/>
      <c r="AL96" s="37"/>
      <c r="AM96" s="37"/>
      <c r="AN96" s="37"/>
      <c r="AO96" s="37"/>
      <c r="AP96" s="37"/>
      <c r="AQ96" s="37"/>
      <c r="AR96" s="37"/>
      <c r="AS96" s="37"/>
      <c r="AT96" s="49"/>
      <c r="AU96" s="41"/>
      <c r="AV96" s="37"/>
      <c r="AW96" s="37"/>
      <c r="AX96" s="37"/>
      <c r="AY96" s="37"/>
      <c r="AZ96" s="37"/>
      <c r="BA96" s="37"/>
      <c r="BB96" s="41"/>
      <c r="BC96" s="37"/>
      <c r="BD96" s="37"/>
      <c r="BE96" s="37"/>
      <c r="BF96" s="41"/>
      <c r="BG96" s="37"/>
      <c r="BH96" s="37"/>
      <c r="BI96" s="37"/>
      <c r="BJ96" s="41"/>
    </row>
    <row r="97" spans="2:62" ht="25.15" customHeight="1" x14ac:dyDescent="0.25">
      <c r="B97" s="49">
        <v>92</v>
      </c>
      <c r="C97" s="37"/>
      <c r="D97" s="87" t="str">
        <f>IF(tbl_Assessment[[#This Row],[Ben Code]]&lt;&gt;"",INDEX(tbl_Ben_Info[],MATCH(tbl_Assessment[[#This Row],[Ben Code]],tbl_Ben_Info[Ben Code],0),48),"")</f>
        <v/>
      </c>
      <c r="E97" s="116" t="str">
        <f>IF(tbl_Assessment[[#This Row],[Ben Code]]&lt;&gt;"",INDEX(tbl_Ben_Info[],MATCH(tbl_Assessment[[#This Row],[Ben Code]],tbl_Ben_Info[Ben Code],0),6),"")</f>
        <v/>
      </c>
      <c r="F97" s="113" t="str">
        <f>IF(tbl_Assessment[[#This Row],[Ben Code]]&lt;&gt;"",INDEX(tbl_Ben_Info[],MATCH(tbl_Assessment[[#This Row],[Ben Code]],tbl_Ben_Info[Ben Code],0),13),"")</f>
        <v/>
      </c>
      <c r="G97" s="49"/>
      <c r="H97" s="37"/>
      <c r="I97" s="37"/>
      <c r="J97" s="37"/>
      <c r="K97" s="37"/>
      <c r="L97" s="37"/>
      <c r="M97" s="59"/>
      <c r="N97" s="37"/>
      <c r="O97" s="37"/>
      <c r="P97" s="37"/>
      <c r="Q97" s="59"/>
      <c r="R97" s="49"/>
      <c r="S97" s="37"/>
      <c r="T97" s="37"/>
      <c r="U97" s="37"/>
      <c r="V97" s="37"/>
      <c r="W97" s="96" t="str">
        <f>tbl_Assessment[[#This Row],[Ben Code]] &amp; "-"&amp;tbl_Assessment[[#This Row],[admin4Pcode]]&amp;"-" &amp; TEXT(COUNTIF(INDEX(tbl_Assessment[Ben Code],1):tbl_Assessment[[#This Row],[Ben Code]], tbl_Assessment[[#This Row],[Ben Code]]), "00")</f>
        <v>--00</v>
      </c>
      <c r="X97" s="37"/>
      <c r="Y97" s="37"/>
      <c r="Z97" s="37"/>
      <c r="AA97" s="37"/>
      <c r="AB97" s="37"/>
      <c r="AC97" s="37"/>
      <c r="AD97" s="37"/>
      <c r="AE97" s="37"/>
      <c r="AF97" s="37"/>
      <c r="AG97" s="37"/>
      <c r="AH97" s="37"/>
      <c r="AI97" s="37"/>
      <c r="AJ97" s="37"/>
      <c r="AK97" s="37"/>
      <c r="AL97" s="37"/>
      <c r="AM97" s="37"/>
      <c r="AN97" s="37"/>
      <c r="AO97" s="37"/>
      <c r="AP97" s="37"/>
      <c r="AQ97" s="37"/>
      <c r="AR97" s="37"/>
      <c r="AS97" s="37"/>
      <c r="AT97" s="49"/>
      <c r="AU97" s="41"/>
      <c r="AV97" s="37"/>
      <c r="AW97" s="37"/>
      <c r="AX97" s="37"/>
      <c r="AY97" s="37"/>
      <c r="AZ97" s="37"/>
      <c r="BA97" s="37"/>
      <c r="BB97" s="41"/>
      <c r="BC97" s="37"/>
      <c r="BD97" s="37"/>
      <c r="BE97" s="37"/>
      <c r="BF97" s="41"/>
      <c r="BG97" s="37"/>
      <c r="BH97" s="37"/>
      <c r="BI97" s="37"/>
      <c r="BJ97" s="41"/>
    </row>
    <row r="98" spans="2:62" ht="25.15" customHeight="1" x14ac:dyDescent="0.25">
      <c r="B98" s="49">
        <v>93</v>
      </c>
      <c r="C98" s="37"/>
      <c r="D98" s="87" t="str">
        <f>IF(tbl_Assessment[[#This Row],[Ben Code]]&lt;&gt;"",INDEX(tbl_Ben_Info[],MATCH(tbl_Assessment[[#This Row],[Ben Code]],tbl_Ben_Info[Ben Code],0),48),"")</f>
        <v/>
      </c>
      <c r="E98" s="116" t="str">
        <f>IF(tbl_Assessment[[#This Row],[Ben Code]]&lt;&gt;"",INDEX(tbl_Ben_Info[],MATCH(tbl_Assessment[[#This Row],[Ben Code]],tbl_Ben_Info[Ben Code],0),6),"")</f>
        <v/>
      </c>
      <c r="F98" s="113" t="str">
        <f>IF(tbl_Assessment[[#This Row],[Ben Code]]&lt;&gt;"",INDEX(tbl_Ben_Info[],MATCH(tbl_Assessment[[#This Row],[Ben Code]],tbl_Ben_Info[Ben Code],0),13),"")</f>
        <v/>
      </c>
      <c r="G98" s="49"/>
      <c r="H98" s="37"/>
      <c r="I98" s="37"/>
      <c r="J98" s="37"/>
      <c r="K98" s="37"/>
      <c r="L98" s="37"/>
      <c r="M98" s="59"/>
      <c r="N98" s="37"/>
      <c r="O98" s="37"/>
      <c r="P98" s="37"/>
      <c r="Q98" s="59"/>
      <c r="R98" s="49"/>
      <c r="S98" s="37"/>
      <c r="T98" s="37"/>
      <c r="U98" s="37"/>
      <c r="V98" s="37"/>
      <c r="W98" s="96" t="str">
        <f>tbl_Assessment[[#This Row],[Ben Code]] &amp; "-"&amp;tbl_Assessment[[#This Row],[admin4Pcode]]&amp;"-" &amp; TEXT(COUNTIF(INDEX(tbl_Assessment[Ben Code],1):tbl_Assessment[[#This Row],[Ben Code]], tbl_Assessment[[#This Row],[Ben Code]]), "00")</f>
        <v>--00</v>
      </c>
      <c r="X98" s="37"/>
      <c r="Y98" s="37"/>
      <c r="Z98" s="37"/>
      <c r="AA98" s="37"/>
      <c r="AB98" s="37"/>
      <c r="AC98" s="37"/>
      <c r="AD98" s="37"/>
      <c r="AE98" s="37"/>
      <c r="AF98" s="37"/>
      <c r="AG98" s="37"/>
      <c r="AH98" s="37"/>
      <c r="AI98" s="37"/>
      <c r="AJ98" s="37"/>
      <c r="AK98" s="37"/>
      <c r="AL98" s="37"/>
      <c r="AM98" s="37"/>
      <c r="AN98" s="37"/>
      <c r="AO98" s="37"/>
      <c r="AP98" s="37"/>
      <c r="AQ98" s="37"/>
      <c r="AR98" s="37"/>
      <c r="AS98" s="37"/>
      <c r="AT98" s="49"/>
      <c r="AU98" s="41"/>
      <c r="AV98" s="37"/>
      <c r="AW98" s="37"/>
      <c r="AX98" s="37"/>
      <c r="AY98" s="37"/>
      <c r="AZ98" s="37"/>
      <c r="BA98" s="37"/>
      <c r="BB98" s="41"/>
      <c r="BC98" s="37"/>
      <c r="BD98" s="37"/>
      <c r="BE98" s="37"/>
      <c r="BF98" s="41"/>
      <c r="BG98" s="37"/>
      <c r="BH98" s="37"/>
      <c r="BI98" s="37"/>
      <c r="BJ98" s="41"/>
    </row>
    <row r="99" spans="2:62" ht="25.15" customHeight="1" x14ac:dyDescent="0.25">
      <c r="B99" s="49">
        <v>94</v>
      </c>
      <c r="C99" s="37"/>
      <c r="D99" s="87" t="str">
        <f>IF(tbl_Assessment[[#This Row],[Ben Code]]&lt;&gt;"",INDEX(tbl_Ben_Info[],MATCH(tbl_Assessment[[#This Row],[Ben Code]],tbl_Ben_Info[Ben Code],0),48),"")</f>
        <v/>
      </c>
      <c r="E99" s="116" t="str">
        <f>IF(tbl_Assessment[[#This Row],[Ben Code]]&lt;&gt;"",INDEX(tbl_Ben_Info[],MATCH(tbl_Assessment[[#This Row],[Ben Code]],tbl_Ben_Info[Ben Code],0),6),"")</f>
        <v/>
      </c>
      <c r="F99" s="113" t="str">
        <f>IF(tbl_Assessment[[#This Row],[Ben Code]]&lt;&gt;"",INDEX(tbl_Ben_Info[],MATCH(tbl_Assessment[[#This Row],[Ben Code]],tbl_Ben_Info[Ben Code],0),13),"")</f>
        <v/>
      </c>
      <c r="G99" s="49"/>
      <c r="H99" s="37"/>
      <c r="I99" s="37"/>
      <c r="J99" s="37"/>
      <c r="K99" s="37"/>
      <c r="L99" s="37"/>
      <c r="M99" s="59"/>
      <c r="N99" s="37"/>
      <c r="O99" s="37"/>
      <c r="P99" s="37"/>
      <c r="Q99" s="59"/>
      <c r="R99" s="49"/>
      <c r="S99" s="37"/>
      <c r="T99" s="37"/>
      <c r="U99" s="37"/>
      <c r="V99" s="37"/>
      <c r="W99" s="96" t="str">
        <f>tbl_Assessment[[#This Row],[Ben Code]] &amp; "-"&amp;tbl_Assessment[[#This Row],[admin4Pcode]]&amp;"-" &amp; TEXT(COUNTIF(INDEX(tbl_Assessment[Ben Code],1):tbl_Assessment[[#This Row],[Ben Code]], tbl_Assessment[[#This Row],[Ben Code]]), "00")</f>
        <v>--00</v>
      </c>
      <c r="X99" s="37"/>
      <c r="Y99" s="37"/>
      <c r="Z99" s="37"/>
      <c r="AA99" s="37"/>
      <c r="AB99" s="37"/>
      <c r="AC99" s="37"/>
      <c r="AD99" s="37"/>
      <c r="AE99" s="37"/>
      <c r="AF99" s="37"/>
      <c r="AG99" s="37"/>
      <c r="AH99" s="37"/>
      <c r="AI99" s="37"/>
      <c r="AJ99" s="37"/>
      <c r="AK99" s="37"/>
      <c r="AL99" s="37"/>
      <c r="AM99" s="37"/>
      <c r="AN99" s="37"/>
      <c r="AO99" s="37"/>
      <c r="AP99" s="37"/>
      <c r="AQ99" s="37"/>
      <c r="AR99" s="37"/>
      <c r="AS99" s="37"/>
      <c r="AT99" s="49"/>
      <c r="AU99" s="41"/>
      <c r="AV99" s="37"/>
      <c r="AW99" s="37"/>
      <c r="AX99" s="37"/>
      <c r="AY99" s="37"/>
      <c r="AZ99" s="37"/>
      <c r="BA99" s="37"/>
      <c r="BB99" s="41"/>
      <c r="BC99" s="37"/>
      <c r="BD99" s="37"/>
      <c r="BE99" s="37"/>
      <c r="BF99" s="41"/>
      <c r="BG99" s="37"/>
      <c r="BH99" s="37"/>
      <c r="BI99" s="37"/>
      <c r="BJ99" s="41"/>
    </row>
    <row r="100" spans="2:62" ht="25.15" customHeight="1" x14ac:dyDescent="0.25">
      <c r="B100" s="49">
        <v>95</v>
      </c>
      <c r="C100" s="37"/>
      <c r="D100" s="87" t="str">
        <f>IF(tbl_Assessment[[#This Row],[Ben Code]]&lt;&gt;"",INDEX(tbl_Ben_Info[],MATCH(tbl_Assessment[[#This Row],[Ben Code]],tbl_Ben_Info[Ben Code],0),48),"")</f>
        <v/>
      </c>
      <c r="E100" s="116" t="str">
        <f>IF(tbl_Assessment[[#This Row],[Ben Code]]&lt;&gt;"",INDEX(tbl_Ben_Info[],MATCH(tbl_Assessment[[#This Row],[Ben Code]],tbl_Ben_Info[Ben Code],0),6),"")</f>
        <v/>
      </c>
      <c r="F100" s="113" t="str">
        <f>IF(tbl_Assessment[[#This Row],[Ben Code]]&lt;&gt;"",INDEX(tbl_Ben_Info[],MATCH(tbl_Assessment[[#This Row],[Ben Code]],tbl_Ben_Info[Ben Code],0),13),"")</f>
        <v/>
      </c>
      <c r="G100" s="49"/>
      <c r="H100" s="37"/>
      <c r="I100" s="37"/>
      <c r="J100" s="37"/>
      <c r="K100" s="37"/>
      <c r="L100" s="37"/>
      <c r="M100" s="59"/>
      <c r="N100" s="37"/>
      <c r="O100" s="37"/>
      <c r="P100" s="37"/>
      <c r="Q100" s="59"/>
      <c r="R100" s="49"/>
      <c r="S100" s="37"/>
      <c r="T100" s="37"/>
      <c r="U100" s="37"/>
      <c r="V100" s="37"/>
      <c r="W100" s="96" t="str">
        <f>tbl_Assessment[[#This Row],[Ben Code]] &amp; "-"&amp;tbl_Assessment[[#This Row],[admin4Pcode]]&amp;"-" &amp; TEXT(COUNTIF(INDEX(tbl_Assessment[Ben Code],1):tbl_Assessment[[#This Row],[Ben Code]], tbl_Assessment[[#This Row],[Ben Code]]), "00")</f>
        <v>--00</v>
      </c>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49"/>
      <c r="AU100" s="41"/>
      <c r="AV100" s="37"/>
      <c r="AW100" s="37"/>
      <c r="AX100" s="37"/>
      <c r="AY100" s="37"/>
      <c r="AZ100" s="37"/>
      <c r="BA100" s="37"/>
      <c r="BB100" s="41"/>
      <c r="BC100" s="37"/>
      <c r="BD100" s="37"/>
      <c r="BE100" s="37"/>
      <c r="BF100" s="41"/>
      <c r="BG100" s="37"/>
      <c r="BH100" s="37"/>
      <c r="BI100" s="37"/>
      <c r="BJ100" s="41"/>
    </row>
    <row r="101" spans="2:62" ht="25.15" customHeight="1" x14ac:dyDescent="0.25">
      <c r="B101" s="49">
        <v>96</v>
      </c>
      <c r="C101" s="37"/>
      <c r="D101" s="87" t="str">
        <f>IF(tbl_Assessment[[#This Row],[Ben Code]]&lt;&gt;"",INDEX(tbl_Ben_Info[],MATCH(tbl_Assessment[[#This Row],[Ben Code]],tbl_Ben_Info[Ben Code],0),48),"")</f>
        <v/>
      </c>
      <c r="E101" s="116" t="str">
        <f>IF(tbl_Assessment[[#This Row],[Ben Code]]&lt;&gt;"",INDEX(tbl_Ben_Info[],MATCH(tbl_Assessment[[#This Row],[Ben Code]],tbl_Ben_Info[Ben Code],0),6),"")</f>
        <v/>
      </c>
      <c r="F101" s="113" t="str">
        <f>IF(tbl_Assessment[[#This Row],[Ben Code]]&lt;&gt;"",INDEX(tbl_Ben_Info[],MATCH(tbl_Assessment[[#This Row],[Ben Code]],tbl_Ben_Info[Ben Code],0),13),"")</f>
        <v/>
      </c>
      <c r="G101" s="49"/>
      <c r="H101" s="37"/>
      <c r="I101" s="37"/>
      <c r="J101" s="37"/>
      <c r="K101" s="37"/>
      <c r="L101" s="37"/>
      <c r="M101" s="59"/>
      <c r="N101" s="37"/>
      <c r="O101" s="37"/>
      <c r="P101" s="37"/>
      <c r="Q101" s="59"/>
      <c r="R101" s="49"/>
      <c r="S101" s="37"/>
      <c r="T101" s="37"/>
      <c r="U101" s="37"/>
      <c r="V101" s="37"/>
      <c r="W101" s="96" t="str">
        <f>tbl_Assessment[[#This Row],[Ben Code]] &amp; "-"&amp;tbl_Assessment[[#This Row],[admin4Pcode]]&amp;"-" &amp; TEXT(COUNTIF(INDEX(tbl_Assessment[Ben Code],1):tbl_Assessment[[#This Row],[Ben Code]], tbl_Assessment[[#This Row],[Ben Code]]), "00")</f>
        <v>--00</v>
      </c>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49"/>
      <c r="AU101" s="41"/>
      <c r="AV101" s="37"/>
      <c r="AW101" s="37"/>
      <c r="AX101" s="37"/>
      <c r="AY101" s="37"/>
      <c r="AZ101" s="37"/>
      <c r="BA101" s="37"/>
      <c r="BB101" s="41"/>
      <c r="BC101" s="37"/>
      <c r="BD101" s="37"/>
      <c r="BE101" s="37"/>
      <c r="BF101" s="41"/>
      <c r="BG101" s="37"/>
      <c r="BH101" s="37"/>
      <c r="BI101" s="37"/>
      <c r="BJ101" s="41"/>
    </row>
    <row r="102" spans="2:62" ht="25.15" customHeight="1" x14ac:dyDescent="0.25">
      <c r="B102" s="49">
        <v>97</v>
      </c>
      <c r="C102" s="37"/>
      <c r="D102" s="87" t="str">
        <f>IF(tbl_Assessment[[#This Row],[Ben Code]]&lt;&gt;"",INDEX(tbl_Ben_Info[],MATCH(tbl_Assessment[[#This Row],[Ben Code]],tbl_Ben_Info[Ben Code],0),48),"")</f>
        <v/>
      </c>
      <c r="E102" s="116" t="str">
        <f>IF(tbl_Assessment[[#This Row],[Ben Code]]&lt;&gt;"",INDEX(tbl_Ben_Info[],MATCH(tbl_Assessment[[#This Row],[Ben Code]],tbl_Ben_Info[Ben Code],0),6),"")</f>
        <v/>
      </c>
      <c r="F102" s="113" t="str">
        <f>IF(tbl_Assessment[[#This Row],[Ben Code]]&lt;&gt;"",INDEX(tbl_Ben_Info[],MATCH(tbl_Assessment[[#This Row],[Ben Code]],tbl_Ben_Info[Ben Code],0),13),"")</f>
        <v/>
      </c>
      <c r="G102" s="49"/>
      <c r="H102" s="37"/>
      <c r="I102" s="37"/>
      <c r="J102" s="37"/>
      <c r="K102" s="37"/>
      <c r="L102" s="37"/>
      <c r="M102" s="59"/>
      <c r="N102" s="37"/>
      <c r="O102" s="37"/>
      <c r="P102" s="37"/>
      <c r="Q102" s="59"/>
      <c r="R102" s="49"/>
      <c r="S102" s="37"/>
      <c r="T102" s="37"/>
      <c r="U102" s="37"/>
      <c r="V102" s="37"/>
      <c r="W102" s="96" t="str">
        <f>tbl_Assessment[[#This Row],[Ben Code]] &amp; "-"&amp;tbl_Assessment[[#This Row],[admin4Pcode]]&amp;"-" &amp; TEXT(COUNTIF(INDEX(tbl_Assessment[Ben Code],1):tbl_Assessment[[#This Row],[Ben Code]], tbl_Assessment[[#This Row],[Ben Code]]), "00")</f>
        <v>--00</v>
      </c>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49"/>
      <c r="AU102" s="41"/>
      <c r="AV102" s="37"/>
      <c r="AW102" s="37"/>
      <c r="AX102" s="37"/>
      <c r="AY102" s="37"/>
      <c r="AZ102" s="37"/>
      <c r="BA102" s="37"/>
      <c r="BB102" s="41"/>
      <c r="BC102" s="37"/>
      <c r="BD102" s="37"/>
      <c r="BE102" s="37"/>
      <c r="BF102" s="41"/>
      <c r="BG102" s="37"/>
      <c r="BH102" s="37"/>
      <c r="BI102" s="37"/>
      <c r="BJ102" s="41"/>
    </row>
    <row r="103" spans="2:62" ht="25.15" customHeight="1" x14ac:dyDescent="0.25">
      <c r="B103" s="49">
        <v>98</v>
      </c>
      <c r="C103" s="37"/>
      <c r="D103" s="87" t="str">
        <f>IF(tbl_Assessment[[#This Row],[Ben Code]]&lt;&gt;"",INDEX(tbl_Ben_Info[],MATCH(tbl_Assessment[[#This Row],[Ben Code]],tbl_Ben_Info[Ben Code],0),48),"")</f>
        <v/>
      </c>
      <c r="E103" s="116" t="str">
        <f>IF(tbl_Assessment[[#This Row],[Ben Code]]&lt;&gt;"",INDEX(tbl_Ben_Info[],MATCH(tbl_Assessment[[#This Row],[Ben Code]],tbl_Ben_Info[Ben Code],0),6),"")</f>
        <v/>
      </c>
      <c r="F103" s="113" t="str">
        <f>IF(tbl_Assessment[[#This Row],[Ben Code]]&lt;&gt;"",INDEX(tbl_Ben_Info[],MATCH(tbl_Assessment[[#This Row],[Ben Code]],tbl_Ben_Info[Ben Code],0),13),"")</f>
        <v/>
      </c>
      <c r="G103" s="49"/>
      <c r="H103" s="37"/>
      <c r="I103" s="37"/>
      <c r="J103" s="37"/>
      <c r="K103" s="37"/>
      <c r="L103" s="37"/>
      <c r="M103" s="59"/>
      <c r="N103" s="37"/>
      <c r="O103" s="37"/>
      <c r="P103" s="37"/>
      <c r="Q103" s="59"/>
      <c r="R103" s="49"/>
      <c r="S103" s="37"/>
      <c r="T103" s="37"/>
      <c r="U103" s="37"/>
      <c r="V103" s="37"/>
      <c r="W103" s="96" t="str">
        <f>tbl_Assessment[[#This Row],[Ben Code]] &amp; "-"&amp;tbl_Assessment[[#This Row],[admin4Pcode]]&amp;"-" &amp; TEXT(COUNTIF(INDEX(tbl_Assessment[Ben Code],1):tbl_Assessment[[#This Row],[Ben Code]], tbl_Assessment[[#This Row],[Ben Code]]), "00")</f>
        <v>--00</v>
      </c>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49"/>
      <c r="AU103" s="41"/>
      <c r="AV103" s="37"/>
      <c r="AW103" s="37"/>
      <c r="AX103" s="37"/>
      <c r="AY103" s="37"/>
      <c r="AZ103" s="37"/>
      <c r="BA103" s="37"/>
      <c r="BB103" s="41"/>
      <c r="BC103" s="37"/>
      <c r="BD103" s="37"/>
      <c r="BE103" s="37"/>
      <c r="BF103" s="41"/>
      <c r="BG103" s="37"/>
      <c r="BH103" s="37"/>
      <c r="BI103" s="37"/>
      <c r="BJ103" s="41"/>
    </row>
    <row r="104" spans="2:62" ht="25.15" customHeight="1" x14ac:dyDescent="0.25">
      <c r="B104" s="49">
        <v>99</v>
      </c>
      <c r="C104" s="37"/>
      <c r="D104" s="87" t="str">
        <f>IF(tbl_Assessment[[#This Row],[Ben Code]]&lt;&gt;"",INDEX(tbl_Ben_Info[],MATCH(tbl_Assessment[[#This Row],[Ben Code]],tbl_Ben_Info[Ben Code],0),48),"")</f>
        <v/>
      </c>
      <c r="E104" s="116" t="str">
        <f>IF(tbl_Assessment[[#This Row],[Ben Code]]&lt;&gt;"",INDEX(tbl_Ben_Info[],MATCH(tbl_Assessment[[#This Row],[Ben Code]],tbl_Ben_Info[Ben Code],0),6),"")</f>
        <v/>
      </c>
      <c r="F104" s="113" t="str">
        <f>IF(tbl_Assessment[[#This Row],[Ben Code]]&lt;&gt;"",INDEX(tbl_Ben_Info[],MATCH(tbl_Assessment[[#This Row],[Ben Code]],tbl_Ben_Info[Ben Code],0),13),"")</f>
        <v/>
      </c>
      <c r="G104" s="49"/>
      <c r="H104" s="37"/>
      <c r="I104" s="37"/>
      <c r="J104" s="37"/>
      <c r="K104" s="37"/>
      <c r="L104" s="37"/>
      <c r="M104" s="59"/>
      <c r="N104" s="37"/>
      <c r="O104" s="37"/>
      <c r="P104" s="37"/>
      <c r="Q104" s="59"/>
      <c r="R104" s="49"/>
      <c r="S104" s="37"/>
      <c r="T104" s="37"/>
      <c r="U104" s="37"/>
      <c r="V104" s="37"/>
      <c r="W104" s="96" t="str">
        <f>tbl_Assessment[[#This Row],[Ben Code]] &amp; "-"&amp;tbl_Assessment[[#This Row],[admin4Pcode]]&amp;"-" &amp; TEXT(COUNTIF(INDEX(tbl_Assessment[Ben Code],1):tbl_Assessment[[#This Row],[Ben Code]], tbl_Assessment[[#This Row],[Ben Code]]), "00")</f>
        <v>--00</v>
      </c>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49"/>
      <c r="AU104" s="41"/>
      <c r="AV104" s="37"/>
      <c r="AW104" s="37"/>
      <c r="AX104" s="37"/>
      <c r="AY104" s="37"/>
      <c r="AZ104" s="37"/>
      <c r="BA104" s="37"/>
      <c r="BB104" s="41"/>
      <c r="BC104" s="37"/>
      <c r="BD104" s="37"/>
      <c r="BE104" s="37"/>
      <c r="BF104" s="41"/>
      <c r="BG104" s="37"/>
      <c r="BH104" s="37"/>
      <c r="BI104" s="37"/>
      <c r="BJ104" s="41"/>
    </row>
    <row r="105" spans="2:62" ht="25.15" customHeight="1" x14ac:dyDescent="0.25">
      <c r="B105" s="49">
        <v>100</v>
      </c>
      <c r="C105" s="37"/>
      <c r="D105" s="87" t="str">
        <f>IF(tbl_Assessment[[#This Row],[Ben Code]]&lt;&gt;"",INDEX(tbl_Ben_Info[],MATCH(tbl_Assessment[[#This Row],[Ben Code]],tbl_Ben_Info[Ben Code],0),48),"")</f>
        <v/>
      </c>
      <c r="E105" s="116" t="str">
        <f>IF(tbl_Assessment[[#This Row],[Ben Code]]&lt;&gt;"",INDEX(tbl_Ben_Info[],MATCH(tbl_Assessment[[#This Row],[Ben Code]],tbl_Ben_Info[Ben Code],0),6),"")</f>
        <v/>
      </c>
      <c r="F105" s="113" t="str">
        <f>IF(tbl_Assessment[[#This Row],[Ben Code]]&lt;&gt;"",INDEX(tbl_Ben_Info[],MATCH(tbl_Assessment[[#This Row],[Ben Code]],tbl_Ben_Info[Ben Code],0),13),"")</f>
        <v/>
      </c>
      <c r="G105" s="49"/>
      <c r="H105" s="37"/>
      <c r="I105" s="37"/>
      <c r="J105" s="37"/>
      <c r="K105" s="37"/>
      <c r="L105" s="37"/>
      <c r="M105" s="59"/>
      <c r="N105" s="37"/>
      <c r="O105" s="37"/>
      <c r="P105" s="37"/>
      <c r="Q105" s="59"/>
      <c r="R105" s="49"/>
      <c r="S105" s="37"/>
      <c r="T105" s="37"/>
      <c r="U105" s="37"/>
      <c r="V105" s="37"/>
      <c r="W105" s="96" t="str">
        <f>tbl_Assessment[[#This Row],[Ben Code]] &amp; "-"&amp;tbl_Assessment[[#This Row],[admin4Pcode]]&amp;"-" &amp; TEXT(COUNTIF(INDEX(tbl_Assessment[Ben Code],1):tbl_Assessment[[#This Row],[Ben Code]], tbl_Assessment[[#This Row],[Ben Code]]), "00")</f>
        <v>--00</v>
      </c>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49"/>
      <c r="AU105" s="41"/>
      <c r="AV105" s="37"/>
      <c r="AW105" s="37"/>
      <c r="AX105" s="37"/>
      <c r="AY105" s="37"/>
      <c r="AZ105" s="37"/>
      <c r="BA105" s="37"/>
      <c r="BB105" s="41"/>
      <c r="BC105" s="37"/>
      <c r="BD105" s="37"/>
      <c r="BE105" s="37"/>
      <c r="BF105" s="41"/>
      <c r="BG105" s="37"/>
      <c r="BH105" s="37"/>
      <c r="BI105" s="37"/>
      <c r="BJ105" s="41"/>
    </row>
    <row r="106" spans="2:62" ht="25.15" customHeight="1" x14ac:dyDescent="0.25">
      <c r="B106" s="49">
        <v>101</v>
      </c>
      <c r="C106" s="37"/>
      <c r="D106" s="87" t="str">
        <f>IF(tbl_Assessment[[#This Row],[Ben Code]]&lt;&gt;"",INDEX(tbl_Ben_Info[],MATCH(tbl_Assessment[[#This Row],[Ben Code]],tbl_Ben_Info[Ben Code],0),48),"")</f>
        <v/>
      </c>
      <c r="E106" s="116" t="str">
        <f>IF(tbl_Assessment[[#This Row],[Ben Code]]&lt;&gt;"",INDEX(tbl_Ben_Info[],MATCH(tbl_Assessment[[#This Row],[Ben Code]],tbl_Ben_Info[Ben Code],0),6),"")</f>
        <v/>
      </c>
      <c r="F106" s="113" t="str">
        <f>IF(tbl_Assessment[[#This Row],[Ben Code]]&lt;&gt;"",INDEX(tbl_Ben_Info[],MATCH(tbl_Assessment[[#This Row],[Ben Code]],tbl_Ben_Info[Ben Code],0),13),"")</f>
        <v/>
      </c>
      <c r="G106" s="49"/>
      <c r="H106" s="37"/>
      <c r="I106" s="37"/>
      <c r="J106" s="37"/>
      <c r="K106" s="37"/>
      <c r="L106" s="37"/>
      <c r="M106" s="59"/>
      <c r="N106" s="37"/>
      <c r="O106" s="37"/>
      <c r="P106" s="37"/>
      <c r="Q106" s="59"/>
      <c r="R106" s="49"/>
      <c r="S106" s="37"/>
      <c r="T106" s="37"/>
      <c r="U106" s="37"/>
      <c r="V106" s="37"/>
      <c r="W106" s="96" t="str">
        <f>tbl_Assessment[[#This Row],[Ben Code]] &amp; "-"&amp;tbl_Assessment[[#This Row],[admin4Pcode]]&amp;"-" &amp; TEXT(COUNTIF(INDEX(tbl_Assessment[Ben Code],1):tbl_Assessment[[#This Row],[Ben Code]], tbl_Assessment[[#This Row],[Ben Code]]), "00")</f>
        <v>--00</v>
      </c>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49"/>
      <c r="AU106" s="41"/>
      <c r="AV106" s="37"/>
      <c r="AW106" s="37"/>
      <c r="AX106" s="37"/>
      <c r="AY106" s="37"/>
      <c r="AZ106" s="37"/>
      <c r="BA106" s="37"/>
      <c r="BB106" s="41"/>
      <c r="BC106" s="37"/>
      <c r="BD106" s="37"/>
      <c r="BE106" s="37"/>
      <c r="BF106" s="41"/>
      <c r="BG106" s="37"/>
      <c r="BH106" s="37"/>
      <c r="BI106" s="37"/>
      <c r="BJ106" s="41"/>
    </row>
    <row r="107" spans="2:62" ht="25.15" customHeight="1" x14ac:dyDescent="0.25">
      <c r="B107" s="49">
        <v>102</v>
      </c>
      <c r="C107" s="37"/>
      <c r="D107" s="87" t="str">
        <f>IF(tbl_Assessment[[#This Row],[Ben Code]]&lt;&gt;"",INDEX(tbl_Ben_Info[],MATCH(tbl_Assessment[[#This Row],[Ben Code]],tbl_Ben_Info[Ben Code],0),48),"")</f>
        <v/>
      </c>
      <c r="E107" s="116" t="str">
        <f>IF(tbl_Assessment[[#This Row],[Ben Code]]&lt;&gt;"",INDEX(tbl_Ben_Info[],MATCH(tbl_Assessment[[#This Row],[Ben Code]],tbl_Ben_Info[Ben Code],0),6),"")</f>
        <v/>
      </c>
      <c r="F107" s="113" t="str">
        <f>IF(tbl_Assessment[[#This Row],[Ben Code]]&lt;&gt;"",INDEX(tbl_Ben_Info[],MATCH(tbl_Assessment[[#This Row],[Ben Code]],tbl_Ben_Info[Ben Code],0),13),"")</f>
        <v/>
      </c>
      <c r="G107" s="49"/>
      <c r="H107" s="37"/>
      <c r="I107" s="37"/>
      <c r="J107" s="37"/>
      <c r="K107" s="37"/>
      <c r="L107" s="37"/>
      <c r="M107" s="59"/>
      <c r="N107" s="37"/>
      <c r="O107" s="37"/>
      <c r="P107" s="37"/>
      <c r="Q107" s="59"/>
      <c r="R107" s="49"/>
      <c r="S107" s="37"/>
      <c r="T107" s="37"/>
      <c r="U107" s="37"/>
      <c r="V107" s="37"/>
      <c r="W107" s="96" t="str">
        <f>tbl_Assessment[[#This Row],[Ben Code]] &amp; "-"&amp;tbl_Assessment[[#This Row],[admin4Pcode]]&amp;"-" &amp; TEXT(COUNTIF(INDEX(tbl_Assessment[Ben Code],1):tbl_Assessment[[#This Row],[Ben Code]], tbl_Assessment[[#This Row],[Ben Code]]), "00")</f>
        <v>--00</v>
      </c>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49"/>
      <c r="AU107" s="41"/>
      <c r="AV107" s="37"/>
      <c r="AW107" s="37"/>
      <c r="AX107" s="37"/>
      <c r="AY107" s="37"/>
      <c r="AZ107" s="37"/>
      <c r="BA107" s="37"/>
      <c r="BB107" s="41"/>
      <c r="BC107" s="37"/>
      <c r="BD107" s="37"/>
      <c r="BE107" s="37"/>
      <c r="BF107" s="41"/>
      <c r="BG107" s="37"/>
      <c r="BH107" s="37"/>
      <c r="BI107" s="37"/>
      <c r="BJ107" s="41"/>
    </row>
    <row r="108" spans="2:62" ht="25.15" customHeight="1" x14ac:dyDescent="0.25">
      <c r="B108" s="49">
        <v>103</v>
      </c>
      <c r="C108" s="37"/>
      <c r="D108" s="87" t="str">
        <f>IF(tbl_Assessment[[#This Row],[Ben Code]]&lt;&gt;"",INDEX(tbl_Ben_Info[],MATCH(tbl_Assessment[[#This Row],[Ben Code]],tbl_Ben_Info[Ben Code],0),48),"")</f>
        <v/>
      </c>
      <c r="E108" s="116" t="str">
        <f>IF(tbl_Assessment[[#This Row],[Ben Code]]&lt;&gt;"",INDEX(tbl_Ben_Info[],MATCH(tbl_Assessment[[#This Row],[Ben Code]],tbl_Ben_Info[Ben Code],0),6),"")</f>
        <v/>
      </c>
      <c r="F108" s="113" t="str">
        <f>IF(tbl_Assessment[[#This Row],[Ben Code]]&lt;&gt;"",INDEX(tbl_Ben_Info[],MATCH(tbl_Assessment[[#This Row],[Ben Code]],tbl_Ben_Info[Ben Code],0),13),"")</f>
        <v/>
      </c>
      <c r="G108" s="49"/>
      <c r="H108" s="37"/>
      <c r="I108" s="37"/>
      <c r="J108" s="37"/>
      <c r="K108" s="37"/>
      <c r="L108" s="37"/>
      <c r="M108" s="59"/>
      <c r="N108" s="37"/>
      <c r="O108" s="37"/>
      <c r="P108" s="37"/>
      <c r="Q108" s="59"/>
      <c r="R108" s="49"/>
      <c r="S108" s="37"/>
      <c r="T108" s="37"/>
      <c r="U108" s="37"/>
      <c r="V108" s="37"/>
      <c r="W108" s="96" t="str">
        <f>tbl_Assessment[[#This Row],[Ben Code]] &amp; "-"&amp;tbl_Assessment[[#This Row],[admin4Pcode]]&amp;"-" &amp; TEXT(COUNTIF(INDEX(tbl_Assessment[Ben Code],1):tbl_Assessment[[#This Row],[Ben Code]], tbl_Assessment[[#This Row],[Ben Code]]), "00")</f>
        <v>--00</v>
      </c>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49"/>
      <c r="AU108" s="41"/>
      <c r="AV108" s="37"/>
      <c r="AW108" s="37"/>
      <c r="AX108" s="37"/>
      <c r="AY108" s="37"/>
      <c r="AZ108" s="37"/>
      <c r="BA108" s="37"/>
      <c r="BB108" s="41"/>
      <c r="BC108" s="37"/>
      <c r="BD108" s="37"/>
      <c r="BE108" s="37"/>
      <c r="BF108" s="41"/>
      <c r="BG108" s="37"/>
      <c r="BH108" s="37"/>
      <c r="BI108" s="37"/>
      <c r="BJ108" s="41"/>
    </row>
    <row r="109" spans="2:62" ht="25.15" customHeight="1" x14ac:dyDescent="0.25">
      <c r="B109" s="49">
        <v>104</v>
      </c>
      <c r="C109" s="37"/>
      <c r="D109" s="87" t="str">
        <f>IF(tbl_Assessment[[#This Row],[Ben Code]]&lt;&gt;"",INDEX(tbl_Ben_Info[],MATCH(tbl_Assessment[[#This Row],[Ben Code]],tbl_Ben_Info[Ben Code],0),48),"")</f>
        <v/>
      </c>
      <c r="E109" s="116" t="str">
        <f>IF(tbl_Assessment[[#This Row],[Ben Code]]&lt;&gt;"",INDEX(tbl_Ben_Info[],MATCH(tbl_Assessment[[#This Row],[Ben Code]],tbl_Ben_Info[Ben Code],0),6),"")</f>
        <v/>
      </c>
      <c r="F109" s="113" t="str">
        <f>IF(tbl_Assessment[[#This Row],[Ben Code]]&lt;&gt;"",INDEX(tbl_Ben_Info[],MATCH(tbl_Assessment[[#This Row],[Ben Code]],tbl_Ben_Info[Ben Code],0),13),"")</f>
        <v/>
      </c>
      <c r="G109" s="49"/>
      <c r="H109" s="37"/>
      <c r="I109" s="37"/>
      <c r="J109" s="37"/>
      <c r="K109" s="37"/>
      <c r="L109" s="37"/>
      <c r="M109" s="59"/>
      <c r="N109" s="37"/>
      <c r="O109" s="37"/>
      <c r="P109" s="37"/>
      <c r="Q109" s="59"/>
      <c r="R109" s="49"/>
      <c r="S109" s="37"/>
      <c r="T109" s="37"/>
      <c r="U109" s="37"/>
      <c r="V109" s="37"/>
      <c r="W109" s="96" t="str">
        <f>tbl_Assessment[[#This Row],[Ben Code]] &amp; "-"&amp;tbl_Assessment[[#This Row],[admin4Pcode]]&amp;"-" &amp; TEXT(COUNTIF(INDEX(tbl_Assessment[Ben Code],1):tbl_Assessment[[#This Row],[Ben Code]], tbl_Assessment[[#This Row],[Ben Code]]), "00")</f>
        <v>--00</v>
      </c>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49"/>
      <c r="AU109" s="41"/>
      <c r="AV109" s="37"/>
      <c r="AW109" s="37"/>
      <c r="AX109" s="37"/>
      <c r="AY109" s="37"/>
      <c r="AZ109" s="37"/>
      <c r="BA109" s="37"/>
      <c r="BB109" s="41"/>
      <c r="BC109" s="37"/>
      <c r="BD109" s="37"/>
      <c r="BE109" s="37"/>
      <c r="BF109" s="41"/>
      <c r="BG109" s="37"/>
      <c r="BH109" s="37"/>
      <c r="BI109" s="37"/>
      <c r="BJ109" s="41"/>
    </row>
    <row r="110" spans="2:62" ht="25.15" customHeight="1" x14ac:dyDescent="0.25">
      <c r="B110" s="49">
        <v>105</v>
      </c>
      <c r="C110" s="37"/>
      <c r="D110" s="87" t="str">
        <f>IF(tbl_Assessment[[#This Row],[Ben Code]]&lt;&gt;"",INDEX(tbl_Ben_Info[],MATCH(tbl_Assessment[[#This Row],[Ben Code]],tbl_Ben_Info[Ben Code],0),48),"")</f>
        <v/>
      </c>
      <c r="E110" s="116" t="str">
        <f>IF(tbl_Assessment[[#This Row],[Ben Code]]&lt;&gt;"",INDEX(tbl_Ben_Info[],MATCH(tbl_Assessment[[#This Row],[Ben Code]],tbl_Ben_Info[Ben Code],0),6),"")</f>
        <v/>
      </c>
      <c r="F110" s="113" t="str">
        <f>IF(tbl_Assessment[[#This Row],[Ben Code]]&lt;&gt;"",INDEX(tbl_Ben_Info[],MATCH(tbl_Assessment[[#This Row],[Ben Code]],tbl_Ben_Info[Ben Code],0),13),"")</f>
        <v/>
      </c>
      <c r="G110" s="49"/>
      <c r="H110" s="37"/>
      <c r="I110" s="37"/>
      <c r="J110" s="37"/>
      <c r="K110" s="37"/>
      <c r="L110" s="37"/>
      <c r="M110" s="59"/>
      <c r="N110" s="37"/>
      <c r="O110" s="37"/>
      <c r="P110" s="37"/>
      <c r="Q110" s="59"/>
      <c r="R110" s="49"/>
      <c r="S110" s="37"/>
      <c r="T110" s="37"/>
      <c r="U110" s="37"/>
      <c r="V110" s="37"/>
      <c r="W110" s="96" t="str">
        <f>tbl_Assessment[[#This Row],[Ben Code]] &amp; "-"&amp;tbl_Assessment[[#This Row],[admin4Pcode]]&amp;"-" &amp; TEXT(COUNTIF(INDEX(tbl_Assessment[Ben Code],1):tbl_Assessment[[#This Row],[Ben Code]], tbl_Assessment[[#This Row],[Ben Code]]), "00")</f>
        <v>--00</v>
      </c>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49"/>
      <c r="AU110" s="41"/>
      <c r="AV110" s="37"/>
      <c r="AW110" s="37"/>
      <c r="AX110" s="37"/>
      <c r="AY110" s="37"/>
      <c r="AZ110" s="37"/>
      <c r="BA110" s="37"/>
      <c r="BB110" s="41"/>
      <c r="BC110" s="37"/>
      <c r="BD110" s="37"/>
      <c r="BE110" s="37"/>
      <c r="BF110" s="41"/>
      <c r="BG110" s="37"/>
      <c r="BH110" s="37"/>
      <c r="BI110" s="37"/>
      <c r="BJ110" s="41"/>
    </row>
    <row r="111" spans="2:62" ht="25.15" customHeight="1" x14ac:dyDescent="0.25">
      <c r="B111" s="49">
        <v>106</v>
      </c>
      <c r="C111" s="37"/>
      <c r="D111" s="87" t="str">
        <f>IF(tbl_Assessment[[#This Row],[Ben Code]]&lt;&gt;"",INDEX(tbl_Ben_Info[],MATCH(tbl_Assessment[[#This Row],[Ben Code]],tbl_Ben_Info[Ben Code],0),48),"")</f>
        <v/>
      </c>
      <c r="E111" s="116" t="str">
        <f>IF(tbl_Assessment[[#This Row],[Ben Code]]&lt;&gt;"",INDEX(tbl_Ben_Info[],MATCH(tbl_Assessment[[#This Row],[Ben Code]],tbl_Ben_Info[Ben Code],0),6),"")</f>
        <v/>
      </c>
      <c r="F111" s="113" t="str">
        <f>IF(tbl_Assessment[[#This Row],[Ben Code]]&lt;&gt;"",INDEX(tbl_Ben_Info[],MATCH(tbl_Assessment[[#This Row],[Ben Code]],tbl_Ben_Info[Ben Code],0),13),"")</f>
        <v/>
      </c>
      <c r="G111" s="49"/>
      <c r="H111" s="37"/>
      <c r="I111" s="37"/>
      <c r="J111" s="37"/>
      <c r="K111" s="37"/>
      <c r="L111" s="37"/>
      <c r="M111" s="59"/>
      <c r="N111" s="37"/>
      <c r="O111" s="37"/>
      <c r="P111" s="37"/>
      <c r="Q111" s="59"/>
      <c r="R111" s="49"/>
      <c r="S111" s="37"/>
      <c r="T111" s="37"/>
      <c r="U111" s="37"/>
      <c r="V111" s="37"/>
      <c r="W111" s="96" t="str">
        <f>tbl_Assessment[[#This Row],[Ben Code]] &amp; "-"&amp;tbl_Assessment[[#This Row],[admin4Pcode]]&amp;"-" &amp; TEXT(COUNTIF(INDEX(tbl_Assessment[Ben Code],1):tbl_Assessment[[#This Row],[Ben Code]], tbl_Assessment[[#This Row],[Ben Code]]), "00")</f>
        <v>--00</v>
      </c>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49"/>
      <c r="AU111" s="41"/>
      <c r="AV111" s="37"/>
      <c r="AW111" s="37"/>
      <c r="AX111" s="37"/>
      <c r="AY111" s="37"/>
      <c r="AZ111" s="37"/>
      <c r="BA111" s="37"/>
      <c r="BB111" s="41"/>
      <c r="BC111" s="37"/>
      <c r="BD111" s="37"/>
      <c r="BE111" s="37"/>
      <c r="BF111" s="41"/>
      <c r="BG111" s="37"/>
      <c r="BH111" s="37"/>
      <c r="BI111" s="37"/>
      <c r="BJ111" s="41"/>
    </row>
    <row r="112" spans="2:62" ht="25.15" customHeight="1" x14ac:dyDescent="0.25">
      <c r="B112" s="49">
        <v>107</v>
      </c>
      <c r="C112" s="37"/>
      <c r="D112" s="87" t="str">
        <f>IF(tbl_Assessment[[#This Row],[Ben Code]]&lt;&gt;"",INDEX(tbl_Ben_Info[],MATCH(tbl_Assessment[[#This Row],[Ben Code]],tbl_Ben_Info[Ben Code],0),48),"")</f>
        <v/>
      </c>
      <c r="E112" s="116" t="str">
        <f>IF(tbl_Assessment[[#This Row],[Ben Code]]&lt;&gt;"",INDEX(tbl_Ben_Info[],MATCH(tbl_Assessment[[#This Row],[Ben Code]],tbl_Ben_Info[Ben Code],0),6),"")</f>
        <v/>
      </c>
      <c r="F112" s="113" t="str">
        <f>IF(tbl_Assessment[[#This Row],[Ben Code]]&lt;&gt;"",INDEX(tbl_Ben_Info[],MATCH(tbl_Assessment[[#This Row],[Ben Code]],tbl_Ben_Info[Ben Code],0),13),"")</f>
        <v/>
      </c>
      <c r="G112" s="49"/>
      <c r="H112" s="37"/>
      <c r="I112" s="37"/>
      <c r="J112" s="37"/>
      <c r="K112" s="37"/>
      <c r="L112" s="37"/>
      <c r="M112" s="59"/>
      <c r="N112" s="37"/>
      <c r="O112" s="37"/>
      <c r="P112" s="37"/>
      <c r="Q112" s="59"/>
      <c r="R112" s="49"/>
      <c r="S112" s="37"/>
      <c r="T112" s="37"/>
      <c r="U112" s="37"/>
      <c r="V112" s="37"/>
      <c r="W112" s="96" t="str">
        <f>tbl_Assessment[[#This Row],[Ben Code]] &amp; "-"&amp;tbl_Assessment[[#This Row],[admin4Pcode]]&amp;"-" &amp; TEXT(COUNTIF(INDEX(tbl_Assessment[Ben Code],1):tbl_Assessment[[#This Row],[Ben Code]], tbl_Assessment[[#This Row],[Ben Code]]), "00")</f>
        <v>--00</v>
      </c>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49"/>
      <c r="AU112" s="41"/>
      <c r="AV112" s="37"/>
      <c r="AW112" s="37"/>
      <c r="AX112" s="37"/>
      <c r="AY112" s="37"/>
      <c r="AZ112" s="37"/>
      <c r="BA112" s="37"/>
      <c r="BB112" s="41"/>
      <c r="BC112" s="37"/>
      <c r="BD112" s="37"/>
      <c r="BE112" s="37"/>
      <c r="BF112" s="41"/>
      <c r="BG112" s="37"/>
      <c r="BH112" s="37"/>
      <c r="BI112" s="37"/>
      <c r="BJ112" s="41"/>
    </row>
    <row r="113" spans="2:62" ht="25.15" customHeight="1" x14ac:dyDescent="0.25">
      <c r="B113" s="49">
        <v>108</v>
      </c>
      <c r="C113" s="37"/>
      <c r="D113" s="87" t="str">
        <f>IF(tbl_Assessment[[#This Row],[Ben Code]]&lt;&gt;"",INDEX(tbl_Ben_Info[],MATCH(tbl_Assessment[[#This Row],[Ben Code]],tbl_Ben_Info[Ben Code],0),48),"")</f>
        <v/>
      </c>
      <c r="E113" s="116" t="str">
        <f>IF(tbl_Assessment[[#This Row],[Ben Code]]&lt;&gt;"",INDEX(tbl_Ben_Info[],MATCH(tbl_Assessment[[#This Row],[Ben Code]],tbl_Ben_Info[Ben Code],0),6),"")</f>
        <v/>
      </c>
      <c r="F113" s="113" t="str">
        <f>IF(tbl_Assessment[[#This Row],[Ben Code]]&lt;&gt;"",INDEX(tbl_Ben_Info[],MATCH(tbl_Assessment[[#This Row],[Ben Code]],tbl_Ben_Info[Ben Code],0),13),"")</f>
        <v/>
      </c>
      <c r="G113" s="49"/>
      <c r="H113" s="37"/>
      <c r="I113" s="37"/>
      <c r="J113" s="37"/>
      <c r="K113" s="37"/>
      <c r="L113" s="37"/>
      <c r="M113" s="59"/>
      <c r="N113" s="37"/>
      <c r="O113" s="37"/>
      <c r="P113" s="37"/>
      <c r="Q113" s="59"/>
      <c r="R113" s="49"/>
      <c r="S113" s="37"/>
      <c r="T113" s="37"/>
      <c r="U113" s="37"/>
      <c r="V113" s="37"/>
      <c r="W113" s="96" t="str">
        <f>tbl_Assessment[[#This Row],[Ben Code]] &amp; "-"&amp;tbl_Assessment[[#This Row],[admin4Pcode]]&amp;"-" &amp; TEXT(COUNTIF(INDEX(tbl_Assessment[Ben Code],1):tbl_Assessment[[#This Row],[Ben Code]], tbl_Assessment[[#This Row],[Ben Code]]), "00")</f>
        <v>--00</v>
      </c>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49"/>
      <c r="AU113" s="41"/>
      <c r="AV113" s="37"/>
      <c r="AW113" s="37"/>
      <c r="AX113" s="37"/>
      <c r="AY113" s="37"/>
      <c r="AZ113" s="37"/>
      <c r="BA113" s="37"/>
      <c r="BB113" s="41"/>
      <c r="BC113" s="37"/>
      <c r="BD113" s="37"/>
      <c r="BE113" s="37"/>
      <c r="BF113" s="41"/>
      <c r="BG113" s="37"/>
      <c r="BH113" s="37"/>
      <c r="BI113" s="37"/>
      <c r="BJ113" s="41"/>
    </row>
    <row r="114" spans="2:62" ht="25.15" customHeight="1" x14ac:dyDescent="0.25">
      <c r="B114" s="49">
        <v>109</v>
      </c>
      <c r="C114" s="37"/>
      <c r="D114" s="87" t="str">
        <f>IF(tbl_Assessment[[#This Row],[Ben Code]]&lt;&gt;"",INDEX(tbl_Ben_Info[],MATCH(tbl_Assessment[[#This Row],[Ben Code]],tbl_Ben_Info[Ben Code],0),48),"")</f>
        <v/>
      </c>
      <c r="E114" s="116" t="str">
        <f>IF(tbl_Assessment[[#This Row],[Ben Code]]&lt;&gt;"",INDEX(tbl_Ben_Info[],MATCH(tbl_Assessment[[#This Row],[Ben Code]],tbl_Ben_Info[Ben Code],0),6),"")</f>
        <v/>
      </c>
      <c r="F114" s="113" t="str">
        <f>IF(tbl_Assessment[[#This Row],[Ben Code]]&lt;&gt;"",INDEX(tbl_Ben_Info[],MATCH(tbl_Assessment[[#This Row],[Ben Code]],tbl_Ben_Info[Ben Code],0),13),"")</f>
        <v/>
      </c>
      <c r="G114" s="49"/>
      <c r="H114" s="37"/>
      <c r="I114" s="37"/>
      <c r="J114" s="37"/>
      <c r="K114" s="37"/>
      <c r="L114" s="37"/>
      <c r="M114" s="59"/>
      <c r="N114" s="37"/>
      <c r="O114" s="37"/>
      <c r="P114" s="37"/>
      <c r="Q114" s="59"/>
      <c r="R114" s="49"/>
      <c r="S114" s="37"/>
      <c r="T114" s="37"/>
      <c r="U114" s="37"/>
      <c r="V114" s="37"/>
      <c r="W114" s="96" t="str">
        <f>tbl_Assessment[[#This Row],[Ben Code]] &amp; "-"&amp;tbl_Assessment[[#This Row],[admin4Pcode]]&amp;"-" &amp; TEXT(COUNTIF(INDEX(tbl_Assessment[Ben Code],1):tbl_Assessment[[#This Row],[Ben Code]], tbl_Assessment[[#This Row],[Ben Code]]), "00")</f>
        <v>--00</v>
      </c>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49"/>
      <c r="AU114" s="41"/>
      <c r="AV114" s="37"/>
      <c r="AW114" s="37"/>
      <c r="AX114" s="37"/>
      <c r="AY114" s="37"/>
      <c r="AZ114" s="37"/>
      <c r="BA114" s="37"/>
      <c r="BB114" s="41"/>
      <c r="BC114" s="37"/>
      <c r="BD114" s="37"/>
      <c r="BE114" s="37"/>
      <c r="BF114" s="41"/>
      <c r="BG114" s="37"/>
      <c r="BH114" s="37"/>
      <c r="BI114" s="37"/>
      <c r="BJ114" s="41"/>
    </row>
    <row r="115" spans="2:62" ht="25.15" customHeight="1" x14ac:dyDescent="0.25">
      <c r="B115" s="49">
        <v>110</v>
      </c>
      <c r="C115" s="37"/>
      <c r="D115" s="87" t="str">
        <f>IF(tbl_Assessment[[#This Row],[Ben Code]]&lt;&gt;"",INDEX(tbl_Ben_Info[],MATCH(tbl_Assessment[[#This Row],[Ben Code]],tbl_Ben_Info[Ben Code],0),48),"")</f>
        <v/>
      </c>
      <c r="E115" s="116" t="str">
        <f>IF(tbl_Assessment[[#This Row],[Ben Code]]&lt;&gt;"",INDEX(tbl_Ben_Info[],MATCH(tbl_Assessment[[#This Row],[Ben Code]],tbl_Ben_Info[Ben Code],0),6),"")</f>
        <v/>
      </c>
      <c r="F115" s="113" t="str">
        <f>IF(tbl_Assessment[[#This Row],[Ben Code]]&lt;&gt;"",INDEX(tbl_Ben_Info[],MATCH(tbl_Assessment[[#This Row],[Ben Code]],tbl_Ben_Info[Ben Code],0),13),"")</f>
        <v/>
      </c>
      <c r="G115" s="49"/>
      <c r="H115" s="37"/>
      <c r="I115" s="37"/>
      <c r="J115" s="37"/>
      <c r="K115" s="37"/>
      <c r="L115" s="37"/>
      <c r="M115" s="59"/>
      <c r="N115" s="37"/>
      <c r="O115" s="37"/>
      <c r="P115" s="37"/>
      <c r="Q115" s="59"/>
      <c r="R115" s="49"/>
      <c r="S115" s="37"/>
      <c r="T115" s="37"/>
      <c r="U115" s="37"/>
      <c r="V115" s="37"/>
      <c r="W115" s="96" t="str">
        <f>tbl_Assessment[[#This Row],[Ben Code]] &amp; "-"&amp;tbl_Assessment[[#This Row],[admin4Pcode]]&amp;"-" &amp; TEXT(COUNTIF(INDEX(tbl_Assessment[Ben Code],1):tbl_Assessment[[#This Row],[Ben Code]], tbl_Assessment[[#This Row],[Ben Code]]), "00")</f>
        <v>--00</v>
      </c>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49"/>
      <c r="AU115" s="41"/>
      <c r="AV115" s="37"/>
      <c r="AW115" s="37"/>
      <c r="AX115" s="37"/>
      <c r="AY115" s="37"/>
      <c r="AZ115" s="37"/>
      <c r="BA115" s="37"/>
      <c r="BB115" s="41"/>
      <c r="BC115" s="37"/>
      <c r="BD115" s="37"/>
      <c r="BE115" s="37"/>
      <c r="BF115" s="41"/>
      <c r="BG115" s="37"/>
      <c r="BH115" s="37"/>
      <c r="BI115" s="37"/>
      <c r="BJ115" s="41"/>
    </row>
    <row r="116" spans="2:62" ht="25.15" customHeight="1" x14ac:dyDescent="0.25">
      <c r="B116" s="49">
        <v>111</v>
      </c>
      <c r="C116" s="37"/>
      <c r="D116" s="87" t="str">
        <f>IF(tbl_Assessment[[#This Row],[Ben Code]]&lt;&gt;"",INDEX(tbl_Ben_Info[],MATCH(tbl_Assessment[[#This Row],[Ben Code]],tbl_Ben_Info[Ben Code],0),48),"")</f>
        <v/>
      </c>
      <c r="E116" s="116" t="str">
        <f>IF(tbl_Assessment[[#This Row],[Ben Code]]&lt;&gt;"",INDEX(tbl_Ben_Info[],MATCH(tbl_Assessment[[#This Row],[Ben Code]],tbl_Ben_Info[Ben Code],0),6),"")</f>
        <v/>
      </c>
      <c r="F116" s="113" t="str">
        <f>IF(tbl_Assessment[[#This Row],[Ben Code]]&lt;&gt;"",INDEX(tbl_Ben_Info[],MATCH(tbl_Assessment[[#This Row],[Ben Code]],tbl_Ben_Info[Ben Code],0),13),"")</f>
        <v/>
      </c>
      <c r="G116" s="49"/>
      <c r="H116" s="37"/>
      <c r="I116" s="37"/>
      <c r="J116" s="37"/>
      <c r="K116" s="37"/>
      <c r="L116" s="37"/>
      <c r="M116" s="59"/>
      <c r="N116" s="37"/>
      <c r="O116" s="37"/>
      <c r="P116" s="37"/>
      <c r="Q116" s="59"/>
      <c r="R116" s="49"/>
      <c r="S116" s="37"/>
      <c r="T116" s="37"/>
      <c r="U116" s="37"/>
      <c r="V116" s="37"/>
      <c r="W116" s="96" t="str">
        <f>tbl_Assessment[[#This Row],[Ben Code]] &amp; "-"&amp;tbl_Assessment[[#This Row],[admin4Pcode]]&amp;"-" &amp; TEXT(COUNTIF(INDEX(tbl_Assessment[Ben Code],1):tbl_Assessment[[#This Row],[Ben Code]], tbl_Assessment[[#This Row],[Ben Code]]), "00")</f>
        <v>--00</v>
      </c>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49"/>
      <c r="AU116" s="41"/>
      <c r="AV116" s="37"/>
      <c r="AW116" s="37"/>
      <c r="AX116" s="37"/>
      <c r="AY116" s="37"/>
      <c r="AZ116" s="37"/>
      <c r="BA116" s="37"/>
      <c r="BB116" s="41"/>
      <c r="BC116" s="37"/>
      <c r="BD116" s="37"/>
      <c r="BE116" s="37"/>
      <c r="BF116" s="41"/>
      <c r="BG116" s="37"/>
      <c r="BH116" s="37"/>
      <c r="BI116" s="37"/>
      <c r="BJ116" s="41"/>
    </row>
    <row r="117" spans="2:62" ht="25.15" customHeight="1" x14ac:dyDescent="0.25">
      <c r="B117" s="49">
        <v>112</v>
      </c>
      <c r="C117" s="37"/>
      <c r="D117" s="87" t="str">
        <f>IF(tbl_Assessment[[#This Row],[Ben Code]]&lt;&gt;"",INDEX(tbl_Ben_Info[],MATCH(tbl_Assessment[[#This Row],[Ben Code]],tbl_Ben_Info[Ben Code],0),48),"")</f>
        <v/>
      </c>
      <c r="E117" s="116" t="str">
        <f>IF(tbl_Assessment[[#This Row],[Ben Code]]&lt;&gt;"",INDEX(tbl_Ben_Info[],MATCH(tbl_Assessment[[#This Row],[Ben Code]],tbl_Ben_Info[Ben Code],0),6),"")</f>
        <v/>
      </c>
      <c r="F117" s="113" t="str">
        <f>IF(tbl_Assessment[[#This Row],[Ben Code]]&lt;&gt;"",INDEX(tbl_Ben_Info[],MATCH(tbl_Assessment[[#This Row],[Ben Code]],tbl_Ben_Info[Ben Code],0),13),"")</f>
        <v/>
      </c>
      <c r="G117" s="49"/>
      <c r="H117" s="37"/>
      <c r="I117" s="37"/>
      <c r="J117" s="37"/>
      <c r="K117" s="37"/>
      <c r="L117" s="37"/>
      <c r="M117" s="59"/>
      <c r="N117" s="37"/>
      <c r="O117" s="37"/>
      <c r="P117" s="37"/>
      <c r="Q117" s="59"/>
      <c r="R117" s="49"/>
      <c r="S117" s="37"/>
      <c r="T117" s="37"/>
      <c r="U117" s="37"/>
      <c r="V117" s="37"/>
      <c r="W117" s="96" t="str">
        <f>tbl_Assessment[[#This Row],[Ben Code]] &amp; "-"&amp;tbl_Assessment[[#This Row],[admin4Pcode]]&amp;"-" &amp; TEXT(COUNTIF(INDEX(tbl_Assessment[Ben Code],1):tbl_Assessment[[#This Row],[Ben Code]], tbl_Assessment[[#This Row],[Ben Code]]), "00")</f>
        <v>--00</v>
      </c>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49"/>
      <c r="AU117" s="41"/>
      <c r="AV117" s="37"/>
      <c r="AW117" s="37"/>
      <c r="AX117" s="37"/>
      <c r="AY117" s="37"/>
      <c r="AZ117" s="37"/>
      <c r="BA117" s="37"/>
      <c r="BB117" s="41"/>
      <c r="BC117" s="37"/>
      <c r="BD117" s="37"/>
      <c r="BE117" s="37"/>
      <c r="BF117" s="41"/>
      <c r="BG117" s="37"/>
      <c r="BH117" s="37"/>
      <c r="BI117" s="37"/>
      <c r="BJ117" s="41"/>
    </row>
    <row r="118" spans="2:62" ht="25.15" customHeight="1" x14ac:dyDescent="0.25">
      <c r="B118" s="49">
        <v>113</v>
      </c>
      <c r="C118" s="37"/>
      <c r="D118" s="87" t="str">
        <f>IF(tbl_Assessment[[#This Row],[Ben Code]]&lt;&gt;"",INDEX(tbl_Ben_Info[],MATCH(tbl_Assessment[[#This Row],[Ben Code]],tbl_Ben_Info[Ben Code],0),48),"")</f>
        <v/>
      </c>
      <c r="E118" s="116" t="str">
        <f>IF(tbl_Assessment[[#This Row],[Ben Code]]&lt;&gt;"",INDEX(tbl_Ben_Info[],MATCH(tbl_Assessment[[#This Row],[Ben Code]],tbl_Ben_Info[Ben Code],0),6),"")</f>
        <v/>
      </c>
      <c r="F118" s="113" t="str">
        <f>IF(tbl_Assessment[[#This Row],[Ben Code]]&lt;&gt;"",INDEX(tbl_Ben_Info[],MATCH(tbl_Assessment[[#This Row],[Ben Code]],tbl_Ben_Info[Ben Code],0),13),"")</f>
        <v/>
      </c>
      <c r="G118" s="49"/>
      <c r="H118" s="37"/>
      <c r="I118" s="37"/>
      <c r="J118" s="37"/>
      <c r="K118" s="37"/>
      <c r="L118" s="37"/>
      <c r="M118" s="59"/>
      <c r="N118" s="37"/>
      <c r="O118" s="37"/>
      <c r="P118" s="37"/>
      <c r="Q118" s="59"/>
      <c r="R118" s="49"/>
      <c r="S118" s="37"/>
      <c r="T118" s="37"/>
      <c r="U118" s="37"/>
      <c r="V118" s="37"/>
      <c r="W118" s="96" t="str">
        <f>tbl_Assessment[[#This Row],[Ben Code]] &amp; "-"&amp;tbl_Assessment[[#This Row],[admin4Pcode]]&amp;"-" &amp; TEXT(COUNTIF(INDEX(tbl_Assessment[Ben Code],1):tbl_Assessment[[#This Row],[Ben Code]], tbl_Assessment[[#This Row],[Ben Code]]), "00")</f>
        <v>--00</v>
      </c>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49"/>
      <c r="AU118" s="41"/>
      <c r="AV118" s="37"/>
      <c r="AW118" s="37"/>
      <c r="AX118" s="37"/>
      <c r="AY118" s="37"/>
      <c r="AZ118" s="37"/>
      <c r="BA118" s="37"/>
      <c r="BB118" s="41"/>
      <c r="BC118" s="37"/>
      <c r="BD118" s="37"/>
      <c r="BE118" s="37"/>
      <c r="BF118" s="41"/>
      <c r="BG118" s="37"/>
      <c r="BH118" s="37"/>
      <c r="BI118" s="37"/>
      <c r="BJ118" s="41"/>
    </row>
    <row r="119" spans="2:62" ht="25.15" customHeight="1" x14ac:dyDescent="0.25">
      <c r="B119" s="49">
        <v>114</v>
      </c>
      <c r="C119" s="37"/>
      <c r="D119" s="87" t="str">
        <f>IF(tbl_Assessment[[#This Row],[Ben Code]]&lt;&gt;"",INDEX(tbl_Ben_Info[],MATCH(tbl_Assessment[[#This Row],[Ben Code]],tbl_Ben_Info[Ben Code],0),48),"")</f>
        <v/>
      </c>
      <c r="E119" s="116" t="str">
        <f>IF(tbl_Assessment[[#This Row],[Ben Code]]&lt;&gt;"",INDEX(tbl_Ben_Info[],MATCH(tbl_Assessment[[#This Row],[Ben Code]],tbl_Ben_Info[Ben Code],0),6),"")</f>
        <v/>
      </c>
      <c r="F119" s="113" t="str">
        <f>IF(tbl_Assessment[[#This Row],[Ben Code]]&lt;&gt;"",INDEX(tbl_Ben_Info[],MATCH(tbl_Assessment[[#This Row],[Ben Code]],tbl_Ben_Info[Ben Code],0),13),"")</f>
        <v/>
      </c>
      <c r="G119" s="49"/>
      <c r="H119" s="37"/>
      <c r="I119" s="37"/>
      <c r="J119" s="37"/>
      <c r="K119" s="37"/>
      <c r="L119" s="37"/>
      <c r="M119" s="59"/>
      <c r="N119" s="37"/>
      <c r="O119" s="37"/>
      <c r="P119" s="37"/>
      <c r="Q119" s="59"/>
      <c r="R119" s="49"/>
      <c r="S119" s="37"/>
      <c r="T119" s="37"/>
      <c r="U119" s="37"/>
      <c r="V119" s="37"/>
      <c r="W119" s="96" t="str">
        <f>tbl_Assessment[[#This Row],[Ben Code]] &amp; "-"&amp;tbl_Assessment[[#This Row],[admin4Pcode]]&amp;"-" &amp; TEXT(COUNTIF(INDEX(tbl_Assessment[Ben Code],1):tbl_Assessment[[#This Row],[Ben Code]], tbl_Assessment[[#This Row],[Ben Code]]), "00")</f>
        <v>--00</v>
      </c>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49"/>
      <c r="AU119" s="41"/>
      <c r="AV119" s="37"/>
      <c r="AW119" s="37"/>
      <c r="AX119" s="37"/>
      <c r="AY119" s="37"/>
      <c r="AZ119" s="37"/>
      <c r="BA119" s="37"/>
      <c r="BB119" s="41"/>
      <c r="BC119" s="37"/>
      <c r="BD119" s="37"/>
      <c r="BE119" s="37"/>
      <c r="BF119" s="41"/>
      <c r="BG119" s="37"/>
      <c r="BH119" s="37"/>
      <c r="BI119" s="37"/>
      <c r="BJ119" s="41"/>
    </row>
    <row r="120" spans="2:62" ht="25.15" customHeight="1" x14ac:dyDescent="0.25">
      <c r="B120" s="49">
        <v>115</v>
      </c>
      <c r="C120" s="37"/>
      <c r="D120" s="87" t="str">
        <f>IF(tbl_Assessment[[#This Row],[Ben Code]]&lt;&gt;"",INDEX(tbl_Ben_Info[],MATCH(tbl_Assessment[[#This Row],[Ben Code]],tbl_Ben_Info[Ben Code],0),48),"")</f>
        <v/>
      </c>
      <c r="E120" s="116" t="str">
        <f>IF(tbl_Assessment[[#This Row],[Ben Code]]&lt;&gt;"",INDEX(tbl_Ben_Info[],MATCH(tbl_Assessment[[#This Row],[Ben Code]],tbl_Ben_Info[Ben Code],0),6),"")</f>
        <v/>
      </c>
      <c r="F120" s="113" t="str">
        <f>IF(tbl_Assessment[[#This Row],[Ben Code]]&lt;&gt;"",INDEX(tbl_Ben_Info[],MATCH(tbl_Assessment[[#This Row],[Ben Code]],tbl_Ben_Info[Ben Code],0),13),"")</f>
        <v/>
      </c>
      <c r="G120" s="49"/>
      <c r="H120" s="37"/>
      <c r="I120" s="37"/>
      <c r="J120" s="37"/>
      <c r="K120" s="37"/>
      <c r="L120" s="37"/>
      <c r="M120" s="59"/>
      <c r="N120" s="37"/>
      <c r="O120" s="37"/>
      <c r="P120" s="37"/>
      <c r="Q120" s="59"/>
      <c r="R120" s="49"/>
      <c r="S120" s="37"/>
      <c r="T120" s="37"/>
      <c r="U120" s="37"/>
      <c r="V120" s="37"/>
      <c r="W120" s="96" t="str">
        <f>tbl_Assessment[[#This Row],[Ben Code]] &amp; "-"&amp;tbl_Assessment[[#This Row],[admin4Pcode]]&amp;"-" &amp; TEXT(COUNTIF(INDEX(tbl_Assessment[Ben Code],1):tbl_Assessment[[#This Row],[Ben Code]], tbl_Assessment[[#This Row],[Ben Code]]), "00")</f>
        <v>--00</v>
      </c>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49"/>
      <c r="AU120" s="41"/>
      <c r="AV120" s="37"/>
      <c r="AW120" s="37"/>
      <c r="AX120" s="37"/>
      <c r="AY120" s="37"/>
      <c r="AZ120" s="37"/>
      <c r="BA120" s="37"/>
      <c r="BB120" s="41"/>
      <c r="BC120" s="37"/>
      <c r="BD120" s="37"/>
      <c r="BE120" s="37"/>
      <c r="BF120" s="41"/>
      <c r="BG120" s="37"/>
      <c r="BH120" s="37"/>
      <c r="BI120" s="37"/>
      <c r="BJ120" s="41"/>
    </row>
    <row r="121" spans="2:62" ht="25.15" customHeight="1" x14ac:dyDescent="0.25">
      <c r="B121" s="49">
        <v>116</v>
      </c>
      <c r="C121" s="37"/>
      <c r="D121" s="87" t="str">
        <f>IF(tbl_Assessment[[#This Row],[Ben Code]]&lt;&gt;"",INDEX(tbl_Ben_Info[],MATCH(tbl_Assessment[[#This Row],[Ben Code]],tbl_Ben_Info[Ben Code],0),48),"")</f>
        <v/>
      </c>
      <c r="E121" s="116" t="str">
        <f>IF(tbl_Assessment[[#This Row],[Ben Code]]&lt;&gt;"",INDEX(tbl_Ben_Info[],MATCH(tbl_Assessment[[#This Row],[Ben Code]],tbl_Ben_Info[Ben Code],0),6),"")</f>
        <v/>
      </c>
      <c r="F121" s="113" t="str">
        <f>IF(tbl_Assessment[[#This Row],[Ben Code]]&lt;&gt;"",INDEX(tbl_Ben_Info[],MATCH(tbl_Assessment[[#This Row],[Ben Code]],tbl_Ben_Info[Ben Code],0),13),"")</f>
        <v/>
      </c>
      <c r="G121" s="49"/>
      <c r="H121" s="37"/>
      <c r="I121" s="37"/>
      <c r="J121" s="37"/>
      <c r="K121" s="37"/>
      <c r="L121" s="37"/>
      <c r="M121" s="59"/>
      <c r="N121" s="37"/>
      <c r="O121" s="37"/>
      <c r="P121" s="37"/>
      <c r="Q121" s="59"/>
      <c r="R121" s="49"/>
      <c r="S121" s="37"/>
      <c r="T121" s="37"/>
      <c r="U121" s="37"/>
      <c r="V121" s="37"/>
      <c r="W121" s="96" t="str">
        <f>tbl_Assessment[[#This Row],[Ben Code]] &amp; "-"&amp;tbl_Assessment[[#This Row],[admin4Pcode]]&amp;"-" &amp; TEXT(COUNTIF(INDEX(tbl_Assessment[Ben Code],1):tbl_Assessment[[#This Row],[Ben Code]], tbl_Assessment[[#This Row],[Ben Code]]), "00")</f>
        <v>--00</v>
      </c>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49"/>
      <c r="AU121" s="41"/>
      <c r="AV121" s="37"/>
      <c r="AW121" s="37"/>
      <c r="AX121" s="37"/>
      <c r="AY121" s="37"/>
      <c r="AZ121" s="37"/>
      <c r="BA121" s="37"/>
      <c r="BB121" s="41"/>
      <c r="BC121" s="37"/>
      <c r="BD121" s="37"/>
      <c r="BE121" s="37"/>
      <c r="BF121" s="41"/>
      <c r="BG121" s="37"/>
      <c r="BH121" s="37"/>
      <c r="BI121" s="37"/>
      <c r="BJ121" s="41"/>
    </row>
    <row r="122" spans="2:62" ht="25.15" customHeight="1" x14ac:dyDescent="0.25">
      <c r="B122" s="49">
        <v>117</v>
      </c>
      <c r="C122" s="37"/>
      <c r="D122" s="87" t="str">
        <f>IF(tbl_Assessment[[#This Row],[Ben Code]]&lt;&gt;"",INDEX(tbl_Ben_Info[],MATCH(tbl_Assessment[[#This Row],[Ben Code]],tbl_Ben_Info[Ben Code],0),48),"")</f>
        <v/>
      </c>
      <c r="E122" s="116" t="str">
        <f>IF(tbl_Assessment[[#This Row],[Ben Code]]&lt;&gt;"",INDEX(tbl_Ben_Info[],MATCH(tbl_Assessment[[#This Row],[Ben Code]],tbl_Ben_Info[Ben Code],0),6),"")</f>
        <v/>
      </c>
      <c r="F122" s="113" t="str">
        <f>IF(tbl_Assessment[[#This Row],[Ben Code]]&lt;&gt;"",INDEX(tbl_Ben_Info[],MATCH(tbl_Assessment[[#This Row],[Ben Code]],tbl_Ben_Info[Ben Code],0),13),"")</f>
        <v/>
      </c>
      <c r="G122" s="49"/>
      <c r="H122" s="37"/>
      <c r="I122" s="37"/>
      <c r="J122" s="37"/>
      <c r="K122" s="37"/>
      <c r="L122" s="37"/>
      <c r="M122" s="59"/>
      <c r="N122" s="37"/>
      <c r="O122" s="37"/>
      <c r="P122" s="37"/>
      <c r="Q122" s="59"/>
      <c r="R122" s="49"/>
      <c r="S122" s="37"/>
      <c r="T122" s="37"/>
      <c r="U122" s="37"/>
      <c r="V122" s="37"/>
      <c r="W122" s="96" t="str">
        <f>tbl_Assessment[[#This Row],[Ben Code]] &amp; "-"&amp;tbl_Assessment[[#This Row],[admin4Pcode]]&amp;"-" &amp; TEXT(COUNTIF(INDEX(tbl_Assessment[Ben Code],1):tbl_Assessment[[#This Row],[Ben Code]], tbl_Assessment[[#This Row],[Ben Code]]), "00")</f>
        <v>--00</v>
      </c>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49"/>
      <c r="AU122" s="41"/>
      <c r="AV122" s="37"/>
      <c r="AW122" s="37"/>
      <c r="AX122" s="37"/>
      <c r="AY122" s="37"/>
      <c r="AZ122" s="37"/>
      <c r="BA122" s="37"/>
      <c r="BB122" s="41"/>
      <c r="BC122" s="37"/>
      <c r="BD122" s="37"/>
      <c r="BE122" s="37"/>
      <c r="BF122" s="41"/>
      <c r="BG122" s="37"/>
      <c r="BH122" s="37"/>
      <c r="BI122" s="37"/>
      <c r="BJ122" s="41"/>
    </row>
    <row r="123" spans="2:62" ht="25.15" customHeight="1" x14ac:dyDescent="0.25">
      <c r="B123" s="49">
        <v>118</v>
      </c>
      <c r="C123" s="37"/>
      <c r="D123" s="87" t="str">
        <f>IF(tbl_Assessment[[#This Row],[Ben Code]]&lt;&gt;"",INDEX(tbl_Ben_Info[],MATCH(tbl_Assessment[[#This Row],[Ben Code]],tbl_Ben_Info[Ben Code],0),48),"")</f>
        <v/>
      </c>
      <c r="E123" s="116" t="str">
        <f>IF(tbl_Assessment[[#This Row],[Ben Code]]&lt;&gt;"",INDEX(tbl_Ben_Info[],MATCH(tbl_Assessment[[#This Row],[Ben Code]],tbl_Ben_Info[Ben Code],0),6),"")</f>
        <v/>
      </c>
      <c r="F123" s="113" t="str">
        <f>IF(tbl_Assessment[[#This Row],[Ben Code]]&lt;&gt;"",INDEX(tbl_Ben_Info[],MATCH(tbl_Assessment[[#This Row],[Ben Code]],tbl_Ben_Info[Ben Code],0),13),"")</f>
        <v/>
      </c>
      <c r="G123" s="49"/>
      <c r="H123" s="37"/>
      <c r="I123" s="37"/>
      <c r="J123" s="37"/>
      <c r="K123" s="37"/>
      <c r="L123" s="37"/>
      <c r="M123" s="59"/>
      <c r="N123" s="37"/>
      <c r="O123" s="37"/>
      <c r="P123" s="37"/>
      <c r="Q123" s="59"/>
      <c r="R123" s="49"/>
      <c r="S123" s="37"/>
      <c r="T123" s="37"/>
      <c r="U123" s="37"/>
      <c r="V123" s="37"/>
      <c r="W123" s="96" t="str">
        <f>tbl_Assessment[[#This Row],[Ben Code]] &amp; "-"&amp;tbl_Assessment[[#This Row],[admin4Pcode]]&amp;"-" &amp; TEXT(COUNTIF(INDEX(tbl_Assessment[Ben Code],1):tbl_Assessment[[#This Row],[Ben Code]], tbl_Assessment[[#This Row],[Ben Code]]), "00")</f>
        <v>--00</v>
      </c>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49"/>
      <c r="AU123" s="41"/>
      <c r="AV123" s="37"/>
      <c r="AW123" s="37"/>
      <c r="AX123" s="37"/>
      <c r="AY123" s="37"/>
      <c r="AZ123" s="37"/>
      <c r="BA123" s="37"/>
      <c r="BB123" s="41"/>
      <c r="BC123" s="37"/>
      <c r="BD123" s="37"/>
      <c r="BE123" s="37"/>
      <c r="BF123" s="41"/>
      <c r="BG123" s="37"/>
      <c r="BH123" s="37"/>
      <c r="BI123" s="37"/>
      <c r="BJ123" s="41"/>
    </row>
    <row r="124" spans="2:62" ht="25.15" customHeight="1" x14ac:dyDescent="0.25">
      <c r="B124" s="49">
        <v>119</v>
      </c>
      <c r="C124" s="37"/>
      <c r="D124" s="87" t="str">
        <f>IF(tbl_Assessment[[#This Row],[Ben Code]]&lt;&gt;"",INDEX(tbl_Ben_Info[],MATCH(tbl_Assessment[[#This Row],[Ben Code]],tbl_Ben_Info[Ben Code],0),48),"")</f>
        <v/>
      </c>
      <c r="E124" s="116" t="str">
        <f>IF(tbl_Assessment[[#This Row],[Ben Code]]&lt;&gt;"",INDEX(tbl_Ben_Info[],MATCH(tbl_Assessment[[#This Row],[Ben Code]],tbl_Ben_Info[Ben Code],0),6),"")</f>
        <v/>
      </c>
      <c r="F124" s="113" t="str">
        <f>IF(tbl_Assessment[[#This Row],[Ben Code]]&lt;&gt;"",INDEX(tbl_Ben_Info[],MATCH(tbl_Assessment[[#This Row],[Ben Code]],tbl_Ben_Info[Ben Code],0),13),"")</f>
        <v/>
      </c>
      <c r="G124" s="49"/>
      <c r="H124" s="37"/>
      <c r="I124" s="37"/>
      <c r="J124" s="37"/>
      <c r="K124" s="37"/>
      <c r="L124" s="37"/>
      <c r="M124" s="59"/>
      <c r="N124" s="37"/>
      <c r="O124" s="37"/>
      <c r="P124" s="37"/>
      <c r="Q124" s="59"/>
      <c r="R124" s="49"/>
      <c r="S124" s="37"/>
      <c r="T124" s="37"/>
      <c r="U124" s="37"/>
      <c r="V124" s="37"/>
      <c r="W124" s="96" t="str">
        <f>tbl_Assessment[[#This Row],[Ben Code]] &amp; "-"&amp;tbl_Assessment[[#This Row],[admin4Pcode]]&amp;"-" &amp; TEXT(COUNTIF(INDEX(tbl_Assessment[Ben Code],1):tbl_Assessment[[#This Row],[Ben Code]], tbl_Assessment[[#This Row],[Ben Code]]), "00")</f>
        <v>--00</v>
      </c>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49"/>
      <c r="AU124" s="41"/>
      <c r="AV124" s="37"/>
      <c r="AW124" s="37"/>
      <c r="AX124" s="37"/>
      <c r="AY124" s="37"/>
      <c r="AZ124" s="37"/>
      <c r="BA124" s="37"/>
      <c r="BB124" s="41"/>
      <c r="BC124" s="37"/>
      <c r="BD124" s="37"/>
      <c r="BE124" s="37"/>
      <c r="BF124" s="41"/>
      <c r="BG124" s="37"/>
      <c r="BH124" s="37"/>
      <c r="BI124" s="37"/>
      <c r="BJ124" s="41"/>
    </row>
    <row r="125" spans="2:62" ht="25.15" customHeight="1" x14ac:dyDescent="0.25">
      <c r="B125" s="49">
        <v>120</v>
      </c>
      <c r="C125" s="37"/>
      <c r="D125" s="87" t="str">
        <f>IF(tbl_Assessment[[#This Row],[Ben Code]]&lt;&gt;"",INDEX(tbl_Ben_Info[],MATCH(tbl_Assessment[[#This Row],[Ben Code]],tbl_Ben_Info[Ben Code],0),48),"")</f>
        <v/>
      </c>
      <c r="E125" s="116" t="str">
        <f>IF(tbl_Assessment[[#This Row],[Ben Code]]&lt;&gt;"",INDEX(tbl_Ben_Info[],MATCH(tbl_Assessment[[#This Row],[Ben Code]],tbl_Ben_Info[Ben Code],0),6),"")</f>
        <v/>
      </c>
      <c r="F125" s="113" t="str">
        <f>IF(tbl_Assessment[[#This Row],[Ben Code]]&lt;&gt;"",INDEX(tbl_Ben_Info[],MATCH(tbl_Assessment[[#This Row],[Ben Code]],tbl_Ben_Info[Ben Code],0),13),"")</f>
        <v/>
      </c>
      <c r="G125" s="49"/>
      <c r="H125" s="37"/>
      <c r="I125" s="37"/>
      <c r="J125" s="37"/>
      <c r="K125" s="37"/>
      <c r="L125" s="37"/>
      <c r="M125" s="59"/>
      <c r="N125" s="37"/>
      <c r="O125" s="37"/>
      <c r="P125" s="37"/>
      <c r="Q125" s="59"/>
      <c r="R125" s="49"/>
      <c r="S125" s="37"/>
      <c r="T125" s="37"/>
      <c r="U125" s="37"/>
      <c r="V125" s="37"/>
      <c r="W125" s="96" t="str">
        <f>tbl_Assessment[[#This Row],[Ben Code]] &amp; "-"&amp;tbl_Assessment[[#This Row],[admin4Pcode]]&amp;"-" &amp; TEXT(COUNTIF(INDEX(tbl_Assessment[Ben Code],1):tbl_Assessment[[#This Row],[Ben Code]], tbl_Assessment[[#This Row],[Ben Code]]), "00")</f>
        <v>--00</v>
      </c>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49"/>
      <c r="AU125" s="41"/>
      <c r="AV125" s="37"/>
      <c r="AW125" s="37"/>
      <c r="AX125" s="37"/>
      <c r="AY125" s="37"/>
      <c r="AZ125" s="37"/>
      <c r="BA125" s="37"/>
      <c r="BB125" s="41"/>
      <c r="BC125" s="37"/>
      <c r="BD125" s="37"/>
      <c r="BE125" s="37"/>
      <c r="BF125" s="41"/>
      <c r="BG125" s="37"/>
      <c r="BH125" s="37"/>
      <c r="BI125" s="37"/>
      <c r="BJ125" s="41"/>
    </row>
    <row r="126" spans="2:62" ht="25.15" customHeight="1" x14ac:dyDescent="0.25">
      <c r="B126" s="49">
        <v>121</v>
      </c>
      <c r="C126" s="37"/>
      <c r="D126" s="87" t="str">
        <f>IF(tbl_Assessment[[#This Row],[Ben Code]]&lt;&gt;"",INDEX(tbl_Ben_Info[],MATCH(tbl_Assessment[[#This Row],[Ben Code]],tbl_Ben_Info[Ben Code],0),48),"")</f>
        <v/>
      </c>
      <c r="E126" s="116" t="str">
        <f>IF(tbl_Assessment[[#This Row],[Ben Code]]&lt;&gt;"",INDEX(tbl_Ben_Info[],MATCH(tbl_Assessment[[#This Row],[Ben Code]],tbl_Ben_Info[Ben Code],0),6),"")</f>
        <v/>
      </c>
      <c r="F126" s="113" t="str">
        <f>IF(tbl_Assessment[[#This Row],[Ben Code]]&lt;&gt;"",INDEX(tbl_Ben_Info[],MATCH(tbl_Assessment[[#This Row],[Ben Code]],tbl_Ben_Info[Ben Code],0),13),"")</f>
        <v/>
      </c>
      <c r="G126" s="49"/>
      <c r="H126" s="37"/>
      <c r="I126" s="37"/>
      <c r="J126" s="37"/>
      <c r="K126" s="37"/>
      <c r="L126" s="37"/>
      <c r="M126" s="59"/>
      <c r="N126" s="37"/>
      <c r="O126" s="37"/>
      <c r="P126" s="37"/>
      <c r="Q126" s="59"/>
      <c r="R126" s="49"/>
      <c r="S126" s="37"/>
      <c r="T126" s="37"/>
      <c r="U126" s="37"/>
      <c r="V126" s="37"/>
      <c r="W126" s="96" t="str">
        <f>tbl_Assessment[[#This Row],[Ben Code]] &amp; "-"&amp;tbl_Assessment[[#This Row],[admin4Pcode]]&amp;"-" &amp; TEXT(COUNTIF(INDEX(tbl_Assessment[Ben Code],1):tbl_Assessment[[#This Row],[Ben Code]], tbl_Assessment[[#This Row],[Ben Code]]), "00")</f>
        <v>--00</v>
      </c>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49"/>
      <c r="AU126" s="41"/>
      <c r="AV126" s="37"/>
      <c r="AW126" s="37"/>
      <c r="AX126" s="37"/>
      <c r="AY126" s="37"/>
      <c r="AZ126" s="37"/>
      <c r="BA126" s="37"/>
      <c r="BB126" s="41"/>
      <c r="BC126" s="37"/>
      <c r="BD126" s="37"/>
      <c r="BE126" s="37"/>
      <c r="BF126" s="41"/>
      <c r="BG126" s="37"/>
      <c r="BH126" s="37"/>
      <c r="BI126" s="37"/>
      <c r="BJ126" s="41"/>
    </row>
    <row r="127" spans="2:62" ht="25.15" customHeight="1" x14ac:dyDescent="0.25">
      <c r="B127" s="49">
        <v>122</v>
      </c>
      <c r="C127" s="37"/>
      <c r="D127" s="87" t="str">
        <f>IF(tbl_Assessment[[#This Row],[Ben Code]]&lt;&gt;"",INDEX(tbl_Ben_Info[],MATCH(tbl_Assessment[[#This Row],[Ben Code]],tbl_Ben_Info[Ben Code],0),48),"")</f>
        <v/>
      </c>
      <c r="E127" s="116" t="str">
        <f>IF(tbl_Assessment[[#This Row],[Ben Code]]&lt;&gt;"",INDEX(tbl_Ben_Info[],MATCH(tbl_Assessment[[#This Row],[Ben Code]],tbl_Ben_Info[Ben Code],0),6),"")</f>
        <v/>
      </c>
      <c r="F127" s="113" t="str">
        <f>IF(tbl_Assessment[[#This Row],[Ben Code]]&lt;&gt;"",INDEX(tbl_Ben_Info[],MATCH(tbl_Assessment[[#This Row],[Ben Code]],tbl_Ben_Info[Ben Code],0),13),"")</f>
        <v/>
      </c>
      <c r="G127" s="49"/>
      <c r="H127" s="37"/>
      <c r="I127" s="37"/>
      <c r="J127" s="37"/>
      <c r="K127" s="37"/>
      <c r="L127" s="37"/>
      <c r="M127" s="59"/>
      <c r="N127" s="37"/>
      <c r="O127" s="37"/>
      <c r="P127" s="37"/>
      <c r="Q127" s="59"/>
      <c r="R127" s="49"/>
      <c r="S127" s="37"/>
      <c r="T127" s="37"/>
      <c r="U127" s="37"/>
      <c r="V127" s="37"/>
      <c r="W127" s="96" t="str">
        <f>tbl_Assessment[[#This Row],[Ben Code]] &amp; "-"&amp;tbl_Assessment[[#This Row],[admin4Pcode]]&amp;"-" &amp; TEXT(COUNTIF(INDEX(tbl_Assessment[Ben Code],1):tbl_Assessment[[#This Row],[Ben Code]], tbl_Assessment[[#This Row],[Ben Code]]), "00")</f>
        <v>--00</v>
      </c>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49"/>
      <c r="AU127" s="41"/>
      <c r="AV127" s="37"/>
      <c r="AW127" s="37"/>
      <c r="AX127" s="37"/>
      <c r="AY127" s="37"/>
      <c r="AZ127" s="37"/>
      <c r="BA127" s="37"/>
      <c r="BB127" s="41"/>
      <c r="BC127" s="37"/>
      <c r="BD127" s="37"/>
      <c r="BE127" s="37"/>
      <c r="BF127" s="41"/>
      <c r="BG127" s="37"/>
      <c r="BH127" s="37"/>
      <c r="BI127" s="37"/>
      <c r="BJ127" s="41"/>
    </row>
    <row r="128" spans="2:62" ht="25.15" customHeight="1" x14ac:dyDescent="0.25">
      <c r="B128" s="49">
        <v>123</v>
      </c>
      <c r="C128" s="37"/>
      <c r="D128" s="87" t="str">
        <f>IF(tbl_Assessment[[#This Row],[Ben Code]]&lt;&gt;"",INDEX(tbl_Ben_Info[],MATCH(tbl_Assessment[[#This Row],[Ben Code]],tbl_Ben_Info[Ben Code],0),48),"")</f>
        <v/>
      </c>
      <c r="E128" s="116" t="str">
        <f>IF(tbl_Assessment[[#This Row],[Ben Code]]&lt;&gt;"",INDEX(tbl_Ben_Info[],MATCH(tbl_Assessment[[#This Row],[Ben Code]],tbl_Ben_Info[Ben Code],0),6),"")</f>
        <v/>
      </c>
      <c r="F128" s="113" t="str">
        <f>IF(tbl_Assessment[[#This Row],[Ben Code]]&lt;&gt;"",INDEX(tbl_Ben_Info[],MATCH(tbl_Assessment[[#This Row],[Ben Code]],tbl_Ben_Info[Ben Code],0),13),"")</f>
        <v/>
      </c>
      <c r="G128" s="49"/>
      <c r="H128" s="37"/>
      <c r="I128" s="37"/>
      <c r="J128" s="37"/>
      <c r="K128" s="37"/>
      <c r="L128" s="37"/>
      <c r="M128" s="59"/>
      <c r="N128" s="37"/>
      <c r="O128" s="37"/>
      <c r="P128" s="37"/>
      <c r="Q128" s="59"/>
      <c r="R128" s="49"/>
      <c r="S128" s="37"/>
      <c r="T128" s="37"/>
      <c r="U128" s="37"/>
      <c r="V128" s="37"/>
      <c r="W128" s="96" t="str">
        <f>tbl_Assessment[[#This Row],[Ben Code]] &amp; "-"&amp;tbl_Assessment[[#This Row],[admin4Pcode]]&amp;"-" &amp; TEXT(COUNTIF(INDEX(tbl_Assessment[Ben Code],1):tbl_Assessment[[#This Row],[Ben Code]], tbl_Assessment[[#This Row],[Ben Code]]), "00")</f>
        <v>--00</v>
      </c>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49"/>
      <c r="AU128" s="41"/>
      <c r="AV128" s="37"/>
      <c r="AW128" s="37"/>
      <c r="AX128" s="37"/>
      <c r="AY128" s="37"/>
      <c r="AZ128" s="37"/>
      <c r="BA128" s="37"/>
      <c r="BB128" s="41"/>
      <c r="BC128" s="37"/>
      <c r="BD128" s="37"/>
      <c r="BE128" s="37"/>
      <c r="BF128" s="41"/>
      <c r="BG128" s="37"/>
      <c r="BH128" s="37"/>
      <c r="BI128" s="37"/>
      <c r="BJ128" s="41"/>
    </row>
    <row r="129" spans="2:62" ht="25.15" customHeight="1" x14ac:dyDescent="0.25">
      <c r="B129" s="49">
        <v>124</v>
      </c>
      <c r="C129" s="37"/>
      <c r="D129" s="87" t="str">
        <f>IF(tbl_Assessment[[#This Row],[Ben Code]]&lt;&gt;"",INDEX(tbl_Ben_Info[],MATCH(tbl_Assessment[[#This Row],[Ben Code]],tbl_Ben_Info[Ben Code],0),48),"")</f>
        <v/>
      </c>
      <c r="E129" s="116" t="str">
        <f>IF(tbl_Assessment[[#This Row],[Ben Code]]&lt;&gt;"",INDEX(tbl_Ben_Info[],MATCH(tbl_Assessment[[#This Row],[Ben Code]],tbl_Ben_Info[Ben Code],0),6),"")</f>
        <v/>
      </c>
      <c r="F129" s="113" t="str">
        <f>IF(tbl_Assessment[[#This Row],[Ben Code]]&lt;&gt;"",INDEX(tbl_Ben_Info[],MATCH(tbl_Assessment[[#This Row],[Ben Code]],tbl_Ben_Info[Ben Code],0),13),"")</f>
        <v/>
      </c>
      <c r="G129" s="49"/>
      <c r="H129" s="37"/>
      <c r="I129" s="37"/>
      <c r="J129" s="37"/>
      <c r="K129" s="37"/>
      <c r="L129" s="37"/>
      <c r="M129" s="59"/>
      <c r="N129" s="37"/>
      <c r="O129" s="37"/>
      <c r="P129" s="37"/>
      <c r="Q129" s="59"/>
      <c r="R129" s="49"/>
      <c r="S129" s="37"/>
      <c r="T129" s="37"/>
      <c r="U129" s="37"/>
      <c r="V129" s="37"/>
      <c r="W129" s="96" t="str">
        <f>tbl_Assessment[[#This Row],[Ben Code]] &amp; "-"&amp;tbl_Assessment[[#This Row],[admin4Pcode]]&amp;"-" &amp; TEXT(COUNTIF(INDEX(tbl_Assessment[Ben Code],1):tbl_Assessment[[#This Row],[Ben Code]], tbl_Assessment[[#This Row],[Ben Code]]), "00")</f>
        <v>--00</v>
      </c>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49"/>
      <c r="AU129" s="41"/>
      <c r="AV129" s="37"/>
      <c r="AW129" s="37"/>
      <c r="AX129" s="37"/>
      <c r="AY129" s="37"/>
      <c r="AZ129" s="37"/>
      <c r="BA129" s="37"/>
      <c r="BB129" s="41"/>
      <c r="BC129" s="37"/>
      <c r="BD129" s="37"/>
      <c r="BE129" s="37"/>
      <c r="BF129" s="41"/>
      <c r="BG129" s="37"/>
      <c r="BH129" s="37"/>
      <c r="BI129" s="37"/>
      <c r="BJ129" s="41"/>
    </row>
    <row r="130" spans="2:62" ht="25.15" customHeight="1" x14ac:dyDescent="0.25">
      <c r="B130" s="49">
        <v>125</v>
      </c>
      <c r="C130" s="37"/>
      <c r="D130" s="87" t="str">
        <f>IF(tbl_Assessment[[#This Row],[Ben Code]]&lt;&gt;"",INDEX(tbl_Ben_Info[],MATCH(tbl_Assessment[[#This Row],[Ben Code]],tbl_Ben_Info[Ben Code],0),48),"")</f>
        <v/>
      </c>
      <c r="E130" s="116" t="str">
        <f>IF(tbl_Assessment[[#This Row],[Ben Code]]&lt;&gt;"",INDEX(tbl_Ben_Info[],MATCH(tbl_Assessment[[#This Row],[Ben Code]],tbl_Ben_Info[Ben Code],0),6),"")</f>
        <v/>
      </c>
      <c r="F130" s="113" t="str">
        <f>IF(tbl_Assessment[[#This Row],[Ben Code]]&lt;&gt;"",INDEX(tbl_Ben_Info[],MATCH(tbl_Assessment[[#This Row],[Ben Code]],tbl_Ben_Info[Ben Code],0),13),"")</f>
        <v/>
      </c>
      <c r="G130" s="49"/>
      <c r="H130" s="37"/>
      <c r="I130" s="37"/>
      <c r="J130" s="37"/>
      <c r="K130" s="37"/>
      <c r="L130" s="37"/>
      <c r="M130" s="59"/>
      <c r="N130" s="37"/>
      <c r="O130" s="37"/>
      <c r="P130" s="37"/>
      <c r="Q130" s="59"/>
      <c r="R130" s="49"/>
      <c r="S130" s="37"/>
      <c r="T130" s="37"/>
      <c r="U130" s="37"/>
      <c r="V130" s="37"/>
      <c r="W130" s="96" t="str">
        <f>tbl_Assessment[[#This Row],[Ben Code]] &amp; "-"&amp;tbl_Assessment[[#This Row],[admin4Pcode]]&amp;"-" &amp; TEXT(COUNTIF(INDEX(tbl_Assessment[Ben Code],1):tbl_Assessment[[#This Row],[Ben Code]], tbl_Assessment[[#This Row],[Ben Code]]), "00")</f>
        <v>--00</v>
      </c>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49"/>
      <c r="AU130" s="41"/>
      <c r="AV130" s="37"/>
      <c r="AW130" s="37"/>
      <c r="AX130" s="37"/>
      <c r="AY130" s="37"/>
      <c r="AZ130" s="37"/>
      <c r="BA130" s="37"/>
      <c r="BB130" s="41"/>
      <c r="BC130" s="37"/>
      <c r="BD130" s="37"/>
      <c r="BE130" s="37"/>
      <c r="BF130" s="41"/>
      <c r="BG130" s="37"/>
      <c r="BH130" s="37"/>
      <c r="BI130" s="37"/>
      <c r="BJ130" s="41"/>
    </row>
    <row r="131" spans="2:62" ht="25.15" customHeight="1" x14ac:dyDescent="0.25">
      <c r="B131" s="49">
        <v>126</v>
      </c>
      <c r="C131" s="37"/>
      <c r="D131" s="87" t="str">
        <f>IF(tbl_Assessment[[#This Row],[Ben Code]]&lt;&gt;"",INDEX(tbl_Ben_Info[],MATCH(tbl_Assessment[[#This Row],[Ben Code]],tbl_Ben_Info[Ben Code],0),48),"")</f>
        <v/>
      </c>
      <c r="E131" s="116" t="str">
        <f>IF(tbl_Assessment[[#This Row],[Ben Code]]&lt;&gt;"",INDEX(tbl_Ben_Info[],MATCH(tbl_Assessment[[#This Row],[Ben Code]],tbl_Ben_Info[Ben Code],0),6),"")</f>
        <v/>
      </c>
      <c r="F131" s="113" t="str">
        <f>IF(tbl_Assessment[[#This Row],[Ben Code]]&lt;&gt;"",INDEX(tbl_Ben_Info[],MATCH(tbl_Assessment[[#This Row],[Ben Code]],tbl_Ben_Info[Ben Code],0),13),"")</f>
        <v/>
      </c>
      <c r="G131" s="49"/>
      <c r="H131" s="37"/>
      <c r="I131" s="37"/>
      <c r="J131" s="37"/>
      <c r="K131" s="37"/>
      <c r="L131" s="37"/>
      <c r="M131" s="59"/>
      <c r="N131" s="37"/>
      <c r="O131" s="37"/>
      <c r="P131" s="37"/>
      <c r="Q131" s="59"/>
      <c r="R131" s="49"/>
      <c r="S131" s="37"/>
      <c r="T131" s="37"/>
      <c r="U131" s="37"/>
      <c r="V131" s="37"/>
      <c r="W131" s="96" t="str">
        <f>tbl_Assessment[[#This Row],[Ben Code]] &amp; "-"&amp;tbl_Assessment[[#This Row],[admin4Pcode]]&amp;"-" &amp; TEXT(COUNTIF(INDEX(tbl_Assessment[Ben Code],1):tbl_Assessment[[#This Row],[Ben Code]], tbl_Assessment[[#This Row],[Ben Code]]), "00")</f>
        <v>--00</v>
      </c>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49"/>
      <c r="AU131" s="41"/>
      <c r="AV131" s="37"/>
      <c r="AW131" s="37"/>
      <c r="AX131" s="37"/>
      <c r="AY131" s="37"/>
      <c r="AZ131" s="37"/>
      <c r="BA131" s="37"/>
      <c r="BB131" s="41"/>
      <c r="BC131" s="37"/>
      <c r="BD131" s="37"/>
      <c r="BE131" s="37"/>
      <c r="BF131" s="41"/>
      <c r="BG131" s="37"/>
      <c r="BH131" s="37"/>
      <c r="BI131" s="37"/>
      <c r="BJ131" s="41"/>
    </row>
    <row r="132" spans="2:62" ht="25.15" customHeight="1" x14ac:dyDescent="0.25">
      <c r="B132" s="49">
        <v>127</v>
      </c>
      <c r="C132" s="37"/>
      <c r="D132" s="87" t="str">
        <f>IF(tbl_Assessment[[#This Row],[Ben Code]]&lt;&gt;"",INDEX(tbl_Ben_Info[],MATCH(tbl_Assessment[[#This Row],[Ben Code]],tbl_Ben_Info[Ben Code],0),48),"")</f>
        <v/>
      </c>
      <c r="E132" s="116" t="str">
        <f>IF(tbl_Assessment[[#This Row],[Ben Code]]&lt;&gt;"",INDEX(tbl_Ben_Info[],MATCH(tbl_Assessment[[#This Row],[Ben Code]],tbl_Ben_Info[Ben Code],0),6),"")</f>
        <v/>
      </c>
      <c r="F132" s="113" t="str">
        <f>IF(tbl_Assessment[[#This Row],[Ben Code]]&lt;&gt;"",INDEX(tbl_Ben_Info[],MATCH(tbl_Assessment[[#This Row],[Ben Code]],tbl_Ben_Info[Ben Code],0),13),"")</f>
        <v/>
      </c>
      <c r="G132" s="49"/>
      <c r="H132" s="37"/>
      <c r="I132" s="37"/>
      <c r="J132" s="37"/>
      <c r="K132" s="37"/>
      <c r="L132" s="37"/>
      <c r="M132" s="59"/>
      <c r="N132" s="37"/>
      <c r="O132" s="37"/>
      <c r="P132" s="37"/>
      <c r="Q132" s="59"/>
      <c r="R132" s="49"/>
      <c r="S132" s="37"/>
      <c r="T132" s="37"/>
      <c r="U132" s="37"/>
      <c r="V132" s="37"/>
      <c r="W132" s="96" t="str">
        <f>tbl_Assessment[[#This Row],[Ben Code]] &amp; "-"&amp;tbl_Assessment[[#This Row],[admin4Pcode]]&amp;"-" &amp; TEXT(COUNTIF(INDEX(tbl_Assessment[Ben Code],1):tbl_Assessment[[#This Row],[Ben Code]], tbl_Assessment[[#This Row],[Ben Code]]), "00")</f>
        <v>--00</v>
      </c>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49"/>
      <c r="AU132" s="41"/>
      <c r="AV132" s="37"/>
      <c r="AW132" s="37"/>
      <c r="AX132" s="37"/>
      <c r="AY132" s="37"/>
      <c r="AZ132" s="37"/>
      <c r="BA132" s="37"/>
      <c r="BB132" s="41"/>
      <c r="BC132" s="37"/>
      <c r="BD132" s="37"/>
      <c r="BE132" s="37"/>
      <c r="BF132" s="41"/>
      <c r="BG132" s="37"/>
      <c r="BH132" s="37"/>
      <c r="BI132" s="37"/>
      <c r="BJ132" s="41"/>
    </row>
    <row r="133" spans="2:62" ht="25.15" customHeight="1" x14ac:dyDescent="0.25">
      <c r="B133" s="49">
        <v>128</v>
      </c>
      <c r="C133" s="37"/>
      <c r="D133" s="87" t="str">
        <f>IF(tbl_Assessment[[#This Row],[Ben Code]]&lt;&gt;"",INDEX(tbl_Ben_Info[],MATCH(tbl_Assessment[[#This Row],[Ben Code]],tbl_Ben_Info[Ben Code],0),48),"")</f>
        <v/>
      </c>
      <c r="E133" s="116" t="str">
        <f>IF(tbl_Assessment[[#This Row],[Ben Code]]&lt;&gt;"",INDEX(tbl_Ben_Info[],MATCH(tbl_Assessment[[#This Row],[Ben Code]],tbl_Ben_Info[Ben Code],0),6),"")</f>
        <v/>
      </c>
      <c r="F133" s="113" t="str">
        <f>IF(tbl_Assessment[[#This Row],[Ben Code]]&lt;&gt;"",INDEX(tbl_Ben_Info[],MATCH(tbl_Assessment[[#This Row],[Ben Code]],tbl_Ben_Info[Ben Code],0),13),"")</f>
        <v/>
      </c>
      <c r="G133" s="49"/>
      <c r="H133" s="37"/>
      <c r="I133" s="37"/>
      <c r="J133" s="37"/>
      <c r="K133" s="37"/>
      <c r="L133" s="37"/>
      <c r="M133" s="59"/>
      <c r="N133" s="37"/>
      <c r="O133" s="37"/>
      <c r="P133" s="37"/>
      <c r="Q133" s="59"/>
      <c r="R133" s="49"/>
      <c r="S133" s="37"/>
      <c r="T133" s="37"/>
      <c r="U133" s="37"/>
      <c r="V133" s="37"/>
      <c r="W133" s="96" t="str">
        <f>tbl_Assessment[[#This Row],[Ben Code]] &amp; "-"&amp;tbl_Assessment[[#This Row],[admin4Pcode]]&amp;"-" &amp; TEXT(COUNTIF(INDEX(tbl_Assessment[Ben Code],1):tbl_Assessment[[#This Row],[Ben Code]], tbl_Assessment[[#This Row],[Ben Code]]), "00")</f>
        <v>--00</v>
      </c>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49"/>
      <c r="AU133" s="41"/>
      <c r="AV133" s="37"/>
      <c r="AW133" s="37"/>
      <c r="AX133" s="37"/>
      <c r="AY133" s="37"/>
      <c r="AZ133" s="37"/>
      <c r="BA133" s="37"/>
      <c r="BB133" s="41"/>
      <c r="BC133" s="37"/>
      <c r="BD133" s="37"/>
      <c r="BE133" s="37"/>
      <c r="BF133" s="41"/>
      <c r="BG133" s="37"/>
      <c r="BH133" s="37"/>
      <c r="BI133" s="37"/>
      <c r="BJ133" s="41"/>
    </row>
    <row r="134" spans="2:62" ht="25.15" customHeight="1" x14ac:dyDescent="0.25">
      <c r="B134" s="49">
        <v>129</v>
      </c>
      <c r="C134" s="37"/>
      <c r="D134" s="87" t="str">
        <f>IF(tbl_Assessment[[#This Row],[Ben Code]]&lt;&gt;"",INDEX(tbl_Ben_Info[],MATCH(tbl_Assessment[[#This Row],[Ben Code]],tbl_Ben_Info[Ben Code],0),48),"")</f>
        <v/>
      </c>
      <c r="E134" s="116" t="str">
        <f>IF(tbl_Assessment[[#This Row],[Ben Code]]&lt;&gt;"",INDEX(tbl_Ben_Info[],MATCH(tbl_Assessment[[#This Row],[Ben Code]],tbl_Ben_Info[Ben Code],0),6),"")</f>
        <v/>
      </c>
      <c r="F134" s="113" t="str">
        <f>IF(tbl_Assessment[[#This Row],[Ben Code]]&lt;&gt;"",INDEX(tbl_Ben_Info[],MATCH(tbl_Assessment[[#This Row],[Ben Code]],tbl_Ben_Info[Ben Code],0),13),"")</f>
        <v/>
      </c>
      <c r="G134" s="49"/>
      <c r="H134" s="37"/>
      <c r="I134" s="37"/>
      <c r="J134" s="37"/>
      <c r="K134" s="37"/>
      <c r="L134" s="37"/>
      <c r="M134" s="59"/>
      <c r="N134" s="37"/>
      <c r="O134" s="37"/>
      <c r="P134" s="37"/>
      <c r="Q134" s="59"/>
      <c r="R134" s="49"/>
      <c r="S134" s="37"/>
      <c r="T134" s="37"/>
      <c r="U134" s="37"/>
      <c r="V134" s="37"/>
      <c r="W134" s="96" t="str">
        <f>tbl_Assessment[[#This Row],[Ben Code]] &amp; "-"&amp;tbl_Assessment[[#This Row],[admin4Pcode]]&amp;"-" &amp; TEXT(COUNTIF(INDEX(tbl_Assessment[Ben Code],1):tbl_Assessment[[#This Row],[Ben Code]], tbl_Assessment[[#This Row],[Ben Code]]), "00")</f>
        <v>--00</v>
      </c>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49"/>
      <c r="AU134" s="41"/>
      <c r="AV134" s="37"/>
      <c r="AW134" s="37"/>
      <c r="AX134" s="37"/>
      <c r="AY134" s="37"/>
      <c r="AZ134" s="37"/>
      <c r="BA134" s="37"/>
      <c r="BB134" s="41"/>
      <c r="BC134" s="37"/>
      <c r="BD134" s="37"/>
      <c r="BE134" s="37"/>
      <c r="BF134" s="41"/>
      <c r="BG134" s="37"/>
      <c r="BH134" s="37"/>
      <c r="BI134" s="37"/>
      <c r="BJ134" s="41"/>
    </row>
    <row r="135" spans="2:62" ht="25.15" customHeight="1" x14ac:dyDescent="0.25">
      <c r="B135" s="49">
        <v>130</v>
      </c>
      <c r="C135" s="37"/>
      <c r="D135" s="87" t="str">
        <f>IF(tbl_Assessment[[#This Row],[Ben Code]]&lt;&gt;"",INDEX(tbl_Ben_Info[],MATCH(tbl_Assessment[[#This Row],[Ben Code]],tbl_Ben_Info[Ben Code],0),48),"")</f>
        <v/>
      </c>
      <c r="E135" s="116" t="str">
        <f>IF(tbl_Assessment[[#This Row],[Ben Code]]&lt;&gt;"",INDEX(tbl_Ben_Info[],MATCH(tbl_Assessment[[#This Row],[Ben Code]],tbl_Ben_Info[Ben Code],0),6),"")</f>
        <v/>
      </c>
      <c r="F135" s="113" t="str">
        <f>IF(tbl_Assessment[[#This Row],[Ben Code]]&lt;&gt;"",INDEX(tbl_Ben_Info[],MATCH(tbl_Assessment[[#This Row],[Ben Code]],tbl_Ben_Info[Ben Code],0),13),"")</f>
        <v/>
      </c>
      <c r="G135" s="49"/>
      <c r="H135" s="37"/>
      <c r="I135" s="37"/>
      <c r="J135" s="37"/>
      <c r="K135" s="37"/>
      <c r="L135" s="37"/>
      <c r="M135" s="59"/>
      <c r="N135" s="37"/>
      <c r="O135" s="37"/>
      <c r="P135" s="37"/>
      <c r="Q135" s="59"/>
      <c r="R135" s="49"/>
      <c r="S135" s="37"/>
      <c r="T135" s="37"/>
      <c r="U135" s="37"/>
      <c r="V135" s="37"/>
      <c r="W135" s="96" t="str">
        <f>tbl_Assessment[[#This Row],[Ben Code]] &amp; "-"&amp;tbl_Assessment[[#This Row],[admin4Pcode]]&amp;"-" &amp; TEXT(COUNTIF(INDEX(tbl_Assessment[Ben Code],1):tbl_Assessment[[#This Row],[Ben Code]], tbl_Assessment[[#This Row],[Ben Code]]), "00")</f>
        <v>--00</v>
      </c>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49"/>
      <c r="AU135" s="41"/>
      <c r="AV135" s="37"/>
      <c r="AW135" s="37"/>
      <c r="AX135" s="37"/>
      <c r="AY135" s="37"/>
      <c r="AZ135" s="37"/>
      <c r="BA135" s="37"/>
      <c r="BB135" s="41"/>
      <c r="BC135" s="37"/>
      <c r="BD135" s="37"/>
      <c r="BE135" s="37"/>
      <c r="BF135" s="41"/>
      <c r="BG135" s="37"/>
      <c r="BH135" s="37"/>
      <c r="BI135" s="37"/>
      <c r="BJ135" s="41"/>
    </row>
    <row r="136" spans="2:62" ht="25.15" customHeight="1" x14ac:dyDescent="0.25">
      <c r="B136" s="49">
        <v>131</v>
      </c>
      <c r="C136" s="37"/>
      <c r="D136" s="87" t="str">
        <f>IF(tbl_Assessment[[#This Row],[Ben Code]]&lt;&gt;"",INDEX(tbl_Ben_Info[],MATCH(tbl_Assessment[[#This Row],[Ben Code]],tbl_Ben_Info[Ben Code],0),48),"")</f>
        <v/>
      </c>
      <c r="E136" s="116" t="str">
        <f>IF(tbl_Assessment[[#This Row],[Ben Code]]&lt;&gt;"",INDEX(tbl_Ben_Info[],MATCH(tbl_Assessment[[#This Row],[Ben Code]],tbl_Ben_Info[Ben Code],0),6),"")</f>
        <v/>
      </c>
      <c r="F136" s="113" t="str">
        <f>IF(tbl_Assessment[[#This Row],[Ben Code]]&lt;&gt;"",INDEX(tbl_Ben_Info[],MATCH(tbl_Assessment[[#This Row],[Ben Code]],tbl_Ben_Info[Ben Code],0),13),"")</f>
        <v/>
      </c>
      <c r="G136" s="49"/>
      <c r="H136" s="37"/>
      <c r="I136" s="37"/>
      <c r="J136" s="37"/>
      <c r="K136" s="37"/>
      <c r="L136" s="37"/>
      <c r="M136" s="59"/>
      <c r="N136" s="37"/>
      <c r="O136" s="37"/>
      <c r="P136" s="37"/>
      <c r="Q136" s="59"/>
      <c r="R136" s="49"/>
      <c r="S136" s="37"/>
      <c r="T136" s="37"/>
      <c r="U136" s="37"/>
      <c r="V136" s="37"/>
      <c r="W136" s="96" t="str">
        <f>tbl_Assessment[[#This Row],[Ben Code]] &amp; "-"&amp;tbl_Assessment[[#This Row],[admin4Pcode]]&amp;"-" &amp; TEXT(COUNTIF(INDEX(tbl_Assessment[Ben Code],1):tbl_Assessment[[#This Row],[Ben Code]], tbl_Assessment[[#This Row],[Ben Code]]), "00")</f>
        <v>--00</v>
      </c>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49"/>
      <c r="AU136" s="41"/>
      <c r="AV136" s="37"/>
      <c r="AW136" s="37"/>
      <c r="AX136" s="37"/>
      <c r="AY136" s="37"/>
      <c r="AZ136" s="37"/>
      <c r="BA136" s="37"/>
      <c r="BB136" s="41"/>
      <c r="BC136" s="37"/>
      <c r="BD136" s="37"/>
      <c r="BE136" s="37"/>
      <c r="BF136" s="41"/>
      <c r="BG136" s="37"/>
      <c r="BH136" s="37"/>
      <c r="BI136" s="37"/>
      <c r="BJ136" s="41"/>
    </row>
    <row r="137" spans="2:62" ht="25.15" customHeight="1" x14ac:dyDescent="0.25">
      <c r="B137" s="49">
        <v>132</v>
      </c>
      <c r="C137" s="37"/>
      <c r="D137" s="87" t="str">
        <f>IF(tbl_Assessment[[#This Row],[Ben Code]]&lt;&gt;"",INDEX(tbl_Ben_Info[],MATCH(tbl_Assessment[[#This Row],[Ben Code]],tbl_Ben_Info[Ben Code],0),48),"")</f>
        <v/>
      </c>
      <c r="E137" s="116" t="str">
        <f>IF(tbl_Assessment[[#This Row],[Ben Code]]&lt;&gt;"",INDEX(tbl_Ben_Info[],MATCH(tbl_Assessment[[#This Row],[Ben Code]],tbl_Ben_Info[Ben Code],0),6),"")</f>
        <v/>
      </c>
      <c r="F137" s="113" t="str">
        <f>IF(tbl_Assessment[[#This Row],[Ben Code]]&lt;&gt;"",INDEX(tbl_Ben_Info[],MATCH(tbl_Assessment[[#This Row],[Ben Code]],tbl_Ben_Info[Ben Code],0),13),"")</f>
        <v/>
      </c>
      <c r="G137" s="49"/>
      <c r="H137" s="37"/>
      <c r="I137" s="37"/>
      <c r="J137" s="37"/>
      <c r="K137" s="37"/>
      <c r="L137" s="37"/>
      <c r="M137" s="59"/>
      <c r="N137" s="37"/>
      <c r="O137" s="37"/>
      <c r="P137" s="37"/>
      <c r="Q137" s="59"/>
      <c r="R137" s="49"/>
      <c r="S137" s="37"/>
      <c r="T137" s="37"/>
      <c r="U137" s="37"/>
      <c r="V137" s="37"/>
      <c r="W137" s="96" t="str">
        <f>tbl_Assessment[[#This Row],[Ben Code]] &amp; "-"&amp;tbl_Assessment[[#This Row],[admin4Pcode]]&amp;"-" &amp; TEXT(COUNTIF(INDEX(tbl_Assessment[Ben Code],1):tbl_Assessment[[#This Row],[Ben Code]], tbl_Assessment[[#This Row],[Ben Code]]), "00")</f>
        <v>--00</v>
      </c>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49"/>
      <c r="AU137" s="41"/>
      <c r="AV137" s="37"/>
      <c r="AW137" s="37"/>
      <c r="AX137" s="37"/>
      <c r="AY137" s="37"/>
      <c r="AZ137" s="37"/>
      <c r="BA137" s="37"/>
      <c r="BB137" s="41"/>
      <c r="BC137" s="37"/>
      <c r="BD137" s="37"/>
      <c r="BE137" s="37"/>
      <c r="BF137" s="41"/>
      <c r="BG137" s="37"/>
      <c r="BH137" s="37"/>
      <c r="BI137" s="37"/>
      <c r="BJ137" s="41"/>
    </row>
    <row r="138" spans="2:62" ht="25.15" customHeight="1" x14ac:dyDescent="0.25">
      <c r="B138" s="49">
        <v>133</v>
      </c>
      <c r="C138" s="37"/>
      <c r="D138" s="87" t="str">
        <f>IF(tbl_Assessment[[#This Row],[Ben Code]]&lt;&gt;"",INDEX(tbl_Ben_Info[],MATCH(tbl_Assessment[[#This Row],[Ben Code]],tbl_Ben_Info[Ben Code],0),48),"")</f>
        <v/>
      </c>
      <c r="E138" s="116" t="str">
        <f>IF(tbl_Assessment[[#This Row],[Ben Code]]&lt;&gt;"",INDEX(tbl_Ben_Info[],MATCH(tbl_Assessment[[#This Row],[Ben Code]],tbl_Ben_Info[Ben Code],0),6),"")</f>
        <v/>
      </c>
      <c r="F138" s="113" t="str">
        <f>IF(tbl_Assessment[[#This Row],[Ben Code]]&lt;&gt;"",INDEX(tbl_Ben_Info[],MATCH(tbl_Assessment[[#This Row],[Ben Code]],tbl_Ben_Info[Ben Code],0),13),"")</f>
        <v/>
      </c>
      <c r="G138" s="49"/>
      <c r="H138" s="37"/>
      <c r="I138" s="37"/>
      <c r="J138" s="37"/>
      <c r="K138" s="37"/>
      <c r="L138" s="37"/>
      <c r="M138" s="59"/>
      <c r="N138" s="37"/>
      <c r="O138" s="37"/>
      <c r="P138" s="37"/>
      <c r="Q138" s="59"/>
      <c r="R138" s="49"/>
      <c r="S138" s="37"/>
      <c r="T138" s="37"/>
      <c r="U138" s="37"/>
      <c r="V138" s="37"/>
      <c r="W138" s="96" t="str">
        <f>tbl_Assessment[[#This Row],[Ben Code]] &amp; "-"&amp;tbl_Assessment[[#This Row],[admin4Pcode]]&amp;"-" &amp; TEXT(COUNTIF(INDEX(tbl_Assessment[Ben Code],1):tbl_Assessment[[#This Row],[Ben Code]], tbl_Assessment[[#This Row],[Ben Code]]), "00")</f>
        <v>--00</v>
      </c>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49"/>
      <c r="AU138" s="41"/>
      <c r="AV138" s="37"/>
      <c r="AW138" s="37"/>
      <c r="AX138" s="37"/>
      <c r="AY138" s="37"/>
      <c r="AZ138" s="37"/>
      <c r="BA138" s="37"/>
      <c r="BB138" s="41"/>
      <c r="BC138" s="37"/>
      <c r="BD138" s="37"/>
      <c r="BE138" s="37"/>
      <c r="BF138" s="41"/>
      <c r="BG138" s="37"/>
      <c r="BH138" s="37"/>
      <c r="BI138" s="37"/>
      <c r="BJ138" s="41"/>
    </row>
    <row r="139" spans="2:62" ht="25.15" customHeight="1" x14ac:dyDescent="0.25">
      <c r="B139" s="49">
        <v>134</v>
      </c>
      <c r="C139" s="37"/>
      <c r="D139" s="87" t="str">
        <f>IF(tbl_Assessment[[#This Row],[Ben Code]]&lt;&gt;"",INDEX(tbl_Ben_Info[],MATCH(tbl_Assessment[[#This Row],[Ben Code]],tbl_Ben_Info[Ben Code],0),48),"")</f>
        <v/>
      </c>
      <c r="E139" s="116" t="str">
        <f>IF(tbl_Assessment[[#This Row],[Ben Code]]&lt;&gt;"",INDEX(tbl_Ben_Info[],MATCH(tbl_Assessment[[#This Row],[Ben Code]],tbl_Ben_Info[Ben Code],0),6),"")</f>
        <v/>
      </c>
      <c r="F139" s="113" t="str">
        <f>IF(tbl_Assessment[[#This Row],[Ben Code]]&lt;&gt;"",INDEX(tbl_Ben_Info[],MATCH(tbl_Assessment[[#This Row],[Ben Code]],tbl_Ben_Info[Ben Code],0),13),"")</f>
        <v/>
      </c>
      <c r="G139" s="49"/>
      <c r="H139" s="37"/>
      <c r="I139" s="37"/>
      <c r="J139" s="37"/>
      <c r="K139" s="37"/>
      <c r="L139" s="37"/>
      <c r="M139" s="59"/>
      <c r="N139" s="37"/>
      <c r="O139" s="37"/>
      <c r="P139" s="37"/>
      <c r="Q139" s="59"/>
      <c r="R139" s="49"/>
      <c r="S139" s="37"/>
      <c r="T139" s="37"/>
      <c r="U139" s="37"/>
      <c r="V139" s="37"/>
      <c r="W139" s="96" t="str">
        <f>tbl_Assessment[[#This Row],[Ben Code]] &amp; "-"&amp;tbl_Assessment[[#This Row],[admin4Pcode]]&amp;"-" &amp; TEXT(COUNTIF(INDEX(tbl_Assessment[Ben Code],1):tbl_Assessment[[#This Row],[Ben Code]], tbl_Assessment[[#This Row],[Ben Code]]), "00")</f>
        <v>--00</v>
      </c>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49"/>
      <c r="AU139" s="41"/>
      <c r="AV139" s="37"/>
      <c r="AW139" s="37"/>
      <c r="AX139" s="37"/>
      <c r="AY139" s="37"/>
      <c r="AZ139" s="37"/>
      <c r="BA139" s="37"/>
      <c r="BB139" s="41"/>
      <c r="BC139" s="37"/>
      <c r="BD139" s="37"/>
      <c r="BE139" s="37"/>
      <c r="BF139" s="41"/>
      <c r="BG139" s="37"/>
      <c r="BH139" s="37"/>
      <c r="BI139" s="37"/>
      <c r="BJ139" s="41"/>
    </row>
    <row r="140" spans="2:62" ht="25.15" customHeight="1" x14ac:dyDescent="0.25">
      <c r="B140" s="49">
        <v>135</v>
      </c>
      <c r="C140" s="37"/>
      <c r="D140" s="87" t="str">
        <f>IF(tbl_Assessment[[#This Row],[Ben Code]]&lt;&gt;"",INDEX(tbl_Ben_Info[],MATCH(tbl_Assessment[[#This Row],[Ben Code]],tbl_Ben_Info[Ben Code],0),48),"")</f>
        <v/>
      </c>
      <c r="E140" s="116" t="str">
        <f>IF(tbl_Assessment[[#This Row],[Ben Code]]&lt;&gt;"",INDEX(tbl_Ben_Info[],MATCH(tbl_Assessment[[#This Row],[Ben Code]],tbl_Ben_Info[Ben Code],0),6),"")</f>
        <v/>
      </c>
      <c r="F140" s="113" t="str">
        <f>IF(tbl_Assessment[[#This Row],[Ben Code]]&lt;&gt;"",INDEX(tbl_Ben_Info[],MATCH(tbl_Assessment[[#This Row],[Ben Code]],tbl_Ben_Info[Ben Code],0),13),"")</f>
        <v/>
      </c>
      <c r="G140" s="49"/>
      <c r="H140" s="37"/>
      <c r="I140" s="37"/>
      <c r="J140" s="37"/>
      <c r="K140" s="37"/>
      <c r="L140" s="37"/>
      <c r="M140" s="59"/>
      <c r="N140" s="37"/>
      <c r="O140" s="37"/>
      <c r="P140" s="37"/>
      <c r="Q140" s="59"/>
      <c r="R140" s="49"/>
      <c r="S140" s="37"/>
      <c r="T140" s="37"/>
      <c r="U140" s="37"/>
      <c r="V140" s="37"/>
      <c r="W140" s="96" t="str">
        <f>tbl_Assessment[[#This Row],[Ben Code]] &amp; "-"&amp;tbl_Assessment[[#This Row],[admin4Pcode]]&amp;"-" &amp; TEXT(COUNTIF(INDEX(tbl_Assessment[Ben Code],1):tbl_Assessment[[#This Row],[Ben Code]], tbl_Assessment[[#This Row],[Ben Code]]), "00")</f>
        <v>--00</v>
      </c>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49"/>
      <c r="AU140" s="41"/>
      <c r="AV140" s="37"/>
      <c r="AW140" s="37"/>
      <c r="AX140" s="37"/>
      <c r="AY140" s="37"/>
      <c r="AZ140" s="37"/>
      <c r="BA140" s="37"/>
      <c r="BB140" s="41"/>
      <c r="BC140" s="37"/>
      <c r="BD140" s="37"/>
      <c r="BE140" s="37"/>
      <c r="BF140" s="41"/>
      <c r="BG140" s="37"/>
      <c r="BH140" s="37"/>
      <c r="BI140" s="37"/>
      <c r="BJ140" s="41"/>
    </row>
    <row r="141" spans="2:62" ht="25.15" customHeight="1" x14ac:dyDescent="0.25">
      <c r="B141" s="49">
        <v>136</v>
      </c>
      <c r="C141" s="37"/>
      <c r="D141" s="87" t="str">
        <f>IF(tbl_Assessment[[#This Row],[Ben Code]]&lt;&gt;"",INDEX(tbl_Ben_Info[],MATCH(tbl_Assessment[[#This Row],[Ben Code]],tbl_Ben_Info[Ben Code],0),48),"")</f>
        <v/>
      </c>
      <c r="E141" s="116" t="str">
        <f>IF(tbl_Assessment[[#This Row],[Ben Code]]&lt;&gt;"",INDEX(tbl_Ben_Info[],MATCH(tbl_Assessment[[#This Row],[Ben Code]],tbl_Ben_Info[Ben Code],0),6),"")</f>
        <v/>
      </c>
      <c r="F141" s="113" t="str">
        <f>IF(tbl_Assessment[[#This Row],[Ben Code]]&lt;&gt;"",INDEX(tbl_Ben_Info[],MATCH(tbl_Assessment[[#This Row],[Ben Code]],tbl_Ben_Info[Ben Code],0),13),"")</f>
        <v/>
      </c>
      <c r="G141" s="49"/>
      <c r="H141" s="37"/>
      <c r="I141" s="37"/>
      <c r="J141" s="37"/>
      <c r="K141" s="37"/>
      <c r="L141" s="37"/>
      <c r="M141" s="59"/>
      <c r="N141" s="37"/>
      <c r="O141" s="37"/>
      <c r="P141" s="37"/>
      <c r="Q141" s="59"/>
      <c r="R141" s="49"/>
      <c r="S141" s="37"/>
      <c r="T141" s="37"/>
      <c r="U141" s="37"/>
      <c r="V141" s="37"/>
      <c r="W141" s="96" t="str">
        <f>tbl_Assessment[[#This Row],[Ben Code]] &amp; "-"&amp;tbl_Assessment[[#This Row],[admin4Pcode]]&amp;"-" &amp; TEXT(COUNTIF(INDEX(tbl_Assessment[Ben Code],1):tbl_Assessment[[#This Row],[Ben Code]], tbl_Assessment[[#This Row],[Ben Code]]), "00")</f>
        <v>--00</v>
      </c>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49"/>
      <c r="AU141" s="41"/>
      <c r="AV141" s="37"/>
      <c r="AW141" s="37"/>
      <c r="AX141" s="37"/>
      <c r="AY141" s="37"/>
      <c r="AZ141" s="37"/>
      <c r="BA141" s="37"/>
      <c r="BB141" s="41"/>
      <c r="BC141" s="37"/>
      <c r="BD141" s="37"/>
      <c r="BE141" s="37"/>
      <c r="BF141" s="41"/>
      <c r="BG141" s="37"/>
      <c r="BH141" s="37"/>
      <c r="BI141" s="37"/>
      <c r="BJ141" s="41"/>
    </row>
    <row r="142" spans="2:62" ht="25.15" customHeight="1" x14ac:dyDescent="0.25">
      <c r="B142" s="49">
        <v>137</v>
      </c>
      <c r="C142" s="37"/>
      <c r="D142" s="87" t="str">
        <f>IF(tbl_Assessment[[#This Row],[Ben Code]]&lt;&gt;"",INDEX(tbl_Ben_Info[],MATCH(tbl_Assessment[[#This Row],[Ben Code]],tbl_Ben_Info[Ben Code],0),48),"")</f>
        <v/>
      </c>
      <c r="E142" s="116" t="str">
        <f>IF(tbl_Assessment[[#This Row],[Ben Code]]&lt;&gt;"",INDEX(tbl_Ben_Info[],MATCH(tbl_Assessment[[#This Row],[Ben Code]],tbl_Ben_Info[Ben Code],0),6),"")</f>
        <v/>
      </c>
      <c r="F142" s="113" t="str">
        <f>IF(tbl_Assessment[[#This Row],[Ben Code]]&lt;&gt;"",INDEX(tbl_Ben_Info[],MATCH(tbl_Assessment[[#This Row],[Ben Code]],tbl_Ben_Info[Ben Code],0),13),"")</f>
        <v/>
      </c>
      <c r="G142" s="49"/>
      <c r="H142" s="37"/>
      <c r="I142" s="37"/>
      <c r="J142" s="37"/>
      <c r="K142" s="37"/>
      <c r="L142" s="37"/>
      <c r="M142" s="59"/>
      <c r="N142" s="37"/>
      <c r="O142" s="37"/>
      <c r="P142" s="37"/>
      <c r="Q142" s="59"/>
      <c r="R142" s="49"/>
      <c r="S142" s="37"/>
      <c r="T142" s="37"/>
      <c r="U142" s="37"/>
      <c r="V142" s="37"/>
      <c r="W142" s="96" t="str">
        <f>tbl_Assessment[[#This Row],[Ben Code]] &amp; "-"&amp;tbl_Assessment[[#This Row],[admin4Pcode]]&amp;"-" &amp; TEXT(COUNTIF(INDEX(tbl_Assessment[Ben Code],1):tbl_Assessment[[#This Row],[Ben Code]], tbl_Assessment[[#This Row],[Ben Code]]), "00")</f>
        <v>--00</v>
      </c>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49"/>
      <c r="AU142" s="41"/>
      <c r="AV142" s="37"/>
      <c r="AW142" s="37"/>
      <c r="AX142" s="37"/>
      <c r="AY142" s="37"/>
      <c r="AZ142" s="37"/>
      <c r="BA142" s="37"/>
      <c r="BB142" s="41"/>
      <c r="BC142" s="37"/>
      <c r="BD142" s="37"/>
      <c r="BE142" s="37"/>
      <c r="BF142" s="41"/>
      <c r="BG142" s="37"/>
      <c r="BH142" s="37"/>
      <c r="BI142" s="37"/>
      <c r="BJ142" s="41"/>
    </row>
    <row r="143" spans="2:62" ht="25.15" customHeight="1" x14ac:dyDescent="0.25">
      <c r="B143" s="49">
        <v>138</v>
      </c>
      <c r="C143" s="37"/>
      <c r="D143" s="87" t="str">
        <f>IF(tbl_Assessment[[#This Row],[Ben Code]]&lt;&gt;"",INDEX(tbl_Ben_Info[],MATCH(tbl_Assessment[[#This Row],[Ben Code]],tbl_Ben_Info[Ben Code],0),48),"")</f>
        <v/>
      </c>
      <c r="E143" s="116" t="str">
        <f>IF(tbl_Assessment[[#This Row],[Ben Code]]&lt;&gt;"",INDEX(tbl_Ben_Info[],MATCH(tbl_Assessment[[#This Row],[Ben Code]],tbl_Ben_Info[Ben Code],0),6),"")</f>
        <v/>
      </c>
      <c r="F143" s="113" t="str">
        <f>IF(tbl_Assessment[[#This Row],[Ben Code]]&lt;&gt;"",INDEX(tbl_Ben_Info[],MATCH(tbl_Assessment[[#This Row],[Ben Code]],tbl_Ben_Info[Ben Code],0),13),"")</f>
        <v/>
      </c>
      <c r="G143" s="49"/>
      <c r="H143" s="37"/>
      <c r="I143" s="37"/>
      <c r="J143" s="37"/>
      <c r="K143" s="37"/>
      <c r="L143" s="37"/>
      <c r="M143" s="59"/>
      <c r="N143" s="37"/>
      <c r="O143" s="37"/>
      <c r="P143" s="37"/>
      <c r="Q143" s="59"/>
      <c r="R143" s="49"/>
      <c r="S143" s="37"/>
      <c r="T143" s="37"/>
      <c r="U143" s="37"/>
      <c r="V143" s="37"/>
      <c r="W143" s="96" t="str">
        <f>tbl_Assessment[[#This Row],[Ben Code]] &amp; "-"&amp;tbl_Assessment[[#This Row],[admin4Pcode]]&amp;"-" &amp; TEXT(COUNTIF(INDEX(tbl_Assessment[Ben Code],1):tbl_Assessment[[#This Row],[Ben Code]], tbl_Assessment[[#This Row],[Ben Code]]), "00")</f>
        <v>--00</v>
      </c>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49"/>
      <c r="AU143" s="41"/>
      <c r="AV143" s="37"/>
      <c r="AW143" s="37"/>
      <c r="AX143" s="37"/>
      <c r="AY143" s="37"/>
      <c r="AZ143" s="37"/>
      <c r="BA143" s="37"/>
      <c r="BB143" s="41"/>
      <c r="BC143" s="37"/>
      <c r="BD143" s="37"/>
      <c r="BE143" s="37"/>
      <c r="BF143" s="41"/>
      <c r="BG143" s="37"/>
      <c r="BH143" s="37"/>
      <c r="BI143" s="37"/>
      <c r="BJ143" s="41"/>
    </row>
    <row r="144" spans="2:62" ht="25.15" customHeight="1" x14ac:dyDescent="0.25">
      <c r="B144" s="49">
        <v>139</v>
      </c>
      <c r="C144" s="37"/>
      <c r="D144" s="87" t="str">
        <f>IF(tbl_Assessment[[#This Row],[Ben Code]]&lt;&gt;"",INDEX(tbl_Ben_Info[],MATCH(tbl_Assessment[[#This Row],[Ben Code]],tbl_Ben_Info[Ben Code],0),48),"")</f>
        <v/>
      </c>
      <c r="E144" s="116" t="str">
        <f>IF(tbl_Assessment[[#This Row],[Ben Code]]&lt;&gt;"",INDEX(tbl_Ben_Info[],MATCH(tbl_Assessment[[#This Row],[Ben Code]],tbl_Ben_Info[Ben Code],0),6),"")</f>
        <v/>
      </c>
      <c r="F144" s="113" t="str">
        <f>IF(tbl_Assessment[[#This Row],[Ben Code]]&lt;&gt;"",INDEX(tbl_Ben_Info[],MATCH(tbl_Assessment[[#This Row],[Ben Code]],tbl_Ben_Info[Ben Code],0),13),"")</f>
        <v/>
      </c>
      <c r="G144" s="49"/>
      <c r="H144" s="37"/>
      <c r="I144" s="37"/>
      <c r="J144" s="37"/>
      <c r="K144" s="37"/>
      <c r="L144" s="37"/>
      <c r="M144" s="59"/>
      <c r="N144" s="37"/>
      <c r="O144" s="37"/>
      <c r="P144" s="37"/>
      <c r="Q144" s="59"/>
      <c r="R144" s="49"/>
      <c r="S144" s="37"/>
      <c r="T144" s="37"/>
      <c r="U144" s="37"/>
      <c r="V144" s="37"/>
      <c r="W144" s="96" t="str">
        <f>tbl_Assessment[[#This Row],[Ben Code]] &amp; "-"&amp;tbl_Assessment[[#This Row],[admin4Pcode]]&amp;"-" &amp; TEXT(COUNTIF(INDEX(tbl_Assessment[Ben Code],1):tbl_Assessment[[#This Row],[Ben Code]], tbl_Assessment[[#This Row],[Ben Code]]), "00")</f>
        <v>--00</v>
      </c>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49"/>
      <c r="AU144" s="41"/>
      <c r="AV144" s="37"/>
      <c r="AW144" s="37"/>
      <c r="AX144" s="37"/>
      <c r="AY144" s="37"/>
      <c r="AZ144" s="37"/>
      <c r="BA144" s="37"/>
      <c r="BB144" s="41"/>
      <c r="BC144" s="37"/>
      <c r="BD144" s="37"/>
      <c r="BE144" s="37"/>
      <c r="BF144" s="41"/>
      <c r="BG144" s="37"/>
      <c r="BH144" s="37"/>
      <c r="BI144" s="37"/>
      <c r="BJ144" s="41"/>
    </row>
    <row r="145" spans="2:62" ht="25.15" customHeight="1" x14ac:dyDescent="0.25">
      <c r="B145" s="49">
        <v>140</v>
      </c>
      <c r="C145" s="37"/>
      <c r="D145" s="87" t="str">
        <f>IF(tbl_Assessment[[#This Row],[Ben Code]]&lt;&gt;"",INDEX(tbl_Ben_Info[],MATCH(tbl_Assessment[[#This Row],[Ben Code]],tbl_Ben_Info[Ben Code],0),48),"")</f>
        <v/>
      </c>
      <c r="E145" s="116" t="str">
        <f>IF(tbl_Assessment[[#This Row],[Ben Code]]&lt;&gt;"",INDEX(tbl_Ben_Info[],MATCH(tbl_Assessment[[#This Row],[Ben Code]],tbl_Ben_Info[Ben Code],0),6),"")</f>
        <v/>
      </c>
      <c r="F145" s="113" t="str">
        <f>IF(tbl_Assessment[[#This Row],[Ben Code]]&lt;&gt;"",INDEX(tbl_Ben_Info[],MATCH(tbl_Assessment[[#This Row],[Ben Code]],tbl_Ben_Info[Ben Code],0),13),"")</f>
        <v/>
      </c>
      <c r="G145" s="49"/>
      <c r="H145" s="37"/>
      <c r="I145" s="37"/>
      <c r="J145" s="37"/>
      <c r="K145" s="37"/>
      <c r="L145" s="37"/>
      <c r="M145" s="59"/>
      <c r="N145" s="37"/>
      <c r="O145" s="37"/>
      <c r="P145" s="37"/>
      <c r="Q145" s="59"/>
      <c r="R145" s="49"/>
      <c r="S145" s="37"/>
      <c r="T145" s="37"/>
      <c r="U145" s="37"/>
      <c r="V145" s="37"/>
      <c r="W145" s="96" t="str">
        <f>tbl_Assessment[[#This Row],[Ben Code]] &amp; "-"&amp;tbl_Assessment[[#This Row],[admin4Pcode]]&amp;"-" &amp; TEXT(COUNTIF(INDEX(tbl_Assessment[Ben Code],1):tbl_Assessment[[#This Row],[Ben Code]], tbl_Assessment[[#This Row],[Ben Code]]), "00")</f>
        <v>--00</v>
      </c>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49"/>
      <c r="AU145" s="41"/>
      <c r="AV145" s="37"/>
      <c r="AW145" s="37"/>
      <c r="AX145" s="37"/>
      <c r="AY145" s="37"/>
      <c r="AZ145" s="37"/>
      <c r="BA145" s="37"/>
      <c r="BB145" s="41"/>
      <c r="BC145" s="37"/>
      <c r="BD145" s="37"/>
      <c r="BE145" s="37"/>
      <c r="BF145" s="41"/>
      <c r="BG145" s="37"/>
      <c r="BH145" s="37"/>
      <c r="BI145" s="37"/>
      <c r="BJ145" s="41"/>
    </row>
    <row r="146" spans="2:62" ht="25.15" customHeight="1" x14ac:dyDescent="0.25">
      <c r="B146" s="49">
        <v>141</v>
      </c>
      <c r="C146" s="37"/>
      <c r="D146" s="87" t="str">
        <f>IF(tbl_Assessment[[#This Row],[Ben Code]]&lt;&gt;"",INDEX(tbl_Ben_Info[],MATCH(tbl_Assessment[[#This Row],[Ben Code]],tbl_Ben_Info[Ben Code],0),48),"")</f>
        <v/>
      </c>
      <c r="E146" s="116" t="str">
        <f>IF(tbl_Assessment[[#This Row],[Ben Code]]&lt;&gt;"",INDEX(tbl_Ben_Info[],MATCH(tbl_Assessment[[#This Row],[Ben Code]],tbl_Ben_Info[Ben Code],0),6),"")</f>
        <v/>
      </c>
      <c r="F146" s="113" t="str">
        <f>IF(tbl_Assessment[[#This Row],[Ben Code]]&lt;&gt;"",INDEX(tbl_Ben_Info[],MATCH(tbl_Assessment[[#This Row],[Ben Code]],tbl_Ben_Info[Ben Code],0),13),"")</f>
        <v/>
      </c>
      <c r="G146" s="49"/>
      <c r="H146" s="37"/>
      <c r="I146" s="37"/>
      <c r="J146" s="37"/>
      <c r="K146" s="37"/>
      <c r="L146" s="37"/>
      <c r="M146" s="59"/>
      <c r="N146" s="37"/>
      <c r="O146" s="37"/>
      <c r="P146" s="37"/>
      <c r="Q146" s="59"/>
      <c r="R146" s="49"/>
      <c r="S146" s="37"/>
      <c r="T146" s="37"/>
      <c r="U146" s="37"/>
      <c r="V146" s="37"/>
      <c r="W146" s="96" t="str">
        <f>tbl_Assessment[[#This Row],[Ben Code]] &amp; "-"&amp;tbl_Assessment[[#This Row],[admin4Pcode]]&amp;"-" &amp; TEXT(COUNTIF(INDEX(tbl_Assessment[Ben Code],1):tbl_Assessment[[#This Row],[Ben Code]], tbl_Assessment[[#This Row],[Ben Code]]), "00")</f>
        <v>--00</v>
      </c>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49"/>
      <c r="AU146" s="41"/>
      <c r="AV146" s="37"/>
      <c r="AW146" s="37"/>
      <c r="AX146" s="37"/>
      <c r="AY146" s="37"/>
      <c r="AZ146" s="37"/>
      <c r="BA146" s="37"/>
      <c r="BB146" s="41"/>
      <c r="BC146" s="37"/>
      <c r="BD146" s="37"/>
      <c r="BE146" s="37"/>
      <c r="BF146" s="41"/>
      <c r="BG146" s="37"/>
      <c r="BH146" s="37"/>
      <c r="BI146" s="37"/>
      <c r="BJ146" s="41"/>
    </row>
    <row r="147" spans="2:62" ht="25.15" customHeight="1" x14ac:dyDescent="0.25">
      <c r="B147" s="49">
        <v>142</v>
      </c>
      <c r="C147" s="37"/>
      <c r="D147" s="87" t="str">
        <f>IF(tbl_Assessment[[#This Row],[Ben Code]]&lt;&gt;"",INDEX(tbl_Ben_Info[],MATCH(tbl_Assessment[[#This Row],[Ben Code]],tbl_Ben_Info[Ben Code],0),48),"")</f>
        <v/>
      </c>
      <c r="E147" s="116" t="str">
        <f>IF(tbl_Assessment[[#This Row],[Ben Code]]&lt;&gt;"",INDEX(tbl_Ben_Info[],MATCH(tbl_Assessment[[#This Row],[Ben Code]],tbl_Ben_Info[Ben Code],0),6),"")</f>
        <v/>
      </c>
      <c r="F147" s="113" t="str">
        <f>IF(tbl_Assessment[[#This Row],[Ben Code]]&lt;&gt;"",INDEX(tbl_Ben_Info[],MATCH(tbl_Assessment[[#This Row],[Ben Code]],tbl_Ben_Info[Ben Code],0),13),"")</f>
        <v/>
      </c>
      <c r="G147" s="49"/>
      <c r="H147" s="37"/>
      <c r="I147" s="37"/>
      <c r="J147" s="37"/>
      <c r="K147" s="37"/>
      <c r="L147" s="37"/>
      <c r="M147" s="59"/>
      <c r="N147" s="37"/>
      <c r="O147" s="37"/>
      <c r="P147" s="37"/>
      <c r="Q147" s="59"/>
      <c r="R147" s="49"/>
      <c r="S147" s="37"/>
      <c r="T147" s="37"/>
      <c r="U147" s="37"/>
      <c r="V147" s="37"/>
      <c r="W147" s="96" t="str">
        <f>tbl_Assessment[[#This Row],[Ben Code]] &amp; "-"&amp;tbl_Assessment[[#This Row],[admin4Pcode]]&amp;"-" &amp; TEXT(COUNTIF(INDEX(tbl_Assessment[Ben Code],1):tbl_Assessment[[#This Row],[Ben Code]], tbl_Assessment[[#This Row],[Ben Code]]), "00")</f>
        <v>--00</v>
      </c>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49"/>
      <c r="AU147" s="41"/>
      <c r="AV147" s="37"/>
      <c r="AW147" s="37"/>
      <c r="AX147" s="37"/>
      <c r="AY147" s="37"/>
      <c r="AZ147" s="37"/>
      <c r="BA147" s="37"/>
      <c r="BB147" s="41"/>
      <c r="BC147" s="37"/>
      <c r="BD147" s="37"/>
      <c r="BE147" s="37"/>
      <c r="BF147" s="41"/>
      <c r="BG147" s="37"/>
      <c r="BH147" s="37"/>
      <c r="BI147" s="37"/>
      <c r="BJ147" s="41"/>
    </row>
    <row r="148" spans="2:62" ht="25.15" customHeight="1" x14ac:dyDescent="0.25">
      <c r="B148" s="49">
        <v>143</v>
      </c>
      <c r="C148" s="37"/>
      <c r="D148" s="87" t="str">
        <f>IF(tbl_Assessment[[#This Row],[Ben Code]]&lt;&gt;"",INDEX(tbl_Ben_Info[],MATCH(tbl_Assessment[[#This Row],[Ben Code]],tbl_Ben_Info[Ben Code],0),48),"")</f>
        <v/>
      </c>
      <c r="E148" s="116" t="str">
        <f>IF(tbl_Assessment[[#This Row],[Ben Code]]&lt;&gt;"",INDEX(tbl_Ben_Info[],MATCH(tbl_Assessment[[#This Row],[Ben Code]],tbl_Ben_Info[Ben Code],0),6),"")</f>
        <v/>
      </c>
      <c r="F148" s="113" t="str">
        <f>IF(tbl_Assessment[[#This Row],[Ben Code]]&lt;&gt;"",INDEX(tbl_Ben_Info[],MATCH(tbl_Assessment[[#This Row],[Ben Code]],tbl_Ben_Info[Ben Code],0),13),"")</f>
        <v/>
      </c>
      <c r="G148" s="49"/>
      <c r="H148" s="37"/>
      <c r="I148" s="37"/>
      <c r="J148" s="37"/>
      <c r="K148" s="37"/>
      <c r="L148" s="37"/>
      <c r="M148" s="59"/>
      <c r="N148" s="37"/>
      <c r="O148" s="37"/>
      <c r="P148" s="37"/>
      <c r="Q148" s="59"/>
      <c r="R148" s="49"/>
      <c r="S148" s="37"/>
      <c r="T148" s="37"/>
      <c r="U148" s="37"/>
      <c r="V148" s="37"/>
      <c r="W148" s="96" t="str">
        <f>tbl_Assessment[[#This Row],[Ben Code]] &amp; "-"&amp;tbl_Assessment[[#This Row],[admin4Pcode]]&amp;"-" &amp; TEXT(COUNTIF(INDEX(tbl_Assessment[Ben Code],1):tbl_Assessment[[#This Row],[Ben Code]], tbl_Assessment[[#This Row],[Ben Code]]), "00")</f>
        <v>--00</v>
      </c>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49"/>
      <c r="AU148" s="41"/>
      <c r="AV148" s="37"/>
      <c r="AW148" s="37"/>
      <c r="AX148" s="37"/>
      <c r="AY148" s="37"/>
      <c r="AZ148" s="37"/>
      <c r="BA148" s="37"/>
      <c r="BB148" s="41"/>
      <c r="BC148" s="37"/>
      <c r="BD148" s="37"/>
      <c r="BE148" s="37"/>
      <c r="BF148" s="41"/>
      <c r="BG148" s="37"/>
      <c r="BH148" s="37"/>
      <c r="BI148" s="37"/>
      <c r="BJ148" s="41"/>
    </row>
    <row r="149" spans="2:62" ht="25.15" customHeight="1" x14ac:dyDescent="0.25">
      <c r="B149" s="49">
        <v>144</v>
      </c>
      <c r="C149" s="37"/>
      <c r="D149" s="87" t="str">
        <f>IF(tbl_Assessment[[#This Row],[Ben Code]]&lt;&gt;"",INDEX(tbl_Ben_Info[],MATCH(tbl_Assessment[[#This Row],[Ben Code]],tbl_Ben_Info[Ben Code],0),48),"")</f>
        <v/>
      </c>
      <c r="E149" s="116" t="str">
        <f>IF(tbl_Assessment[[#This Row],[Ben Code]]&lt;&gt;"",INDEX(tbl_Ben_Info[],MATCH(tbl_Assessment[[#This Row],[Ben Code]],tbl_Ben_Info[Ben Code],0),6),"")</f>
        <v/>
      </c>
      <c r="F149" s="113" t="str">
        <f>IF(tbl_Assessment[[#This Row],[Ben Code]]&lt;&gt;"",INDEX(tbl_Ben_Info[],MATCH(tbl_Assessment[[#This Row],[Ben Code]],tbl_Ben_Info[Ben Code],0),13),"")</f>
        <v/>
      </c>
      <c r="G149" s="49"/>
      <c r="H149" s="37"/>
      <c r="I149" s="37"/>
      <c r="J149" s="37"/>
      <c r="K149" s="37"/>
      <c r="L149" s="37"/>
      <c r="M149" s="59"/>
      <c r="N149" s="37"/>
      <c r="O149" s="37"/>
      <c r="P149" s="37"/>
      <c r="Q149" s="59"/>
      <c r="R149" s="49"/>
      <c r="S149" s="37"/>
      <c r="T149" s="37"/>
      <c r="U149" s="37"/>
      <c r="V149" s="37"/>
      <c r="W149" s="96" t="str">
        <f>tbl_Assessment[[#This Row],[Ben Code]] &amp; "-"&amp;tbl_Assessment[[#This Row],[admin4Pcode]]&amp;"-" &amp; TEXT(COUNTIF(INDEX(tbl_Assessment[Ben Code],1):tbl_Assessment[[#This Row],[Ben Code]], tbl_Assessment[[#This Row],[Ben Code]]), "00")</f>
        <v>--00</v>
      </c>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49"/>
      <c r="AU149" s="41"/>
      <c r="AV149" s="37"/>
      <c r="AW149" s="37"/>
      <c r="AX149" s="37"/>
      <c r="AY149" s="37"/>
      <c r="AZ149" s="37"/>
      <c r="BA149" s="37"/>
      <c r="BB149" s="41"/>
      <c r="BC149" s="37"/>
      <c r="BD149" s="37"/>
      <c r="BE149" s="37"/>
      <c r="BF149" s="41"/>
      <c r="BG149" s="37"/>
      <c r="BH149" s="37"/>
      <c r="BI149" s="37"/>
      <c r="BJ149" s="41"/>
    </row>
    <row r="150" spans="2:62" ht="25.15" customHeight="1" x14ac:dyDescent="0.25">
      <c r="B150" s="49">
        <v>145</v>
      </c>
      <c r="C150" s="37"/>
      <c r="D150" s="87" t="str">
        <f>IF(tbl_Assessment[[#This Row],[Ben Code]]&lt;&gt;"",INDEX(tbl_Ben_Info[],MATCH(tbl_Assessment[[#This Row],[Ben Code]],tbl_Ben_Info[Ben Code],0),48),"")</f>
        <v/>
      </c>
      <c r="E150" s="116" t="str">
        <f>IF(tbl_Assessment[[#This Row],[Ben Code]]&lt;&gt;"",INDEX(tbl_Ben_Info[],MATCH(tbl_Assessment[[#This Row],[Ben Code]],tbl_Ben_Info[Ben Code],0),6),"")</f>
        <v/>
      </c>
      <c r="F150" s="113" t="str">
        <f>IF(tbl_Assessment[[#This Row],[Ben Code]]&lt;&gt;"",INDEX(tbl_Ben_Info[],MATCH(tbl_Assessment[[#This Row],[Ben Code]],tbl_Ben_Info[Ben Code],0),13),"")</f>
        <v/>
      </c>
      <c r="G150" s="49"/>
      <c r="H150" s="37"/>
      <c r="I150" s="37"/>
      <c r="J150" s="37"/>
      <c r="K150" s="37"/>
      <c r="L150" s="37"/>
      <c r="M150" s="59"/>
      <c r="N150" s="37"/>
      <c r="O150" s="37"/>
      <c r="P150" s="37"/>
      <c r="Q150" s="59"/>
      <c r="R150" s="49"/>
      <c r="S150" s="37"/>
      <c r="T150" s="37"/>
      <c r="U150" s="37"/>
      <c r="V150" s="37"/>
      <c r="W150" s="96" t="str">
        <f>tbl_Assessment[[#This Row],[Ben Code]] &amp; "-"&amp;tbl_Assessment[[#This Row],[admin4Pcode]]&amp;"-" &amp; TEXT(COUNTIF(INDEX(tbl_Assessment[Ben Code],1):tbl_Assessment[[#This Row],[Ben Code]], tbl_Assessment[[#This Row],[Ben Code]]), "00")</f>
        <v>--00</v>
      </c>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49"/>
      <c r="AU150" s="41"/>
      <c r="AV150" s="37"/>
      <c r="AW150" s="37"/>
      <c r="AX150" s="37"/>
      <c r="AY150" s="37"/>
      <c r="AZ150" s="37"/>
      <c r="BA150" s="37"/>
      <c r="BB150" s="41"/>
      <c r="BC150" s="37"/>
      <c r="BD150" s="37"/>
      <c r="BE150" s="37"/>
      <c r="BF150" s="41"/>
      <c r="BG150" s="37"/>
      <c r="BH150" s="37"/>
      <c r="BI150" s="37"/>
      <c r="BJ150" s="41"/>
    </row>
    <row r="151" spans="2:62" ht="25.15" customHeight="1" x14ac:dyDescent="0.25">
      <c r="B151" s="49">
        <v>146</v>
      </c>
      <c r="C151" s="37"/>
      <c r="D151" s="87" t="str">
        <f>IF(tbl_Assessment[[#This Row],[Ben Code]]&lt;&gt;"",INDEX(tbl_Ben_Info[],MATCH(tbl_Assessment[[#This Row],[Ben Code]],tbl_Ben_Info[Ben Code],0),48),"")</f>
        <v/>
      </c>
      <c r="E151" s="116" t="str">
        <f>IF(tbl_Assessment[[#This Row],[Ben Code]]&lt;&gt;"",INDEX(tbl_Ben_Info[],MATCH(tbl_Assessment[[#This Row],[Ben Code]],tbl_Ben_Info[Ben Code],0),6),"")</f>
        <v/>
      </c>
      <c r="F151" s="113" t="str">
        <f>IF(tbl_Assessment[[#This Row],[Ben Code]]&lt;&gt;"",INDEX(tbl_Ben_Info[],MATCH(tbl_Assessment[[#This Row],[Ben Code]],tbl_Ben_Info[Ben Code],0),13),"")</f>
        <v/>
      </c>
      <c r="G151" s="49"/>
      <c r="H151" s="37"/>
      <c r="I151" s="37"/>
      <c r="J151" s="37"/>
      <c r="K151" s="37"/>
      <c r="L151" s="37"/>
      <c r="M151" s="59"/>
      <c r="N151" s="37"/>
      <c r="O151" s="37"/>
      <c r="P151" s="37"/>
      <c r="Q151" s="59"/>
      <c r="R151" s="49"/>
      <c r="S151" s="37"/>
      <c r="T151" s="37"/>
      <c r="U151" s="37"/>
      <c r="V151" s="37"/>
      <c r="W151" s="96" t="str">
        <f>tbl_Assessment[[#This Row],[Ben Code]] &amp; "-"&amp;tbl_Assessment[[#This Row],[admin4Pcode]]&amp;"-" &amp; TEXT(COUNTIF(INDEX(tbl_Assessment[Ben Code],1):tbl_Assessment[[#This Row],[Ben Code]], tbl_Assessment[[#This Row],[Ben Code]]), "00")</f>
        <v>--00</v>
      </c>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49"/>
      <c r="AU151" s="41"/>
      <c r="AV151" s="37"/>
      <c r="AW151" s="37"/>
      <c r="AX151" s="37"/>
      <c r="AY151" s="37"/>
      <c r="AZ151" s="37"/>
      <c r="BA151" s="37"/>
      <c r="BB151" s="41"/>
      <c r="BC151" s="37"/>
      <c r="BD151" s="37"/>
      <c r="BE151" s="37"/>
      <c r="BF151" s="41"/>
      <c r="BG151" s="37"/>
      <c r="BH151" s="37"/>
      <c r="BI151" s="37"/>
      <c r="BJ151" s="41"/>
    </row>
    <row r="152" spans="2:62" ht="25.15" customHeight="1" x14ac:dyDescent="0.25">
      <c r="B152" s="49">
        <v>147</v>
      </c>
      <c r="C152" s="37"/>
      <c r="D152" s="87" t="str">
        <f>IF(tbl_Assessment[[#This Row],[Ben Code]]&lt;&gt;"",INDEX(tbl_Ben_Info[],MATCH(tbl_Assessment[[#This Row],[Ben Code]],tbl_Ben_Info[Ben Code],0),48),"")</f>
        <v/>
      </c>
      <c r="E152" s="116" t="str">
        <f>IF(tbl_Assessment[[#This Row],[Ben Code]]&lt;&gt;"",INDEX(tbl_Ben_Info[],MATCH(tbl_Assessment[[#This Row],[Ben Code]],tbl_Ben_Info[Ben Code],0),6),"")</f>
        <v/>
      </c>
      <c r="F152" s="113" t="str">
        <f>IF(tbl_Assessment[[#This Row],[Ben Code]]&lt;&gt;"",INDEX(tbl_Ben_Info[],MATCH(tbl_Assessment[[#This Row],[Ben Code]],tbl_Ben_Info[Ben Code],0),13),"")</f>
        <v/>
      </c>
      <c r="G152" s="49"/>
      <c r="H152" s="37"/>
      <c r="I152" s="37"/>
      <c r="J152" s="37"/>
      <c r="K152" s="37"/>
      <c r="L152" s="37"/>
      <c r="M152" s="59"/>
      <c r="N152" s="37"/>
      <c r="O152" s="37"/>
      <c r="P152" s="37"/>
      <c r="Q152" s="59"/>
      <c r="R152" s="49"/>
      <c r="S152" s="37"/>
      <c r="T152" s="37"/>
      <c r="U152" s="37"/>
      <c r="V152" s="37"/>
      <c r="W152" s="96" t="str">
        <f>tbl_Assessment[[#This Row],[Ben Code]] &amp; "-"&amp;tbl_Assessment[[#This Row],[admin4Pcode]]&amp;"-" &amp; TEXT(COUNTIF(INDEX(tbl_Assessment[Ben Code],1):tbl_Assessment[[#This Row],[Ben Code]], tbl_Assessment[[#This Row],[Ben Code]]), "00")</f>
        <v>--00</v>
      </c>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49"/>
      <c r="AU152" s="41"/>
      <c r="AV152" s="37"/>
      <c r="AW152" s="37"/>
      <c r="AX152" s="37"/>
      <c r="AY152" s="37"/>
      <c r="AZ152" s="37"/>
      <c r="BA152" s="37"/>
      <c r="BB152" s="41"/>
      <c r="BC152" s="37"/>
      <c r="BD152" s="37"/>
      <c r="BE152" s="37"/>
      <c r="BF152" s="41"/>
      <c r="BG152" s="37"/>
      <c r="BH152" s="37"/>
      <c r="BI152" s="37"/>
      <c r="BJ152" s="41"/>
    </row>
    <row r="153" spans="2:62" ht="25.15" customHeight="1" x14ac:dyDescent="0.25">
      <c r="B153" s="49">
        <v>148</v>
      </c>
      <c r="C153" s="37"/>
      <c r="D153" s="87" t="str">
        <f>IF(tbl_Assessment[[#This Row],[Ben Code]]&lt;&gt;"",INDEX(tbl_Ben_Info[],MATCH(tbl_Assessment[[#This Row],[Ben Code]],tbl_Ben_Info[Ben Code],0),48),"")</f>
        <v/>
      </c>
      <c r="E153" s="116" t="str">
        <f>IF(tbl_Assessment[[#This Row],[Ben Code]]&lt;&gt;"",INDEX(tbl_Ben_Info[],MATCH(tbl_Assessment[[#This Row],[Ben Code]],tbl_Ben_Info[Ben Code],0),6),"")</f>
        <v/>
      </c>
      <c r="F153" s="113" t="str">
        <f>IF(tbl_Assessment[[#This Row],[Ben Code]]&lt;&gt;"",INDEX(tbl_Ben_Info[],MATCH(tbl_Assessment[[#This Row],[Ben Code]],tbl_Ben_Info[Ben Code],0),13),"")</f>
        <v/>
      </c>
      <c r="G153" s="49"/>
      <c r="H153" s="37"/>
      <c r="I153" s="37"/>
      <c r="J153" s="37"/>
      <c r="K153" s="37"/>
      <c r="L153" s="37"/>
      <c r="M153" s="59"/>
      <c r="N153" s="37"/>
      <c r="O153" s="37"/>
      <c r="P153" s="37"/>
      <c r="Q153" s="59"/>
      <c r="R153" s="49"/>
      <c r="S153" s="37"/>
      <c r="T153" s="37"/>
      <c r="U153" s="37"/>
      <c r="V153" s="37"/>
      <c r="W153" s="96" t="str">
        <f>tbl_Assessment[[#This Row],[Ben Code]] &amp; "-"&amp;tbl_Assessment[[#This Row],[admin4Pcode]]&amp;"-" &amp; TEXT(COUNTIF(INDEX(tbl_Assessment[Ben Code],1):tbl_Assessment[[#This Row],[Ben Code]], tbl_Assessment[[#This Row],[Ben Code]]), "00")</f>
        <v>--00</v>
      </c>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49"/>
      <c r="AU153" s="41"/>
      <c r="AV153" s="37"/>
      <c r="AW153" s="37"/>
      <c r="AX153" s="37"/>
      <c r="AY153" s="37"/>
      <c r="AZ153" s="37"/>
      <c r="BA153" s="37"/>
      <c r="BB153" s="41"/>
      <c r="BC153" s="37"/>
      <c r="BD153" s="37"/>
      <c r="BE153" s="37"/>
      <c r="BF153" s="41"/>
      <c r="BG153" s="37"/>
      <c r="BH153" s="37"/>
      <c r="BI153" s="37"/>
      <c r="BJ153" s="41"/>
    </row>
    <row r="154" spans="2:62" ht="25.15" customHeight="1" x14ac:dyDescent="0.25">
      <c r="B154" s="49">
        <v>149</v>
      </c>
      <c r="C154" s="37"/>
      <c r="D154" s="87" t="str">
        <f>IF(tbl_Assessment[[#This Row],[Ben Code]]&lt;&gt;"",INDEX(tbl_Ben_Info[],MATCH(tbl_Assessment[[#This Row],[Ben Code]],tbl_Ben_Info[Ben Code],0),48),"")</f>
        <v/>
      </c>
      <c r="E154" s="116" t="str">
        <f>IF(tbl_Assessment[[#This Row],[Ben Code]]&lt;&gt;"",INDEX(tbl_Ben_Info[],MATCH(tbl_Assessment[[#This Row],[Ben Code]],tbl_Ben_Info[Ben Code],0),6),"")</f>
        <v/>
      </c>
      <c r="F154" s="113" t="str">
        <f>IF(tbl_Assessment[[#This Row],[Ben Code]]&lt;&gt;"",INDEX(tbl_Ben_Info[],MATCH(tbl_Assessment[[#This Row],[Ben Code]],tbl_Ben_Info[Ben Code],0),13),"")</f>
        <v/>
      </c>
      <c r="G154" s="49"/>
      <c r="H154" s="37"/>
      <c r="I154" s="37"/>
      <c r="J154" s="37"/>
      <c r="K154" s="37"/>
      <c r="L154" s="37"/>
      <c r="M154" s="59"/>
      <c r="N154" s="37"/>
      <c r="O154" s="37"/>
      <c r="P154" s="37"/>
      <c r="Q154" s="59"/>
      <c r="R154" s="49"/>
      <c r="S154" s="37"/>
      <c r="T154" s="37"/>
      <c r="U154" s="37"/>
      <c r="V154" s="37"/>
      <c r="W154" s="96" t="str">
        <f>tbl_Assessment[[#This Row],[Ben Code]] &amp; "-"&amp;tbl_Assessment[[#This Row],[admin4Pcode]]&amp;"-" &amp; TEXT(COUNTIF(INDEX(tbl_Assessment[Ben Code],1):tbl_Assessment[[#This Row],[Ben Code]], tbl_Assessment[[#This Row],[Ben Code]]), "00")</f>
        <v>--00</v>
      </c>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49"/>
      <c r="AU154" s="41"/>
      <c r="AV154" s="37"/>
      <c r="AW154" s="37"/>
      <c r="AX154" s="37"/>
      <c r="AY154" s="37"/>
      <c r="AZ154" s="37"/>
      <c r="BA154" s="37"/>
      <c r="BB154" s="41"/>
      <c r="BC154" s="37"/>
      <c r="BD154" s="37"/>
      <c r="BE154" s="37"/>
      <c r="BF154" s="41"/>
      <c r="BG154" s="37"/>
      <c r="BH154" s="37"/>
      <c r="BI154" s="37"/>
      <c r="BJ154" s="41"/>
    </row>
    <row r="155" spans="2:62" ht="25.15" customHeight="1" x14ac:dyDescent="0.25">
      <c r="B155" s="49">
        <v>150</v>
      </c>
      <c r="C155" s="37"/>
      <c r="D155" s="87" t="str">
        <f>IF(tbl_Assessment[[#This Row],[Ben Code]]&lt;&gt;"",INDEX(tbl_Ben_Info[],MATCH(tbl_Assessment[[#This Row],[Ben Code]],tbl_Ben_Info[Ben Code],0),48),"")</f>
        <v/>
      </c>
      <c r="E155" s="116" t="str">
        <f>IF(tbl_Assessment[[#This Row],[Ben Code]]&lt;&gt;"",INDEX(tbl_Ben_Info[],MATCH(tbl_Assessment[[#This Row],[Ben Code]],tbl_Ben_Info[Ben Code],0),6),"")</f>
        <v/>
      </c>
      <c r="F155" s="113" t="str">
        <f>IF(tbl_Assessment[[#This Row],[Ben Code]]&lt;&gt;"",INDEX(tbl_Ben_Info[],MATCH(tbl_Assessment[[#This Row],[Ben Code]],tbl_Ben_Info[Ben Code],0),13),"")</f>
        <v/>
      </c>
      <c r="G155" s="49"/>
      <c r="H155" s="37"/>
      <c r="I155" s="37"/>
      <c r="J155" s="37"/>
      <c r="K155" s="37"/>
      <c r="L155" s="37"/>
      <c r="M155" s="59"/>
      <c r="N155" s="37"/>
      <c r="O155" s="37"/>
      <c r="P155" s="37"/>
      <c r="Q155" s="59"/>
      <c r="R155" s="49"/>
      <c r="S155" s="37"/>
      <c r="T155" s="37"/>
      <c r="U155" s="37"/>
      <c r="V155" s="37"/>
      <c r="W155" s="96" t="str">
        <f>tbl_Assessment[[#This Row],[Ben Code]] &amp; "-"&amp;tbl_Assessment[[#This Row],[admin4Pcode]]&amp;"-" &amp; TEXT(COUNTIF(INDEX(tbl_Assessment[Ben Code],1):tbl_Assessment[[#This Row],[Ben Code]], tbl_Assessment[[#This Row],[Ben Code]]), "00")</f>
        <v>--00</v>
      </c>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49"/>
      <c r="AU155" s="41"/>
      <c r="AV155" s="37"/>
      <c r="AW155" s="37"/>
      <c r="AX155" s="37"/>
      <c r="AY155" s="37"/>
      <c r="AZ155" s="37"/>
      <c r="BA155" s="37"/>
      <c r="BB155" s="41"/>
      <c r="BC155" s="37"/>
      <c r="BD155" s="37"/>
      <c r="BE155" s="37"/>
      <c r="BF155" s="41"/>
      <c r="BG155" s="37"/>
      <c r="BH155" s="37"/>
      <c r="BI155" s="37"/>
      <c r="BJ155" s="41"/>
    </row>
    <row r="156" spans="2:62" ht="25.15" customHeight="1" x14ac:dyDescent="0.25">
      <c r="B156" s="49">
        <v>151</v>
      </c>
      <c r="C156" s="37"/>
      <c r="D156" s="87" t="str">
        <f>IF(tbl_Assessment[[#This Row],[Ben Code]]&lt;&gt;"",INDEX(tbl_Ben_Info[],MATCH(tbl_Assessment[[#This Row],[Ben Code]],tbl_Ben_Info[Ben Code],0),48),"")</f>
        <v/>
      </c>
      <c r="E156" s="116" t="str">
        <f>IF(tbl_Assessment[[#This Row],[Ben Code]]&lt;&gt;"",INDEX(tbl_Ben_Info[],MATCH(tbl_Assessment[[#This Row],[Ben Code]],tbl_Ben_Info[Ben Code],0),6),"")</f>
        <v/>
      </c>
      <c r="F156" s="113" t="str">
        <f>IF(tbl_Assessment[[#This Row],[Ben Code]]&lt;&gt;"",INDEX(tbl_Ben_Info[],MATCH(tbl_Assessment[[#This Row],[Ben Code]],tbl_Ben_Info[Ben Code],0),13),"")</f>
        <v/>
      </c>
      <c r="G156" s="49"/>
      <c r="H156" s="37"/>
      <c r="I156" s="37"/>
      <c r="J156" s="37"/>
      <c r="K156" s="37"/>
      <c r="L156" s="37"/>
      <c r="M156" s="59"/>
      <c r="N156" s="37"/>
      <c r="O156" s="37"/>
      <c r="P156" s="37"/>
      <c r="Q156" s="59"/>
      <c r="R156" s="49"/>
      <c r="S156" s="37"/>
      <c r="T156" s="37"/>
      <c r="U156" s="37"/>
      <c r="V156" s="37"/>
      <c r="W156" s="96" t="str">
        <f>tbl_Assessment[[#This Row],[Ben Code]] &amp; "-"&amp;tbl_Assessment[[#This Row],[admin4Pcode]]&amp;"-" &amp; TEXT(COUNTIF(INDEX(tbl_Assessment[Ben Code],1):tbl_Assessment[[#This Row],[Ben Code]], tbl_Assessment[[#This Row],[Ben Code]]), "00")</f>
        <v>--00</v>
      </c>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49"/>
      <c r="AU156" s="41"/>
      <c r="AV156" s="37"/>
      <c r="AW156" s="37"/>
      <c r="AX156" s="37"/>
      <c r="AY156" s="37"/>
      <c r="AZ156" s="37"/>
      <c r="BA156" s="37"/>
      <c r="BB156" s="41"/>
      <c r="BC156" s="37"/>
      <c r="BD156" s="37"/>
      <c r="BE156" s="37"/>
      <c r="BF156" s="41"/>
      <c r="BG156" s="37"/>
      <c r="BH156" s="37"/>
      <c r="BI156" s="37"/>
      <c r="BJ156" s="41"/>
    </row>
    <row r="157" spans="2:62" ht="25.15" customHeight="1" x14ac:dyDescent="0.25">
      <c r="B157" s="49">
        <v>152</v>
      </c>
      <c r="C157" s="37"/>
      <c r="D157" s="87" t="str">
        <f>IF(tbl_Assessment[[#This Row],[Ben Code]]&lt;&gt;"",INDEX(tbl_Ben_Info[],MATCH(tbl_Assessment[[#This Row],[Ben Code]],tbl_Ben_Info[Ben Code],0),48),"")</f>
        <v/>
      </c>
      <c r="E157" s="116" t="str">
        <f>IF(tbl_Assessment[[#This Row],[Ben Code]]&lt;&gt;"",INDEX(tbl_Ben_Info[],MATCH(tbl_Assessment[[#This Row],[Ben Code]],tbl_Ben_Info[Ben Code],0),6),"")</f>
        <v/>
      </c>
      <c r="F157" s="113" t="str">
        <f>IF(tbl_Assessment[[#This Row],[Ben Code]]&lt;&gt;"",INDEX(tbl_Ben_Info[],MATCH(tbl_Assessment[[#This Row],[Ben Code]],tbl_Ben_Info[Ben Code],0),13),"")</f>
        <v/>
      </c>
      <c r="G157" s="49"/>
      <c r="H157" s="37"/>
      <c r="I157" s="37"/>
      <c r="J157" s="37"/>
      <c r="K157" s="37"/>
      <c r="L157" s="37"/>
      <c r="M157" s="59"/>
      <c r="N157" s="37"/>
      <c r="O157" s="37"/>
      <c r="P157" s="37"/>
      <c r="Q157" s="59"/>
      <c r="R157" s="49"/>
      <c r="S157" s="37"/>
      <c r="T157" s="37"/>
      <c r="U157" s="37"/>
      <c r="V157" s="37"/>
      <c r="W157" s="96" t="str">
        <f>tbl_Assessment[[#This Row],[Ben Code]] &amp; "-"&amp;tbl_Assessment[[#This Row],[admin4Pcode]]&amp;"-" &amp; TEXT(COUNTIF(INDEX(tbl_Assessment[Ben Code],1):tbl_Assessment[[#This Row],[Ben Code]], tbl_Assessment[[#This Row],[Ben Code]]), "00")</f>
        <v>--00</v>
      </c>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49"/>
      <c r="AU157" s="41"/>
      <c r="AV157" s="37"/>
      <c r="AW157" s="37"/>
      <c r="AX157" s="37"/>
      <c r="AY157" s="37"/>
      <c r="AZ157" s="37"/>
      <c r="BA157" s="37"/>
      <c r="BB157" s="41"/>
      <c r="BC157" s="37"/>
      <c r="BD157" s="37"/>
      <c r="BE157" s="37"/>
      <c r="BF157" s="41"/>
      <c r="BG157" s="37"/>
      <c r="BH157" s="37"/>
      <c r="BI157" s="37"/>
      <c r="BJ157" s="41"/>
    </row>
    <row r="158" spans="2:62" ht="25.15" customHeight="1" x14ac:dyDescent="0.25">
      <c r="B158" s="49">
        <v>153</v>
      </c>
      <c r="C158" s="37"/>
      <c r="D158" s="87" t="str">
        <f>IF(tbl_Assessment[[#This Row],[Ben Code]]&lt;&gt;"",INDEX(tbl_Ben_Info[],MATCH(tbl_Assessment[[#This Row],[Ben Code]],tbl_Ben_Info[Ben Code],0),48),"")</f>
        <v/>
      </c>
      <c r="E158" s="116" t="str">
        <f>IF(tbl_Assessment[[#This Row],[Ben Code]]&lt;&gt;"",INDEX(tbl_Ben_Info[],MATCH(tbl_Assessment[[#This Row],[Ben Code]],tbl_Ben_Info[Ben Code],0),6),"")</f>
        <v/>
      </c>
      <c r="F158" s="113" t="str">
        <f>IF(tbl_Assessment[[#This Row],[Ben Code]]&lt;&gt;"",INDEX(tbl_Ben_Info[],MATCH(tbl_Assessment[[#This Row],[Ben Code]],tbl_Ben_Info[Ben Code],0),13),"")</f>
        <v/>
      </c>
      <c r="G158" s="49"/>
      <c r="H158" s="37"/>
      <c r="I158" s="37"/>
      <c r="J158" s="37"/>
      <c r="K158" s="37"/>
      <c r="L158" s="37"/>
      <c r="M158" s="59"/>
      <c r="N158" s="37"/>
      <c r="O158" s="37"/>
      <c r="P158" s="37"/>
      <c r="Q158" s="59"/>
      <c r="R158" s="49"/>
      <c r="S158" s="37"/>
      <c r="T158" s="37"/>
      <c r="U158" s="37"/>
      <c r="V158" s="37"/>
      <c r="W158" s="96" t="str">
        <f>tbl_Assessment[[#This Row],[Ben Code]] &amp; "-"&amp;tbl_Assessment[[#This Row],[admin4Pcode]]&amp;"-" &amp; TEXT(COUNTIF(INDEX(tbl_Assessment[Ben Code],1):tbl_Assessment[[#This Row],[Ben Code]], tbl_Assessment[[#This Row],[Ben Code]]), "00")</f>
        <v>--00</v>
      </c>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49"/>
      <c r="AU158" s="41"/>
      <c r="AV158" s="37"/>
      <c r="AW158" s="37"/>
      <c r="AX158" s="37"/>
      <c r="AY158" s="37"/>
      <c r="AZ158" s="37"/>
      <c r="BA158" s="37"/>
      <c r="BB158" s="41"/>
      <c r="BC158" s="37"/>
      <c r="BD158" s="37"/>
      <c r="BE158" s="37"/>
      <c r="BF158" s="41"/>
      <c r="BG158" s="37"/>
      <c r="BH158" s="37"/>
      <c r="BI158" s="37"/>
      <c r="BJ158" s="41"/>
    </row>
    <row r="159" spans="2:62" ht="25.15" customHeight="1" x14ac:dyDescent="0.25">
      <c r="B159" s="49">
        <v>154</v>
      </c>
      <c r="C159" s="37"/>
      <c r="D159" s="87" t="str">
        <f>IF(tbl_Assessment[[#This Row],[Ben Code]]&lt;&gt;"",INDEX(tbl_Ben_Info[],MATCH(tbl_Assessment[[#This Row],[Ben Code]],tbl_Ben_Info[Ben Code],0),48),"")</f>
        <v/>
      </c>
      <c r="E159" s="116" t="str">
        <f>IF(tbl_Assessment[[#This Row],[Ben Code]]&lt;&gt;"",INDEX(tbl_Ben_Info[],MATCH(tbl_Assessment[[#This Row],[Ben Code]],tbl_Ben_Info[Ben Code],0),6),"")</f>
        <v/>
      </c>
      <c r="F159" s="113" t="str">
        <f>IF(tbl_Assessment[[#This Row],[Ben Code]]&lt;&gt;"",INDEX(tbl_Ben_Info[],MATCH(tbl_Assessment[[#This Row],[Ben Code]],tbl_Ben_Info[Ben Code],0),13),"")</f>
        <v/>
      </c>
      <c r="G159" s="49"/>
      <c r="H159" s="37"/>
      <c r="I159" s="37"/>
      <c r="J159" s="37"/>
      <c r="K159" s="37"/>
      <c r="L159" s="37"/>
      <c r="M159" s="59"/>
      <c r="N159" s="37"/>
      <c r="O159" s="37"/>
      <c r="P159" s="37"/>
      <c r="Q159" s="59"/>
      <c r="R159" s="49"/>
      <c r="S159" s="37"/>
      <c r="T159" s="37"/>
      <c r="U159" s="37"/>
      <c r="V159" s="37"/>
      <c r="W159" s="96" t="str">
        <f>tbl_Assessment[[#This Row],[Ben Code]] &amp; "-"&amp;tbl_Assessment[[#This Row],[admin4Pcode]]&amp;"-" &amp; TEXT(COUNTIF(INDEX(tbl_Assessment[Ben Code],1):tbl_Assessment[[#This Row],[Ben Code]], tbl_Assessment[[#This Row],[Ben Code]]), "00")</f>
        <v>--00</v>
      </c>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49"/>
      <c r="AU159" s="41"/>
      <c r="AV159" s="37"/>
      <c r="AW159" s="37"/>
      <c r="AX159" s="37"/>
      <c r="AY159" s="37"/>
      <c r="AZ159" s="37"/>
      <c r="BA159" s="37"/>
      <c r="BB159" s="41"/>
      <c r="BC159" s="37"/>
      <c r="BD159" s="37"/>
      <c r="BE159" s="37"/>
      <c r="BF159" s="41"/>
      <c r="BG159" s="37"/>
      <c r="BH159" s="37"/>
      <c r="BI159" s="37"/>
      <c r="BJ159" s="41"/>
    </row>
    <row r="160" spans="2:62" ht="25.15" customHeight="1" x14ac:dyDescent="0.25">
      <c r="B160" s="49">
        <v>155</v>
      </c>
      <c r="C160" s="37"/>
      <c r="D160" s="87" t="str">
        <f>IF(tbl_Assessment[[#This Row],[Ben Code]]&lt;&gt;"",INDEX(tbl_Ben_Info[],MATCH(tbl_Assessment[[#This Row],[Ben Code]],tbl_Ben_Info[Ben Code],0),48),"")</f>
        <v/>
      </c>
      <c r="E160" s="116" t="str">
        <f>IF(tbl_Assessment[[#This Row],[Ben Code]]&lt;&gt;"",INDEX(tbl_Ben_Info[],MATCH(tbl_Assessment[[#This Row],[Ben Code]],tbl_Ben_Info[Ben Code],0),6),"")</f>
        <v/>
      </c>
      <c r="F160" s="113" t="str">
        <f>IF(tbl_Assessment[[#This Row],[Ben Code]]&lt;&gt;"",INDEX(tbl_Ben_Info[],MATCH(tbl_Assessment[[#This Row],[Ben Code]],tbl_Ben_Info[Ben Code],0),13),"")</f>
        <v/>
      </c>
      <c r="G160" s="49"/>
      <c r="H160" s="37"/>
      <c r="I160" s="37"/>
      <c r="J160" s="37"/>
      <c r="K160" s="37"/>
      <c r="L160" s="37"/>
      <c r="M160" s="59"/>
      <c r="N160" s="37"/>
      <c r="O160" s="37"/>
      <c r="P160" s="37"/>
      <c r="Q160" s="59"/>
      <c r="R160" s="49"/>
      <c r="S160" s="37"/>
      <c r="T160" s="37"/>
      <c r="U160" s="37"/>
      <c r="V160" s="37"/>
      <c r="W160" s="96" t="str">
        <f>tbl_Assessment[[#This Row],[Ben Code]] &amp; "-"&amp;tbl_Assessment[[#This Row],[admin4Pcode]]&amp;"-" &amp; TEXT(COUNTIF(INDEX(tbl_Assessment[Ben Code],1):tbl_Assessment[[#This Row],[Ben Code]], tbl_Assessment[[#This Row],[Ben Code]]), "00")</f>
        <v>--00</v>
      </c>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49"/>
      <c r="AU160" s="41"/>
      <c r="AV160" s="37"/>
      <c r="AW160" s="37"/>
      <c r="AX160" s="37"/>
      <c r="AY160" s="37"/>
      <c r="AZ160" s="37"/>
      <c r="BA160" s="37"/>
      <c r="BB160" s="41"/>
      <c r="BC160" s="37"/>
      <c r="BD160" s="37"/>
      <c r="BE160" s="37"/>
      <c r="BF160" s="41"/>
      <c r="BG160" s="37"/>
      <c r="BH160" s="37"/>
      <c r="BI160" s="37"/>
      <c r="BJ160" s="41"/>
    </row>
    <row r="161" spans="2:62" ht="25.15" customHeight="1" x14ac:dyDescent="0.25">
      <c r="B161" s="49">
        <v>156</v>
      </c>
      <c r="C161" s="37"/>
      <c r="D161" s="87" t="str">
        <f>IF(tbl_Assessment[[#This Row],[Ben Code]]&lt;&gt;"",INDEX(tbl_Ben_Info[],MATCH(tbl_Assessment[[#This Row],[Ben Code]],tbl_Ben_Info[Ben Code],0),48),"")</f>
        <v/>
      </c>
      <c r="E161" s="116" t="str">
        <f>IF(tbl_Assessment[[#This Row],[Ben Code]]&lt;&gt;"",INDEX(tbl_Ben_Info[],MATCH(tbl_Assessment[[#This Row],[Ben Code]],tbl_Ben_Info[Ben Code],0),6),"")</f>
        <v/>
      </c>
      <c r="F161" s="113" t="str">
        <f>IF(tbl_Assessment[[#This Row],[Ben Code]]&lt;&gt;"",INDEX(tbl_Ben_Info[],MATCH(tbl_Assessment[[#This Row],[Ben Code]],tbl_Ben_Info[Ben Code],0),13),"")</f>
        <v/>
      </c>
      <c r="G161" s="49"/>
      <c r="H161" s="37"/>
      <c r="I161" s="37"/>
      <c r="J161" s="37"/>
      <c r="K161" s="37"/>
      <c r="L161" s="37"/>
      <c r="M161" s="59"/>
      <c r="N161" s="37"/>
      <c r="O161" s="37"/>
      <c r="P161" s="37"/>
      <c r="Q161" s="59"/>
      <c r="R161" s="49"/>
      <c r="S161" s="37"/>
      <c r="T161" s="37"/>
      <c r="U161" s="37"/>
      <c r="V161" s="37"/>
      <c r="W161" s="96" t="str">
        <f>tbl_Assessment[[#This Row],[Ben Code]] &amp; "-"&amp;tbl_Assessment[[#This Row],[admin4Pcode]]&amp;"-" &amp; TEXT(COUNTIF(INDEX(tbl_Assessment[Ben Code],1):tbl_Assessment[[#This Row],[Ben Code]], tbl_Assessment[[#This Row],[Ben Code]]), "00")</f>
        <v>--00</v>
      </c>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49"/>
      <c r="AU161" s="41"/>
      <c r="AV161" s="37"/>
      <c r="AW161" s="37"/>
      <c r="AX161" s="37"/>
      <c r="AY161" s="37"/>
      <c r="AZ161" s="37"/>
      <c r="BA161" s="37"/>
      <c r="BB161" s="41"/>
      <c r="BC161" s="37"/>
      <c r="BD161" s="37"/>
      <c r="BE161" s="37"/>
      <c r="BF161" s="41"/>
      <c r="BG161" s="37"/>
      <c r="BH161" s="37"/>
      <c r="BI161" s="37"/>
      <c r="BJ161" s="41"/>
    </row>
    <row r="162" spans="2:62" ht="25.15" customHeight="1" x14ac:dyDescent="0.25">
      <c r="B162" s="49">
        <v>157</v>
      </c>
      <c r="C162" s="37"/>
      <c r="D162" s="87" t="str">
        <f>IF(tbl_Assessment[[#This Row],[Ben Code]]&lt;&gt;"",INDEX(tbl_Ben_Info[],MATCH(tbl_Assessment[[#This Row],[Ben Code]],tbl_Ben_Info[Ben Code],0),48),"")</f>
        <v/>
      </c>
      <c r="E162" s="116" t="str">
        <f>IF(tbl_Assessment[[#This Row],[Ben Code]]&lt;&gt;"",INDEX(tbl_Ben_Info[],MATCH(tbl_Assessment[[#This Row],[Ben Code]],tbl_Ben_Info[Ben Code],0),6),"")</f>
        <v/>
      </c>
      <c r="F162" s="113" t="str">
        <f>IF(tbl_Assessment[[#This Row],[Ben Code]]&lt;&gt;"",INDEX(tbl_Ben_Info[],MATCH(tbl_Assessment[[#This Row],[Ben Code]],tbl_Ben_Info[Ben Code],0),13),"")</f>
        <v/>
      </c>
      <c r="G162" s="49"/>
      <c r="H162" s="37"/>
      <c r="I162" s="37"/>
      <c r="J162" s="37"/>
      <c r="K162" s="37"/>
      <c r="L162" s="37"/>
      <c r="M162" s="59"/>
      <c r="N162" s="37"/>
      <c r="O162" s="37"/>
      <c r="P162" s="37"/>
      <c r="Q162" s="59"/>
      <c r="R162" s="49"/>
      <c r="S162" s="37"/>
      <c r="T162" s="37"/>
      <c r="U162" s="37"/>
      <c r="V162" s="37"/>
      <c r="W162" s="96" t="str">
        <f>tbl_Assessment[[#This Row],[Ben Code]] &amp; "-"&amp;tbl_Assessment[[#This Row],[admin4Pcode]]&amp;"-" &amp; TEXT(COUNTIF(INDEX(tbl_Assessment[Ben Code],1):tbl_Assessment[[#This Row],[Ben Code]], tbl_Assessment[[#This Row],[Ben Code]]), "00")</f>
        <v>--00</v>
      </c>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49"/>
      <c r="AU162" s="41"/>
      <c r="AV162" s="37"/>
      <c r="AW162" s="37"/>
      <c r="AX162" s="37"/>
      <c r="AY162" s="37"/>
      <c r="AZ162" s="37"/>
      <c r="BA162" s="37"/>
      <c r="BB162" s="41"/>
      <c r="BC162" s="37"/>
      <c r="BD162" s="37"/>
      <c r="BE162" s="37"/>
      <c r="BF162" s="41"/>
      <c r="BG162" s="37"/>
      <c r="BH162" s="37"/>
      <c r="BI162" s="37"/>
      <c r="BJ162" s="41"/>
    </row>
    <row r="163" spans="2:62" ht="25.15" customHeight="1" x14ac:dyDescent="0.25">
      <c r="B163" s="49">
        <v>158</v>
      </c>
      <c r="C163" s="37"/>
      <c r="D163" s="87" t="str">
        <f>IF(tbl_Assessment[[#This Row],[Ben Code]]&lt;&gt;"",INDEX(tbl_Ben_Info[],MATCH(tbl_Assessment[[#This Row],[Ben Code]],tbl_Ben_Info[Ben Code],0),48),"")</f>
        <v/>
      </c>
      <c r="E163" s="116" t="str">
        <f>IF(tbl_Assessment[[#This Row],[Ben Code]]&lt;&gt;"",INDEX(tbl_Ben_Info[],MATCH(tbl_Assessment[[#This Row],[Ben Code]],tbl_Ben_Info[Ben Code],0),6),"")</f>
        <v/>
      </c>
      <c r="F163" s="113" t="str">
        <f>IF(tbl_Assessment[[#This Row],[Ben Code]]&lt;&gt;"",INDEX(tbl_Ben_Info[],MATCH(tbl_Assessment[[#This Row],[Ben Code]],tbl_Ben_Info[Ben Code],0),13),"")</f>
        <v/>
      </c>
      <c r="G163" s="49"/>
      <c r="H163" s="37"/>
      <c r="I163" s="37"/>
      <c r="J163" s="37"/>
      <c r="K163" s="37"/>
      <c r="L163" s="37"/>
      <c r="M163" s="59"/>
      <c r="N163" s="37"/>
      <c r="O163" s="37"/>
      <c r="P163" s="37"/>
      <c r="Q163" s="59"/>
      <c r="R163" s="49"/>
      <c r="S163" s="37"/>
      <c r="T163" s="37"/>
      <c r="U163" s="37"/>
      <c r="V163" s="37"/>
      <c r="W163" s="96" t="str">
        <f>tbl_Assessment[[#This Row],[Ben Code]] &amp; "-"&amp;tbl_Assessment[[#This Row],[admin4Pcode]]&amp;"-" &amp; TEXT(COUNTIF(INDEX(tbl_Assessment[Ben Code],1):tbl_Assessment[[#This Row],[Ben Code]], tbl_Assessment[[#This Row],[Ben Code]]), "00")</f>
        <v>--00</v>
      </c>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49"/>
      <c r="AU163" s="41"/>
      <c r="AV163" s="37"/>
      <c r="AW163" s="37"/>
      <c r="AX163" s="37"/>
      <c r="AY163" s="37"/>
      <c r="AZ163" s="37"/>
      <c r="BA163" s="37"/>
      <c r="BB163" s="41"/>
      <c r="BC163" s="37"/>
      <c r="BD163" s="37"/>
      <c r="BE163" s="37"/>
      <c r="BF163" s="41"/>
      <c r="BG163" s="37"/>
      <c r="BH163" s="37"/>
      <c r="BI163" s="37"/>
      <c r="BJ163" s="41"/>
    </row>
    <row r="164" spans="2:62" ht="25.15" customHeight="1" x14ac:dyDescent="0.25">
      <c r="B164" s="49">
        <v>159</v>
      </c>
      <c r="C164" s="37"/>
      <c r="D164" s="87" t="str">
        <f>IF(tbl_Assessment[[#This Row],[Ben Code]]&lt;&gt;"",INDEX(tbl_Ben_Info[],MATCH(tbl_Assessment[[#This Row],[Ben Code]],tbl_Ben_Info[Ben Code],0),48),"")</f>
        <v/>
      </c>
      <c r="E164" s="116" t="str">
        <f>IF(tbl_Assessment[[#This Row],[Ben Code]]&lt;&gt;"",INDEX(tbl_Ben_Info[],MATCH(tbl_Assessment[[#This Row],[Ben Code]],tbl_Ben_Info[Ben Code],0),6),"")</f>
        <v/>
      </c>
      <c r="F164" s="113" t="str">
        <f>IF(tbl_Assessment[[#This Row],[Ben Code]]&lt;&gt;"",INDEX(tbl_Ben_Info[],MATCH(tbl_Assessment[[#This Row],[Ben Code]],tbl_Ben_Info[Ben Code],0),13),"")</f>
        <v/>
      </c>
      <c r="G164" s="49"/>
      <c r="H164" s="37"/>
      <c r="I164" s="37"/>
      <c r="J164" s="37"/>
      <c r="K164" s="37"/>
      <c r="L164" s="37"/>
      <c r="M164" s="59"/>
      <c r="N164" s="37"/>
      <c r="O164" s="37"/>
      <c r="P164" s="37"/>
      <c r="Q164" s="59"/>
      <c r="R164" s="49"/>
      <c r="S164" s="37"/>
      <c r="T164" s="37"/>
      <c r="U164" s="37"/>
      <c r="V164" s="37"/>
      <c r="W164" s="96" t="str">
        <f>tbl_Assessment[[#This Row],[Ben Code]] &amp; "-"&amp;tbl_Assessment[[#This Row],[admin4Pcode]]&amp;"-" &amp; TEXT(COUNTIF(INDEX(tbl_Assessment[Ben Code],1):tbl_Assessment[[#This Row],[Ben Code]], tbl_Assessment[[#This Row],[Ben Code]]), "00")</f>
        <v>--00</v>
      </c>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49"/>
      <c r="AU164" s="41"/>
      <c r="AV164" s="37"/>
      <c r="AW164" s="37"/>
      <c r="AX164" s="37"/>
      <c r="AY164" s="37"/>
      <c r="AZ164" s="37"/>
      <c r="BA164" s="37"/>
      <c r="BB164" s="41"/>
      <c r="BC164" s="37"/>
      <c r="BD164" s="37"/>
      <c r="BE164" s="37"/>
      <c r="BF164" s="41"/>
      <c r="BG164" s="37"/>
      <c r="BH164" s="37"/>
      <c r="BI164" s="37"/>
      <c r="BJ164" s="41"/>
    </row>
    <row r="165" spans="2:62" ht="25.15" customHeight="1" x14ac:dyDescent="0.25">
      <c r="B165" s="49">
        <v>160</v>
      </c>
      <c r="C165" s="37"/>
      <c r="D165" s="87" t="str">
        <f>IF(tbl_Assessment[[#This Row],[Ben Code]]&lt;&gt;"",INDEX(tbl_Ben_Info[],MATCH(tbl_Assessment[[#This Row],[Ben Code]],tbl_Ben_Info[Ben Code],0),48),"")</f>
        <v/>
      </c>
      <c r="E165" s="116" t="str">
        <f>IF(tbl_Assessment[[#This Row],[Ben Code]]&lt;&gt;"",INDEX(tbl_Ben_Info[],MATCH(tbl_Assessment[[#This Row],[Ben Code]],tbl_Ben_Info[Ben Code],0),6),"")</f>
        <v/>
      </c>
      <c r="F165" s="113" t="str">
        <f>IF(tbl_Assessment[[#This Row],[Ben Code]]&lt;&gt;"",INDEX(tbl_Ben_Info[],MATCH(tbl_Assessment[[#This Row],[Ben Code]],tbl_Ben_Info[Ben Code],0),13),"")</f>
        <v/>
      </c>
      <c r="G165" s="49"/>
      <c r="H165" s="37"/>
      <c r="I165" s="37"/>
      <c r="J165" s="37"/>
      <c r="K165" s="37"/>
      <c r="L165" s="37"/>
      <c r="M165" s="59"/>
      <c r="N165" s="37"/>
      <c r="O165" s="37"/>
      <c r="P165" s="37"/>
      <c r="Q165" s="59"/>
      <c r="R165" s="49"/>
      <c r="S165" s="37"/>
      <c r="T165" s="37"/>
      <c r="U165" s="37"/>
      <c r="V165" s="37"/>
      <c r="W165" s="96" t="str">
        <f>tbl_Assessment[[#This Row],[Ben Code]] &amp; "-"&amp;tbl_Assessment[[#This Row],[admin4Pcode]]&amp;"-" &amp; TEXT(COUNTIF(INDEX(tbl_Assessment[Ben Code],1):tbl_Assessment[[#This Row],[Ben Code]], tbl_Assessment[[#This Row],[Ben Code]]), "00")</f>
        <v>--00</v>
      </c>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49"/>
      <c r="AU165" s="41"/>
      <c r="AV165" s="37"/>
      <c r="AW165" s="37"/>
      <c r="AX165" s="37"/>
      <c r="AY165" s="37"/>
      <c r="AZ165" s="37"/>
      <c r="BA165" s="37"/>
      <c r="BB165" s="41"/>
      <c r="BC165" s="37"/>
      <c r="BD165" s="37"/>
      <c r="BE165" s="37"/>
      <c r="BF165" s="41"/>
      <c r="BG165" s="37"/>
      <c r="BH165" s="37"/>
      <c r="BI165" s="37"/>
      <c r="BJ165" s="41"/>
    </row>
    <row r="166" spans="2:62" ht="25.15" customHeight="1" x14ac:dyDescent="0.25">
      <c r="B166" s="49">
        <v>161</v>
      </c>
      <c r="C166" s="37"/>
      <c r="D166" s="87" t="str">
        <f>IF(tbl_Assessment[[#This Row],[Ben Code]]&lt;&gt;"",INDEX(tbl_Ben_Info[],MATCH(tbl_Assessment[[#This Row],[Ben Code]],tbl_Ben_Info[Ben Code],0),48),"")</f>
        <v/>
      </c>
      <c r="E166" s="116" t="str">
        <f>IF(tbl_Assessment[[#This Row],[Ben Code]]&lt;&gt;"",INDEX(tbl_Ben_Info[],MATCH(tbl_Assessment[[#This Row],[Ben Code]],tbl_Ben_Info[Ben Code],0),6),"")</f>
        <v/>
      </c>
      <c r="F166" s="113" t="str">
        <f>IF(tbl_Assessment[[#This Row],[Ben Code]]&lt;&gt;"",INDEX(tbl_Ben_Info[],MATCH(tbl_Assessment[[#This Row],[Ben Code]],tbl_Ben_Info[Ben Code],0),13),"")</f>
        <v/>
      </c>
      <c r="G166" s="49"/>
      <c r="H166" s="37"/>
      <c r="I166" s="37"/>
      <c r="J166" s="37"/>
      <c r="K166" s="37"/>
      <c r="L166" s="37"/>
      <c r="M166" s="59"/>
      <c r="N166" s="37"/>
      <c r="O166" s="37"/>
      <c r="P166" s="37"/>
      <c r="Q166" s="59"/>
      <c r="R166" s="49"/>
      <c r="S166" s="37"/>
      <c r="T166" s="37"/>
      <c r="U166" s="37"/>
      <c r="V166" s="37"/>
      <c r="W166" s="96" t="str">
        <f>tbl_Assessment[[#This Row],[Ben Code]] &amp; "-"&amp;tbl_Assessment[[#This Row],[admin4Pcode]]&amp;"-" &amp; TEXT(COUNTIF(INDEX(tbl_Assessment[Ben Code],1):tbl_Assessment[[#This Row],[Ben Code]], tbl_Assessment[[#This Row],[Ben Code]]), "00")</f>
        <v>--00</v>
      </c>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49"/>
      <c r="AU166" s="41"/>
      <c r="AV166" s="37"/>
      <c r="AW166" s="37"/>
      <c r="AX166" s="37"/>
      <c r="AY166" s="37"/>
      <c r="AZ166" s="37"/>
      <c r="BA166" s="37"/>
      <c r="BB166" s="41"/>
      <c r="BC166" s="37"/>
      <c r="BD166" s="37"/>
      <c r="BE166" s="37"/>
      <c r="BF166" s="41"/>
      <c r="BG166" s="37"/>
      <c r="BH166" s="37"/>
      <c r="BI166" s="37"/>
      <c r="BJ166" s="41"/>
    </row>
    <row r="167" spans="2:62" ht="25.15" customHeight="1" x14ac:dyDescent="0.25">
      <c r="B167" s="49">
        <v>162</v>
      </c>
      <c r="C167" s="37"/>
      <c r="D167" s="87" t="str">
        <f>IF(tbl_Assessment[[#This Row],[Ben Code]]&lt;&gt;"",INDEX(tbl_Ben_Info[],MATCH(tbl_Assessment[[#This Row],[Ben Code]],tbl_Ben_Info[Ben Code],0),48),"")</f>
        <v/>
      </c>
      <c r="E167" s="116" t="str">
        <f>IF(tbl_Assessment[[#This Row],[Ben Code]]&lt;&gt;"",INDEX(tbl_Ben_Info[],MATCH(tbl_Assessment[[#This Row],[Ben Code]],tbl_Ben_Info[Ben Code],0),6),"")</f>
        <v/>
      </c>
      <c r="F167" s="113" t="str">
        <f>IF(tbl_Assessment[[#This Row],[Ben Code]]&lt;&gt;"",INDEX(tbl_Ben_Info[],MATCH(tbl_Assessment[[#This Row],[Ben Code]],tbl_Ben_Info[Ben Code],0),13),"")</f>
        <v/>
      </c>
      <c r="G167" s="49"/>
      <c r="H167" s="37"/>
      <c r="I167" s="37"/>
      <c r="J167" s="37"/>
      <c r="K167" s="37"/>
      <c r="L167" s="37"/>
      <c r="M167" s="59"/>
      <c r="N167" s="37"/>
      <c r="O167" s="37"/>
      <c r="P167" s="37"/>
      <c r="Q167" s="59"/>
      <c r="R167" s="49"/>
      <c r="S167" s="37"/>
      <c r="T167" s="37"/>
      <c r="U167" s="37"/>
      <c r="V167" s="37"/>
      <c r="W167" s="96" t="str">
        <f>tbl_Assessment[[#This Row],[Ben Code]] &amp; "-"&amp;tbl_Assessment[[#This Row],[admin4Pcode]]&amp;"-" &amp; TEXT(COUNTIF(INDEX(tbl_Assessment[Ben Code],1):tbl_Assessment[[#This Row],[Ben Code]], tbl_Assessment[[#This Row],[Ben Code]]), "00")</f>
        <v>--00</v>
      </c>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49"/>
      <c r="AU167" s="41"/>
      <c r="AV167" s="37"/>
      <c r="AW167" s="37"/>
      <c r="AX167" s="37"/>
      <c r="AY167" s="37"/>
      <c r="AZ167" s="37"/>
      <c r="BA167" s="37"/>
      <c r="BB167" s="41"/>
      <c r="BC167" s="37"/>
      <c r="BD167" s="37"/>
      <c r="BE167" s="37"/>
      <c r="BF167" s="41"/>
      <c r="BG167" s="37"/>
      <c r="BH167" s="37"/>
      <c r="BI167" s="37"/>
      <c r="BJ167" s="41"/>
    </row>
    <row r="168" spans="2:62" ht="25.15" customHeight="1" x14ac:dyDescent="0.25">
      <c r="B168" s="49">
        <v>163</v>
      </c>
      <c r="C168" s="37"/>
      <c r="D168" s="87" t="str">
        <f>IF(tbl_Assessment[[#This Row],[Ben Code]]&lt;&gt;"",INDEX(tbl_Ben_Info[],MATCH(tbl_Assessment[[#This Row],[Ben Code]],tbl_Ben_Info[Ben Code],0),48),"")</f>
        <v/>
      </c>
      <c r="E168" s="116" t="str">
        <f>IF(tbl_Assessment[[#This Row],[Ben Code]]&lt;&gt;"",INDEX(tbl_Ben_Info[],MATCH(tbl_Assessment[[#This Row],[Ben Code]],tbl_Ben_Info[Ben Code],0),6),"")</f>
        <v/>
      </c>
      <c r="F168" s="113" t="str">
        <f>IF(tbl_Assessment[[#This Row],[Ben Code]]&lt;&gt;"",INDEX(tbl_Ben_Info[],MATCH(tbl_Assessment[[#This Row],[Ben Code]],tbl_Ben_Info[Ben Code],0),13),"")</f>
        <v/>
      </c>
      <c r="G168" s="49"/>
      <c r="H168" s="37"/>
      <c r="I168" s="37"/>
      <c r="J168" s="37"/>
      <c r="K168" s="37"/>
      <c r="L168" s="37"/>
      <c r="M168" s="59"/>
      <c r="N168" s="37"/>
      <c r="O168" s="37"/>
      <c r="P168" s="37"/>
      <c r="Q168" s="59"/>
      <c r="R168" s="49"/>
      <c r="S168" s="37"/>
      <c r="T168" s="37"/>
      <c r="U168" s="37"/>
      <c r="V168" s="37"/>
      <c r="W168" s="96" t="str">
        <f>tbl_Assessment[[#This Row],[Ben Code]] &amp; "-"&amp;tbl_Assessment[[#This Row],[admin4Pcode]]&amp;"-" &amp; TEXT(COUNTIF(INDEX(tbl_Assessment[Ben Code],1):tbl_Assessment[[#This Row],[Ben Code]], tbl_Assessment[[#This Row],[Ben Code]]), "00")</f>
        <v>--00</v>
      </c>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49"/>
      <c r="AU168" s="41"/>
      <c r="AV168" s="37"/>
      <c r="AW168" s="37"/>
      <c r="AX168" s="37"/>
      <c r="AY168" s="37"/>
      <c r="AZ168" s="37"/>
      <c r="BA168" s="37"/>
      <c r="BB168" s="41"/>
      <c r="BC168" s="37"/>
      <c r="BD168" s="37"/>
      <c r="BE168" s="37"/>
      <c r="BF168" s="41"/>
      <c r="BG168" s="37"/>
      <c r="BH168" s="37"/>
      <c r="BI168" s="37"/>
      <c r="BJ168" s="41"/>
    </row>
    <row r="169" spans="2:62" ht="25.15" customHeight="1" x14ac:dyDescent="0.25">
      <c r="B169" s="49">
        <v>164</v>
      </c>
      <c r="C169" s="37"/>
      <c r="D169" s="87" t="str">
        <f>IF(tbl_Assessment[[#This Row],[Ben Code]]&lt;&gt;"",INDEX(tbl_Ben_Info[],MATCH(tbl_Assessment[[#This Row],[Ben Code]],tbl_Ben_Info[Ben Code],0),48),"")</f>
        <v/>
      </c>
      <c r="E169" s="116" t="str">
        <f>IF(tbl_Assessment[[#This Row],[Ben Code]]&lt;&gt;"",INDEX(tbl_Ben_Info[],MATCH(tbl_Assessment[[#This Row],[Ben Code]],tbl_Ben_Info[Ben Code],0),6),"")</f>
        <v/>
      </c>
      <c r="F169" s="113" t="str">
        <f>IF(tbl_Assessment[[#This Row],[Ben Code]]&lt;&gt;"",INDEX(tbl_Ben_Info[],MATCH(tbl_Assessment[[#This Row],[Ben Code]],tbl_Ben_Info[Ben Code],0),13),"")</f>
        <v/>
      </c>
      <c r="G169" s="49"/>
      <c r="H169" s="37"/>
      <c r="I169" s="37"/>
      <c r="J169" s="37"/>
      <c r="K169" s="37"/>
      <c r="L169" s="37"/>
      <c r="M169" s="59"/>
      <c r="N169" s="37"/>
      <c r="O169" s="37"/>
      <c r="P169" s="37"/>
      <c r="Q169" s="59"/>
      <c r="R169" s="49"/>
      <c r="S169" s="37"/>
      <c r="T169" s="37"/>
      <c r="U169" s="37"/>
      <c r="V169" s="37"/>
      <c r="W169" s="96" t="str">
        <f>tbl_Assessment[[#This Row],[Ben Code]] &amp; "-"&amp;tbl_Assessment[[#This Row],[admin4Pcode]]&amp;"-" &amp; TEXT(COUNTIF(INDEX(tbl_Assessment[Ben Code],1):tbl_Assessment[[#This Row],[Ben Code]], tbl_Assessment[[#This Row],[Ben Code]]), "00")</f>
        <v>--00</v>
      </c>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49"/>
      <c r="AU169" s="41"/>
      <c r="AV169" s="37"/>
      <c r="AW169" s="37"/>
      <c r="AX169" s="37"/>
      <c r="AY169" s="37"/>
      <c r="AZ169" s="37"/>
      <c r="BA169" s="37"/>
      <c r="BB169" s="41"/>
      <c r="BC169" s="37"/>
      <c r="BD169" s="37"/>
      <c r="BE169" s="37"/>
      <c r="BF169" s="41"/>
      <c r="BG169" s="37"/>
      <c r="BH169" s="37"/>
      <c r="BI169" s="37"/>
      <c r="BJ169" s="41"/>
    </row>
    <row r="170" spans="2:62" ht="25.15" customHeight="1" x14ac:dyDescent="0.25">
      <c r="B170" s="49">
        <v>165</v>
      </c>
      <c r="C170" s="37"/>
      <c r="D170" s="87" t="str">
        <f>IF(tbl_Assessment[[#This Row],[Ben Code]]&lt;&gt;"",INDEX(tbl_Ben_Info[],MATCH(tbl_Assessment[[#This Row],[Ben Code]],tbl_Ben_Info[Ben Code],0),48),"")</f>
        <v/>
      </c>
      <c r="E170" s="116" t="str">
        <f>IF(tbl_Assessment[[#This Row],[Ben Code]]&lt;&gt;"",INDEX(tbl_Ben_Info[],MATCH(tbl_Assessment[[#This Row],[Ben Code]],tbl_Ben_Info[Ben Code],0),6),"")</f>
        <v/>
      </c>
      <c r="F170" s="113" t="str">
        <f>IF(tbl_Assessment[[#This Row],[Ben Code]]&lt;&gt;"",INDEX(tbl_Ben_Info[],MATCH(tbl_Assessment[[#This Row],[Ben Code]],tbl_Ben_Info[Ben Code],0),13),"")</f>
        <v/>
      </c>
      <c r="G170" s="49"/>
      <c r="H170" s="37"/>
      <c r="I170" s="37"/>
      <c r="J170" s="37"/>
      <c r="K170" s="37"/>
      <c r="L170" s="37"/>
      <c r="M170" s="59"/>
      <c r="N170" s="37"/>
      <c r="O170" s="37"/>
      <c r="P170" s="37"/>
      <c r="Q170" s="59"/>
      <c r="R170" s="49"/>
      <c r="S170" s="37"/>
      <c r="T170" s="37"/>
      <c r="U170" s="37"/>
      <c r="V170" s="37"/>
      <c r="W170" s="96" t="str">
        <f>tbl_Assessment[[#This Row],[Ben Code]] &amp; "-"&amp;tbl_Assessment[[#This Row],[admin4Pcode]]&amp;"-" &amp; TEXT(COUNTIF(INDEX(tbl_Assessment[Ben Code],1):tbl_Assessment[[#This Row],[Ben Code]], tbl_Assessment[[#This Row],[Ben Code]]), "00")</f>
        <v>--00</v>
      </c>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49"/>
      <c r="AU170" s="41"/>
      <c r="AV170" s="37"/>
      <c r="AW170" s="37"/>
      <c r="AX170" s="37"/>
      <c r="AY170" s="37"/>
      <c r="AZ170" s="37"/>
      <c r="BA170" s="37"/>
      <c r="BB170" s="41"/>
      <c r="BC170" s="37"/>
      <c r="BD170" s="37"/>
      <c r="BE170" s="37"/>
      <c r="BF170" s="41"/>
      <c r="BG170" s="37"/>
      <c r="BH170" s="37"/>
      <c r="BI170" s="37"/>
      <c r="BJ170" s="41"/>
    </row>
    <row r="171" spans="2:62" ht="25.15" customHeight="1" x14ac:dyDescent="0.25">
      <c r="B171" s="49">
        <v>166</v>
      </c>
      <c r="C171" s="37"/>
      <c r="D171" s="87" t="str">
        <f>IF(tbl_Assessment[[#This Row],[Ben Code]]&lt;&gt;"",INDEX(tbl_Ben_Info[],MATCH(tbl_Assessment[[#This Row],[Ben Code]],tbl_Ben_Info[Ben Code],0),48),"")</f>
        <v/>
      </c>
      <c r="E171" s="116" t="str">
        <f>IF(tbl_Assessment[[#This Row],[Ben Code]]&lt;&gt;"",INDEX(tbl_Ben_Info[],MATCH(tbl_Assessment[[#This Row],[Ben Code]],tbl_Ben_Info[Ben Code],0),6),"")</f>
        <v/>
      </c>
      <c r="F171" s="113" t="str">
        <f>IF(tbl_Assessment[[#This Row],[Ben Code]]&lt;&gt;"",INDEX(tbl_Ben_Info[],MATCH(tbl_Assessment[[#This Row],[Ben Code]],tbl_Ben_Info[Ben Code],0),13),"")</f>
        <v/>
      </c>
      <c r="G171" s="49"/>
      <c r="H171" s="37"/>
      <c r="I171" s="37"/>
      <c r="J171" s="37"/>
      <c r="K171" s="37"/>
      <c r="L171" s="37"/>
      <c r="M171" s="59"/>
      <c r="N171" s="37"/>
      <c r="O171" s="37"/>
      <c r="P171" s="37"/>
      <c r="Q171" s="59"/>
      <c r="R171" s="49"/>
      <c r="S171" s="37"/>
      <c r="T171" s="37"/>
      <c r="U171" s="37"/>
      <c r="V171" s="37"/>
      <c r="W171" s="96" t="str">
        <f>tbl_Assessment[[#This Row],[Ben Code]] &amp; "-"&amp;tbl_Assessment[[#This Row],[admin4Pcode]]&amp;"-" &amp; TEXT(COUNTIF(INDEX(tbl_Assessment[Ben Code],1):tbl_Assessment[[#This Row],[Ben Code]], tbl_Assessment[[#This Row],[Ben Code]]), "00")</f>
        <v>--00</v>
      </c>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49"/>
      <c r="AU171" s="41"/>
      <c r="AV171" s="37"/>
      <c r="AW171" s="37"/>
      <c r="AX171" s="37"/>
      <c r="AY171" s="37"/>
      <c r="AZ171" s="37"/>
      <c r="BA171" s="37"/>
      <c r="BB171" s="41"/>
      <c r="BC171" s="37"/>
      <c r="BD171" s="37"/>
      <c r="BE171" s="37"/>
      <c r="BF171" s="41"/>
      <c r="BG171" s="37"/>
      <c r="BH171" s="37"/>
      <c r="BI171" s="37"/>
      <c r="BJ171" s="41"/>
    </row>
    <row r="172" spans="2:62" ht="25.15" customHeight="1" x14ac:dyDescent="0.25">
      <c r="B172" s="49">
        <v>167</v>
      </c>
      <c r="C172" s="37"/>
      <c r="D172" s="87" t="str">
        <f>IF(tbl_Assessment[[#This Row],[Ben Code]]&lt;&gt;"",INDEX(tbl_Ben_Info[],MATCH(tbl_Assessment[[#This Row],[Ben Code]],tbl_Ben_Info[Ben Code],0),48),"")</f>
        <v/>
      </c>
      <c r="E172" s="116" t="str">
        <f>IF(tbl_Assessment[[#This Row],[Ben Code]]&lt;&gt;"",INDEX(tbl_Ben_Info[],MATCH(tbl_Assessment[[#This Row],[Ben Code]],tbl_Ben_Info[Ben Code],0),6),"")</f>
        <v/>
      </c>
      <c r="F172" s="113" t="str">
        <f>IF(tbl_Assessment[[#This Row],[Ben Code]]&lt;&gt;"",INDEX(tbl_Ben_Info[],MATCH(tbl_Assessment[[#This Row],[Ben Code]],tbl_Ben_Info[Ben Code],0),13),"")</f>
        <v/>
      </c>
      <c r="G172" s="49"/>
      <c r="H172" s="37"/>
      <c r="I172" s="37"/>
      <c r="J172" s="37"/>
      <c r="K172" s="37"/>
      <c r="L172" s="37"/>
      <c r="M172" s="59"/>
      <c r="N172" s="37"/>
      <c r="O172" s="37"/>
      <c r="P172" s="37"/>
      <c r="Q172" s="59"/>
      <c r="R172" s="49"/>
      <c r="S172" s="37"/>
      <c r="T172" s="37"/>
      <c r="U172" s="37"/>
      <c r="V172" s="37"/>
      <c r="W172" s="96" t="str">
        <f>tbl_Assessment[[#This Row],[Ben Code]] &amp; "-"&amp;tbl_Assessment[[#This Row],[admin4Pcode]]&amp;"-" &amp; TEXT(COUNTIF(INDEX(tbl_Assessment[Ben Code],1):tbl_Assessment[[#This Row],[Ben Code]], tbl_Assessment[[#This Row],[Ben Code]]), "00")</f>
        <v>--00</v>
      </c>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49"/>
      <c r="AU172" s="41"/>
      <c r="AV172" s="37"/>
      <c r="AW172" s="37"/>
      <c r="AX172" s="37"/>
      <c r="AY172" s="37"/>
      <c r="AZ172" s="37"/>
      <c r="BA172" s="37"/>
      <c r="BB172" s="41"/>
      <c r="BC172" s="37"/>
      <c r="BD172" s="37"/>
      <c r="BE172" s="37"/>
      <c r="BF172" s="41"/>
      <c r="BG172" s="37"/>
      <c r="BH172" s="37"/>
      <c r="BI172" s="37"/>
      <c r="BJ172" s="41"/>
    </row>
    <row r="173" spans="2:62" ht="25.15" customHeight="1" x14ac:dyDescent="0.25">
      <c r="B173" s="49">
        <v>168</v>
      </c>
      <c r="C173" s="37"/>
      <c r="D173" s="87" t="str">
        <f>IF(tbl_Assessment[[#This Row],[Ben Code]]&lt;&gt;"",INDEX(tbl_Ben_Info[],MATCH(tbl_Assessment[[#This Row],[Ben Code]],tbl_Ben_Info[Ben Code],0),48),"")</f>
        <v/>
      </c>
      <c r="E173" s="116" t="str">
        <f>IF(tbl_Assessment[[#This Row],[Ben Code]]&lt;&gt;"",INDEX(tbl_Ben_Info[],MATCH(tbl_Assessment[[#This Row],[Ben Code]],tbl_Ben_Info[Ben Code],0),6),"")</f>
        <v/>
      </c>
      <c r="F173" s="113" t="str">
        <f>IF(tbl_Assessment[[#This Row],[Ben Code]]&lt;&gt;"",INDEX(tbl_Ben_Info[],MATCH(tbl_Assessment[[#This Row],[Ben Code]],tbl_Ben_Info[Ben Code],0),13),"")</f>
        <v/>
      </c>
      <c r="G173" s="49"/>
      <c r="H173" s="37"/>
      <c r="I173" s="37"/>
      <c r="J173" s="37"/>
      <c r="K173" s="37"/>
      <c r="L173" s="37"/>
      <c r="M173" s="59"/>
      <c r="N173" s="37"/>
      <c r="O173" s="37"/>
      <c r="P173" s="37"/>
      <c r="Q173" s="59"/>
      <c r="R173" s="49"/>
      <c r="S173" s="37"/>
      <c r="T173" s="37"/>
      <c r="U173" s="37"/>
      <c r="V173" s="37"/>
      <c r="W173" s="96" t="str">
        <f>tbl_Assessment[[#This Row],[Ben Code]] &amp; "-"&amp;tbl_Assessment[[#This Row],[admin4Pcode]]&amp;"-" &amp; TEXT(COUNTIF(INDEX(tbl_Assessment[Ben Code],1):tbl_Assessment[[#This Row],[Ben Code]], tbl_Assessment[[#This Row],[Ben Code]]), "00")</f>
        <v>--00</v>
      </c>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49"/>
      <c r="AU173" s="41"/>
      <c r="AV173" s="37"/>
      <c r="AW173" s="37"/>
      <c r="AX173" s="37"/>
      <c r="AY173" s="37"/>
      <c r="AZ173" s="37"/>
      <c r="BA173" s="37"/>
      <c r="BB173" s="41"/>
      <c r="BC173" s="37"/>
      <c r="BD173" s="37"/>
      <c r="BE173" s="37"/>
      <c r="BF173" s="41"/>
      <c r="BG173" s="37"/>
      <c r="BH173" s="37"/>
      <c r="BI173" s="37"/>
      <c r="BJ173" s="41"/>
    </row>
    <row r="174" spans="2:62" ht="25.15" customHeight="1" x14ac:dyDescent="0.25">
      <c r="B174" s="49">
        <v>169</v>
      </c>
      <c r="C174" s="37"/>
      <c r="D174" s="87" t="str">
        <f>IF(tbl_Assessment[[#This Row],[Ben Code]]&lt;&gt;"",INDEX(tbl_Ben_Info[],MATCH(tbl_Assessment[[#This Row],[Ben Code]],tbl_Ben_Info[Ben Code],0),48),"")</f>
        <v/>
      </c>
      <c r="E174" s="116" t="str">
        <f>IF(tbl_Assessment[[#This Row],[Ben Code]]&lt;&gt;"",INDEX(tbl_Ben_Info[],MATCH(tbl_Assessment[[#This Row],[Ben Code]],tbl_Ben_Info[Ben Code],0),6),"")</f>
        <v/>
      </c>
      <c r="F174" s="113" t="str">
        <f>IF(tbl_Assessment[[#This Row],[Ben Code]]&lt;&gt;"",INDEX(tbl_Ben_Info[],MATCH(tbl_Assessment[[#This Row],[Ben Code]],tbl_Ben_Info[Ben Code],0),13),"")</f>
        <v/>
      </c>
      <c r="G174" s="49"/>
      <c r="H174" s="37"/>
      <c r="I174" s="37"/>
      <c r="J174" s="37"/>
      <c r="K174" s="37"/>
      <c r="L174" s="37"/>
      <c r="M174" s="59"/>
      <c r="N174" s="37"/>
      <c r="O174" s="37"/>
      <c r="P174" s="37"/>
      <c r="Q174" s="59"/>
      <c r="R174" s="49"/>
      <c r="S174" s="37"/>
      <c r="T174" s="37"/>
      <c r="U174" s="37"/>
      <c r="V174" s="37"/>
      <c r="W174" s="96" t="str">
        <f>tbl_Assessment[[#This Row],[Ben Code]] &amp; "-"&amp;tbl_Assessment[[#This Row],[admin4Pcode]]&amp;"-" &amp; TEXT(COUNTIF(INDEX(tbl_Assessment[Ben Code],1):tbl_Assessment[[#This Row],[Ben Code]], tbl_Assessment[[#This Row],[Ben Code]]), "00")</f>
        <v>--00</v>
      </c>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49"/>
      <c r="AU174" s="41"/>
      <c r="AV174" s="37"/>
      <c r="AW174" s="37"/>
      <c r="AX174" s="37"/>
      <c r="AY174" s="37"/>
      <c r="AZ174" s="37"/>
      <c r="BA174" s="37"/>
      <c r="BB174" s="41"/>
      <c r="BC174" s="37"/>
      <c r="BD174" s="37"/>
      <c r="BE174" s="37"/>
      <c r="BF174" s="41"/>
      <c r="BG174" s="37"/>
      <c r="BH174" s="37"/>
      <c r="BI174" s="37"/>
      <c r="BJ174" s="41"/>
    </row>
    <row r="175" spans="2:62" ht="25.15" customHeight="1" x14ac:dyDescent="0.25">
      <c r="B175" s="49">
        <v>170</v>
      </c>
      <c r="C175" s="37"/>
      <c r="D175" s="87" t="str">
        <f>IF(tbl_Assessment[[#This Row],[Ben Code]]&lt;&gt;"",INDEX(tbl_Ben_Info[],MATCH(tbl_Assessment[[#This Row],[Ben Code]],tbl_Ben_Info[Ben Code],0),48),"")</f>
        <v/>
      </c>
      <c r="E175" s="116" t="str">
        <f>IF(tbl_Assessment[[#This Row],[Ben Code]]&lt;&gt;"",INDEX(tbl_Ben_Info[],MATCH(tbl_Assessment[[#This Row],[Ben Code]],tbl_Ben_Info[Ben Code],0),6),"")</f>
        <v/>
      </c>
      <c r="F175" s="113" t="str">
        <f>IF(tbl_Assessment[[#This Row],[Ben Code]]&lt;&gt;"",INDEX(tbl_Ben_Info[],MATCH(tbl_Assessment[[#This Row],[Ben Code]],tbl_Ben_Info[Ben Code],0),13),"")</f>
        <v/>
      </c>
      <c r="G175" s="49"/>
      <c r="H175" s="37"/>
      <c r="I175" s="37"/>
      <c r="J175" s="37"/>
      <c r="K175" s="37"/>
      <c r="L175" s="37"/>
      <c r="M175" s="59"/>
      <c r="N175" s="37"/>
      <c r="O175" s="37"/>
      <c r="P175" s="37"/>
      <c r="Q175" s="59"/>
      <c r="R175" s="49"/>
      <c r="S175" s="37"/>
      <c r="T175" s="37"/>
      <c r="U175" s="37"/>
      <c r="V175" s="37"/>
      <c r="W175" s="96" t="str">
        <f>tbl_Assessment[[#This Row],[Ben Code]] &amp; "-"&amp;tbl_Assessment[[#This Row],[admin4Pcode]]&amp;"-" &amp; TEXT(COUNTIF(INDEX(tbl_Assessment[Ben Code],1):tbl_Assessment[[#This Row],[Ben Code]], tbl_Assessment[[#This Row],[Ben Code]]), "00")</f>
        <v>--00</v>
      </c>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49"/>
      <c r="AU175" s="41"/>
      <c r="AV175" s="37"/>
      <c r="AW175" s="37"/>
      <c r="AX175" s="37"/>
      <c r="AY175" s="37"/>
      <c r="AZ175" s="37"/>
      <c r="BA175" s="37"/>
      <c r="BB175" s="41"/>
      <c r="BC175" s="37"/>
      <c r="BD175" s="37"/>
      <c r="BE175" s="37"/>
      <c r="BF175" s="41"/>
      <c r="BG175" s="37"/>
      <c r="BH175" s="37"/>
      <c r="BI175" s="37"/>
      <c r="BJ175" s="41"/>
    </row>
    <row r="176" spans="2:62" ht="25.15" customHeight="1" x14ac:dyDescent="0.25">
      <c r="B176" s="49">
        <v>171</v>
      </c>
      <c r="C176" s="37"/>
      <c r="D176" s="87" t="str">
        <f>IF(tbl_Assessment[[#This Row],[Ben Code]]&lt;&gt;"",INDEX(tbl_Ben_Info[],MATCH(tbl_Assessment[[#This Row],[Ben Code]],tbl_Ben_Info[Ben Code],0),48),"")</f>
        <v/>
      </c>
      <c r="E176" s="116" t="str">
        <f>IF(tbl_Assessment[[#This Row],[Ben Code]]&lt;&gt;"",INDEX(tbl_Ben_Info[],MATCH(tbl_Assessment[[#This Row],[Ben Code]],tbl_Ben_Info[Ben Code],0),6),"")</f>
        <v/>
      </c>
      <c r="F176" s="113" t="str">
        <f>IF(tbl_Assessment[[#This Row],[Ben Code]]&lt;&gt;"",INDEX(tbl_Ben_Info[],MATCH(tbl_Assessment[[#This Row],[Ben Code]],tbl_Ben_Info[Ben Code],0),13),"")</f>
        <v/>
      </c>
      <c r="G176" s="49"/>
      <c r="H176" s="37"/>
      <c r="I176" s="37"/>
      <c r="J176" s="37"/>
      <c r="K176" s="37"/>
      <c r="L176" s="37"/>
      <c r="M176" s="59"/>
      <c r="N176" s="37"/>
      <c r="O176" s="37"/>
      <c r="P176" s="37"/>
      <c r="Q176" s="59"/>
      <c r="R176" s="49"/>
      <c r="S176" s="37"/>
      <c r="T176" s="37"/>
      <c r="U176" s="37"/>
      <c r="V176" s="37"/>
      <c r="W176" s="96" t="str">
        <f>tbl_Assessment[[#This Row],[Ben Code]] &amp; "-"&amp;tbl_Assessment[[#This Row],[admin4Pcode]]&amp;"-" &amp; TEXT(COUNTIF(INDEX(tbl_Assessment[Ben Code],1):tbl_Assessment[[#This Row],[Ben Code]], tbl_Assessment[[#This Row],[Ben Code]]), "00")</f>
        <v>--00</v>
      </c>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49"/>
      <c r="AU176" s="41"/>
      <c r="AV176" s="37"/>
      <c r="AW176" s="37"/>
      <c r="AX176" s="37"/>
      <c r="AY176" s="37"/>
      <c r="AZ176" s="37"/>
      <c r="BA176" s="37"/>
      <c r="BB176" s="41"/>
      <c r="BC176" s="37"/>
      <c r="BD176" s="37"/>
      <c r="BE176" s="37"/>
      <c r="BF176" s="41"/>
      <c r="BG176" s="37"/>
      <c r="BH176" s="37"/>
      <c r="BI176" s="37"/>
      <c r="BJ176" s="41"/>
    </row>
    <row r="177" spans="2:62" ht="25.15" customHeight="1" x14ac:dyDescent="0.25">
      <c r="B177" s="49">
        <v>172</v>
      </c>
      <c r="C177" s="37"/>
      <c r="D177" s="87" t="str">
        <f>IF(tbl_Assessment[[#This Row],[Ben Code]]&lt;&gt;"",INDEX(tbl_Ben_Info[],MATCH(tbl_Assessment[[#This Row],[Ben Code]],tbl_Ben_Info[Ben Code],0),48),"")</f>
        <v/>
      </c>
      <c r="E177" s="116" t="str">
        <f>IF(tbl_Assessment[[#This Row],[Ben Code]]&lt;&gt;"",INDEX(tbl_Ben_Info[],MATCH(tbl_Assessment[[#This Row],[Ben Code]],tbl_Ben_Info[Ben Code],0),6),"")</f>
        <v/>
      </c>
      <c r="F177" s="113" t="str">
        <f>IF(tbl_Assessment[[#This Row],[Ben Code]]&lt;&gt;"",INDEX(tbl_Ben_Info[],MATCH(tbl_Assessment[[#This Row],[Ben Code]],tbl_Ben_Info[Ben Code],0),13),"")</f>
        <v/>
      </c>
      <c r="G177" s="49"/>
      <c r="H177" s="37"/>
      <c r="I177" s="37"/>
      <c r="J177" s="37"/>
      <c r="K177" s="37"/>
      <c r="L177" s="37"/>
      <c r="M177" s="59"/>
      <c r="N177" s="37"/>
      <c r="O177" s="37"/>
      <c r="P177" s="37"/>
      <c r="Q177" s="59"/>
      <c r="R177" s="49"/>
      <c r="S177" s="37"/>
      <c r="T177" s="37"/>
      <c r="U177" s="37"/>
      <c r="V177" s="37"/>
      <c r="W177" s="96" t="str">
        <f>tbl_Assessment[[#This Row],[Ben Code]] &amp; "-"&amp;tbl_Assessment[[#This Row],[admin4Pcode]]&amp;"-" &amp; TEXT(COUNTIF(INDEX(tbl_Assessment[Ben Code],1):tbl_Assessment[[#This Row],[Ben Code]], tbl_Assessment[[#This Row],[Ben Code]]), "00")</f>
        <v>--00</v>
      </c>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49"/>
      <c r="AU177" s="41"/>
      <c r="AV177" s="37"/>
      <c r="AW177" s="37"/>
      <c r="AX177" s="37"/>
      <c r="AY177" s="37"/>
      <c r="AZ177" s="37"/>
      <c r="BA177" s="37"/>
      <c r="BB177" s="41"/>
      <c r="BC177" s="37"/>
      <c r="BD177" s="37"/>
      <c r="BE177" s="37"/>
      <c r="BF177" s="41"/>
      <c r="BG177" s="37"/>
      <c r="BH177" s="37"/>
      <c r="BI177" s="37"/>
      <c r="BJ177" s="41"/>
    </row>
    <row r="178" spans="2:62" ht="25.15" customHeight="1" x14ac:dyDescent="0.25">
      <c r="B178" s="49">
        <v>173</v>
      </c>
      <c r="C178" s="37"/>
      <c r="D178" s="87" t="str">
        <f>IF(tbl_Assessment[[#This Row],[Ben Code]]&lt;&gt;"",INDEX(tbl_Ben_Info[],MATCH(tbl_Assessment[[#This Row],[Ben Code]],tbl_Ben_Info[Ben Code],0),48),"")</f>
        <v/>
      </c>
      <c r="E178" s="116" t="str">
        <f>IF(tbl_Assessment[[#This Row],[Ben Code]]&lt;&gt;"",INDEX(tbl_Ben_Info[],MATCH(tbl_Assessment[[#This Row],[Ben Code]],tbl_Ben_Info[Ben Code],0),6),"")</f>
        <v/>
      </c>
      <c r="F178" s="113" t="str">
        <f>IF(tbl_Assessment[[#This Row],[Ben Code]]&lt;&gt;"",INDEX(tbl_Ben_Info[],MATCH(tbl_Assessment[[#This Row],[Ben Code]],tbl_Ben_Info[Ben Code],0),13),"")</f>
        <v/>
      </c>
      <c r="G178" s="49"/>
      <c r="H178" s="37"/>
      <c r="I178" s="37"/>
      <c r="J178" s="37"/>
      <c r="K178" s="37"/>
      <c r="L178" s="37"/>
      <c r="M178" s="59"/>
      <c r="N178" s="37"/>
      <c r="O178" s="37"/>
      <c r="P178" s="37"/>
      <c r="Q178" s="59"/>
      <c r="R178" s="49"/>
      <c r="S178" s="37"/>
      <c r="T178" s="37"/>
      <c r="U178" s="37"/>
      <c r="V178" s="37"/>
      <c r="W178" s="96" t="str">
        <f>tbl_Assessment[[#This Row],[Ben Code]] &amp; "-"&amp;tbl_Assessment[[#This Row],[admin4Pcode]]&amp;"-" &amp; TEXT(COUNTIF(INDEX(tbl_Assessment[Ben Code],1):tbl_Assessment[[#This Row],[Ben Code]], tbl_Assessment[[#This Row],[Ben Code]]), "00")</f>
        <v>--00</v>
      </c>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49"/>
      <c r="AU178" s="41"/>
      <c r="AV178" s="37"/>
      <c r="AW178" s="37"/>
      <c r="AX178" s="37"/>
      <c r="AY178" s="37"/>
      <c r="AZ178" s="37"/>
      <c r="BA178" s="37"/>
      <c r="BB178" s="41"/>
      <c r="BC178" s="37"/>
      <c r="BD178" s="37"/>
      <c r="BE178" s="37"/>
      <c r="BF178" s="41"/>
      <c r="BG178" s="37"/>
      <c r="BH178" s="37"/>
      <c r="BI178" s="37"/>
      <c r="BJ178" s="41"/>
    </row>
    <row r="179" spans="2:62" ht="25.15" customHeight="1" x14ac:dyDescent="0.25">
      <c r="B179" s="49">
        <v>174</v>
      </c>
      <c r="C179" s="37"/>
      <c r="D179" s="87" t="str">
        <f>IF(tbl_Assessment[[#This Row],[Ben Code]]&lt;&gt;"",INDEX(tbl_Ben_Info[],MATCH(tbl_Assessment[[#This Row],[Ben Code]],tbl_Ben_Info[Ben Code],0),48),"")</f>
        <v/>
      </c>
      <c r="E179" s="116" t="str">
        <f>IF(tbl_Assessment[[#This Row],[Ben Code]]&lt;&gt;"",INDEX(tbl_Ben_Info[],MATCH(tbl_Assessment[[#This Row],[Ben Code]],tbl_Ben_Info[Ben Code],0),6),"")</f>
        <v/>
      </c>
      <c r="F179" s="113" t="str">
        <f>IF(tbl_Assessment[[#This Row],[Ben Code]]&lt;&gt;"",INDEX(tbl_Ben_Info[],MATCH(tbl_Assessment[[#This Row],[Ben Code]],tbl_Ben_Info[Ben Code],0),13),"")</f>
        <v/>
      </c>
      <c r="G179" s="49"/>
      <c r="H179" s="37"/>
      <c r="I179" s="37"/>
      <c r="J179" s="37"/>
      <c r="K179" s="37"/>
      <c r="L179" s="37"/>
      <c r="M179" s="59"/>
      <c r="N179" s="37"/>
      <c r="O179" s="37"/>
      <c r="P179" s="37"/>
      <c r="Q179" s="59"/>
      <c r="R179" s="49"/>
      <c r="S179" s="37"/>
      <c r="T179" s="37"/>
      <c r="U179" s="37"/>
      <c r="V179" s="37"/>
      <c r="W179" s="96" t="str">
        <f>tbl_Assessment[[#This Row],[Ben Code]] &amp; "-"&amp;tbl_Assessment[[#This Row],[admin4Pcode]]&amp;"-" &amp; TEXT(COUNTIF(INDEX(tbl_Assessment[Ben Code],1):tbl_Assessment[[#This Row],[Ben Code]], tbl_Assessment[[#This Row],[Ben Code]]), "00")</f>
        <v>--00</v>
      </c>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49"/>
      <c r="AU179" s="41"/>
      <c r="AV179" s="37"/>
      <c r="AW179" s="37"/>
      <c r="AX179" s="37"/>
      <c r="AY179" s="37"/>
      <c r="AZ179" s="37"/>
      <c r="BA179" s="37"/>
      <c r="BB179" s="41"/>
      <c r="BC179" s="37"/>
      <c r="BD179" s="37"/>
      <c r="BE179" s="37"/>
      <c r="BF179" s="41"/>
      <c r="BG179" s="37"/>
      <c r="BH179" s="37"/>
      <c r="BI179" s="37"/>
      <c r="BJ179" s="41"/>
    </row>
    <row r="180" spans="2:62" ht="25.15" customHeight="1" x14ac:dyDescent="0.25">
      <c r="B180" s="49">
        <v>175</v>
      </c>
      <c r="C180" s="37"/>
      <c r="D180" s="87" t="str">
        <f>IF(tbl_Assessment[[#This Row],[Ben Code]]&lt;&gt;"",INDEX(tbl_Ben_Info[],MATCH(tbl_Assessment[[#This Row],[Ben Code]],tbl_Ben_Info[Ben Code],0),48),"")</f>
        <v/>
      </c>
      <c r="E180" s="116" t="str">
        <f>IF(tbl_Assessment[[#This Row],[Ben Code]]&lt;&gt;"",INDEX(tbl_Ben_Info[],MATCH(tbl_Assessment[[#This Row],[Ben Code]],tbl_Ben_Info[Ben Code],0),6),"")</f>
        <v/>
      </c>
      <c r="F180" s="113" t="str">
        <f>IF(tbl_Assessment[[#This Row],[Ben Code]]&lt;&gt;"",INDEX(tbl_Ben_Info[],MATCH(tbl_Assessment[[#This Row],[Ben Code]],tbl_Ben_Info[Ben Code],0),13),"")</f>
        <v/>
      </c>
      <c r="G180" s="49"/>
      <c r="H180" s="37"/>
      <c r="I180" s="37"/>
      <c r="J180" s="37"/>
      <c r="K180" s="37"/>
      <c r="L180" s="37"/>
      <c r="M180" s="59"/>
      <c r="N180" s="37"/>
      <c r="O180" s="37"/>
      <c r="P180" s="37"/>
      <c r="Q180" s="59"/>
      <c r="R180" s="49"/>
      <c r="S180" s="37"/>
      <c r="T180" s="37"/>
      <c r="U180" s="37"/>
      <c r="V180" s="37"/>
      <c r="W180" s="96" t="str">
        <f>tbl_Assessment[[#This Row],[Ben Code]] &amp; "-"&amp;tbl_Assessment[[#This Row],[admin4Pcode]]&amp;"-" &amp; TEXT(COUNTIF(INDEX(tbl_Assessment[Ben Code],1):tbl_Assessment[[#This Row],[Ben Code]], tbl_Assessment[[#This Row],[Ben Code]]), "00")</f>
        <v>--00</v>
      </c>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49"/>
      <c r="AU180" s="41"/>
      <c r="AV180" s="37"/>
      <c r="AW180" s="37"/>
      <c r="AX180" s="37"/>
      <c r="AY180" s="37"/>
      <c r="AZ180" s="37"/>
      <c r="BA180" s="37"/>
      <c r="BB180" s="41"/>
      <c r="BC180" s="37"/>
      <c r="BD180" s="37"/>
      <c r="BE180" s="37"/>
      <c r="BF180" s="41"/>
      <c r="BG180" s="37"/>
      <c r="BH180" s="37"/>
      <c r="BI180" s="37"/>
      <c r="BJ180" s="41"/>
    </row>
    <row r="181" spans="2:62" ht="25.15" customHeight="1" x14ac:dyDescent="0.25">
      <c r="B181" s="49">
        <v>176</v>
      </c>
      <c r="C181" s="37"/>
      <c r="D181" s="87" t="str">
        <f>IF(tbl_Assessment[[#This Row],[Ben Code]]&lt;&gt;"",INDEX(tbl_Ben_Info[],MATCH(tbl_Assessment[[#This Row],[Ben Code]],tbl_Ben_Info[Ben Code],0),48),"")</f>
        <v/>
      </c>
      <c r="E181" s="116" t="str">
        <f>IF(tbl_Assessment[[#This Row],[Ben Code]]&lt;&gt;"",INDEX(tbl_Ben_Info[],MATCH(tbl_Assessment[[#This Row],[Ben Code]],tbl_Ben_Info[Ben Code],0),6),"")</f>
        <v/>
      </c>
      <c r="F181" s="113" t="str">
        <f>IF(tbl_Assessment[[#This Row],[Ben Code]]&lt;&gt;"",INDEX(tbl_Ben_Info[],MATCH(tbl_Assessment[[#This Row],[Ben Code]],tbl_Ben_Info[Ben Code],0),13),"")</f>
        <v/>
      </c>
      <c r="G181" s="49"/>
      <c r="H181" s="37"/>
      <c r="I181" s="37"/>
      <c r="J181" s="37"/>
      <c r="K181" s="37"/>
      <c r="L181" s="37"/>
      <c r="M181" s="59"/>
      <c r="N181" s="37"/>
      <c r="O181" s="37"/>
      <c r="P181" s="37"/>
      <c r="Q181" s="59"/>
      <c r="R181" s="49"/>
      <c r="S181" s="37"/>
      <c r="T181" s="37"/>
      <c r="U181" s="37"/>
      <c r="V181" s="37"/>
      <c r="W181" s="96" t="str">
        <f>tbl_Assessment[[#This Row],[Ben Code]] &amp; "-"&amp;tbl_Assessment[[#This Row],[admin4Pcode]]&amp;"-" &amp; TEXT(COUNTIF(INDEX(tbl_Assessment[Ben Code],1):tbl_Assessment[[#This Row],[Ben Code]], tbl_Assessment[[#This Row],[Ben Code]]), "00")</f>
        <v>--00</v>
      </c>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49"/>
      <c r="AU181" s="41"/>
      <c r="AV181" s="37"/>
      <c r="AW181" s="37"/>
      <c r="AX181" s="37"/>
      <c r="AY181" s="37"/>
      <c r="AZ181" s="37"/>
      <c r="BA181" s="37"/>
      <c r="BB181" s="41"/>
      <c r="BC181" s="37"/>
      <c r="BD181" s="37"/>
      <c r="BE181" s="37"/>
      <c r="BF181" s="41"/>
      <c r="BG181" s="37"/>
      <c r="BH181" s="37"/>
      <c r="BI181" s="37"/>
      <c r="BJ181" s="41"/>
    </row>
    <row r="182" spans="2:62" ht="25.15" customHeight="1" x14ac:dyDescent="0.25">
      <c r="B182" s="49">
        <v>177</v>
      </c>
      <c r="C182" s="37"/>
      <c r="D182" s="87" t="str">
        <f>IF(tbl_Assessment[[#This Row],[Ben Code]]&lt;&gt;"",INDEX(tbl_Ben_Info[],MATCH(tbl_Assessment[[#This Row],[Ben Code]],tbl_Ben_Info[Ben Code],0),48),"")</f>
        <v/>
      </c>
      <c r="E182" s="116" t="str">
        <f>IF(tbl_Assessment[[#This Row],[Ben Code]]&lt;&gt;"",INDEX(tbl_Ben_Info[],MATCH(tbl_Assessment[[#This Row],[Ben Code]],tbl_Ben_Info[Ben Code],0),6),"")</f>
        <v/>
      </c>
      <c r="F182" s="113" t="str">
        <f>IF(tbl_Assessment[[#This Row],[Ben Code]]&lt;&gt;"",INDEX(tbl_Ben_Info[],MATCH(tbl_Assessment[[#This Row],[Ben Code]],tbl_Ben_Info[Ben Code],0),13),"")</f>
        <v/>
      </c>
      <c r="G182" s="49"/>
      <c r="H182" s="37"/>
      <c r="I182" s="37"/>
      <c r="J182" s="37"/>
      <c r="K182" s="37"/>
      <c r="L182" s="37"/>
      <c r="M182" s="59"/>
      <c r="N182" s="37"/>
      <c r="O182" s="37"/>
      <c r="P182" s="37"/>
      <c r="Q182" s="59"/>
      <c r="R182" s="49"/>
      <c r="S182" s="37"/>
      <c r="T182" s="37"/>
      <c r="U182" s="37"/>
      <c r="V182" s="37"/>
      <c r="W182" s="96" t="str">
        <f>tbl_Assessment[[#This Row],[Ben Code]] &amp; "-"&amp;tbl_Assessment[[#This Row],[admin4Pcode]]&amp;"-" &amp; TEXT(COUNTIF(INDEX(tbl_Assessment[Ben Code],1):tbl_Assessment[[#This Row],[Ben Code]], tbl_Assessment[[#This Row],[Ben Code]]), "00")</f>
        <v>--00</v>
      </c>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49"/>
      <c r="AU182" s="41"/>
      <c r="AV182" s="37"/>
      <c r="AW182" s="37"/>
      <c r="AX182" s="37"/>
      <c r="AY182" s="37"/>
      <c r="AZ182" s="37"/>
      <c r="BA182" s="37"/>
      <c r="BB182" s="41"/>
      <c r="BC182" s="37"/>
      <c r="BD182" s="37"/>
      <c r="BE182" s="37"/>
      <c r="BF182" s="41"/>
      <c r="BG182" s="37"/>
      <c r="BH182" s="37"/>
      <c r="BI182" s="37"/>
      <c r="BJ182" s="41"/>
    </row>
    <row r="183" spans="2:62" ht="25.15" customHeight="1" x14ac:dyDescent="0.25">
      <c r="B183" s="49">
        <v>178</v>
      </c>
      <c r="C183" s="37"/>
      <c r="D183" s="87" t="str">
        <f>IF(tbl_Assessment[[#This Row],[Ben Code]]&lt;&gt;"",INDEX(tbl_Ben_Info[],MATCH(tbl_Assessment[[#This Row],[Ben Code]],tbl_Ben_Info[Ben Code],0),48),"")</f>
        <v/>
      </c>
      <c r="E183" s="116" t="str">
        <f>IF(tbl_Assessment[[#This Row],[Ben Code]]&lt;&gt;"",INDEX(tbl_Ben_Info[],MATCH(tbl_Assessment[[#This Row],[Ben Code]],tbl_Ben_Info[Ben Code],0),6),"")</f>
        <v/>
      </c>
      <c r="F183" s="113" t="str">
        <f>IF(tbl_Assessment[[#This Row],[Ben Code]]&lt;&gt;"",INDEX(tbl_Ben_Info[],MATCH(tbl_Assessment[[#This Row],[Ben Code]],tbl_Ben_Info[Ben Code],0),13),"")</f>
        <v/>
      </c>
      <c r="G183" s="49"/>
      <c r="H183" s="37"/>
      <c r="I183" s="37"/>
      <c r="J183" s="37"/>
      <c r="K183" s="37"/>
      <c r="L183" s="37"/>
      <c r="M183" s="59"/>
      <c r="N183" s="37"/>
      <c r="O183" s="37"/>
      <c r="P183" s="37"/>
      <c r="Q183" s="59"/>
      <c r="R183" s="49"/>
      <c r="S183" s="37"/>
      <c r="T183" s="37"/>
      <c r="U183" s="37"/>
      <c r="V183" s="37"/>
      <c r="W183" s="96" t="str">
        <f>tbl_Assessment[[#This Row],[Ben Code]] &amp; "-"&amp;tbl_Assessment[[#This Row],[admin4Pcode]]&amp;"-" &amp; TEXT(COUNTIF(INDEX(tbl_Assessment[Ben Code],1):tbl_Assessment[[#This Row],[Ben Code]], tbl_Assessment[[#This Row],[Ben Code]]), "00")</f>
        <v>--00</v>
      </c>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49"/>
      <c r="AU183" s="41"/>
      <c r="AV183" s="37"/>
      <c r="AW183" s="37"/>
      <c r="AX183" s="37"/>
      <c r="AY183" s="37"/>
      <c r="AZ183" s="37"/>
      <c r="BA183" s="37"/>
      <c r="BB183" s="41"/>
      <c r="BC183" s="37"/>
      <c r="BD183" s="37"/>
      <c r="BE183" s="37"/>
      <c r="BF183" s="41"/>
      <c r="BG183" s="37"/>
      <c r="BH183" s="37"/>
      <c r="BI183" s="37"/>
      <c r="BJ183" s="41"/>
    </row>
    <row r="184" spans="2:62" ht="25.15" customHeight="1" x14ac:dyDescent="0.25">
      <c r="B184" s="49">
        <v>179</v>
      </c>
      <c r="C184" s="37"/>
      <c r="D184" s="87" t="str">
        <f>IF(tbl_Assessment[[#This Row],[Ben Code]]&lt;&gt;"",INDEX(tbl_Ben_Info[],MATCH(tbl_Assessment[[#This Row],[Ben Code]],tbl_Ben_Info[Ben Code],0),48),"")</f>
        <v/>
      </c>
      <c r="E184" s="116" t="str">
        <f>IF(tbl_Assessment[[#This Row],[Ben Code]]&lt;&gt;"",INDEX(tbl_Ben_Info[],MATCH(tbl_Assessment[[#This Row],[Ben Code]],tbl_Ben_Info[Ben Code],0),6),"")</f>
        <v/>
      </c>
      <c r="F184" s="113" t="str">
        <f>IF(tbl_Assessment[[#This Row],[Ben Code]]&lt;&gt;"",INDEX(tbl_Ben_Info[],MATCH(tbl_Assessment[[#This Row],[Ben Code]],tbl_Ben_Info[Ben Code],0),13),"")</f>
        <v/>
      </c>
      <c r="G184" s="49"/>
      <c r="H184" s="37"/>
      <c r="I184" s="37"/>
      <c r="J184" s="37"/>
      <c r="K184" s="37"/>
      <c r="L184" s="37"/>
      <c r="M184" s="59"/>
      <c r="N184" s="37"/>
      <c r="O184" s="37"/>
      <c r="P184" s="37"/>
      <c r="Q184" s="59"/>
      <c r="R184" s="49"/>
      <c r="S184" s="37"/>
      <c r="T184" s="37"/>
      <c r="U184" s="37"/>
      <c r="V184" s="37"/>
      <c r="W184" s="96" t="str">
        <f>tbl_Assessment[[#This Row],[Ben Code]] &amp; "-"&amp;tbl_Assessment[[#This Row],[admin4Pcode]]&amp;"-" &amp; TEXT(COUNTIF(INDEX(tbl_Assessment[Ben Code],1):tbl_Assessment[[#This Row],[Ben Code]], tbl_Assessment[[#This Row],[Ben Code]]), "00")</f>
        <v>--00</v>
      </c>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49"/>
      <c r="AU184" s="41"/>
      <c r="AV184" s="37"/>
      <c r="AW184" s="37"/>
      <c r="AX184" s="37"/>
      <c r="AY184" s="37"/>
      <c r="AZ184" s="37"/>
      <c r="BA184" s="37"/>
      <c r="BB184" s="41"/>
      <c r="BC184" s="37"/>
      <c r="BD184" s="37"/>
      <c r="BE184" s="37"/>
      <c r="BF184" s="41"/>
      <c r="BG184" s="37"/>
      <c r="BH184" s="37"/>
      <c r="BI184" s="37"/>
      <c r="BJ184" s="41"/>
    </row>
    <row r="185" spans="2:62" ht="25.15" customHeight="1" x14ac:dyDescent="0.25">
      <c r="B185" s="49">
        <v>180</v>
      </c>
      <c r="C185" s="37"/>
      <c r="D185" s="87" t="str">
        <f>IF(tbl_Assessment[[#This Row],[Ben Code]]&lt;&gt;"",INDEX(tbl_Ben_Info[],MATCH(tbl_Assessment[[#This Row],[Ben Code]],tbl_Ben_Info[Ben Code],0),48),"")</f>
        <v/>
      </c>
      <c r="E185" s="116" t="str">
        <f>IF(tbl_Assessment[[#This Row],[Ben Code]]&lt;&gt;"",INDEX(tbl_Ben_Info[],MATCH(tbl_Assessment[[#This Row],[Ben Code]],tbl_Ben_Info[Ben Code],0),6),"")</f>
        <v/>
      </c>
      <c r="F185" s="113" t="str">
        <f>IF(tbl_Assessment[[#This Row],[Ben Code]]&lt;&gt;"",INDEX(tbl_Ben_Info[],MATCH(tbl_Assessment[[#This Row],[Ben Code]],tbl_Ben_Info[Ben Code],0),13),"")</f>
        <v/>
      </c>
      <c r="G185" s="49"/>
      <c r="H185" s="37"/>
      <c r="I185" s="37"/>
      <c r="J185" s="37"/>
      <c r="K185" s="37"/>
      <c r="L185" s="37"/>
      <c r="M185" s="59"/>
      <c r="N185" s="37"/>
      <c r="O185" s="37"/>
      <c r="P185" s="37"/>
      <c r="Q185" s="59"/>
      <c r="R185" s="49"/>
      <c r="S185" s="37"/>
      <c r="T185" s="37"/>
      <c r="U185" s="37"/>
      <c r="V185" s="37"/>
      <c r="W185" s="96" t="str">
        <f>tbl_Assessment[[#This Row],[Ben Code]] &amp; "-"&amp;tbl_Assessment[[#This Row],[admin4Pcode]]&amp;"-" &amp; TEXT(COUNTIF(INDEX(tbl_Assessment[Ben Code],1):tbl_Assessment[[#This Row],[Ben Code]], tbl_Assessment[[#This Row],[Ben Code]]), "00")</f>
        <v>--00</v>
      </c>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49"/>
      <c r="AU185" s="41"/>
      <c r="AV185" s="37"/>
      <c r="AW185" s="37"/>
      <c r="AX185" s="37"/>
      <c r="AY185" s="37"/>
      <c r="AZ185" s="37"/>
      <c r="BA185" s="37"/>
      <c r="BB185" s="41"/>
      <c r="BC185" s="37"/>
      <c r="BD185" s="37"/>
      <c r="BE185" s="37"/>
      <c r="BF185" s="41"/>
      <c r="BG185" s="37"/>
      <c r="BH185" s="37"/>
      <c r="BI185" s="37"/>
      <c r="BJ185" s="41"/>
    </row>
    <row r="186" spans="2:62" ht="25.15" customHeight="1" x14ac:dyDescent="0.25">
      <c r="B186" s="49">
        <v>181</v>
      </c>
      <c r="C186" s="37"/>
      <c r="D186" s="87" t="str">
        <f>IF(tbl_Assessment[[#This Row],[Ben Code]]&lt;&gt;"",INDEX(tbl_Ben_Info[],MATCH(tbl_Assessment[[#This Row],[Ben Code]],tbl_Ben_Info[Ben Code],0),48),"")</f>
        <v/>
      </c>
      <c r="E186" s="116" t="str">
        <f>IF(tbl_Assessment[[#This Row],[Ben Code]]&lt;&gt;"",INDEX(tbl_Ben_Info[],MATCH(tbl_Assessment[[#This Row],[Ben Code]],tbl_Ben_Info[Ben Code],0),6),"")</f>
        <v/>
      </c>
      <c r="F186" s="113" t="str">
        <f>IF(tbl_Assessment[[#This Row],[Ben Code]]&lt;&gt;"",INDEX(tbl_Ben_Info[],MATCH(tbl_Assessment[[#This Row],[Ben Code]],tbl_Ben_Info[Ben Code],0),13),"")</f>
        <v/>
      </c>
      <c r="G186" s="49"/>
      <c r="H186" s="37"/>
      <c r="I186" s="37"/>
      <c r="J186" s="37"/>
      <c r="K186" s="37"/>
      <c r="L186" s="37"/>
      <c r="M186" s="59"/>
      <c r="N186" s="37"/>
      <c r="O186" s="37"/>
      <c r="P186" s="37"/>
      <c r="Q186" s="59"/>
      <c r="R186" s="49"/>
      <c r="S186" s="37"/>
      <c r="T186" s="37"/>
      <c r="U186" s="37"/>
      <c r="V186" s="37"/>
      <c r="W186" s="96" t="str">
        <f>tbl_Assessment[[#This Row],[Ben Code]] &amp; "-"&amp;tbl_Assessment[[#This Row],[admin4Pcode]]&amp;"-" &amp; TEXT(COUNTIF(INDEX(tbl_Assessment[Ben Code],1):tbl_Assessment[[#This Row],[Ben Code]], tbl_Assessment[[#This Row],[Ben Code]]), "00")</f>
        <v>--00</v>
      </c>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49"/>
      <c r="AU186" s="41"/>
      <c r="AV186" s="37"/>
      <c r="AW186" s="37"/>
      <c r="AX186" s="37"/>
      <c r="AY186" s="37"/>
      <c r="AZ186" s="37"/>
      <c r="BA186" s="37"/>
      <c r="BB186" s="41"/>
      <c r="BC186" s="37"/>
      <c r="BD186" s="37"/>
      <c r="BE186" s="37"/>
      <c r="BF186" s="41"/>
      <c r="BG186" s="37"/>
      <c r="BH186" s="37"/>
      <c r="BI186" s="37"/>
      <c r="BJ186" s="41"/>
    </row>
    <row r="187" spans="2:62" ht="25.15" customHeight="1" x14ac:dyDescent="0.25">
      <c r="B187" s="49">
        <v>182</v>
      </c>
      <c r="C187" s="37"/>
      <c r="D187" s="87" t="str">
        <f>IF(tbl_Assessment[[#This Row],[Ben Code]]&lt;&gt;"",INDEX(tbl_Ben_Info[],MATCH(tbl_Assessment[[#This Row],[Ben Code]],tbl_Ben_Info[Ben Code],0),48),"")</f>
        <v/>
      </c>
      <c r="E187" s="116" t="str">
        <f>IF(tbl_Assessment[[#This Row],[Ben Code]]&lt;&gt;"",INDEX(tbl_Ben_Info[],MATCH(tbl_Assessment[[#This Row],[Ben Code]],tbl_Ben_Info[Ben Code],0),6),"")</f>
        <v/>
      </c>
      <c r="F187" s="113" t="str">
        <f>IF(tbl_Assessment[[#This Row],[Ben Code]]&lt;&gt;"",INDEX(tbl_Ben_Info[],MATCH(tbl_Assessment[[#This Row],[Ben Code]],tbl_Ben_Info[Ben Code],0),13),"")</f>
        <v/>
      </c>
      <c r="G187" s="49"/>
      <c r="H187" s="37"/>
      <c r="I187" s="37"/>
      <c r="J187" s="37"/>
      <c r="K187" s="37"/>
      <c r="L187" s="37"/>
      <c r="M187" s="59"/>
      <c r="N187" s="37"/>
      <c r="O187" s="37"/>
      <c r="P187" s="37"/>
      <c r="Q187" s="59"/>
      <c r="R187" s="49"/>
      <c r="S187" s="37"/>
      <c r="T187" s="37"/>
      <c r="U187" s="37"/>
      <c r="V187" s="37"/>
      <c r="W187" s="96" t="str">
        <f>tbl_Assessment[[#This Row],[Ben Code]] &amp; "-"&amp;tbl_Assessment[[#This Row],[admin4Pcode]]&amp;"-" &amp; TEXT(COUNTIF(INDEX(tbl_Assessment[Ben Code],1):tbl_Assessment[[#This Row],[Ben Code]], tbl_Assessment[[#This Row],[Ben Code]]), "00")</f>
        <v>--00</v>
      </c>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49"/>
      <c r="AU187" s="41"/>
      <c r="AV187" s="37"/>
      <c r="AW187" s="37"/>
      <c r="AX187" s="37"/>
      <c r="AY187" s="37"/>
      <c r="AZ187" s="37"/>
      <c r="BA187" s="37"/>
      <c r="BB187" s="41"/>
      <c r="BC187" s="37"/>
      <c r="BD187" s="37"/>
      <c r="BE187" s="37"/>
      <c r="BF187" s="41"/>
      <c r="BG187" s="37"/>
      <c r="BH187" s="37"/>
      <c r="BI187" s="37"/>
      <c r="BJ187" s="41"/>
    </row>
    <row r="188" spans="2:62" ht="25.15" customHeight="1" x14ac:dyDescent="0.25">
      <c r="B188" s="49">
        <v>183</v>
      </c>
      <c r="C188" s="37"/>
      <c r="D188" s="87" t="str">
        <f>IF(tbl_Assessment[[#This Row],[Ben Code]]&lt;&gt;"",INDEX(tbl_Ben_Info[],MATCH(tbl_Assessment[[#This Row],[Ben Code]],tbl_Ben_Info[Ben Code],0),48),"")</f>
        <v/>
      </c>
      <c r="E188" s="116" t="str">
        <f>IF(tbl_Assessment[[#This Row],[Ben Code]]&lt;&gt;"",INDEX(tbl_Ben_Info[],MATCH(tbl_Assessment[[#This Row],[Ben Code]],tbl_Ben_Info[Ben Code],0),6),"")</f>
        <v/>
      </c>
      <c r="F188" s="113" t="str">
        <f>IF(tbl_Assessment[[#This Row],[Ben Code]]&lt;&gt;"",INDEX(tbl_Ben_Info[],MATCH(tbl_Assessment[[#This Row],[Ben Code]],tbl_Ben_Info[Ben Code],0),13),"")</f>
        <v/>
      </c>
      <c r="G188" s="49"/>
      <c r="H188" s="37"/>
      <c r="I188" s="37"/>
      <c r="J188" s="37"/>
      <c r="K188" s="37"/>
      <c r="L188" s="37"/>
      <c r="M188" s="59"/>
      <c r="N188" s="37"/>
      <c r="O188" s="37"/>
      <c r="P188" s="37"/>
      <c r="Q188" s="59"/>
      <c r="R188" s="49"/>
      <c r="S188" s="37"/>
      <c r="T188" s="37"/>
      <c r="U188" s="37"/>
      <c r="V188" s="37"/>
      <c r="W188" s="96" t="str">
        <f>tbl_Assessment[[#This Row],[Ben Code]] &amp; "-"&amp;tbl_Assessment[[#This Row],[admin4Pcode]]&amp;"-" &amp; TEXT(COUNTIF(INDEX(tbl_Assessment[Ben Code],1):tbl_Assessment[[#This Row],[Ben Code]], tbl_Assessment[[#This Row],[Ben Code]]), "00")</f>
        <v>--00</v>
      </c>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49"/>
      <c r="AU188" s="41"/>
      <c r="AV188" s="37"/>
      <c r="AW188" s="37"/>
      <c r="AX188" s="37"/>
      <c r="AY188" s="37"/>
      <c r="AZ188" s="37"/>
      <c r="BA188" s="37"/>
      <c r="BB188" s="41"/>
      <c r="BC188" s="37"/>
      <c r="BD188" s="37"/>
      <c r="BE188" s="37"/>
      <c r="BF188" s="41"/>
      <c r="BG188" s="37"/>
      <c r="BH188" s="37"/>
      <c r="BI188" s="37"/>
      <c r="BJ188" s="41"/>
    </row>
    <row r="189" spans="2:62" ht="25.15" customHeight="1" x14ac:dyDescent="0.25">
      <c r="B189" s="49">
        <v>184</v>
      </c>
      <c r="C189" s="37"/>
      <c r="D189" s="87" t="str">
        <f>IF(tbl_Assessment[[#This Row],[Ben Code]]&lt;&gt;"",INDEX(tbl_Ben_Info[],MATCH(tbl_Assessment[[#This Row],[Ben Code]],tbl_Ben_Info[Ben Code],0),48),"")</f>
        <v/>
      </c>
      <c r="E189" s="116" t="str">
        <f>IF(tbl_Assessment[[#This Row],[Ben Code]]&lt;&gt;"",INDEX(tbl_Ben_Info[],MATCH(tbl_Assessment[[#This Row],[Ben Code]],tbl_Ben_Info[Ben Code],0),6),"")</f>
        <v/>
      </c>
      <c r="F189" s="113" t="str">
        <f>IF(tbl_Assessment[[#This Row],[Ben Code]]&lt;&gt;"",INDEX(tbl_Ben_Info[],MATCH(tbl_Assessment[[#This Row],[Ben Code]],tbl_Ben_Info[Ben Code],0),13),"")</f>
        <v/>
      </c>
      <c r="G189" s="49"/>
      <c r="H189" s="37"/>
      <c r="I189" s="37"/>
      <c r="J189" s="37"/>
      <c r="K189" s="37"/>
      <c r="L189" s="37"/>
      <c r="M189" s="59"/>
      <c r="N189" s="37"/>
      <c r="O189" s="37"/>
      <c r="P189" s="37"/>
      <c r="Q189" s="59"/>
      <c r="R189" s="49"/>
      <c r="S189" s="37"/>
      <c r="T189" s="37"/>
      <c r="U189" s="37"/>
      <c r="V189" s="37"/>
      <c r="W189" s="96" t="str">
        <f>tbl_Assessment[[#This Row],[Ben Code]] &amp; "-"&amp;tbl_Assessment[[#This Row],[admin4Pcode]]&amp;"-" &amp; TEXT(COUNTIF(INDEX(tbl_Assessment[Ben Code],1):tbl_Assessment[[#This Row],[Ben Code]], tbl_Assessment[[#This Row],[Ben Code]]), "00")</f>
        <v>--00</v>
      </c>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49"/>
      <c r="AU189" s="41"/>
      <c r="AV189" s="37"/>
      <c r="AW189" s="37"/>
      <c r="AX189" s="37"/>
      <c r="AY189" s="37"/>
      <c r="AZ189" s="37"/>
      <c r="BA189" s="37"/>
      <c r="BB189" s="41"/>
      <c r="BC189" s="37"/>
      <c r="BD189" s="37"/>
      <c r="BE189" s="37"/>
      <c r="BF189" s="41"/>
      <c r="BG189" s="37"/>
      <c r="BH189" s="37"/>
      <c r="BI189" s="37"/>
      <c r="BJ189" s="41"/>
    </row>
    <row r="190" spans="2:62" ht="25.15" customHeight="1" x14ac:dyDescent="0.25">
      <c r="B190" s="49">
        <v>185</v>
      </c>
      <c r="C190" s="37"/>
      <c r="D190" s="87" t="str">
        <f>IF(tbl_Assessment[[#This Row],[Ben Code]]&lt;&gt;"",INDEX(tbl_Ben_Info[],MATCH(tbl_Assessment[[#This Row],[Ben Code]],tbl_Ben_Info[Ben Code],0),48),"")</f>
        <v/>
      </c>
      <c r="E190" s="116" t="str">
        <f>IF(tbl_Assessment[[#This Row],[Ben Code]]&lt;&gt;"",INDEX(tbl_Ben_Info[],MATCH(tbl_Assessment[[#This Row],[Ben Code]],tbl_Ben_Info[Ben Code],0),6),"")</f>
        <v/>
      </c>
      <c r="F190" s="113" t="str">
        <f>IF(tbl_Assessment[[#This Row],[Ben Code]]&lt;&gt;"",INDEX(tbl_Ben_Info[],MATCH(tbl_Assessment[[#This Row],[Ben Code]],tbl_Ben_Info[Ben Code],0),13),"")</f>
        <v/>
      </c>
      <c r="G190" s="49"/>
      <c r="H190" s="37"/>
      <c r="I190" s="37"/>
      <c r="J190" s="37"/>
      <c r="K190" s="37"/>
      <c r="L190" s="37"/>
      <c r="M190" s="59"/>
      <c r="N190" s="37"/>
      <c r="O190" s="37"/>
      <c r="P190" s="37"/>
      <c r="Q190" s="59"/>
      <c r="R190" s="49"/>
      <c r="S190" s="37"/>
      <c r="T190" s="37"/>
      <c r="U190" s="37"/>
      <c r="V190" s="37"/>
      <c r="W190" s="96" t="str">
        <f>tbl_Assessment[[#This Row],[Ben Code]] &amp; "-"&amp;tbl_Assessment[[#This Row],[admin4Pcode]]&amp;"-" &amp; TEXT(COUNTIF(INDEX(tbl_Assessment[Ben Code],1):tbl_Assessment[[#This Row],[Ben Code]], tbl_Assessment[[#This Row],[Ben Code]]), "00")</f>
        <v>--00</v>
      </c>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49"/>
      <c r="AU190" s="41"/>
      <c r="AV190" s="37"/>
      <c r="AW190" s="37"/>
      <c r="AX190" s="37"/>
      <c r="AY190" s="37"/>
      <c r="AZ190" s="37"/>
      <c r="BA190" s="37"/>
      <c r="BB190" s="41"/>
      <c r="BC190" s="37"/>
      <c r="BD190" s="37"/>
      <c r="BE190" s="37"/>
      <c r="BF190" s="41"/>
      <c r="BG190" s="37"/>
      <c r="BH190" s="37"/>
      <c r="BI190" s="37"/>
      <c r="BJ190" s="41"/>
    </row>
    <row r="191" spans="2:62" ht="25.15" customHeight="1" x14ac:dyDescent="0.25">
      <c r="B191" s="49">
        <v>186</v>
      </c>
      <c r="C191" s="37"/>
      <c r="D191" s="87" t="str">
        <f>IF(tbl_Assessment[[#This Row],[Ben Code]]&lt;&gt;"",INDEX(tbl_Ben_Info[],MATCH(tbl_Assessment[[#This Row],[Ben Code]],tbl_Ben_Info[Ben Code],0),48),"")</f>
        <v/>
      </c>
      <c r="E191" s="116" t="str">
        <f>IF(tbl_Assessment[[#This Row],[Ben Code]]&lt;&gt;"",INDEX(tbl_Ben_Info[],MATCH(tbl_Assessment[[#This Row],[Ben Code]],tbl_Ben_Info[Ben Code],0),6),"")</f>
        <v/>
      </c>
      <c r="F191" s="113" t="str">
        <f>IF(tbl_Assessment[[#This Row],[Ben Code]]&lt;&gt;"",INDEX(tbl_Ben_Info[],MATCH(tbl_Assessment[[#This Row],[Ben Code]],tbl_Ben_Info[Ben Code],0),13),"")</f>
        <v/>
      </c>
      <c r="G191" s="49"/>
      <c r="H191" s="37"/>
      <c r="I191" s="37"/>
      <c r="J191" s="37"/>
      <c r="K191" s="37"/>
      <c r="L191" s="37"/>
      <c r="M191" s="59"/>
      <c r="N191" s="37"/>
      <c r="O191" s="37"/>
      <c r="P191" s="37"/>
      <c r="Q191" s="59"/>
      <c r="R191" s="49"/>
      <c r="S191" s="37"/>
      <c r="T191" s="37"/>
      <c r="U191" s="37"/>
      <c r="V191" s="37"/>
      <c r="W191" s="96" t="str">
        <f>tbl_Assessment[[#This Row],[Ben Code]] &amp; "-"&amp;tbl_Assessment[[#This Row],[admin4Pcode]]&amp;"-" &amp; TEXT(COUNTIF(INDEX(tbl_Assessment[Ben Code],1):tbl_Assessment[[#This Row],[Ben Code]], tbl_Assessment[[#This Row],[Ben Code]]), "00")</f>
        <v>--00</v>
      </c>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49"/>
      <c r="AU191" s="41"/>
      <c r="AV191" s="37"/>
      <c r="AW191" s="37"/>
      <c r="AX191" s="37"/>
      <c r="AY191" s="37"/>
      <c r="AZ191" s="37"/>
      <c r="BA191" s="37"/>
      <c r="BB191" s="41"/>
      <c r="BC191" s="37"/>
      <c r="BD191" s="37"/>
      <c r="BE191" s="37"/>
      <c r="BF191" s="41"/>
      <c r="BG191" s="37"/>
      <c r="BH191" s="37"/>
      <c r="BI191" s="37"/>
      <c r="BJ191" s="41"/>
    </row>
    <row r="192" spans="2:62" ht="25.15" customHeight="1" x14ac:dyDescent="0.25">
      <c r="B192" s="49">
        <v>187</v>
      </c>
      <c r="C192" s="37"/>
      <c r="D192" s="87" t="str">
        <f>IF(tbl_Assessment[[#This Row],[Ben Code]]&lt;&gt;"",INDEX(tbl_Ben_Info[],MATCH(tbl_Assessment[[#This Row],[Ben Code]],tbl_Ben_Info[Ben Code],0),48),"")</f>
        <v/>
      </c>
      <c r="E192" s="116" t="str">
        <f>IF(tbl_Assessment[[#This Row],[Ben Code]]&lt;&gt;"",INDEX(tbl_Ben_Info[],MATCH(tbl_Assessment[[#This Row],[Ben Code]],tbl_Ben_Info[Ben Code],0),6),"")</f>
        <v/>
      </c>
      <c r="F192" s="113" t="str">
        <f>IF(tbl_Assessment[[#This Row],[Ben Code]]&lt;&gt;"",INDEX(tbl_Ben_Info[],MATCH(tbl_Assessment[[#This Row],[Ben Code]],tbl_Ben_Info[Ben Code],0),13),"")</f>
        <v/>
      </c>
      <c r="G192" s="49"/>
      <c r="H192" s="37"/>
      <c r="I192" s="37"/>
      <c r="J192" s="37"/>
      <c r="K192" s="37"/>
      <c r="L192" s="37"/>
      <c r="M192" s="59"/>
      <c r="N192" s="37"/>
      <c r="O192" s="37"/>
      <c r="P192" s="37"/>
      <c r="Q192" s="59"/>
      <c r="R192" s="49"/>
      <c r="S192" s="37"/>
      <c r="T192" s="37"/>
      <c r="U192" s="37"/>
      <c r="V192" s="37"/>
      <c r="W192" s="96" t="str">
        <f>tbl_Assessment[[#This Row],[Ben Code]] &amp; "-"&amp;tbl_Assessment[[#This Row],[admin4Pcode]]&amp;"-" &amp; TEXT(COUNTIF(INDEX(tbl_Assessment[Ben Code],1):tbl_Assessment[[#This Row],[Ben Code]], tbl_Assessment[[#This Row],[Ben Code]]), "00")</f>
        <v>--00</v>
      </c>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49"/>
      <c r="AU192" s="41"/>
      <c r="AV192" s="37"/>
      <c r="AW192" s="37"/>
      <c r="AX192" s="37"/>
      <c r="AY192" s="37"/>
      <c r="AZ192" s="37"/>
      <c r="BA192" s="37"/>
      <c r="BB192" s="41"/>
      <c r="BC192" s="37"/>
      <c r="BD192" s="37"/>
      <c r="BE192" s="37"/>
      <c r="BF192" s="41"/>
      <c r="BG192" s="37"/>
      <c r="BH192" s="37"/>
      <c r="BI192" s="37"/>
      <c r="BJ192" s="41"/>
    </row>
    <row r="193" spans="2:62" ht="25.15" customHeight="1" x14ac:dyDescent="0.25">
      <c r="B193" s="49">
        <v>188</v>
      </c>
      <c r="C193" s="37"/>
      <c r="D193" s="87" t="str">
        <f>IF(tbl_Assessment[[#This Row],[Ben Code]]&lt;&gt;"",INDEX(tbl_Ben_Info[],MATCH(tbl_Assessment[[#This Row],[Ben Code]],tbl_Ben_Info[Ben Code],0),48),"")</f>
        <v/>
      </c>
      <c r="E193" s="116" t="str">
        <f>IF(tbl_Assessment[[#This Row],[Ben Code]]&lt;&gt;"",INDEX(tbl_Ben_Info[],MATCH(tbl_Assessment[[#This Row],[Ben Code]],tbl_Ben_Info[Ben Code],0),6),"")</f>
        <v/>
      </c>
      <c r="F193" s="113" t="str">
        <f>IF(tbl_Assessment[[#This Row],[Ben Code]]&lt;&gt;"",INDEX(tbl_Ben_Info[],MATCH(tbl_Assessment[[#This Row],[Ben Code]],tbl_Ben_Info[Ben Code],0),13),"")</f>
        <v/>
      </c>
      <c r="G193" s="49"/>
      <c r="H193" s="37"/>
      <c r="I193" s="37"/>
      <c r="J193" s="37"/>
      <c r="K193" s="37"/>
      <c r="L193" s="37"/>
      <c r="M193" s="59"/>
      <c r="N193" s="37"/>
      <c r="O193" s="37"/>
      <c r="P193" s="37"/>
      <c r="Q193" s="59"/>
      <c r="R193" s="49"/>
      <c r="S193" s="37"/>
      <c r="T193" s="37"/>
      <c r="U193" s="37"/>
      <c r="V193" s="37"/>
      <c r="W193" s="96" t="str">
        <f>tbl_Assessment[[#This Row],[Ben Code]] &amp; "-"&amp;tbl_Assessment[[#This Row],[admin4Pcode]]&amp;"-" &amp; TEXT(COUNTIF(INDEX(tbl_Assessment[Ben Code],1):tbl_Assessment[[#This Row],[Ben Code]], tbl_Assessment[[#This Row],[Ben Code]]), "00")</f>
        <v>--00</v>
      </c>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49"/>
      <c r="AU193" s="41"/>
      <c r="AV193" s="37"/>
      <c r="AW193" s="37"/>
      <c r="AX193" s="37"/>
      <c r="AY193" s="37"/>
      <c r="AZ193" s="37"/>
      <c r="BA193" s="37"/>
      <c r="BB193" s="41"/>
      <c r="BC193" s="37"/>
      <c r="BD193" s="37"/>
      <c r="BE193" s="37"/>
      <c r="BF193" s="41"/>
      <c r="BG193" s="37"/>
      <c r="BH193" s="37"/>
      <c r="BI193" s="37"/>
      <c r="BJ193" s="41"/>
    </row>
    <row r="194" spans="2:62" ht="25.15" customHeight="1" x14ac:dyDescent="0.25">
      <c r="B194" s="49">
        <v>189</v>
      </c>
      <c r="C194" s="37"/>
      <c r="D194" s="87" t="str">
        <f>IF(tbl_Assessment[[#This Row],[Ben Code]]&lt;&gt;"",INDEX(tbl_Ben_Info[],MATCH(tbl_Assessment[[#This Row],[Ben Code]],tbl_Ben_Info[Ben Code],0),48),"")</f>
        <v/>
      </c>
      <c r="E194" s="116" t="str">
        <f>IF(tbl_Assessment[[#This Row],[Ben Code]]&lt;&gt;"",INDEX(tbl_Ben_Info[],MATCH(tbl_Assessment[[#This Row],[Ben Code]],tbl_Ben_Info[Ben Code],0),6),"")</f>
        <v/>
      </c>
      <c r="F194" s="113" t="str">
        <f>IF(tbl_Assessment[[#This Row],[Ben Code]]&lt;&gt;"",INDEX(tbl_Ben_Info[],MATCH(tbl_Assessment[[#This Row],[Ben Code]],tbl_Ben_Info[Ben Code],0),13),"")</f>
        <v/>
      </c>
      <c r="G194" s="49"/>
      <c r="H194" s="37"/>
      <c r="I194" s="37"/>
      <c r="J194" s="37"/>
      <c r="K194" s="37"/>
      <c r="L194" s="37"/>
      <c r="M194" s="59"/>
      <c r="N194" s="37"/>
      <c r="O194" s="37"/>
      <c r="P194" s="37"/>
      <c r="Q194" s="59"/>
      <c r="R194" s="49"/>
      <c r="S194" s="37"/>
      <c r="T194" s="37"/>
      <c r="U194" s="37"/>
      <c r="V194" s="37"/>
      <c r="W194" s="96" t="str">
        <f>tbl_Assessment[[#This Row],[Ben Code]] &amp; "-"&amp;tbl_Assessment[[#This Row],[admin4Pcode]]&amp;"-" &amp; TEXT(COUNTIF(INDEX(tbl_Assessment[Ben Code],1):tbl_Assessment[[#This Row],[Ben Code]], tbl_Assessment[[#This Row],[Ben Code]]), "00")</f>
        <v>--00</v>
      </c>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49"/>
      <c r="AU194" s="41"/>
      <c r="AV194" s="37"/>
      <c r="AW194" s="37"/>
      <c r="AX194" s="37"/>
      <c r="AY194" s="37"/>
      <c r="AZ194" s="37"/>
      <c r="BA194" s="37"/>
      <c r="BB194" s="41"/>
      <c r="BC194" s="37"/>
      <c r="BD194" s="37"/>
      <c r="BE194" s="37"/>
      <c r="BF194" s="41"/>
      <c r="BG194" s="37"/>
      <c r="BH194" s="37"/>
      <c r="BI194" s="37"/>
      <c r="BJ194" s="41"/>
    </row>
    <row r="195" spans="2:62" ht="25.15" customHeight="1" x14ac:dyDescent="0.25">
      <c r="B195" s="49">
        <v>190</v>
      </c>
      <c r="C195" s="37"/>
      <c r="D195" s="87" t="str">
        <f>IF(tbl_Assessment[[#This Row],[Ben Code]]&lt;&gt;"",INDEX(tbl_Ben_Info[],MATCH(tbl_Assessment[[#This Row],[Ben Code]],tbl_Ben_Info[Ben Code],0),48),"")</f>
        <v/>
      </c>
      <c r="E195" s="116" t="str">
        <f>IF(tbl_Assessment[[#This Row],[Ben Code]]&lt;&gt;"",INDEX(tbl_Ben_Info[],MATCH(tbl_Assessment[[#This Row],[Ben Code]],tbl_Ben_Info[Ben Code],0),6),"")</f>
        <v/>
      </c>
      <c r="F195" s="113" t="str">
        <f>IF(tbl_Assessment[[#This Row],[Ben Code]]&lt;&gt;"",INDEX(tbl_Ben_Info[],MATCH(tbl_Assessment[[#This Row],[Ben Code]],tbl_Ben_Info[Ben Code],0),13),"")</f>
        <v/>
      </c>
      <c r="G195" s="49"/>
      <c r="H195" s="37"/>
      <c r="I195" s="37"/>
      <c r="J195" s="37"/>
      <c r="K195" s="37"/>
      <c r="L195" s="37"/>
      <c r="M195" s="59"/>
      <c r="N195" s="37"/>
      <c r="O195" s="37"/>
      <c r="P195" s="37"/>
      <c r="Q195" s="59"/>
      <c r="R195" s="49"/>
      <c r="S195" s="37"/>
      <c r="T195" s="37"/>
      <c r="U195" s="37"/>
      <c r="V195" s="37"/>
      <c r="W195" s="96" t="str">
        <f>tbl_Assessment[[#This Row],[Ben Code]] &amp; "-"&amp;tbl_Assessment[[#This Row],[admin4Pcode]]&amp;"-" &amp; TEXT(COUNTIF(INDEX(tbl_Assessment[Ben Code],1):tbl_Assessment[[#This Row],[Ben Code]], tbl_Assessment[[#This Row],[Ben Code]]), "00")</f>
        <v>--00</v>
      </c>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49"/>
      <c r="AU195" s="41"/>
      <c r="AV195" s="37"/>
      <c r="AW195" s="37"/>
      <c r="AX195" s="37"/>
      <c r="AY195" s="37"/>
      <c r="AZ195" s="37"/>
      <c r="BA195" s="37"/>
      <c r="BB195" s="41"/>
      <c r="BC195" s="37"/>
      <c r="BD195" s="37"/>
      <c r="BE195" s="37"/>
      <c r="BF195" s="41"/>
      <c r="BG195" s="37"/>
      <c r="BH195" s="37"/>
      <c r="BI195" s="37"/>
      <c r="BJ195" s="41"/>
    </row>
    <row r="196" spans="2:62" ht="25.15" customHeight="1" x14ac:dyDescent="0.25">
      <c r="B196" s="49">
        <v>191</v>
      </c>
      <c r="C196" s="37"/>
      <c r="D196" s="87" t="str">
        <f>IF(tbl_Assessment[[#This Row],[Ben Code]]&lt;&gt;"",INDEX(tbl_Ben_Info[],MATCH(tbl_Assessment[[#This Row],[Ben Code]],tbl_Ben_Info[Ben Code],0),48),"")</f>
        <v/>
      </c>
      <c r="E196" s="116" t="str">
        <f>IF(tbl_Assessment[[#This Row],[Ben Code]]&lt;&gt;"",INDEX(tbl_Ben_Info[],MATCH(tbl_Assessment[[#This Row],[Ben Code]],tbl_Ben_Info[Ben Code],0),6),"")</f>
        <v/>
      </c>
      <c r="F196" s="113" t="str">
        <f>IF(tbl_Assessment[[#This Row],[Ben Code]]&lt;&gt;"",INDEX(tbl_Ben_Info[],MATCH(tbl_Assessment[[#This Row],[Ben Code]],tbl_Ben_Info[Ben Code],0),13),"")</f>
        <v/>
      </c>
      <c r="G196" s="49"/>
      <c r="H196" s="37"/>
      <c r="I196" s="37"/>
      <c r="J196" s="37"/>
      <c r="K196" s="37"/>
      <c r="L196" s="37"/>
      <c r="M196" s="59"/>
      <c r="N196" s="37"/>
      <c r="O196" s="37"/>
      <c r="P196" s="37"/>
      <c r="Q196" s="59"/>
      <c r="R196" s="49"/>
      <c r="S196" s="37"/>
      <c r="T196" s="37"/>
      <c r="U196" s="37"/>
      <c r="V196" s="37"/>
      <c r="W196" s="96" t="str">
        <f>tbl_Assessment[[#This Row],[Ben Code]] &amp; "-"&amp;tbl_Assessment[[#This Row],[admin4Pcode]]&amp;"-" &amp; TEXT(COUNTIF(INDEX(tbl_Assessment[Ben Code],1):tbl_Assessment[[#This Row],[Ben Code]], tbl_Assessment[[#This Row],[Ben Code]]), "00")</f>
        <v>--00</v>
      </c>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49"/>
      <c r="AU196" s="41"/>
      <c r="AV196" s="37"/>
      <c r="AW196" s="37"/>
      <c r="AX196" s="37"/>
      <c r="AY196" s="37"/>
      <c r="AZ196" s="37"/>
      <c r="BA196" s="37"/>
      <c r="BB196" s="41"/>
      <c r="BC196" s="37"/>
      <c r="BD196" s="37"/>
      <c r="BE196" s="37"/>
      <c r="BF196" s="41"/>
      <c r="BG196" s="37"/>
      <c r="BH196" s="37"/>
      <c r="BI196" s="37"/>
      <c r="BJ196" s="41"/>
    </row>
    <row r="197" spans="2:62" ht="25.15" customHeight="1" x14ac:dyDescent="0.25">
      <c r="B197" s="49">
        <v>192</v>
      </c>
      <c r="C197" s="37"/>
      <c r="D197" s="87" t="str">
        <f>IF(tbl_Assessment[[#This Row],[Ben Code]]&lt;&gt;"",INDEX(tbl_Ben_Info[],MATCH(tbl_Assessment[[#This Row],[Ben Code]],tbl_Ben_Info[Ben Code],0),48),"")</f>
        <v/>
      </c>
      <c r="E197" s="116" t="str">
        <f>IF(tbl_Assessment[[#This Row],[Ben Code]]&lt;&gt;"",INDEX(tbl_Ben_Info[],MATCH(tbl_Assessment[[#This Row],[Ben Code]],tbl_Ben_Info[Ben Code],0),6),"")</f>
        <v/>
      </c>
      <c r="F197" s="113" t="str">
        <f>IF(tbl_Assessment[[#This Row],[Ben Code]]&lt;&gt;"",INDEX(tbl_Ben_Info[],MATCH(tbl_Assessment[[#This Row],[Ben Code]],tbl_Ben_Info[Ben Code],0),13),"")</f>
        <v/>
      </c>
      <c r="G197" s="49"/>
      <c r="H197" s="37"/>
      <c r="I197" s="37"/>
      <c r="J197" s="37"/>
      <c r="K197" s="37"/>
      <c r="L197" s="37"/>
      <c r="M197" s="59"/>
      <c r="N197" s="37"/>
      <c r="O197" s="37"/>
      <c r="P197" s="37"/>
      <c r="Q197" s="59"/>
      <c r="R197" s="49"/>
      <c r="S197" s="37"/>
      <c r="T197" s="37"/>
      <c r="U197" s="37"/>
      <c r="V197" s="37"/>
      <c r="W197" s="96" t="str">
        <f>tbl_Assessment[[#This Row],[Ben Code]] &amp; "-"&amp;tbl_Assessment[[#This Row],[admin4Pcode]]&amp;"-" &amp; TEXT(COUNTIF(INDEX(tbl_Assessment[Ben Code],1):tbl_Assessment[[#This Row],[Ben Code]], tbl_Assessment[[#This Row],[Ben Code]]), "00")</f>
        <v>--00</v>
      </c>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49"/>
      <c r="AU197" s="41"/>
      <c r="AV197" s="37"/>
      <c r="AW197" s="37"/>
      <c r="AX197" s="37"/>
      <c r="AY197" s="37"/>
      <c r="AZ197" s="37"/>
      <c r="BA197" s="37"/>
      <c r="BB197" s="41"/>
      <c r="BC197" s="37"/>
      <c r="BD197" s="37"/>
      <c r="BE197" s="37"/>
      <c r="BF197" s="41"/>
      <c r="BG197" s="37"/>
      <c r="BH197" s="37"/>
      <c r="BI197" s="37"/>
      <c r="BJ197" s="41"/>
    </row>
    <row r="198" spans="2:62" ht="25.15" customHeight="1" x14ac:dyDescent="0.25">
      <c r="B198" s="49">
        <v>193</v>
      </c>
      <c r="C198" s="37"/>
      <c r="D198" s="87" t="str">
        <f>IF(tbl_Assessment[[#This Row],[Ben Code]]&lt;&gt;"",INDEX(tbl_Ben_Info[],MATCH(tbl_Assessment[[#This Row],[Ben Code]],tbl_Ben_Info[Ben Code],0),48),"")</f>
        <v/>
      </c>
      <c r="E198" s="116" t="str">
        <f>IF(tbl_Assessment[[#This Row],[Ben Code]]&lt;&gt;"",INDEX(tbl_Ben_Info[],MATCH(tbl_Assessment[[#This Row],[Ben Code]],tbl_Ben_Info[Ben Code],0),6),"")</f>
        <v/>
      </c>
      <c r="F198" s="113" t="str">
        <f>IF(tbl_Assessment[[#This Row],[Ben Code]]&lt;&gt;"",INDEX(tbl_Ben_Info[],MATCH(tbl_Assessment[[#This Row],[Ben Code]],tbl_Ben_Info[Ben Code],0),13),"")</f>
        <v/>
      </c>
      <c r="G198" s="49"/>
      <c r="H198" s="37"/>
      <c r="I198" s="37"/>
      <c r="J198" s="37"/>
      <c r="K198" s="37"/>
      <c r="L198" s="37"/>
      <c r="M198" s="59"/>
      <c r="N198" s="37"/>
      <c r="O198" s="37"/>
      <c r="P198" s="37"/>
      <c r="Q198" s="59"/>
      <c r="R198" s="49"/>
      <c r="S198" s="37"/>
      <c r="T198" s="37"/>
      <c r="U198" s="37"/>
      <c r="V198" s="37"/>
      <c r="W198" s="96" t="str">
        <f>tbl_Assessment[[#This Row],[Ben Code]] &amp; "-"&amp;tbl_Assessment[[#This Row],[admin4Pcode]]&amp;"-" &amp; TEXT(COUNTIF(INDEX(tbl_Assessment[Ben Code],1):tbl_Assessment[[#This Row],[Ben Code]], tbl_Assessment[[#This Row],[Ben Code]]), "00")</f>
        <v>--00</v>
      </c>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49"/>
      <c r="AU198" s="41"/>
      <c r="AV198" s="37"/>
      <c r="AW198" s="37"/>
      <c r="AX198" s="37"/>
      <c r="AY198" s="37"/>
      <c r="AZ198" s="37"/>
      <c r="BA198" s="37"/>
      <c r="BB198" s="41"/>
      <c r="BC198" s="37"/>
      <c r="BD198" s="37"/>
      <c r="BE198" s="37"/>
      <c r="BF198" s="41"/>
      <c r="BG198" s="37"/>
      <c r="BH198" s="37"/>
      <c r="BI198" s="37"/>
      <c r="BJ198" s="41"/>
    </row>
    <row r="199" spans="2:62" ht="25.15" customHeight="1" x14ac:dyDescent="0.25">
      <c r="B199" s="49">
        <v>194</v>
      </c>
      <c r="C199" s="37"/>
      <c r="D199" s="87" t="str">
        <f>IF(tbl_Assessment[[#This Row],[Ben Code]]&lt;&gt;"",INDEX(tbl_Ben_Info[],MATCH(tbl_Assessment[[#This Row],[Ben Code]],tbl_Ben_Info[Ben Code],0),48),"")</f>
        <v/>
      </c>
      <c r="E199" s="116" t="str">
        <f>IF(tbl_Assessment[[#This Row],[Ben Code]]&lt;&gt;"",INDEX(tbl_Ben_Info[],MATCH(tbl_Assessment[[#This Row],[Ben Code]],tbl_Ben_Info[Ben Code],0),6),"")</f>
        <v/>
      </c>
      <c r="F199" s="113" t="str">
        <f>IF(tbl_Assessment[[#This Row],[Ben Code]]&lt;&gt;"",INDEX(tbl_Ben_Info[],MATCH(tbl_Assessment[[#This Row],[Ben Code]],tbl_Ben_Info[Ben Code],0),13),"")</f>
        <v/>
      </c>
      <c r="G199" s="49"/>
      <c r="H199" s="37"/>
      <c r="I199" s="37"/>
      <c r="J199" s="37"/>
      <c r="K199" s="37"/>
      <c r="L199" s="37"/>
      <c r="M199" s="59"/>
      <c r="N199" s="37"/>
      <c r="O199" s="37"/>
      <c r="P199" s="37"/>
      <c r="Q199" s="59"/>
      <c r="R199" s="49"/>
      <c r="S199" s="37"/>
      <c r="T199" s="37"/>
      <c r="U199" s="37"/>
      <c r="V199" s="37"/>
      <c r="W199" s="96" t="str">
        <f>tbl_Assessment[[#This Row],[Ben Code]] &amp; "-"&amp;tbl_Assessment[[#This Row],[admin4Pcode]]&amp;"-" &amp; TEXT(COUNTIF(INDEX(tbl_Assessment[Ben Code],1):tbl_Assessment[[#This Row],[Ben Code]], tbl_Assessment[[#This Row],[Ben Code]]), "00")</f>
        <v>--00</v>
      </c>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49"/>
      <c r="AU199" s="41"/>
      <c r="AV199" s="37"/>
      <c r="AW199" s="37"/>
      <c r="AX199" s="37"/>
      <c r="AY199" s="37"/>
      <c r="AZ199" s="37"/>
      <c r="BA199" s="37"/>
      <c r="BB199" s="41"/>
      <c r="BC199" s="37"/>
      <c r="BD199" s="37"/>
      <c r="BE199" s="37"/>
      <c r="BF199" s="41"/>
      <c r="BG199" s="37"/>
      <c r="BH199" s="37"/>
      <c r="BI199" s="37"/>
      <c r="BJ199" s="41"/>
    </row>
    <row r="200" spans="2:62" ht="25.15" customHeight="1" x14ac:dyDescent="0.25">
      <c r="B200" s="49">
        <v>195</v>
      </c>
      <c r="C200" s="37"/>
      <c r="D200" s="87" t="str">
        <f>IF(tbl_Assessment[[#This Row],[Ben Code]]&lt;&gt;"",INDEX(tbl_Ben_Info[],MATCH(tbl_Assessment[[#This Row],[Ben Code]],tbl_Ben_Info[Ben Code],0),48),"")</f>
        <v/>
      </c>
      <c r="E200" s="116" t="str">
        <f>IF(tbl_Assessment[[#This Row],[Ben Code]]&lt;&gt;"",INDEX(tbl_Ben_Info[],MATCH(tbl_Assessment[[#This Row],[Ben Code]],tbl_Ben_Info[Ben Code],0),6),"")</f>
        <v/>
      </c>
      <c r="F200" s="113" t="str">
        <f>IF(tbl_Assessment[[#This Row],[Ben Code]]&lt;&gt;"",INDEX(tbl_Ben_Info[],MATCH(tbl_Assessment[[#This Row],[Ben Code]],tbl_Ben_Info[Ben Code],0),13),"")</f>
        <v/>
      </c>
      <c r="G200" s="49"/>
      <c r="H200" s="37"/>
      <c r="I200" s="37"/>
      <c r="J200" s="37"/>
      <c r="K200" s="37"/>
      <c r="L200" s="37"/>
      <c r="M200" s="59"/>
      <c r="N200" s="37"/>
      <c r="O200" s="37"/>
      <c r="P200" s="37"/>
      <c r="Q200" s="59"/>
      <c r="R200" s="49"/>
      <c r="S200" s="37"/>
      <c r="T200" s="37"/>
      <c r="U200" s="37"/>
      <c r="V200" s="37"/>
      <c r="W200" s="96" t="str">
        <f>tbl_Assessment[[#This Row],[Ben Code]] &amp; "-"&amp;tbl_Assessment[[#This Row],[admin4Pcode]]&amp;"-" &amp; TEXT(COUNTIF(INDEX(tbl_Assessment[Ben Code],1):tbl_Assessment[[#This Row],[Ben Code]], tbl_Assessment[[#This Row],[Ben Code]]), "00")</f>
        <v>--00</v>
      </c>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49"/>
      <c r="AU200" s="41"/>
      <c r="AV200" s="37"/>
      <c r="AW200" s="37"/>
      <c r="AX200" s="37"/>
      <c r="AY200" s="37"/>
      <c r="AZ200" s="37"/>
      <c r="BA200" s="37"/>
      <c r="BB200" s="41"/>
      <c r="BC200" s="37"/>
      <c r="BD200" s="37"/>
      <c r="BE200" s="37"/>
      <c r="BF200" s="41"/>
      <c r="BG200" s="37"/>
      <c r="BH200" s="37"/>
      <c r="BI200" s="37"/>
      <c r="BJ200" s="41"/>
    </row>
    <row r="201" spans="2:62" ht="25.15" customHeight="1" x14ac:dyDescent="0.25">
      <c r="B201" s="49">
        <v>196</v>
      </c>
      <c r="C201" s="37"/>
      <c r="D201" s="87" t="str">
        <f>IF(tbl_Assessment[[#This Row],[Ben Code]]&lt;&gt;"",INDEX(tbl_Ben_Info[],MATCH(tbl_Assessment[[#This Row],[Ben Code]],tbl_Ben_Info[Ben Code],0),48),"")</f>
        <v/>
      </c>
      <c r="E201" s="116" t="str">
        <f>IF(tbl_Assessment[[#This Row],[Ben Code]]&lt;&gt;"",INDEX(tbl_Ben_Info[],MATCH(tbl_Assessment[[#This Row],[Ben Code]],tbl_Ben_Info[Ben Code],0),6),"")</f>
        <v/>
      </c>
      <c r="F201" s="113" t="str">
        <f>IF(tbl_Assessment[[#This Row],[Ben Code]]&lt;&gt;"",INDEX(tbl_Ben_Info[],MATCH(tbl_Assessment[[#This Row],[Ben Code]],tbl_Ben_Info[Ben Code],0),13),"")</f>
        <v/>
      </c>
      <c r="G201" s="49"/>
      <c r="H201" s="37"/>
      <c r="I201" s="37"/>
      <c r="J201" s="37"/>
      <c r="K201" s="37"/>
      <c r="L201" s="37"/>
      <c r="M201" s="59"/>
      <c r="N201" s="37"/>
      <c r="O201" s="37"/>
      <c r="P201" s="37"/>
      <c r="Q201" s="59"/>
      <c r="R201" s="49"/>
      <c r="S201" s="37"/>
      <c r="T201" s="37"/>
      <c r="U201" s="37"/>
      <c r="V201" s="37"/>
      <c r="W201" s="96" t="str">
        <f>tbl_Assessment[[#This Row],[Ben Code]] &amp; "-"&amp;tbl_Assessment[[#This Row],[admin4Pcode]]&amp;"-" &amp; TEXT(COUNTIF(INDEX(tbl_Assessment[Ben Code],1):tbl_Assessment[[#This Row],[Ben Code]], tbl_Assessment[[#This Row],[Ben Code]]), "00")</f>
        <v>--00</v>
      </c>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49"/>
      <c r="AU201" s="41"/>
      <c r="AV201" s="37"/>
      <c r="AW201" s="37"/>
      <c r="AX201" s="37"/>
      <c r="AY201" s="37"/>
      <c r="AZ201" s="37"/>
      <c r="BA201" s="37"/>
      <c r="BB201" s="41"/>
      <c r="BC201" s="37"/>
      <c r="BD201" s="37"/>
      <c r="BE201" s="37"/>
      <c r="BF201" s="41"/>
      <c r="BG201" s="37"/>
      <c r="BH201" s="37"/>
      <c r="BI201" s="37"/>
      <c r="BJ201" s="41"/>
    </row>
    <row r="202" spans="2:62" ht="25.15" customHeight="1" x14ac:dyDescent="0.25">
      <c r="B202" s="49">
        <v>197</v>
      </c>
      <c r="C202" s="37"/>
      <c r="D202" s="87" t="str">
        <f>IF(tbl_Assessment[[#This Row],[Ben Code]]&lt;&gt;"",INDEX(tbl_Ben_Info[],MATCH(tbl_Assessment[[#This Row],[Ben Code]],tbl_Ben_Info[Ben Code],0),48),"")</f>
        <v/>
      </c>
      <c r="E202" s="116" t="str">
        <f>IF(tbl_Assessment[[#This Row],[Ben Code]]&lt;&gt;"",INDEX(tbl_Ben_Info[],MATCH(tbl_Assessment[[#This Row],[Ben Code]],tbl_Ben_Info[Ben Code],0),6),"")</f>
        <v/>
      </c>
      <c r="F202" s="113" t="str">
        <f>IF(tbl_Assessment[[#This Row],[Ben Code]]&lt;&gt;"",INDEX(tbl_Ben_Info[],MATCH(tbl_Assessment[[#This Row],[Ben Code]],tbl_Ben_Info[Ben Code],0),13),"")</f>
        <v/>
      </c>
      <c r="G202" s="49"/>
      <c r="H202" s="37"/>
      <c r="I202" s="37"/>
      <c r="J202" s="37"/>
      <c r="K202" s="37"/>
      <c r="L202" s="37"/>
      <c r="M202" s="59"/>
      <c r="N202" s="37"/>
      <c r="O202" s="37"/>
      <c r="P202" s="37"/>
      <c r="Q202" s="59"/>
      <c r="R202" s="49"/>
      <c r="S202" s="37"/>
      <c r="T202" s="37"/>
      <c r="U202" s="37"/>
      <c r="V202" s="37"/>
      <c r="W202" s="96" t="str">
        <f>tbl_Assessment[[#This Row],[Ben Code]] &amp; "-"&amp;tbl_Assessment[[#This Row],[admin4Pcode]]&amp;"-" &amp; TEXT(COUNTIF(INDEX(tbl_Assessment[Ben Code],1):tbl_Assessment[[#This Row],[Ben Code]], tbl_Assessment[[#This Row],[Ben Code]]), "00")</f>
        <v>--00</v>
      </c>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49"/>
      <c r="AU202" s="41"/>
      <c r="AV202" s="37"/>
      <c r="AW202" s="37"/>
      <c r="AX202" s="37"/>
      <c r="AY202" s="37"/>
      <c r="AZ202" s="37"/>
      <c r="BA202" s="37"/>
      <c r="BB202" s="41"/>
      <c r="BC202" s="37"/>
      <c r="BD202" s="37"/>
      <c r="BE202" s="37"/>
      <c r="BF202" s="41"/>
      <c r="BG202" s="37"/>
      <c r="BH202" s="37"/>
      <c r="BI202" s="37"/>
      <c r="BJ202" s="41"/>
    </row>
    <row r="203" spans="2:62" ht="25.15" customHeight="1" x14ac:dyDescent="0.25">
      <c r="B203" s="49">
        <v>198</v>
      </c>
      <c r="C203" s="37"/>
      <c r="D203" s="87" t="str">
        <f>IF(tbl_Assessment[[#This Row],[Ben Code]]&lt;&gt;"",INDEX(tbl_Ben_Info[],MATCH(tbl_Assessment[[#This Row],[Ben Code]],tbl_Ben_Info[Ben Code],0),48),"")</f>
        <v/>
      </c>
      <c r="E203" s="116" t="str">
        <f>IF(tbl_Assessment[[#This Row],[Ben Code]]&lt;&gt;"",INDEX(tbl_Ben_Info[],MATCH(tbl_Assessment[[#This Row],[Ben Code]],tbl_Ben_Info[Ben Code],0),6),"")</f>
        <v/>
      </c>
      <c r="F203" s="113" t="str">
        <f>IF(tbl_Assessment[[#This Row],[Ben Code]]&lt;&gt;"",INDEX(tbl_Ben_Info[],MATCH(tbl_Assessment[[#This Row],[Ben Code]],tbl_Ben_Info[Ben Code],0),13),"")</f>
        <v/>
      </c>
      <c r="G203" s="49"/>
      <c r="H203" s="37"/>
      <c r="I203" s="37"/>
      <c r="J203" s="37"/>
      <c r="K203" s="37"/>
      <c r="L203" s="37"/>
      <c r="M203" s="59"/>
      <c r="N203" s="37"/>
      <c r="O203" s="37"/>
      <c r="P203" s="37"/>
      <c r="Q203" s="59"/>
      <c r="R203" s="49"/>
      <c r="S203" s="37"/>
      <c r="T203" s="37"/>
      <c r="U203" s="37"/>
      <c r="V203" s="37"/>
      <c r="W203" s="96" t="str">
        <f>tbl_Assessment[[#This Row],[Ben Code]] &amp; "-"&amp;tbl_Assessment[[#This Row],[admin4Pcode]]&amp;"-" &amp; TEXT(COUNTIF(INDEX(tbl_Assessment[Ben Code],1):tbl_Assessment[[#This Row],[Ben Code]], tbl_Assessment[[#This Row],[Ben Code]]), "00")</f>
        <v>--00</v>
      </c>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49"/>
      <c r="AU203" s="41"/>
      <c r="AV203" s="37"/>
      <c r="AW203" s="37"/>
      <c r="AX203" s="37"/>
      <c r="AY203" s="37"/>
      <c r="AZ203" s="37"/>
      <c r="BA203" s="37"/>
      <c r="BB203" s="41"/>
      <c r="BC203" s="37"/>
      <c r="BD203" s="37"/>
      <c r="BE203" s="37"/>
      <c r="BF203" s="41"/>
      <c r="BG203" s="37"/>
      <c r="BH203" s="37"/>
      <c r="BI203" s="37"/>
      <c r="BJ203" s="41"/>
    </row>
    <row r="204" spans="2:62" ht="25.15" customHeight="1" x14ac:dyDescent="0.25">
      <c r="B204" s="49">
        <v>199</v>
      </c>
      <c r="C204" s="37"/>
      <c r="D204" s="87" t="str">
        <f>IF(tbl_Assessment[[#This Row],[Ben Code]]&lt;&gt;"",INDEX(tbl_Ben_Info[],MATCH(tbl_Assessment[[#This Row],[Ben Code]],tbl_Ben_Info[Ben Code],0),48),"")</f>
        <v/>
      </c>
      <c r="E204" s="116" t="str">
        <f>IF(tbl_Assessment[[#This Row],[Ben Code]]&lt;&gt;"",INDEX(tbl_Ben_Info[],MATCH(tbl_Assessment[[#This Row],[Ben Code]],tbl_Ben_Info[Ben Code],0),6),"")</f>
        <v/>
      </c>
      <c r="F204" s="113" t="str">
        <f>IF(tbl_Assessment[[#This Row],[Ben Code]]&lt;&gt;"",INDEX(tbl_Ben_Info[],MATCH(tbl_Assessment[[#This Row],[Ben Code]],tbl_Ben_Info[Ben Code],0),13),"")</f>
        <v/>
      </c>
      <c r="G204" s="49"/>
      <c r="H204" s="37"/>
      <c r="I204" s="37"/>
      <c r="J204" s="37"/>
      <c r="K204" s="37"/>
      <c r="L204" s="37"/>
      <c r="M204" s="59"/>
      <c r="N204" s="37"/>
      <c r="O204" s="37"/>
      <c r="P204" s="37"/>
      <c r="Q204" s="59"/>
      <c r="R204" s="49"/>
      <c r="S204" s="37"/>
      <c r="T204" s="37"/>
      <c r="U204" s="37"/>
      <c r="V204" s="37"/>
      <c r="W204" s="96" t="str">
        <f>tbl_Assessment[[#This Row],[Ben Code]] &amp; "-"&amp;tbl_Assessment[[#This Row],[admin4Pcode]]&amp;"-" &amp; TEXT(COUNTIF(INDEX(tbl_Assessment[Ben Code],1):tbl_Assessment[[#This Row],[Ben Code]], tbl_Assessment[[#This Row],[Ben Code]]), "00")</f>
        <v>--00</v>
      </c>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49"/>
      <c r="AU204" s="41"/>
      <c r="AV204" s="37"/>
      <c r="AW204" s="37"/>
      <c r="AX204" s="37"/>
      <c r="AY204" s="37"/>
      <c r="AZ204" s="37"/>
      <c r="BA204" s="37"/>
      <c r="BB204" s="41"/>
      <c r="BC204" s="37"/>
      <c r="BD204" s="37"/>
      <c r="BE204" s="37"/>
      <c r="BF204" s="41"/>
      <c r="BG204" s="37"/>
      <c r="BH204" s="37"/>
      <c r="BI204" s="37"/>
      <c r="BJ204" s="41"/>
    </row>
    <row r="205" spans="2:62" ht="25.15" customHeight="1" x14ac:dyDescent="0.25">
      <c r="B205" s="49">
        <v>200</v>
      </c>
      <c r="C205" s="37"/>
      <c r="D205" s="87" t="str">
        <f>IF(tbl_Assessment[[#This Row],[Ben Code]]&lt;&gt;"",INDEX(tbl_Ben_Info[],MATCH(tbl_Assessment[[#This Row],[Ben Code]],tbl_Ben_Info[Ben Code],0),48),"")</f>
        <v/>
      </c>
      <c r="E205" s="116" t="str">
        <f>IF(tbl_Assessment[[#This Row],[Ben Code]]&lt;&gt;"",INDEX(tbl_Ben_Info[],MATCH(tbl_Assessment[[#This Row],[Ben Code]],tbl_Ben_Info[Ben Code],0),6),"")</f>
        <v/>
      </c>
      <c r="F205" s="113" t="str">
        <f>IF(tbl_Assessment[[#This Row],[Ben Code]]&lt;&gt;"",INDEX(tbl_Ben_Info[],MATCH(tbl_Assessment[[#This Row],[Ben Code]],tbl_Ben_Info[Ben Code],0),13),"")</f>
        <v/>
      </c>
      <c r="G205" s="49"/>
      <c r="H205" s="37"/>
      <c r="I205" s="37"/>
      <c r="J205" s="37"/>
      <c r="K205" s="37"/>
      <c r="L205" s="37"/>
      <c r="M205" s="59"/>
      <c r="N205" s="37"/>
      <c r="O205" s="37"/>
      <c r="P205" s="37"/>
      <c r="Q205" s="59"/>
      <c r="R205" s="49"/>
      <c r="S205" s="37"/>
      <c r="T205" s="37"/>
      <c r="U205" s="37"/>
      <c r="V205" s="37"/>
      <c r="W205" s="96" t="str">
        <f>tbl_Assessment[[#This Row],[Ben Code]] &amp; "-"&amp;tbl_Assessment[[#This Row],[admin4Pcode]]&amp;"-" &amp; TEXT(COUNTIF(INDEX(tbl_Assessment[Ben Code],1):tbl_Assessment[[#This Row],[Ben Code]], tbl_Assessment[[#This Row],[Ben Code]]), "00")</f>
        <v>--00</v>
      </c>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49"/>
      <c r="AU205" s="41"/>
      <c r="AV205" s="37"/>
      <c r="AW205" s="37"/>
      <c r="AX205" s="37"/>
      <c r="AY205" s="37"/>
      <c r="AZ205" s="37"/>
      <c r="BA205" s="37"/>
      <c r="BB205" s="41"/>
      <c r="BC205" s="37"/>
      <c r="BD205" s="37"/>
      <c r="BE205" s="37"/>
      <c r="BF205" s="41"/>
      <c r="BG205" s="37"/>
      <c r="BH205" s="37"/>
      <c r="BI205" s="37"/>
      <c r="BJ205" s="41"/>
    </row>
    <row r="206" spans="2:62" ht="25.15" customHeight="1" x14ac:dyDescent="0.25">
      <c r="B206" s="49">
        <v>201</v>
      </c>
      <c r="C206" s="37"/>
      <c r="D206" s="87" t="str">
        <f>IF(tbl_Assessment[[#This Row],[Ben Code]]&lt;&gt;"",INDEX(tbl_Ben_Info[],MATCH(tbl_Assessment[[#This Row],[Ben Code]],tbl_Ben_Info[Ben Code],0),48),"")</f>
        <v/>
      </c>
      <c r="E206" s="116" t="str">
        <f>IF(tbl_Assessment[[#This Row],[Ben Code]]&lt;&gt;"",INDEX(tbl_Ben_Info[],MATCH(tbl_Assessment[[#This Row],[Ben Code]],tbl_Ben_Info[Ben Code],0),6),"")</f>
        <v/>
      </c>
      <c r="F206" s="113" t="str">
        <f>IF(tbl_Assessment[[#This Row],[Ben Code]]&lt;&gt;"",INDEX(tbl_Ben_Info[],MATCH(tbl_Assessment[[#This Row],[Ben Code]],tbl_Ben_Info[Ben Code],0),13),"")</f>
        <v/>
      </c>
      <c r="G206" s="49"/>
      <c r="H206" s="37"/>
      <c r="I206" s="37"/>
      <c r="J206" s="37"/>
      <c r="K206" s="37"/>
      <c r="L206" s="37"/>
      <c r="M206" s="59"/>
      <c r="N206" s="37"/>
      <c r="O206" s="37"/>
      <c r="P206" s="37"/>
      <c r="Q206" s="59"/>
      <c r="R206" s="49"/>
      <c r="S206" s="37"/>
      <c r="T206" s="37"/>
      <c r="U206" s="37"/>
      <c r="V206" s="37"/>
      <c r="W206" s="96" t="str">
        <f>tbl_Assessment[[#This Row],[Ben Code]] &amp; "-"&amp;tbl_Assessment[[#This Row],[admin4Pcode]]&amp;"-" &amp; TEXT(COUNTIF(INDEX(tbl_Assessment[Ben Code],1):tbl_Assessment[[#This Row],[Ben Code]], tbl_Assessment[[#This Row],[Ben Code]]), "00")</f>
        <v>--00</v>
      </c>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49"/>
      <c r="AU206" s="41"/>
      <c r="AV206" s="37"/>
      <c r="AW206" s="37"/>
      <c r="AX206" s="37"/>
      <c r="AY206" s="37"/>
      <c r="AZ206" s="37"/>
      <c r="BA206" s="37"/>
      <c r="BB206" s="41"/>
      <c r="BC206" s="37"/>
      <c r="BD206" s="37"/>
      <c r="BE206" s="37"/>
      <c r="BF206" s="41"/>
      <c r="BG206" s="37"/>
      <c r="BH206" s="37"/>
      <c r="BI206" s="37"/>
      <c r="BJ206" s="41"/>
    </row>
    <row r="207" spans="2:62" ht="25.15" customHeight="1" x14ac:dyDescent="0.25">
      <c r="B207" s="49">
        <v>202</v>
      </c>
      <c r="C207" s="37"/>
      <c r="D207" s="87" t="str">
        <f>IF(tbl_Assessment[[#This Row],[Ben Code]]&lt;&gt;"",INDEX(tbl_Ben_Info[],MATCH(tbl_Assessment[[#This Row],[Ben Code]],tbl_Ben_Info[Ben Code],0),48),"")</f>
        <v/>
      </c>
      <c r="E207" s="116" t="str">
        <f>IF(tbl_Assessment[[#This Row],[Ben Code]]&lt;&gt;"",INDEX(tbl_Ben_Info[],MATCH(tbl_Assessment[[#This Row],[Ben Code]],tbl_Ben_Info[Ben Code],0),6),"")</f>
        <v/>
      </c>
      <c r="F207" s="113" t="str">
        <f>IF(tbl_Assessment[[#This Row],[Ben Code]]&lt;&gt;"",INDEX(tbl_Ben_Info[],MATCH(tbl_Assessment[[#This Row],[Ben Code]],tbl_Ben_Info[Ben Code],0),13),"")</f>
        <v/>
      </c>
      <c r="G207" s="49"/>
      <c r="H207" s="37"/>
      <c r="I207" s="37"/>
      <c r="J207" s="37"/>
      <c r="K207" s="37"/>
      <c r="L207" s="37"/>
      <c r="M207" s="59"/>
      <c r="N207" s="37"/>
      <c r="O207" s="37"/>
      <c r="P207" s="37"/>
      <c r="Q207" s="59"/>
      <c r="R207" s="49"/>
      <c r="S207" s="37"/>
      <c r="T207" s="37"/>
      <c r="U207" s="37"/>
      <c r="V207" s="37"/>
      <c r="W207" s="96" t="str">
        <f>tbl_Assessment[[#This Row],[Ben Code]] &amp; "-"&amp;tbl_Assessment[[#This Row],[admin4Pcode]]&amp;"-" &amp; TEXT(COUNTIF(INDEX(tbl_Assessment[Ben Code],1):tbl_Assessment[[#This Row],[Ben Code]], tbl_Assessment[[#This Row],[Ben Code]]), "00")</f>
        <v>--00</v>
      </c>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49"/>
      <c r="AU207" s="41"/>
      <c r="AV207" s="37"/>
      <c r="AW207" s="37"/>
      <c r="AX207" s="37"/>
      <c r="AY207" s="37"/>
      <c r="AZ207" s="37"/>
      <c r="BA207" s="37"/>
      <c r="BB207" s="41"/>
      <c r="BC207" s="37"/>
      <c r="BD207" s="37"/>
      <c r="BE207" s="37"/>
      <c r="BF207" s="41"/>
      <c r="BG207" s="37"/>
      <c r="BH207" s="37"/>
      <c r="BI207" s="37"/>
      <c r="BJ207" s="41"/>
    </row>
    <row r="208" spans="2:62" ht="25.15" customHeight="1" x14ac:dyDescent="0.25">
      <c r="B208" s="49">
        <v>203</v>
      </c>
      <c r="C208" s="37"/>
      <c r="D208" s="87" t="str">
        <f>IF(tbl_Assessment[[#This Row],[Ben Code]]&lt;&gt;"",INDEX(tbl_Ben_Info[],MATCH(tbl_Assessment[[#This Row],[Ben Code]],tbl_Ben_Info[Ben Code],0),48),"")</f>
        <v/>
      </c>
      <c r="E208" s="116" t="str">
        <f>IF(tbl_Assessment[[#This Row],[Ben Code]]&lt;&gt;"",INDEX(tbl_Ben_Info[],MATCH(tbl_Assessment[[#This Row],[Ben Code]],tbl_Ben_Info[Ben Code],0),6),"")</f>
        <v/>
      </c>
      <c r="F208" s="113" t="str">
        <f>IF(tbl_Assessment[[#This Row],[Ben Code]]&lt;&gt;"",INDEX(tbl_Ben_Info[],MATCH(tbl_Assessment[[#This Row],[Ben Code]],tbl_Ben_Info[Ben Code],0),13),"")</f>
        <v/>
      </c>
      <c r="G208" s="49"/>
      <c r="H208" s="37"/>
      <c r="I208" s="37"/>
      <c r="J208" s="37"/>
      <c r="K208" s="37"/>
      <c r="L208" s="37"/>
      <c r="M208" s="59"/>
      <c r="N208" s="37"/>
      <c r="O208" s="37"/>
      <c r="P208" s="37"/>
      <c r="Q208" s="59"/>
      <c r="R208" s="49"/>
      <c r="S208" s="37"/>
      <c r="T208" s="37"/>
      <c r="U208" s="37"/>
      <c r="V208" s="37"/>
      <c r="W208" s="96" t="str">
        <f>tbl_Assessment[[#This Row],[Ben Code]] &amp; "-"&amp;tbl_Assessment[[#This Row],[admin4Pcode]]&amp;"-" &amp; TEXT(COUNTIF(INDEX(tbl_Assessment[Ben Code],1):tbl_Assessment[[#This Row],[Ben Code]], tbl_Assessment[[#This Row],[Ben Code]]), "00")</f>
        <v>--00</v>
      </c>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49"/>
      <c r="AU208" s="41"/>
      <c r="AV208" s="37"/>
      <c r="AW208" s="37"/>
      <c r="AX208" s="37"/>
      <c r="AY208" s="37"/>
      <c r="AZ208" s="37"/>
      <c r="BA208" s="37"/>
      <c r="BB208" s="41"/>
      <c r="BC208" s="37"/>
      <c r="BD208" s="37"/>
      <c r="BE208" s="37"/>
      <c r="BF208" s="41"/>
      <c r="BG208" s="37"/>
      <c r="BH208" s="37"/>
      <c r="BI208" s="37"/>
      <c r="BJ208" s="41"/>
    </row>
    <row r="209" spans="2:62" ht="25.15" customHeight="1" x14ac:dyDescent="0.25">
      <c r="B209" s="49">
        <v>204</v>
      </c>
      <c r="C209" s="37"/>
      <c r="D209" s="87" t="str">
        <f>IF(tbl_Assessment[[#This Row],[Ben Code]]&lt;&gt;"",INDEX(tbl_Ben_Info[],MATCH(tbl_Assessment[[#This Row],[Ben Code]],tbl_Ben_Info[Ben Code],0),48),"")</f>
        <v/>
      </c>
      <c r="E209" s="116" t="str">
        <f>IF(tbl_Assessment[[#This Row],[Ben Code]]&lt;&gt;"",INDEX(tbl_Ben_Info[],MATCH(tbl_Assessment[[#This Row],[Ben Code]],tbl_Ben_Info[Ben Code],0),6),"")</f>
        <v/>
      </c>
      <c r="F209" s="113" t="str">
        <f>IF(tbl_Assessment[[#This Row],[Ben Code]]&lt;&gt;"",INDEX(tbl_Ben_Info[],MATCH(tbl_Assessment[[#This Row],[Ben Code]],tbl_Ben_Info[Ben Code],0),13),"")</f>
        <v/>
      </c>
      <c r="G209" s="49"/>
      <c r="H209" s="37"/>
      <c r="I209" s="37"/>
      <c r="J209" s="37"/>
      <c r="K209" s="37"/>
      <c r="L209" s="37"/>
      <c r="M209" s="59"/>
      <c r="N209" s="37"/>
      <c r="O209" s="37"/>
      <c r="P209" s="37"/>
      <c r="Q209" s="59"/>
      <c r="R209" s="49"/>
      <c r="S209" s="37"/>
      <c r="T209" s="37"/>
      <c r="U209" s="37"/>
      <c r="V209" s="37"/>
      <c r="W209" s="96" t="str">
        <f>tbl_Assessment[[#This Row],[Ben Code]] &amp; "-"&amp;tbl_Assessment[[#This Row],[admin4Pcode]]&amp;"-" &amp; TEXT(COUNTIF(INDEX(tbl_Assessment[Ben Code],1):tbl_Assessment[[#This Row],[Ben Code]], tbl_Assessment[[#This Row],[Ben Code]]), "00")</f>
        <v>--00</v>
      </c>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49"/>
      <c r="AU209" s="41"/>
      <c r="AV209" s="37"/>
      <c r="AW209" s="37"/>
      <c r="AX209" s="37"/>
      <c r="AY209" s="37"/>
      <c r="AZ209" s="37"/>
      <c r="BA209" s="37"/>
      <c r="BB209" s="41"/>
      <c r="BC209" s="37"/>
      <c r="BD209" s="37"/>
      <c r="BE209" s="37"/>
      <c r="BF209" s="41"/>
      <c r="BG209" s="37"/>
      <c r="BH209" s="37"/>
      <c r="BI209" s="37"/>
      <c r="BJ209" s="41"/>
    </row>
    <row r="210" spans="2:62" ht="25.15" customHeight="1" x14ac:dyDescent="0.25">
      <c r="B210" s="49">
        <v>205</v>
      </c>
      <c r="C210" s="37"/>
      <c r="D210" s="87" t="str">
        <f>IF(tbl_Assessment[[#This Row],[Ben Code]]&lt;&gt;"",INDEX(tbl_Ben_Info[],MATCH(tbl_Assessment[[#This Row],[Ben Code]],tbl_Ben_Info[Ben Code],0),48),"")</f>
        <v/>
      </c>
      <c r="E210" s="116" t="str">
        <f>IF(tbl_Assessment[[#This Row],[Ben Code]]&lt;&gt;"",INDEX(tbl_Ben_Info[],MATCH(tbl_Assessment[[#This Row],[Ben Code]],tbl_Ben_Info[Ben Code],0),6),"")</f>
        <v/>
      </c>
      <c r="F210" s="113" t="str">
        <f>IF(tbl_Assessment[[#This Row],[Ben Code]]&lt;&gt;"",INDEX(tbl_Ben_Info[],MATCH(tbl_Assessment[[#This Row],[Ben Code]],tbl_Ben_Info[Ben Code],0),13),"")</f>
        <v/>
      </c>
      <c r="G210" s="49"/>
      <c r="H210" s="37"/>
      <c r="I210" s="37"/>
      <c r="J210" s="37"/>
      <c r="K210" s="37"/>
      <c r="L210" s="37"/>
      <c r="M210" s="59"/>
      <c r="N210" s="37"/>
      <c r="O210" s="37"/>
      <c r="P210" s="37"/>
      <c r="Q210" s="59"/>
      <c r="R210" s="49"/>
      <c r="S210" s="37"/>
      <c r="T210" s="37"/>
      <c r="U210" s="37"/>
      <c r="V210" s="37"/>
      <c r="W210" s="96" t="str">
        <f>tbl_Assessment[[#This Row],[Ben Code]] &amp; "-"&amp;tbl_Assessment[[#This Row],[admin4Pcode]]&amp;"-" &amp; TEXT(COUNTIF(INDEX(tbl_Assessment[Ben Code],1):tbl_Assessment[[#This Row],[Ben Code]], tbl_Assessment[[#This Row],[Ben Code]]), "00")</f>
        <v>--00</v>
      </c>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49"/>
      <c r="AU210" s="41"/>
      <c r="AV210" s="37"/>
      <c r="AW210" s="37"/>
      <c r="AX210" s="37"/>
      <c r="AY210" s="37"/>
      <c r="AZ210" s="37"/>
      <c r="BA210" s="37"/>
      <c r="BB210" s="41"/>
      <c r="BC210" s="37"/>
      <c r="BD210" s="37"/>
      <c r="BE210" s="37"/>
      <c r="BF210" s="41"/>
      <c r="BG210" s="37"/>
      <c r="BH210" s="37"/>
      <c r="BI210" s="37"/>
      <c r="BJ210" s="41"/>
    </row>
    <row r="211" spans="2:62" ht="25.15" customHeight="1" x14ac:dyDescent="0.25">
      <c r="B211" s="49">
        <v>206</v>
      </c>
      <c r="C211" s="37"/>
      <c r="D211" s="87" t="str">
        <f>IF(tbl_Assessment[[#This Row],[Ben Code]]&lt;&gt;"",INDEX(tbl_Ben_Info[],MATCH(tbl_Assessment[[#This Row],[Ben Code]],tbl_Ben_Info[Ben Code],0),48),"")</f>
        <v/>
      </c>
      <c r="E211" s="116" t="str">
        <f>IF(tbl_Assessment[[#This Row],[Ben Code]]&lt;&gt;"",INDEX(tbl_Ben_Info[],MATCH(tbl_Assessment[[#This Row],[Ben Code]],tbl_Ben_Info[Ben Code],0),6),"")</f>
        <v/>
      </c>
      <c r="F211" s="113" t="str">
        <f>IF(tbl_Assessment[[#This Row],[Ben Code]]&lt;&gt;"",INDEX(tbl_Ben_Info[],MATCH(tbl_Assessment[[#This Row],[Ben Code]],tbl_Ben_Info[Ben Code],0),13),"")</f>
        <v/>
      </c>
      <c r="G211" s="49"/>
      <c r="H211" s="37"/>
      <c r="I211" s="37"/>
      <c r="J211" s="37"/>
      <c r="K211" s="37"/>
      <c r="L211" s="37"/>
      <c r="M211" s="59"/>
      <c r="N211" s="37"/>
      <c r="O211" s="37"/>
      <c r="P211" s="37"/>
      <c r="Q211" s="59"/>
      <c r="R211" s="49"/>
      <c r="S211" s="37"/>
      <c r="T211" s="37"/>
      <c r="U211" s="37"/>
      <c r="V211" s="37"/>
      <c r="W211" s="96" t="str">
        <f>tbl_Assessment[[#This Row],[Ben Code]] &amp; "-"&amp;tbl_Assessment[[#This Row],[admin4Pcode]]&amp;"-" &amp; TEXT(COUNTIF(INDEX(tbl_Assessment[Ben Code],1):tbl_Assessment[[#This Row],[Ben Code]], tbl_Assessment[[#This Row],[Ben Code]]), "00")</f>
        <v>--00</v>
      </c>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49"/>
      <c r="AU211" s="41"/>
      <c r="AV211" s="37"/>
      <c r="AW211" s="37"/>
      <c r="AX211" s="37"/>
      <c r="AY211" s="37"/>
      <c r="AZ211" s="37"/>
      <c r="BA211" s="37"/>
      <c r="BB211" s="41"/>
      <c r="BC211" s="37"/>
      <c r="BD211" s="37"/>
      <c r="BE211" s="37"/>
      <c r="BF211" s="41"/>
      <c r="BG211" s="37"/>
      <c r="BH211" s="37"/>
      <c r="BI211" s="37"/>
      <c r="BJ211" s="41"/>
    </row>
    <row r="212" spans="2:62" ht="25.15" customHeight="1" x14ac:dyDescent="0.25">
      <c r="B212" s="49">
        <v>207</v>
      </c>
      <c r="C212" s="37"/>
      <c r="D212" s="87" t="str">
        <f>IF(tbl_Assessment[[#This Row],[Ben Code]]&lt;&gt;"",INDEX(tbl_Ben_Info[],MATCH(tbl_Assessment[[#This Row],[Ben Code]],tbl_Ben_Info[Ben Code],0),48),"")</f>
        <v/>
      </c>
      <c r="E212" s="116" t="str">
        <f>IF(tbl_Assessment[[#This Row],[Ben Code]]&lt;&gt;"",INDEX(tbl_Ben_Info[],MATCH(tbl_Assessment[[#This Row],[Ben Code]],tbl_Ben_Info[Ben Code],0),6),"")</f>
        <v/>
      </c>
      <c r="F212" s="113" t="str">
        <f>IF(tbl_Assessment[[#This Row],[Ben Code]]&lt;&gt;"",INDEX(tbl_Ben_Info[],MATCH(tbl_Assessment[[#This Row],[Ben Code]],tbl_Ben_Info[Ben Code],0),13),"")</f>
        <v/>
      </c>
      <c r="G212" s="49"/>
      <c r="H212" s="37"/>
      <c r="I212" s="37"/>
      <c r="J212" s="37"/>
      <c r="K212" s="37"/>
      <c r="L212" s="37"/>
      <c r="M212" s="59"/>
      <c r="N212" s="37"/>
      <c r="O212" s="37"/>
      <c r="P212" s="37"/>
      <c r="Q212" s="59"/>
      <c r="R212" s="49"/>
      <c r="S212" s="37"/>
      <c r="T212" s="37"/>
      <c r="U212" s="37"/>
      <c r="V212" s="37"/>
      <c r="W212" s="96" t="str">
        <f>tbl_Assessment[[#This Row],[Ben Code]] &amp; "-"&amp;tbl_Assessment[[#This Row],[admin4Pcode]]&amp;"-" &amp; TEXT(COUNTIF(INDEX(tbl_Assessment[Ben Code],1):tbl_Assessment[[#This Row],[Ben Code]], tbl_Assessment[[#This Row],[Ben Code]]), "00")</f>
        <v>--00</v>
      </c>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49"/>
      <c r="AU212" s="41"/>
      <c r="AV212" s="37"/>
      <c r="AW212" s="37"/>
      <c r="AX212" s="37"/>
      <c r="AY212" s="37"/>
      <c r="AZ212" s="37"/>
      <c r="BA212" s="37"/>
      <c r="BB212" s="41"/>
      <c r="BC212" s="37"/>
      <c r="BD212" s="37"/>
      <c r="BE212" s="37"/>
      <c r="BF212" s="41"/>
      <c r="BG212" s="37"/>
      <c r="BH212" s="37"/>
      <c r="BI212" s="37"/>
      <c r="BJ212" s="41"/>
    </row>
    <row r="213" spans="2:62" ht="25.15" customHeight="1" x14ac:dyDescent="0.25">
      <c r="B213" s="49">
        <v>208</v>
      </c>
      <c r="C213" s="37"/>
      <c r="D213" s="87" t="str">
        <f>IF(tbl_Assessment[[#This Row],[Ben Code]]&lt;&gt;"",INDEX(tbl_Ben_Info[],MATCH(tbl_Assessment[[#This Row],[Ben Code]],tbl_Ben_Info[Ben Code],0),48),"")</f>
        <v/>
      </c>
      <c r="E213" s="116" t="str">
        <f>IF(tbl_Assessment[[#This Row],[Ben Code]]&lt;&gt;"",INDEX(tbl_Ben_Info[],MATCH(tbl_Assessment[[#This Row],[Ben Code]],tbl_Ben_Info[Ben Code],0),6),"")</f>
        <v/>
      </c>
      <c r="F213" s="113" t="str">
        <f>IF(tbl_Assessment[[#This Row],[Ben Code]]&lt;&gt;"",INDEX(tbl_Ben_Info[],MATCH(tbl_Assessment[[#This Row],[Ben Code]],tbl_Ben_Info[Ben Code],0),13),"")</f>
        <v/>
      </c>
      <c r="G213" s="49"/>
      <c r="H213" s="37"/>
      <c r="I213" s="37"/>
      <c r="J213" s="37"/>
      <c r="K213" s="37"/>
      <c r="L213" s="37"/>
      <c r="M213" s="59"/>
      <c r="N213" s="37"/>
      <c r="O213" s="37"/>
      <c r="P213" s="37"/>
      <c r="Q213" s="59"/>
      <c r="R213" s="49"/>
      <c r="S213" s="37"/>
      <c r="T213" s="37"/>
      <c r="U213" s="37"/>
      <c r="V213" s="37"/>
      <c r="W213" s="96" t="str">
        <f>tbl_Assessment[[#This Row],[Ben Code]] &amp; "-"&amp;tbl_Assessment[[#This Row],[admin4Pcode]]&amp;"-" &amp; TEXT(COUNTIF(INDEX(tbl_Assessment[Ben Code],1):tbl_Assessment[[#This Row],[Ben Code]], tbl_Assessment[[#This Row],[Ben Code]]), "00")</f>
        <v>--00</v>
      </c>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49"/>
      <c r="AU213" s="41"/>
      <c r="AV213" s="37"/>
      <c r="AW213" s="37"/>
      <c r="AX213" s="37"/>
      <c r="AY213" s="37"/>
      <c r="AZ213" s="37"/>
      <c r="BA213" s="37"/>
      <c r="BB213" s="41"/>
      <c r="BC213" s="37"/>
      <c r="BD213" s="37"/>
      <c r="BE213" s="37"/>
      <c r="BF213" s="41"/>
      <c r="BG213" s="37"/>
      <c r="BH213" s="37"/>
      <c r="BI213" s="37"/>
      <c r="BJ213" s="41"/>
    </row>
    <row r="214" spans="2:62" ht="25.15" customHeight="1" x14ac:dyDescent="0.25">
      <c r="B214" s="49">
        <v>209</v>
      </c>
      <c r="C214" s="37"/>
      <c r="D214" s="87" t="str">
        <f>IF(tbl_Assessment[[#This Row],[Ben Code]]&lt;&gt;"",INDEX(tbl_Ben_Info[],MATCH(tbl_Assessment[[#This Row],[Ben Code]],tbl_Ben_Info[Ben Code],0),48),"")</f>
        <v/>
      </c>
      <c r="E214" s="116" t="str">
        <f>IF(tbl_Assessment[[#This Row],[Ben Code]]&lt;&gt;"",INDEX(tbl_Ben_Info[],MATCH(tbl_Assessment[[#This Row],[Ben Code]],tbl_Ben_Info[Ben Code],0),6),"")</f>
        <v/>
      </c>
      <c r="F214" s="113" t="str">
        <f>IF(tbl_Assessment[[#This Row],[Ben Code]]&lt;&gt;"",INDEX(tbl_Ben_Info[],MATCH(tbl_Assessment[[#This Row],[Ben Code]],tbl_Ben_Info[Ben Code],0),13),"")</f>
        <v/>
      </c>
      <c r="G214" s="49"/>
      <c r="H214" s="37"/>
      <c r="I214" s="37"/>
      <c r="J214" s="37"/>
      <c r="K214" s="37"/>
      <c r="L214" s="37"/>
      <c r="M214" s="59"/>
      <c r="N214" s="37"/>
      <c r="O214" s="37"/>
      <c r="P214" s="37"/>
      <c r="Q214" s="59"/>
      <c r="R214" s="49"/>
      <c r="S214" s="37"/>
      <c r="T214" s="37"/>
      <c r="U214" s="37"/>
      <c r="V214" s="37"/>
      <c r="W214" s="96" t="str">
        <f>tbl_Assessment[[#This Row],[Ben Code]] &amp; "-"&amp;tbl_Assessment[[#This Row],[admin4Pcode]]&amp;"-" &amp; TEXT(COUNTIF(INDEX(tbl_Assessment[Ben Code],1):tbl_Assessment[[#This Row],[Ben Code]], tbl_Assessment[[#This Row],[Ben Code]]), "00")</f>
        <v>--00</v>
      </c>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49"/>
      <c r="AU214" s="41"/>
      <c r="AV214" s="37"/>
      <c r="AW214" s="37"/>
      <c r="AX214" s="37"/>
      <c r="AY214" s="37"/>
      <c r="AZ214" s="37"/>
      <c r="BA214" s="37"/>
      <c r="BB214" s="41"/>
      <c r="BC214" s="37"/>
      <c r="BD214" s="37"/>
      <c r="BE214" s="37"/>
      <c r="BF214" s="41"/>
      <c r="BG214" s="37"/>
      <c r="BH214" s="37"/>
      <c r="BI214" s="37"/>
      <c r="BJ214" s="41"/>
    </row>
    <row r="215" spans="2:62" ht="25.15" customHeight="1" x14ac:dyDescent="0.25">
      <c r="B215" s="49">
        <v>210</v>
      </c>
      <c r="C215" s="37"/>
      <c r="D215" s="87" t="str">
        <f>IF(tbl_Assessment[[#This Row],[Ben Code]]&lt;&gt;"",INDEX(tbl_Ben_Info[],MATCH(tbl_Assessment[[#This Row],[Ben Code]],tbl_Ben_Info[Ben Code],0),48),"")</f>
        <v/>
      </c>
      <c r="E215" s="116" t="str">
        <f>IF(tbl_Assessment[[#This Row],[Ben Code]]&lt;&gt;"",INDEX(tbl_Ben_Info[],MATCH(tbl_Assessment[[#This Row],[Ben Code]],tbl_Ben_Info[Ben Code],0),6),"")</f>
        <v/>
      </c>
      <c r="F215" s="113" t="str">
        <f>IF(tbl_Assessment[[#This Row],[Ben Code]]&lt;&gt;"",INDEX(tbl_Ben_Info[],MATCH(tbl_Assessment[[#This Row],[Ben Code]],tbl_Ben_Info[Ben Code],0),13),"")</f>
        <v/>
      </c>
      <c r="G215" s="49"/>
      <c r="H215" s="37"/>
      <c r="I215" s="37"/>
      <c r="J215" s="37"/>
      <c r="K215" s="37"/>
      <c r="L215" s="37"/>
      <c r="M215" s="59"/>
      <c r="N215" s="37"/>
      <c r="O215" s="37"/>
      <c r="P215" s="37"/>
      <c r="Q215" s="59"/>
      <c r="R215" s="49"/>
      <c r="S215" s="37"/>
      <c r="T215" s="37"/>
      <c r="U215" s="37"/>
      <c r="V215" s="37"/>
      <c r="W215" s="96" t="str">
        <f>tbl_Assessment[[#This Row],[Ben Code]] &amp; "-"&amp;tbl_Assessment[[#This Row],[admin4Pcode]]&amp;"-" &amp; TEXT(COUNTIF(INDEX(tbl_Assessment[Ben Code],1):tbl_Assessment[[#This Row],[Ben Code]], tbl_Assessment[[#This Row],[Ben Code]]), "00")</f>
        <v>--00</v>
      </c>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49"/>
      <c r="AU215" s="41"/>
      <c r="AV215" s="37"/>
      <c r="AW215" s="37"/>
      <c r="AX215" s="37"/>
      <c r="AY215" s="37"/>
      <c r="AZ215" s="37"/>
      <c r="BA215" s="37"/>
      <c r="BB215" s="41"/>
      <c r="BC215" s="37"/>
      <c r="BD215" s="37"/>
      <c r="BE215" s="37"/>
      <c r="BF215" s="41"/>
      <c r="BG215" s="37"/>
      <c r="BH215" s="37"/>
      <c r="BI215" s="37"/>
      <c r="BJ215" s="41"/>
    </row>
    <row r="216" spans="2:62" ht="25.15" customHeight="1" x14ac:dyDescent="0.25">
      <c r="B216" s="49">
        <v>211</v>
      </c>
      <c r="C216" s="37"/>
      <c r="D216" s="87" t="str">
        <f>IF(tbl_Assessment[[#This Row],[Ben Code]]&lt;&gt;"",INDEX(tbl_Ben_Info[],MATCH(tbl_Assessment[[#This Row],[Ben Code]],tbl_Ben_Info[Ben Code],0),48),"")</f>
        <v/>
      </c>
      <c r="E216" s="116" t="str">
        <f>IF(tbl_Assessment[[#This Row],[Ben Code]]&lt;&gt;"",INDEX(tbl_Ben_Info[],MATCH(tbl_Assessment[[#This Row],[Ben Code]],tbl_Ben_Info[Ben Code],0),6),"")</f>
        <v/>
      </c>
      <c r="F216" s="113" t="str">
        <f>IF(tbl_Assessment[[#This Row],[Ben Code]]&lt;&gt;"",INDEX(tbl_Ben_Info[],MATCH(tbl_Assessment[[#This Row],[Ben Code]],tbl_Ben_Info[Ben Code],0),13),"")</f>
        <v/>
      </c>
      <c r="G216" s="49"/>
      <c r="H216" s="37"/>
      <c r="I216" s="37"/>
      <c r="J216" s="37"/>
      <c r="K216" s="37"/>
      <c r="L216" s="37"/>
      <c r="M216" s="59"/>
      <c r="N216" s="37"/>
      <c r="O216" s="37"/>
      <c r="P216" s="37"/>
      <c r="Q216" s="59"/>
      <c r="R216" s="49"/>
      <c r="S216" s="37"/>
      <c r="T216" s="37"/>
      <c r="U216" s="37"/>
      <c r="V216" s="37"/>
      <c r="W216" s="96" t="str">
        <f>tbl_Assessment[[#This Row],[Ben Code]] &amp; "-"&amp;tbl_Assessment[[#This Row],[admin4Pcode]]&amp;"-" &amp; TEXT(COUNTIF(INDEX(tbl_Assessment[Ben Code],1):tbl_Assessment[[#This Row],[Ben Code]], tbl_Assessment[[#This Row],[Ben Code]]), "00")</f>
        <v>--00</v>
      </c>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49"/>
      <c r="AU216" s="41"/>
      <c r="AV216" s="37"/>
      <c r="AW216" s="37"/>
      <c r="AX216" s="37"/>
      <c r="AY216" s="37"/>
      <c r="AZ216" s="37"/>
      <c r="BA216" s="37"/>
      <c r="BB216" s="41"/>
      <c r="BC216" s="37"/>
      <c r="BD216" s="37"/>
      <c r="BE216" s="37"/>
      <c r="BF216" s="41"/>
      <c r="BG216" s="37"/>
      <c r="BH216" s="37"/>
      <c r="BI216" s="37"/>
      <c r="BJ216" s="41"/>
    </row>
    <row r="217" spans="2:62" ht="25.15" customHeight="1" x14ac:dyDescent="0.25">
      <c r="B217" s="49">
        <v>212</v>
      </c>
      <c r="C217" s="37"/>
      <c r="D217" s="87" t="str">
        <f>IF(tbl_Assessment[[#This Row],[Ben Code]]&lt;&gt;"",INDEX(tbl_Ben_Info[],MATCH(tbl_Assessment[[#This Row],[Ben Code]],tbl_Ben_Info[Ben Code],0),48),"")</f>
        <v/>
      </c>
      <c r="E217" s="116" t="str">
        <f>IF(tbl_Assessment[[#This Row],[Ben Code]]&lt;&gt;"",INDEX(tbl_Ben_Info[],MATCH(tbl_Assessment[[#This Row],[Ben Code]],tbl_Ben_Info[Ben Code],0),6),"")</f>
        <v/>
      </c>
      <c r="F217" s="113" t="str">
        <f>IF(tbl_Assessment[[#This Row],[Ben Code]]&lt;&gt;"",INDEX(tbl_Ben_Info[],MATCH(tbl_Assessment[[#This Row],[Ben Code]],tbl_Ben_Info[Ben Code],0),13),"")</f>
        <v/>
      </c>
      <c r="G217" s="49"/>
      <c r="H217" s="37"/>
      <c r="I217" s="37"/>
      <c r="J217" s="37"/>
      <c r="K217" s="37"/>
      <c r="L217" s="37"/>
      <c r="M217" s="59"/>
      <c r="N217" s="37"/>
      <c r="O217" s="37"/>
      <c r="P217" s="37"/>
      <c r="Q217" s="59"/>
      <c r="R217" s="49"/>
      <c r="S217" s="37"/>
      <c r="T217" s="37"/>
      <c r="U217" s="37"/>
      <c r="V217" s="37"/>
      <c r="W217" s="96" t="str">
        <f>tbl_Assessment[[#This Row],[Ben Code]] &amp; "-"&amp;tbl_Assessment[[#This Row],[admin4Pcode]]&amp;"-" &amp; TEXT(COUNTIF(INDEX(tbl_Assessment[Ben Code],1):tbl_Assessment[[#This Row],[Ben Code]], tbl_Assessment[[#This Row],[Ben Code]]), "00")</f>
        <v>--00</v>
      </c>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49"/>
      <c r="AU217" s="41"/>
      <c r="AV217" s="37"/>
      <c r="AW217" s="37"/>
      <c r="AX217" s="37"/>
      <c r="AY217" s="37"/>
      <c r="AZ217" s="37"/>
      <c r="BA217" s="37"/>
      <c r="BB217" s="41"/>
      <c r="BC217" s="37"/>
      <c r="BD217" s="37"/>
      <c r="BE217" s="37"/>
      <c r="BF217" s="41"/>
      <c r="BG217" s="37"/>
      <c r="BH217" s="37"/>
      <c r="BI217" s="37"/>
      <c r="BJ217" s="41"/>
    </row>
    <row r="218" spans="2:62" ht="25.15" customHeight="1" x14ac:dyDescent="0.25">
      <c r="B218" s="49">
        <v>213</v>
      </c>
      <c r="C218" s="37"/>
      <c r="D218" s="87" t="str">
        <f>IF(tbl_Assessment[[#This Row],[Ben Code]]&lt;&gt;"",INDEX(tbl_Ben_Info[],MATCH(tbl_Assessment[[#This Row],[Ben Code]],tbl_Ben_Info[Ben Code],0),48),"")</f>
        <v/>
      </c>
      <c r="E218" s="116" t="str">
        <f>IF(tbl_Assessment[[#This Row],[Ben Code]]&lt;&gt;"",INDEX(tbl_Ben_Info[],MATCH(tbl_Assessment[[#This Row],[Ben Code]],tbl_Ben_Info[Ben Code],0),6),"")</f>
        <v/>
      </c>
      <c r="F218" s="113" t="str">
        <f>IF(tbl_Assessment[[#This Row],[Ben Code]]&lt;&gt;"",INDEX(tbl_Ben_Info[],MATCH(tbl_Assessment[[#This Row],[Ben Code]],tbl_Ben_Info[Ben Code],0),13),"")</f>
        <v/>
      </c>
      <c r="G218" s="49"/>
      <c r="H218" s="37"/>
      <c r="I218" s="37"/>
      <c r="J218" s="37"/>
      <c r="K218" s="37"/>
      <c r="L218" s="37"/>
      <c r="M218" s="59"/>
      <c r="N218" s="37"/>
      <c r="O218" s="37"/>
      <c r="P218" s="37"/>
      <c r="Q218" s="59"/>
      <c r="R218" s="49"/>
      <c r="S218" s="37"/>
      <c r="T218" s="37"/>
      <c r="U218" s="37"/>
      <c r="V218" s="37"/>
      <c r="W218" s="96" t="str">
        <f>tbl_Assessment[[#This Row],[Ben Code]] &amp; "-"&amp;tbl_Assessment[[#This Row],[admin4Pcode]]&amp;"-" &amp; TEXT(COUNTIF(INDEX(tbl_Assessment[Ben Code],1):tbl_Assessment[[#This Row],[Ben Code]], tbl_Assessment[[#This Row],[Ben Code]]), "00")</f>
        <v>--00</v>
      </c>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49"/>
      <c r="AU218" s="41"/>
      <c r="AV218" s="37"/>
      <c r="AW218" s="37"/>
      <c r="AX218" s="37"/>
      <c r="AY218" s="37"/>
      <c r="AZ218" s="37"/>
      <c r="BA218" s="37"/>
      <c r="BB218" s="41"/>
      <c r="BC218" s="37"/>
      <c r="BD218" s="37"/>
      <c r="BE218" s="37"/>
      <c r="BF218" s="41"/>
      <c r="BG218" s="37"/>
      <c r="BH218" s="37"/>
      <c r="BI218" s="37"/>
      <c r="BJ218" s="41"/>
    </row>
    <row r="219" spans="2:62" ht="25.15" customHeight="1" x14ac:dyDescent="0.25">
      <c r="B219" s="49">
        <v>214</v>
      </c>
      <c r="C219" s="37"/>
      <c r="D219" s="87" t="str">
        <f>IF(tbl_Assessment[[#This Row],[Ben Code]]&lt;&gt;"",INDEX(tbl_Ben_Info[],MATCH(tbl_Assessment[[#This Row],[Ben Code]],tbl_Ben_Info[Ben Code],0),48),"")</f>
        <v/>
      </c>
      <c r="E219" s="116" t="str">
        <f>IF(tbl_Assessment[[#This Row],[Ben Code]]&lt;&gt;"",INDEX(tbl_Ben_Info[],MATCH(tbl_Assessment[[#This Row],[Ben Code]],tbl_Ben_Info[Ben Code],0),6),"")</f>
        <v/>
      </c>
      <c r="F219" s="113" t="str">
        <f>IF(tbl_Assessment[[#This Row],[Ben Code]]&lt;&gt;"",INDEX(tbl_Ben_Info[],MATCH(tbl_Assessment[[#This Row],[Ben Code]],tbl_Ben_Info[Ben Code],0),13),"")</f>
        <v/>
      </c>
      <c r="G219" s="49"/>
      <c r="H219" s="37"/>
      <c r="I219" s="37"/>
      <c r="J219" s="37"/>
      <c r="K219" s="37"/>
      <c r="L219" s="37"/>
      <c r="M219" s="59"/>
      <c r="N219" s="37"/>
      <c r="O219" s="37"/>
      <c r="P219" s="37"/>
      <c r="Q219" s="59"/>
      <c r="R219" s="49"/>
      <c r="S219" s="37"/>
      <c r="T219" s="37"/>
      <c r="U219" s="37"/>
      <c r="V219" s="37"/>
      <c r="W219" s="96" t="str">
        <f>tbl_Assessment[[#This Row],[Ben Code]] &amp; "-"&amp;tbl_Assessment[[#This Row],[admin4Pcode]]&amp;"-" &amp; TEXT(COUNTIF(INDEX(tbl_Assessment[Ben Code],1):tbl_Assessment[[#This Row],[Ben Code]], tbl_Assessment[[#This Row],[Ben Code]]), "00")</f>
        <v>--00</v>
      </c>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49"/>
      <c r="AU219" s="41"/>
      <c r="AV219" s="37"/>
      <c r="AW219" s="37"/>
      <c r="AX219" s="37"/>
      <c r="AY219" s="37"/>
      <c r="AZ219" s="37"/>
      <c r="BA219" s="37"/>
      <c r="BB219" s="41"/>
      <c r="BC219" s="37"/>
      <c r="BD219" s="37"/>
      <c r="BE219" s="37"/>
      <c r="BF219" s="41"/>
      <c r="BG219" s="37"/>
      <c r="BH219" s="37"/>
      <c r="BI219" s="37"/>
      <c r="BJ219" s="41"/>
    </row>
    <row r="220" spans="2:62" ht="25.15" customHeight="1" x14ac:dyDescent="0.25">
      <c r="B220" s="49">
        <v>215</v>
      </c>
      <c r="C220" s="37"/>
      <c r="D220" s="87" t="str">
        <f>IF(tbl_Assessment[[#This Row],[Ben Code]]&lt;&gt;"",INDEX(tbl_Ben_Info[],MATCH(tbl_Assessment[[#This Row],[Ben Code]],tbl_Ben_Info[Ben Code],0),48),"")</f>
        <v/>
      </c>
      <c r="E220" s="116" t="str">
        <f>IF(tbl_Assessment[[#This Row],[Ben Code]]&lt;&gt;"",INDEX(tbl_Ben_Info[],MATCH(tbl_Assessment[[#This Row],[Ben Code]],tbl_Ben_Info[Ben Code],0),6),"")</f>
        <v/>
      </c>
      <c r="F220" s="113" t="str">
        <f>IF(tbl_Assessment[[#This Row],[Ben Code]]&lt;&gt;"",INDEX(tbl_Ben_Info[],MATCH(tbl_Assessment[[#This Row],[Ben Code]],tbl_Ben_Info[Ben Code],0),13),"")</f>
        <v/>
      </c>
      <c r="G220" s="49"/>
      <c r="H220" s="37"/>
      <c r="I220" s="37"/>
      <c r="J220" s="37"/>
      <c r="K220" s="37"/>
      <c r="L220" s="37"/>
      <c r="M220" s="59"/>
      <c r="N220" s="37"/>
      <c r="O220" s="37"/>
      <c r="P220" s="37"/>
      <c r="Q220" s="59"/>
      <c r="R220" s="49"/>
      <c r="S220" s="37"/>
      <c r="T220" s="37"/>
      <c r="U220" s="37"/>
      <c r="V220" s="37"/>
      <c r="W220" s="96" t="str">
        <f>tbl_Assessment[[#This Row],[Ben Code]] &amp; "-"&amp;tbl_Assessment[[#This Row],[admin4Pcode]]&amp;"-" &amp; TEXT(COUNTIF(INDEX(tbl_Assessment[Ben Code],1):tbl_Assessment[[#This Row],[Ben Code]], tbl_Assessment[[#This Row],[Ben Code]]), "00")</f>
        <v>--00</v>
      </c>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49"/>
      <c r="AU220" s="41"/>
      <c r="AV220" s="37"/>
      <c r="AW220" s="37"/>
      <c r="AX220" s="37"/>
      <c r="AY220" s="37"/>
      <c r="AZ220" s="37"/>
      <c r="BA220" s="37"/>
      <c r="BB220" s="41"/>
      <c r="BC220" s="37"/>
      <c r="BD220" s="37"/>
      <c r="BE220" s="37"/>
      <c r="BF220" s="41"/>
      <c r="BG220" s="37"/>
      <c r="BH220" s="37"/>
      <c r="BI220" s="37"/>
      <c r="BJ220" s="41"/>
    </row>
    <row r="221" spans="2:62" ht="25.15" customHeight="1" x14ac:dyDescent="0.25">
      <c r="B221" s="49">
        <v>216</v>
      </c>
      <c r="C221" s="37"/>
      <c r="D221" s="87" t="str">
        <f>IF(tbl_Assessment[[#This Row],[Ben Code]]&lt;&gt;"",INDEX(tbl_Ben_Info[],MATCH(tbl_Assessment[[#This Row],[Ben Code]],tbl_Ben_Info[Ben Code],0),48),"")</f>
        <v/>
      </c>
      <c r="E221" s="116" t="str">
        <f>IF(tbl_Assessment[[#This Row],[Ben Code]]&lt;&gt;"",INDEX(tbl_Ben_Info[],MATCH(tbl_Assessment[[#This Row],[Ben Code]],tbl_Ben_Info[Ben Code],0),6),"")</f>
        <v/>
      </c>
      <c r="F221" s="113" t="str">
        <f>IF(tbl_Assessment[[#This Row],[Ben Code]]&lt;&gt;"",INDEX(tbl_Ben_Info[],MATCH(tbl_Assessment[[#This Row],[Ben Code]],tbl_Ben_Info[Ben Code],0),13),"")</f>
        <v/>
      </c>
      <c r="G221" s="49"/>
      <c r="H221" s="37"/>
      <c r="I221" s="37"/>
      <c r="J221" s="37"/>
      <c r="K221" s="37"/>
      <c r="L221" s="37"/>
      <c r="M221" s="59"/>
      <c r="N221" s="37"/>
      <c r="O221" s="37"/>
      <c r="P221" s="37"/>
      <c r="Q221" s="59"/>
      <c r="R221" s="49"/>
      <c r="S221" s="37"/>
      <c r="T221" s="37"/>
      <c r="U221" s="37"/>
      <c r="V221" s="37"/>
      <c r="W221" s="96" t="str">
        <f>tbl_Assessment[[#This Row],[Ben Code]] &amp; "-"&amp;tbl_Assessment[[#This Row],[admin4Pcode]]&amp;"-" &amp; TEXT(COUNTIF(INDEX(tbl_Assessment[Ben Code],1):tbl_Assessment[[#This Row],[Ben Code]], tbl_Assessment[[#This Row],[Ben Code]]), "00")</f>
        <v>--00</v>
      </c>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49"/>
      <c r="AU221" s="41"/>
      <c r="AV221" s="37"/>
      <c r="AW221" s="37"/>
      <c r="AX221" s="37"/>
      <c r="AY221" s="37"/>
      <c r="AZ221" s="37"/>
      <c r="BA221" s="37"/>
      <c r="BB221" s="41"/>
      <c r="BC221" s="37"/>
      <c r="BD221" s="37"/>
      <c r="BE221" s="37"/>
      <c r="BF221" s="41"/>
      <c r="BG221" s="37"/>
      <c r="BH221" s="37"/>
      <c r="BI221" s="37"/>
      <c r="BJ221" s="41"/>
    </row>
    <row r="222" spans="2:62" ht="25.15" customHeight="1" x14ac:dyDescent="0.25">
      <c r="B222" s="49">
        <v>217</v>
      </c>
      <c r="C222" s="37"/>
      <c r="D222" s="87" t="str">
        <f>IF(tbl_Assessment[[#This Row],[Ben Code]]&lt;&gt;"",INDEX(tbl_Ben_Info[],MATCH(tbl_Assessment[[#This Row],[Ben Code]],tbl_Ben_Info[Ben Code],0),48),"")</f>
        <v/>
      </c>
      <c r="E222" s="116" t="str">
        <f>IF(tbl_Assessment[[#This Row],[Ben Code]]&lt;&gt;"",INDEX(tbl_Ben_Info[],MATCH(tbl_Assessment[[#This Row],[Ben Code]],tbl_Ben_Info[Ben Code],0),6),"")</f>
        <v/>
      </c>
      <c r="F222" s="113" t="str">
        <f>IF(tbl_Assessment[[#This Row],[Ben Code]]&lt;&gt;"",INDEX(tbl_Ben_Info[],MATCH(tbl_Assessment[[#This Row],[Ben Code]],tbl_Ben_Info[Ben Code],0),13),"")</f>
        <v/>
      </c>
      <c r="G222" s="49"/>
      <c r="H222" s="37"/>
      <c r="I222" s="37"/>
      <c r="J222" s="37"/>
      <c r="K222" s="37"/>
      <c r="L222" s="37"/>
      <c r="M222" s="59"/>
      <c r="N222" s="37"/>
      <c r="O222" s="37"/>
      <c r="P222" s="37"/>
      <c r="Q222" s="59"/>
      <c r="R222" s="49"/>
      <c r="S222" s="37"/>
      <c r="T222" s="37"/>
      <c r="U222" s="37"/>
      <c r="V222" s="37"/>
      <c r="W222" s="96" t="str">
        <f>tbl_Assessment[[#This Row],[Ben Code]] &amp; "-"&amp;tbl_Assessment[[#This Row],[admin4Pcode]]&amp;"-" &amp; TEXT(COUNTIF(INDEX(tbl_Assessment[Ben Code],1):tbl_Assessment[[#This Row],[Ben Code]], tbl_Assessment[[#This Row],[Ben Code]]), "00")</f>
        <v>--00</v>
      </c>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49"/>
      <c r="AU222" s="41"/>
      <c r="AV222" s="37"/>
      <c r="AW222" s="37"/>
      <c r="AX222" s="37"/>
      <c r="AY222" s="37"/>
      <c r="AZ222" s="37"/>
      <c r="BA222" s="37"/>
      <c r="BB222" s="41"/>
      <c r="BC222" s="37"/>
      <c r="BD222" s="37"/>
      <c r="BE222" s="37"/>
      <c r="BF222" s="41"/>
      <c r="BG222" s="37"/>
      <c r="BH222" s="37"/>
      <c r="BI222" s="37"/>
      <c r="BJ222" s="41"/>
    </row>
    <row r="223" spans="2:62" ht="25.15" customHeight="1" x14ac:dyDescent="0.25">
      <c r="B223" s="49">
        <v>218</v>
      </c>
      <c r="C223" s="37"/>
      <c r="D223" s="87" t="str">
        <f>IF(tbl_Assessment[[#This Row],[Ben Code]]&lt;&gt;"",INDEX(tbl_Ben_Info[],MATCH(tbl_Assessment[[#This Row],[Ben Code]],tbl_Ben_Info[Ben Code],0),48),"")</f>
        <v/>
      </c>
      <c r="E223" s="116" t="str">
        <f>IF(tbl_Assessment[[#This Row],[Ben Code]]&lt;&gt;"",INDEX(tbl_Ben_Info[],MATCH(tbl_Assessment[[#This Row],[Ben Code]],tbl_Ben_Info[Ben Code],0),6),"")</f>
        <v/>
      </c>
      <c r="F223" s="113" t="str">
        <f>IF(tbl_Assessment[[#This Row],[Ben Code]]&lt;&gt;"",INDEX(tbl_Ben_Info[],MATCH(tbl_Assessment[[#This Row],[Ben Code]],tbl_Ben_Info[Ben Code],0),13),"")</f>
        <v/>
      </c>
      <c r="G223" s="49"/>
      <c r="H223" s="37"/>
      <c r="I223" s="37"/>
      <c r="J223" s="37"/>
      <c r="K223" s="37"/>
      <c r="L223" s="37"/>
      <c r="M223" s="59"/>
      <c r="N223" s="37"/>
      <c r="O223" s="37"/>
      <c r="P223" s="37"/>
      <c r="Q223" s="59"/>
      <c r="R223" s="49"/>
      <c r="S223" s="37"/>
      <c r="T223" s="37"/>
      <c r="U223" s="37"/>
      <c r="V223" s="37"/>
      <c r="W223" s="96" t="str">
        <f>tbl_Assessment[[#This Row],[Ben Code]] &amp; "-"&amp;tbl_Assessment[[#This Row],[admin4Pcode]]&amp;"-" &amp; TEXT(COUNTIF(INDEX(tbl_Assessment[Ben Code],1):tbl_Assessment[[#This Row],[Ben Code]], tbl_Assessment[[#This Row],[Ben Code]]), "00")</f>
        <v>--00</v>
      </c>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49"/>
      <c r="AU223" s="41"/>
      <c r="AV223" s="37"/>
      <c r="AW223" s="37"/>
      <c r="AX223" s="37"/>
      <c r="AY223" s="37"/>
      <c r="AZ223" s="37"/>
      <c r="BA223" s="37"/>
      <c r="BB223" s="41"/>
      <c r="BC223" s="37"/>
      <c r="BD223" s="37"/>
      <c r="BE223" s="37"/>
      <c r="BF223" s="41"/>
      <c r="BG223" s="37"/>
      <c r="BH223" s="37"/>
      <c r="BI223" s="37"/>
      <c r="BJ223" s="41"/>
    </row>
    <row r="224" spans="2:62" ht="25.15" customHeight="1" x14ac:dyDescent="0.25">
      <c r="B224" s="49">
        <v>219</v>
      </c>
      <c r="C224" s="37"/>
      <c r="D224" s="87" t="str">
        <f>IF(tbl_Assessment[[#This Row],[Ben Code]]&lt;&gt;"",INDEX(tbl_Ben_Info[],MATCH(tbl_Assessment[[#This Row],[Ben Code]],tbl_Ben_Info[Ben Code],0),48),"")</f>
        <v/>
      </c>
      <c r="E224" s="116" t="str">
        <f>IF(tbl_Assessment[[#This Row],[Ben Code]]&lt;&gt;"",INDEX(tbl_Ben_Info[],MATCH(tbl_Assessment[[#This Row],[Ben Code]],tbl_Ben_Info[Ben Code],0),6),"")</f>
        <v/>
      </c>
      <c r="F224" s="113" t="str">
        <f>IF(tbl_Assessment[[#This Row],[Ben Code]]&lt;&gt;"",INDEX(tbl_Ben_Info[],MATCH(tbl_Assessment[[#This Row],[Ben Code]],tbl_Ben_Info[Ben Code],0),13),"")</f>
        <v/>
      </c>
      <c r="G224" s="49"/>
      <c r="H224" s="37"/>
      <c r="I224" s="37"/>
      <c r="J224" s="37"/>
      <c r="K224" s="37"/>
      <c r="L224" s="37"/>
      <c r="M224" s="59"/>
      <c r="N224" s="37"/>
      <c r="O224" s="37"/>
      <c r="P224" s="37"/>
      <c r="Q224" s="59"/>
      <c r="R224" s="49"/>
      <c r="S224" s="37"/>
      <c r="T224" s="37"/>
      <c r="U224" s="37"/>
      <c r="V224" s="37"/>
      <c r="W224" s="96" t="str">
        <f>tbl_Assessment[[#This Row],[Ben Code]] &amp; "-"&amp;tbl_Assessment[[#This Row],[admin4Pcode]]&amp;"-" &amp; TEXT(COUNTIF(INDEX(tbl_Assessment[Ben Code],1):tbl_Assessment[[#This Row],[Ben Code]], tbl_Assessment[[#This Row],[Ben Code]]), "00")</f>
        <v>--00</v>
      </c>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49"/>
      <c r="AU224" s="41"/>
      <c r="AV224" s="37"/>
      <c r="AW224" s="37"/>
      <c r="AX224" s="37"/>
      <c r="AY224" s="37"/>
      <c r="AZ224" s="37"/>
      <c r="BA224" s="37"/>
      <c r="BB224" s="41"/>
      <c r="BC224" s="37"/>
      <c r="BD224" s="37"/>
      <c r="BE224" s="37"/>
      <c r="BF224" s="41"/>
      <c r="BG224" s="37"/>
      <c r="BH224" s="37"/>
      <c r="BI224" s="37"/>
      <c r="BJ224" s="41"/>
    </row>
    <row r="225" spans="2:62" ht="25.15" customHeight="1" x14ac:dyDescent="0.25">
      <c r="B225" s="49">
        <v>220</v>
      </c>
      <c r="C225" s="37"/>
      <c r="D225" s="87" t="str">
        <f>IF(tbl_Assessment[[#This Row],[Ben Code]]&lt;&gt;"",INDEX(tbl_Ben_Info[],MATCH(tbl_Assessment[[#This Row],[Ben Code]],tbl_Ben_Info[Ben Code],0),48),"")</f>
        <v/>
      </c>
      <c r="E225" s="116" t="str">
        <f>IF(tbl_Assessment[[#This Row],[Ben Code]]&lt;&gt;"",INDEX(tbl_Ben_Info[],MATCH(tbl_Assessment[[#This Row],[Ben Code]],tbl_Ben_Info[Ben Code],0),6),"")</f>
        <v/>
      </c>
      <c r="F225" s="113" t="str">
        <f>IF(tbl_Assessment[[#This Row],[Ben Code]]&lt;&gt;"",INDEX(tbl_Ben_Info[],MATCH(tbl_Assessment[[#This Row],[Ben Code]],tbl_Ben_Info[Ben Code],0),13),"")</f>
        <v/>
      </c>
      <c r="G225" s="49"/>
      <c r="H225" s="37"/>
      <c r="I225" s="37"/>
      <c r="J225" s="37"/>
      <c r="K225" s="37"/>
      <c r="L225" s="37"/>
      <c r="M225" s="59"/>
      <c r="N225" s="37"/>
      <c r="O225" s="37"/>
      <c r="P225" s="37"/>
      <c r="Q225" s="59"/>
      <c r="R225" s="49"/>
      <c r="S225" s="37"/>
      <c r="T225" s="37"/>
      <c r="U225" s="37"/>
      <c r="V225" s="37"/>
      <c r="W225" s="96" t="str">
        <f>tbl_Assessment[[#This Row],[Ben Code]] &amp; "-"&amp;tbl_Assessment[[#This Row],[admin4Pcode]]&amp;"-" &amp; TEXT(COUNTIF(INDEX(tbl_Assessment[Ben Code],1):tbl_Assessment[[#This Row],[Ben Code]], tbl_Assessment[[#This Row],[Ben Code]]), "00")</f>
        <v>--00</v>
      </c>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49"/>
      <c r="AU225" s="41"/>
      <c r="AV225" s="37"/>
      <c r="AW225" s="37"/>
      <c r="AX225" s="37"/>
      <c r="AY225" s="37"/>
      <c r="AZ225" s="37"/>
      <c r="BA225" s="37"/>
      <c r="BB225" s="41"/>
      <c r="BC225" s="37"/>
      <c r="BD225" s="37"/>
      <c r="BE225" s="37"/>
      <c r="BF225" s="41"/>
      <c r="BG225" s="37"/>
      <c r="BH225" s="37"/>
      <c r="BI225" s="37"/>
      <c r="BJ225" s="41"/>
    </row>
    <row r="226" spans="2:62" ht="25.15" customHeight="1" x14ac:dyDescent="0.25">
      <c r="B226" s="49">
        <v>221</v>
      </c>
      <c r="C226" s="37"/>
      <c r="D226" s="87" t="str">
        <f>IF(tbl_Assessment[[#This Row],[Ben Code]]&lt;&gt;"",INDEX(tbl_Ben_Info[],MATCH(tbl_Assessment[[#This Row],[Ben Code]],tbl_Ben_Info[Ben Code],0),48),"")</f>
        <v/>
      </c>
      <c r="E226" s="116" t="str">
        <f>IF(tbl_Assessment[[#This Row],[Ben Code]]&lt;&gt;"",INDEX(tbl_Ben_Info[],MATCH(tbl_Assessment[[#This Row],[Ben Code]],tbl_Ben_Info[Ben Code],0),6),"")</f>
        <v/>
      </c>
      <c r="F226" s="113" t="str">
        <f>IF(tbl_Assessment[[#This Row],[Ben Code]]&lt;&gt;"",INDEX(tbl_Ben_Info[],MATCH(tbl_Assessment[[#This Row],[Ben Code]],tbl_Ben_Info[Ben Code],0),13),"")</f>
        <v/>
      </c>
      <c r="G226" s="49"/>
      <c r="H226" s="37"/>
      <c r="I226" s="37"/>
      <c r="J226" s="37"/>
      <c r="K226" s="37"/>
      <c r="L226" s="37"/>
      <c r="M226" s="59"/>
      <c r="N226" s="37"/>
      <c r="O226" s="37"/>
      <c r="P226" s="37"/>
      <c r="Q226" s="59"/>
      <c r="R226" s="49"/>
      <c r="S226" s="37"/>
      <c r="T226" s="37"/>
      <c r="U226" s="37"/>
      <c r="V226" s="37"/>
      <c r="W226" s="96" t="str">
        <f>tbl_Assessment[[#This Row],[Ben Code]] &amp; "-"&amp;tbl_Assessment[[#This Row],[admin4Pcode]]&amp;"-" &amp; TEXT(COUNTIF(INDEX(tbl_Assessment[Ben Code],1):tbl_Assessment[[#This Row],[Ben Code]], tbl_Assessment[[#This Row],[Ben Code]]), "00")</f>
        <v>--00</v>
      </c>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49"/>
      <c r="AU226" s="41"/>
      <c r="AV226" s="37"/>
      <c r="AW226" s="37"/>
      <c r="AX226" s="37"/>
      <c r="AY226" s="37"/>
      <c r="AZ226" s="37"/>
      <c r="BA226" s="37"/>
      <c r="BB226" s="41"/>
      <c r="BC226" s="37"/>
      <c r="BD226" s="37"/>
      <c r="BE226" s="37"/>
      <c r="BF226" s="41"/>
      <c r="BG226" s="37"/>
      <c r="BH226" s="37"/>
      <c r="BI226" s="37"/>
      <c r="BJ226" s="41"/>
    </row>
    <row r="227" spans="2:62" ht="25.15" customHeight="1" x14ac:dyDescent="0.25">
      <c r="B227" s="49">
        <v>222</v>
      </c>
      <c r="C227" s="37"/>
      <c r="D227" s="87" t="str">
        <f>IF(tbl_Assessment[[#This Row],[Ben Code]]&lt;&gt;"",INDEX(tbl_Ben_Info[],MATCH(tbl_Assessment[[#This Row],[Ben Code]],tbl_Ben_Info[Ben Code],0),48),"")</f>
        <v/>
      </c>
      <c r="E227" s="116" t="str">
        <f>IF(tbl_Assessment[[#This Row],[Ben Code]]&lt;&gt;"",INDEX(tbl_Ben_Info[],MATCH(tbl_Assessment[[#This Row],[Ben Code]],tbl_Ben_Info[Ben Code],0),6),"")</f>
        <v/>
      </c>
      <c r="F227" s="113" t="str">
        <f>IF(tbl_Assessment[[#This Row],[Ben Code]]&lt;&gt;"",INDEX(tbl_Ben_Info[],MATCH(tbl_Assessment[[#This Row],[Ben Code]],tbl_Ben_Info[Ben Code],0),13),"")</f>
        <v/>
      </c>
      <c r="G227" s="49"/>
      <c r="H227" s="37"/>
      <c r="I227" s="37"/>
      <c r="J227" s="37"/>
      <c r="K227" s="37"/>
      <c r="L227" s="37"/>
      <c r="M227" s="59"/>
      <c r="N227" s="37"/>
      <c r="O227" s="37"/>
      <c r="P227" s="37"/>
      <c r="Q227" s="59"/>
      <c r="R227" s="49"/>
      <c r="S227" s="37"/>
      <c r="T227" s="37"/>
      <c r="U227" s="37"/>
      <c r="V227" s="37"/>
      <c r="W227" s="96" t="str">
        <f>tbl_Assessment[[#This Row],[Ben Code]] &amp; "-"&amp;tbl_Assessment[[#This Row],[admin4Pcode]]&amp;"-" &amp; TEXT(COUNTIF(INDEX(tbl_Assessment[Ben Code],1):tbl_Assessment[[#This Row],[Ben Code]], tbl_Assessment[[#This Row],[Ben Code]]), "00")</f>
        <v>--00</v>
      </c>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49"/>
      <c r="AU227" s="41"/>
      <c r="AV227" s="37"/>
      <c r="AW227" s="37"/>
      <c r="AX227" s="37"/>
      <c r="AY227" s="37"/>
      <c r="AZ227" s="37"/>
      <c r="BA227" s="37"/>
      <c r="BB227" s="41"/>
      <c r="BC227" s="37"/>
      <c r="BD227" s="37"/>
      <c r="BE227" s="37"/>
      <c r="BF227" s="41"/>
      <c r="BG227" s="37"/>
      <c r="BH227" s="37"/>
      <c r="BI227" s="37"/>
      <c r="BJ227" s="41"/>
    </row>
    <row r="228" spans="2:62" ht="25.15" customHeight="1" x14ac:dyDescent="0.25">
      <c r="B228" s="49">
        <v>223</v>
      </c>
      <c r="C228" s="37"/>
      <c r="D228" s="87" t="str">
        <f>IF(tbl_Assessment[[#This Row],[Ben Code]]&lt;&gt;"",INDEX(tbl_Ben_Info[],MATCH(tbl_Assessment[[#This Row],[Ben Code]],tbl_Ben_Info[Ben Code],0),48),"")</f>
        <v/>
      </c>
      <c r="E228" s="116" t="str">
        <f>IF(tbl_Assessment[[#This Row],[Ben Code]]&lt;&gt;"",INDEX(tbl_Ben_Info[],MATCH(tbl_Assessment[[#This Row],[Ben Code]],tbl_Ben_Info[Ben Code],0),6),"")</f>
        <v/>
      </c>
      <c r="F228" s="113" t="str">
        <f>IF(tbl_Assessment[[#This Row],[Ben Code]]&lt;&gt;"",INDEX(tbl_Ben_Info[],MATCH(tbl_Assessment[[#This Row],[Ben Code]],tbl_Ben_Info[Ben Code],0),13),"")</f>
        <v/>
      </c>
      <c r="G228" s="49"/>
      <c r="H228" s="37"/>
      <c r="I228" s="37"/>
      <c r="J228" s="37"/>
      <c r="K228" s="37"/>
      <c r="L228" s="37"/>
      <c r="M228" s="59"/>
      <c r="N228" s="37"/>
      <c r="O228" s="37"/>
      <c r="P228" s="37"/>
      <c r="Q228" s="59"/>
      <c r="R228" s="49"/>
      <c r="S228" s="37"/>
      <c r="T228" s="37"/>
      <c r="U228" s="37"/>
      <c r="V228" s="37"/>
      <c r="W228" s="96" t="str">
        <f>tbl_Assessment[[#This Row],[Ben Code]] &amp; "-"&amp;tbl_Assessment[[#This Row],[admin4Pcode]]&amp;"-" &amp; TEXT(COUNTIF(INDEX(tbl_Assessment[Ben Code],1):tbl_Assessment[[#This Row],[Ben Code]], tbl_Assessment[[#This Row],[Ben Code]]), "00")</f>
        <v>--00</v>
      </c>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49"/>
      <c r="AU228" s="41"/>
      <c r="AV228" s="37"/>
      <c r="AW228" s="37"/>
      <c r="AX228" s="37"/>
      <c r="AY228" s="37"/>
      <c r="AZ228" s="37"/>
      <c r="BA228" s="37"/>
      <c r="BB228" s="41"/>
      <c r="BC228" s="37"/>
      <c r="BD228" s="37"/>
      <c r="BE228" s="37"/>
      <c r="BF228" s="41"/>
      <c r="BG228" s="37"/>
      <c r="BH228" s="37"/>
      <c r="BI228" s="37"/>
      <c r="BJ228" s="41"/>
    </row>
    <row r="229" spans="2:62" ht="25.15" customHeight="1" x14ac:dyDescent="0.25">
      <c r="B229" s="49">
        <v>224</v>
      </c>
      <c r="C229" s="37"/>
      <c r="D229" s="87" t="str">
        <f>IF(tbl_Assessment[[#This Row],[Ben Code]]&lt;&gt;"",INDEX(tbl_Ben_Info[],MATCH(tbl_Assessment[[#This Row],[Ben Code]],tbl_Ben_Info[Ben Code],0),48),"")</f>
        <v/>
      </c>
      <c r="E229" s="116" t="str">
        <f>IF(tbl_Assessment[[#This Row],[Ben Code]]&lt;&gt;"",INDEX(tbl_Ben_Info[],MATCH(tbl_Assessment[[#This Row],[Ben Code]],tbl_Ben_Info[Ben Code],0),6),"")</f>
        <v/>
      </c>
      <c r="F229" s="113" t="str">
        <f>IF(tbl_Assessment[[#This Row],[Ben Code]]&lt;&gt;"",INDEX(tbl_Ben_Info[],MATCH(tbl_Assessment[[#This Row],[Ben Code]],tbl_Ben_Info[Ben Code],0),13),"")</f>
        <v/>
      </c>
      <c r="G229" s="49"/>
      <c r="H229" s="37"/>
      <c r="I229" s="37"/>
      <c r="J229" s="37"/>
      <c r="K229" s="37"/>
      <c r="L229" s="37"/>
      <c r="M229" s="59"/>
      <c r="N229" s="37"/>
      <c r="O229" s="37"/>
      <c r="P229" s="37"/>
      <c r="Q229" s="59"/>
      <c r="R229" s="49"/>
      <c r="S229" s="37"/>
      <c r="T229" s="37"/>
      <c r="U229" s="37"/>
      <c r="V229" s="37"/>
      <c r="W229" s="96" t="str">
        <f>tbl_Assessment[[#This Row],[Ben Code]] &amp; "-"&amp;tbl_Assessment[[#This Row],[admin4Pcode]]&amp;"-" &amp; TEXT(COUNTIF(INDEX(tbl_Assessment[Ben Code],1):tbl_Assessment[[#This Row],[Ben Code]], tbl_Assessment[[#This Row],[Ben Code]]), "00")</f>
        <v>--00</v>
      </c>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49"/>
      <c r="AU229" s="41"/>
      <c r="AV229" s="37"/>
      <c r="AW229" s="37"/>
      <c r="AX229" s="37"/>
      <c r="AY229" s="37"/>
      <c r="AZ229" s="37"/>
      <c r="BA229" s="37"/>
      <c r="BB229" s="41"/>
      <c r="BC229" s="37"/>
      <c r="BD229" s="37"/>
      <c r="BE229" s="37"/>
      <c r="BF229" s="41"/>
      <c r="BG229" s="37"/>
      <c r="BH229" s="37"/>
      <c r="BI229" s="37"/>
      <c r="BJ229" s="41"/>
    </row>
    <row r="230" spans="2:62" ht="25.15" customHeight="1" x14ac:dyDescent="0.25">
      <c r="B230" s="49">
        <v>225</v>
      </c>
      <c r="C230" s="37"/>
      <c r="D230" s="87" t="str">
        <f>IF(tbl_Assessment[[#This Row],[Ben Code]]&lt;&gt;"",INDEX(tbl_Ben_Info[],MATCH(tbl_Assessment[[#This Row],[Ben Code]],tbl_Ben_Info[Ben Code],0),48),"")</f>
        <v/>
      </c>
      <c r="E230" s="116" t="str">
        <f>IF(tbl_Assessment[[#This Row],[Ben Code]]&lt;&gt;"",INDEX(tbl_Ben_Info[],MATCH(tbl_Assessment[[#This Row],[Ben Code]],tbl_Ben_Info[Ben Code],0),6),"")</f>
        <v/>
      </c>
      <c r="F230" s="113" t="str">
        <f>IF(tbl_Assessment[[#This Row],[Ben Code]]&lt;&gt;"",INDEX(tbl_Ben_Info[],MATCH(tbl_Assessment[[#This Row],[Ben Code]],tbl_Ben_Info[Ben Code],0),13),"")</f>
        <v/>
      </c>
      <c r="G230" s="49"/>
      <c r="H230" s="37"/>
      <c r="I230" s="37"/>
      <c r="J230" s="37"/>
      <c r="K230" s="37"/>
      <c r="L230" s="37"/>
      <c r="M230" s="59"/>
      <c r="N230" s="37"/>
      <c r="O230" s="37"/>
      <c r="P230" s="37"/>
      <c r="Q230" s="59"/>
      <c r="R230" s="49"/>
      <c r="S230" s="37"/>
      <c r="T230" s="37"/>
      <c r="U230" s="37"/>
      <c r="V230" s="37"/>
      <c r="W230" s="96" t="str">
        <f>tbl_Assessment[[#This Row],[Ben Code]] &amp; "-"&amp;tbl_Assessment[[#This Row],[admin4Pcode]]&amp;"-" &amp; TEXT(COUNTIF(INDEX(tbl_Assessment[Ben Code],1):tbl_Assessment[[#This Row],[Ben Code]], tbl_Assessment[[#This Row],[Ben Code]]), "00")</f>
        <v>--00</v>
      </c>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49"/>
      <c r="AU230" s="41"/>
      <c r="AV230" s="37"/>
      <c r="AW230" s="37"/>
      <c r="AX230" s="37"/>
      <c r="AY230" s="37"/>
      <c r="AZ230" s="37"/>
      <c r="BA230" s="37"/>
      <c r="BB230" s="41"/>
      <c r="BC230" s="37"/>
      <c r="BD230" s="37"/>
      <c r="BE230" s="37"/>
      <c r="BF230" s="41"/>
      <c r="BG230" s="37"/>
      <c r="BH230" s="37"/>
      <c r="BI230" s="37"/>
      <c r="BJ230" s="41"/>
    </row>
    <row r="231" spans="2:62" ht="25.15" customHeight="1" x14ac:dyDescent="0.25">
      <c r="B231" s="49">
        <v>226</v>
      </c>
      <c r="C231" s="37"/>
      <c r="D231" s="87" t="str">
        <f>IF(tbl_Assessment[[#This Row],[Ben Code]]&lt;&gt;"",INDEX(tbl_Ben_Info[],MATCH(tbl_Assessment[[#This Row],[Ben Code]],tbl_Ben_Info[Ben Code],0),48),"")</f>
        <v/>
      </c>
      <c r="E231" s="116" t="str">
        <f>IF(tbl_Assessment[[#This Row],[Ben Code]]&lt;&gt;"",INDEX(tbl_Ben_Info[],MATCH(tbl_Assessment[[#This Row],[Ben Code]],tbl_Ben_Info[Ben Code],0),6),"")</f>
        <v/>
      </c>
      <c r="F231" s="113" t="str">
        <f>IF(tbl_Assessment[[#This Row],[Ben Code]]&lt;&gt;"",INDEX(tbl_Ben_Info[],MATCH(tbl_Assessment[[#This Row],[Ben Code]],tbl_Ben_Info[Ben Code],0),13),"")</f>
        <v/>
      </c>
      <c r="G231" s="49"/>
      <c r="H231" s="37"/>
      <c r="I231" s="37"/>
      <c r="J231" s="37"/>
      <c r="K231" s="37"/>
      <c r="L231" s="37"/>
      <c r="M231" s="59"/>
      <c r="N231" s="37"/>
      <c r="O231" s="37"/>
      <c r="P231" s="37"/>
      <c r="Q231" s="59"/>
      <c r="R231" s="49"/>
      <c r="S231" s="37"/>
      <c r="T231" s="37"/>
      <c r="U231" s="37"/>
      <c r="V231" s="37"/>
      <c r="W231" s="96" t="str">
        <f>tbl_Assessment[[#This Row],[Ben Code]] &amp; "-"&amp;tbl_Assessment[[#This Row],[admin4Pcode]]&amp;"-" &amp; TEXT(COUNTIF(INDEX(tbl_Assessment[Ben Code],1):tbl_Assessment[[#This Row],[Ben Code]], tbl_Assessment[[#This Row],[Ben Code]]), "00")</f>
        <v>--00</v>
      </c>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49"/>
      <c r="AU231" s="41"/>
      <c r="AV231" s="37"/>
      <c r="AW231" s="37"/>
      <c r="AX231" s="37"/>
      <c r="AY231" s="37"/>
      <c r="AZ231" s="37"/>
      <c r="BA231" s="37"/>
      <c r="BB231" s="41"/>
      <c r="BC231" s="37"/>
      <c r="BD231" s="37"/>
      <c r="BE231" s="37"/>
      <c r="BF231" s="41"/>
      <c r="BG231" s="37"/>
      <c r="BH231" s="37"/>
      <c r="BI231" s="37"/>
      <c r="BJ231" s="41"/>
    </row>
    <row r="232" spans="2:62" ht="25.15" customHeight="1" x14ac:dyDescent="0.25">
      <c r="B232" s="49">
        <v>227</v>
      </c>
      <c r="C232" s="37"/>
      <c r="D232" s="87" t="str">
        <f>IF(tbl_Assessment[[#This Row],[Ben Code]]&lt;&gt;"",INDEX(tbl_Ben_Info[],MATCH(tbl_Assessment[[#This Row],[Ben Code]],tbl_Ben_Info[Ben Code],0),48),"")</f>
        <v/>
      </c>
      <c r="E232" s="116" t="str">
        <f>IF(tbl_Assessment[[#This Row],[Ben Code]]&lt;&gt;"",INDEX(tbl_Ben_Info[],MATCH(tbl_Assessment[[#This Row],[Ben Code]],tbl_Ben_Info[Ben Code],0),6),"")</f>
        <v/>
      </c>
      <c r="F232" s="113" t="str">
        <f>IF(tbl_Assessment[[#This Row],[Ben Code]]&lt;&gt;"",INDEX(tbl_Ben_Info[],MATCH(tbl_Assessment[[#This Row],[Ben Code]],tbl_Ben_Info[Ben Code],0),13),"")</f>
        <v/>
      </c>
      <c r="G232" s="49"/>
      <c r="H232" s="37"/>
      <c r="I232" s="37"/>
      <c r="J232" s="37"/>
      <c r="K232" s="37"/>
      <c r="L232" s="37"/>
      <c r="M232" s="59"/>
      <c r="N232" s="37"/>
      <c r="O232" s="37"/>
      <c r="P232" s="37"/>
      <c r="Q232" s="59"/>
      <c r="R232" s="49"/>
      <c r="S232" s="37"/>
      <c r="T232" s="37"/>
      <c r="U232" s="37"/>
      <c r="V232" s="37"/>
      <c r="W232" s="96" t="str">
        <f>tbl_Assessment[[#This Row],[Ben Code]] &amp; "-"&amp;tbl_Assessment[[#This Row],[admin4Pcode]]&amp;"-" &amp; TEXT(COUNTIF(INDEX(tbl_Assessment[Ben Code],1):tbl_Assessment[[#This Row],[Ben Code]], tbl_Assessment[[#This Row],[Ben Code]]), "00")</f>
        <v>--00</v>
      </c>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49"/>
      <c r="AU232" s="41"/>
      <c r="AV232" s="37"/>
      <c r="AW232" s="37"/>
      <c r="AX232" s="37"/>
      <c r="AY232" s="37"/>
      <c r="AZ232" s="37"/>
      <c r="BA232" s="37"/>
      <c r="BB232" s="41"/>
      <c r="BC232" s="37"/>
      <c r="BD232" s="37"/>
      <c r="BE232" s="37"/>
      <c r="BF232" s="41"/>
      <c r="BG232" s="37"/>
      <c r="BH232" s="37"/>
      <c r="BI232" s="37"/>
      <c r="BJ232" s="41"/>
    </row>
    <row r="233" spans="2:62" ht="25.15" customHeight="1" x14ac:dyDescent="0.25">
      <c r="B233" s="49">
        <v>228</v>
      </c>
      <c r="C233" s="37"/>
      <c r="D233" s="87" t="str">
        <f>IF(tbl_Assessment[[#This Row],[Ben Code]]&lt;&gt;"",INDEX(tbl_Ben_Info[],MATCH(tbl_Assessment[[#This Row],[Ben Code]],tbl_Ben_Info[Ben Code],0),48),"")</f>
        <v/>
      </c>
      <c r="E233" s="116" t="str">
        <f>IF(tbl_Assessment[[#This Row],[Ben Code]]&lt;&gt;"",INDEX(tbl_Ben_Info[],MATCH(tbl_Assessment[[#This Row],[Ben Code]],tbl_Ben_Info[Ben Code],0),6),"")</f>
        <v/>
      </c>
      <c r="F233" s="113" t="str">
        <f>IF(tbl_Assessment[[#This Row],[Ben Code]]&lt;&gt;"",INDEX(tbl_Ben_Info[],MATCH(tbl_Assessment[[#This Row],[Ben Code]],tbl_Ben_Info[Ben Code],0),13),"")</f>
        <v/>
      </c>
      <c r="G233" s="49"/>
      <c r="H233" s="37"/>
      <c r="I233" s="37"/>
      <c r="J233" s="37"/>
      <c r="K233" s="37"/>
      <c r="L233" s="37"/>
      <c r="M233" s="59"/>
      <c r="N233" s="37"/>
      <c r="O233" s="37"/>
      <c r="P233" s="37"/>
      <c r="Q233" s="59"/>
      <c r="R233" s="49"/>
      <c r="S233" s="37"/>
      <c r="T233" s="37"/>
      <c r="U233" s="37"/>
      <c r="V233" s="37"/>
      <c r="W233" s="96" t="str">
        <f>tbl_Assessment[[#This Row],[Ben Code]] &amp; "-"&amp;tbl_Assessment[[#This Row],[admin4Pcode]]&amp;"-" &amp; TEXT(COUNTIF(INDEX(tbl_Assessment[Ben Code],1):tbl_Assessment[[#This Row],[Ben Code]], tbl_Assessment[[#This Row],[Ben Code]]), "00")</f>
        <v>--00</v>
      </c>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49"/>
      <c r="AU233" s="41"/>
      <c r="AV233" s="37"/>
      <c r="AW233" s="37"/>
      <c r="AX233" s="37"/>
      <c r="AY233" s="37"/>
      <c r="AZ233" s="37"/>
      <c r="BA233" s="37"/>
      <c r="BB233" s="41"/>
      <c r="BC233" s="37"/>
      <c r="BD233" s="37"/>
      <c r="BE233" s="37"/>
      <c r="BF233" s="41"/>
      <c r="BG233" s="37"/>
      <c r="BH233" s="37"/>
      <c r="BI233" s="37"/>
      <c r="BJ233" s="41"/>
    </row>
    <row r="234" spans="2:62" ht="25.15" customHeight="1" x14ac:dyDescent="0.25">
      <c r="B234" s="49">
        <v>229</v>
      </c>
      <c r="C234" s="37"/>
      <c r="D234" s="87" t="str">
        <f>IF(tbl_Assessment[[#This Row],[Ben Code]]&lt;&gt;"",INDEX(tbl_Ben_Info[],MATCH(tbl_Assessment[[#This Row],[Ben Code]],tbl_Ben_Info[Ben Code],0),48),"")</f>
        <v/>
      </c>
      <c r="E234" s="116" t="str">
        <f>IF(tbl_Assessment[[#This Row],[Ben Code]]&lt;&gt;"",INDEX(tbl_Ben_Info[],MATCH(tbl_Assessment[[#This Row],[Ben Code]],tbl_Ben_Info[Ben Code],0),6),"")</f>
        <v/>
      </c>
      <c r="F234" s="113" t="str">
        <f>IF(tbl_Assessment[[#This Row],[Ben Code]]&lt;&gt;"",INDEX(tbl_Ben_Info[],MATCH(tbl_Assessment[[#This Row],[Ben Code]],tbl_Ben_Info[Ben Code],0),13),"")</f>
        <v/>
      </c>
      <c r="G234" s="49"/>
      <c r="H234" s="37"/>
      <c r="I234" s="37"/>
      <c r="J234" s="37"/>
      <c r="K234" s="37"/>
      <c r="L234" s="37"/>
      <c r="M234" s="59"/>
      <c r="N234" s="37"/>
      <c r="O234" s="37"/>
      <c r="P234" s="37"/>
      <c r="Q234" s="59"/>
      <c r="R234" s="49"/>
      <c r="S234" s="37"/>
      <c r="T234" s="37"/>
      <c r="U234" s="37"/>
      <c r="V234" s="37"/>
      <c r="W234" s="96" t="str">
        <f>tbl_Assessment[[#This Row],[Ben Code]] &amp; "-"&amp;tbl_Assessment[[#This Row],[admin4Pcode]]&amp;"-" &amp; TEXT(COUNTIF(INDEX(tbl_Assessment[Ben Code],1):tbl_Assessment[[#This Row],[Ben Code]], tbl_Assessment[[#This Row],[Ben Code]]), "00")</f>
        <v>--00</v>
      </c>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49"/>
      <c r="AU234" s="41"/>
      <c r="AV234" s="37"/>
      <c r="AW234" s="37"/>
      <c r="AX234" s="37"/>
      <c r="AY234" s="37"/>
      <c r="AZ234" s="37"/>
      <c r="BA234" s="37"/>
      <c r="BB234" s="41"/>
      <c r="BC234" s="37"/>
      <c r="BD234" s="37"/>
      <c r="BE234" s="37"/>
      <c r="BF234" s="41"/>
      <c r="BG234" s="37"/>
      <c r="BH234" s="37"/>
      <c r="BI234" s="37"/>
      <c r="BJ234" s="41"/>
    </row>
    <row r="235" spans="2:62" ht="25.15" customHeight="1" x14ac:dyDescent="0.25">
      <c r="B235" s="49">
        <v>230</v>
      </c>
      <c r="C235" s="37"/>
      <c r="D235" s="87" t="str">
        <f>IF(tbl_Assessment[[#This Row],[Ben Code]]&lt;&gt;"",INDEX(tbl_Ben_Info[],MATCH(tbl_Assessment[[#This Row],[Ben Code]],tbl_Ben_Info[Ben Code],0),48),"")</f>
        <v/>
      </c>
      <c r="E235" s="116" t="str">
        <f>IF(tbl_Assessment[[#This Row],[Ben Code]]&lt;&gt;"",INDEX(tbl_Ben_Info[],MATCH(tbl_Assessment[[#This Row],[Ben Code]],tbl_Ben_Info[Ben Code],0),6),"")</f>
        <v/>
      </c>
      <c r="F235" s="113" t="str">
        <f>IF(tbl_Assessment[[#This Row],[Ben Code]]&lt;&gt;"",INDEX(tbl_Ben_Info[],MATCH(tbl_Assessment[[#This Row],[Ben Code]],tbl_Ben_Info[Ben Code],0),13),"")</f>
        <v/>
      </c>
      <c r="G235" s="49"/>
      <c r="H235" s="37"/>
      <c r="I235" s="37"/>
      <c r="J235" s="37"/>
      <c r="K235" s="37"/>
      <c r="L235" s="37"/>
      <c r="M235" s="59"/>
      <c r="N235" s="37"/>
      <c r="O235" s="37"/>
      <c r="P235" s="37"/>
      <c r="Q235" s="59"/>
      <c r="R235" s="49"/>
      <c r="S235" s="37"/>
      <c r="T235" s="37"/>
      <c r="U235" s="37"/>
      <c r="V235" s="37"/>
      <c r="W235" s="96" t="str">
        <f>tbl_Assessment[[#This Row],[Ben Code]] &amp; "-"&amp;tbl_Assessment[[#This Row],[admin4Pcode]]&amp;"-" &amp; TEXT(COUNTIF(INDEX(tbl_Assessment[Ben Code],1):tbl_Assessment[[#This Row],[Ben Code]], tbl_Assessment[[#This Row],[Ben Code]]), "00")</f>
        <v>--00</v>
      </c>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49"/>
      <c r="AU235" s="41"/>
      <c r="AV235" s="37"/>
      <c r="AW235" s="37"/>
      <c r="AX235" s="37"/>
      <c r="AY235" s="37"/>
      <c r="AZ235" s="37"/>
      <c r="BA235" s="37"/>
      <c r="BB235" s="41"/>
      <c r="BC235" s="37"/>
      <c r="BD235" s="37"/>
      <c r="BE235" s="37"/>
      <c r="BF235" s="41"/>
      <c r="BG235" s="37"/>
      <c r="BH235" s="37"/>
      <c r="BI235" s="37"/>
      <c r="BJ235" s="41"/>
    </row>
    <row r="236" spans="2:62" ht="25.15" customHeight="1" x14ac:dyDescent="0.25">
      <c r="B236" s="49">
        <v>231</v>
      </c>
      <c r="C236" s="37"/>
      <c r="D236" s="87" t="str">
        <f>IF(tbl_Assessment[[#This Row],[Ben Code]]&lt;&gt;"",INDEX(tbl_Ben_Info[],MATCH(tbl_Assessment[[#This Row],[Ben Code]],tbl_Ben_Info[Ben Code],0),48),"")</f>
        <v/>
      </c>
      <c r="E236" s="116" t="str">
        <f>IF(tbl_Assessment[[#This Row],[Ben Code]]&lt;&gt;"",INDEX(tbl_Ben_Info[],MATCH(tbl_Assessment[[#This Row],[Ben Code]],tbl_Ben_Info[Ben Code],0),6),"")</f>
        <v/>
      </c>
      <c r="F236" s="113" t="str">
        <f>IF(tbl_Assessment[[#This Row],[Ben Code]]&lt;&gt;"",INDEX(tbl_Ben_Info[],MATCH(tbl_Assessment[[#This Row],[Ben Code]],tbl_Ben_Info[Ben Code],0),13),"")</f>
        <v/>
      </c>
      <c r="G236" s="49"/>
      <c r="H236" s="37"/>
      <c r="I236" s="37"/>
      <c r="J236" s="37"/>
      <c r="K236" s="37"/>
      <c r="L236" s="37"/>
      <c r="M236" s="59"/>
      <c r="N236" s="37"/>
      <c r="O236" s="37"/>
      <c r="P236" s="37"/>
      <c r="Q236" s="59"/>
      <c r="R236" s="49"/>
      <c r="S236" s="37"/>
      <c r="T236" s="37"/>
      <c r="U236" s="37"/>
      <c r="V236" s="37"/>
      <c r="W236" s="96" t="str">
        <f>tbl_Assessment[[#This Row],[Ben Code]] &amp; "-"&amp;tbl_Assessment[[#This Row],[admin4Pcode]]&amp;"-" &amp; TEXT(COUNTIF(INDEX(tbl_Assessment[Ben Code],1):tbl_Assessment[[#This Row],[Ben Code]], tbl_Assessment[[#This Row],[Ben Code]]), "00")</f>
        <v>--00</v>
      </c>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49"/>
      <c r="AU236" s="41"/>
      <c r="AV236" s="37"/>
      <c r="AW236" s="37"/>
      <c r="AX236" s="37"/>
      <c r="AY236" s="37"/>
      <c r="AZ236" s="37"/>
      <c r="BA236" s="37"/>
      <c r="BB236" s="41"/>
      <c r="BC236" s="37"/>
      <c r="BD236" s="37"/>
      <c r="BE236" s="37"/>
      <c r="BF236" s="41"/>
      <c r="BG236" s="37"/>
      <c r="BH236" s="37"/>
      <c r="BI236" s="37"/>
      <c r="BJ236" s="41"/>
    </row>
    <row r="237" spans="2:62" ht="25.15" customHeight="1" x14ac:dyDescent="0.25">
      <c r="B237" s="49">
        <v>232</v>
      </c>
      <c r="C237" s="37"/>
      <c r="D237" s="87" t="str">
        <f>IF(tbl_Assessment[[#This Row],[Ben Code]]&lt;&gt;"",INDEX(tbl_Ben_Info[],MATCH(tbl_Assessment[[#This Row],[Ben Code]],tbl_Ben_Info[Ben Code],0),48),"")</f>
        <v/>
      </c>
      <c r="E237" s="116" t="str">
        <f>IF(tbl_Assessment[[#This Row],[Ben Code]]&lt;&gt;"",INDEX(tbl_Ben_Info[],MATCH(tbl_Assessment[[#This Row],[Ben Code]],tbl_Ben_Info[Ben Code],0),6),"")</f>
        <v/>
      </c>
      <c r="F237" s="113" t="str">
        <f>IF(tbl_Assessment[[#This Row],[Ben Code]]&lt;&gt;"",INDEX(tbl_Ben_Info[],MATCH(tbl_Assessment[[#This Row],[Ben Code]],tbl_Ben_Info[Ben Code],0),13),"")</f>
        <v/>
      </c>
      <c r="G237" s="49"/>
      <c r="H237" s="37"/>
      <c r="I237" s="37"/>
      <c r="J237" s="37"/>
      <c r="K237" s="37"/>
      <c r="L237" s="37"/>
      <c r="M237" s="59"/>
      <c r="N237" s="37"/>
      <c r="O237" s="37"/>
      <c r="P237" s="37"/>
      <c r="Q237" s="59"/>
      <c r="R237" s="49"/>
      <c r="S237" s="37"/>
      <c r="T237" s="37"/>
      <c r="U237" s="37"/>
      <c r="V237" s="37"/>
      <c r="W237" s="96" t="str">
        <f>tbl_Assessment[[#This Row],[Ben Code]] &amp; "-"&amp;tbl_Assessment[[#This Row],[admin4Pcode]]&amp;"-" &amp; TEXT(COUNTIF(INDEX(tbl_Assessment[Ben Code],1):tbl_Assessment[[#This Row],[Ben Code]], tbl_Assessment[[#This Row],[Ben Code]]), "00")</f>
        <v>--00</v>
      </c>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49"/>
      <c r="AU237" s="41"/>
      <c r="AV237" s="37"/>
      <c r="AW237" s="37"/>
      <c r="AX237" s="37"/>
      <c r="AY237" s="37"/>
      <c r="AZ237" s="37"/>
      <c r="BA237" s="37"/>
      <c r="BB237" s="41"/>
      <c r="BC237" s="37"/>
      <c r="BD237" s="37"/>
      <c r="BE237" s="37"/>
      <c r="BF237" s="41"/>
      <c r="BG237" s="37"/>
      <c r="BH237" s="37"/>
      <c r="BI237" s="37"/>
      <c r="BJ237" s="41"/>
    </row>
    <row r="238" spans="2:62" ht="25.15" customHeight="1" x14ac:dyDescent="0.25">
      <c r="B238" s="49">
        <v>233</v>
      </c>
      <c r="C238" s="37"/>
      <c r="D238" s="87" t="str">
        <f>IF(tbl_Assessment[[#This Row],[Ben Code]]&lt;&gt;"",INDEX(tbl_Ben_Info[],MATCH(tbl_Assessment[[#This Row],[Ben Code]],tbl_Ben_Info[Ben Code],0),48),"")</f>
        <v/>
      </c>
      <c r="E238" s="116" t="str">
        <f>IF(tbl_Assessment[[#This Row],[Ben Code]]&lt;&gt;"",INDEX(tbl_Ben_Info[],MATCH(tbl_Assessment[[#This Row],[Ben Code]],tbl_Ben_Info[Ben Code],0),6),"")</f>
        <v/>
      </c>
      <c r="F238" s="113" t="str">
        <f>IF(tbl_Assessment[[#This Row],[Ben Code]]&lt;&gt;"",INDEX(tbl_Ben_Info[],MATCH(tbl_Assessment[[#This Row],[Ben Code]],tbl_Ben_Info[Ben Code],0),13),"")</f>
        <v/>
      </c>
      <c r="G238" s="49"/>
      <c r="H238" s="37"/>
      <c r="I238" s="37"/>
      <c r="J238" s="37"/>
      <c r="K238" s="37"/>
      <c r="L238" s="37"/>
      <c r="M238" s="59"/>
      <c r="N238" s="37"/>
      <c r="O238" s="37"/>
      <c r="P238" s="37"/>
      <c r="Q238" s="59"/>
      <c r="R238" s="49"/>
      <c r="S238" s="37"/>
      <c r="T238" s="37"/>
      <c r="U238" s="37"/>
      <c r="V238" s="37"/>
      <c r="W238" s="96" t="str">
        <f>tbl_Assessment[[#This Row],[Ben Code]] &amp; "-"&amp;tbl_Assessment[[#This Row],[admin4Pcode]]&amp;"-" &amp; TEXT(COUNTIF(INDEX(tbl_Assessment[Ben Code],1):tbl_Assessment[[#This Row],[Ben Code]], tbl_Assessment[[#This Row],[Ben Code]]), "00")</f>
        <v>--00</v>
      </c>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49"/>
      <c r="AU238" s="41"/>
      <c r="AV238" s="37"/>
      <c r="AW238" s="37"/>
      <c r="AX238" s="37"/>
      <c r="AY238" s="37"/>
      <c r="AZ238" s="37"/>
      <c r="BA238" s="37"/>
      <c r="BB238" s="41"/>
      <c r="BC238" s="37"/>
      <c r="BD238" s="37"/>
      <c r="BE238" s="37"/>
      <c r="BF238" s="41"/>
      <c r="BG238" s="37"/>
      <c r="BH238" s="37"/>
      <c r="BI238" s="37"/>
      <c r="BJ238" s="41"/>
    </row>
    <row r="239" spans="2:62" ht="25.15" customHeight="1" x14ac:dyDescent="0.25">
      <c r="B239" s="49">
        <v>234</v>
      </c>
      <c r="C239" s="37"/>
      <c r="D239" s="87" t="str">
        <f>IF(tbl_Assessment[[#This Row],[Ben Code]]&lt;&gt;"",INDEX(tbl_Ben_Info[],MATCH(tbl_Assessment[[#This Row],[Ben Code]],tbl_Ben_Info[Ben Code],0),48),"")</f>
        <v/>
      </c>
      <c r="E239" s="116" t="str">
        <f>IF(tbl_Assessment[[#This Row],[Ben Code]]&lt;&gt;"",INDEX(tbl_Ben_Info[],MATCH(tbl_Assessment[[#This Row],[Ben Code]],tbl_Ben_Info[Ben Code],0),6),"")</f>
        <v/>
      </c>
      <c r="F239" s="113" t="str">
        <f>IF(tbl_Assessment[[#This Row],[Ben Code]]&lt;&gt;"",INDEX(tbl_Ben_Info[],MATCH(tbl_Assessment[[#This Row],[Ben Code]],tbl_Ben_Info[Ben Code],0),13),"")</f>
        <v/>
      </c>
      <c r="G239" s="49"/>
      <c r="H239" s="37"/>
      <c r="I239" s="37"/>
      <c r="J239" s="37"/>
      <c r="K239" s="37"/>
      <c r="L239" s="37"/>
      <c r="M239" s="59"/>
      <c r="N239" s="37"/>
      <c r="O239" s="37"/>
      <c r="P239" s="37"/>
      <c r="Q239" s="59"/>
      <c r="R239" s="49"/>
      <c r="S239" s="37"/>
      <c r="T239" s="37"/>
      <c r="U239" s="37"/>
      <c r="V239" s="37"/>
      <c r="W239" s="96" t="str">
        <f>tbl_Assessment[[#This Row],[Ben Code]] &amp; "-"&amp;tbl_Assessment[[#This Row],[admin4Pcode]]&amp;"-" &amp; TEXT(COUNTIF(INDEX(tbl_Assessment[Ben Code],1):tbl_Assessment[[#This Row],[Ben Code]], tbl_Assessment[[#This Row],[Ben Code]]), "00")</f>
        <v>--00</v>
      </c>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49"/>
      <c r="AU239" s="41"/>
      <c r="AV239" s="37"/>
      <c r="AW239" s="37"/>
      <c r="AX239" s="37"/>
      <c r="AY239" s="37"/>
      <c r="AZ239" s="37"/>
      <c r="BA239" s="37"/>
      <c r="BB239" s="41"/>
      <c r="BC239" s="37"/>
      <c r="BD239" s="37"/>
      <c r="BE239" s="37"/>
      <c r="BF239" s="41"/>
      <c r="BG239" s="37"/>
      <c r="BH239" s="37"/>
      <c r="BI239" s="37"/>
      <c r="BJ239" s="41"/>
    </row>
    <row r="240" spans="2:62" ht="25.15" customHeight="1" x14ac:dyDescent="0.25">
      <c r="B240" s="49">
        <v>235</v>
      </c>
      <c r="C240" s="37"/>
      <c r="D240" s="87" t="str">
        <f>IF(tbl_Assessment[[#This Row],[Ben Code]]&lt;&gt;"",INDEX(tbl_Ben_Info[],MATCH(tbl_Assessment[[#This Row],[Ben Code]],tbl_Ben_Info[Ben Code],0),48),"")</f>
        <v/>
      </c>
      <c r="E240" s="116" t="str">
        <f>IF(tbl_Assessment[[#This Row],[Ben Code]]&lt;&gt;"",INDEX(tbl_Ben_Info[],MATCH(tbl_Assessment[[#This Row],[Ben Code]],tbl_Ben_Info[Ben Code],0),6),"")</f>
        <v/>
      </c>
      <c r="F240" s="113" t="str">
        <f>IF(tbl_Assessment[[#This Row],[Ben Code]]&lt;&gt;"",INDEX(tbl_Ben_Info[],MATCH(tbl_Assessment[[#This Row],[Ben Code]],tbl_Ben_Info[Ben Code],0),13),"")</f>
        <v/>
      </c>
      <c r="G240" s="49"/>
      <c r="H240" s="37"/>
      <c r="I240" s="37"/>
      <c r="J240" s="37"/>
      <c r="K240" s="37"/>
      <c r="L240" s="37"/>
      <c r="M240" s="59"/>
      <c r="N240" s="37"/>
      <c r="O240" s="37"/>
      <c r="P240" s="37"/>
      <c r="Q240" s="59"/>
      <c r="R240" s="49"/>
      <c r="S240" s="37"/>
      <c r="T240" s="37"/>
      <c r="U240" s="37"/>
      <c r="V240" s="37"/>
      <c r="W240" s="96" t="str">
        <f>tbl_Assessment[[#This Row],[Ben Code]] &amp; "-"&amp;tbl_Assessment[[#This Row],[admin4Pcode]]&amp;"-" &amp; TEXT(COUNTIF(INDEX(tbl_Assessment[Ben Code],1):tbl_Assessment[[#This Row],[Ben Code]], tbl_Assessment[[#This Row],[Ben Code]]), "00")</f>
        <v>--00</v>
      </c>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49"/>
      <c r="AU240" s="41"/>
      <c r="AV240" s="37"/>
      <c r="AW240" s="37"/>
      <c r="AX240" s="37"/>
      <c r="AY240" s="37"/>
      <c r="AZ240" s="37"/>
      <c r="BA240" s="37"/>
      <c r="BB240" s="41"/>
      <c r="BC240" s="37"/>
      <c r="BD240" s="37"/>
      <c r="BE240" s="37"/>
      <c r="BF240" s="41"/>
      <c r="BG240" s="37"/>
      <c r="BH240" s="37"/>
      <c r="BI240" s="37"/>
      <c r="BJ240" s="41"/>
    </row>
    <row r="241" spans="2:62" ht="25.15" customHeight="1" x14ac:dyDescent="0.25">
      <c r="B241" s="49">
        <v>236</v>
      </c>
      <c r="C241" s="37"/>
      <c r="D241" s="87" t="str">
        <f>IF(tbl_Assessment[[#This Row],[Ben Code]]&lt;&gt;"",INDEX(tbl_Ben_Info[],MATCH(tbl_Assessment[[#This Row],[Ben Code]],tbl_Ben_Info[Ben Code],0),48),"")</f>
        <v/>
      </c>
      <c r="E241" s="116" t="str">
        <f>IF(tbl_Assessment[[#This Row],[Ben Code]]&lt;&gt;"",INDEX(tbl_Ben_Info[],MATCH(tbl_Assessment[[#This Row],[Ben Code]],tbl_Ben_Info[Ben Code],0),6),"")</f>
        <v/>
      </c>
      <c r="F241" s="113" t="str">
        <f>IF(tbl_Assessment[[#This Row],[Ben Code]]&lt;&gt;"",INDEX(tbl_Ben_Info[],MATCH(tbl_Assessment[[#This Row],[Ben Code]],tbl_Ben_Info[Ben Code],0),13),"")</f>
        <v/>
      </c>
      <c r="G241" s="49"/>
      <c r="H241" s="37"/>
      <c r="I241" s="37"/>
      <c r="J241" s="37"/>
      <c r="K241" s="37"/>
      <c r="L241" s="37"/>
      <c r="M241" s="59"/>
      <c r="N241" s="37"/>
      <c r="O241" s="37"/>
      <c r="P241" s="37"/>
      <c r="Q241" s="59"/>
      <c r="R241" s="49"/>
      <c r="S241" s="37"/>
      <c r="T241" s="37"/>
      <c r="U241" s="37"/>
      <c r="V241" s="37"/>
      <c r="W241" s="96" t="str">
        <f>tbl_Assessment[[#This Row],[Ben Code]] &amp; "-"&amp;tbl_Assessment[[#This Row],[admin4Pcode]]&amp;"-" &amp; TEXT(COUNTIF(INDEX(tbl_Assessment[Ben Code],1):tbl_Assessment[[#This Row],[Ben Code]], tbl_Assessment[[#This Row],[Ben Code]]), "00")</f>
        <v>--00</v>
      </c>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49"/>
      <c r="AU241" s="41"/>
      <c r="AV241" s="37"/>
      <c r="AW241" s="37"/>
      <c r="AX241" s="37"/>
      <c r="AY241" s="37"/>
      <c r="AZ241" s="37"/>
      <c r="BA241" s="37"/>
      <c r="BB241" s="41"/>
      <c r="BC241" s="37"/>
      <c r="BD241" s="37"/>
      <c r="BE241" s="37"/>
      <c r="BF241" s="41"/>
      <c r="BG241" s="37"/>
      <c r="BH241" s="37"/>
      <c r="BI241" s="37"/>
      <c r="BJ241" s="41"/>
    </row>
    <row r="242" spans="2:62" ht="25.15" customHeight="1" x14ac:dyDescent="0.25">
      <c r="B242" s="49">
        <v>237</v>
      </c>
      <c r="C242" s="37"/>
      <c r="D242" s="87" t="str">
        <f>IF(tbl_Assessment[[#This Row],[Ben Code]]&lt;&gt;"",INDEX(tbl_Ben_Info[],MATCH(tbl_Assessment[[#This Row],[Ben Code]],tbl_Ben_Info[Ben Code],0),48),"")</f>
        <v/>
      </c>
      <c r="E242" s="116" t="str">
        <f>IF(tbl_Assessment[[#This Row],[Ben Code]]&lt;&gt;"",INDEX(tbl_Ben_Info[],MATCH(tbl_Assessment[[#This Row],[Ben Code]],tbl_Ben_Info[Ben Code],0),6),"")</f>
        <v/>
      </c>
      <c r="F242" s="113" t="str">
        <f>IF(tbl_Assessment[[#This Row],[Ben Code]]&lt;&gt;"",INDEX(tbl_Ben_Info[],MATCH(tbl_Assessment[[#This Row],[Ben Code]],tbl_Ben_Info[Ben Code],0),13),"")</f>
        <v/>
      </c>
      <c r="G242" s="49"/>
      <c r="H242" s="37"/>
      <c r="I242" s="37"/>
      <c r="J242" s="37"/>
      <c r="K242" s="37"/>
      <c r="L242" s="37"/>
      <c r="M242" s="59"/>
      <c r="N242" s="37"/>
      <c r="O242" s="37"/>
      <c r="P242" s="37"/>
      <c r="Q242" s="59"/>
      <c r="R242" s="49"/>
      <c r="S242" s="37"/>
      <c r="T242" s="37"/>
      <c r="U242" s="37"/>
      <c r="V242" s="37"/>
      <c r="W242" s="96" t="str">
        <f>tbl_Assessment[[#This Row],[Ben Code]] &amp; "-"&amp;tbl_Assessment[[#This Row],[admin4Pcode]]&amp;"-" &amp; TEXT(COUNTIF(INDEX(tbl_Assessment[Ben Code],1):tbl_Assessment[[#This Row],[Ben Code]], tbl_Assessment[[#This Row],[Ben Code]]), "00")</f>
        <v>--00</v>
      </c>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49"/>
      <c r="AU242" s="41"/>
      <c r="AV242" s="37"/>
      <c r="AW242" s="37"/>
      <c r="AX242" s="37"/>
      <c r="AY242" s="37"/>
      <c r="AZ242" s="37"/>
      <c r="BA242" s="37"/>
      <c r="BB242" s="41"/>
      <c r="BC242" s="37"/>
      <c r="BD242" s="37"/>
      <c r="BE242" s="37"/>
      <c r="BF242" s="41"/>
      <c r="BG242" s="37"/>
      <c r="BH242" s="37"/>
      <c r="BI242" s="37"/>
      <c r="BJ242" s="41"/>
    </row>
    <row r="243" spans="2:62" ht="25.15" customHeight="1" x14ac:dyDescent="0.25">
      <c r="B243" s="49">
        <v>238</v>
      </c>
      <c r="C243" s="37"/>
      <c r="D243" s="87" t="str">
        <f>IF(tbl_Assessment[[#This Row],[Ben Code]]&lt;&gt;"",INDEX(tbl_Ben_Info[],MATCH(tbl_Assessment[[#This Row],[Ben Code]],tbl_Ben_Info[Ben Code],0),48),"")</f>
        <v/>
      </c>
      <c r="E243" s="116" t="str">
        <f>IF(tbl_Assessment[[#This Row],[Ben Code]]&lt;&gt;"",INDEX(tbl_Ben_Info[],MATCH(tbl_Assessment[[#This Row],[Ben Code]],tbl_Ben_Info[Ben Code],0),6),"")</f>
        <v/>
      </c>
      <c r="F243" s="113" t="str">
        <f>IF(tbl_Assessment[[#This Row],[Ben Code]]&lt;&gt;"",INDEX(tbl_Ben_Info[],MATCH(tbl_Assessment[[#This Row],[Ben Code]],tbl_Ben_Info[Ben Code],0),13),"")</f>
        <v/>
      </c>
      <c r="G243" s="49"/>
      <c r="H243" s="37"/>
      <c r="I243" s="37"/>
      <c r="J243" s="37"/>
      <c r="K243" s="37"/>
      <c r="L243" s="37"/>
      <c r="M243" s="59"/>
      <c r="N243" s="37"/>
      <c r="O243" s="37"/>
      <c r="P243" s="37"/>
      <c r="Q243" s="59"/>
      <c r="R243" s="49"/>
      <c r="S243" s="37"/>
      <c r="T243" s="37"/>
      <c r="U243" s="37"/>
      <c r="V243" s="37"/>
      <c r="W243" s="96" t="str">
        <f>tbl_Assessment[[#This Row],[Ben Code]] &amp; "-"&amp;tbl_Assessment[[#This Row],[admin4Pcode]]&amp;"-" &amp; TEXT(COUNTIF(INDEX(tbl_Assessment[Ben Code],1):tbl_Assessment[[#This Row],[Ben Code]], tbl_Assessment[[#This Row],[Ben Code]]), "00")</f>
        <v>--00</v>
      </c>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49"/>
      <c r="AU243" s="41"/>
      <c r="AV243" s="37"/>
      <c r="AW243" s="37"/>
      <c r="AX243" s="37"/>
      <c r="AY243" s="37"/>
      <c r="AZ243" s="37"/>
      <c r="BA243" s="37"/>
      <c r="BB243" s="41"/>
      <c r="BC243" s="37"/>
      <c r="BD243" s="37"/>
      <c r="BE243" s="37"/>
      <c r="BF243" s="41"/>
      <c r="BG243" s="37"/>
      <c r="BH243" s="37"/>
      <c r="BI243" s="37"/>
      <c r="BJ243" s="41"/>
    </row>
    <row r="244" spans="2:62" ht="25.15" customHeight="1" x14ac:dyDescent="0.25">
      <c r="B244" s="49">
        <v>239</v>
      </c>
      <c r="C244" s="37"/>
      <c r="D244" s="87" t="str">
        <f>IF(tbl_Assessment[[#This Row],[Ben Code]]&lt;&gt;"",INDEX(tbl_Ben_Info[],MATCH(tbl_Assessment[[#This Row],[Ben Code]],tbl_Ben_Info[Ben Code],0),48),"")</f>
        <v/>
      </c>
      <c r="E244" s="116" t="str">
        <f>IF(tbl_Assessment[[#This Row],[Ben Code]]&lt;&gt;"",INDEX(tbl_Ben_Info[],MATCH(tbl_Assessment[[#This Row],[Ben Code]],tbl_Ben_Info[Ben Code],0),6),"")</f>
        <v/>
      </c>
      <c r="F244" s="113" t="str">
        <f>IF(tbl_Assessment[[#This Row],[Ben Code]]&lt;&gt;"",INDEX(tbl_Ben_Info[],MATCH(tbl_Assessment[[#This Row],[Ben Code]],tbl_Ben_Info[Ben Code],0),13),"")</f>
        <v/>
      </c>
      <c r="G244" s="49"/>
      <c r="H244" s="37"/>
      <c r="I244" s="37"/>
      <c r="J244" s="37"/>
      <c r="K244" s="37"/>
      <c r="L244" s="37"/>
      <c r="M244" s="59"/>
      <c r="N244" s="37"/>
      <c r="O244" s="37"/>
      <c r="P244" s="37"/>
      <c r="Q244" s="59"/>
      <c r="R244" s="49"/>
      <c r="S244" s="37"/>
      <c r="T244" s="37"/>
      <c r="U244" s="37"/>
      <c r="V244" s="37"/>
      <c r="W244" s="96" t="str">
        <f>tbl_Assessment[[#This Row],[Ben Code]] &amp; "-"&amp;tbl_Assessment[[#This Row],[admin4Pcode]]&amp;"-" &amp; TEXT(COUNTIF(INDEX(tbl_Assessment[Ben Code],1):tbl_Assessment[[#This Row],[Ben Code]], tbl_Assessment[[#This Row],[Ben Code]]), "00")</f>
        <v>--00</v>
      </c>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49"/>
      <c r="AU244" s="41"/>
      <c r="AV244" s="37"/>
      <c r="AW244" s="37"/>
      <c r="AX244" s="37"/>
      <c r="AY244" s="37"/>
      <c r="AZ244" s="37"/>
      <c r="BA244" s="37"/>
      <c r="BB244" s="41"/>
      <c r="BC244" s="37"/>
      <c r="BD244" s="37"/>
      <c r="BE244" s="37"/>
      <c r="BF244" s="41"/>
      <c r="BG244" s="37"/>
      <c r="BH244" s="37"/>
      <c r="BI244" s="37"/>
      <c r="BJ244" s="41"/>
    </row>
    <row r="245" spans="2:62" ht="25.15" customHeight="1" x14ac:dyDescent="0.25">
      <c r="B245" s="49">
        <v>240</v>
      </c>
      <c r="C245" s="37"/>
      <c r="D245" s="87" t="str">
        <f>IF(tbl_Assessment[[#This Row],[Ben Code]]&lt;&gt;"",INDEX(tbl_Ben_Info[],MATCH(tbl_Assessment[[#This Row],[Ben Code]],tbl_Ben_Info[Ben Code],0),48),"")</f>
        <v/>
      </c>
      <c r="E245" s="116" t="str">
        <f>IF(tbl_Assessment[[#This Row],[Ben Code]]&lt;&gt;"",INDEX(tbl_Ben_Info[],MATCH(tbl_Assessment[[#This Row],[Ben Code]],tbl_Ben_Info[Ben Code],0),6),"")</f>
        <v/>
      </c>
      <c r="F245" s="113" t="str">
        <f>IF(tbl_Assessment[[#This Row],[Ben Code]]&lt;&gt;"",INDEX(tbl_Ben_Info[],MATCH(tbl_Assessment[[#This Row],[Ben Code]],tbl_Ben_Info[Ben Code],0),13),"")</f>
        <v/>
      </c>
      <c r="G245" s="49"/>
      <c r="H245" s="37"/>
      <c r="I245" s="37"/>
      <c r="J245" s="37"/>
      <c r="K245" s="37"/>
      <c r="L245" s="37"/>
      <c r="M245" s="59"/>
      <c r="N245" s="37"/>
      <c r="O245" s="37"/>
      <c r="P245" s="37"/>
      <c r="Q245" s="59"/>
      <c r="R245" s="49"/>
      <c r="S245" s="37"/>
      <c r="T245" s="37"/>
      <c r="U245" s="37"/>
      <c r="V245" s="37"/>
      <c r="W245" s="96" t="str">
        <f>tbl_Assessment[[#This Row],[Ben Code]] &amp; "-"&amp;tbl_Assessment[[#This Row],[admin4Pcode]]&amp;"-" &amp; TEXT(COUNTIF(INDEX(tbl_Assessment[Ben Code],1):tbl_Assessment[[#This Row],[Ben Code]], tbl_Assessment[[#This Row],[Ben Code]]), "00")</f>
        <v>--00</v>
      </c>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49"/>
      <c r="AU245" s="41"/>
      <c r="AV245" s="37"/>
      <c r="AW245" s="37"/>
      <c r="AX245" s="37"/>
      <c r="AY245" s="37"/>
      <c r="AZ245" s="37"/>
      <c r="BA245" s="37"/>
      <c r="BB245" s="41"/>
      <c r="BC245" s="37"/>
      <c r="BD245" s="37"/>
      <c r="BE245" s="37"/>
      <c r="BF245" s="41"/>
      <c r="BG245" s="37"/>
      <c r="BH245" s="37"/>
      <c r="BI245" s="37"/>
      <c r="BJ245" s="41"/>
    </row>
    <row r="246" spans="2:62" ht="25.15" customHeight="1" x14ac:dyDescent="0.25">
      <c r="B246" s="49">
        <v>241</v>
      </c>
      <c r="C246" s="37"/>
      <c r="D246" s="87" t="str">
        <f>IF(tbl_Assessment[[#This Row],[Ben Code]]&lt;&gt;"",INDEX(tbl_Ben_Info[],MATCH(tbl_Assessment[[#This Row],[Ben Code]],tbl_Ben_Info[Ben Code],0),48),"")</f>
        <v/>
      </c>
      <c r="E246" s="116" t="str">
        <f>IF(tbl_Assessment[[#This Row],[Ben Code]]&lt;&gt;"",INDEX(tbl_Ben_Info[],MATCH(tbl_Assessment[[#This Row],[Ben Code]],tbl_Ben_Info[Ben Code],0),6),"")</f>
        <v/>
      </c>
      <c r="F246" s="113" t="str">
        <f>IF(tbl_Assessment[[#This Row],[Ben Code]]&lt;&gt;"",INDEX(tbl_Ben_Info[],MATCH(tbl_Assessment[[#This Row],[Ben Code]],tbl_Ben_Info[Ben Code],0),13),"")</f>
        <v/>
      </c>
      <c r="G246" s="49"/>
      <c r="H246" s="37"/>
      <c r="I246" s="37"/>
      <c r="J246" s="37"/>
      <c r="K246" s="37"/>
      <c r="L246" s="37"/>
      <c r="M246" s="59"/>
      <c r="N246" s="37"/>
      <c r="O246" s="37"/>
      <c r="P246" s="37"/>
      <c r="Q246" s="59"/>
      <c r="R246" s="49"/>
      <c r="S246" s="37"/>
      <c r="T246" s="37"/>
      <c r="U246" s="37"/>
      <c r="V246" s="37"/>
      <c r="W246" s="96" t="str">
        <f>tbl_Assessment[[#This Row],[Ben Code]] &amp; "-"&amp;tbl_Assessment[[#This Row],[admin4Pcode]]&amp;"-" &amp; TEXT(COUNTIF(INDEX(tbl_Assessment[Ben Code],1):tbl_Assessment[[#This Row],[Ben Code]], tbl_Assessment[[#This Row],[Ben Code]]), "00")</f>
        <v>--00</v>
      </c>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49"/>
      <c r="AU246" s="41"/>
      <c r="AV246" s="37"/>
      <c r="AW246" s="37"/>
      <c r="AX246" s="37"/>
      <c r="AY246" s="37"/>
      <c r="AZ246" s="37"/>
      <c r="BA246" s="37"/>
      <c r="BB246" s="41"/>
      <c r="BC246" s="37"/>
      <c r="BD246" s="37"/>
      <c r="BE246" s="37"/>
      <c r="BF246" s="41"/>
      <c r="BG246" s="37"/>
      <c r="BH246" s="37"/>
      <c r="BI246" s="37"/>
      <c r="BJ246" s="41"/>
    </row>
    <row r="247" spans="2:62" ht="25.15" customHeight="1" x14ac:dyDescent="0.25">
      <c r="B247" s="49">
        <v>242</v>
      </c>
      <c r="C247" s="37"/>
      <c r="D247" s="87" t="str">
        <f>IF(tbl_Assessment[[#This Row],[Ben Code]]&lt;&gt;"",INDEX(tbl_Ben_Info[],MATCH(tbl_Assessment[[#This Row],[Ben Code]],tbl_Ben_Info[Ben Code],0),48),"")</f>
        <v/>
      </c>
      <c r="E247" s="116" t="str">
        <f>IF(tbl_Assessment[[#This Row],[Ben Code]]&lt;&gt;"",INDEX(tbl_Ben_Info[],MATCH(tbl_Assessment[[#This Row],[Ben Code]],tbl_Ben_Info[Ben Code],0),6),"")</f>
        <v/>
      </c>
      <c r="F247" s="113" t="str">
        <f>IF(tbl_Assessment[[#This Row],[Ben Code]]&lt;&gt;"",INDEX(tbl_Ben_Info[],MATCH(tbl_Assessment[[#This Row],[Ben Code]],tbl_Ben_Info[Ben Code],0),13),"")</f>
        <v/>
      </c>
      <c r="G247" s="49"/>
      <c r="H247" s="37"/>
      <c r="I247" s="37"/>
      <c r="J247" s="37"/>
      <c r="K247" s="37"/>
      <c r="L247" s="37"/>
      <c r="M247" s="59"/>
      <c r="N247" s="37"/>
      <c r="O247" s="37"/>
      <c r="P247" s="37"/>
      <c r="Q247" s="59"/>
      <c r="R247" s="49"/>
      <c r="S247" s="37"/>
      <c r="T247" s="37"/>
      <c r="U247" s="37"/>
      <c r="V247" s="37"/>
      <c r="W247" s="96" t="str">
        <f>tbl_Assessment[[#This Row],[Ben Code]] &amp; "-"&amp;tbl_Assessment[[#This Row],[admin4Pcode]]&amp;"-" &amp; TEXT(COUNTIF(INDEX(tbl_Assessment[Ben Code],1):tbl_Assessment[[#This Row],[Ben Code]], tbl_Assessment[[#This Row],[Ben Code]]), "00")</f>
        <v>--00</v>
      </c>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49"/>
      <c r="AU247" s="41"/>
      <c r="AV247" s="37"/>
      <c r="AW247" s="37"/>
      <c r="AX247" s="37"/>
      <c r="AY247" s="37"/>
      <c r="AZ247" s="37"/>
      <c r="BA247" s="37"/>
      <c r="BB247" s="41"/>
      <c r="BC247" s="37"/>
      <c r="BD247" s="37"/>
      <c r="BE247" s="37"/>
      <c r="BF247" s="41"/>
      <c r="BG247" s="37"/>
      <c r="BH247" s="37"/>
      <c r="BI247" s="37"/>
      <c r="BJ247" s="41"/>
    </row>
    <row r="248" spans="2:62" ht="25.15" customHeight="1" x14ac:dyDescent="0.25">
      <c r="B248" s="49">
        <v>243</v>
      </c>
      <c r="C248" s="37"/>
      <c r="D248" s="87" t="str">
        <f>IF(tbl_Assessment[[#This Row],[Ben Code]]&lt;&gt;"",INDEX(tbl_Ben_Info[],MATCH(tbl_Assessment[[#This Row],[Ben Code]],tbl_Ben_Info[Ben Code],0),48),"")</f>
        <v/>
      </c>
      <c r="E248" s="116" t="str">
        <f>IF(tbl_Assessment[[#This Row],[Ben Code]]&lt;&gt;"",INDEX(tbl_Ben_Info[],MATCH(tbl_Assessment[[#This Row],[Ben Code]],tbl_Ben_Info[Ben Code],0),6),"")</f>
        <v/>
      </c>
      <c r="F248" s="113" t="str">
        <f>IF(tbl_Assessment[[#This Row],[Ben Code]]&lt;&gt;"",INDEX(tbl_Ben_Info[],MATCH(tbl_Assessment[[#This Row],[Ben Code]],tbl_Ben_Info[Ben Code],0),13),"")</f>
        <v/>
      </c>
      <c r="G248" s="49"/>
      <c r="H248" s="37"/>
      <c r="I248" s="37"/>
      <c r="J248" s="37"/>
      <c r="K248" s="37"/>
      <c r="L248" s="37"/>
      <c r="M248" s="59"/>
      <c r="N248" s="37"/>
      <c r="O248" s="37"/>
      <c r="P248" s="37"/>
      <c r="Q248" s="59"/>
      <c r="R248" s="49"/>
      <c r="S248" s="37"/>
      <c r="T248" s="37"/>
      <c r="U248" s="37"/>
      <c r="V248" s="37"/>
      <c r="W248" s="96" t="str">
        <f>tbl_Assessment[[#This Row],[Ben Code]] &amp; "-"&amp;tbl_Assessment[[#This Row],[admin4Pcode]]&amp;"-" &amp; TEXT(COUNTIF(INDEX(tbl_Assessment[Ben Code],1):tbl_Assessment[[#This Row],[Ben Code]], tbl_Assessment[[#This Row],[Ben Code]]), "00")</f>
        <v>--00</v>
      </c>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49"/>
      <c r="AU248" s="41"/>
      <c r="AV248" s="37"/>
      <c r="AW248" s="37"/>
      <c r="AX248" s="37"/>
      <c r="AY248" s="37"/>
      <c r="AZ248" s="37"/>
      <c r="BA248" s="37"/>
      <c r="BB248" s="41"/>
      <c r="BC248" s="37"/>
      <c r="BD248" s="37"/>
      <c r="BE248" s="37"/>
      <c r="BF248" s="41"/>
      <c r="BG248" s="37"/>
      <c r="BH248" s="37"/>
      <c r="BI248" s="37"/>
      <c r="BJ248" s="41"/>
    </row>
    <row r="249" spans="2:62" ht="25.15" customHeight="1" x14ac:dyDescent="0.25">
      <c r="B249" s="49">
        <v>244</v>
      </c>
      <c r="C249" s="37"/>
      <c r="D249" s="87" t="str">
        <f>IF(tbl_Assessment[[#This Row],[Ben Code]]&lt;&gt;"",INDEX(tbl_Ben_Info[],MATCH(tbl_Assessment[[#This Row],[Ben Code]],tbl_Ben_Info[Ben Code],0),48),"")</f>
        <v/>
      </c>
      <c r="E249" s="116" t="str">
        <f>IF(tbl_Assessment[[#This Row],[Ben Code]]&lt;&gt;"",INDEX(tbl_Ben_Info[],MATCH(tbl_Assessment[[#This Row],[Ben Code]],tbl_Ben_Info[Ben Code],0),6),"")</f>
        <v/>
      </c>
      <c r="F249" s="113" t="str">
        <f>IF(tbl_Assessment[[#This Row],[Ben Code]]&lt;&gt;"",INDEX(tbl_Ben_Info[],MATCH(tbl_Assessment[[#This Row],[Ben Code]],tbl_Ben_Info[Ben Code],0),13),"")</f>
        <v/>
      </c>
      <c r="G249" s="49"/>
      <c r="H249" s="37"/>
      <c r="I249" s="37"/>
      <c r="J249" s="37"/>
      <c r="K249" s="37"/>
      <c r="L249" s="37"/>
      <c r="M249" s="59"/>
      <c r="N249" s="37"/>
      <c r="O249" s="37"/>
      <c r="P249" s="37"/>
      <c r="Q249" s="59"/>
      <c r="R249" s="49"/>
      <c r="S249" s="37"/>
      <c r="T249" s="37"/>
      <c r="U249" s="37"/>
      <c r="V249" s="37"/>
      <c r="W249" s="96" t="str">
        <f>tbl_Assessment[[#This Row],[Ben Code]] &amp; "-"&amp;tbl_Assessment[[#This Row],[admin4Pcode]]&amp;"-" &amp; TEXT(COUNTIF(INDEX(tbl_Assessment[Ben Code],1):tbl_Assessment[[#This Row],[Ben Code]], tbl_Assessment[[#This Row],[Ben Code]]), "00")</f>
        <v>--00</v>
      </c>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49"/>
      <c r="AU249" s="41"/>
      <c r="AV249" s="37"/>
      <c r="AW249" s="37"/>
      <c r="AX249" s="37"/>
      <c r="AY249" s="37"/>
      <c r="AZ249" s="37"/>
      <c r="BA249" s="37"/>
      <c r="BB249" s="41"/>
      <c r="BC249" s="37"/>
      <c r="BD249" s="37"/>
      <c r="BE249" s="37"/>
      <c r="BF249" s="41"/>
      <c r="BG249" s="37"/>
      <c r="BH249" s="37"/>
      <c r="BI249" s="37"/>
      <c r="BJ249" s="41"/>
    </row>
    <row r="250" spans="2:62" ht="25.15" customHeight="1" x14ac:dyDescent="0.25">
      <c r="B250" s="49">
        <v>245</v>
      </c>
      <c r="C250" s="37"/>
      <c r="D250" s="87" t="str">
        <f>IF(tbl_Assessment[[#This Row],[Ben Code]]&lt;&gt;"",INDEX(tbl_Ben_Info[],MATCH(tbl_Assessment[[#This Row],[Ben Code]],tbl_Ben_Info[Ben Code],0),48),"")</f>
        <v/>
      </c>
      <c r="E250" s="116" t="str">
        <f>IF(tbl_Assessment[[#This Row],[Ben Code]]&lt;&gt;"",INDEX(tbl_Ben_Info[],MATCH(tbl_Assessment[[#This Row],[Ben Code]],tbl_Ben_Info[Ben Code],0),6),"")</f>
        <v/>
      </c>
      <c r="F250" s="113" t="str">
        <f>IF(tbl_Assessment[[#This Row],[Ben Code]]&lt;&gt;"",INDEX(tbl_Ben_Info[],MATCH(tbl_Assessment[[#This Row],[Ben Code]],tbl_Ben_Info[Ben Code],0),13),"")</f>
        <v/>
      </c>
      <c r="G250" s="49"/>
      <c r="H250" s="37"/>
      <c r="I250" s="37"/>
      <c r="J250" s="37"/>
      <c r="K250" s="37"/>
      <c r="L250" s="37"/>
      <c r="M250" s="59"/>
      <c r="N250" s="37"/>
      <c r="O250" s="37"/>
      <c r="P250" s="37"/>
      <c r="Q250" s="59"/>
      <c r="R250" s="49"/>
      <c r="S250" s="37"/>
      <c r="T250" s="37"/>
      <c r="U250" s="37"/>
      <c r="V250" s="37"/>
      <c r="W250" s="96" t="str">
        <f>tbl_Assessment[[#This Row],[Ben Code]] &amp; "-"&amp;tbl_Assessment[[#This Row],[admin4Pcode]]&amp;"-" &amp; TEXT(COUNTIF(INDEX(tbl_Assessment[Ben Code],1):tbl_Assessment[[#This Row],[Ben Code]], tbl_Assessment[[#This Row],[Ben Code]]), "00")</f>
        <v>--00</v>
      </c>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49"/>
      <c r="AU250" s="41"/>
      <c r="AV250" s="37"/>
      <c r="AW250" s="37"/>
      <c r="AX250" s="37"/>
      <c r="AY250" s="37"/>
      <c r="AZ250" s="37"/>
      <c r="BA250" s="37"/>
      <c r="BB250" s="41"/>
      <c r="BC250" s="37"/>
      <c r="BD250" s="37"/>
      <c r="BE250" s="37"/>
      <c r="BF250" s="41"/>
      <c r="BG250" s="37"/>
      <c r="BH250" s="37"/>
      <c r="BI250" s="37"/>
      <c r="BJ250" s="41"/>
    </row>
    <row r="251" spans="2:62" ht="25.15" customHeight="1" x14ac:dyDescent="0.25">
      <c r="B251" s="49">
        <v>246</v>
      </c>
      <c r="C251" s="37"/>
      <c r="D251" s="87" t="str">
        <f>IF(tbl_Assessment[[#This Row],[Ben Code]]&lt;&gt;"",INDEX(tbl_Ben_Info[],MATCH(tbl_Assessment[[#This Row],[Ben Code]],tbl_Ben_Info[Ben Code],0),48),"")</f>
        <v/>
      </c>
      <c r="E251" s="116" t="str">
        <f>IF(tbl_Assessment[[#This Row],[Ben Code]]&lt;&gt;"",INDEX(tbl_Ben_Info[],MATCH(tbl_Assessment[[#This Row],[Ben Code]],tbl_Ben_Info[Ben Code],0),6),"")</f>
        <v/>
      </c>
      <c r="F251" s="113" t="str">
        <f>IF(tbl_Assessment[[#This Row],[Ben Code]]&lt;&gt;"",INDEX(tbl_Ben_Info[],MATCH(tbl_Assessment[[#This Row],[Ben Code]],tbl_Ben_Info[Ben Code],0),13),"")</f>
        <v/>
      </c>
      <c r="G251" s="49"/>
      <c r="H251" s="37"/>
      <c r="I251" s="37"/>
      <c r="J251" s="37"/>
      <c r="K251" s="37"/>
      <c r="L251" s="37"/>
      <c r="M251" s="59"/>
      <c r="N251" s="37"/>
      <c r="O251" s="37"/>
      <c r="P251" s="37"/>
      <c r="Q251" s="59"/>
      <c r="R251" s="49"/>
      <c r="S251" s="37"/>
      <c r="T251" s="37"/>
      <c r="U251" s="37"/>
      <c r="V251" s="37"/>
      <c r="W251" s="96" t="str">
        <f>tbl_Assessment[[#This Row],[Ben Code]] &amp; "-"&amp;tbl_Assessment[[#This Row],[admin4Pcode]]&amp;"-" &amp; TEXT(COUNTIF(INDEX(tbl_Assessment[Ben Code],1):tbl_Assessment[[#This Row],[Ben Code]], tbl_Assessment[[#This Row],[Ben Code]]), "00")</f>
        <v>--00</v>
      </c>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49"/>
      <c r="AU251" s="41"/>
      <c r="AV251" s="37"/>
      <c r="AW251" s="37"/>
      <c r="AX251" s="37"/>
      <c r="AY251" s="37"/>
      <c r="AZ251" s="37"/>
      <c r="BA251" s="37"/>
      <c r="BB251" s="41"/>
      <c r="BC251" s="37"/>
      <c r="BD251" s="37"/>
      <c r="BE251" s="37"/>
      <c r="BF251" s="41"/>
      <c r="BG251" s="37"/>
      <c r="BH251" s="37"/>
      <c r="BI251" s="37"/>
      <c r="BJ251" s="41"/>
    </row>
    <row r="252" spans="2:62" ht="25.15" customHeight="1" x14ac:dyDescent="0.25">
      <c r="B252" s="49">
        <v>247</v>
      </c>
      <c r="C252" s="37"/>
      <c r="D252" s="87" t="str">
        <f>IF(tbl_Assessment[[#This Row],[Ben Code]]&lt;&gt;"",INDEX(tbl_Ben_Info[],MATCH(tbl_Assessment[[#This Row],[Ben Code]],tbl_Ben_Info[Ben Code],0),48),"")</f>
        <v/>
      </c>
      <c r="E252" s="116" t="str">
        <f>IF(tbl_Assessment[[#This Row],[Ben Code]]&lt;&gt;"",INDEX(tbl_Ben_Info[],MATCH(tbl_Assessment[[#This Row],[Ben Code]],tbl_Ben_Info[Ben Code],0),6),"")</f>
        <v/>
      </c>
      <c r="F252" s="113" t="str">
        <f>IF(tbl_Assessment[[#This Row],[Ben Code]]&lt;&gt;"",INDEX(tbl_Ben_Info[],MATCH(tbl_Assessment[[#This Row],[Ben Code]],tbl_Ben_Info[Ben Code],0),13),"")</f>
        <v/>
      </c>
      <c r="G252" s="49"/>
      <c r="H252" s="37"/>
      <c r="I252" s="37"/>
      <c r="J252" s="37"/>
      <c r="K252" s="37"/>
      <c r="L252" s="37"/>
      <c r="M252" s="59"/>
      <c r="N252" s="37"/>
      <c r="O252" s="37"/>
      <c r="P252" s="37"/>
      <c r="Q252" s="59"/>
      <c r="R252" s="49"/>
      <c r="S252" s="37"/>
      <c r="T252" s="37"/>
      <c r="U252" s="37"/>
      <c r="V252" s="37"/>
      <c r="W252" s="96" t="str">
        <f>tbl_Assessment[[#This Row],[Ben Code]] &amp; "-"&amp;tbl_Assessment[[#This Row],[admin4Pcode]]&amp;"-" &amp; TEXT(COUNTIF(INDEX(tbl_Assessment[Ben Code],1):tbl_Assessment[[#This Row],[Ben Code]], tbl_Assessment[[#This Row],[Ben Code]]), "00")</f>
        <v>--00</v>
      </c>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49"/>
      <c r="AU252" s="41"/>
      <c r="AV252" s="37"/>
      <c r="AW252" s="37"/>
      <c r="AX252" s="37"/>
      <c r="AY252" s="37"/>
      <c r="AZ252" s="37"/>
      <c r="BA252" s="37"/>
      <c r="BB252" s="41"/>
      <c r="BC252" s="37"/>
      <c r="BD252" s="37"/>
      <c r="BE252" s="37"/>
      <c r="BF252" s="41"/>
      <c r="BG252" s="37"/>
      <c r="BH252" s="37"/>
      <c r="BI252" s="37"/>
      <c r="BJ252" s="41"/>
    </row>
    <row r="253" spans="2:62" ht="25.15" customHeight="1" x14ac:dyDescent="0.25">
      <c r="B253" s="49">
        <v>248</v>
      </c>
      <c r="C253" s="37"/>
      <c r="D253" s="87" t="str">
        <f>IF(tbl_Assessment[[#This Row],[Ben Code]]&lt;&gt;"",INDEX(tbl_Ben_Info[],MATCH(tbl_Assessment[[#This Row],[Ben Code]],tbl_Ben_Info[Ben Code],0),48),"")</f>
        <v/>
      </c>
      <c r="E253" s="116" t="str">
        <f>IF(tbl_Assessment[[#This Row],[Ben Code]]&lt;&gt;"",INDEX(tbl_Ben_Info[],MATCH(tbl_Assessment[[#This Row],[Ben Code]],tbl_Ben_Info[Ben Code],0),6),"")</f>
        <v/>
      </c>
      <c r="F253" s="113" t="str">
        <f>IF(tbl_Assessment[[#This Row],[Ben Code]]&lt;&gt;"",INDEX(tbl_Ben_Info[],MATCH(tbl_Assessment[[#This Row],[Ben Code]],tbl_Ben_Info[Ben Code],0),13),"")</f>
        <v/>
      </c>
      <c r="G253" s="49"/>
      <c r="H253" s="37"/>
      <c r="I253" s="37"/>
      <c r="J253" s="37"/>
      <c r="K253" s="37"/>
      <c r="L253" s="37"/>
      <c r="M253" s="59"/>
      <c r="N253" s="37"/>
      <c r="O253" s="37"/>
      <c r="P253" s="37"/>
      <c r="Q253" s="59"/>
      <c r="R253" s="49"/>
      <c r="S253" s="37"/>
      <c r="T253" s="37"/>
      <c r="U253" s="37"/>
      <c r="V253" s="37"/>
      <c r="W253" s="96" t="str">
        <f>tbl_Assessment[[#This Row],[Ben Code]] &amp; "-"&amp;tbl_Assessment[[#This Row],[admin4Pcode]]&amp;"-" &amp; TEXT(COUNTIF(INDEX(tbl_Assessment[Ben Code],1):tbl_Assessment[[#This Row],[Ben Code]], tbl_Assessment[[#This Row],[Ben Code]]), "00")</f>
        <v>--00</v>
      </c>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49"/>
      <c r="AU253" s="41"/>
      <c r="AV253" s="37"/>
      <c r="AW253" s="37"/>
      <c r="AX253" s="37"/>
      <c r="AY253" s="37"/>
      <c r="AZ253" s="37"/>
      <c r="BA253" s="37"/>
      <c r="BB253" s="41"/>
      <c r="BC253" s="37"/>
      <c r="BD253" s="37"/>
      <c r="BE253" s="37"/>
      <c r="BF253" s="41"/>
      <c r="BG253" s="37"/>
      <c r="BH253" s="37"/>
      <c r="BI253" s="37"/>
      <c r="BJ253" s="41"/>
    </row>
    <row r="254" spans="2:62" ht="25.15" customHeight="1" x14ac:dyDescent="0.25">
      <c r="B254" s="49">
        <v>249</v>
      </c>
      <c r="C254" s="37"/>
      <c r="D254" s="87" t="str">
        <f>IF(tbl_Assessment[[#This Row],[Ben Code]]&lt;&gt;"",INDEX(tbl_Ben_Info[],MATCH(tbl_Assessment[[#This Row],[Ben Code]],tbl_Ben_Info[Ben Code],0),48),"")</f>
        <v/>
      </c>
      <c r="E254" s="116" t="str">
        <f>IF(tbl_Assessment[[#This Row],[Ben Code]]&lt;&gt;"",INDEX(tbl_Ben_Info[],MATCH(tbl_Assessment[[#This Row],[Ben Code]],tbl_Ben_Info[Ben Code],0),6),"")</f>
        <v/>
      </c>
      <c r="F254" s="113" t="str">
        <f>IF(tbl_Assessment[[#This Row],[Ben Code]]&lt;&gt;"",INDEX(tbl_Ben_Info[],MATCH(tbl_Assessment[[#This Row],[Ben Code]],tbl_Ben_Info[Ben Code],0),13),"")</f>
        <v/>
      </c>
      <c r="G254" s="49"/>
      <c r="H254" s="37"/>
      <c r="I254" s="37"/>
      <c r="J254" s="37"/>
      <c r="K254" s="37"/>
      <c r="L254" s="37"/>
      <c r="M254" s="59"/>
      <c r="N254" s="37"/>
      <c r="O254" s="37"/>
      <c r="P254" s="37"/>
      <c r="Q254" s="59"/>
      <c r="R254" s="49"/>
      <c r="S254" s="37"/>
      <c r="T254" s="37"/>
      <c r="U254" s="37"/>
      <c r="V254" s="37"/>
      <c r="W254" s="96" t="str">
        <f>tbl_Assessment[[#This Row],[Ben Code]] &amp; "-"&amp;tbl_Assessment[[#This Row],[admin4Pcode]]&amp;"-" &amp; TEXT(COUNTIF(INDEX(tbl_Assessment[Ben Code],1):tbl_Assessment[[#This Row],[Ben Code]], tbl_Assessment[[#This Row],[Ben Code]]), "00")</f>
        <v>--00</v>
      </c>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49"/>
      <c r="AU254" s="41"/>
      <c r="AV254" s="37"/>
      <c r="AW254" s="37"/>
      <c r="AX254" s="37"/>
      <c r="AY254" s="37"/>
      <c r="AZ254" s="37"/>
      <c r="BA254" s="37"/>
      <c r="BB254" s="41"/>
      <c r="BC254" s="37"/>
      <c r="BD254" s="37"/>
      <c r="BE254" s="37"/>
      <c r="BF254" s="41"/>
      <c r="BG254" s="37"/>
      <c r="BH254" s="37"/>
      <c r="BI254" s="37"/>
      <c r="BJ254" s="41"/>
    </row>
    <row r="255" spans="2:62" ht="25.15" customHeight="1" x14ac:dyDescent="0.25">
      <c r="B255" s="49">
        <v>250</v>
      </c>
      <c r="C255" s="37"/>
      <c r="D255" s="87" t="str">
        <f>IF(tbl_Assessment[[#This Row],[Ben Code]]&lt;&gt;"",INDEX(tbl_Ben_Info[],MATCH(tbl_Assessment[[#This Row],[Ben Code]],tbl_Ben_Info[Ben Code],0),48),"")</f>
        <v/>
      </c>
      <c r="E255" s="116" t="str">
        <f>IF(tbl_Assessment[[#This Row],[Ben Code]]&lt;&gt;"",INDEX(tbl_Ben_Info[],MATCH(tbl_Assessment[[#This Row],[Ben Code]],tbl_Ben_Info[Ben Code],0),6),"")</f>
        <v/>
      </c>
      <c r="F255" s="113" t="str">
        <f>IF(tbl_Assessment[[#This Row],[Ben Code]]&lt;&gt;"",INDEX(tbl_Ben_Info[],MATCH(tbl_Assessment[[#This Row],[Ben Code]],tbl_Ben_Info[Ben Code],0),13),"")</f>
        <v/>
      </c>
      <c r="G255" s="49"/>
      <c r="H255" s="37"/>
      <c r="I255" s="37"/>
      <c r="J255" s="37"/>
      <c r="K255" s="37"/>
      <c r="L255" s="37"/>
      <c r="M255" s="59"/>
      <c r="N255" s="37"/>
      <c r="O255" s="37"/>
      <c r="P255" s="37"/>
      <c r="Q255" s="59"/>
      <c r="R255" s="49"/>
      <c r="S255" s="37"/>
      <c r="T255" s="37"/>
      <c r="U255" s="37"/>
      <c r="V255" s="37"/>
      <c r="W255" s="96" t="str">
        <f>tbl_Assessment[[#This Row],[Ben Code]] &amp; "-"&amp;tbl_Assessment[[#This Row],[admin4Pcode]]&amp;"-" &amp; TEXT(COUNTIF(INDEX(tbl_Assessment[Ben Code],1):tbl_Assessment[[#This Row],[Ben Code]], tbl_Assessment[[#This Row],[Ben Code]]), "00")</f>
        <v>--00</v>
      </c>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49"/>
      <c r="AU255" s="41"/>
      <c r="AV255" s="37"/>
      <c r="AW255" s="37"/>
      <c r="AX255" s="37"/>
      <c r="AY255" s="37"/>
      <c r="AZ255" s="37"/>
      <c r="BA255" s="37"/>
      <c r="BB255" s="41"/>
      <c r="BC255" s="37"/>
      <c r="BD255" s="37"/>
      <c r="BE255" s="37"/>
      <c r="BF255" s="41"/>
      <c r="BG255" s="37"/>
      <c r="BH255" s="37"/>
      <c r="BI255" s="37"/>
      <c r="BJ255" s="41"/>
    </row>
    <row r="256" spans="2:62" ht="25.15" customHeight="1" x14ac:dyDescent="0.25">
      <c r="B256" s="49">
        <v>251</v>
      </c>
      <c r="C256" s="37"/>
      <c r="D256" s="87" t="str">
        <f>IF(tbl_Assessment[[#This Row],[Ben Code]]&lt;&gt;"",INDEX(tbl_Ben_Info[],MATCH(tbl_Assessment[[#This Row],[Ben Code]],tbl_Ben_Info[Ben Code],0),48),"")</f>
        <v/>
      </c>
      <c r="E256" s="116" t="str">
        <f>IF(tbl_Assessment[[#This Row],[Ben Code]]&lt;&gt;"",INDEX(tbl_Ben_Info[],MATCH(tbl_Assessment[[#This Row],[Ben Code]],tbl_Ben_Info[Ben Code],0),6),"")</f>
        <v/>
      </c>
      <c r="F256" s="113" t="str">
        <f>IF(tbl_Assessment[[#This Row],[Ben Code]]&lt;&gt;"",INDEX(tbl_Ben_Info[],MATCH(tbl_Assessment[[#This Row],[Ben Code]],tbl_Ben_Info[Ben Code],0),13),"")</f>
        <v/>
      </c>
      <c r="G256" s="49"/>
      <c r="H256" s="37"/>
      <c r="I256" s="37"/>
      <c r="J256" s="37"/>
      <c r="K256" s="37"/>
      <c r="L256" s="37"/>
      <c r="M256" s="59"/>
      <c r="N256" s="37"/>
      <c r="O256" s="37"/>
      <c r="P256" s="37"/>
      <c r="Q256" s="59"/>
      <c r="R256" s="49"/>
      <c r="S256" s="37"/>
      <c r="T256" s="37"/>
      <c r="U256" s="37"/>
      <c r="V256" s="37"/>
      <c r="W256" s="96" t="str">
        <f>tbl_Assessment[[#This Row],[Ben Code]] &amp; "-"&amp;tbl_Assessment[[#This Row],[admin4Pcode]]&amp;"-" &amp; TEXT(COUNTIF(INDEX(tbl_Assessment[Ben Code],1):tbl_Assessment[[#This Row],[Ben Code]], tbl_Assessment[[#This Row],[Ben Code]]), "00")</f>
        <v>--00</v>
      </c>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49"/>
      <c r="AU256" s="41"/>
      <c r="AV256" s="37"/>
      <c r="AW256" s="37"/>
      <c r="AX256" s="37"/>
      <c r="AY256" s="37"/>
      <c r="AZ256" s="37"/>
      <c r="BA256" s="37"/>
      <c r="BB256" s="41"/>
      <c r="BC256" s="37"/>
      <c r="BD256" s="37"/>
      <c r="BE256" s="37"/>
      <c r="BF256" s="41"/>
      <c r="BG256" s="37"/>
      <c r="BH256" s="37"/>
      <c r="BI256" s="37"/>
      <c r="BJ256" s="41"/>
    </row>
    <row r="257" spans="2:62" ht="25.15" customHeight="1" x14ac:dyDescent="0.25">
      <c r="B257" s="49">
        <v>252</v>
      </c>
      <c r="C257" s="37"/>
      <c r="D257" s="87" t="str">
        <f>IF(tbl_Assessment[[#This Row],[Ben Code]]&lt;&gt;"",INDEX(tbl_Ben_Info[],MATCH(tbl_Assessment[[#This Row],[Ben Code]],tbl_Ben_Info[Ben Code],0),48),"")</f>
        <v/>
      </c>
      <c r="E257" s="116" t="str">
        <f>IF(tbl_Assessment[[#This Row],[Ben Code]]&lt;&gt;"",INDEX(tbl_Ben_Info[],MATCH(tbl_Assessment[[#This Row],[Ben Code]],tbl_Ben_Info[Ben Code],0),6),"")</f>
        <v/>
      </c>
      <c r="F257" s="113" t="str">
        <f>IF(tbl_Assessment[[#This Row],[Ben Code]]&lt;&gt;"",INDEX(tbl_Ben_Info[],MATCH(tbl_Assessment[[#This Row],[Ben Code]],tbl_Ben_Info[Ben Code],0),13),"")</f>
        <v/>
      </c>
      <c r="G257" s="49"/>
      <c r="H257" s="37"/>
      <c r="I257" s="37"/>
      <c r="J257" s="37"/>
      <c r="K257" s="37"/>
      <c r="L257" s="37"/>
      <c r="M257" s="59"/>
      <c r="N257" s="37"/>
      <c r="O257" s="37"/>
      <c r="P257" s="37"/>
      <c r="Q257" s="59"/>
      <c r="R257" s="49"/>
      <c r="S257" s="37"/>
      <c r="T257" s="37"/>
      <c r="U257" s="37"/>
      <c r="V257" s="37"/>
      <c r="W257" s="96" t="str">
        <f>tbl_Assessment[[#This Row],[Ben Code]] &amp; "-"&amp;tbl_Assessment[[#This Row],[admin4Pcode]]&amp;"-" &amp; TEXT(COUNTIF(INDEX(tbl_Assessment[Ben Code],1):tbl_Assessment[[#This Row],[Ben Code]], tbl_Assessment[[#This Row],[Ben Code]]), "00")</f>
        <v>--00</v>
      </c>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49"/>
      <c r="AU257" s="41"/>
      <c r="AV257" s="37"/>
      <c r="AW257" s="37"/>
      <c r="AX257" s="37"/>
      <c r="AY257" s="37"/>
      <c r="AZ257" s="37"/>
      <c r="BA257" s="37"/>
      <c r="BB257" s="41"/>
      <c r="BC257" s="37"/>
      <c r="BD257" s="37"/>
      <c r="BE257" s="37"/>
      <c r="BF257" s="41"/>
      <c r="BG257" s="37"/>
      <c r="BH257" s="37"/>
      <c r="BI257" s="37"/>
      <c r="BJ257" s="41"/>
    </row>
    <row r="258" spans="2:62" ht="25.15" customHeight="1" x14ac:dyDescent="0.25">
      <c r="B258" s="49">
        <v>253</v>
      </c>
      <c r="C258" s="37"/>
      <c r="D258" s="87" t="str">
        <f>IF(tbl_Assessment[[#This Row],[Ben Code]]&lt;&gt;"",INDEX(tbl_Ben_Info[],MATCH(tbl_Assessment[[#This Row],[Ben Code]],tbl_Ben_Info[Ben Code],0),48),"")</f>
        <v/>
      </c>
      <c r="E258" s="116" t="str">
        <f>IF(tbl_Assessment[[#This Row],[Ben Code]]&lt;&gt;"",INDEX(tbl_Ben_Info[],MATCH(tbl_Assessment[[#This Row],[Ben Code]],tbl_Ben_Info[Ben Code],0),6),"")</f>
        <v/>
      </c>
      <c r="F258" s="113" t="str">
        <f>IF(tbl_Assessment[[#This Row],[Ben Code]]&lt;&gt;"",INDEX(tbl_Ben_Info[],MATCH(tbl_Assessment[[#This Row],[Ben Code]],tbl_Ben_Info[Ben Code],0),13),"")</f>
        <v/>
      </c>
      <c r="G258" s="49"/>
      <c r="H258" s="37"/>
      <c r="I258" s="37"/>
      <c r="J258" s="37"/>
      <c r="K258" s="37"/>
      <c r="L258" s="37"/>
      <c r="M258" s="59"/>
      <c r="N258" s="37"/>
      <c r="O258" s="37"/>
      <c r="P258" s="37"/>
      <c r="Q258" s="59"/>
      <c r="R258" s="49"/>
      <c r="S258" s="37"/>
      <c r="T258" s="37"/>
      <c r="U258" s="37"/>
      <c r="V258" s="37"/>
      <c r="W258" s="96" t="str">
        <f>tbl_Assessment[[#This Row],[Ben Code]] &amp; "-"&amp;tbl_Assessment[[#This Row],[admin4Pcode]]&amp;"-" &amp; TEXT(COUNTIF(INDEX(tbl_Assessment[Ben Code],1):tbl_Assessment[[#This Row],[Ben Code]], tbl_Assessment[[#This Row],[Ben Code]]), "00")</f>
        <v>--00</v>
      </c>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49"/>
      <c r="AU258" s="41"/>
      <c r="AV258" s="37"/>
      <c r="AW258" s="37"/>
      <c r="AX258" s="37"/>
      <c r="AY258" s="37"/>
      <c r="AZ258" s="37"/>
      <c r="BA258" s="37"/>
      <c r="BB258" s="41"/>
      <c r="BC258" s="37"/>
      <c r="BD258" s="37"/>
      <c r="BE258" s="37"/>
      <c r="BF258" s="41"/>
      <c r="BG258" s="37"/>
      <c r="BH258" s="37"/>
      <c r="BI258" s="37"/>
      <c r="BJ258" s="41"/>
    </row>
    <row r="259" spans="2:62" ht="25.15" customHeight="1" x14ac:dyDescent="0.25">
      <c r="B259" s="49">
        <v>254</v>
      </c>
      <c r="C259" s="37"/>
      <c r="D259" s="87" t="str">
        <f>IF(tbl_Assessment[[#This Row],[Ben Code]]&lt;&gt;"",INDEX(tbl_Ben_Info[],MATCH(tbl_Assessment[[#This Row],[Ben Code]],tbl_Ben_Info[Ben Code],0),48),"")</f>
        <v/>
      </c>
      <c r="E259" s="116" t="str">
        <f>IF(tbl_Assessment[[#This Row],[Ben Code]]&lt;&gt;"",INDEX(tbl_Ben_Info[],MATCH(tbl_Assessment[[#This Row],[Ben Code]],tbl_Ben_Info[Ben Code],0),6),"")</f>
        <v/>
      </c>
      <c r="F259" s="113" t="str">
        <f>IF(tbl_Assessment[[#This Row],[Ben Code]]&lt;&gt;"",INDEX(tbl_Ben_Info[],MATCH(tbl_Assessment[[#This Row],[Ben Code]],tbl_Ben_Info[Ben Code],0),13),"")</f>
        <v/>
      </c>
      <c r="G259" s="49"/>
      <c r="H259" s="37"/>
      <c r="I259" s="37"/>
      <c r="J259" s="37"/>
      <c r="K259" s="37"/>
      <c r="L259" s="37"/>
      <c r="M259" s="59"/>
      <c r="N259" s="37"/>
      <c r="O259" s="37"/>
      <c r="P259" s="37"/>
      <c r="Q259" s="59"/>
      <c r="R259" s="49"/>
      <c r="S259" s="37"/>
      <c r="T259" s="37"/>
      <c r="U259" s="37"/>
      <c r="V259" s="37"/>
      <c r="W259" s="96" t="str">
        <f>tbl_Assessment[[#This Row],[Ben Code]] &amp; "-"&amp;tbl_Assessment[[#This Row],[admin4Pcode]]&amp;"-" &amp; TEXT(COUNTIF(INDEX(tbl_Assessment[Ben Code],1):tbl_Assessment[[#This Row],[Ben Code]], tbl_Assessment[[#This Row],[Ben Code]]), "00")</f>
        <v>--00</v>
      </c>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49"/>
      <c r="AU259" s="41"/>
      <c r="AV259" s="37"/>
      <c r="AW259" s="37"/>
      <c r="AX259" s="37"/>
      <c r="AY259" s="37"/>
      <c r="AZ259" s="37"/>
      <c r="BA259" s="37"/>
      <c r="BB259" s="41"/>
      <c r="BC259" s="37"/>
      <c r="BD259" s="37"/>
      <c r="BE259" s="37"/>
      <c r="BF259" s="41"/>
      <c r="BG259" s="37"/>
      <c r="BH259" s="37"/>
      <c r="BI259" s="37"/>
      <c r="BJ259" s="41"/>
    </row>
    <row r="260" spans="2:62" ht="25.15" customHeight="1" x14ac:dyDescent="0.25">
      <c r="B260" s="49">
        <v>255</v>
      </c>
      <c r="C260" s="37"/>
      <c r="D260" s="87" t="str">
        <f>IF(tbl_Assessment[[#This Row],[Ben Code]]&lt;&gt;"",INDEX(tbl_Ben_Info[],MATCH(tbl_Assessment[[#This Row],[Ben Code]],tbl_Ben_Info[Ben Code],0),48),"")</f>
        <v/>
      </c>
      <c r="E260" s="116" t="str">
        <f>IF(tbl_Assessment[[#This Row],[Ben Code]]&lt;&gt;"",INDEX(tbl_Ben_Info[],MATCH(tbl_Assessment[[#This Row],[Ben Code]],tbl_Ben_Info[Ben Code],0),6),"")</f>
        <v/>
      </c>
      <c r="F260" s="113" t="str">
        <f>IF(tbl_Assessment[[#This Row],[Ben Code]]&lt;&gt;"",INDEX(tbl_Ben_Info[],MATCH(tbl_Assessment[[#This Row],[Ben Code]],tbl_Ben_Info[Ben Code],0),13),"")</f>
        <v/>
      </c>
      <c r="G260" s="49"/>
      <c r="H260" s="37"/>
      <c r="I260" s="37"/>
      <c r="J260" s="37"/>
      <c r="K260" s="37"/>
      <c r="L260" s="37"/>
      <c r="M260" s="59"/>
      <c r="N260" s="37"/>
      <c r="O260" s="37"/>
      <c r="P260" s="37"/>
      <c r="Q260" s="59"/>
      <c r="R260" s="49"/>
      <c r="S260" s="37"/>
      <c r="T260" s="37"/>
      <c r="U260" s="37"/>
      <c r="V260" s="37"/>
      <c r="W260" s="96" t="str">
        <f>tbl_Assessment[[#This Row],[Ben Code]] &amp; "-"&amp;tbl_Assessment[[#This Row],[admin4Pcode]]&amp;"-" &amp; TEXT(COUNTIF(INDEX(tbl_Assessment[Ben Code],1):tbl_Assessment[[#This Row],[Ben Code]], tbl_Assessment[[#This Row],[Ben Code]]), "00")</f>
        <v>--00</v>
      </c>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49"/>
      <c r="AU260" s="41"/>
      <c r="AV260" s="37"/>
      <c r="AW260" s="37"/>
      <c r="AX260" s="37"/>
      <c r="AY260" s="37"/>
      <c r="AZ260" s="37"/>
      <c r="BA260" s="37"/>
      <c r="BB260" s="41"/>
      <c r="BC260" s="37"/>
      <c r="BD260" s="37"/>
      <c r="BE260" s="37"/>
      <c r="BF260" s="41"/>
      <c r="BG260" s="37"/>
      <c r="BH260" s="37"/>
      <c r="BI260" s="37"/>
      <c r="BJ260" s="41"/>
    </row>
    <row r="261" spans="2:62" ht="25.15" customHeight="1" x14ac:dyDescent="0.25">
      <c r="B261" s="49">
        <v>256</v>
      </c>
      <c r="C261" s="37"/>
      <c r="D261" s="87" t="str">
        <f>IF(tbl_Assessment[[#This Row],[Ben Code]]&lt;&gt;"",INDEX(tbl_Ben_Info[],MATCH(tbl_Assessment[[#This Row],[Ben Code]],tbl_Ben_Info[Ben Code],0),48),"")</f>
        <v/>
      </c>
      <c r="E261" s="116" t="str">
        <f>IF(tbl_Assessment[[#This Row],[Ben Code]]&lt;&gt;"",INDEX(tbl_Ben_Info[],MATCH(tbl_Assessment[[#This Row],[Ben Code]],tbl_Ben_Info[Ben Code],0),6),"")</f>
        <v/>
      </c>
      <c r="F261" s="113" t="str">
        <f>IF(tbl_Assessment[[#This Row],[Ben Code]]&lt;&gt;"",INDEX(tbl_Ben_Info[],MATCH(tbl_Assessment[[#This Row],[Ben Code]],tbl_Ben_Info[Ben Code],0),13),"")</f>
        <v/>
      </c>
      <c r="G261" s="49"/>
      <c r="H261" s="37"/>
      <c r="I261" s="37"/>
      <c r="J261" s="37"/>
      <c r="K261" s="37"/>
      <c r="L261" s="37"/>
      <c r="M261" s="59"/>
      <c r="N261" s="37"/>
      <c r="O261" s="37"/>
      <c r="P261" s="37"/>
      <c r="Q261" s="59"/>
      <c r="R261" s="49"/>
      <c r="S261" s="37"/>
      <c r="T261" s="37"/>
      <c r="U261" s="37"/>
      <c r="V261" s="37"/>
      <c r="W261" s="96" t="str">
        <f>tbl_Assessment[[#This Row],[Ben Code]] &amp; "-"&amp;tbl_Assessment[[#This Row],[admin4Pcode]]&amp;"-" &amp; TEXT(COUNTIF(INDEX(tbl_Assessment[Ben Code],1):tbl_Assessment[[#This Row],[Ben Code]], tbl_Assessment[[#This Row],[Ben Code]]), "00")</f>
        <v>--00</v>
      </c>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49"/>
      <c r="AU261" s="41"/>
      <c r="AV261" s="37"/>
      <c r="AW261" s="37"/>
      <c r="AX261" s="37"/>
      <c r="AY261" s="37"/>
      <c r="AZ261" s="37"/>
      <c r="BA261" s="37"/>
      <c r="BB261" s="41"/>
      <c r="BC261" s="37"/>
      <c r="BD261" s="37"/>
      <c r="BE261" s="37"/>
      <c r="BF261" s="41"/>
      <c r="BG261" s="37"/>
      <c r="BH261" s="37"/>
      <c r="BI261" s="37"/>
      <c r="BJ261" s="41"/>
    </row>
    <row r="262" spans="2:62" ht="25.15" customHeight="1" x14ac:dyDescent="0.25">
      <c r="B262" s="49">
        <v>257</v>
      </c>
      <c r="C262" s="37"/>
      <c r="D262" s="87" t="str">
        <f>IF(tbl_Assessment[[#This Row],[Ben Code]]&lt;&gt;"",INDEX(tbl_Ben_Info[],MATCH(tbl_Assessment[[#This Row],[Ben Code]],tbl_Ben_Info[Ben Code],0),48),"")</f>
        <v/>
      </c>
      <c r="E262" s="116" t="str">
        <f>IF(tbl_Assessment[[#This Row],[Ben Code]]&lt;&gt;"",INDEX(tbl_Ben_Info[],MATCH(tbl_Assessment[[#This Row],[Ben Code]],tbl_Ben_Info[Ben Code],0),6),"")</f>
        <v/>
      </c>
      <c r="F262" s="113" t="str">
        <f>IF(tbl_Assessment[[#This Row],[Ben Code]]&lt;&gt;"",INDEX(tbl_Ben_Info[],MATCH(tbl_Assessment[[#This Row],[Ben Code]],tbl_Ben_Info[Ben Code],0),13),"")</f>
        <v/>
      </c>
      <c r="G262" s="49"/>
      <c r="H262" s="37"/>
      <c r="I262" s="37"/>
      <c r="J262" s="37"/>
      <c r="K262" s="37"/>
      <c r="L262" s="37"/>
      <c r="M262" s="59"/>
      <c r="N262" s="37"/>
      <c r="O262" s="37"/>
      <c r="P262" s="37"/>
      <c r="Q262" s="59"/>
      <c r="R262" s="49"/>
      <c r="S262" s="37"/>
      <c r="T262" s="37"/>
      <c r="U262" s="37"/>
      <c r="V262" s="37"/>
      <c r="W262" s="96" t="str">
        <f>tbl_Assessment[[#This Row],[Ben Code]] &amp; "-"&amp;tbl_Assessment[[#This Row],[admin4Pcode]]&amp;"-" &amp; TEXT(COUNTIF(INDEX(tbl_Assessment[Ben Code],1):tbl_Assessment[[#This Row],[Ben Code]], tbl_Assessment[[#This Row],[Ben Code]]), "00")</f>
        <v>--00</v>
      </c>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49"/>
      <c r="AU262" s="41"/>
      <c r="AV262" s="37"/>
      <c r="AW262" s="37"/>
      <c r="AX262" s="37"/>
      <c r="AY262" s="37"/>
      <c r="AZ262" s="37"/>
      <c r="BA262" s="37"/>
      <c r="BB262" s="41"/>
      <c r="BC262" s="37"/>
      <c r="BD262" s="37"/>
      <c r="BE262" s="37"/>
      <c r="BF262" s="41"/>
      <c r="BG262" s="37"/>
      <c r="BH262" s="37"/>
      <c r="BI262" s="37"/>
      <c r="BJ262" s="41"/>
    </row>
    <row r="263" spans="2:62" ht="25.15" customHeight="1" x14ac:dyDescent="0.25">
      <c r="B263" s="49">
        <v>258</v>
      </c>
      <c r="C263" s="37"/>
      <c r="D263" s="87" t="str">
        <f>IF(tbl_Assessment[[#This Row],[Ben Code]]&lt;&gt;"",INDEX(tbl_Ben_Info[],MATCH(tbl_Assessment[[#This Row],[Ben Code]],tbl_Ben_Info[Ben Code],0),48),"")</f>
        <v/>
      </c>
      <c r="E263" s="116" t="str">
        <f>IF(tbl_Assessment[[#This Row],[Ben Code]]&lt;&gt;"",INDEX(tbl_Ben_Info[],MATCH(tbl_Assessment[[#This Row],[Ben Code]],tbl_Ben_Info[Ben Code],0),6),"")</f>
        <v/>
      </c>
      <c r="F263" s="113" t="str">
        <f>IF(tbl_Assessment[[#This Row],[Ben Code]]&lt;&gt;"",INDEX(tbl_Ben_Info[],MATCH(tbl_Assessment[[#This Row],[Ben Code]],tbl_Ben_Info[Ben Code],0),13),"")</f>
        <v/>
      </c>
      <c r="G263" s="49"/>
      <c r="H263" s="37"/>
      <c r="I263" s="37"/>
      <c r="J263" s="37"/>
      <c r="K263" s="37"/>
      <c r="L263" s="37"/>
      <c r="M263" s="59"/>
      <c r="N263" s="37"/>
      <c r="O263" s="37"/>
      <c r="P263" s="37"/>
      <c r="Q263" s="59"/>
      <c r="R263" s="49"/>
      <c r="S263" s="37"/>
      <c r="T263" s="37"/>
      <c r="U263" s="37"/>
      <c r="V263" s="37"/>
      <c r="W263" s="96" t="str">
        <f>tbl_Assessment[[#This Row],[Ben Code]] &amp; "-"&amp;tbl_Assessment[[#This Row],[admin4Pcode]]&amp;"-" &amp; TEXT(COUNTIF(INDEX(tbl_Assessment[Ben Code],1):tbl_Assessment[[#This Row],[Ben Code]], tbl_Assessment[[#This Row],[Ben Code]]), "00")</f>
        <v>--00</v>
      </c>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49"/>
      <c r="AU263" s="41"/>
      <c r="AV263" s="37"/>
      <c r="AW263" s="37"/>
      <c r="AX263" s="37"/>
      <c r="AY263" s="37"/>
      <c r="AZ263" s="37"/>
      <c r="BA263" s="37"/>
      <c r="BB263" s="41"/>
      <c r="BC263" s="37"/>
      <c r="BD263" s="37"/>
      <c r="BE263" s="37"/>
      <c r="BF263" s="41"/>
      <c r="BG263" s="37"/>
      <c r="BH263" s="37"/>
      <c r="BI263" s="37"/>
      <c r="BJ263" s="41"/>
    </row>
    <row r="264" spans="2:62" ht="25.15" customHeight="1" x14ac:dyDescent="0.25">
      <c r="B264" s="49">
        <v>259</v>
      </c>
      <c r="C264" s="37"/>
      <c r="D264" s="87" t="str">
        <f>IF(tbl_Assessment[[#This Row],[Ben Code]]&lt;&gt;"",INDEX(tbl_Ben_Info[],MATCH(tbl_Assessment[[#This Row],[Ben Code]],tbl_Ben_Info[Ben Code],0),48),"")</f>
        <v/>
      </c>
      <c r="E264" s="116" t="str">
        <f>IF(tbl_Assessment[[#This Row],[Ben Code]]&lt;&gt;"",INDEX(tbl_Ben_Info[],MATCH(tbl_Assessment[[#This Row],[Ben Code]],tbl_Ben_Info[Ben Code],0),6),"")</f>
        <v/>
      </c>
      <c r="F264" s="113" t="str">
        <f>IF(tbl_Assessment[[#This Row],[Ben Code]]&lt;&gt;"",INDEX(tbl_Ben_Info[],MATCH(tbl_Assessment[[#This Row],[Ben Code]],tbl_Ben_Info[Ben Code],0),13),"")</f>
        <v/>
      </c>
      <c r="G264" s="49"/>
      <c r="H264" s="37"/>
      <c r="I264" s="37"/>
      <c r="J264" s="37"/>
      <c r="K264" s="37"/>
      <c r="L264" s="37"/>
      <c r="M264" s="59"/>
      <c r="N264" s="37"/>
      <c r="O264" s="37"/>
      <c r="P264" s="37"/>
      <c r="Q264" s="59"/>
      <c r="R264" s="49"/>
      <c r="S264" s="37"/>
      <c r="T264" s="37"/>
      <c r="U264" s="37"/>
      <c r="V264" s="37"/>
      <c r="W264" s="96" t="str">
        <f>tbl_Assessment[[#This Row],[Ben Code]] &amp; "-"&amp;tbl_Assessment[[#This Row],[admin4Pcode]]&amp;"-" &amp; TEXT(COUNTIF(INDEX(tbl_Assessment[Ben Code],1):tbl_Assessment[[#This Row],[Ben Code]], tbl_Assessment[[#This Row],[Ben Code]]), "00")</f>
        <v>--00</v>
      </c>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49"/>
      <c r="AU264" s="41"/>
      <c r="AV264" s="37"/>
      <c r="AW264" s="37"/>
      <c r="AX264" s="37"/>
      <c r="AY264" s="37"/>
      <c r="AZ264" s="37"/>
      <c r="BA264" s="37"/>
      <c r="BB264" s="41"/>
      <c r="BC264" s="37"/>
      <c r="BD264" s="37"/>
      <c r="BE264" s="37"/>
      <c r="BF264" s="41"/>
      <c r="BG264" s="37"/>
      <c r="BH264" s="37"/>
      <c r="BI264" s="37"/>
      <c r="BJ264" s="41"/>
    </row>
    <row r="265" spans="2:62" ht="25.15" customHeight="1" x14ac:dyDescent="0.25">
      <c r="B265" s="49">
        <v>260</v>
      </c>
      <c r="C265" s="37"/>
      <c r="D265" s="87" t="str">
        <f>IF(tbl_Assessment[[#This Row],[Ben Code]]&lt;&gt;"",INDEX(tbl_Ben_Info[],MATCH(tbl_Assessment[[#This Row],[Ben Code]],tbl_Ben_Info[Ben Code],0),48),"")</f>
        <v/>
      </c>
      <c r="E265" s="116" t="str">
        <f>IF(tbl_Assessment[[#This Row],[Ben Code]]&lt;&gt;"",INDEX(tbl_Ben_Info[],MATCH(tbl_Assessment[[#This Row],[Ben Code]],tbl_Ben_Info[Ben Code],0),6),"")</f>
        <v/>
      </c>
      <c r="F265" s="113" t="str">
        <f>IF(tbl_Assessment[[#This Row],[Ben Code]]&lt;&gt;"",INDEX(tbl_Ben_Info[],MATCH(tbl_Assessment[[#This Row],[Ben Code]],tbl_Ben_Info[Ben Code],0),13),"")</f>
        <v/>
      </c>
      <c r="G265" s="49"/>
      <c r="H265" s="37"/>
      <c r="I265" s="37"/>
      <c r="J265" s="37"/>
      <c r="K265" s="37"/>
      <c r="L265" s="37"/>
      <c r="M265" s="59"/>
      <c r="N265" s="37"/>
      <c r="O265" s="37"/>
      <c r="P265" s="37"/>
      <c r="Q265" s="59"/>
      <c r="R265" s="49"/>
      <c r="S265" s="37"/>
      <c r="T265" s="37"/>
      <c r="U265" s="37"/>
      <c r="V265" s="37"/>
      <c r="W265" s="96" t="str">
        <f>tbl_Assessment[[#This Row],[Ben Code]] &amp; "-"&amp;tbl_Assessment[[#This Row],[admin4Pcode]]&amp;"-" &amp; TEXT(COUNTIF(INDEX(tbl_Assessment[Ben Code],1):tbl_Assessment[[#This Row],[Ben Code]], tbl_Assessment[[#This Row],[Ben Code]]), "00")</f>
        <v>--00</v>
      </c>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49"/>
      <c r="AU265" s="41"/>
      <c r="AV265" s="37"/>
      <c r="AW265" s="37"/>
      <c r="AX265" s="37"/>
      <c r="AY265" s="37"/>
      <c r="AZ265" s="37"/>
      <c r="BA265" s="37"/>
      <c r="BB265" s="41"/>
      <c r="BC265" s="37"/>
      <c r="BD265" s="37"/>
      <c r="BE265" s="37"/>
      <c r="BF265" s="41"/>
      <c r="BG265" s="37"/>
      <c r="BH265" s="37"/>
      <c r="BI265" s="37"/>
      <c r="BJ265" s="41"/>
    </row>
    <row r="266" spans="2:62" ht="25.15" customHeight="1" x14ac:dyDescent="0.25">
      <c r="B266" s="49">
        <v>261</v>
      </c>
      <c r="C266" s="37"/>
      <c r="D266" s="87" t="str">
        <f>IF(tbl_Assessment[[#This Row],[Ben Code]]&lt;&gt;"",INDEX(tbl_Ben_Info[],MATCH(tbl_Assessment[[#This Row],[Ben Code]],tbl_Ben_Info[Ben Code],0),48),"")</f>
        <v/>
      </c>
      <c r="E266" s="116" t="str">
        <f>IF(tbl_Assessment[[#This Row],[Ben Code]]&lt;&gt;"",INDEX(tbl_Ben_Info[],MATCH(tbl_Assessment[[#This Row],[Ben Code]],tbl_Ben_Info[Ben Code],0),6),"")</f>
        <v/>
      </c>
      <c r="F266" s="113" t="str">
        <f>IF(tbl_Assessment[[#This Row],[Ben Code]]&lt;&gt;"",INDEX(tbl_Ben_Info[],MATCH(tbl_Assessment[[#This Row],[Ben Code]],tbl_Ben_Info[Ben Code],0),13),"")</f>
        <v/>
      </c>
      <c r="G266" s="49"/>
      <c r="H266" s="37"/>
      <c r="I266" s="37"/>
      <c r="J266" s="37"/>
      <c r="K266" s="37"/>
      <c r="L266" s="37"/>
      <c r="M266" s="59"/>
      <c r="N266" s="37"/>
      <c r="O266" s="37"/>
      <c r="P266" s="37"/>
      <c r="Q266" s="59"/>
      <c r="R266" s="49"/>
      <c r="S266" s="37"/>
      <c r="T266" s="37"/>
      <c r="U266" s="37"/>
      <c r="V266" s="37"/>
      <c r="W266" s="96" t="str">
        <f>tbl_Assessment[[#This Row],[Ben Code]] &amp; "-"&amp;tbl_Assessment[[#This Row],[admin4Pcode]]&amp;"-" &amp; TEXT(COUNTIF(INDEX(tbl_Assessment[Ben Code],1):tbl_Assessment[[#This Row],[Ben Code]], tbl_Assessment[[#This Row],[Ben Code]]), "00")</f>
        <v>--00</v>
      </c>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49"/>
      <c r="AU266" s="41"/>
      <c r="AV266" s="37"/>
      <c r="AW266" s="37"/>
      <c r="AX266" s="37"/>
      <c r="AY266" s="37"/>
      <c r="AZ266" s="37"/>
      <c r="BA266" s="37"/>
      <c r="BB266" s="41"/>
      <c r="BC266" s="37"/>
      <c r="BD266" s="37"/>
      <c r="BE266" s="37"/>
      <c r="BF266" s="41"/>
      <c r="BG266" s="37"/>
      <c r="BH266" s="37"/>
      <c r="BI266" s="37"/>
      <c r="BJ266" s="41"/>
    </row>
    <row r="267" spans="2:62" ht="25.15" customHeight="1" x14ac:dyDescent="0.25">
      <c r="B267" s="49">
        <v>262</v>
      </c>
      <c r="C267" s="37"/>
      <c r="D267" s="87" t="str">
        <f>IF(tbl_Assessment[[#This Row],[Ben Code]]&lt;&gt;"",INDEX(tbl_Ben_Info[],MATCH(tbl_Assessment[[#This Row],[Ben Code]],tbl_Ben_Info[Ben Code],0),48),"")</f>
        <v/>
      </c>
      <c r="E267" s="116" t="str">
        <f>IF(tbl_Assessment[[#This Row],[Ben Code]]&lt;&gt;"",INDEX(tbl_Ben_Info[],MATCH(tbl_Assessment[[#This Row],[Ben Code]],tbl_Ben_Info[Ben Code],0),6),"")</f>
        <v/>
      </c>
      <c r="F267" s="113" t="str">
        <f>IF(tbl_Assessment[[#This Row],[Ben Code]]&lt;&gt;"",INDEX(tbl_Ben_Info[],MATCH(tbl_Assessment[[#This Row],[Ben Code]],tbl_Ben_Info[Ben Code],0),13),"")</f>
        <v/>
      </c>
      <c r="G267" s="49"/>
      <c r="H267" s="37"/>
      <c r="I267" s="37"/>
      <c r="J267" s="37"/>
      <c r="K267" s="37"/>
      <c r="L267" s="37"/>
      <c r="M267" s="59"/>
      <c r="N267" s="37"/>
      <c r="O267" s="37"/>
      <c r="P267" s="37"/>
      <c r="Q267" s="59"/>
      <c r="R267" s="49"/>
      <c r="S267" s="37"/>
      <c r="T267" s="37"/>
      <c r="U267" s="37"/>
      <c r="V267" s="37"/>
      <c r="W267" s="96" t="str">
        <f>tbl_Assessment[[#This Row],[Ben Code]] &amp; "-"&amp;tbl_Assessment[[#This Row],[admin4Pcode]]&amp;"-" &amp; TEXT(COUNTIF(INDEX(tbl_Assessment[Ben Code],1):tbl_Assessment[[#This Row],[Ben Code]], tbl_Assessment[[#This Row],[Ben Code]]), "00")</f>
        <v>--00</v>
      </c>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49"/>
      <c r="AU267" s="41"/>
      <c r="AV267" s="37"/>
      <c r="AW267" s="37"/>
      <c r="AX267" s="37"/>
      <c r="AY267" s="37"/>
      <c r="AZ267" s="37"/>
      <c r="BA267" s="37"/>
      <c r="BB267" s="41"/>
      <c r="BC267" s="37"/>
      <c r="BD267" s="37"/>
      <c r="BE267" s="37"/>
      <c r="BF267" s="41"/>
      <c r="BG267" s="37"/>
      <c r="BH267" s="37"/>
      <c r="BI267" s="37"/>
      <c r="BJ267" s="41"/>
    </row>
    <row r="268" spans="2:62" ht="25.15" customHeight="1" x14ac:dyDescent="0.25">
      <c r="B268" s="49">
        <v>263</v>
      </c>
      <c r="C268" s="37"/>
      <c r="D268" s="87" t="str">
        <f>IF(tbl_Assessment[[#This Row],[Ben Code]]&lt;&gt;"",INDEX(tbl_Ben_Info[],MATCH(tbl_Assessment[[#This Row],[Ben Code]],tbl_Ben_Info[Ben Code],0),48),"")</f>
        <v/>
      </c>
      <c r="E268" s="116" t="str">
        <f>IF(tbl_Assessment[[#This Row],[Ben Code]]&lt;&gt;"",INDEX(tbl_Ben_Info[],MATCH(tbl_Assessment[[#This Row],[Ben Code]],tbl_Ben_Info[Ben Code],0),6),"")</f>
        <v/>
      </c>
      <c r="F268" s="113" t="str">
        <f>IF(tbl_Assessment[[#This Row],[Ben Code]]&lt;&gt;"",INDEX(tbl_Ben_Info[],MATCH(tbl_Assessment[[#This Row],[Ben Code]],tbl_Ben_Info[Ben Code],0),13),"")</f>
        <v/>
      </c>
      <c r="G268" s="49"/>
      <c r="H268" s="37"/>
      <c r="I268" s="37"/>
      <c r="J268" s="37"/>
      <c r="K268" s="37"/>
      <c r="L268" s="37"/>
      <c r="M268" s="59"/>
      <c r="N268" s="37"/>
      <c r="O268" s="37"/>
      <c r="P268" s="37"/>
      <c r="Q268" s="59"/>
      <c r="R268" s="49"/>
      <c r="S268" s="37"/>
      <c r="T268" s="37"/>
      <c r="U268" s="37"/>
      <c r="V268" s="37"/>
      <c r="W268" s="96" t="str">
        <f>tbl_Assessment[[#This Row],[Ben Code]] &amp; "-"&amp;tbl_Assessment[[#This Row],[admin4Pcode]]&amp;"-" &amp; TEXT(COUNTIF(INDEX(tbl_Assessment[Ben Code],1):tbl_Assessment[[#This Row],[Ben Code]], tbl_Assessment[[#This Row],[Ben Code]]), "00")</f>
        <v>--00</v>
      </c>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49"/>
      <c r="AU268" s="41"/>
      <c r="AV268" s="37"/>
      <c r="AW268" s="37"/>
      <c r="AX268" s="37"/>
      <c r="AY268" s="37"/>
      <c r="AZ268" s="37"/>
      <c r="BA268" s="37"/>
      <c r="BB268" s="41"/>
      <c r="BC268" s="37"/>
      <c r="BD268" s="37"/>
      <c r="BE268" s="37"/>
      <c r="BF268" s="41"/>
      <c r="BG268" s="37"/>
      <c r="BH268" s="37"/>
      <c r="BI268" s="37"/>
      <c r="BJ268" s="41"/>
    </row>
    <row r="269" spans="2:62" ht="25.15" customHeight="1" x14ac:dyDescent="0.25">
      <c r="B269" s="49">
        <v>264</v>
      </c>
      <c r="C269" s="37"/>
      <c r="D269" s="87" t="str">
        <f>IF(tbl_Assessment[[#This Row],[Ben Code]]&lt;&gt;"",INDEX(tbl_Ben_Info[],MATCH(tbl_Assessment[[#This Row],[Ben Code]],tbl_Ben_Info[Ben Code],0),48),"")</f>
        <v/>
      </c>
      <c r="E269" s="116" t="str">
        <f>IF(tbl_Assessment[[#This Row],[Ben Code]]&lt;&gt;"",INDEX(tbl_Ben_Info[],MATCH(tbl_Assessment[[#This Row],[Ben Code]],tbl_Ben_Info[Ben Code],0),6),"")</f>
        <v/>
      </c>
      <c r="F269" s="113" t="str">
        <f>IF(tbl_Assessment[[#This Row],[Ben Code]]&lt;&gt;"",INDEX(tbl_Ben_Info[],MATCH(tbl_Assessment[[#This Row],[Ben Code]],tbl_Ben_Info[Ben Code],0),13),"")</f>
        <v/>
      </c>
      <c r="G269" s="49"/>
      <c r="H269" s="37"/>
      <c r="I269" s="37"/>
      <c r="J269" s="37"/>
      <c r="K269" s="37"/>
      <c r="L269" s="37"/>
      <c r="M269" s="59"/>
      <c r="N269" s="37"/>
      <c r="O269" s="37"/>
      <c r="P269" s="37"/>
      <c r="Q269" s="59"/>
      <c r="R269" s="49"/>
      <c r="S269" s="37"/>
      <c r="T269" s="37"/>
      <c r="U269" s="37"/>
      <c r="V269" s="37"/>
      <c r="W269" s="96" t="str">
        <f>tbl_Assessment[[#This Row],[Ben Code]] &amp; "-"&amp;tbl_Assessment[[#This Row],[admin4Pcode]]&amp;"-" &amp; TEXT(COUNTIF(INDEX(tbl_Assessment[Ben Code],1):tbl_Assessment[[#This Row],[Ben Code]], tbl_Assessment[[#This Row],[Ben Code]]), "00")</f>
        <v>--00</v>
      </c>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49"/>
      <c r="AU269" s="41"/>
      <c r="AV269" s="37"/>
      <c r="AW269" s="37"/>
      <c r="AX269" s="37"/>
      <c r="AY269" s="37"/>
      <c r="AZ269" s="37"/>
      <c r="BA269" s="37"/>
      <c r="BB269" s="41"/>
      <c r="BC269" s="37"/>
      <c r="BD269" s="37"/>
      <c r="BE269" s="37"/>
      <c r="BF269" s="41"/>
      <c r="BG269" s="37"/>
      <c r="BH269" s="37"/>
      <c r="BI269" s="37"/>
      <c r="BJ269" s="41"/>
    </row>
    <row r="270" spans="2:62" ht="25.15" customHeight="1" x14ac:dyDescent="0.25">
      <c r="B270" s="49">
        <v>265</v>
      </c>
      <c r="C270" s="37"/>
      <c r="D270" s="87" t="str">
        <f>IF(tbl_Assessment[[#This Row],[Ben Code]]&lt;&gt;"",INDEX(tbl_Ben_Info[],MATCH(tbl_Assessment[[#This Row],[Ben Code]],tbl_Ben_Info[Ben Code],0),48),"")</f>
        <v/>
      </c>
      <c r="E270" s="116" t="str">
        <f>IF(tbl_Assessment[[#This Row],[Ben Code]]&lt;&gt;"",INDEX(tbl_Ben_Info[],MATCH(tbl_Assessment[[#This Row],[Ben Code]],tbl_Ben_Info[Ben Code],0),6),"")</f>
        <v/>
      </c>
      <c r="F270" s="113" t="str">
        <f>IF(tbl_Assessment[[#This Row],[Ben Code]]&lt;&gt;"",INDEX(tbl_Ben_Info[],MATCH(tbl_Assessment[[#This Row],[Ben Code]],tbl_Ben_Info[Ben Code],0),13),"")</f>
        <v/>
      </c>
      <c r="G270" s="49"/>
      <c r="H270" s="37"/>
      <c r="I270" s="37"/>
      <c r="J270" s="37"/>
      <c r="K270" s="37"/>
      <c r="L270" s="37"/>
      <c r="M270" s="59"/>
      <c r="N270" s="37"/>
      <c r="O270" s="37"/>
      <c r="P270" s="37"/>
      <c r="Q270" s="59"/>
      <c r="R270" s="49"/>
      <c r="S270" s="37"/>
      <c r="T270" s="37"/>
      <c r="U270" s="37"/>
      <c r="V270" s="37"/>
      <c r="W270" s="96" t="str">
        <f>tbl_Assessment[[#This Row],[Ben Code]] &amp; "-"&amp;tbl_Assessment[[#This Row],[admin4Pcode]]&amp;"-" &amp; TEXT(COUNTIF(INDEX(tbl_Assessment[Ben Code],1):tbl_Assessment[[#This Row],[Ben Code]], tbl_Assessment[[#This Row],[Ben Code]]), "00")</f>
        <v>--00</v>
      </c>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49"/>
      <c r="AU270" s="41"/>
      <c r="AV270" s="37"/>
      <c r="AW270" s="37"/>
      <c r="AX270" s="37"/>
      <c r="AY270" s="37"/>
      <c r="AZ270" s="37"/>
      <c r="BA270" s="37"/>
      <c r="BB270" s="41"/>
      <c r="BC270" s="37"/>
      <c r="BD270" s="37"/>
      <c r="BE270" s="37"/>
      <c r="BF270" s="41"/>
      <c r="BG270" s="37"/>
      <c r="BH270" s="37"/>
      <c r="BI270" s="37"/>
      <c r="BJ270" s="41"/>
    </row>
    <row r="271" spans="2:62" ht="25.15" customHeight="1" x14ac:dyDescent="0.25">
      <c r="B271" s="49">
        <v>266</v>
      </c>
      <c r="C271" s="37"/>
      <c r="D271" s="87" t="str">
        <f>IF(tbl_Assessment[[#This Row],[Ben Code]]&lt;&gt;"",INDEX(tbl_Ben_Info[],MATCH(tbl_Assessment[[#This Row],[Ben Code]],tbl_Ben_Info[Ben Code],0),48),"")</f>
        <v/>
      </c>
      <c r="E271" s="116" t="str">
        <f>IF(tbl_Assessment[[#This Row],[Ben Code]]&lt;&gt;"",INDEX(tbl_Ben_Info[],MATCH(tbl_Assessment[[#This Row],[Ben Code]],tbl_Ben_Info[Ben Code],0),6),"")</f>
        <v/>
      </c>
      <c r="F271" s="113" t="str">
        <f>IF(tbl_Assessment[[#This Row],[Ben Code]]&lt;&gt;"",INDEX(tbl_Ben_Info[],MATCH(tbl_Assessment[[#This Row],[Ben Code]],tbl_Ben_Info[Ben Code],0),13),"")</f>
        <v/>
      </c>
      <c r="G271" s="49"/>
      <c r="H271" s="37"/>
      <c r="I271" s="37"/>
      <c r="J271" s="37"/>
      <c r="K271" s="37"/>
      <c r="L271" s="37"/>
      <c r="M271" s="59"/>
      <c r="N271" s="37"/>
      <c r="O271" s="37"/>
      <c r="P271" s="37"/>
      <c r="Q271" s="59"/>
      <c r="R271" s="49"/>
      <c r="S271" s="37"/>
      <c r="T271" s="37"/>
      <c r="U271" s="37"/>
      <c r="V271" s="37"/>
      <c r="W271" s="96" t="str">
        <f>tbl_Assessment[[#This Row],[Ben Code]] &amp; "-"&amp;tbl_Assessment[[#This Row],[admin4Pcode]]&amp;"-" &amp; TEXT(COUNTIF(INDEX(tbl_Assessment[Ben Code],1):tbl_Assessment[[#This Row],[Ben Code]], tbl_Assessment[[#This Row],[Ben Code]]), "00")</f>
        <v>--00</v>
      </c>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49"/>
      <c r="AU271" s="41"/>
      <c r="AV271" s="37"/>
      <c r="AW271" s="37"/>
      <c r="AX271" s="37"/>
      <c r="AY271" s="37"/>
      <c r="AZ271" s="37"/>
      <c r="BA271" s="37"/>
      <c r="BB271" s="41"/>
      <c r="BC271" s="37"/>
      <c r="BD271" s="37"/>
      <c r="BE271" s="37"/>
      <c r="BF271" s="41"/>
      <c r="BG271" s="37"/>
      <c r="BH271" s="37"/>
      <c r="BI271" s="37"/>
      <c r="BJ271" s="41"/>
    </row>
    <row r="272" spans="2:62" ht="25.15" customHeight="1" x14ac:dyDescent="0.25">
      <c r="B272" s="49">
        <v>267</v>
      </c>
      <c r="C272" s="37"/>
      <c r="D272" s="87" t="str">
        <f>IF(tbl_Assessment[[#This Row],[Ben Code]]&lt;&gt;"",INDEX(tbl_Ben_Info[],MATCH(tbl_Assessment[[#This Row],[Ben Code]],tbl_Ben_Info[Ben Code],0),48),"")</f>
        <v/>
      </c>
      <c r="E272" s="116" t="str">
        <f>IF(tbl_Assessment[[#This Row],[Ben Code]]&lt;&gt;"",INDEX(tbl_Ben_Info[],MATCH(tbl_Assessment[[#This Row],[Ben Code]],tbl_Ben_Info[Ben Code],0),6),"")</f>
        <v/>
      </c>
      <c r="F272" s="113" t="str">
        <f>IF(tbl_Assessment[[#This Row],[Ben Code]]&lt;&gt;"",INDEX(tbl_Ben_Info[],MATCH(tbl_Assessment[[#This Row],[Ben Code]],tbl_Ben_Info[Ben Code],0),13),"")</f>
        <v/>
      </c>
      <c r="G272" s="49"/>
      <c r="H272" s="37"/>
      <c r="I272" s="37"/>
      <c r="J272" s="37"/>
      <c r="K272" s="37"/>
      <c r="L272" s="37"/>
      <c r="M272" s="59"/>
      <c r="N272" s="37"/>
      <c r="O272" s="37"/>
      <c r="P272" s="37"/>
      <c r="Q272" s="59"/>
      <c r="R272" s="49"/>
      <c r="S272" s="37"/>
      <c r="T272" s="37"/>
      <c r="U272" s="37"/>
      <c r="V272" s="37"/>
      <c r="W272" s="96" t="str">
        <f>tbl_Assessment[[#This Row],[Ben Code]] &amp; "-"&amp;tbl_Assessment[[#This Row],[admin4Pcode]]&amp;"-" &amp; TEXT(COUNTIF(INDEX(tbl_Assessment[Ben Code],1):tbl_Assessment[[#This Row],[Ben Code]], tbl_Assessment[[#This Row],[Ben Code]]), "00")</f>
        <v>--00</v>
      </c>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49"/>
      <c r="AU272" s="41"/>
      <c r="AV272" s="37"/>
      <c r="AW272" s="37"/>
      <c r="AX272" s="37"/>
      <c r="AY272" s="37"/>
      <c r="AZ272" s="37"/>
      <c r="BA272" s="37"/>
      <c r="BB272" s="41"/>
      <c r="BC272" s="37"/>
      <c r="BD272" s="37"/>
      <c r="BE272" s="37"/>
      <c r="BF272" s="41"/>
      <c r="BG272" s="37"/>
      <c r="BH272" s="37"/>
      <c r="BI272" s="37"/>
      <c r="BJ272" s="41"/>
    </row>
    <row r="273" spans="2:62" ht="25.15" customHeight="1" x14ac:dyDescent="0.25">
      <c r="B273" s="49">
        <v>268</v>
      </c>
      <c r="C273" s="37"/>
      <c r="D273" s="87" t="str">
        <f>IF(tbl_Assessment[[#This Row],[Ben Code]]&lt;&gt;"",INDEX(tbl_Ben_Info[],MATCH(tbl_Assessment[[#This Row],[Ben Code]],tbl_Ben_Info[Ben Code],0),48),"")</f>
        <v/>
      </c>
      <c r="E273" s="116" t="str">
        <f>IF(tbl_Assessment[[#This Row],[Ben Code]]&lt;&gt;"",INDEX(tbl_Ben_Info[],MATCH(tbl_Assessment[[#This Row],[Ben Code]],tbl_Ben_Info[Ben Code],0),6),"")</f>
        <v/>
      </c>
      <c r="F273" s="113" t="str">
        <f>IF(tbl_Assessment[[#This Row],[Ben Code]]&lt;&gt;"",INDEX(tbl_Ben_Info[],MATCH(tbl_Assessment[[#This Row],[Ben Code]],tbl_Ben_Info[Ben Code],0),13),"")</f>
        <v/>
      </c>
      <c r="G273" s="49"/>
      <c r="H273" s="37"/>
      <c r="I273" s="37"/>
      <c r="J273" s="37"/>
      <c r="K273" s="37"/>
      <c r="L273" s="37"/>
      <c r="M273" s="59"/>
      <c r="N273" s="37"/>
      <c r="O273" s="37"/>
      <c r="P273" s="37"/>
      <c r="Q273" s="59"/>
      <c r="R273" s="49"/>
      <c r="S273" s="37"/>
      <c r="T273" s="37"/>
      <c r="U273" s="37"/>
      <c r="V273" s="37"/>
      <c r="W273" s="96" t="str">
        <f>tbl_Assessment[[#This Row],[Ben Code]] &amp; "-"&amp;tbl_Assessment[[#This Row],[admin4Pcode]]&amp;"-" &amp; TEXT(COUNTIF(INDEX(tbl_Assessment[Ben Code],1):tbl_Assessment[[#This Row],[Ben Code]], tbl_Assessment[[#This Row],[Ben Code]]), "00")</f>
        <v>--00</v>
      </c>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49"/>
      <c r="AU273" s="41"/>
      <c r="AV273" s="37"/>
      <c r="AW273" s="37"/>
      <c r="AX273" s="37"/>
      <c r="AY273" s="37"/>
      <c r="AZ273" s="37"/>
      <c r="BA273" s="37"/>
      <c r="BB273" s="41"/>
      <c r="BC273" s="37"/>
      <c r="BD273" s="37"/>
      <c r="BE273" s="37"/>
      <c r="BF273" s="41"/>
      <c r="BG273" s="37"/>
      <c r="BH273" s="37"/>
      <c r="BI273" s="37"/>
      <c r="BJ273" s="41"/>
    </row>
    <row r="274" spans="2:62" ht="25.15" customHeight="1" x14ac:dyDescent="0.25">
      <c r="B274" s="49">
        <v>269</v>
      </c>
      <c r="C274" s="37"/>
      <c r="D274" s="87" t="str">
        <f>IF(tbl_Assessment[[#This Row],[Ben Code]]&lt;&gt;"",INDEX(tbl_Ben_Info[],MATCH(tbl_Assessment[[#This Row],[Ben Code]],tbl_Ben_Info[Ben Code],0),48),"")</f>
        <v/>
      </c>
      <c r="E274" s="116" t="str">
        <f>IF(tbl_Assessment[[#This Row],[Ben Code]]&lt;&gt;"",INDEX(tbl_Ben_Info[],MATCH(tbl_Assessment[[#This Row],[Ben Code]],tbl_Ben_Info[Ben Code],0),6),"")</f>
        <v/>
      </c>
      <c r="F274" s="113" t="str">
        <f>IF(tbl_Assessment[[#This Row],[Ben Code]]&lt;&gt;"",INDEX(tbl_Ben_Info[],MATCH(tbl_Assessment[[#This Row],[Ben Code]],tbl_Ben_Info[Ben Code],0),13),"")</f>
        <v/>
      </c>
      <c r="G274" s="49"/>
      <c r="H274" s="37"/>
      <c r="I274" s="37"/>
      <c r="J274" s="37"/>
      <c r="K274" s="37"/>
      <c r="L274" s="37"/>
      <c r="M274" s="59"/>
      <c r="N274" s="37"/>
      <c r="O274" s="37"/>
      <c r="P274" s="37"/>
      <c r="Q274" s="59"/>
      <c r="R274" s="49"/>
      <c r="S274" s="37"/>
      <c r="T274" s="37"/>
      <c r="U274" s="37"/>
      <c r="V274" s="37"/>
      <c r="W274" s="96" t="str">
        <f>tbl_Assessment[[#This Row],[Ben Code]] &amp; "-"&amp;tbl_Assessment[[#This Row],[admin4Pcode]]&amp;"-" &amp; TEXT(COUNTIF(INDEX(tbl_Assessment[Ben Code],1):tbl_Assessment[[#This Row],[Ben Code]], tbl_Assessment[[#This Row],[Ben Code]]), "00")</f>
        <v>--00</v>
      </c>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49"/>
      <c r="AU274" s="41"/>
      <c r="AV274" s="37"/>
      <c r="AW274" s="37"/>
      <c r="AX274" s="37"/>
      <c r="AY274" s="37"/>
      <c r="AZ274" s="37"/>
      <c r="BA274" s="37"/>
      <c r="BB274" s="41"/>
      <c r="BC274" s="37"/>
      <c r="BD274" s="37"/>
      <c r="BE274" s="37"/>
      <c r="BF274" s="41"/>
      <c r="BG274" s="37"/>
      <c r="BH274" s="37"/>
      <c r="BI274" s="37"/>
      <c r="BJ274" s="41"/>
    </row>
    <row r="275" spans="2:62" ht="25.15" customHeight="1" x14ac:dyDescent="0.25">
      <c r="B275" s="49">
        <v>270</v>
      </c>
      <c r="C275" s="37"/>
      <c r="D275" s="87" t="str">
        <f>IF(tbl_Assessment[[#This Row],[Ben Code]]&lt;&gt;"",INDEX(tbl_Ben_Info[],MATCH(tbl_Assessment[[#This Row],[Ben Code]],tbl_Ben_Info[Ben Code],0),48),"")</f>
        <v/>
      </c>
      <c r="E275" s="116" t="str">
        <f>IF(tbl_Assessment[[#This Row],[Ben Code]]&lt;&gt;"",INDEX(tbl_Ben_Info[],MATCH(tbl_Assessment[[#This Row],[Ben Code]],tbl_Ben_Info[Ben Code],0),6),"")</f>
        <v/>
      </c>
      <c r="F275" s="113" t="str">
        <f>IF(tbl_Assessment[[#This Row],[Ben Code]]&lt;&gt;"",INDEX(tbl_Ben_Info[],MATCH(tbl_Assessment[[#This Row],[Ben Code]],tbl_Ben_Info[Ben Code],0),13),"")</f>
        <v/>
      </c>
      <c r="G275" s="49"/>
      <c r="H275" s="37"/>
      <c r="I275" s="37"/>
      <c r="J275" s="37"/>
      <c r="K275" s="37"/>
      <c r="L275" s="37"/>
      <c r="M275" s="59"/>
      <c r="N275" s="37"/>
      <c r="O275" s="37"/>
      <c r="P275" s="37"/>
      <c r="Q275" s="59"/>
      <c r="R275" s="49"/>
      <c r="S275" s="37"/>
      <c r="T275" s="37"/>
      <c r="U275" s="37"/>
      <c r="V275" s="37"/>
      <c r="W275" s="96" t="str">
        <f>tbl_Assessment[[#This Row],[Ben Code]] &amp; "-"&amp;tbl_Assessment[[#This Row],[admin4Pcode]]&amp;"-" &amp; TEXT(COUNTIF(INDEX(tbl_Assessment[Ben Code],1):tbl_Assessment[[#This Row],[Ben Code]], tbl_Assessment[[#This Row],[Ben Code]]), "00")</f>
        <v>--00</v>
      </c>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49"/>
      <c r="AU275" s="41"/>
      <c r="AV275" s="37"/>
      <c r="AW275" s="37"/>
      <c r="AX275" s="37"/>
      <c r="AY275" s="37"/>
      <c r="AZ275" s="37"/>
      <c r="BA275" s="37"/>
      <c r="BB275" s="41"/>
      <c r="BC275" s="37"/>
      <c r="BD275" s="37"/>
      <c r="BE275" s="37"/>
      <c r="BF275" s="41"/>
      <c r="BG275" s="37"/>
      <c r="BH275" s="37"/>
      <c r="BI275" s="37"/>
      <c r="BJ275" s="41"/>
    </row>
    <row r="276" spans="2:62" ht="25.15" customHeight="1" x14ac:dyDescent="0.25">
      <c r="B276" s="49">
        <v>271</v>
      </c>
      <c r="C276" s="37"/>
      <c r="D276" s="87" t="str">
        <f>IF(tbl_Assessment[[#This Row],[Ben Code]]&lt;&gt;"",INDEX(tbl_Ben_Info[],MATCH(tbl_Assessment[[#This Row],[Ben Code]],tbl_Ben_Info[Ben Code],0),48),"")</f>
        <v/>
      </c>
      <c r="E276" s="116" t="str">
        <f>IF(tbl_Assessment[[#This Row],[Ben Code]]&lt;&gt;"",INDEX(tbl_Ben_Info[],MATCH(tbl_Assessment[[#This Row],[Ben Code]],tbl_Ben_Info[Ben Code],0),6),"")</f>
        <v/>
      </c>
      <c r="F276" s="113" t="str">
        <f>IF(tbl_Assessment[[#This Row],[Ben Code]]&lt;&gt;"",INDEX(tbl_Ben_Info[],MATCH(tbl_Assessment[[#This Row],[Ben Code]],tbl_Ben_Info[Ben Code],0),13),"")</f>
        <v/>
      </c>
      <c r="G276" s="49"/>
      <c r="H276" s="37"/>
      <c r="I276" s="37"/>
      <c r="J276" s="37"/>
      <c r="K276" s="37"/>
      <c r="L276" s="37"/>
      <c r="M276" s="59"/>
      <c r="N276" s="37"/>
      <c r="O276" s="37"/>
      <c r="P276" s="37"/>
      <c r="Q276" s="59"/>
      <c r="R276" s="49"/>
      <c r="S276" s="37"/>
      <c r="T276" s="37"/>
      <c r="U276" s="37"/>
      <c r="V276" s="37"/>
      <c r="W276" s="96" t="str">
        <f>tbl_Assessment[[#This Row],[Ben Code]] &amp; "-"&amp;tbl_Assessment[[#This Row],[admin4Pcode]]&amp;"-" &amp; TEXT(COUNTIF(INDEX(tbl_Assessment[Ben Code],1):tbl_Assessment[[#This Row],[Ben Code]], tbl_Assessment[[#This Row],[Ben Code]]), "00")</f>
        <v>--00</v>
      </c>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49"/>
      <c r="AU276" s="41"/>
      <c r="AV276" s="37"/>
      <c r="AW276" s="37"/>
      <c r="AX276" s="37"/>
      <c r="AY276" s="37"/>
      <c r="AZ276" s="37"/>
      <c r="BA276" s="37"/>
      <c r="BB276" s="41"/>
      <c r="BC276" s="37"/>
      <c r="BD276" s="37"/>
      <c r="BE276" s="37"/>
      <c r="BF276" s="41"/>
      <c r="BG276" s="37"/>
      <c r="BH276" s="37"/>
      <c r="BI276" s="37"/>
      <c r="BJ276" s="41"/>
    </row>
    <row r="277" spans="2:62" ht="25.15" customHeight="1" x14ac:dyDescent="0.25">
      <c r="B277" s="49">
        <v>272</v>
      </c>
      <c r="C277" s="37"/>
      <c r="D277" s="87" t="str">
        <f>IF(tbl_Assessment[[#This Row],[Ben Code]]&lt;&gt;"",INDEX(tbl_Ben_Info[],MATCH(tbl_Assessment[[#This Row],[Ben Code]],tbl_Ben_Info[Ben Code],0),48),"")</f>
        <v/>
      </c>
      <c r="E277" s="116" t="str">
        <f>IF(tbl_Assessment[[#This Row],[Ben Code]]&lt;&gt;"",INDEX(tbl_Ben_Info[],MATCH(tbl_Assessment[[#This Row],[Ben Code]],tbl_Ben_Info[Ben Code],0),6),"")</f>
        <v/>
      </c>
      <c r="F277" s="113" t="str">
        <f>IF(tbl_Assessment[[#This Row],[Ben Code]]&lt;&gt;"",INDEX(tbl_Ben_Info[],MATCH(tbl_Assessment[[#This Row],[Ben Code]],tbl_Ben_Info[Ben Code],0),13),"")</f>
        <v/>
      </c>
      <c r="G277" s="49"/>
      <c r="H277" s="37"/>
      <c r="I277" s="37"/>
      <c r="J277" s="37"/>
      <c r="K277" s="37"/>
      <c r="L277" s="37"/>
      <c r="M277" s="59"/>
      <c r="N277" s="37"/>
      <c r="O277" s="37"/>
      <c r="P277" s="37"/>
      <c r="Q277" s="59"/>
      <c r="R277" s="49"/>
      <c r="S277" s="37"/>
      <c r="T277" s="37"/>
      <c r="U277" s="37"/>
      <c r="V277" s="37"/>
      <c r="W277" s="96" t="str">
        <f>tbl_Assessment[[#This Row],[Ben Code]] &amp; "-"&amp;tbl_Assessment[[#This Row],[admin4Pcode]]&amp;"-" &amp; TEXT(COUNTIF(INDEX(tbl_Assessment[Ben Code],1):tbl_Assessment[[#This Row],[Ben Code]], tbl_Assessment[[#This Row],[Ben Code]]), "00")</f>
        <v>--00</v>
      </c>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49"/>
      <c r="AU277" s="41"/>
      <c r="AV277" s="37"/>
      <c r="AW277" s="37"/>
      <c r="AX277" s="37"/>
      <c r="AY277" s="37"/>
      <c r="AZ277" s="37"/>
      <c r="BA277" s="37"/>
      <c r="BB277" s="41"/>
      <c r="BC277" s="37"/>
      <c r="BD277" s="37"/>
      <c r="BE277" s="37"/>
      <c r="BF277" s="41"/>
      <c r="BG277" s="37"/>
      <c r="BH277" s="37"/>
      <c r="BI277" s="37"/>
      <c r="BJ277" s="41"/>
    </row>
    <row r="278" spans="2:62" ht="25.15" customHeight="1" x14ac:dyDescent="0.25">
      <c r="B278" s="49">
        <v>273</v>
      </c>
      <c r="C278" s="37"/>
      <c r="D278" s="87" t="str">
        <f>IF(tbl_Assessment[[#This Row],[Ben Code]]&lt;&gt;"",INDEX(tbl_Ben_Info[],MATCH(tbl_Assessment[[#This Row],[Ben Code]],tbl_Ben_Info[Ben Code],0),48),"")</f>
        <v/>
      </c>
      <c r="E278" s="116" t="str">
        <f>IF(tbl_Assessment[[#This Row],[Ben Code]]&lt;&gt;"",INDEX(tbl_Ben_Info[],MATCH(tbl_Assessment[[#This Row],[Ben Code]],tbl_Ben_Info[Ben Code],0),6),"")</f>
        <v/>
      </c>
      <c r="F278" s="113" t="str">
        <f>IF(tbl_Assessment[[#This Row],[Ben Code]]&lt;&gt;"",INDEX(tbl_Ben_Info[],MATCH(tbl_Assessment[[#This Row],[Ben Code]],tbl_Ben_Info[Ben Code],0),13),"")</f>
        <v/>
      </c>
      <c r="G278" s="49"/>
      <c r="H278" s="37"/>
      <c r="I278" s="37"/>
      <c r="J278" s="37"/>
      <c r="K278" s="37"/>
      <c r="L278" s="37"/>
      <c r="M278" s="59"/>
      <c r="N278" s="37"/>
      <c r="O278" s="37"/>
      <c r="P278" s="37"/>
      <c r="Q278" s="59"/>
      <c r="R278" s="49"/>
      <c r="S278" s="37"/>
      <c r="T278" s="37"/>
      <c r="U278" s="37"/>
      <c r="V278" s="37"/>
      <c r="W278" s="96" t="str">
        <f>tbl_Assessment[[#This Row],[Ben Code]] &amp; "-"&amp;tbl_Assessment[[#This Row],[admin4Pcode]]&amp;"-" &amp; TEXT(COUNTIF(INDEX(tbl_Assessment[Ben Code],1):tbl_Assessment[[#This Row],[Ben Code]], tbl_Assessment[[#This Row],[Ben Code]]), "00")</f>
        <v>--00</v>
      </c>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49"/>
      <c r="AU278" s="41"/>
      <c r="AV278" s="37"/>
      <c r="AW278" s="37"/>
      <c r="AX278" s="37"/>
      <c r="AY278" s="37"/>
      <c r="AZ278" s="37"/>
      <c r="BA278" s="37"/>
      <c r="BB278" s="41"/>
      <c r="BC278" s="37"/>
      <c r="BD278" s="37"/>
      <c r="BE278" s="37"/>
      <c r="BF278" s="41"/>
      <c r="BG278" s="37"/>
      <c r="BH278" s="37"/>
      <c r="BI278" s="37"/>
      <c r="BJ278" s="41"/>
    </row>
    <row r="279" spans="2:62" ht="25.15" customHeight="1" x14ac:dyDescent="0.25">
      <c r="B279" s="49">
        <v>274</v>
      </c>
      <c r="C279" s="37"/>
      <c r="D279" s="87" t="str">
        <f>IF(tbl_Assessment[[#This Row],[Ben Code]]&lt;&gt;"",INDEX(tbl_Ben_Info[],MATCH(tbl_Assessment[[#This Row],[Ben Code]],tbl_Ben_Info[Ben Code],0),48),"")</f>
        <v/>
      </c>
      <c r="E279" s="116" t="str">
        <f>IF(tbl_Assessment[[#This Row],[Ben Code]]&lt;&gt;"",INDEX(tbl_Ben_Info[],MATCH(tbl_Assessment[[#This Row],[Ben Code]],tbl_Ben_Info[Ben Code],0),6),"")</f>
        <v/>
      </c>
      <c r="F279" s="113" t="str">
        <f>IF(tbl_Assessment[[#This Row],[Ben Code]]&lt;&gt;"",INDEX(tbl_Ben_Info[],MATCH(tbl_Assessment[[#This Row],[Ben Code]],tbl_Ben_Info[Ben Code],0),13),"")</f>
        <v/>
      </c>
      <c r="G279" s="49"/>
      <c r="H279" s="37"/>
      <c r="I279" s="37"/>
      <c r="J279" s="37"/>
      <c r="K279" s="37"/>
      <c r="L279" s="37"/>
      <c r="M279" s="59"/>
      <c r="N279" s="37"/>
      <c r="O279" s="37"/>
      <c r="P279" s="37"/>
      <c r="Q279" s="59"/>
      <c r="R279" s="49"/>
      <c r="S279" s="37"/>
      <c r="T279" s="37"/>
      <c r="U279" s="37"/>
      <c r="V279" s="37"/>
      <c r="W279" s="96" t="str">
        <f>tbl_Assessment[[#This Row],[Ben Code]] &amp; "-"&amp;tbl_Assessment[[#This Row],[admin4Pcode]]&amp;"-" &amp; TEXT(COUNTIF(INDEX(tbl_Assessment[Ben Code],1):tbl_Assessment[[#This Row],[Ben Code]], tbl_Assessment[[#This Row],[Ben Code]]), "00")</f>
        <v>--00</v>
      </c>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49"/>
      <c r="AU279" s="41"/>
      <c r="AV279" s="37"/>
      <c r="AW279" s="37"/>
      <c r="AX279" s="37"/>
      <c r="AY279" s="37"/>
      <c r="AZ279" s="37"/>
      <c r="BA279" s="37"/>
      <c r="BB279" s="41"/>
      <c r="BC279" s="37"/>
      <c r="BD279" s="37"/>
      <c r="BE279" s="37"/>
      <c r="BF279" s="41"/>
      <c r="BG279" s="37"/>
      <c r="BH279" s="37"/>
      <c r="BI279" s="37"/>
      <c r="BJ279" s="41"/>
    </row>
    <row r="280" spans="2:62" ht="25.15" customHeight="1" x14ac:dyDescent="0.25">
      <c r="B280" s="49">
        <v>275</v>
      </c>
      <c r="C280" s="37"/>
      <c r="D280" s="87" t="str">
        <f>IF(tbl_Assessment[[#This Row],[Ben Code]]&lt;&gt;"",INDEX(tbl_Ben_Info[],MATCH(tbl_Assessment[[#This Row],[Ben Code]],tbl_Ben_Info[Ben Code],0),48),"")</f>
        <v/>
      </c>
      <c r="E280" s="116" t="str">
        <f>IF(tbl_Assessment[[#This Row],[Ben Code]]&lt;&gt;"",INDEX(tbl_Ben_Info[],MATCH(tbl_Assessment[[#This Row],[Ben Code]],tbl_Ben_Info[Ben Code],0),6),"")</f>
        <v/>
      </c>
      <c r="F280" s="113" t="str">
        <f>IF(tbl_Assessment[[#This Row],[Ben Code]]&lt;&gt;"",INDEX(tbl_Ben_Info[],MATCH(tbl_Assessment[[#This Row],[Ben Code]],tbl_Ben_Info[Ben Code],0),13),"")</f>
        <v/>
      </c>
      <c r="G280" s="49"/>
      <c r="H280" s="37"/>
      <c r="I280" s="37"/>
      <c r="J280" s="37"/>
      <c r="K280" s="37"/>
      <c r="L280" s="37"/>
      <c r="M280" s="59"/>
      <c r="N280" s="37"/>
      <c r="O280" s="37"/>
      <c r="P280" s="37"/>
      <c r="Q280" s="59"/>
      <c r="R280" s="49"/>
      <c r="S280" s="37"/>
      <c r="T280" s="37"/>
      <c r="U280" s="37"/>
      <c r="V280" s="37"/>
      <c r="W280" s="96" t="str">
        <f>tbl_Assessment[[#This Row],[Ben Code]] &amp; "-"&amp;tbl_Assessment[[#This Row],[admin4Pcode]]&amp;"-" &amp; TEXT(COUNTIF(INDEX(tbl_Assessment[Ben Code],1):tbl_Assessment[[#This Row],[Ben Code]], tbl_Assessment[[#This Row],[Ben Code]]), "00")</f>
        <v>--00</v>
      </c>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49"/>
      <c r="AU280" s="41"/>
      <c r="AV280" s="37"/>
      <c r="AW280" s="37"/>
      <c r="AX280" s="37"/>
      <c r="AY280" s="37"/>
      <c r="AZ280" s="37"/>
      <c r="BA280" s="37"/>
      <c r="BB280" s="41"/>
      <c r="BC280" s="37"/>
      <c r="BD280" s="37"/>
      <c r="BE280" s="37"/>
      <c r="BF280" s="41"/>
      <c r="BG280" s="37"/>
      <c r="BH280" s="37"/>
      <c r="BI280" s="37"/>
      <c r="BJ280" s="41"/>
    </row>
    <row r="281" spans="2:62" ht="25.15" customHeight="1" x14ac:dyDescent="0.25">
      <c r="B281" s="49">
        <v>276</v>
      </c>
      <c r="C281" s="37"/>
      <c r="D281" s="87" t="str">
        <f>IF(tbl_Assessment[[#This Row],[Ben Code]]&lt;&gt;"",INDEX(tbl_Ben_Info[],MATCH(tbl_Assessment[[#This Row],[Ben Code]],tbl_Ben_Info[Ben Code],0),48),"")</f>
        <v/>
      </c>
      <c r="E281" s="116" t="str">
        <f>IF(tbl_Assessment[[#This Row],[Ben Code]]&lt;&gt;"",INDEX(tbl_Ben_Info[],MATCH(tbl_Assessment[[#This Row],[Ben Code]],tbl_Ben_Info[Ben Code],0),6),"")</f>
        <v/>
      </c>
      <c r="F281" s="113" t="str">
        <f>IF(tbl_Assessment[[#This Row],[Ben Code]]&lt;&gt;"",INDEX(tbl_Ben_Info[],MATCH(tbl_Assessment[[#This Row],[Ben Code]],tbl_Ben_Info[Ben Code],0),13),"")</f>
        <v/>
      </c>
      <c r="G281" s="49"/>
      <c r="H281" s="37"/>
      <c r="I281" s="37"/>
      <c r="J281" s="37"/>
      <c r="K281" s="37"/>
      <c r="L281" s="37"/>
      <c r="M281" s="59"/>
      <c r="N281" s="37"/>
      <c r="O281" s="37"/>
      <c r="P281" s="37"/>
      <c r="Q281" s="59"/>
      <c r="R281" s="49"/>
      <c r="S281" s="37"/>
      <c r="T281" s="37"/>
      <c r="U281" s="37"/>
      <c r="V281" s="37"/>
      <c r="W281" s="96" t="str">
        <f>tbl_Assessment[[#This Row],[Ben Code]] &amp; "-"&amp;tbl_Assessment[[#This Row],[admin4Pcode]]&amp;"-" &amp; TEXT(COUNTIF(INDEX(tbl_Assessment[Ben Code],1):tbl_Assessment[[#This Row],[Ben Code]], tbl_Assessment[[#This Row],[Ben Code]]), "00")</f>
        <v>--00</v>
      </c>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49"/>
      <c r="AU281" s="41"/>
      <c r="AV281" s="37"/>
      <c r="AW281" s="37"/>
      <c r="AX281" s="37"/>
      <c r="AY281" s="37"/>
      <c r="AZ281" s="37"/>
      <c r="BA281" s="37"/>
      <c r="BB281" s="41"/>
      <c r="BC281" s="37"/>
      <c r="BD281" s="37"/>
      <c r="BE281" s="37"/>
      <c r="BF281" s="41"/>
      <c r="BG281" s="37"/>
      <c r="BH281" s="37"/>
      <c r="BI281" s="37"/>
      <c r="BJ281" s="41"/>
    </row>
    <row r="282" spans="2:62" ht="25.15" customHeight="1" x14ac:dyDescent="0.25">
      <c r="B282" s="49">
        <v>277</v>
      </c>
      <c r="C282" s="37"/>
      <c r="D282" s="87" t="str">
        <f>IF(tbl_Assessment[[#This Row],[Ben Code]]&lt;&gt;"",INDEX(tbl_Ben_Info[],MATCH(tbl_Assessment[[#This Row],[Ben Code]],tbl_Ben_Info[Ben Code],0),48),"")</f>
        <v/>
      </c>
      <c r="E282" s="116" t="str">
        <f>IF(tbl_Assessment[[#This Row],[Ben Code]]&lt;&gt;"",INDEX(tbl_Ben_Info[],MATCH(tbl_Assessment[[#This Row],[Ben Code]],tbl_Ben_Info[Ben Code],0),6),"")</f>
        <v/>
      </c>
      <c r="F282" s="113" t="str">
        <f>IF(tbl_Assessment[[#This Row],[Ben Code]]&lt;&gt;"",INDEX(tbl_Ben_Info[],MATCH(tbl_Assessment[[#This Row],[Ben Code]],tbl_Ben_Info[Ben Code],0),13),"")</f>
        <v/>
      </c>
      <c r="G282" s="49"/>
      <c r="H282" s="37"/>
      <c r="I282" s="37"/>
      <c r="J282" s="37"/>
      <c r="K282" s="37"/>
      <c r="L282" s="37"/>
      <c r="M282" s="59"/>
      <c r="N282" s="37"/>
      <c r="O282" s="37"/>
      <c r="P282" s="37"/>
      <c r="Q282" s="59"/>
      <c r="R282" s="49"/>
      <c r="S282" s="37"/>
      <c r="T282" s="37"/>
      <c r="U282" s="37"/>
      <c r="V282" s="37"/>
      <c r="W282" s="96" t="str">
        <f>tbl_Assessment[[#This Row],[Ben Code]] &amp; "-"&amp;tbl_Assessment[[#This Row],[admin4Pcode]]&amp;"-" &amp; TEXT(COUNTIF(INDEX(tbl_Assessment[Ben Code],1):tbl_Assessment[[#This Row],[Ben Code]], tbl_Assessment[[#This Row],[Ben Code]]), "00")</f>
        <v>--00</v>
      </c>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49"/>
      <c r="AU282" s="41"/>
      <c r="AV282" s="37"/>
      <c r="AW282" s="37"/>
      <c r="AX282" s="37"/>
      <c r="AY282" s="37"/>
      <c r="AZ282" s="37"/>
      <c r="BA282" s="37"/>
      <c r="BB282" s="41"/>
      <c r="BC282" s="37"/>
      <c r="BD282" s="37"/>
      <c r="BE282" s="37"/>
      <c r="BF282" s="41"/>
      <c r="BG282" s="37"/>
      <c r="BH282" s="37"/>
      <c r="BI282" s="37"/>
      <c r="BJ282" s="41"/>
    </row>
    <row r="283" spans="2:62" ht="25.15" customHeight="1" x14ac:dyDescent="0.25">
      <c r="B283" s="49">
        <v>278</v>
      </c>
      <c r="C283" s="37"/>
      <c r="D283" s="87" t="str">
        <f>IF(tbl_Assessment[[#This Row],[Ben Code]]&lt;&gt;"",INDEX(tbl_Ben_Info[],MATCH(tbl_Assessment[[#This Row],[Ben Code]],tbl_Ben_Info[Ben Code],0),48),"")</f>
        <v/>
      </c>
      <c r="E283" s="116" t="str">
        <f>IF(tbl_Assessment[[#This Row],[Ben Code]]&lt;&gt;"",INDEX(tbl_Ben_Info[],MATCH(tbl_Assessment[[#This Row],[Ben Code]],tbl_Ben_Info[Ben Code],0),6),"")</f>
        <v/>
      </c>
      <c r="F283" s="113" t="str">
        <f>IF(tbl_Assessment[[#This Row],[Ben Code]]&lt;&gt;"",INDEX(tbl_Ben_Info[],MATCH(tbl_Assessment[[#This Row],[Ben Code]],tbl_Ben_Info[Ben Code],0),13),"")</f>
        <v/>
      </c>
      <c r="G283" s="49"/>
      <c r="H283" s="37"/>
      <c r="I283" s="37"/>
      <c r="J283" s="37"/>
      <c r="K283" s="37"/>
      <c r="L283" s="37"/>
      <c r="M283" s="59"/>
      <c r="N283" s="37"/>
      <c r="O283" s="37"/>
      <c r="P283" s="37"/>
      <c r="Q283" s="59"/>
      <c r="R283" s="49"/>
      <c r="S283" s="37"/>
      <c r="T283" s="37"/>
      <c r="U283" s="37"/>
      <c r="V283" s="37"/>
      <c r="W283" s="96" t="str">
        <f>tbl_Assessment[[#This Row],[Ben Code]] &amp; "-"&amp;tbl_Assessment[[#This Row],[admin4Pcode]]&amp;"-" &amp; TEXT(COUNTIF(INDEX(tbl_Assessment[Ben Code],1):tbl_Assessment[[#This Row],[Ben Code]], tbl_Assessment[[#This Row],[Ben Code]]), "00")</f>
        <v>--00</v>
      </c>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49"/>
      <c r="AU283" s="41"/>
      <c r="AV283" s="37"/>
      <c r="AW283" s="37"/>
      <c r="AX283" s="37"/>
      <c r="AY283" s="37"/>
      <c r="AZ283" s="37"/>
      <c r="BA283" s="37"/>
      <c r="BB283" s="41"/>
      <c r="BC283" s="37"/>
      <c r="BD283" s="37"/>
      <c r="BE283" s="37"/>
      <c r="BF283" s="41"/>
      <c r="BG283" s="37"/>
      <c r="BH283" s="37"/>
      <c r="BI283" s="37"/>
      <c r="BJ283" s="41"/>
    </row>
    <row r="284" spans="2:62" ht="25.15" customHeight="1" x14ac:dyDescent="0.25">
      <c r="B284" s="49">
        <v>279</v>
      </c>
      <c r="C284" s="37"/>
      <c r="D284" s="87" t="str">
        <f>IF(tbl_Assessment[[#This Row],[Ben Code]]&lt;&gt;"",INDEX(tbl_Ben_Info[],MATCH(tbl_Assessment[[#This Row],[Ben Code]],tbl_Ben_Info[Ben Code],0),48),"")</f>
        <v/>
      </c>
      <c r="E284" s="116" t="str">
        <f>IF(tbl_Assessment[[#This Row],[Ben Code]]&lt;&gt;"",INDEX(tbl_Ben_Info[],MATCH(tbl_Assessment[[#This Row],[Ben Code]],tbl_Ben_Info[Ben Code],0),6),"")</f>
        <v/>
      </c>
      <c r="F284" s="113" t="str">
        <f>IF(tbl_Assessment[[#This Row],[Ben Code]]&lt;&gt;"",INDEX(tbl_Ben_Info[],MATCH(tbl_Assessment[[#This Row],[Ben Code]],tbl_Ben_Info[Ben Code],0),13),"")</f>
        <v/>
      </c>
      <c r="G284" s="49"/>
      <c r="H284" s="37"/>
      <c r="I284" s="37"/>
      <c r="J284" s="37"/>
      <c r="K284" s="37"/>
      <c r="L284" s="37"/>
      <c r="M284" s="59"/>
      <c r="N284" s="37"/>
      <c r="O284" s="37"/>
      <c r="P284" s="37"/>
      <c r="Q284" s="59"/>
      <c r="R284" s="49"/>
      <c r="S284" s="37"/>
      <c r="T284" s="37"/>
      <c r="U284" s="37"/>
      <c r="V284" s="37"/>
      <c r="W284" s="96" t="str">
        <f>tbl_Assessment[[#This Row],[Ben Code]] &amp; "-"&amp;tbl_Assessment[[#This Row],[admin4Pcode]]&amp;"-" &amp; TEXT(COUNTIF(INDEX(tbl_Assessment[Ben Code],1):tbl_Assessment[[#This Row],[Ben Code]], tbl_Assessment[[#This Row],[Ben Code]]), "00")</f>
        <v>--00</v>
      </c>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49"/>
      <c r="AU284" s="41"/>
      <c r="AV284" s="37"/>
      <c r="AW284" s="37"/>
      <c r="AX284" s="37"/>
      <c r="AY284" s="37"/>
      <c r="AZ284" s="37"/>
      <c r="BA284" s="37"/>
      <c r="BB284" s="41"/>
      <c r="BC284" s="37"/>
      <c r="BD284" s="37"/>
      <c r="BE284" s="37"/>
      <c r="BF284" s="41"/>
      <c r="BG284" s="37"/>
      <c r="BH284" s="37"/>
      <c r="BI284" s="37"/>
      <c r="BJ284" s="41"/>
    </row>
    <row r="285" spans="2:62" ht="25.15" customHeight="1" x14ac:dyDescent="0.25">
      <c r="B285" s="49">
        <v>280</v>
      </c>
      <c r="C285" s="37"/>
      <c r="D285" s="87" t="str">
        <f>IF(tbl_Assessment[[#This Row],[Ben Code]]&lt;&gt;"",INDEX(tbl_Ben_Info[],MATCH(tbl_Assessment[[#This Row],[Ben Code]],tbl_Ben_Info[Ben Code],0),48),"")</f>
        <v/>
      </c>
      <c r="E285" s="116" t="str">
        <f>IF(tbl_Assessment[[#This Row],[Ben Code]]&lt;&gt;"",INDEX(tbl_Ben_Info[],MATCH(tbl_Assessment[[#This Row],[Ben Code]],tbl_Ben_Info[Ben Code],0),6),"")</f>
        <v/>
      </c>
      <c r="F285" s="113" t="str">
        <f>IF(tbl_Assessment[[#This Row],[Ben Code]]&lt;&gt;"",INDEX(tbl_Ben_Info[],MATCH(tbl_Assessment[[#This Row],[Ben Code]],tbl_Ben_Info[Ben Code],0),13),"")</f>
        <v/>
      </c>
      <c r="G285" s="49"/>
      <c r="H285" s="37"/>
      <c r="I285" s="37"/>
      <c r="J285" s="37"/>
      <c r="K285" s="37"/>
      <c r="L285" s="37"/>
      <c r="M285" s="59"/>
      <c r="N285" s="37"/>
      <c r="O285" s="37"/>
      <c r="P285" s="37"/>
      <c r="Q285" s="59"/>
      <c r="R285" s="49"/>
      <c r="S285" s="37"/>
      <c r="T285" s="37"/>
      <c r="U285" s="37"/>
      <c r="V285" s="37"/>
      <c r="W285" s="96" t="str">
        <f>tbl_Assessment[[#This Row],[Ben Code]] &amp; "-"&amp;tbl_Assessment[[#This Row],[admin4Pcode]]&amp;"-" &amp; TEXT(COUNTIF(INDEX(tbl_Assessment[Ben Code],1):tbl_Assessment[[#This Row],[Ben Code]], tbl_Assessment[[#This Row],[Ben Code]]), "00")</f>
        <v>--00</v>
      </c>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49"/>
      <c r="AU285" s="41"/>
      <c r="AV285" s="37"/>
      <c r="AW285" s="37"/>
      <c r="AX285" s="37"/>
      <c r="AY285" s="37"/>
      <c r="AZ285" s="37"/>
      <c r="BA285" s="37"/>
      <c r="BB285" s="41"/>
      <c r="BC285" s="37"/>
      <c r="BD285" s="37"/>
      <c r="BE285" s="37"/>
      <c r="BF285" s="41"/>
      <c r="BG285" s="37"/>
      <c r="BH285" s="37"/>
      <c r="BI285" s="37"/>
      <c r="BJ285" s="41"/>
    </row>
    <row r="286" spans="2:62" ht="25.15" customHeight="1" x14ac:dyDescent="0.25">
      <c r="B286" s="49">
        <v>281</v>
      </c>
      <c r="C286" s="37"/>
      <c r="D286" s="87" t="str">
        <f>IF(tbl_Assessment[[#This Row],[Ben Code]]&lt;&gt;"",INDEX(tbl_Ben_Info[],MATCH(tbl_Assessment[[#This Row],[Ben Code]],tbl_Ben_Info[Ben Code],0),48),"")</f>
        <v/>
      </c>
      <c r="E286" s="116" t="str">
        <f>IF(tbl_Assessment[[#This Row],[Ben Code]]&lt;&gt;"",INDEX(tbl_Ben_Info[],MATCH(tbl_Assessment[[#This Row],[Ben Code]],tbl_Ben_Info[Ben Code],0),6),"")</f>
        <v/>
      </c>
      <c r="F286" s="113" t="str">
        <f>IF(tbl_Assessment[[#This Row],[Ben Code]]&lt;&gt;"",INDEX(tbl_Ben_Info[],MATCH(tbl_Assessment[[#This Row],[Ben Code]],tbl_Ben_Info[Ben Code],0),13),"")</f>
        <v/>
      </c>
      <c r="G286" s="49"/>
      <c r="H286" s="37"/>
      <c r="I286" s="37"/>
      <c r="J286" s="37"/>
      <c r="K286" s="37"/>
      <c r="L286" s="37"/>
      <c r="M286" s="59"/>
      <c r="N286" s="37"/>
      <c r="O286" s="37"/>
      <c r="P286" s="37"/>
      <c r="Q286" s="59"/>
      <c r="R286" s="49"/>
      <c r="S286" s="37"/>
      <c r="T286" s="37"/>
      <c r="U286" s="37"/>
      <c r="V286" s="37"/>
      <c r="W286" s="96" t="str">
        <f>tbl_Assessment[[#This Row],[Ben Code]] &amp; "-"&amp;tbl_Assessment[[#This Row],[admin4Pcode]]&amp;"-" &amp; TEXT(COUNTIF(INDEX(tbl_Assessment[Ben Code],1):tbl_Assessment[[#This Row],[Ben Code]], tbl_Assessment[[#This Row],[Ben Code]]), "00")</f>
        <v>--00</v>
      </c>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49"/>
      <c r="AU286" s="41"/>
      <c r="AV286" s="37"/>
      <c r="AW286" s="37"/>
      <c r="AX286" s="37"/>
      <c r="AY286" s="37"/>
      <c r="AZ286" s="37"/>
      <c r="BA286" s="37"/>
      <c r="BB286" s="41"/>
      <c r="BC286" s="37"/>
      <c r="BD286" s="37"/>
      <c r="BE286" s="37"/>
      <c r="BF286" s="41"/>
      <c r="BG286" s="37"/>
      <c r="BH286" s="37"/>
      <c r="BI286" s="37"/>
      <c r="BJ286" s="41"/>
    </row>
    <row r="287" spans="2:62" ht="25.15" customHeight="1" x14ac:dyDescent="0.25">
      <c r="B287" s="49">
        <v>282</v>
      </c>
      <c r="C287" s="37"/>
      <c r="D287" s="87" t="str">
        <f>IF(tbl_Assessment[[#This Row],[Ben Code]]&lt;&gt;"",INDEX(tbl_Ben_Info[],MATCH(tbl_Assessment[[#This Row],[Ben Code]],tbl_Ben_Info[Ben Code],0),48),"")</f>
        <v/>
      </c>
      <c r="E287" s="116" t="str">
        <f>IF(tbl_Assessment[[#This Row],[Ben Code]]&lt;&gt;"",INDEX(tbl_Ben_Info[],MATCH(tbl_Assessment[[#This Row],[Ben Code]],tbl_Ben_Info[Ben Code],0),6),"")</f>
        <v/>
      </c>
      <c r="F287" s="113" t="str">
        <f>IF(tbl_Assessment[[#This Row],[Ben Code]]&lt;&gt;"",INDEX(tbl_Ben_Info[],MATCH(tbl_Assessment[[#This Row],[Ben Code]],tbl_Ben_Info[Ben Code],0),13),"")</f>
        <v/>
      </c>
      <c r="G287" s="49"/>
      <c r="H287" s="37"/>
      <c r="I287" s="37"/>
      <c r="J287" s="37"/>
      <c r="K287" s="37"/>
      <c r="L287" s="37"/>
      <c r="M287" s="59"/>
      <c r="N287" s="37"/>
      <c r="O287" s="37"/>
      <c r="P287" s="37"/>
      <c r="Q287" s="59"/>
      <c r="R287" s="49"/>
      <c r="S287" s="37"/>
      <c r="T287" s="37"/>
      <c r="U287" s="37"/>
      <c r="V287" s="37"/>
      <c r="W287" s="96" t="str">
        <f>tbl_Assessment[[#This Row],[Ben Code]] &amp; "-"&amp;tbl_Assessment[[#This Row],[admin4Pcode]]&amp;"-" &amp; TEXT(COUNTIF(INDEX(tbl_Assessment[Ben Code],1):tbl_Assessment[[#This Row],[Ben Code]], tbl_Assessment[[#This Row],[Ben Code]]), "00")</f>
        <v>--00</v>
      </c>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49"/>
      <c r="AU287" s="41"/>
      <c r="AV287" s="37"/>
      <c r="AW287" s="37"/>
      <c r="AX287" s="37"/>
      <c r="AY287" s="37"/>
      <c r="AZ287" s="37"/>
      <c r="BA287" s="37"/>
      <c r="BB287" s="41"/>
      <c r="BC287" s="37"/>
      <c r="BD287" s="37"/>
      <c r="BE287" s="37"/>
      <c r="BF287" s="41"/>
      <c r="BG287" s="37"/>
      <c r="BH287" s="37"/>
      <c r="BI287" s="37"/>
      <c r="BJ287" s="41"/>
    </row>
    <row r="288" spans="2:62" ht="25.15" customHeight="1" x14ac:dyDescent="0.25">
      <c r="B288" s="49">
        <v>283</v>
      </c>
      <c r="C288" s="37"/>
      <c r="D288" s="87" t="str">
        <f>IF(tbl_Assessment[[#This Row],[Ben Code]]&lt;&gt;"",INDEX(tbl_Ben_Info[],MATCH(tbl_Assessment[[#This Row],[Ben Code]],tbl_Ben_Info[Ben Code],0),48),"")</f>
        <v/>
      </c>
      <c r="E288" s="116" t="str">
        <f>IF(tbl_Assessment[[#This Row],[Ben Code]]&lt;&gt;"",INDEX(tbl_Ben_Info[],MATCH(tbl_Assessment[[#This Row],[Ben Code]],tbl_Ben_Info[Ben Code],0),6),"")</f>
        <v/>
      </c>
      <c r="F288" s="113" t="str">
        <f>IF(tbl_Assessment[[#This Row],[Ben Code]]&lt;&gt;"",INDEX(tbl_Ben_Info[],MATCH(tbl_Assessment[[#This Row],[Ben Code]],tbl_Ben_Info[Ben Code],0),13),"")</f>
        <v/>
      </c>
      <c r="G288" s="49"/>
      <c r="H288" s="37"/>
      <c r="I288" s="37"/>
      <c r="J288" s="37"/>
      <c r="K288" s="37"/>
      <c r="L288" s="37"/>
      <c r="M288" s="59"/>
      <c r="N288" s="37"/>
      <c r="O288" s="37"/>
      <c r="P288" s="37"/>
      <c r="Q288" s="59"/>
      <c r="R288" s="49"/>
      <c r="S288" s="37"/>
      <c r="T288" s="37"/>
      <c r="U288" s="37"/>
      <c r="V288" s="37"/>
      <c r="W288" s="96" t="str">
        <f>tbl_Assessment[[#This Row],[Ben Code]] &amp; "-"&amp;tbl_Assessment[[#This Row],[admin4Pcode]]&amp;"-" &amp; TEXT(COUNTIF(INDEX(tbl_Assessment[Ben Code],1):tbl_Assessment[[#This Row],[Ben Code]], tbl_Assessment[[#This Row],[Ben Code]]), "00")</f>
        <v>--00</v>
      </c>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49"/>
      <c r="AU288" s="41"/>
      <c r="AV288" s="37"/>
      <c r="AW288" s="37"/>
      <c r="AX288" s="37"/>
      <c r="AY288" s="37"/>
      <c r="AZ288" s="37"/>
      <c r="BA288" s="37"/>
      <c r="BB288" s="41"/>
      <c r="BC288" s="37"/>
      <c r="BD288" s="37"/>
      <c r="BE288" s="37"/>
      <c r="BF288" s="41"/>
      <c r="BG288" s="37"/>
      <c r="BH288" s="37"/>
      <c r="BI288" s="37"/>
      <c r="BJ288" s="41"/>
    </row>
    <row r="289" spans="2:62" ht="25.15" customHeight="1" x14ac:dyDescent="0.25">
      <c r="B289" s="49">
        <v>284</v>
      </c>
      <c r="C289" s="37"/>
      <c r="D289" s="87" t="str">
        <f>IF(tbl_Assessment[[#This Row],[Ben Code]]&lt;&gt;"",INDEX(tbl_Ben_Info[],MATCH(tbl_Assessment[[#This Row],[Ben Code]],tbl_Ben_Info[Ben Code],0),48),"")</f>
        <v/>
      </c>
      <c r="E289" s="116" t="str">
        <f>IF(tbl_Assessment[[#This Row],[Ben Code]]&lt;&gt;"",INDEX(tbl_Ben_Info[],MATCH(tbl_Assessment[[#This Row],[Ben Code]],tbl_Ben_Info[Ben Code],0),6),"")</f>
        <v/>
      </c>
      <c r="F289" s="113" t="str">
        <f>IF(tbl_Assessment[[#This Row],[Ben Code]]&lt;&gt;"",INDEX(tbl_Ben_Info[],MATCH(tbl_Assessment[[#This Row],[Ben Code]],tbl_Ben_Info[Ben Code],0),13),"")</f>
        <v/>
      </c>
      <c r="G289" s="49"/>
      <c r="H289" s="37"/>
      <c r="I289" s="37"/>
      <c r="J289" s="37"/>
      <c r="K289" s="37"/>
      <c r="L289" s="37"/>
      <c r="M289" s="59"/>
      <c r="N289" s="37"/>
      <c r="O289" s="37"/>
      <c r="P289" s="37"/>
      <c r="Q289" s="59"/>
      <c r="R289" s="49"/>
      <c r="S289" s="37"/>
      <c r="T289" s="37"/>
      <c r="U289" s="37"/>
      <c r="V289" s="37"/>
      <c r="W289" s="96" t="str">
        <f>tbl_Assessment[[#This Row],[Ben Code]] &amp; "-"&amp;tbl_Assessment[[#This Row],[admin4Pcode]]&amp;"-" &amp; TEXT(COUNTIF(INDEX(tbl_Assessment[Ben Code],1):tbl_Assessment[[#This Row],[Ben Code]], tbl_Assessment[[#This Row],[Ben Code]]), "00")</f>
        <v>--00</v>
      </c>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49"/>
      <c r="AU289" s="41"/>
      <c r="AV289" s="37"/>
      <c r="AW289" s="37"/>
      <c r="AX289" s="37"/>
      <c r="AY289" s="37"/>
      <c r="AZ289" s="37"/>
      <c r="BA289" s="37"/>
      <c r="BB289" s="41"/>
      <c r="BC289" s="37"/>
      <c r="BD289" s="37"/>
      <c r="BE289" s="37"/>
      <c r="BF289" s="41"/>
      <c r="BG289" s="37"/>
      <c r="BH289" s="37"/>
      <c r="BI289" s="37"/>
      <c r="BJ289" s="41"/>
    </row>
    <row r="290" spans="2:62" ht="25.15" customHeight="1" x14ac:dyDescent="0.25">
      <c r="B290" s="49">
        <v>285</v>
      </c>
      <c r="C290" s="37"/>
      <c r="D290" s="87" t="str">
        <f>IF(tbl_Assessment[[#This Row],[Ben Code]]&lt;&gt;"",INDEX(tbl_Ben_Info[],MATCH(tbl_Assessment[[#This Row],[Ben Code]],tbl_Ben_Info[Ben Code],0),48),"")</f>
        <v/>
      </c>
      <c r="E290" s="116" t="str">
        <f>IF(tbl_Assessment[[#This Row],[Ben Code]]&lt;&gt;"",INDEX(tbl_Ben_Info[],MATCH(tbl_Assessment[[#This Row],[Ben Code]],tbl_Ben_Info[Ben Code],0),6),"")</f>
        <v/>
      </c>
      <c r="F290" s="113" t="str">
        <f>IF(tbl_Assessment[[#This Row],[Ben Code]]&lt;&gt;"",INDEX(tbl_Ben_Info[],MATCH(tbl_Assessment[[#This Row],[Ben Code]],tbl_Ben_Info[Ben Code],0),13),"")</f>
        <v/>
      </c>
      <c r="G290" s="49"/>
      <c r="H290" s="37"/>
      <c r="I290" s="37"/>
      <c r="J290" s="37"/>
      <c r="K290" s="37"/>
      <c r="L290" s="37"/>
      <c r="M290" s="59"/>
      <c r="N290" s="37"/>
      <c r="O290" s="37"/>
      <c r="P290" s="37"/>
      <c r="Q290" s="59"/>
      <c r="R290" s="49"/>
      <c r="S290" s="37"/>
      <c r="T290" s="37"/>
      <c r="U290" s="37"/>
      <c r="V290" s="37"/>
      <c r="W290" s="96" t="str">
        <f>tbl_Assessment[[#This Row],[Ben Code]] &amp; "-"&amp;tbl_Assessment[[#This Row],[admin4Pcode]]&amp;"-" &amp; TEXT(COUNTIF(INDEX(tbl_Assessment[Ben Code],1):tbl_Assessment[[#This Row],[Ben Code]], tbl_Assessment[[#This Row],[Ben Code]]), "00")</f>
        <v>--00</v>
      </c>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49"/>
      <c r="AU290" s="41"/>
      <c r="AV290" s="37"/>
      <c r="AW290" s="37"/>
      <c r="AX290" s="37"/>
      <c r="AY290" s="37"/>
      <c r="AZ290" s="37"/>
      <c r="BA290" s="37"/>
      <c r="BB290" s="41"/>
      <c r="BC290" s="37"/>
      <c r="BD290" s="37"/>
      <c r="BE290" s="37"/>
      <c r="BF290" s="41"/>
      <c r="BG290" s="37"/>
      <c r="BH290" s="37"/>
      <c r="BI290" s="37"/>
      <c r="BJ290" s="41"/>
    </row>
    <row r="291" spans="2:62" ht="25.15" customHeight="1" x14ac:dyDescent="0.25">
      <c r="B291" s="49">
        <v>286</v>
      </c>
      <c r="C291" s="37"/>
      <c r="D291" s="87" t="str">
        <f>IF(tbl_Assessment[[#This Row],[Ben Code]]&lt;&gt;"",INDEX(tbl_Ben_Info[],MATCH(tbl_Assessment[[#This Row],[Ben Code]],tbl_Ben_Info[Ben Code],0),48),"")</f>
        <v/>
      </c>
      <c r="E291" s="116" t="str">
        <f>IF(tbl_Assessment[[#This Row],[Ben Code]]&lt;&gt;"",INDEX(tbl_Ben_Info[],MATCH(tbl_Assessment[[#This Row],[Ben Code]],tbl_Ben_Info[Ben Code],0),6),"")</f>
        <v/>
      </c>
      <c r="F291" s="113" t="str">
        <f>IF(tbl_Assessment[[#This Row],[Ben Code]]&lt;&gt;"",INDEX(tbl_Ben_Info[],MATCH(tbl_Assessment[[#This Row],[Ben Code]],tbl_Ben_Info[Ben Code],0),13),"")</f>
        <v/>
      </c>
      <c r="G291" s="49"/>
      <c r="H291" s="37"/>
      <c r="I291" s="37"/>
      <c r="J291" s="37"/>
      <c r="K291" s="37"/>
      <c r="L291" s="37"/>
      <c r="M291" s="59"/>
      <c r="N291" s="37"/>
      <c r="O291" s="37"/>
      <c r="P291" s="37"/>
      <c r="Q291" s="59"/>
      <c r="R291" s="49"/>
      <c r="S291" s="37"/>
      <c r="T291" s="37"/>
      <c r="U291" s="37"/>
      <c r="V291" s="37"/>
      <c r="W291" s="96" t="str">
        <f>tbl_Assessment[[#This Row],[Ben Code]] &amp; "-"&amp;tbl_Assessment[[#This Row],[admin4Pcode]]&amp;"-" &amp; TEXT(COUNTIF(INDEX(tbl_Assessment[Ben Code],1):tbl_Assessment[[#This Row],[Ben Code]], tbl_Assessment[[#This Row],[Ben Code]]), "00")</f>
        <v>--00</v>
      </c>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49"/>
      <c r="AU291" s="41"/>
      <c r="AV291" s="37"/>
      <c r="AW291" s="37"/>
      <c r="AX291" s="37"/>
      <c r="AY291" s="37"/>
      <c r="AZ291" s="37"/>
      <c r="BA291" s="37"/>
      <c r="BB291" s="41"/>
      <c r="BC291" s="37"/>
      <c r="BD291" s="37"/>
      <c r="BE291" s="37"/>
      <c r="BF291" s="41"/>
      <c r="BG291" s="37"/>
      <c r="BH291" s="37"/>
      <c r="BI291" s="37"/>
      <c r="BJ291" s="41"/>
    </row>
    <row r="292" spans="2:62" ht="25.15" customHeight="1" x14ac:dyDescent="0.25">
      <c r="B292" s="49">
        <v>287</v>
      </c>
      <c r="C292" s="37"/>
      <c r="D292" s="87" t="str">
        <f>IF(tbl_Assessment[[#This Row],[Ben Code]]&lt;&gt;"",INDEX(tbl_Ben_Info[],MATCH(tbl_Assessment[[#This Row],[Ben Code]],tbl_Ben_Info[Ben Code],0),48),"")</f>
        <v/>
      </c>
      <c r="E292" s="116" t="str">
        <f>IF(tbl_Assessment[[#This Row],[Ben Code]]&lt;&gt;"",INDEX(tbl_Ben_Info[],MATCH(tbl_Assessment[[#This Row],[Ben Code]],tbl_Ben_Info[Ben Code],0),6),"")</f>
        <v/>
      </c>
      <c r="F292" s="113" t="str">
        <f>IF(tbl_Assessment[[#This Row],[Ben Code]]&lt;&gt;"",INDEX(tbl_Ben_Info[],MATCH(tbl_Assessment[[#This Row],[Ben Code]],tbl_Ben_Info[Ben Code],0),13),"")</f>
        <v/>
      </c>
      <c r="G292" s="49"/>
      <c r="H292" s="37"/>
      <c r="I292" s="37"/>
      <c r="J292" s="37"/>
      <c r="K292" s="37"/>
      <c r="L292" s="37"/>
      <c r="M292" s="59"/>
      <c r="N292" s="37"/>
      <c r="O292" s="37"/>
      <c r="P292" s="37"/>
      <c r="Q292" s="59"/>
      <c r="R292" s="49"/>
      <c r="S292" s="37"/>
      <c r="T292" s="37"/>
      <c r="U292" s="37"/>
      <c r="V292" s="37"/>
      <c r="W292" s="96" t="str">
        <f>tbl_Assessment[[#This Row],[Ben Code]] &amp; "-"&amp;tbl_Assessment[[#This Row],[admin4Pcode]]&amp;"-" &amp; TEXT(COUNTIF(INDEX(tbl_Assessment[Ben Code],1):tbl_Assessment[[#This Row],[Ben Code]], tbl_Assessment[[#This Row],[Ben Code]]), "00")</f>
        <v>--00</v>
      </c>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49"/>
      <c r="AU292" s="41"/>
      <c r="AV292" s="37"/>
      <c r="AW292" s="37"/>
      <c r="AX292" s="37"/>
      <c r="AY292" s="37"/>
      <c r="AZ292" s="37"/>
      <c r="BA292" s="37"/>
      <c r="BB292" s="41"/>
      <c r="BC292" s="37"/>
      <c r="BD292" s="37"/>
      <c r="BE292" s="37"/>
      <c r="BF292" s="41"/>
      <c r="BG292" s="37"/>
      <c r="BH292" s="37"/>
      <c r="BI292" s="37"/>
      <c r="BJ292" s="41"/>
    </row>
    <row r="293" spans="2:62" ht="25.15" customHeight="1" x14ac:dyDescent="0.25">
      <c r="B293" s="49">
        <v>288</v>
      </c>
      <c r="C293" s="37"/>
      <c r="D293" s="87" t="str">
        <f>IF(tbl_Assessment[[#This Row],[Ben Code]]&lt;&gt;"",INDEX(tbl_Ben_Info[],MATCH(tbl_Assessment[[#This Row],[Ben Code]],tbl_Ben_Info[Ben Code],0),48),"")</f>
        <v/>
      </c>
      <c r="E293" s="116" t="str">
        <f>IF(tbl_Assessment[[#This Row],[Ben Code]]&lt;&gt;"",INDEX(tbl_Ben_Info[],MATCH(tbl_Assessment[[#This Row],[Ben Code]],tbl_Ben_Info[Ben Code],0),6),"")</f>
        <v/>
      </c>
      <c r="F293" s="113" t="str">
        <f>IF(tbl_Assessment[[#This Row],[Ben Code]]&lt;&gt;"",INDEX(tbl_Ben_Info[],MATCH(tbl_Assessment[[#This Row],[Ben Code]],tbl_Ben_Info[Ben Code],0),13),"")</f>
        <v/>
      </c>
      <c r="G293" s="49"/>
      <c r="H293" s="37"/>
      <c r="I293" s="37"/>
      <c r="J293" s="37"/>
      <c r="K293" s="37"/>
      <c r="L293" s="37"/>
      <c r="M293" s="59"/>
      <c r="N293" s="37"/>
      <c r="O293" s="37"/>
      <c r="P293" s="37"/>
      <c r="Q293" s="59"/>
      <c r="R293" s="49"/>
      <c r="S293" s="37"/>
      <c r="T293" s="37"/>
      <c r="U293" s="37"/>
      <c r="V293" s="37"/>
      <c r="W293" s="96" t="str">
        <f>tbl_Assessment[[#This Row],[Ben Code]] &amp; "-"&amp;tbl_Assessment[[#This Row],[admin4Pcode]]&amp;"-" &amp; TEXT(COUNTIF(INDEX(tbl_Assessment[Ben Code],1):tbl_Assessment[[#This Row],[Ben Code]], tbl_Assessment[[#This Row],[Ben Code]]), "00")</f>
        <v>--00</v>
      </c>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49"/>
      <c r="AU293" s="41"/>
      <c r="AV293" s="37"/>
      <c r="AW293" s="37"/>
      <c r="AX293" s="37"/>
      <c r="AY293" s="37"/>
      <c r="AZ293" s="37"/>
      <c r="BA293" s="37"/>
      <c r="BB293" s="41"/>
      <c r="BC293" s="37"/>
      <c r="BD293" s="37"/>
      <c r="BE293" s="37"/>
      <c r="BF293" s="41"/>
      <c r="BG293" s="37"/>
      <c r="BH293" s="37"/>
      <c r="BI293" s="37"/>
      <c r="BJ293" s="41"/>
    </row>
    <row r="294" spans="2:62" ht="25.15" customHeight="1" x14ac:dyDescent="0.25">
      <c r="B294" s="49">
        <v>289</v>
      </c>
      <c r="C294" s="37"/>
      <c r="D294" s="87" t="str">
        <f>IF(tbl_Assessment[[#This Row],[Ben Code]]&lt;&gt;"",INDEX(tbl_Ben_Info[],MATCH(tbl_Assessment[[#This Row],[Ben Code]],tbl_Ben_Info[Ben Code],0),48),"")</f>
        <v/>
      </c>
      <c r="E294" s="116" t="str">
        <f>IF(tbl_Assessment[[#This Row],[Ben Code]]&lt;&gt;"",INDEX(tbl_Ben_Info[],MATCH(tbl_Assessment[[#This Row],[Ben Code]],tbl_Ben_Info[Ben Code],0),6),"")</f>
        <v/>
      </c>
      <c r="F294" s="113" t="str">
        <f>IF(tbl_Assessment[[#This Row],[Ben Code]]&lt;&gt;"",INDEX(tbl_Ben_Info[],MATCH(tbl_Assessment[[#This Row],[Ben Code]],tbl_Ben_Info[Ben Code],0),13),"")</f>
        <v/>
      </c>
      <c r="G294" s="49"/>
      <c r="H294" s="37"/>
      <c r="I294" s="37"/>
      <c r="J294" s="37"/>
      <c r="K294" s="37"/>
      <c r="L294" s="37"/>
      <c r="M294" s="59"/>
      <c r="N294" s="37"/>
      <c r="O294" s="37"/>
      <c r="P294" s="37"/>
      <c r="Q294" s="59"/>
      <c r="R294" s="49"/>
      <c r="S294" s="37"/>
      <c r="T294" s="37"/>
      <c r="U294" s="37"/>
      <c r="V294" s="37"/>
      <c r="W294" s="96" t="str">
        <f>tbl_Assessment[[#This Row],[Ben Code]] &amp; "-"&amp;tbl_Assessment[[#This Row],[admin4Pcode]]&amp;"-" &amp; TEXT(COUNTIF(INDEX(tbl_Assessment[Ben Code],1):tbl_Assessment[[#This Row],[Ben Code]], tbl_Assessment[[#This Row],[Ben Code]]), "00")</f>
        <v>--00</v>
      </c>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49"/>
      <c r="AU294" s="41"/>
      <c r="AV294" s="37"/>
      <c r="AW294" s="37"/>
      <c r="AX294" s="37"/>
      <c r="AY294" s="37"/>
      <c r="AZ294" s="37"/>
      <c r="BA294" s="37"/>
      <c r="BB294" s="41"/>
      <c r="BC294" s="37"/>
      <c r="BD294" s="37"/>
      <c r="BE294" s="37"/>
      <c r="BF294" s="41"/>
      <c r="BG294" s="37"/>
      <c r="BH294" s="37"/>
      <c r="BI294" s="37"/>
      <c r="BJ294" s="41"/>
    </row>
    <row r="295" spans="2:62" ht="25.15" customHeight="1" x14ac:dyDescent="0.25">
      <c r="B295" s="49">
        <v>290</v>
      </c>
      <c r="C295" s="37"/>
      <c r="D295" s="87" t="str">
        <f>IF(tbl_Assessment[[#This Row],[Ben Code]]&lt;&gt;"",INDEX(tbl_Ben_Info[],MATCH(tbl_Assessment[[#This Row],[Ben Code]],tbl_Ben_Info[Ben Code],0),48),"")</f>
        <v/>
      </c>
      <c r="E295" s="116" t="str">
        <f>IF(tbl_Assessment[[#This Row],[Ben Code]]&lt;&gt;"",INDEX(tbl_Ben_Info[],MATCH(tbl_Assessment[[#This Row],[Ben Code]],tbl_Ben_Info[Ben Code],0),6),"")</f>
        <v/>
      </c>
      <c r="F295" s="113" t="str">
        <f>IF(tbl_Assessment[[#This Row],[Ben Code]]&lt;&gt;"",INDEX(tbl_Ben_Info[],MATCH(tbl_Assessment[[#This Row],[Ben Code]],tbl_Ben_Info[Ben Code],0),13),"")</f>
        <v/>
      </c>
      <c r="G295" s="49"/>
      <c r="H295" s="37"/>
      <c r="I295" s="37"/>
      <c r="J295" s="37"/>
      <c r="K295" s="37"/>
      <c r="L295" s="37"/>
      <c r="M295" s="59"/>
      <c r="N295" s="37"/>
      <c r="O295" s="37"/>
      <c r="P295" s="37"/>
      <c r="Q295" s="59"/>
      <c r="R295" s="49"/>
      <c r="S295" s="37"/>
      <c r="T295" s="37"/>
      <c r="U295" s="37"/>
      <c r="V295" s="37"/>
      <c r="W295" s="96" t="str">
        <f>tbl_Assessment[[#This Row],[Ben Code]] &amp; "-"&amp;tbl_Assessment[[#This Row],[admin4Pcode]]&amp;"-" &amp; TEXT(COUNTIF(INDEX(tbl_Assessment[Ben Code],1):tbl_Assessment[[#This Row],[Ben Code]], tbl_Assessment[[#This Row],[Ben Code]]), "00")</f>
        <v>--00</v>
      </c>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49"/>
      <c r="AU295" s="41"/>
      <c r="AV295" s="37"/>
      <c r="AW295" s="37"/>
      <c r="AX295" s="37"/>
      <c r="AY295" s="37"/>
      <c r="AZ295" s="37"/>
      <c r="BA295" s="37"/>
      <c r="BB295" s="41"/>
      <c r="BC295" s="37"/>
      <c r="BD295" s="37"/>
      <c r="BE295" s="37"/>
      <c r="BF295" s="41"/>
      <c r="BG295" s="37"/>
      <c r="BH295" s="37"/>
      <c r="BI295" s="37"/>
      <c r="BJ295" s="41"/>
    </row>
    <row r="296" spans="2:62" ht="25.15" customHeight="1" x14ac:dyDescent="0.25">
      <c r="B296" s="49">
        <v>291</v>
      </c>
      <c r="C296" s="37"/>
      <c r="D296" s="87" t="str">
        <f>IF(tbl_Assessment[[#This Row],[Ben Code]]&lt;&gt;"",INDEX(tbl_Ben_Info[],MATCH(tbl_Assessment[[#This Row],[Ben Code]],tbl_Ben_Info[Ben Code],0),48),"")</f>
        <v/>
      </c>
      <c r="E296" s="116" t="str">
        <f>IF(tbl_Assessment[[#This Row],[Ben Code]]&lt;&gt;"",INDEX(tbl_Ben_Info[],MATCH(tbl_Assessment[[#This Row],[Ben Code]],tbl_Ben_Info[Ben Code],0),6),"")</f>
        <v/>
      </c>
      <c r="F296" s="113" t="str">
        <f>IF(tbl_Assessment[[#This Row],[Ben Code]]&lt;&gt;"",INDEX(tbl_Ben_Info[],MATCH(tbl_Assessment[[#This Row],[Ben Code]],tbl_Ben_Info[Ben Code],0),13),"")</f>
        <v/>
      </c>
      <c r="G296" s="49"/>
      <c r="H296" s="37"/>
      <c r="I296" s="37"/>
      <c r="J296" s="37"/>
      <c r="K296" s="37"/>
      <c r="L296" s="37"/>
      <c r="M296" s="59"/>
      <c r="N296" s="37"/>
      <c r="O296" s="37"/>
      <c r="P296" s="37"/>
      <c r="Q296" s="59"/>
      <c r="R296" s="49"/>
      <c r="S296" s="37"/>
      <c r="T296" s="37"/>
      <c r="U296" s="37"/>
      <c r="V296" s="37"/>
      <c r="W296" s="96" t="str">
        <f>tbl_Assessment[[#This Row],[Ben Code]] &amp; "-"&amp;tbl_Assessment[[#This Row],[admin4Pcode]]&amp;"-" &amp; TEXT(COUNTIF(INDEX(tbl_Assessment[Ben Code],1):tbl_Assessment[[#This Row],[Ben Code]], tbl_Assessment[[#This Row],[Ben Code]]), "00")</f>
        <v>--00</v>
      </c>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49"/>
      <c r="AU296" s="41"/>
      <c r="AV296" s="37"/>
      <c r="AW296" s="37"/>
      <c r="AX296" s="37"/>
      <c r="AY296" s="37"/>
      <c r="AZ296" s="37"/>
      <c r="BA296" s="37"/>
      <c r="BB296" s="41"/>
      <c r="BC296" s="37"/>
      <c r="BD296" s="37"/>
      <c r="BE296" s="37"/>
      <c r="BF296" s="41"/>
      <c r="BG296" s="37"/>
      <c r="BH296" s="37"/>
      <c r="BI296" s="37"/>
      <c r="BJ296" s="41"/>
    </row>
    <row r="297" spans="2:62" ht="25.15" customHeight="1" x14ac:dyDescent="0.25">
      <c r="B297" s="49">
        <v>292</v>
      </c>
      <c r="C297" s="37"/>
      <c r="D297" s="87" t="str">
        <f>IF(tbl_Assessment[[#This Row],[Ben Code]]&lt;&gt;"",INDEX(tbl_Ben_Info[],MATCH(tbl_Assessment[[#This Row],[Ben Code]],tbl_Ben_Info[Ben Code],0),48),"")</f>
        <v/>
      </c>
      <c r="E297" s="116" t="str">
        <f>IF(tbl_Assessment[[#This Row],[Ben Code]]&lt;&gt;"",INDEX(tbl_Ben_Info[],MATCH(tbl_Assessment[[#This Row],[Ben Code]],tbl_Ben_Info[Ben Code],0),6),"")</f>
        <v/>
      </c>
      <c r="F297" s="113" t="str">
        <f>IF(tbl_Assessment[[#This Row],[Ben Code]]&lt;&gt;"",INDEX(tbl_Ben_Info[],MATCH(tbl_Assessment[[#This Row],[Ben Code]],tbl_Ben_Info[Ben Code],0),13),"")</f>
        <v/>
      </c>
      <c r="G297" s="49"/>
      <c r="H297" s="37"/>
      <c r="I297" s="37"/>
      <c r="J297" s="37"/>
      <c r="K297" s="37"/>
      <c r="L297" s="37"/>
      <c r="M297" s="59"/>
      <c r="N297" s="37"/>
      <c r="O297" s="37"/>
      <c r="P297" s="37"/>
      <c r="Q297" s="59"/>
      <c r="R297" s="49"/>
      <c r="S297" s="37"/>
      <c r="T297" s="37"/>
      <c r="U297" s="37"/>
      <c r="V297" s="37"/>
      <c r="W297" s="96" t="str">
        <f>tbl_Assessment[[#This Row],[Ben Code]] &amp; "-"&amp;tbl_Assessment[[#This Row],[admin4Pcode]]&amp;"-" &amp; TEXT(COUNTIF(INDEX(tbl_Assessment[Ben Code],1):tbl_Assessment[[#This Row],[Ben Code]], tbl_Assessment[[#This Row],[Ben Code]]), "00")</f>
        <v>--00</v>
      </c>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49"/>
      <c r="AU297" s="41"/>
      <c r="AV297" s="37"/>
      <c r="AW297" s="37"/>
      <c r="AX297" s="37"/>
      <c r="AY297" s="37"/>
      <c r="AZ297" s="37"/>
      <c r="BA297" s="37"/>
      <c r="BB297" s="41"/>
      <c r="BC297" s="37"/>
      <c r="BD297" s="37"/>
      <c r="BE297" s="37"/>
      <c r="BF297" s="41"/>
      <c r="BG297" s="37"/>
      <c r="BH297" s="37"/>
      <c r="BI297" s="37"/>
      <c r="BJ297" s="41"/>
    </row>
    <row r="298" spans="2:62" ht="25.15" customHeight="1" x14ac:dyDescent="0.25">
      <c r="B298" s="49">
        <v>293</v>
      </c>
      <c r="C298" s="37"/>
      <c r="D298" s="87" t="str">
        <f>IF(tbl_Assessment[[#This Row],[Ben Code]]&lt;&gt;"",INDEX(tbl_Ben_Info[],MATCH(tbl_Assessment[[#This Row],[Ben Code]],tbl_Ben_Info[Ben Code],0),48),"")</f>
        <v/>
      </c>
      <c r="E298" s="116" t="str">
        <f>IF(tbl_Assessment[[#This Row],[Ben Code]]&lt;&gt;"",INDEX(tbl_Ben_Info[],MATCH(tbl_Assessment[[#This Row],[Ben Code]],tbl_Ben_Info[Ben Code],0),6),"")</f>
        <v/>
      </c>
      <c r="F298" s="113" t="str">
        <f>IF(tbl_Assessment[[#This Row],[Ben Code]]&lt;&gt;"",INDEX(tbl_Ben_Info[],MATCH(tbl_Assessment[[#This Row],[Ben Code]],tbl_Ben_Info[Ben Code],0),13),"")</f>
        <v/>
      </c>
      <c r="G298" s="49"/>
      <c r="H298" s="37"/>
      <c r="I298" s="37"/>
      <c r="J298" s="37"/>
      <c r="K298" s="37"/>
      <c r="L298" s="37"/>
      <c r="M298" s="59"/>
      <c r="N298" s="37"/>
      <c r="O298" s="37"/>
      <c r="P298" s="37"/>
      <c r="Q298" s="59"/>
      <c r="R298" s="49"/>
      <c r="S298" s="37"/>
      <c r="T298" s="37"/>
      <c r="U298" s="37"/>
      <c r="V298" s="37"/>
      <c r="W298" s="96" t="str">
        <f>tbl_Assessment[[#This Row],[Ben Code]] &amp; "-"&amp;tbl_Assessment[[#This Row],[admin4Pcode]]&amp;"-" &amp; TEXT(COUNTIF(INDEX(tbl_Assessment[Ben Code],1):tbl_Assessment[[#This Row],[Ben Code]], tbl_Assessment[[#This Row],[Ben Code]]), "00")</f>
        <v>--00</v>
      </c>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49"/>
      <c r="AU298" s="41"/>
      <c r="AV298" s="37"/>
      <c r="AW298" s="37"/>
      <c r="AX298" s="37"/>
      <c r="AY298" s="37"/>
      <c r="AZ298" s="37"/>
      <c r="BA298" s="37"/>
      <c r="BB298" s="41"/>
      <c r="BC298" s="37"/>
      <c r="BD298" s="37"/>
      <c r="BE298" s="37"/>
      <c r="BF298" s="41"/>
      <c r="BG298" s="37"/>
      <c r="BH298" s="37"/>
      <c r="BI298" s="37"/>
      <c r="BJ298" s="41"/>
    </row>
    <row r="299" spans="2:62" ht="25.15" customHeight="1" x14ac:dyDescent="0.25">
      <c r="B299" s="49">
        <v>294</v>
      </c>
      <c r="C299" s="37"/>
      <c r="D299" s="87" t="str">
        <f>IF(tbl_Assessment[[#This Row],[Ben Code]]&lt;&gt;"",INDEX(tbl_Ben_Info[],MATCH(tbl_Assessment[[#This Row],[Ben Code]],tbl_Ben_Info[Ben Code],0),48),"")</f>
        <v/>
      </c>
      <c r="E299" s="116" t="str">
        <f>IF(tbl_Assessment[[#This Row],[Ben Code]]&lt;&gt;"",INDEX(tbl_Ben_Info[],MATCH(tbl_Assessment[[#This Row],[Ben Code]],tbl_Ben_Info[Ben Code],0),6),"")</f>
        <v/>
      </c>
      <c r="F299" s="113" t="str">
        <f>IF(tbl_Assessment[[#This Row],[Ben Code]]&lt;&gt;"",INDEX(tbl_Ben_Info[],MATCH(tbl_Assessment[[#This Row],[Ben Code]],tbl_Ben_Info[Ben Code],0),13),"")</f>
        <v/>
      </c>
      <c r="G299" s="49"/>
      <c r="H299" s="37"/>
      <c r="I299" s="37"/>
      <c r="J299" s="37"/>
      <c r="K299" s="37"/>
      <c r="L299" s="37"/>
      <c r="M299" s="59"/>
      <c r="N299" s="37"/>
      <c r="O299" s="37"/>
      <c r="P299" s="37"/>
      <c r="Q299" s="59"/>
      <c r="R299" s="49"/>
      <c r="S299" s="37"/>
      <c r="T299" s="37"/>
      <c r="U299" s="37"/>
      <c r="V299" s="37"/>
      <c r="W299" s="96" t="str">
        <f>tbl_Assessment[[#This Row],[Ben Code]] &amp; "-"&amp;tbl_Assessment[[#This Row],[admin4Pcode]]&amp;"-" &amp; TEXT(COUNTIF(INDEX(tbl_Assessment[Ben Code],1):tbl_Assessment[[#This Row],[Ben Code]], tbl_Assessment[[#This Row],[Ben Code]]), "00")</f>
        <v>--00</v>
      </c>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49"/>
      <c r="AU299" s="41"/>
      <c r="AV299" s="37"/>
      <c r="AW299" s="37"/>
      <c r="AX299" s="37"/>
      <c r="AY299" s="37"/>
      <c r="AZ299" s="37"/>
      <c r="BA299" s="37"/>
      <c r="BB299" s="41"/>
      <c r="BC299" s="37"/>
      <c r="BD299" s="37"/>
      <c r="BE299" s="37"/>
      <c r="BF299" s="41"/>
      <c r="BG299" s="37"/>
      <c r="BH299" s="37"/>
      <c r="BI299" s="37"/>
      <c r="BJ299" s="41"/>
    </row>
    <row r="300" spans="2:62" ht="25.15" customHeight="1" x14ac:dyDescent="0.25">
      <c r="B300" s="49">
        <v>295</v>
      </c>
      <c r="C300" s="37"/>
      <c r="D300" s="87" t="str">
        <f>IF(tbl_Assessment[[#This Row],[Ben Code]]&lt;&gt;"",INDEX(tbl_Ben_Info[],MATCH(tbl_Assessment[[#This Row],[Ben Code]],tbl_Ben_Info[Ben Code],0),48),"")</f>
        <v/>
      </c>
      <c r="E300" s="116" t="str">
        <f>IF(tbl_Assessment[[#This Row],[Ben Code]]&lt;&gt;"",INDEX(tbl_Ben_Info[],MATCH(tbl_Assessment[[#This Row],[Ben Code]],tbl_Ben_Info[Ben Code],0),6),"")</f>
        <v/>
      </c>
      <c r="F300" s="113" t="str">
        <f>IF(tbl_Assessment[[#This Row],[Ben Code]]&lt;&gt;"",INDEX(tbl_Ben_Info[],MATCH(tbl_Assessment[[#This Row],[Ben Code]],tbl_Ben_Info[Ben Code],0),13),"")</f>
        <v/>
      </c>
      <c r="G300" s="49"/>
      <c r="H300" s="37"/>
      <c r="I300" s="37"/>
      <c r="J300" s="37"/>
      <c r="K300" s="37"/>
      <c r="L300" s="37"/>
      <c r="M300" s="59"/>
      <c r="N300" s="37"/>
      <c r="O300" s="37"/>
      <c r="P300" s="37"/>
      <c r="Q300" s="59"/>
      <c r="R300" s="49"/>
      <c r="S300" s="37"/>
      <c r="T300" s="37"/>
      <c r="U300" s="37"/>
      <c r="V300" s="37"/>
      <c r="W300" s="96" t="str">
        <f>tbl_Assessment[[#This Row],[Ben Code]] &amp; "-"&amp;tbl_Assessment[[#This Row],[admin4Pcode]]&amp;"-" &amp; TEXT(COUNTIF(INDEX(tbl_Assessment[Ben Code],1):tbl_Assessment[[#This Row],[Ben Code]], tbl_Assessment[[#This Row],[Ben Code]]), "00")</f>
        <v>--00</v>
      </c>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49"/>
      <c r="AU300" s="41"/>
      <c r="AV300" s="37"/>
      <c r="AW300" s="37"/>
      <c r="AX300" s="37"/>
      <c r="AY300" s="37"/>
      <c r="AZ300" s="37"/>
      <c r="BA300" s="37"/>
      <c r="BB300" s="41"/>
      <c r="BC300" s="37"/>
      <c r="BD300" s="37"/>
      <c r="BE300" s="37"/>
      <c r="BF300" s="41"/>
      <c r="BG300" s="37"/>
      <c r="BH300" s="37"/>
      <c r="BI300" s="37"/>
      <c r="BJ300" s="41"/>
    </row>
    <row r="301" spans="2:62" ht="25.15" customHeight="1" x14ac:dyDescent="0.25">
      <c r="B301" s="49">
        <v>296</v>
      </c>
      <c r="C301" s="37"/>
      <c r="D301" s="87" t="str">
        <f>IF(tbl_Assessment[[#This Row],[Ben Code]]&lt;&gt;"",INDEX(tbl_Ben_Info[],MATCH(tbl_Assessment[[#This Row],[Ben Code]],tbl_Ben_Info[Ben Code],0),48),"")</f>
        <v/>
      </c>
      <c r="E301" s="116" t="str">
        <f>IF(tbl_Assessment[[#This Row],[Ben Code]]&lt;&gt;"",INDEX(tbl_Ben_Info[],MATCH(tbl_Assessment[[#This Row],[Ben Code]],tbl_Ben_Info[Ben Code],0),6),"")</f>
        <v/>
      </c>
      <c r="F301" s="113" t="str">
        <f>IF(tbl_Assessment[[#This Row],[Ben Code]]&lt;&gt;"",INDEX(tbl_Ben_Info[],MATCH(tbl_Assessment[[#This Row],[Ben Code]],tbl_Ben_Info[Ben Code],0),13),"")</f>
        <v/>
      </c>
      <c r="G301" s="49"/>
      <c r="H301" s="37"/>
      <c r="I301" s="37"/>
      <c r="J301" s="37"/>
      <c r="K301" s="37"/>
      <c r="L301" s="37"/>
      <c r="M301" s="59"/>
      <c r="N301" s="37"/>
      <c r="O301" s="37"/>
      <c r="P301" s="37"/>
      <c r="Q301" s="59"/>
      <c r="R301" s="49"/>
      <c r="S301" s="37"/>
      <c r="T301" s="37"/>
      <c r="U301" s="37"/>
      <c r="V301" s="37"/>
      <c r="W301" s="96" t="str">
        <f>tbl_Assessment[[#This Row],[Ben Code]] &amp; "-"&amp;tbl_Assessment[[#This Row],[admin4Pcode]]&amp;"-" &amp; TEXT(COUNTIF(INDEX(tbl_Assessment[Ben Code],1):tbl_Assessment[[#This Row],[Ben Code]], tbl_Assessment[[#This Row],[Ben Code]]), "00")</f>
        <v>--00</v>
      </c>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49"/>
      <c r="AU301" s="41"/>
      <c r="AV301" s="37"/>
      <c r="AW301" s="37"/>
      <c r="AX301" s="37"/>
      <c r="AY301" s="37"/>
      <c r="AZ301" s="37"/>
      <c r="BA301" s="37"/>
      <c r="BB301" s="41"/>
      <c r="BC301" s="37"/>
      <c r="BD301" s="37"/>
      <c r="BE301" s="37"/>
      <c r="BF301" s="41"/>
      <c r="BG301" s="37"/>
      <c r="BH301" s="37"/>
      <c r="BI301" s="37"/>
      <c r="BJ301" s="41"/>
    </row>
    <row r="302" spans="2:62" ht="25.15" customHeight="1" x14ac:dyDescent="0.25">
      <c r="B302" s="49">
        <v>297</v>
      </c>
      <c r="C302" s="37"/>
      <c r="D302" s="87" t="str">
        <f>IF(tbl_Assessment[[#This Row],[Ben Code]]&lt;&gt;"",INDEX(tbl_Ben_Info[],MATCH(tbl_Assessment[[#This Row],[Ben Code]],tbl_Ben_Info[Ben Code],0),48),"")</f>
        <v/>
      </c>
      <c r="E302" s="116" t="str">
        <f>IF(tbl_Assessment[[#This Row],[Ben Code]]&lt;&gt;"",INDEX(tbl_Ben_Info[],MATCH(tbl_Assessment[[#This Row],[Ben Code]],tbl_Ben_Info[Ben Code],0),6),"")</f>
        <v/>
      </c>
      <c r="F302" s="113" t="str">
        <f>IF(tbl_Assessment[[#This Row],[Ben Code]]&lt;&gt;"",INDEX(tbl_Ben_Info[],MATCH(tbl_Assessment[[#This Row],[Ben Code]],tbl_Ben_Info[Ben Code],0),13),"")</f>
        <v/>
      </c>
      <c r="G302" s="49"/>
      <c r="H302" s="37"/>
      <c r="I302" s="37"/>
      <c r="J302" s="37"/>
      <c r="K302" s="37"/>
      <c r="L302" s="37"/>
      <c r="M302" s="59"/>
      <c r="N302" s="37"/>
      <c r="O302" s="37"/>
      <c r="P302" s="37"/>
      <c r="Q302" s="59"/>
      <c r="R302" s="49"/>
      <c r="S302" s="37"/>
      <c r="T302" s="37"/>
      <c r="U302" s="37"/>
      <c r="V302" s="37"/>
      <c r="W302" s="96" t="str">
        <f>tbl_Assessment[[#This Row],[Ben Code]] &amp; "-"&amp;tbl_Assessment[[#This Row],[admin4Pcode]]&amp;"-" &amp; TEXT(COUNTIF(INDEX(tbl_Assessment[Ben Code],1):tbl_Assessment[[#This Row],[Ben Code]], tbl_Assessment[[#This Row],[Ben Code]]), "00")</f>
        <v>--00</v>
      </c>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49"/>
      <c r="AU302" s="41"/>
      <c r="AV302" s="37"/>
      <c r="AW302" s="37"/>
      <c r="AX302" s="37"/>
      <c r="AY302" s="37"/>
      <c r="AZ302" s="37"/>
      <c r="BA302" s="37"/>
      <c r="BB302" s="41"/>
      <c r="BC302" s="37"/>
      <c r="BD302" s="37"/>
      <c r="BE302" s="37"/>
      <c r="BF302" s="41"/>
      <c r="BG302" s="37"/>
      <c r="BH302" s="37"/>
      <c r="BI302" s="37"/>
      <c r="BJ302" s="41"/>
    </row>
    <row r="303" spans="2:62" ht="25.15" customHeight="1" x14ac:dyDescent="0.25">
      <c r="B303" s="49">
        <v>298</v>
      </c>
      <c r="C303" s="37"/>
      <c r="D303" s="87" t="str">
        <f>IF(tbl_Assessment[[#This Row],[Ben Code]]&lt;&gt;"",INDEX(tbl_Ben_Info[],MATCH(tbl_Assessment[[#This Row],[Ben Code]],tbl_Ben_Info[Ben Code],0),48),"")</f>
        <v/>
      </c>
      <c r="E303" s="116" t="str">
        <f>IF(tbl_Assessment[[#This Row],[Ben Code]]&lt;&gt;"",INDEX(tbl_Ben_Info[],MATCH(tbl_Assessment[[#This Row],[Ben Code]],tbl_Ben_Info[Ben Code],0),6),"")</f>
        <v/>
      </c>
      <c r="F303" s="113" t="str">
        <f>IF(tbl_Assessment[[#This Row],[Ben Code]]&lt;&gt;"",INDEX(tbl_Ben_Info[],MATCH(tbl_Assessment[[#This Row],[Ben Code]],tbl_Ben_Info[Ben Code],0),13),"")</f>
        <v/>
      </c>
      <c r="G303" s="49"/>
      <c r="H303" s="37"/>
      <c r="I303" s="37"/>
      <c r="J303" s="37"/>
      <c r="K303" s="37"/>
      <c r="L303" s="37"/>
      <c r="M303" s="59"/>
      <c r="N303" s="37"/>
      <c r="O303" s="37"/>
      <c r="P303" s="37"/>
      <c r="Q303" s="59"/>
      <c r="R303" s="49"/>
      <c r="S303" s="37"/>
      <c r="T303" s="37"/>
      <c r="U303" s="37"/>
      <c r="V303" s="37"/>
      <c r="W303" s="96" t="str">
        <f>tbl_Assessment[[#This Row],[Ben Code]] &amp; "-"&amp;tbl_Assessment[[#This Row],[admin4Pcode]]&amp;"-" &amp; TEXT(COUNTIF(INDEX(tbl_Assessment[Ben Code],1):tbl_Assessment[[#This Row],[Ben Code]], tbl_Assessment[[#This Row],[Ben Code]]), "00")</f>
        <v>--00</v>
      </c>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49"/>
      <c r="AU303" s="41"/>
      <c r="AV303" s="37"/>
      <c r="AW303" s="37"/>
      <c r="AX303" s="37"/>
      <c r="AY303" s="37"/>
      <c r="AZ303" s="37"/>
      <c r="BA303" s="37"/>
      <c r="BB303" s="41"/>
      <c r="BC303" s="37"/>
      <c r="BD303" s="37"/>
      <c r="BE303" s="37"/>
      <c r="BF303" s="41"/>
      <c r="BG303" s="37"/>
      <c r="BH303" s="37"/>
      <c r="BI303" s="37"/>
      <c r="BJ303" s="41"/>
    </row>
    <row r="304" spans="2:62" ht="25.15" customHeight="1" x14ac:dyDescent="0.25">
      <c r="B304" s="49">
        <v>299</v>
      </c>
      <c r="C304" s="37"/>
      <c r="D304" s="87" t="str">
        <f>IF(tbl_Assessment[[#This Row],[Ben Code]]&lt;&gt;"",INDEX(tbl_Ben_Info[],MATCH(tbl_Assessment[[#This Row],[Ben Code]],tbl_Ben_Info[Ben Code],0),48),"")</f>
        <v/>
      </c>
      <c r="E304" s="116" t="str">
        <f>IF(tbl_Assessment[[#This Row],[Ben Code]]&lt;&gt;"",INDEX(tbl_Ben_Info[],MATCH(tbl_Assessment[[#This Row],[Ben Code]],tbl_Ben_Info[Ben Code],0),6),"")</f>
        <v/>
      </c>
      <c r="F304" s="113" t="str">
        <f>IF(tbl_Assessment[[#This Row],[Ben Code]]&lt;&gt;"",INDEX(tbl_Ben_Info[],MATCH(tbl_Assessment[[#This Row],[Ben Code]],tbl_Ben_Info[Ben Code],0),13),"")</f>
        <v/>
      </c>
      <c r="G304" s="49"/>
      <c r="H304" s="37"/>
      <c r="I304" s="37"/>
      <c r="J304" s="37"/>
      <c r="K304" s="37"/>
      <c r="L304" s="37"/>
      <c r="M304" s="59"/>
      <c r="N304" s="37"/>
      <c r="O304" s="37"/>
      <c r="P304" s="37"/>
      <c r="Q304" s="59"/>
      <c r="R304" s="49"/>
      <c r="S304" s="37"/>
      <c r="T304" s="37"/>
      <c r="U304" s="37"/>
      <c r="V304" s="37"/>
      <c r="W304" s="96" t="str">
        <f>tbl_Assessment[[#This Row],[Ben Code]] &amp; "-"&amp;tbl_Assessment[[#This Row],[admin4Pcode]]&amp;"-" &amp; TEXT(COUNTIF(INDEX(tbl_Assessment[Ben Code],1):tbl_Assessment[[#This Row],[Ben Code]], tbl_Assessment[[#This Row],[Ben Code]]), "00")</f>
        <v>--00</v>
      </c>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49"/>
      <c r="AU304" s="41"/>
      <c r="AV304" s="37"/>
      <c r="AW304" s="37"/>
      <c r="AX304" s="37"/>
      <c r="AY304" s="37"/>
      <c r="AZ304" s="37"/>
      <c r="BA304" s="37"/>
      <c r="BB304" s="41"/>
      <c r="BC304" s="37"/>
      <c r="BD304" s="37"/>
      <c r="BE304" s="37"/>
      <c r="BF304" s="41"/>
      <c r="BG304" s="37"/>
      <c r="BH304" s="37"/>
      <c r="BI304" s="37"/>
      <c r="BJ304" s="41"/>
    </row>
    <row r="305" spans="2:62" ht="25.15" customHeight="1" x14ac:dyDescent="0.25">
      <c r="B305" s="49">
        <v>300</v>
      </c>
      <c r="C305" s="37"/>
      <c r="D305" s="87" t="str">
        <f>IF(tbl_Assessment[[#This Row],[Ben Code]]&lt;&gt;"",INDEX(tbl_Ben_Info[],MATCH(tbl_Assessment[[#This Row],[Ben Code]],tbl_Ben_Info[Ben Code],0),48),"")</f>
        <v/>
      </c>
      <c r="E305" s="116" t="str">
        <f>IF(tbl_Assessment[[#This Row],[Ben Code]]&lt;&gt;"",INDEX(tbl_Ben_Info[],MATCH(tbl_Assessment[[#This Row],[Ben Code]],tbl_Ben_Info[Ben Code],0),6),"")</f>
        <v/>
      </c>
      <c r="F305" s="113" t="str">
        <f>IF(tbl_Assessment[[#This Row],[Ben Code]]&lt;&gt;"",INDEX(tbl_Ben_Info[],MATCH(tbl_Assessment[[#This Row],[Ben Code]],tbl_Ben_Info[Ben Code],0),13),"")</f>
        <v/>
      </c>
      <c r="G305" s="49"/>
      <c r="H305" s="37"/>
      <c r="I305" s="37"/>
      <c r="J305" s="37"/>
      <c r="K305" s="37"/>
      <c r="L305" s="37"/>
      <c r="M305" s="59"/>
      <c r="N305" s="37"/>
      <c r="O305" s="37"/>
      <c r="P305" s="37"/>
      <c r="Q305" s="59"/>
      <c r="R305" s="49"/>
      <c r="S305" s="37"/>
      <c r="T305" s="37"/>
      <c r="U305" s="37"/>
      <c r="V305" s="37"/>
      <c r="W305" s="96" t="str">
        <f>tbl_Assessment[[#This Row],[Ben Code]] &amp; "-"&amp;tbl_Assessment[[#This Row],[admin4Pcode]]&amp;"-" &amp; TEXT(COUNTIF(INDEX(tbl_Assessment[Ben Code],1):tbl_Assessment[[#This Row],[Ben Code]], tbl_Assessment[[#This Row],[Ben Code]]), "00")</f>
        <v>--00</v>
      </c>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49"/>
      <c r="AU305" s="41"/>
      <c r="AV305" s="37"/>
      <c r="AW305" s="37"/>
      <c r="AX305" s="37"/>
      <c r="AY305" s="37"/>
      <c r="AZ305" s="37"/>
      <c r="BA305" s="37"/>
      <c r="BB305" s="41"/>
      <c r="BC305" s="37"/>
      <c r="BD305" s="37"/>
      <c r="BE305" s="37"/>
      <c r="BF305" s="41"/>
      <c r="BG305" s="37"/>
      <c r="BH305" s="37"/>
      <c r="BI305" s="37"/>
      <c r="BJ305" s="41"/>
    </row>
    <row r="306" spans="2:62" ht="25.15" customHeight="1" x14ac:dyDescent="0.25">
      <c r="B306" s="49">
        <v>301</v>
      </c>
      <c r="C306" s="37"/>
      <c r="D306" s="87" t="str">
        <f>IF(tbl_Assessment[[#This Row],[Ben Code]]&lt;&gt;"",INDEX(tbl_Ben_Info[],MATCH(tbl_Assessment[[#This Row],[Ben Code]],tbl_Ben_Info[Ben Code],0),48),"")</f>
        <v/>
      </c>
      <c r="E306" s="116" t="str">
        <f>IF(tbl_Assessment[[#This Row],[Ben Code]]&lt;&gt;"",INDEX(tbl_Ben_Info[],MATCH(tbl_Assessment[[#This Row],[Ben Code]],tbl_Ben_Info[Ben Code],0),6),"")</f>
        <v/>
      </c>
      <c r="F306" s="113" t="str">
        <f>IF(tbl_Assessment[[#This Row],[Ben Code]]&lt;&gt;"",INDEX(tbl_Ben_Info[],MATCH(tbl_Assessment[[#This Row],[Ben Code]],tbl_Ben_Info[Ben Code],0),13),"")</f>
        <v/>
      </c>
      <c r="G306" s="49"/>
      <c r="H306" s="37"/>
      <c r="I306" s="37"/>
      <c r="J306" s="37"/>
      <c r="K306" s="37"/>
      <c r="L306" s="37"/>
      <c r="M306" s="59"/>
      <c r="N306" s="37"/>
      <c r="O306" s="37"/>
      <c r="P306" s="37"/>
      <c r="Q306" s="59"/>
      <c r="R306" s="49"/>
      <c r="S306" s="37"/>
      <c r="T306" s="37"/>
      <c r="U306" s="37"/>
      <c r="V306" s="37"/>
      <c r="W306" s="96" t="str">
        <f>tbl_Assessment[[#This Row],[Ben Code]] &amp; "-"&amp;tbl_Assessment[[#This Row],[admin4Pcode]]&amp;"-" &amp; TEXT(COUNTIF(INDEX(tbl_Assessment[Ben Code],1):tbl_Assessment[[#This Row],[Ben Code]], tbl_Assessment[[#This Row],[Ben Code]]), "00")</f>
        <v>--00</v>
      </c>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49"/>
      <c r="AU306" s="41"/>
      <c r="AV306" s="37"/>
      <c r="AW306" s="37"/>
      <c r="AX306" s="37"/>
      <c r="AY306" s="37"/>
      <c r="AZ306" s="37"/>
      <c r="BA306" s="37"/>
      <c r="BB306" s="41"/>
      <c r="BC306" s="37"/>
      <c r="BD306" s="37"/>
      <c r="BE306" s="37"/>
      <c r="BF306" s="41"/>
      <c r="BG306" s="37"/>
      <c r="BH306" s="37"/>
      <c r="BI306" s="37"/>
      <c r="BJ306" s="41"/>
    </row>
    <row r="307" spans="2:62" ht="25.15" customHeight="1" x14ac:dyDescent="0.25">
      <c r="B307" s="49">
        <v>302</v>
      </c>
      <c r="C307" s="37"/>
      <c r="D307" s="87" t="str">
        <f>IF(tbl_Assessment[[#This Row],[Ben Code]]&lt;&gt;"",INDEX(tbl_Ben_Info[],MATCH(tbl_Assessment[[#This Row],[Ben Code]],tbl_Ben_Info[Ben Code],0),48),"")</f>
        <v/>
      </c>
      <c r="E307" s="116" t="str">
        <f>IF(tbl_Assessment[[#This Row],[Ben Code]]&lt;&gt;"",INDEX(tbl_Ben_Info[],MATCH(tbl_Assessment[[#This Row],[Ben Code]],tbl_Ben_Info[Ben Code],0),6),"")</f>
        <v/>
      </c>
      <c r="F307" s="113" t="str">
        <f>IF(tbl_Assessment[[#This Row],[Ben Code]]&lt;&gt;"",INDEX(tbl_Ben_Info[],MATCH(tbl_Assessment[[#This Row],[Ben Code]],tbl_Ben_Info[Ben Code],0),13),"")</f>
        <v/>
      </c>
      <c r="G307" s="49"/>
      <c r="H307" s="37"/>
      <c r="I307" s="37"/>
      <c r="J307" s="37"/>
      <c r="K307" s="37"/>
      <c r="L307" s="37"/>
      <c r="M307" s="59"/>
      <c r="N307" s="37"/>
      <c r="O307" s="37"/>
      <c r="P307" s="37"/>
      <c r="Q307" s="59"/>
      <c r="R307" s="49"/>
      <c r="S307" s="37"/>
      <c r="T307" s="37"/>
      <c r="U307" s="37"/>
      <c r="V307" s="37"/>
      <c r="W307" s="96" t="str">
        <f>tbl_Assessment[[#This Row],[Ben Code]] &amp; "-"&amp;tbl_Assessment[[#This Row],[admin4Pcode]]&amp;"-" &amp; TEXT(COUNTIF(INDEX(tbl_Assessment[Ben Code],1):tbl_Assessment[[#This Row],[Ben Code]], tbl_Assessment[[#This Row],[Ben Code]]), "00")</f>
        <v>--00</v>
      </c>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49"/>
      <c r="AU307" s="41"/>
      <c r="AV307" s="37"/>
      <c r="AW307" s="37"/>
      <c r="AX307" s="37"/>
      <c r="AY307" s="37"/>
      <c r="AZ307" s="37"/>
      <c r="BA307" s="37"/>
      <c r="BB307" s="41"/>
      <c r="BC307" s="37"/>
      <c r="BD307" s="37"/>
      <c r="BE307" s="37"/>
      <c r="BF307" s="41"/>
      <c r="BG307" s="37"/>
      <c r="BH307" s="37"/>
      <c r="BI307" s="37"/>
      <c r="BJ307" s="41"/>
    </row>
    <row r="308" spans="2:62" ht="25.15" customHeight="1" x14ac:dyDescent="0.25">
      <c r="B308" s="49">
        <v>303</v>
      </c>
      <c r="C308" s="37"/>
      <c r="D308" s="87" t="str">
        <f>IF(tbl_Assessment[[#This Row],[Ben Code]]&lt;&gt;"",INDEX(tbl_Ben_Info[],MATCH(tbl_Assessment[[#This Row],[Ben Code]],tbl_Ben_Info[Ben Code],0),48),"")</f>
        <v/>
      </c>
      <c r="E308" s="116" t="str">
        <f>IF(tbl_Assessment[[#This Row],[Ben Code]]&lt;&gt;"",INDEX(tbl_Ben_Info[],MATCH(tbl_Assessment[[#This Row],[Ben Code]],tbl_Ben_Info[Ben Code],0),6),"")</f>
        <v/>
      </c>
      <c r="F308" s="113" t="str">
        <f>IF(tbl_Assessment[[#This Row],[Ben Code]]&lt;&gt;"",INDEX(tbl_Ben_Info[],MATCH(tbl_Assessment[[#This Row],[Ben Code]],tbl_Ben_Info[Ben Code],0),13),"")</f>
        <v/>
      </c>
      <c r="G308" s="49"/>
      <c r="H308" s="37"/>
      <c r="I308" s="37"/>
      <c r="J308" s="37"/>
      <c r="K308" s="37"/>
      <c r="L308" s="37"/>
      <c r="M308" s="59"/>
      <c r="N308" s="37"/>
      <c r="O308" s="37"/>
      <c r="P308" s="37"/>
      <c r="Q308" s="59"/>
      <c r="R308" s="49"/>
      <c r="S308" s="37"/>
      <c r="T308" s="37"/>
      <c r="U308" s="37"/>
      <c r="V308" s="37"/>
      <c r="W308" s="96" t="str">
        <f>tbl_Assessment[[#This Row],[Ben Code]] &amp; "-"&amp;tbl_Assessment[[#This Row],[admin4Pcode]]&amp;"-" &amp; TEXT(COUNTIF(INDEX(tbl_Assessment[Ben Code],1):tbl_Assessment[[#This Row],[Ben Code]], tbl_Assessment[[#This Row],[Ben Code]]), "00")</f>
        <v>--00</v>
      </c>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49"/>
      <c r="AU308" s="41"/>
      <c r="AV308" s="37"/>
      <c r="AW308" s="37"/>
      <c r="AX308" s="37"/>
      <c r="AY308" s="37"/>
      <c r="AZ308" s="37"/>
      <c r="BA308" s="37"/>
      <c r="BB308" s="41"/>
      <c r="BC308" s="37"/>
      <c r="BD308" s="37"/>
      <c r="BE308" s="37"/>
      <c r="BF308" s="41"/>
      <c r="BG308" s="37"/>
      <c r="BH308" s="37"/>
      <c r="BI308" s="37"/>
      <c r="BJ308" s="41"/>
    </row>
    <row r="309" spans="2:62" ht="25.15" customHeight="1" x14ac:dyDescent="0.25">
      <c r="B309" s="49">
        <v>304</v>
      </c>
      <c r="C309" s="37"/>
      <c r="D309" s="87" t="str">
        <f>IF(tbl_Assessment[[#This Row],[Ben Code]]&lt;&gt;"",INDEX(tbl_Ben_Info[],MATCH(tbl_Assessment[[#This Row],[Ben Code]],tbl_Ben_Info[Ben Code],0),48),"")</f>
        <v/>
      </c>
      <c r="E309" s="116" t="str">
        <f>IF(tbl_Assessment[[#This Row],[Ben Code]]&lt;&gt;"",INDEX(tbl_Ben_Info[],MATCH(tbl_Assessment[[#This Row],[Ben Code]],tbl_Ben_Info[Ben Code],0),6),"")</f>
        <v/>
      </c>
      <c r="F309" s="113" t="str">
        <f>IF(tbl_Assessment[[#This Row],[Ben Code]]&lt;&gt;"",INDEX(tbl_Ben_Info[],MATCH(tbl_Assessment[[#This Row],[Ben Code]],tbl_Ben_Info[Ben Code],0),13),"")</f>
        <v/>
      </c>
      <c r="G309" s="49"/>
      <c r="H309" s="37"/>
      <c r="I309" s="37"/>
      <c r="J309" s="37"/>
      <c r="K309" s="37"/>
      <c r="L309" s="37"/>
      <c r="M309" s="59"/>
      <c r="N309" s="37"/>
      <c r="O309" s="37"/>
      <c r="P309" s="37"/>
      <c r="Q309" s="59"/>
      <c r="R309" s="49"/>
      <c r="S309" s="37"/>
      <c r="T309" s="37"/>
      <c r="U309" s="37"/>
      <c r="V309" s="37"/>
      <c r="W309" s="96" t="str">
        <f>tbl_Assessment[[#This Row],[Ben Code]] &amp; "-"&amp;tbl_Assessment[[#This Row],[admin4Pcode]]&amp;"-" &amp; TEXT(COUNTIF(INDEX(tbl_Assessment[Ben Code],1):tbl_Assessment[[#This Row],[Ben Code]], tbl_Assessment[[#This Row],[Ben Code]]), "00")</f>
        <v>--00</v>
      </c>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49"/>
      <c r="AU309" s="41"/>
      <c r="AV309" s="37"/>
      <c r="AW309" s="37"/>
      <c r="AX309" s="37"/>
      <c r="AY309" s="37"/>
      <c r="AZ309" s="37"/>
      <c r="BA309" s="37"/>
      <c r="BB309" s="41"/>
      <c r="BC309" s="37"/>
      <c r="BD309" s="37"/>
      <c r="BE309" s="37"/>
      <c r="BF309" s="41"/>
      <c r="BG309" s="37"/>
      <c r="BH309" s="37"/>
      <c r="BI309" s="37"/>
      <c r="BJ309" s="41"/>
    </row>
    <row r="310" spans="2:62" ht="25.15" customHeight="1" x14ac:dyDescent="0.25">
      <c r="B310" s="49">
        <v>305</v>
      </c>
      <c r="C310" s="37"/>
      <c r="D310" s="87" t="str">
        <f>IF(tbl_Assessment[[#This Row],[Ben Code]]&lt;&gt;"",INDEX(tbl_Ben_Info[],MATCH(tbl_Assessment[[#This Row],[Ben Code]],tbl_Ben_Info[Ben Code],0),48),"")</f>
        <v/>
      </c>
      <c r="E310" s="116" t="str">
        <f>IF(tbl_Assessment[[#This Row],[Ben Code]]&lt;&gt;"",INDEX(tbl_Ben_Info[],MATCH(tbl_Assessment[[#This Row],[Ben Code]],tbl_Ben_Info[Ben Code],0),6),"")</f>
        <v/>
      </c>
      <c r="F310" s="113" t="str">
        <f>IF(tbl_Assessment[[#This Row],[Ben Code]]&lt;&gt;"",INDEX(tbl_Ben_Info[],MATCH(tbl_Assessment[[#This Row],[Ben Code]],tbl_Ben_Info[Ben Code],0),13),"")</f>
        <v/>
      </c>
      <c r="G310" s="49"/>
      <c r="H310" s="37"/>
      <c r="I310" s="37"/>
      <c r="J310" s="37"/>
      <c r="K310" s="37"/>
      <c r="L310" s="37"/>
      <c r="M310" s="59"/>
      <c r="N310" s="37"/>
      <c r="O310" s="37"/>
      <c r="P310" s="37"/>
      <c r="Q310" s="59"/>
      <c r="R310" s="49"/>
      <c r="S310" s="37"/>
      <c r="T310" s="37"/>
      <c r="U310" s="37"/>
      <c r="V310" s="37"/>
      <c r="W310" s="96" t="str">
        <f>tbl_Assessment[[#This Row],[Ben Code]] &amp; "-"&amp;tbl_Assessment[[#This Row],[admin4Pcode]]&amp;"-" &amp; TEXT(COUNTIF(INDEX(tbl_Assessment[Ben Code],1):tbl_Assessment[[#This Row],[Ben Code]], tbl_Assessment[[#This Row],[Ben Code]]), "00")</f>
        <v>--00</v>
      </c>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49"/>
      <c r="AU310" s="41"/>
      <c r="AV310" s="37"/>
      <c r="AW310" s="37"/>
      <c r="AX310" s="37"/>
      <c r="AY310" s="37"/>
      <c r="AZ310" s="37"/>
      <c r="BA310" s="37"/>
      <c r="BB310" s="41"/>
      <c r="BC310" s="37"/>
      <c r="BD310" s="37"/>
      <c r="BE310" s="37"/>
      <c r="BF310" s="41"/>
      <c r="BG310" s="37"/>
      <c r="BH310" s="37"/>
      <c r="BI310" s="37"/>
      <c r="BJ310" s="41"/>
    </row>
    <row r="311" spans="2:62" ht="25.15" customHeight="1" x14ac:dyDescent="0.25">
      <c r="B311" s="49">
        <v>306</v>
      </c>
      <c r="C311" s="37"/>
      <c r="D311" s="87" t="str">
        <f>IF(tbl_Assessment[[#This Row],[Ben Code]]&lt;&gt;"",INDEX(tbl_Ben_Info[],MATCH(tbl_Assessment[[#This Row],[Ben Code]],tbl_Ben_Info[Ben Code],0),48),"")</f>
        <v/>
      </c>
      <c r="E311" s="116" t="str">
        <f>IF(tbl_Assessment[[#This Row],[Ben Code]]&lt;&gt;"",INDEX(tbl_Ben_Info[],MATCH(tbl_Assessment[[#This Row],[Ben Code]],tbl_Ben_Info[Ben Code],0),6),"")</f>
        <v/>
      </c>
      <c r="F311" s="113" t="str">
        <f>IF(tbl_Assessment[[#This Row],[Ben Code]]&lt;&gt;"",INDEX(tbl_Ben_Info[],MATCH(tbl_Assessment[[#This Row],[Ben Code]],tbl_Ben_Info[Ben Code],0),13),"")</f>
        <v/>
      </c>
      <c r="G311" s="49"/>
      <c r="H311" s="37"/>
      <c r="I311" s="37"/>
      <c r="J311" s="37"/>
      <c r="K311" s="37"/>
      <c r="L311" s="37"/>
      <c r="M311" s="59"/>
      <c r="N311" s="37"/>
      <c r="O311" s="37"/>
      <c r="P311" s="37"/>
      <c r="Q311" s="59"/>
      <c r="R311" s="49"/>
      <c r="S311" s="37"/>
      <c r="T311" s="37"/>
      <c r="U311" s="37"/>
      <c r="V311" s="37"/>
      <c r="W311" s="96" t="str">
        <f>tbl_Assessment[[#This Row],[Ben Code]] &amp; "-"&amp;tbl_Assessment[[#This Row],[admin4Pcode]]&amp;"-" &amp; TEXT(COUNTIF(INDEX(tbl_Assessment[Ben Code],1):tbl_Assessment[[#This Row],[Ben Code]], tbl_Assessment[[#This Row],[Ben Code]]), "00")</f>
        <v>--00</v>
      </c>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49"/>
      <c r="AU311" s="41"/>
      <c r="AV311" s="37"/>
      <c r="AW311" s="37"/>
      <c r="AX311" s="37"/>
      <c r="AY311" s="37"/>
      <c r="AZ311" s="37"/>
      <c r="BA311" s="37"/>
      <c r="BB311" s="41"/>
      <c r="BC311" s="37"/>
      <c r="BD311" s="37"/>
      <c r="BE311" s="37"/>
      <c r="BF311" s="41"/>
      <c r="BG311" s="37"/>
      <c r="BH311" s="37"/>
      <c r="BI311" s="37"/>
      <c r="BJ311" s="41"/>
    </row>
    <row r="312" spans="2:62" ht="25.15" customHeight="1" x14ac:dyDescent="0.25">
      <c r="B312" s="49">
        <v>307</v>
      </c>
      <c r="C312" s="37"/>
      <c r="D312" s="87" t="str">
        <f>IF(tbl_Assessment[[#This Row],[Ben Code]]&lt;&gt;"",INDEX(tbl_Ben_Info[],MATCH(tbl_Assessment[[#This Row],[Ben Code]],tbl_Ben_Info[Ben Code],0),48),"")</f>
        <v/>
      </c>
      <c r="E312" s="116" t="str">
        <f>IF(tbl_Assessment[[#This Row],[Ben Code]]&lt;&gt;"",INDEX(tbl_Ben_Info[],MATCH(tbl_Assessment[[#This Row],[Ben Code]],tbl_Ben_Info[Ben Code],0),6),"")</f>
        <v/>
      </c>
      <c r="F312" s="113" t="str">
        <f>IF(tbl_Assessment[[#This Row],[Ben Code]]&lt;&gt;"",INDEX(tbl_Ben_Info[],MATCH(tbl_Assessment[[#This Row],[Ben Code]],tbl_Ben_Info[Ben Code],0),13),"")</f>
        <v/>
      </c>
      <c r="G312" s="49"/>
      <c r="H312" s="37"/>
      <c r="I312" s="37"/>
      <c r="J312" s="37"/>
      <c r="K312" s="37"/>
      <c r="L312" s="37"/>
      <c r="M312" s="59"/>
      <c r="N312" s="37"/>
      <c r="O312" s="37"/>
      <c r="P312" s="37"/>
      <c r="Q312" s="59"/>
      <c r="R312" s="49"/>
      <c r="S312" s="37"/>
      <c r="T312" s="37"/>
      <c r="U312" s="37"/>
      <c r="V312" s="37"/>
      <c r="W312" s="96" t="str">
        <f>tbl_Assessment[[#This Row],[Ben Code]] &amp; "-"&amp;tbl_Assessment[[#This Row],[admin4Pcode]]&amp;"-" &amp; TEXT(COUNTIF(INDEX(tbl_Assessment[Ben Code],1):tbl_Assessment[[#This Row],[Ben Code]], tbl_Assessment[[#This Row],[Ben Code]]), "00")</f>
        <v>--00</v>
      </c>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49"/>
      <c r="AU312" s="41"/>
      <c r="AV312" s="37"/>
      <c r="AW312" s="37"/>
      <c r="AX312" s="37"/>
      <c r="AY312" s="37"/>
      <c r="AZ312" s="37"/>
      <c r="BA312" s="37"/>
      <c r="BB312" s="41"/>
      <c r="BC312" s="37"/>
      <c r="BD312" s="37"/>
      <c r="BE312" s="37"/>
      <c r="BF312" s="41"/>
      <c r="BG312" s="37"/>
      <c r="BH312" s="37"/>
      <c r="BI312" s="37"/>
      <c r="BJ312" s="41"/>
    </row>
    <row r="313" spans="2:62" ht="25.15" customHeight="1" x14ac:dyDescent="0.25">
      <c r="B313" s="49">
        <v>308</v>
      </c>
      <c r="C313" s="37"/>
      <c r="D313" s="87" t="str">
        <f>IF(tbl_Assessment[[#This Row],[Ben Code]]&lt;&gt;"",INDEX(tbl_Ben_Info[],MATCH(tbl_Assessment[[#This Row],[Ben Code]],tbl_Ben_Info[Ben Code],0),48),"")</f>
        <v/>
      </c>
      <c r="E313" s="116" t="str">
        <f>IF(tbl_Assessment[[#This Row],[Ben Code]]&lt;&gt;"",INDEX(tbl_Ben_Info[],MATCH(tbl_Assessment[[#This Row],[Ben Code]],tbl_Ben_Info[Ben Code],0),6),"")</f>
        <v/>
      </c>
      <c r="F313" s="113" t="str">
        <f>IF(tbl_Assessment[[#This Row],[Ben Code]]&lt;&gt;"",INDEX(tbl_Ben_Info[],MATCH(tbl_Assessment[[#This Row],[Ben Code]],tbl_Ben_Info[Ben Code],0),13),"")</f>
        <v/>
      </c>
      <c r="G313" s="49"/>
      <c r="H313" s="37"/>
      <c r="I313" s="37"/>
      <c r="J313" s="37"/>
      <c r="K313" s="37"/>
      <c r="L313" s="37"/>
      <c r="M313" s="59"/>
      <c r="N313" s="37"/>
      <c r="O313" s="37"/>
      <c r="P313" s="37"/>
      <c r="Q313" s="59"/>
      <c r="R313" s="49"/>
      <c r="S313" s="37"/>
      <c r="T313" s="37"/>
      <c r="U313" s="37"/>
      <c r="V313" s="37"/>
      <c r="W313" s="96" t="str">
        <f>tbl_Assessment[[#This Row],[Ben Code]] &amp; "-"&amp;tbl_Assessment[[#This Row],[admin4Pcode]]&amp;"-" &amp; TEXT(COUNTIF(INDEX(tbl_Assessment[Ben Code],1):tbl_Assessment[[#This Row],[Ben Code]], tbl_Assessment[[#This Row],[Ben Code]]), "00")</f>
        <v>--00</v>
      </c>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49"/>
      <c r="AU313" s="41"/>
      <c r="AV313" s="37"/>
      <c r="AW313" s="37"/>
      <c r="AX313" s="37"/>
      <c r="AY313" s="37"/>
      <c r="AZ313" s="37"/>
      <c r="BA313" s="37"/>
      <c r="BB313" s="41"/>
      <c r="BC313" s="37"/>
      <c r="BD313" s="37"/>
      <c r="BE313" s="37"/>
      <c r="BF313" s="41"/>
      <c r="BG313" s="37"/>
      <c r="BH313" s="37"/>
      <c r="BI313" s="37"/>
      <c r="BJ313" s="41"/>
    </row>
    <row r="314" spans="2:62" ht="25.15" customHeight="1" x14ac:dyDescent="0.25">
      <c r="B314" s="49">
        <v>309</v>
      </c>
      <c r="C314" s="37"/>
      <c r="D314" s="87" t="str">
        <f>IF(tbl_Assessment[[#This Row],[Ben Code]]&lt;&gt;"",INDEX(tbl_Ben_Info[],MATCH(tbl_Assessment[[#This Row],[Ben Code]],tbl_Ben_Info[Ben Code],0),48),"")</f>
        <v/>
      </c>
      <c r="E314" s="116" t="str">
        <f>IF(tbl_Assessment[[#This Row],[Ben Code]]&lt;&gt;"",INDEX(tbl_Ben_Info[],MATCH(tbl_Assessment[[#This Row],[Ben Code]],tbl_Ben_Info[Ben Code],0),6),"")</f>
        <v/>
      </c>
      <c r="F314" s="113" t="str">
        <f>IF(tbl_Assessment[[#This Row],[Ben Code]]&lt;&gt;"",INDEX(tbl_Ben_Info[],MATCH(tbl_Assessment[[#This Row],[Ben Code]],tbl_Ben_Info[Ben Code],0),13),"")</f>
        <v/>
      </c>
      <c r="G314" s="49"/>
      <c r="H314" s="37"/>
      <c r="I314" s="37"/>
      <c r="J314" s="37"/>
      <c r="K314" s="37"/>
      <c r="L314" s="37"/>
      <c r="M314" s="59"/>
      <c r="N314" s="37"/>
      <c r="O314" s="37"/>
      <c r="P314" s="37"/>
      <c r="Q314" s="59"/>
      <c r="R314" s="49"/>
      <c r="S314" s="37"/>
      <c r="T314" s="37"/>
      <c r="U314" s="37"/>
      <c r="V314" s="37"/>
      <c r="W314" s="96" t="str">
        <f>tbl_Assessment[[#This Row],[Ben Code]] &amp; "-"&amp;tbl_Assessment[[#This Row],[admin4Pcode]]&amp;"-" &amp; TEXT(COUNTIF(INDEX(tbl_Assessment[Ben Code],1):tbl_Assessment[[#This Row],[Ben Code]], tbl_Assessment[[#This Row],[Ben Code]]), "00")</f>
        <v>--00</v>
      </c>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49"/>
      <c r="AU314" s="41"/>
      <c r="AV314" s="37"/>
      <c r="AW314" s="37"/>
      <c r="AX314" s="37"/>
      <c r="AY314" s="37"/>
      <c r="AZ314" s="37"/>
      <c r="BA314" s="37"/>
      <c r="BB314" s="41"/>
      <c r="BC314" s="37"/>
      <c r="BD314" s="37"/>
      <c r="BE314" s="37"/>
      <c r="BF314" s="41"/>
      <c r="BG314" s="37"/>
      <c r="BH314" s="37"/>
      <c r="BI314" s="37"/>
      <c r="BJ314" s="41"/>
    </row>
    <row r="315" spans="2:62" ht="25.15" customHeight="1" x14ac:dyDescent="0.25">
      <c r="B315" s="49">
        <v>310</v>
      </c>
      <c r="C315" s="37"/>
      <c r="D315" s="87" t="str">
        <f>IF(tbl_Assessment[[#This Row],[Ben Code]]&lt;&gt;"",INDEX(tbl_Ben_Info[],MATCH(tbl_Assessment[[#This Row],[Ben Code]],tbl_Ben_Info[Ben Code],0),48),"")</f>
        <v/>
      </c>
      <c r="E315" s="116" t="str">
        <f>IF(tbl_Assessment[[#This Row],[Ben Code]]&lt;&gt;"",INDEX(tbl_Ben_Info[],MATCH(tbl_Assessment[[#This Row],[Ben Code]],tbl_Ben_Info[Ben Code],0),6),"")</f>
        <v/>
      </c>
      <c r="F315" s="113" t="str">
        <f>IF(tbl_Assessment[[#This Row],[Ben Code]]&lt;&gt;"",INDEX(tbl_Ben_Info[],MATCH(tbl_Assessment[[#This Row],[Ben Code]],tbl_Ben_Info[Ben Code],0),13),"")</f>
        <v/>
      </c>
      <c r="G315" s="49"/>
      <c r="H315" s="37"/>
      <c r="I315" s="37"/>
      <c r="J315" s="37"/>
      <c r="K315" s="37"/>
      <c r="L315" s="37"/>
      <c r="M315" s="59"/>
      <c r="N315" s="37"/>
      <c r="O315" s="37"/>
      <c r="P315" s="37"/>
      <c r="Q315" s="59"/>
      <c r="R315" s="49"/>
      <c r="S315" s="37"/>
      <c r="T315" s="37"/>
      <c r="U315" s="37"/>
      <c r="V315" s="37"/>
      <c r="W315" s="96" t="str">
        <f>tbl_Assessment[[#This Row],[Ben Code]] &amp; "-"&amp;tbl_Assessment[[#This Row],[admin4Pcode]]&amp;"-" &amp; TEXT(COUNTIF(INDEX(tbl_Assessment[Ben Code],1):tbl_Assessment[[#This Row],[Ben Code]], tbl_Assessment[[#This Row],[Ben Code]]), "00")</f>
        <v>--00</v>
      </c>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49"/>
      <c r="AU315" s="41"/>
      <c r="AV315" s="37"/>
      <c r="AW315" s="37"/>
      <c r="AX315" s="37"/>
      <c r="AY315" s="37"/>
      <c r="AZ315" s="37"/>
      <c r="BA315" s="37"/>
      <c r="BB315" s="41"/>
      <c r="BC315" s="37"/>
      <c r="BD315" s="37"/>
      <c r="BE315" s="37"/>
      <c r="BF315" s="41"/>
      <c r="BG315" s="37"/>
      <c r="BH315" s="37"/>
      <c r="BI315" s="37"/>
      <c r="BJ315" s="41"/>
    </row>
    <row r="316" spans="2:62" ht="25.15" customHeight="1" x14ac:dyDescent="0.25">
      <c r="B316" s="49">
        <v>311</v>
      </c>
      <c r="C316" s="37"/>
      <c r="D316" s="87" t="str">
        <f>IF(tbl_Assessment[[#This Row],[Ben Code]]&lt;&gt;"",INDEX(tbl_Ben_Info[],MATCH(tbl_Assessment[[#This Row],[Ben Code]],tbl_Ben_Info[Ben Code],0),48),"")</f>
        <v/>
      </c>
      <c r="E316" s="116" t="str">
        <f>IF(tbl_Assessment[[#This Row],[Ben Code]]&lt;&gt;"",INDEX(tbl_Ben_Info[],MATCH(tbl_Assessment[[#This Row],[Ben Code]],tbl_Ben_Info[Ben Code],0),6),"")</f>
        <v/>
      </c>
      <c r="F316" s="113" t="str">
        <f>IF(tbl_Assessment[[#This Row],[Ben Code]]&lt;&gt;"",INDEX(tbl_Ben_Info[],MATCH(tbl_Assessment[[#This Row],[Ben Code]],tbl_Ben_Info[Ben Code],0),13),"")</f>
        <v/>
      </c>
      <c r="G316" s="49"/>
      <c r="H316" s="37"/>
      <c r="I316" s="37"/>
      <c r="J316" s="37"/>
      <c r="K316" s="37"/>
      <c r="L316" s="37"/>
      <c r="M316" s="59"/>
      <c r="N316" s="37"/>
      <c r="O316" s="37"/>
      <c r="P316" s="37"/>
      <c r="Q316" s="59"/>
      <c r="R316" s="49"/>
      <c r="S316" s="37"/>
      <c r="T316" s="37"/>
      <c r="U316" s="37"/>
      <c r="V316" s="37"/>
      <c r="W316" s="96" t="str">
        <f>tbl_Assessment[[#This Row],[Ben Code]] &amp; "-"&amp;tbl_Assessment[[#This Row],[admin4Pcode]]&amp;"-" &amp; TEXT(COUNTIF(INDEX(tbl_Assessment[Ben Code],1):tbl_Assessment[[#This Row],[Ben Code]], tbl_Assessment[[#This Row],[Ben Code]]), "00")</f>
        <v>--00</v>
      </c>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49"/>
      <c r="AU316" s="41"/>
      <c r="AV316" s="37"/>
      <c r="AW316" s="37"/>
      <c r="AX316" s="37"/>
      <c r="AY316" s="37"/>
      <c r="AZ316" s="37"/>
      <c r="BA316" s="37"/>
      <c r="BB316" s="41"/>
      <c r="BC316" s="37"/>
      <c r="BD316" s="37"/>
      <c r="BE316" s="37"/>
      <c r="BF316" s="41"/>
      <c r="BG316" s="37"/>
      <c r="BH316" s="37"/>
      <c r="BI316" s="37"/>
      <c r="BJ316" s="41"/>
    </row>
    <row r="317" spans="2:62" ht="25.15" customHeight="1" x14ac:dyDescent="0.25">
      <c r="B317" s="49">
        <v>312</v>
      </c>
      <c r="C317" s="37"/>
      <c r="D317" s="87" t="str">
        <f>IF(tbl_Assessment[[#This Row],[Ben Code]]&lt;&gt;"",INDEX(tbl_Ben_Info[],MATCH(tbl_Assessment[[#This Row],[Ben Code]],tbl_Ben_Info[Ben Code],0),48),"")</f>
        <v/>
      </c>
      <c r="E317" s="116" t="str">
        <f>IF(tbl_Assessment[[#This Row],[Ben Code]]&lt;&gt;"",INDEX(tbl_Ben_Info[],MATCH(tbl_Assessment[[#This Row],[Ben Code]],tbl_Ben_Info[Ben Code],0),6),"")</f>
        <v/>
      </c>
      <c r="F317" s="113" t="str">
        <f>IF(tbl_Assessment[[#This Row],[Ben Code]]&lt;&gt;"",INDEX(tbl_Ben_Info[],MATCH(tbl_Assessment[[#This Row],[Ben Code]],tbl_Ben_Info[Ben Code],0),13),"")</f>
        <v/>
      </c>
      <c r="G317" s="49"/>
      <c r="H317" s="37"/>
      <c r="I317" s="37"/>
      <c r="J317" s="37"/>
      <c r="K317" s="37"/>
      <c r="L317" s="37"/>
      <c r="M317" s="59"/>
      <c r="N317" s="37"/>
      <c r="O317" s="37"/>
      <c r="P317" s="37"/>
      <c r="Q317" s="59"/>
      <c r="R317" s="49"/>
      <c r="S317" s="37"/>
      <c r="T317" s="37"/>
      <c r="U317" s="37"/>
      <c r="V317" s="37"/>
      <c r="W317" s="96" t="str">
        <f>tbl_Assessment[[#This Row],[Ben Code]] &amp; "-"&amp;tbl_Assessment[[#This Row],[admin4Pcode]]&amp;"-" &amp; TEXT(COUNTIF(INDEX(tbl_Assessment[Ben Code],1):tbl_Assessment[[#This Row],[Ben Code]], tbl_Assessment[[#This Row],[Ben Code]]), "00")</f>
        <v>--00</v>
      </c>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49"/>
      <c r="AU317" s="41"/>
      <c r="AV317" s="37"/>
      <c r="AW317" s="37"/>
      <c r="AX317" s="37"/>
      <c r="AY317" s="37"/>
      <c r="AZ317" s="37"/>
      <c r="BA317" s="37"/>
      <c r="BB317" s="41"/>
      <c r="BC317" s="37"/>
      <c r="BD317" s="37"/>
      <c r="BE317" s="37"/>
      <c r="BF317" s="41"/>
      <c r="BG317" s="37"/>
      <c r="BH317" s="37"/>
      <c r="BI317" s="37"/>
      <c r="BJ317" s="41"/>
    </row>
    <row r="318" spans="2:62" ht="25.15" customHeight="1" x14ac:dyDescent="0.25">
      <c r="B318" s="49">
        <v>313</v>
      </c>
      <c r="C318" s="37"/>
      <c r="D318" s="87" t="str">
        <f>IF(tbl_Assessment[[#This Row],[Ben Code]]&lt;&gt;"",INDEX(tbl_Ben_Info[],MATCH(tbl_Assessment[[#This Row],[Ben Code]],tbl_Ben_Info[Ben Code],0),48),"")</f>
        <v/>
      </c>
      <c r="E318" s="116" t="str">
        <f>IF(tbl_Assessment[[#This Row],[Ben Code]]&lt;&gt;"",INDEX(tbl_Ben_Info[],MATCH(tbl_Assessment[[#This Row],[Ben Code]],tbl_Ben_Info[Ben Code],0),6),"")</f>
        <v/>
      </c>
      <c r="F318" s="113" t="str">
        <f>IF(tbl_Assessment[[#This Row],[Ben Code]]&lt;&gt;"",INDEX(tbl_Ben_Info[],MATCH(tbl_Assessment[[#This Row],[Ben Code]],tbl_Ben_Info[Ben Code],0),13),"")</f>
        <v/>
      </c>
      <c r="G318" s="49"/>
      <c r="H318" s="37"/>
      <c r="I318" s="37"/>
      <c r="J318" s="37"/>
      <c r="K318" s="37"/>
      <c r="L318" s="37"/>
      <c r="M318" s="59"/>
      <c r="N318" s="37"/>
      <c r="O318" s="37"/>
      <c r="P318" s="37"/>
      <c r="Q318" s="59"/>
      <c r="R318" s="49"/>
      <c r="S318" s="37"/>
      <c r="T318" s="37"/>
      <c r="U318" s="37"/>
      <c r="V318" s="37"/>
      <c r="W318" s="96" t="str">
        <f>tbl_Assessment[[#This Row],[Ben Code]] &amp; "-"&amp;tbl_Assessment[[#This Row],[admin4Pcode]]&amp;"-" &amp; TEXT(COUNTIF(INDEX(tbl_Assessment[Ben Code],1):tbl_Assessment[[#This Row],[Ben Code]], tbl_Assessment[[#This Row],[Ben Code]]), "00")</f>
        <v>--00</v>
      </c>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49"/>
      <c r="AU318" s="41"/>
      <c r="AV318" s="37"/>
      <c r="AW318" s="37"/>
      <c r="AX318" s="37"/>
      <c r="AY318" s="37"/>
      <c r="AZ318" s="37"/>
      <c r="BA318" s="37"/>
      <c r="BB318" s="41"/>
      <c r="BC318" s="37"/>
      <c r="BD318" s="37"/>
      <c r="BE318" s="37"/>
      <c r="BF318" s="41"/>
      <c r="BG318" s="37"/>
      <c r="BH318" s="37"/>
      <c r="BI318" s="37"/>
      <c r="BJ318" s="41"/>
    </row>
    <row r="319" spans="2:62" ht="25.15" customHeight="1" x14ac:dyDescent="0.25">
      <c r="B319" s="49">
        <v>314</v>
      </c>
      <c r="C319" s="37"/>
      <c r="D319" s="87" t="str">
        <f>IF(tbl_Assessment[[#This Row],[Ben Code]]&lt;&gt;"",INDEX(tbl_Ben_Info[],MATCH(tbl_Assessment[[#This Row],[Ben Code]],tbl_Ben_Info[Ben Code],0),48),"")</f>
        <v/>
      </c>
      <c r="E319" s="116" t="str">
        <f>IF(tbl_Assessment[[#This Row],[Ben Code]]&lt;&gt;"",INDEX(tbl_Ben_Info[],MATCH(tbl_Assessment[[#This Row],[Ben Code]],tbl_Ben_Info[Ben Code],0),6),"")</f>
        <v/>
      </c>
      <c r="F319" s="113" t="str">
        <f>IF(tbl_Assessment[[#This Row],[Ben Code]]&lt;&gt;"",INDEX(tbl_Ben_Info[],MATCH(tbl_Assessment[[#This Row],[Ben Code]],tbl_Ben_Info[Ben Code],0),13),"")</f>
        <v/>
      </c>
      <c r="G319" s="49"/>
      <c r="H319" s="37"/>
      <c r="I319" s="37"/>
      <c r="J319" s="37"/>
      <c r="K319" s="37"/>
      <c r="L319" s="37"/>
      <c r="M319" s="59"/>
      <c r="N319" s="37"/>
      <c r="O319" s="37"/>
      <c r="P319" s="37"/>
      <c r="Q319" s="59"/>
      <c r="R319" s="49"/>
      <c r="S319" s="37"/>
      <c r="T319" s="37"/>
      <c r="U319" s="37"/>
      <c r="V319" s="37"/>
      <c r="W319" s="96" t="str">
        <f>tbl_Assessment[[#This Row],[Ben Code]] &amp; "-"&amp;tbl_Assessment[[#This Row],[admin4Pcode]]&amp;"-" &amp; TEXT(COUNTIF(INDEX(tbl_Assessment[Ben Code],1):tbl_Assessment[[#This Row],[Ben Code]], tbl_Assessment[[#This Row],[Ben Code]]), "00")</f>
        <v>--00</v>
      </c>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49"/>
      <c r="AU319" s="41"/>
      <c r="AV319" s="37"/>
      <c r="AW319" s="37"/>
      <c r="AX319" s="37"/>
      <c r="AY319" s="37"/>
      <c r="AZ319" s="37"/>
      <c r="BA319" s="37"/>
      <c r="BB319" s="41"/>
      <c r="BC319" s="37"/>
      <c r="BD319" s="37"/>
      <c r="BE319" s="37"/>
      <c r="BF319" s="41"/>
      <c r="BG319" s="37"/>
      <c r="BH319" s="37"/>
      <c r="BI319" s="37"/>
      <c r="BJ319" s="41"/>
    </row>
    <row r="320" spans="2:62" ht="25.15" customHeight="1" x14ac:dyDescent="0.25">
      <c r="B320" s="49">
        <v>315</v>
      </c>
      <c r="C320" s="37"/>
      <c r="D320" s="87" t="str">
        <f>IF(tbl_Assessment[[#This Row],[Ben Code]]&lt;&gt;"",INDEX(tbl_Ben_Info[],MATCH(tbl_Assessment[[#This Row],[Ben Code]],tbl_Ben_Info[Ben Code],0),48),"")</f>
        <v/>
      </c>
      <c r="E320" s="116" t="str">
        <f>IF(tbl_Assessment[[#This Row],[Ben Code]]&lt;&gt;"",INDEX(tbl_Ben_Info[],MATCH(tbl_Assessment[[#This Row],[Ben Code]],tbl_Ben_Info[Ben Code],0),6),"")</f>
        <v/>
      </c>
      <c r="F320" s="113" t="str">
        <f>IF(tbl_Assessment[[#This Row],[Ben Code]]&lt;&gt;"",INDEX(tbl_Ben_Info[],MATCH(tbl_Assessment[[#This Row],[Ben Code]],tbl_Ben_Info[Ben Code],0),13),"")</f>
        <v/>
      </c>
      <c r="G320" s="49"/>
      <c r="H320" s="37"/>
      <c r="I320" s="37"/>
      <c r="J320" s="37"/>
      <c r="K320" s="37"/>
      <c r="L320" s="37"/>
      <c r="M320" s="59"/>
      <c r="N320" s="37"/>
      <c r="O320" s="37"/>
      <c r="P320" s="37"/>
      <c r="Q320" s="59"/>
      <c r="R320" s="49"/>
      <c r="S320" s="37"/>
      <c r="T320" s="37"/>
      <c r="U320" s="37"/>
      <c r="V320" s="37"/>
      <c r="W320" s="96" t="str">
        <f>tbl_Assessment[[#This Row],[Ben Code]] &amp; "-"&amp;tbl_Assessment[[#This Row],[admin4Pcode]]&amp;"-" &amp; TEXT(COUNTIF(INDEX(tbl_Assessment[Ben Code],1):tbl_Assessment[[#This Row],[Ben Code]], tbl_Assessment[[#This Row],[Ben Code]]), "00")</f>
        <v>--00</v>
      </c>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49"/>
      <c r="AU320" s="41"/>
      <c r="AV320" s="37"/>
      <c r="AW320" s="37"/>
      <c r="AX320" s="37"/>
      <c r="AY320" s="37"/>
      <c r="AZ320" s="37"/>
      <c r="BA320" s="37"/>
      <c r="BB320" s="41"/>
      <c r="BC320" s="37"/>
      <c r="BD320" s="37"/>
      <c r="BE320" s="37"/>
      <c r="BF320" s="41"/>
      <c r="BG320" s="37"/>
      <c r="BH320" s="37"/>
      <c r="BI320" s="37"/>
      <c r="BJ320" s="41"/>
    </row>
    <row r="321" spans="2:62" ht="25.15" customHeight="1" x14ac:dyDescent="0.25">
      <c r="B321" s="49">
        <v>316</v>
      </c>
      <c r="C321" s="37"/>
      <c r="D321" s="87" t="str">
        <f>IF(tbl_Assessment[[#This Row],[Ben Code]]&lt;&gt;"",INDEX(tbl_Ben_Info[],MATCH(tbl_Assessment[[#This Row],[Ben Code]],tbl_Ben_Info[Ben Code],0),48),"")</f>
        <v/>
      </c>
      <c r="E321" s="116" t="str">
        <f>IF(tbl_Assessment[[#This Row],[Ben Code]]&lt;&gt;"",INDEX(tbl_Ben_Info[],MATCH(tbl_Assessment[[#This Row],[Ben Code]],tbl_Ben_Info[Ben Code],0),6),"")</f>
        <v/>
      </c>
      <c r="F321" s="113" t="str">
        <f>IF(tbl_Assessment[[#This Row],[Ben Code]]&lt;&gt;"",INDEX(tbl_Ben_Info[],MATCH(tbl_Assessment[[#This Row],[Ben Code]],tbl_Ben_Info[Ben Code],0),13),"")</f>
        <v/>
      </c>
      <c r="G321" s="49"/>
      <c r="H321" s="37"/>
      <c r="I321" s="37"/>
      <c r="J321" s="37"/>
      <c r="K321" s="37"/>
      <c r="L321" s="37"/>
      <c r="M321" s="59"/>
      <c r="N321" s="37"/>
      <c r="O321" s="37"/>
      <c r="P321" s="37"/>
      <c r="Q321" s="59"/>
      <c r="R321" s="49"/>
      <c r="S321" s="37"/>
      <c r="T321" s="37"/>
      <c r="U321" s="37"/>
      <c r="V321" s="37"/>
      <c r="W321" s="96" t="str">
        <f>tbl_Assessment[[#This Row],[Ben Code]] &amp; "-"&amp;tbl_Assessment[[#This Row],[admin4Pcode]]&amp;"-" &amp; TEXT(COUNTIF(INDEX(tbl_Assessment[Ben Code],1):tbl_Assessment[[#This Row],[Ben Code]], tbl_Assessment[[#This Row],[Ben Code]]), "00")</f>
        <v>--00</v>
      </c>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49"/>
      <c r="AU321" s="41"/>
      <c r="AV321" s="37"/>
      <c r="AW321" s="37"/>
      <c r="AX321" s="37"/>
      <c r="AY321" s="37"/>
      <c r="AZ321" s="37"/>
      <c r="BA321" s="37"/>
      <c r="BB321" s="41"/>
      <c r="BC321" s="37"/>
      <c r="BD321" s="37"/>
      <c r="BE321" s="37"/>
      <c r="BF321" s="41"/>
      <c r="BG321" s="37"/>
      <c r="BH321" s="37"/>
      <c r="BI321" s="37"/>
      <c r="BJ321" s="41"/>
    </row>
    <row r="322" spans="2:62" ht="25.15" customHeight="1" x14ac:dyDescent="0.25">
      <c r="B322" s="49">
        <v>317</v>
      </c>
      <c r="C322" s="37"/>
      <c r="D322" s="87" t="str">
        <f>IF(tbl_Assessment[[#This Row],[Ben Code]]&lt;&gt;"",INDEX(tbl_Ben_Info[],MATCH(tbl_Assessment[[#This Row],[Ben Code]],tbl_Ben_Info[Ben Code],0),48),"")</f>
        <v/>
      </c>
      <c r="E322" s="116" t="str">
        <f>IF(tbl_Assessment[[#This Row],[Ben Code]]&lt;&gt;"",INDEX(tbl_Ben_Info[],MATCH(tbl_Assessment[[#This Row],[Ben Code]],tbl_Ben_Info[Ben Code],0),6),"")</f>
        <v/>
      </c>
      <c r="F322" s="113" t="str">
        <f>IF(tbl_Assessment[[#This Row],[Ben Code]]&lt;&gt;"",INDEX(tbl_Ben_Info[],MATCH(tbl_Assessment[[#This Row],[Ben Code]],tbl_Ben_Info[Ben Code],0),13),"")</f>
        <v/>
      </c>
      <c r="G322" s="49"/>
      <c r="H322" s="37"/>
      <c r="I322" s="37"/>
      <c r="J322" s="37"/>
      <c r="K322" s="37"/>
      <c r="L322" s="37"/>
      <c r="M322" s="59"/>
      <c r="N322" s="37"/>
      <c r="O322" s="37"/>
      <c r="P322" s="37"/>
      <c r="Q322" s="59"/>
      <c r="R322" s="49"/>
      <c r="S322" s="37"/>
      <c r="T322" s="37"/>
      <c r="U322" s="37"/>
      <c r="V322" s="37"/>
      <c r="W322" s="96" t="str">
        <f>tbl_Assessment[[#This Row],[Ben Code]] &amp; "-"&amp;tbl_Assessment[[#This Row],[admin4Pcode]]&amp;"-" &amp; TEXT(COUNTIF(INDEX(tbl_Assessment[Ben Code],1):tbl_Assessment[[#This Row],[Ben Code]], tbl_Assessment[[#This Row],[Ben Code]]), "00")</f>
        <v>--00</v>
      </c>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49"/>
      <c r="AU322" s="41"/>
      <c r="AV322" s="37"/>
      <c r="AW322" s="37"/>
      <c r="AX322" s="37"/>
      <c r="AY322" s="37"/>
      <c r="AZ322" s="37"/>
      <c r="BA322" s="37"/>
      <c r="BB322" s="41"/>
      <c r="BC322" s="37"/>
      <c r="BD322" s="37"/>
      <c r="BE322" s="37"/>
      <c r="BF322" s="41"/>
      <c r="BG322" s="37"/>
      <c r="BH322" s="37"/>
      <c r="BI322" s="37"/>
      <c r="BJ322" s="41"/>
    </row>
    <row r="323" spans="2:62" ht="25.15" customHeight="1" x14ac:dyDescent="0.25">
      <c r="B323" s="49">
        <v>318</v>
      </c>
      <c r="C323" s="37"/>
      <c r="D323" s="87" t="str">
        <f>IF(tbl_Assessment[[#This Row],[Ben Code]]&lt;&gt;"",INDEX(tbl_Ben_Info[],MATCH(tbl_Assessment[[#This Row],[Ben Code]],tbl_Ben_Info[Ben Code],0),48),"")</f>
        <v/>
      </c>
      <c r="E323" s="116" t="str">
        <f>IF(tbl_Assessment[[#This Row],[Ben Code]]&lt;&gt;"",INDEX(tbl_Ben_Info[],MATCH(tbl_Assessment[[#This Row],[Ben Code]],tbl_Ben_Info[Ben Code],0),6),"")</f>
        <v/>
      </c>
      <c r="F323" s="113" t="str">
        <f>IF(tbl_Assessment[[#This Row],[Ben Code]]&lt;&gt;"",INDEX(tbl_Ben_Info[],MATCH(tbl_Assessment[[#This Row],[Ben Code]],tbl_Ben_Info[Ben Code],0),13),"")</f>
        <v/>
      </c>
      <c r="G323" s="49"/>
      <c r="H323" s="37"/>
      <c r="I323" s="37"/>
      <c r="J323" s="37"/>
      <c r="K323" s="37"/>
      <c r="L323" s="37"/>
      <c r="M323" s="59"/>
      <c r="N323" s="37"/>
      <c r="O323" s="37"/>
      <c r="P323" s="37"/>
      <c r="Q323" s="59"/>
      <c r="R323" s="49"/>
      <c r="S323" s="37"/>
      <c r="T323" s="37"/>
      <c r="U323" s="37"/>
      <c r="V323" s="37"/>
      <c r="W323" s="96" t="str">
        <f>tbl_Assessment[[#This Row],[Ben Code]] &amp; "-"&amp;tbl_Assessment[[#This Row],[admin4Pcode]]&amp;"-" &amp; TEXT(COUNTIF(INDEX(tbl_Assessment[Ben Code],1):tbl_Assessment[[#This Row],[Ben Code]], tbl_Assessment[[#This Row],[Ben Code]]), "00")</f>
        <v>--00</v>
      </c>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49"/>
      <c r="AU323" s="41"/>
      <c r="AV323" s="37"/>
      <c r="AW323" s="37"/>
      <c r="AX323" s="37"/>
      <c r="AY323" s="37"/>
      <c r="AZ323" s="37"/>
      <c r="BA323" s="37"/>
      <c r="BB323" s="41"/>
      <c r="BC323" s="37"/>
      <c r="BD323" s="37"/>
      <c r="BE323" s="37"/>
      <c r="BF323" s="41"/>
      <c r="BG323" s="37"/>
      <c r="BH323" s="37"/>
      <c r="BI323" s="37"/>
      <c r="BJ323" s="41"/>
    </row>
    <row r="324" spans="2:62" ht="25.15" customHeight="1" x14ac:dyDescent="0.25">
      <c r="B324" s="49">
        <v>319</v>
      </c>
      <c r="C324" s="37"/>
      <c r="D324" s="87" t="str">
        <f>IF(tbl_Assessment[[#This Row],[Ben Code]]&lt;&gt;"",INDEX(tbl_Ben_Info[],MATCH(tbl_Assessment[[#This Row],[Ben Code]],tbl_Ben_Info[Ben Code],0),48),"")</f>
        <v/>
      </c>
      <c r="E324" s="116" t="str">
        <f>IF(tbl_Assessment[[#This Row],[Ben Code]]&lt;&gt;"",INDEX(tbl_Ben_Info[],MATCH(tbl_Assessment[[#This Row],[Ben Code]],tbl_Ben_Info[Ben Code],0),6),"")</f>
        <v/>
      </c>
      <c r="F324" s="113" t="str">
        <f>IF(tbl_Assessment[[#This Row],[Ben Code]]&lt;&gt;"",INDEX(tbl_Ben_Info[],MATCH(tbl_Assessment[[#This Row],[Ben Code]],tbl_Ben_Info[Ben Code],0),13),"")</f>
        <v/>
      </c>
      <c r="G324" s="49"/>
      <c r="H324" s="37"/>
      <c r="I324" s="37"/>
      <c r="J324" s="37"/>
      <c r="K324" s="37"/>
      <c r="L324" s="37"/>
      <c r="M324" s="59"/>
      <c r="N324" s="37"/>
      <c r="O324" s="37"/>
      <c r="P324" s="37"/>
      <c r="Q324" s="59"/>
      <c r="R324" s="49"/>
      <c r="S324" s="37"/>
      <c r="T324" s="37"/>
      <c r="U324" s="37"/>
      <c r="V324" s="37"/>
      <c r="W324" s="96" t="str">
        <f>tbl_Assessment[[#This Row],[Ben Code]] &amp; "-"&amp;tbl_Assessment[[#This Row],[admin4Pcode]]&amp;"-" &amp; TEXT(COUNTIF(INDEX(tbl_Assessment[Ben Code],1):tbl_Assessment[[#This Row],[Ben Code]], tbl_Assessment[[#This Row],[Ben Code]]), "00")</f>
        <v>--00</v>
      </c>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49"/>
      <c r="AU324" s="41"/>
      <c r="AV324" s="37"/>
      <c r="AW324" s="37"/>
      <c r="AX324" s="37"/>
      <c r="AY324" s="37"/>
      <c r="AZ324" s="37"/>
      <c r="BA324" s="37"/>
      <c r="BB324" s="41"/>
      <c r="BC324" s="37"/>
      <c r="BD324" s="37"/>
      <c r="BE324" s="37"/>
      <c r="BF324" s="41"/>
      <c r="BG324" s="37"/>
      <c r="BH324" s="37"/>
      <c r="BI324" s="37"/>
      <c r="BJ324" s="41"/>
    </row>
    <row r="325" spans="2:62" ht="25.15" customHeight="1" x14ac:dyDescent="0.25">
      <c r="B325" s="49">
        <v>320</v>
      </c>
      <c r="C325" s="37"/>
      <c r="D325" s="87" t="str">
        <f>IF(tbl_Assessment[[#This Row],[Ben Code]]&lt;&gt;"",INDEX(tbl_Ben_Info[],MATCH(tbl_Assessment[[#This Row],[Ben Code]],tbl_Ben_Info[Ben Code],0),48),"")</f>
        <v/>
      </c>
      <c r="E325" s="116" t="str">
        <f>IF(tbl_Assessment[[#This Row],[Ben Code]]&lt;&gt;"",INDEX(tbl_Ben_Info[],MATCH(tbl_Assessment[[#This Row],[Ben Code]],tbl_Ben_Info[Ben Code],0),6),"")</f>
        <v/>
      </c>
      <c r="F325" s="113" t="str">
        <f>IF(tbl_Assessment[[#This Row],[Ben Code]]&lt;&gt;"",INDEX(tbl_Ben_Info[],MATCH(tbl_Assessment[[#This Row],[Ben Code]],tbl_Ben_Info[Ben Code],0),13),"")</f>
        <v/>
      </c>
      <c r="G325" s="49"/>
      <c r="H325" s="37"/>
      <c r="I325" s="37"/>
      <c r="J325" s="37"/>
      <c r="K325" s="37"/>
      <c r="L325" s="37"/>
      <c r="M325" s="59"/>
      <c r="N325" s="37"/>
      <c r="O325" s="37"/>
      <c r="P325" s="37"/>
      <c r="Q325" s="59"/>
      <c r="R325" s="49"/>
      <c r="S325" s="37"/>
      <c r="T325" s="37"/>
      <c r="U325" s="37"/>
      <c r="V325" s="37"/>
      <c r="W325" s="96" t="str">
        <f>tbl_Assessment[[#This Row],[Ben Code]] &amp; "-"&amp;tbl_Assessment[[#This Row],[admin4Pcode]]&amp;"-" &amp; TEXT(COUNTIF(INDEX(tbl_Assessment[Ben Code],1):tbl_Assessment[[#This Row],[Ben Code]], tbl_Assessment[[#This Row],[Ben Code]]), "00")</f>
        <v>--00</v>
      </c>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49"/>
      <c r="AU325" s="41"/>
      <c r="AV325" s="37"/>
      <c r="AW325" s="37"/>
      <c r="AX325" s="37"/>
      <c r="AY325" s="37"/>
      <c r="AZ325" s="37"/>
      <c r="BA325" s="37"/>
      <c r="BB325" s="41"/>
      <c r="BC325" s="37"/>
      <c r="BD325" s="37"/>
      <c r="BE325" s="37"/>
      <c r="BF325" s="41"/>
      <c r="BG325" s="37"/>
      <c r="BH325" s="37"/>
      <c r="BI325" s="37"/>
      <c r="BJ325" s="41"/>
    </row>
    <row r="326" spans="2:62" ht="25.15" customHeight="1" x14ac:dyDescent="0.25">
      <c r="B326" s="49">
        <v>321</v>
      </c>
      <c r="C326" s="37"/>
      <c r="D326" s="87" t="str">
        <f>IF(tbl_Assessment[[#This Row],[Ben Code]]&lt;&gt;"",INDEX(tbl_Ben_Info[],MATCH(tbl_Assessment[[#This Row],[Ben Code]],tbl_Ben_Info[Ben Code],0),48),"")</f>
        <v/>
      </c>
      <c r="E326" s="116" t="str">
        <f>IF(tbl_Assessment[[#This Row],[Ben Code]]&lt;&gt;"",INDEX(tbl_Ben_Info[],MATCH(tbl_Assessment[[#This Row],[Ben Code]],tbl_Ben_Info[Ben Code],0),6),"")</f>
        <v/>
      </c>
      <c r="F326" s="113" t="str">
        <f>IF(tbl_Assessment[[#This Row],[Ben Code]]&lt;&gt;"",INDEX(tbl_Ben_Info[],MATCH(tbl_Assessment[[#This Row],[Ben Code]],tbl_Ben_Info[Ben Code],0),13),"")</f>
        <v/>
      </c>
      <c r="G326" s="49"/>
      <c r="H326" s="37"/>
      <c r="I326" s="37"/>
      <c r="J326" s="37"/>
      <c r="K326" s="37"/>
      <c r="L326" s="37"/>
      <c r="M326" s="59"/>
      <c r="N326" s="37"/>
      <c r="O326" s="37"/>
      <c r="P326" s="37"/>
      <c r="Q326" s="59"/>
      <c r="R326" s="49"/>
      <c r="S326" s="37"/>
      <c r="T326" s="37"/>
      <c r="U326" s="37"/>
      <c r="V326" s="37"/>
      <c r="W326" s="96" t="str">
        <f>tbl_Assessment[[#This Row],[Ben Code]] &amp; "-"&amp;tbl_Assessment[[#This Row],[admin4Pcode]]&amp;"-" &amp; TEXT(COUNTIF(INDEX(tbl_Assessment[Ben Code],1):tbl_Assessment[[#This Row],[Ben Code]], tbl_Assessment[[#This Row],[Ben Code]]), "00")</f>
        <v>--00</v>
      </c>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49"/>
      <c r="AU326" s="41"/>
      <c r="AV326" s="37"/>
      <c r="AW326" s="37"/>
      <c r="AX326" s="37"/>
      <c r="AY326" s="37"/>
      <c r="AZ326" s="37"/>
      <c r="BA326" s="37"/>
      <c r="BB326" s="41"/>
      <c r="BC326" s="37"/>
      <c r="BD326" s="37"/>
      <c r="BE326" s="37"/>
      <c r="BF326" s="41"/>
      <c r="BG326" s="37"/>
      <c r="BH326" s="37"/>
      <c r="BI326" s="37"/>
      <c r="BJ326" s="41"/>
    </row>
    <row r="327" spans="2:62" ht="25.15" customHeight="1" x14ac:dyDescent="0.25">
      <c r="B327" s="49">
        <v>322</v>
      </c>
      <c r="C327" s="37"/>
      <c r="D327" s="87" t="str">
        <f>IF(tbl_Assessment[[#This Row],[Ben Code]]&lt;&gt;"",INDEX(tbl_Ben_Info[],MATCH(tbl_Assessment[[#This Row],[Ben Code]],tbl_Ben_Info[Ben Code],0),48),"")</f>
        <v/>
      </c>
      <c r="E327" s="116" t="str">
        <f>IF(tbl_Assessment[[#This Row],[Ben Code]]&lt;&gt;"",INDEX(tbl_Ben_Info[],MATCH(tbl_Assessment[[#This Row],[Ben Code]],tbl_Ben_Info[Ben Code],0),6),"")</f>
        <v/>
      </c>
      <c r="F327" s="113" t="str">
        <f>IF(tbl_Assessment[[#This Row],[Ben Code]]&lt;&gt;"",INDEX(tbl_Ben_Info[],MATCH(tbl_Assessment[[#This Row],[Ben Code]],tbl_Ben_Info[Ben Code],0),13),"")</f>
        <v/>
      </c>
      <c r="G327" s="49"/>
      <c r="H327" s="37"/>
      <c r="I327" s="37"/>
      <c r="J327" s="37"/>
      <c r="K327" s="37"/>
      <c r="L327" s="37"/>
      <c r="M327" s="59"/>
      <c r="N327" s="37"/>
      <c r="O327" s="37"/>
      <c r="P327" s="37"/>
      <c r="Q327" s="59"/>
      <c r="R327" s="49"/>
      <c r="S327" s="37"/>
      <c r="T327" s="37"/>
      <c r="U327" s="37"/>
      <c r="V327" s="37"/>
      <c r="W327" s="96" t="str">
        <f>tbl_Assessment[[#This Row],[Ben Code]] &amp; "-"&amp;tbl_Assessment[[#This Row],[admin4Pcode]]&amp;"-" &amp; TEXT(COUNTIF(INDEX(tbl_Assessment[Ben Code],1):tbl_Assessment[[#This Row],[Ben Code]], tbl_Assessment[[#This Row],[Ben Code]]), "00")</f>
        <v>--00</v>
      </c>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49"/>
      <c r="AU327" s="41"/>
      <c r="AV327" s="37"/>
      <c r="AW327" s="37"/>
      <c r="AX327" s="37"/>
      <c r="AY327" s="37"/>
      <c r="AZ327" s="37"/>
      <c r="BA327" s="37"/>
      <c r="BB327" s="41"/>
      <c r="BC327" s="37"/>
      <c r="BD327" s="37"/>
      <c r="BE327" s="37"/>
      <c r="BF327" s="41"/>
      <c r="BG327" s="37"/>
      <c r="BH327" s="37"/>
      <c r="BI327" s="37"/>
      <c r="BJ327" s="41"/>
    </row>
    <row r="328" spans="2:62" ht="25.15" customHeight="1" x14ac:dyDescent="0.25">
      <c r="B328" s="49">
        <v>323</v>
      </c>
      <c r="C328" s="37"/>
      <c r="D328" s="87" t="str">
        <f>IF(tbl_Assessment[[#This Row],[Ben Code]]&lt;&gt;"",INDEX(tbl_Ben_Info[],MATCH(tbl_Assessment[[#This Row],[Ben Code]],tbl_Ben_Info[Ben Code],0),48),"")</f>
        <v/>
      </c>
      <c r="E328" s="116" t="str">
        <f>IF(tbl_Assessment[[#This Row],[Ben Code]]&lt;&gt;"",INDEX(tbl_Ben_Info[],MATCH(tbl_Assessment[[#This Row],[Ben Code]],tbl_Ben_Info[Ben Code],0),6),"")</f>
        <v/>
      </c>
      <c r="F328" s="113" t="str">
        <f>IF(tbl_Assessment[[#This Row],[Ben Code]]&lt;&gt;"",INDEX(tbl_Ben_Info[],MATCH(tbl_Assessment[[#This Row],[Ben Code]],tbl_Ben_Info[Ben Code],0),13),"")</f>
        <v/>
      </c>
      <c r="G328" s="49"/>
      <c r="H328" s="37"/>
      <c r="I328" s="37"/>
      <c r="J328" s="37"/>
      <c r="K328" s="37"/>
      <c r="L328" s="37"/>
      <c r="M328" s="59"/>
      <c r="N328" s="37"/>
      <c r="O328" s="37"/>
      <c r="P328" s="37"/>
      <c r="Q328" s="59"/>
      <c r="R328" s="49"/>
      <c r="S328" s="37"/>
      <c r="T328" s="37"/>
      <c r="U328" s="37"/>
      <c r="V328" s="37"/>
      <c r="W328" s="96" t="str">
        <f>tbl_Assessment[[#This Row],[Ben Code]] &amp; "-"&amp;tbl_Assessment[[#This Row],[admin4Pcode]]&amp;"-" &amp; TEXT(COUNTIF(INDEX(tbl_Assessment[Ben Code],1):tbl_Assessment[[#This Row],[Ben Code]], tbl_Assessment[[#This Row],[Ben Code]]), "00")</f>
        <v>--00</v>
      </c>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49"/>
      <c r="AU328" s="41"/>
      <c r="AV328" s="37"/>
      <c r="AW328" s="37"/>
      <c r="AX328" s="37"/>
      <c r="AY328" s="37"/>
      <c r="AZ328" s="37"/>
      <c r="BA328" s="37"/>
      <c r="BB328" s="41"/>
      <c r="BC328" s="37"/>
      <c r="BD328" s="37"/>
      <c r="BE328" s="37"/>
      <c r="BF328" s="41"/>
      <c r="BG328" s="37"/>
      <c r="BH328" s="37"/>
      <c r="BI328" s="37"/>
      <c r="BJ328" s="41"/>
    </row>
    <row r="329" spans="2:62" ht="25.15" customHeight="1" x14ac:dyDescent="0.25">
      <c r="B329" s="49">
        <v>324</v>
      </c>
      <c r="C329" s="37"/>
      <c r="D329" s="87" t="str">
        <f>IF(tbl_Assessment[[#This Row],[Ben Code]]&lt;&gt;"",INDEX(tbl_Ben_Info[],MATCH(tbl_Assessment[[#This Row],[Ben Code]],tbl_Ben_Info[Ben Code],0),48),"")</f>
        <v/>
      </c>
      <c r="E329" s="116" t="str">
        <f>IF(tbl_Assessment[[#This Row],[Ben Code]]&lt;&gt;"",INDEX(tbl_Ben_Info[],MATCH(tbl_Assessment[[#This Row],[Ben Code]],tbl_Ben_Info[Ben Code],0),6),"")</f>
        <v/>
      </c>
      <c r="F329" s="113" t="str">
        <f>IF(tbl_Assessment[[#This Row],[Ben Code]]&lt;&gt;"",INDEX(tbl_Ben_Info[],MATCH(tbl_Assessment[[#This Row],[Ben Code]],tbl_Ben_Info[Ben Code],0),13),"")</f>
        <v/>
      </c>
      <c r="G329" s="49"/>
      <c r="H329" s="37"/>
      <c r="I329" s="37"/>
      <c r="J329" s="37"/>
      <c r="K329" s="37"/>
      <c r="L329" s="37"/>
      <c r="M329" s="59"/>
      <c r="N329" s="37"/>
      <c r="O329" s="37"/>
      <c r="P329" s="37"/>
      <c r="Q329" s="59"/>
      <c r="R329" s="49"/>
      <c r="S329" s="37"/>
      <c r="T329" s="37"/>
      <c r="U329" s="37"/>
      <c r="V329" s="37"/>
      <c r="W329" s="96" t="str">
        <f>tbl_Assessment[[#This Row],[Ben Code]] &amp; "-"&amp;tbl_Assessment[[#This Row],[admin4Pcode]]&amp;"-" &amp; TEXT(COUNTIF(INDEX(tbl_Assessment[Ben Code],1):tbl_Assessment[[#This Row],[Ben Code]], tbl_Assessment[[#This Row],[Ben Code]]), "00")</f>
        <v>--00</v>
      </c>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49"/>
      <c r="AU329" s="41"/>
      <c r="AV329" s="37"/>
      <c r="AW329" s="37"/>
      <c r="AX329" s="37"/>
      <c r="AY329" s="37"/>
      <c r="AZ329" s="37"/>
      <c r="BA329" s="37"/>
      <c r="BB329" s="41"/>
      <c r="BC329" s="37"/>
      <c r="BD329" s="37"/>
      <c r="BE329" s="37"/>
      <c r="BF329" s="41"/>
      <c r="BG329" s="37"/>
      <c r="BH329" s="37"/>
      <c r="BI329" s="37"/>
      <c r="BJ329" s="41"/>
    </row>
    <row r="330" spans="2:62" ht="25.15" customHeight="1" x14ac:dyDescent="0.25">
      <c r="B330" s="49">
        <v>325</v>
      </c>
      <c r="C330" s="37"/>
      <c r="D330" s="87" t="str">
        <f>IF(tbl_Assessment[[#This Row],[Ben Code]]&lt;&gt;"",INDEX(tbl_Ben_Info[],MATCH(tbl_Assessment[[#This Row],[Ben Code]],tbl_Ben_Info[Ben Code],0),48),"")</f>
        <v/>
      </c>
      <c r="E330" s="116" t="str">
        <f>IF(tbl_Assessment[[#This Row],[Ben Code]]&lt;&gt;"",INDEX(tbl_Ben_Info[],MATCH(tbl_Assessment[[#This Row],[Ben Code]],tbl_Ben_Info[Ben Code],0),6),"")</f>
        <v/>
      </c>
      <c r="F330" s="113" t="str">
        <f>IF(tbl_Assessment[[#This Row],[Ben Code]]&lt;&gt;"",INDEX(tbl_Ben_Info[],MATCH(tbl_Assessment[[#This Row],[Ben Code]],tbl_Ben_Info[Ben Code],0),13),"")</f>
        <v/>
      </c>
      <c r="G330" s="49"/>
      <c r="H330" s="37"/>
      <c r="I330" s="37"/>
      <c r="J330" s="37"/>
      <c r="K330" s="37"/>
      <c r="L330" s="37"/>
      <c r="M330" s="59"/>
      <c r="N330" s="37"/>
      <c r="O330" s="37"/>
      <c r="P330" s="37"/>
      <c r="Q330" s="59"/>
      <c r="R330" s="49"/>
      <c r="S330" s="37"/>
      <c r="T330" s="37"/>
      <c r="U330" s="37"/>
      <c r="V330" s="37"/>
      <c r="W330" s="96" t="str">
        <f>tbl_Assessment[[#This Row],[Ben Code]] &amp; "-"&amp;tbl_Assessment[[#This Row],[admin4Pcode]]&amp;"-" &amp; TEXT(COUNTIF(INDEX(tbl_Assessment[Ben Code],1):tbl_Assessment[[#This Row],[Ben Code]], tbl_Assessment[[#This Row],[Ben Code]]), "00")</f>
        <v>--00</v>
      </c>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49"/>
      <c r="AU330" s="41"/>
      <c r="AV330" s="37"/>
      <c r="AW330" s="37"/>
      <c r="AX330" s="37"/>
      <c r="AY330" s="37"/>
      <c r="AZ330" s="37"/>
      <c r="BA330" s="37"/>
      <c r="BB330" s="41"/>
      <c r="BC330" s="37"/>
      <c r="BD330" s="37"/>
      <c r="BE330" s="37"/>
      <c r="BF330" s="41"/>
      <c r="BG330" s="37"/>
      <c r="BH330" s="37"/>
      <c r="BI330" s="37"/>
      <c r="BJ330" s="41"/>
    </row>
    <row r="331" spans="2:62" ht="25.15" customHeight="1" x14ac:dyDescent="0.25">
      <c r="B331" s="49">
        <v>326</v>
      </c>
      <c r="C331" s="37"/>
      <c r="D331" s="87" t="str">
        <f>IF(tbl_Assessment[[#This Row],[Ben Code]]&lt;&gt;"",INDEX(tbl_Ben_Info[],MATCH(tbl_Assessment[[#This Row],[Ben Code]],tbl_Ben_Info[Ben Code],0),48),"")</f>
        <v/>
      </c>
      <c r="E331" s="116" t="str">
        <f>IF(tbl_Assessment[[#This Row],[Ben Code]]&lt;&gt;"",INDEX(tbl_Ben_Info[],MATCH(tbl_Assessment[[#This Row],[Ben Code]],tbl_Ben_Info[Ben Code],0),6),"")</f>
        <v/>
      </c>
      <c r="F331" s="113" t="str">
        <f>IF(tbl_Assessment[[#This Row],[Ben Code]]&lt;&gt;"",INDEX(tbl_Ben_Info[],MATCH(tbl_Assessment[[#This Row],[Ben Code]],tbl_Ben_Info[Ben Code],0),13),"")</f>
        <v/>
      </c>
      <c r="G331" s="49"/>
      <c r="H331" s="37"/>
      <c r="I331" s="37"/>
      <c r="J331" s="37"/>
      <c r="K331" s="37"/>
      <c r="L331" s="37"/>
      <c r="M331" s="59"/>
      <c r="N331" s="37"/>
      <c r="O331" s="37"/>
      <c r="P331" s="37"/>
      <c r="Q331" s="59"/>
      <c r="R331" s="49"/>
      <c r="S331" s="37"/>
      <c r="T331" s="37"/>
      <c r="U331" s="37"/>
      <c r="V331" s="37"/>
      <c r="W331" s="96" t="str">
        <f>tbl_Assessment[[#This Row],[Ben Code]] &amp; "-"&amp;tbl_Assessment[[#This Row],[admin4Pcode]]&amp;"-" &amp; TEXT(COUNTIF(INDEX(tbl_Assessment[Ben Code],1):tbl_Assessment[[#This Row],[Ben Code]], tbl_Assessment[[#This Row],[Ben Code]]), "00")</f>
        <v>--00</v>
      </c>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49"/>
      <c r="AU331" s="41"/>
      <c r="AV331" s="37"/>
      <c r="AW331" s="37"/>
      <c r="AX331" s="37"/>
      <c r="AY331" s="37"/>
      <c r="AZ331" s="37"/>
      <c r="BA331" s="37"/>
      <c r="BB331" s="41"/>
      <c r="BC331" s="37"/>
      <c r="BD331" s="37"/>
      <c r="BE331" s="37"/>
      <c r="BF331" s="41"/>
      <c r="BG331" s="37"/>
      <c r="BH331" s="37"/>
      <c r="BI331" s="37"/>
      <c r="BJ331" s="41"/>
    </row>
    <row r="332" spans="2:62" ht="25.15" customHeight="1" x14ac:dyDescent="0.25">
      <c r="B332" s="49">
        <v>327</v>
      </c>
      <c r="C332" s="37"/>
      <c r="D332" s="87" t="str">
        <f>IF(tbl_Assessment[[#This Row],[Ben Code]]&lt;&gt;"",INDEX(tbl_Ben_Info[],MATCH(tbl_Assessment[[#This Row],[Ben Code]],tbl_Ben_Info[Ben Code],0),48),"")</f>
        <v/>
      </c>
      <c r="E332" s="116" t="str">
        <f>IF(tbl_Assessment[[#This Row],[Ben Code]]&lt;&gt;"",INDEX(tbl_Ben_Info[],MATCH(tbl_Assessment[[#This Row],[Ben Code]],tbl_Ben_Info[Ben Code],0),6),"")</f>
        <v/>
      </c>
      <c r="F332" s="113" t="str">
        <f>IF(tbl_Assessment[[#This Row],[Ben Code]]&lt;&gt;"",INDEX(tbl_Ben_Info[],MATCH(tbl_Assessment[[#This Row],[Ben Code]],tbl_Ben_Info[Ben Code],0),13),"")</f>
        <v/>
      </c>
      <c r="G332" s="49"/>
      <c r="H332" s="37"/>
      <c r="I332" s="37"/>
      <c r="J332" s="37"/>
      <c r="K332" s="37"/>
      <c r="L332" s="37"/>
      <c r="M332" s="59"/>
      <c r="N332" s="37"/>
      <c r="O332" s="37"/>
      <c r="P332" s="37"/>
      <c r="Q332" s="59"/>
      <c r="R332" s="49"/>
      <c r="S332" s="37"/>
      <c r="T332" s="37"/>
      <c r="U332" s="37"/>
      <c r="V332" s="37"/>
      <c r="W332" s="96" t="str">
        <f>tbl_Assessment[[#This Row],[Ben Code]] &amp; "-"&amp;tbl_Assessment[[#This Row],[admin4Pcode]]&amp;"-" &amp; TEXT(COUNTIF(INDEX(tbl_Assessment[Ben Code],1):tbl_Assessment[[#This Row],[Ben Code]], tbl_Assessment[[#This Row],[Ben Code]]), "00")</f>
        <v>--00</v>
      </c>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49"/>
      <c r="AU332" s="41"/>
      <c r="AV332" s="37"/>
      <c r="AW332" s="37"/>
      <c r="AX332" s="37"/>
      <c r="AY332" s="37"/>
      <c r="AZ332" s="37"/>
      <c r="BA332" s="37"/>
      <c r="BB332" s="41"/>
      <c r="BC332" s="37"/>
      <c r="BD332" s="37"/>
      <c r="BE332" s="37"/>
      <c r="BF332" s="41"/>
      <c r="BG332" s="37"/>
      <c r="BH332" s="37"/>
      <c r="BI332" s="37"/>
      <c r="BJ332" s="41"/>
    </row>
    <row r="333" spans="2:62" ht="25.15" customHeight="1" x14ac:dyDescent="0.25">
      <c r="B333" s="49">
        <v>328</v>
      </c>
      <c r="C333" s="37"/>
      <c r="D333" s="87" t="str">
        <f>IF(tbl_Assessment[[#This Row],[Ben Code]]&lt;&gt;"",INDEX(tbl_Ben_Info[],MATCH(tbl_Assessment[[#This Row],[Ben Code]],tbl_Ben_Info[Ben Code],0),48),"")</f>
        <v/>
      </c>
      <c r="E333" s="116" t="str">
        <f>IF(tbl_Assessment[[#This Row],[Ben Code]]&lt;&gt;"",INDEX(tbl_Ben_Info[],MATCH(tbl_Assessment[[#This Row],[Ben Code]],tbl_Ben_Info[Ben Code],0),6),"")</f>
        <v/>
      </c>
      <c r="F333" s="113" t="str">
        <f>IF(tbl_Assessment[[#This Row],[Ben Code]]&lt;&gt;"",INDEX(tbl_Ben_Info[],MATCH(tbl_Assessment[[#This Row],[Ben Code]],tbl_Ben_Info[Ben Code],0),13),"")</f>
        <v/>
      </c>
      <c r="G333" s="49"/>
      <c r="H333" s="37"/>
      <c r="I333" s="37"/>
      <c r="J333" s="37"/>
      <c r="K333" s="37"/>
      <c r="L333" s="37"/>
      <c r="M333" s="59"/>
      <c r="N333" s="37"/>
      <c r="O333" s="37"/>
      <c r="P333" s="37"/>
      <c r="Q333" s="59"/>
      <c r="R333" s="49"/>
      <c r="S333" s="37"/>
      <c r="T333" s="37"/>
      <c r="U333" s="37"/>
      <c r="V333" s="37"/>
      <c r="W333" s="96" t="str">
        <f>tbl_Assessment[[#This Row],[Ben Code]] &amp; "-"&amp;tbl_Assessment[[#This Row],[admin4Pcode]]&amp;"-" &amp; TEXT(COUNTIF(INDEX(tbl_Assessment[Ben Code],1):tbl_Assessment[[#This Row],[Ben Code]], tbl_Assessment[[#This Row],[Ben Code]]), "00")</f>
        <v>--00</v>
      </c>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49"/>
      <c r="AU333" s="41"/>
      <c r="AV333" s="37"/>
      <c r="AW333" s="37"/>
      <c r="AX333" s="37"/>
      <c r="AY333" s="37"/>
      <c r="AZ333" s="37"/>
      <c r="BA333" s="37"/>
      <c r="BB333" s="41"/>
      <c r="BC333" s="37"/>
      <c r="BD333" s="37"/>
      <c r="BE333" s="37"/>
      <c r="BF333" s="41"/>
      <c r="BG333" s="37"/>
      <c r="BH333" s="37"/>
      <c r="BI333" s="37"/>
      <c r="BJ333" s="41"/>
    </row>
    <row r="334" spans="2:62" ht="25.15" customHeight="1" x14ac:dyDescent="0.25">
      <c r="B334" s="49">
        <v>329</v>
      </c>
      <c r="C334" s="37"/>
      <c r="D334" s="87" t="str">
        <f>IF(tbl_Assessment[[#This Row],[Ben Code]]&lt;&gt;"",INDEX(tbl_Ben_Info[],MATCH(tbl_Assessment[[#This Row],[Ben Code]],tbl_Ben_Info[Ben Code],0),48),"")</f>
        <v/>
      </c>
      <c r="E334" s="116" t="str">
        <f>IF(tbl_Assessment[[#This Row],[Ben Code]]&lt;&gt;"",INDEX(tbl_Ben_Info[],MATCH(tbl_Assessment[[#This Row],[Ben Code]],tbl_Ben_Info[Ben Code],0),6),"")</f>
        <v/>
      </c>
      <c r="F334" s="113" t="str">
        <f>IF(tbl_Assessment[[#This Row],[Ben Code]]&lt;&gt;"",INDEX(tbl_Ben_Info[],MATCH(tbl_Assessment[[#This Row],[Ben Code]],tbl_Ben_Info[Ben Code],0),13),"")</f>
        <v/>
      </c>
      <c r="G334" s="49"/>
      <c r="H334" s="37"/>
      <c r="I334" s="37"/>
      <c r="J334" s="37"/>
      <c r="K334" s="37"/>
      <c r="L334" s="37"/>
      <c r="M334" s="59"/>
      <c r="N334" s="37"/>
      <c r="O334" s="37"/>
      <c r="P334" s="37"/>
      <c r="Q334" s="59"/>
      <c r="R334" s="49"/>
      <c r="S334" s="37"/>
      <c r="T334" s="37"/>
      <c r="U334" s="37"/>
      <c r="V334" s="37"/>
      <c r="W334" s="96" t="str">
        <f>tbl_Assessment[[#This Row],[Ben Code]] &amp; "-"&amp;tbl_Assessment[[#This Row],[admin4Pcode]]&amp;"-" &amp; TEXT(COUNTIF(INDEX(tbl_Assessment[Ben Code],1):tbl_Assessment[[#This Row],[Ben Code]], tbl_Assessment[[#This Row],[Ben Code]]), "00")</f>
        <v>--00</v>
      </c>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49"/>
      <c r="AU334" s="41"/>
      <c r="AV334" s="37"/>
      <c r="AW334" s="37"/>
      <c r="AX334" s="37"/>
      <c r="AY334" s="37"/>
      <c r="AZ334" s="37"/>
      <c r="BA334" s="37"/>
      <c r="BB334" s="41"/>
      <c r="BC334" s="37"/>
      <c r="BD334" s="37"/>
      <c r="BE334" s="37"/>
      <c r="BF334" s="41"/>
      <c r="BG334" s="37"/>
      <c r="BH334" s="37"/>
      <c r="BI334" s="37"/>
      <c r="BJ334" s="41"/>
    </row>
    <row r="335" spans="2:62" ht="25.15" customHeight="1" x14ac:dyDescent="0.25">
      <c r="B335" s="49">
        <v>330</v>
      </c>
      <c r="C335" s="37"/>
      <c r="D335" s="87" t="str">
        <f>IF(tbl_Assessment[[#This Row],[Ben Code]]&lt;&gt;"",INDEX(tbl_Ben_Info[],MATCH(tbl_Assessment[[#This Row],[Ben Code]],tbl_Ben_Info[Ben Code],0),48),"")</f>
        <v/>
      </c>
      <c r="E335" s="116" t="str">
        <f>IF(tbl_Assessment[[#This Row],[Ben Code]]&lt;&gt;"",INDEX(tbl_Ben_Info[],MATCH(tbl_Assessment[[#This Row],[Ben Code]],tbl_Ben_Info[Ben Code],0),6),"")</f>
        <v/>
      </c>
      <c r="F335" s="113" t="str">
        <f>IF(tbl_Assessment[[#This Row],[Ben Code]]&lt;&gt;"",INDEX(tbl_Ben_Info[],MATCH(tbl_Assessment[[#This Row],[Ben Code]],tbl_Ben_Info[Ben Code],0),13),"")</f>
        <v/>
      </c>
      <c r="G335" s="49"/>
      <c r="H335" s="37"/>
      <c r="I335" s="37"/>
      <c r="J335" s="37"/>
      <c r="K335" s="37"/>
      <c r="L335" s="37"/>
      <c r="M335" s="59"/>
      <c r="N335" s="37"/>
      <c r="O335" s="37"/>
      <c r="P335" s="37"/>
      <c r="Q335" s="59"/>
      <c r="R335" s="49"/>
      <c r="S335" s="37"/>
      <c r="T335" s="37"/>
      <c r="U335" s="37"/>
      <c r="V335" s="37"/>
      <c r="W335" s="96" t="str">
        <f>tbl_Assessment[[#This Row],[Ben Code]] &amp; "-"&amp;tbl_Assessment[[#This Row],[admin4Pcode]]&amp;"-" &amp; TEXT(COUNTIF(INDEX(tbl_Assessment[Ben Code],1):tbl_Assessment[[#This Row],[Ben Code]], tbl_Assessment[[#This Row],[Ben Code]]), "00")</f>
        <v>--00</v>
      </c>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49"/>
      <c r="AU335" s="41"/>
      <c r="AV335" s="37"/>
      <c r="AW335" s="37"/>
      <c r="AX335" s="37"/>
      <c r="AY335" s="37"/>
      <c r="AZ335" s="37"/>
      <c r="BA335" s="37"/>
      <c r="BB335" s="41"/>
      <c r="BC335" s="37"/>
      <c r="BD335" s="37"/>
      <c r="BE335" s="37"/>
      <c r="BF335" s="41"/>
      <c r="BG335" s="37"/>
      <c r="BH335" s="37"/>
      <c r="BI335" s="37"/>
      <c r="BJ335" s="41"/>
    </row>
    <row r="336" spans="2:62" ht="25.15" customHeight="1" x14ac:dyDescent="0.25">
      <c r="B336" s="49">
        <v>331</v>
      </c>
      <c r="C336" s="37"/>
      <c r="D336" s="87" t="str">
        <f>IF(tbl_Assessment[[#This Row],[Ben Code]]&lt;&gt;"",INDEX(tbl_Ben_Info[],MATCH(tbl_Assessment[[#This Row],[Ben Code]],tbl_Ben_Info[Ben Code],0),48),"")</f>
        <v/>
      </c>
      <c r="E336" s="116" t="str">
        <f>IF(tbl_Assessment[[#This Row],[Ben Code]]&lt;&gt;"",INDEX(tbl_Ben_Info[],MATCH(tbl_Assessment[[#This Row],[Ben Code]],tbl_Ben_Info[Ben Code],0),6),"")</f>
        <v/>
      </c>
      <c r="F336" s="113" t="str">
        <f>IF(tbl_Assessment[[#This Row],[Ben Code]]&lt;&gt;"",INDEX(tbl_Ben_Info[],MATCH(tbl_Assessment[[#This Row],[Ben Code]],tbl_Ben_Info[Ben Code],0),13),"")</f>
        <v/>
      </c>
      <c r="G336" s="49"/>
      <c r="H336" s="37"/>
      <c r="I336" s="37"/>
      <c r="J336" s="37"/>
      <c r="K336" s="37"/>
      <c r="L336" s="37"/>
      <c r="M336" s="59"/>
      <c r="N336" s="37"/>
      <c r="O336" s="37"/>
      <c r="P336" s="37"/>
      <c r="Q336" s="59"/>
      <c r="R336" s="49"/>
      <c r="S336" s="37"/>
      <c r="T336" s="37"/>
      <c r="U336" s="37"/>
      <c r="V336" s="37"/>
      <c r="W336" s="96" t="str">
        <f>tbl_Assessment[[#This Row],[Ben Code]] &amp; "-"&amp;tbl_Assessment[[#This Row],[admin4Pcode]]&amp;"-" &amp; TEXT(COUNTIF(INDEX(tbl_Assessment[Ben Code],1):tbl_Assessment[[#This Row],[Ben Code]], tbl_Assessment[[#This Row],[Ben Code]]), "00")</f>
        <v>--00</v>
      </c>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49"/>
      <c r="AU336" s="41"/>
      <c r="AV336" s="37"/>
      <c r="AW336" s="37"/>
      <c r="AX336" s="37"/>
      <c r="AY336" s="37"/>
      <c r="AZ336" s="37"/>
      <c r="BA336" s="37"/>
      <c r="BB336" s="41"/>
      <c r="BC336" s="37"/>
      <c r="BD336" s="37"/>
      <c r="BE336" s="37"/>
      <c r="BF336" s="41"/>
      <c r="BG336" s="37"/>
      <c r="BH336" s="37"/>
      <c r="BI336" s="37"/>
      <c r="BJ336" s="41"/>
    </row>
    <row r="337" spans="2:62" ht="25.15" customHeight="1" x14ac:dyDescent="0.25">
      <c r="B337" s="49">
        <v>332</v>
      </c>
      <c r="C337" s="37"/>
      <c r="D337" s="87" t="str">
        <f>IF(tbl_Assessment[[#This Row],[Ben Code]]&lt;&gt;"",INDEX(tbl_Ben_Info[],MATCH(tbl_Assessment[[#This Row],[Ben Code]],tbl_Ben_Info[Ben Code],0),48),"")</f>
        <v/>
      </c>
      <c r="E337" s="116" t="str">
        <f>IF(tbl_Assessment[[#This Row],[Ben Code]]&lt;&gt;"",INDEX(tbl_Ben_Info[],MATCH(tbl_Assessment[[#This Row],[Ben Code]],tbl_Ben_Info[Ben Code],0),6),"")</f>
        <v/>
      </c>
      <c r="F337" s="113" t="str">
        <f>IF(tbl_Assessment[[#This Row],[Ben Code]]&lt;&gt;"",INDEX(tbl_Ben_Info[],MATCH(tbl_Assessment[[#This Row],[Ben Code]],tbl_Ben_Info[Ben Code],0),13),"")</f>
        <v/>
      </c>
      <c r="G337" s="49"/>
      <c r="H337" s="37"/>
      <c r="I337" s="37"/>
      <c r="J337" s="37"/>
      <c r="K337" s="37"/>
      <c r="L337" s="37"/>
      <c r="M337" s="59"/>
      <c r="N337" s="37"/>
      <c r="O337" s="37"/>
      <c r="P337" s="37"/>
      <c r="Q337" s="59"/>
      <c r="R337" s="49"/>
      <c r="S337" s="37"/>
      <c r="T337" s="37"/>
      <c r="U337" s="37"/>
      <c r="V337" s="37"/>
      <c r="W337" s="96" t="str">
        <f>tbl_Assessment[[#This Row],[Ben Code]] &amp; "-"&amp;tbl_Assessment[[#This Row],[admin4Pcode]]&amp;"-" &amp; TEXT(COUNTIF(INDEX(tbl_Assessment[Ben Code],1):tbl_Assessment[[#This Row],[Ben Code]], tbl_Assessment[[#This Row],[Ben Code]]), "00")</f>
        <v>--00</v>
      </c>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49"/>
      <c r="AU337" s="41"/>
      <c r="AV337" s="37"/>
      <c r="AW337" s="37"/>
      <c r="AX337" s="37"/>
      <c r="AY337" s="37"/>
      <c r="AZ337" s="37"/>
      <c r="BA337" s="37"/>
      <c r="BB337" s="41"/>
      <c r="BC337" s="37"/>
      <c r="BD337" s="37"/>
      <c r="BE337" s="37"/>
      <c r="BF337" s="41"/>
      <c r="BG337" s="37"/>
      <c r="BH337" s="37"/>
      <c r="BI337" s="37"/>
      <c r="BJ337" s="41"/>
    </row>
    <row r="338" spans="2:62" ht="25.15" customHeight="1" x14ac:dyDescent="0.25">
      <c r="B338" s="49">
        <v>333</v>
      </c>
      <c r="C338" s="37"/>
      <c r="D338" s="87" t="str">
        <f>IF(tbl_Assessment[[#This Row],[Ben Code]]&lt;&gt;"",INDEX(tbl_Ben_Info[],MATCH(tbl_Assessment[[#This Row],[Ben Code]],tbl_Ben_Info[Ben Code],0),48),"")</f>
        <v/>
      </c>
      <c r="E338" s="116" t="str">
        <f>IF(tbl_Assessment[[#This Row],[Ben Code]]&lt;&gt;"",INDEX(tbl_Ben_Info[],MATCH(tbl_Assessment[[#This Row],[Ben Code]],tbl_Ben_Info[Ben Code],0),6),"")</f>
        <v/>
      </c>
      <c r="F338" s="113" t="str">
        <f>IF(tbl_Assessment[[#This Row],[Ben Code]]&lt;&gt;"",INDEX(tbl_Ben_Info[],MATCH(tbl_Assessment[[#This Row],[Ben Code]],tbl_Ben_Info[Ben Code],0),13),"")</f>
        <v/>
      </c>
      <c r="G338" s="49"/>
      <c r="H338" s="37"/>
      <c r="I338" s="37"/>
      <c r="J338" s="37"/>
      <c r="K338" s="37"/>
      <c r="L338" s="37"/>
      <c r="M338" s="59"/>
      <c r="N338" s="37"/>
      <c r="O338" s="37"/>
      <c r="P338" s="37"/>
      <c r="Q338" s="59"/>
      <c r="R338" s="49"/>
      <c r="S338" s="37"/>
      <c r="T338" s="37"/>
      <c r="U338" s="37"/>
      <c r="V338" s="37"/>
      <c r="W338" s="96" t="str">
        <f>tbl_Assessment[[#This Row],[Ben Code]] &amp; "-"&amp;tbl_Assessment[[#This Row],[admin4Pcode]]&amp;"-" &amp; TEXT(COUNTIF(INDEX(tbl_Assessment[Ben Code],1):tbl_Assessment[[#This Row],[Ben Code]], tbl_Assessment[[#This Row],[Ben Code]]), "00")</f>
        <v>--00</v>
      </c>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49"/>
      <c r="AU338" s="41"/>
      <c r="AV338" s="37"/>
      <c r="AW338" s="37"/>
      <c r="AX338" s="37"/>
      <c r="AY338" s="37"/>
      <c r="AZ338" s="37"/>
      <c r="BA338" s="37"/>
      <c r="BB338" s="41"/>
      <c r="BC338" s="37"/>
      <c r="BD338" s="37"/>
      <c r="BE338" s="37"/>
      <c r="BF338" s="41"/>
      <c r="BG338" s="37"/>
      <c r="BH338" s="37"/>
      <c r="BI338" s="37"/>
      <c r="BJ338" s="41"/>
    </row>
    <row r="339" spans="2:62" ht="25.15" customHeight="1" x14ac:dyDescent="0.25">
      <c r="B339" s="49">
        <v>334</v>
      </c>
      <c r="C339" s="37"/>
      <c r="D339" s="87" t="str">
        <f>IF(tbl_Assessment[[#This Row],[Ben Code]]&lt;&gt;"",INDEX(tbl_Ben_Info[],MATCH(tbl_Assessment[[#This Row],[Ben Code]],tbl_Ben_Info[Ben Code],0),48),"")</f>
        <v/>
      </c>
      <c r="E339" s="116" t="str">
        <f>IF(tbl_Assessment[[#This Row],[Ben Code]]&lt;&gt;"",INDEX(tbl_Ben_Info[],MATCH(tbl_Assessment[[#This Row],[Ben Code]],tbl_Ben_Info[Ben Code],0),6),"")</f>
        <v/>
      </c>
      <c r="F339" s="113" t="str">
        <f>IF(tbl_Assessment[[#This Row],[Ben Code]]&lt;&gt;"",INDEX(tbl_Ben_Info[],MATCH(tbl_Assessment[[#This Row],[Ben Code]],tbl_Ben_Info[Ben Code],0),13),"")</f>
        <v/>
      </c>
      <c r="G339" s="49"/>
      <c r="H339" s="37"/>
      <c r="I339" s="37"/>
      <c r="J339" s="37"/>
      <c r="K339" s="37"/>
      <c r="L339" s="37"/>
      <c r="M339" s="59"/>
      <c r="N339" s="37"/>
      <c r="O339" s="37"/>
      <c r="P339" s="37"/>
      <c r="Q339" s="59"/>
      <c r="R339" s="49"/>
      <c r="S339" s="37"/>
      <c r="T339" s="37"/>
      <c r="U339" s="37"/>
      <c r="V339" s="37"/>
      <c r="W339" s="96" t="str">
        <f>tbl_Assessment[[#This Row],[Ben Code]] &amp; "-"&amp;tbl_Assessment[[#This Row],[admin4Pcode]]&amp;"-" &amp; TEXT(COUNTIF(INDEX(tbl_Assessment[Ben Code],1):tbl_Assessment[[#This Row],[Ben Code]], tbl_Assessment[[#This Row],[Ben Code]]), "00")</f>
        <v>--00</v>
      </c>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49"/>
      <c r="AU339" s="41"/>
      <c r="AV339" s="37"/>
      <c r="AW339" s="37"/>
      <c r="AX339" s="37"/>
      <c r="AY339" s="37"/>
      <c r="AZ339" s="37"/>
      <c r="BA339" s="37"/>
      <c r="BB339" s="41"/>
      <c r="BC339" s="37"/>
      <c r="BD339" s="37"/>
      <c r="BE339" s="37"/>
      <c r="BF339" s="41"/>
      <c r="BG339" s="37"/>
      <c r="BH339" s="37"/>
      <c r="BI339" s="37"/>
      <c r="BJ339" s="41"/>
    </row>
    <row r="340" spans="2:62" ht="25.15" customHeight="1" x14ac:dyDescent="0.25">
      <c r="B340" s="49">
        <v>335</v>
      </c>
      <c r="C340" s="37"/>
      <c r="D340" s="87" t="str">
        <f>IF(tbl_Assessment[[#This Row],[Ben Code]]&lt;&gt;"",INDEX(tbl_Ben_Info[],MATCH(tbl_Assessment[[#This Row],[Ben Code]],tbl_Ben_Info[Ben Code],0),48),"")</f>
        <v/>
      </c>
      <c r="E340" s="116" t="str">
        <f>IF(tbl_Assessment[[#This Row],[Ben Code]]&lt;&gt;"",INDEX(tbl_Ben_Info[],MATCH(tbl_Assessment[[#This Row],[Ben Code]],tbl_Ben_Info[Ben Code],0),6),"")</f>
        <v/>
      </c>
      <c r="F340" s="113" t="str">
        <f>IF(tbl_Assessment[[#This Row],[Ben Code]]&lt;&gt;"",INDEX(tbl_Ben_Info[],MATCH(tbl_Assessment[[#This Row],[Ben Code]],tbl_Ben_Info[Ben Code],0),13),"")</f>
        <v/>
      </c>
      <c r="G340" s="49"/>
      <c r="H340" s="37"/>
      <c r="I340" s="37"/>
      <c r="J340" s="37"/>
      <c r="K340" s="37"/>
      <c r="L340" s="37"/>
      <c r="M340" s="59"/>
      <c r="N340" s="37"/>
      <c r="O340" s="37"/>
      <c r="P340" s="37"/>
      <c r="Q340" s="59"/>
      <c r="R340" s="49"/>
      <c r="S340" s="37"/>
      <c r="T340" s="37"/>
      <c r="U340" s="37"/>
      <c r="V340" s="37"/>
      <c r="W340" s="96" t="str">
        <f>tbl_Assessment[[#This Row],[Ben Code]] &amp; "-"&amp;tbl_Assessment[[#This Row],[admin4Pcode]]&amp;"-" &amp; TEXT(COUNTIF(INDEX(tbl_Assessment[Ben Code],1):tbl_Assessment[[#This Row],[Ben Code]], tbl_Assessment[[#This Row],[Ben Code]]), "00")</f>
        <v>--00</v>
      </c>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49"/>
      <c r="AU340" s="41"/>
      <c r="AV340" s="37"/>
      <c r="AW340" s="37"/>
      <c r="AX340" s="37"/>
      <c r="AY340" s="37"/>
      <c r="AZ340" s="37"/>
      <c r="BA340" s="37"/>
      <c r="BB340" s="41"/>
      <c r="BC340" s="37"/>
      <c r="BD340" s="37"/>
      <c r="BE340" s="37"/>
      <c r="BF340" s="41"/>
      <c r="BG340" s="37"/>
      <c r="BH340" s="37"/>
      <c r="BI340" s="37"/>
      <c r="BJ340" s="41"/>
    </row>
    <row r="341" spans="2:62" ht="25.15" customHeight="1" x14ac:dyDescent="0.25">
      <c r="B341" s="49">
        <v>336</v>
      </c>
      <c r="C341" s="37"/>
      <c r="D341" s="87" t="str">
        <f>IF(tbl_Assessment[[#This Row],[Ben Code]]&lt;&gt;"",INDEX(tbl_Ben_Info[],MATCH(tbl_Assessment[[#This Row],[Ben Code]],tbl_Ben_Info[Ben Code],0),48),"")</f>
        <v/>
      </c>
      <c r="E341" s="116" t="str">
        <f>IF(tbl_Assessment[[#This Row],[Ben Code]]&lt;&gt;"",INDEX(tbl_Ben_Info[],MATCH(tbl_Assessment[[#This Row],[Ben Code]],tbl_Ben_Info[Ben Code],0),6),"")</f>
        <v/>
      </c>
      <c r="F341" s="113" t="str">
        <f>IF(tbl_Assessment[[#This Row],[Ben Code]]&lt;&gt;"",INDEX(tbl_Ben_Info[],MATCH(tbl_Assessment[[#This Row],[Ben Code]],tbl_Ben_Info[Ben Code],0),13),"")</f>
        <v/>
      </c>
      <c r="G341" s="49"/>
      <c r="H341" s="37"/>
      <c r="I341" s="37"/>
      <c r="J341" s="37"/>
      <c r="K341" s="37"/>
      <c r="L341" s="37"/>
      <c r="M341" s="59"/>
      <c r="N341" s="37"/>
      <c r="O341" s="37"/>
      <c r="P341" s="37"/>
      <c r="Q341" s="59"/>
      <c r="R341" s="49"/>
      <c r="S341" s="37"/>
      <c r="T341" s="37"/>
      <c r="U341" s="37"/>
      <c r="V341" s="37"/>
      <c r="W341" s="96" t="str">
        <f>tbl_Assessment[[#This Row],[Ben Code]] &amp; "-"&amp;tbl_Assessment[[#This Row],[admin4Pcode]]&amp;"-" &amp; TEXT(COUNTIF(INDEX(tbl_Assessment[Ben Code],1):tbl_Assessment[[#This Row],[Ben Code]], tbl_Assessment[[#This Row],[Ben Code]]), "00")</f>
        <v>--00</v>
      </c>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49"/>
      <c r="AU341" s="41"/>
      <c r="AV341" s="37"/>
      <c r="AW341" s="37"/>
      <c r="AX341" s="37"/>
      <c r="AY341" s="37"/>
      <c r="AZ341" s="37"/>
      <c r="BA341" s="37"/>
      <c r="BB341" s="41"/>
      <c r="BC341" s="37"/>
      <c r="BD341" s="37"/>
      <c r="BE341" s="37"/>
      <c r="BF341" s="41"/>
      <c r="BG341" s="37"/>
      <c r="BH341" s="37"/>
      <c r="BI341" s="37"/>
      <c r="BJ341" s="41"/>
    </row>
    <row r="342" spans="2:62" ht="25.15" customHeight="1" x14ac:dyDescent="0.25">
      <c r="B342" s="49">
        <v>337</v>
      </c>
      <c r="C342" s="37"/>
      <c r="D342" s="87" t="str">
        <f>IF(tbl_Assessment[[#This Row],[Ben Code]]&lt;&gt;"",INDEX(tbl_Ben_Info[],MATCH(tbl_Assessment[[#This Row],[Ben Code]],tbl_Ben_Info[Ben Code],0),48),"")</f>
        <v/>
      </c>
      <c r="E342" s="116" t="str">
        <f>IF(tbl_Assessment[[#This Row],[Ben Code]]&lt;&gt;"",INDEX(tbl_Ben_Info[],MATCH(tbl_Assessment[[#This Row],[Ben Code]],tbl_Ben_Info[Ben Code],0),6),"")</f>
        <v/>
      </c>
      <c r="F342" s="113" t="str">
        <f>IF(tbl_Assessment[[#This Row],[Ben Code]]&lt;&gt;"",INDEX(tbl_Ben_Info[],MATCH(tbl_Assessment[[#This Row],[Ben Code]],tbl_Ben_Info[Ben Code],0),13),"")</f>
        <v/>
      </c>
      <c r="G342" s="49"/>
      <c r="H342" s="37"/>
      <c r="I342" s="37"/>
      <c r="J342" s="37"/>
      <c r="K342" s="37"/>
      <c r="L342" s="37"/>
      <c r="M342" s="59"/>
      <c r="N342" s="37"/>
      <c r="O342" s="37"/>
      <c r="P342" s="37"/>
      <c r="Q342" s="59"/>
      <c r="R342" s="49"/>
      <c r="S342" s="37"/>
      <c r="T342" s="37"/>
      <c r="U342" s="37"/>
      <c r="V342" s="37"/>
      <c r="W342" s="96" t="str">
        <f>tbl_Assessment[[#This Row],[Ben Code]] &amp; "-"&amp;tbl_Assessment[[#This Row],[admin4Pcode]]&amp;"-" &amp; TEXT(COUNTIF(INDEX(tbl_Assessment[Ben Code],1):tbl_Assessment[[#This Row],[Ben Code]], tbl_Assessment[[#This Row],[Ben Code]]), "00")</f>
        <v>--00</v>
      </c>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49"/>
      <c r="AU342" s="41"/>
      <c r="AV342" s="37"/>
      <c r="AW342" s="37"/>
      <c r="AX342" s="37"/>
      <c r="AY342" s="37"/>
      <c r="AZ342" s="37"/>
      <c r="BA342" s="37"/>
      <c r="BB342" s="41"/>
      <c r="BC342" s="37"/>
      <c r="BD342" s="37"/>
      <c r="BE342" s="37"/>
      <c r="BF342" s="41"/>
      <c r="BG342" s="37"/>
      <c r="BH342" s="37"/>
      <c r="BI342" s="37"/>
      <c r="BJ342" s="41"/>
    </row>
    <row r="343" spans="2:62" ht="25.15" customHeight="1" x14ac:dyDescent="0.25">
      <c r="B343" s="49">
        <v>338</v>
      </c>
      <c r="C343" s="37"/>
      <c r="D343" s="87" t="str">
        <f>IF(tbl_Assessment[[#This Row],[Ben Code]]&lt;&gt;"",INDEX(tbl_Ben_Info[],MATCH(tbl_Assessment[[#This Row],[Ben Code]],tbl_Ben_Info[Ben Code],0),48),"")</f>
        <v/>
      </c>
      <c r="E343" s="116" t="str">
        <f>IF(tbl_Assessment[[#This Row],[Ben Code]]&lt;&gt;"",INDEX(tbl_Ben_Info[],MATCH(tbl_Assessment[[#This Row],[Ben Code]],tbl_Ben_Info[Ben Code],0),6),"")</f>
        <v/>
      </c>
      <c r="F343" s="113" t="str">
        <f>IF(tbl_Assessment[[#This Row],[Ben Code]]&lt;&gt;"",INDEX(tbl_Ben_Info[],MATCH(tbl_Assessment[[#This Row],[Ben Code]],tbl_Ben_Info[Ben Code],0),13),"")</f>
        <v/>
      </c>
      <c r="G343" s="49"/>
      <c r="H343" s="37"/>
      <c r="I343" s="37"/>
      <c r="J343" s="37"/>
      <c r="K343" s="37"/>
      <c r="L343" s="37"/>
      <c r="M343" s="59"/>
      <c r="N343" s="37"/>
      <c r="O343" s="37"/>
      <c r="P343" s="37"/>
      <c r="Q343" s="59"/>
      <c r="R343" s="49"/>
      <c r="S343" s="37"/>
      <c r="T343" s="37"/>
      <c r="U343" s="37"/>
      <c r="V343" s="37"/>
      <c r="W343" s="96" t="str">
        <f>tbl_Assessment[[#This Row],[Ben Code]] &amp; "-"&amp;tbl_Assessment[[#This Row],[admin4Pcode]]&amp;"-" &amp; TEXT(COUNTIF(INDEX(tbl_Assessment[Ben Code],1):tbl_Assessment[[#This Row],[Ben Code]], tbl_Assessment[[#This Row],[Ben Code]]), "00")</f>
        <v>--00</v>
      </c>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49"/>
      <c r="AU343" s="41"/>
      <c r="AV343" s="37"/>
      <c r="AW343" s="37"/>
      <c r="AX343" s="37"/>
      <c r="AY343" s="37"/>
      <c r="AZ343" s="37"/>
      <c r="BA343" s="37"/>
      <c r="BB343" s="41"/>
      <c r="BC343" s="37"/>
      <c r="BD343" s="37"/>
      <c r="BE343" s="37"/>
      <c r="BF343" s="41"/>
      <c r="BG343" s="37"/>
      <c r="BH343" s="37"/>
      <c r="BI343" s="37"/>
      <c r="BJ343" s="41"/>
    </row>
    <row r="344" spans="2:62" ht="25.15" customHeight="1" x14ac:dyDescent="0.25">
      <c r="B344" s="49">
        <v>339</v>
      </c>
      <c r="C344" s="37"/>
      <c r="D344" s="87" t="str">
        <f>IF(tbl_Assessment[[#This Row],[Ben Code]]&lt;&gt;"",INDEX(tbl_Ben_Info[],MATCH(tbl_Assessment[[#This Row],[Ben Code]],tbl_Ben_Info[Ben Code],0),48),"")</f>
        <v/>
      </c>
      <c r="E344" s="116" t="str">
        <f>IF(tbl_Assessment[[#This Row],[Ben Code]]&lt;&gt;"",INDEX(tbl_Ben_Info[],MATCH(tbl_Assessment[[#This Row],[Ben Code]],tbl_Ben_Info[Ben Code],0),6),"")</f>
        <v/>
      </c>
      <c r="F344" s="113" t="str">
        <f>IF(tbl_Assessment[[#This Row],[Ben Code]]&lt;&gt;"",INDEX(tbl_Ben_Info[],MATCH(tbl_Assessment[[#This Row],[Ben Code]],tbl_Ben_Info[Ben Code],0),13),"")</f>
        <v/>
      </c>
      <c r="G344" s="49"/>
      <c r="H344" s="37"/>
      <c r="I344" s="37"/>
      <c r="J344" s="37"/>
      <c r="K344" s="37"/>
      <c r="L344" s="37"/>
      <c r="M344" s="59"/>
      <c r="N344" s="37"/>
      <c r="O344" s="37"/>
      <c r="P344" s="37"/>
      <c r="Q344" s="59"/>
      <c r="R344" s="49"/>
      <c r="S344" s="37"/>
      <c r="T344" s="37"/>
      <c r="U344" s="37"/>
      <c r="V344" s="37"/>
      <c r="W344" s="96" t="str">
        <f>tbl_Assessment[[#This Row],[Ben Code]] &amp; "-"&amp;tbl_Assessment[[#This Row],[admin4Pcode]]&amp;"-" &amp; TEXT(COUNTIF(INDEX(tbl_Assessment[Ben Code],1):tbl_Assessment[[#This Row],[Ben Code]], tbl_Assessment[[#This Row],[Ben Code]]), "00")</f>
        <v>--00</v>
      </c>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49"/>
      <c r="AU344" s="41"/>
      <c r="AV344" s="37"/>
      <c r="AW344" s="37"/>
      <c r="AX344" s="37"/>
      <c r="AY344" s="37"/>
      <c r="AZ344" s="37"/>
      <c r="BA344" s="37"/>
      <c r="BB344" s="41"/>
      <c r="BC344" s="37"/>
      <c r="BD344" s="37"/>
      <c r="BE344" s="37"/>
      <c r="BF344" s="41"/>
      <c r="BG344" s="37"/>
      <c r="BH344" s="37"/>
      <c r="BI344" s="37"/>
      <c r="BJ344" s="41"/>
    </row>
    <row r="345" spans="2:62" ht="25.15" customHeight="1" x14ac:dyDescent="0.25">
      <c r="B345" s="49">
        <v>340</v>
      </c>
      <c r="C345" s="37"/>
      <c r="D345" s="87" t="str">
        <f>IF(tbl_Assessment[[#This Row],[Ben Code]]&lt;&gt;"",INDEX(tbl_Ben_Info[],MATCH(tbl_Assessment[[#This Row],[Ben Code]],tbl_Ben_Info[Ben Code],0),48),"")</f>
        <v/>
      </c>
      <c r="E345" s="116" t="str">
        <f>IF(tbl_Assessment[[#This Row],[Ben Code]]&lt;&gt;"",INDEX(tbl_Ben_Info[],MATCH(tbl_Assessment[[#This Row],[Ben Code]],tbl_Ben_Info[Ben Code],0),6),"")</f>
        <v/>
      </c>
      <c r="F345" s="113" t="str">
        <f>IF(tbl_Assessment[[#This Row],[Ben Code]]&lt;&gt;"",INDEX(tbl_Ben_Info[],MATCH(tbl_Assessment[[#This Row],[Ben Code]],tbl_Ben_Info[Ben Code],0),13),"")</f>
        <v/>
      </c>
      <c r="G345" s="49"/>
      <c r="H345" s="37"/>
      <c r="I345" s="37"/>
      <c r="J345" s="37"/>
      <c r="K345" s="37"/>
      <c r="L345" s="37"/>
      <c r="M345" s="59"/>
      <c r="N345" s="37"/>
      <c r="O345" s="37"/>
      <c r="P345" s="37"/>
      <c r="Q345" s="59"/>
      <c r="R345" s="49"/>
      <c r="S345" s="37"/>
      <c r="T345" s="37"/>
      <c r="U345" s="37"/>
      <c r="V345" s="37"/>
      <c r="W345" s="96" t="str">
        <f>tbl_Assessment[[#This Row],[Ben Code]] &amp; "-"&amp;tbl_Assessment[[#This Row],[admin4Pcode]]&amp;"-" &amp; TEXT(COUNTIF(INDEX(tbl_Assessment[Ben Code],1):tbl_Assessment[[#This Row],[Ben Code]], tbl_Assessment[[#This Row],[Ben Code]]), "00")</f>
        <v>--00</v>
      </c>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49"/>
      <c r="AU345" s="41"/>
      <c r="AV345" s="37"/>
      <c r="AW345" s="37"/>
      <c r="AX345" s="37"/>
      <c r="AY345" s="37"/>
      <c r="AZ345" s="37"/>
      <c r="BA345" s="37"/>
      <c r="BB345" s="41"/>
      <c r="BC345" s="37"/>
      <c r="BD345" s="37"/>
      <c r="BE345" s="37"/>
      <c r="BF345" s="41"/>
      <c r="BG345" s="37"/>
      <c r="BH345" s="37"/>
      <c r="BI345" s="37"/>
      <c r="BJ345" s="41"/>
    </row>
    <row r="346" spans="2:62" ht="25.15" customHeight="1" x14ac:dyDescent="0.25">
      <c r="B346" s="49">
        <v>341</v>
      </c>
      <c r="C346" s="37"/>
      <c r="D346" s="87" t="str">
        <f>IF(tbl_Assessment[[#This Row],[Ben Code]]&lt;&gt;"",INDEX(tbl_Ben_Info[],MATCH(tbl_Assessment[[#This Row],[Ben Code]],tbl_Ben_Info[Ben Code],0),48),"")</f>
        <v/>
      </c>
      <c r="E346" s="116" t="str">
        <f>IF(tbl_Assessment[[#This Row],[Ben Code]]&lt;&gt;"",INDEX(tbl_Ben_Info[],MATCH(tbl_Assessment[[#This Row],[Ben Code]],tbl_Ben_Info[Ben Code],0),6),"")</f>
        <v/>
      </c>
      <c r="F346" s="113" t="str">
        <f>IF(tbl_Assessment[[#This Row],[Ben Code]]&lt;&gt;"",INDEX(tbl_Ben_Info[],MATCH(tbl_Assessment[[#This Row],[Ben Code]],tbl_Ben_Info[Ben Code],0),13),"")</f>
        <v/>
      </c>
      <c r="G346" s="49"/>
      <c r="H346" s="37"/>
      <c r="I346" s="37"/>
      <c r="J346" s="37"/>
      <c r="K346" s="37"/>
      <c r="L346" s="37"/>
      <c r="M346" s="59"/>
      <c r="N346" s="37"/>
      <c r="O346" s="37"/>
      <c r="P346" s="37"/>
      <c r="Q346" s="59"/>
      <c r="R346" s="49"/>
      <c r="S346" s="37"/>
      <c r="T346" s="37"/>
      <c r="U346" s="37"/>
      <c r="V346" s="37"/>
      <c r="W346" s="96" t="str">
        <f>tbl_Assessment[[#This Row],[Ben Code]] &amp; "-"&amp;tbl_Assessment[[#This Row],[admin4Pcode]]&amp;"-" &amp; TEXT(COUNTIF(INDEX(tbl_Assessment[Ben Code],1):tbl_Assessment[[#This Row],[Ben Code]], tbl_Assessment[[#This Row],[Ben Code]]), "00")</f>
        <v>--00</v>
      </c>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49"/>
      <c r="AU346" s="41"/>
      <c r="AV346" s="37"/>
      <c r="AW346" s="37"/>
      <c r="AX346" s="37"/>
      <c r="AY346" s="37"/>
      <c r="AZ346" s="37"/>
      <c r="BA346" s="37"/>
      <c r="BB346" s="41"/>
      <c r="BC346" s="37"/>
      <c r="BD346" s="37"/>
      <c r="BE346" s="37"/>
      <c r="BF346" s="41"/>
      <c r="BG346" s="37"/>
      <c r="BH346" s="37"/>
      <c r="BI346" s="37"/>
      <c r="BJ346" s="41"/>
    </row>
    <row r="347" spans="2:62" ht="25.15" customHeight="1" x14ac:dyDescent="0.25">
      <c r="B347" s="49">
        <v>342</v>
      </c>
      <c r="C347" s="37"/>
      <c r="D347" s="87" t="str">
        <f>IF(tbl_Assessment[[#This Row],[Ben Code]]&lt;&gt;"",INDEX(tbl_Ben_Info[],MATCH(tbl_Assessment[[#This Row],[Ben Code]],tbl_Ben_Info[Ben Code],0),48),"")</f>
        <v/>
      </c>
      <c r="E347" s="116" t="str">
        <f>IF(tbl_Assessment[[#This Row],[Ben Code]]&lt;&gt;"",INDEX(tbl_Ben_Info[],MATCH(tbl_Assessment[[#This Row],[Ben Code]],tbl_Ben_Info[Ben Code],0),6),"")</f>
        <v/>
      </c>
      <c r="F347" s="113" t="str">
        <f>IF(tbl_Assessment[[#This Row],[Ben Code]]&lt;&gt;"",INDEX(tbl_Ben_Info[],MATCH(tbl_Assessment[[#This Row],[Ben Code]],tbl_Ben_Info[Ben Code],0),13),"")</f>
        <v/>
      </c>
      <c r="G347" s="49"/>
      <c r="H347" s="37"/>
      <c r="I347" s="37"/>
      <c r="J347" s="37"/>
      <c r="K347" s="37"/>
      <c r="L347" s="37"/>
      <c r="M347" s="59"/>
      <c r="N347" s="37"/>
      <c r="O347" s="37"/>
      <c r="P347" s="37"/>
      <c r="Q347" s="59"/>
      <c r="R347" s="49"/>
      <c r="S347" s="37"/>
      <c r="T347" s="37"/>
      <c r="U347" s="37"/>
      <c r="V347" s="37"/>
      <c r="W347" s="96" t="str">
        <f>tbl_Assessment[[#This Row],[Ben Code]] &amp; "-"&amp;tbl_Assessment[[#This Row],[admin4Pcode]]&amp;"-" &amp; TEXT(COUNTIF(INDEX(tbl_Assessment[Ben Code],1):tbl_Assessment[[#This Row],[Ben Code]], tbl_Assessment[[#This Row],[Ben Code]]), "00")</f>
        <v>--00</v>
      </c>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49"/>
      <c r="AU347" s="41"/>
      <c r="AV347" s="37"/>
      <c r="AW347" s="37"/>
      <c r="AX347" s="37"/>
      <c r="AY347" s="37"/>
      <c r="AZ347" s="37"/>
      <c r="BA347" s="37"/>
      <c r="BB347" s="41"/>
      <c r="BC347" s="37"/>
      <c r="BD347" s="37"/>
      <c r="BE347" s="37"/>
      <c r="BF347" s="41"/>
      <c r="BG347" s="37"/>
      <c r="BH347" s="37"/>
      <c r="BI347" s="37"/>
      <c r="BJ347" s="41"/>
    </row>
    <row r="348" spans="2:62" ht="25.15" customHeight="1" x14ac:dyDescent="0.25">
      <c r="B348" s="49">
        <v>343</v>
      </c>
      <c r="C348" s="37"/>
      <c r="D348" s="87" t="str">
        <f>IF(tbl_Assessment[[#This Row],[Ben Code]]&lt;&gt;"",INDEX(tbl_Ben_Info[],MATCH(tbl_Assessment[[#This Row],[Ben Code]],tbl_Ben_Info[Ben Code],0),48),"")</f>
        <v/>
      </c>
      <c r="E348" s="116" t="str">
        <f>IF(tbl_Assessment[[#This Row],[Ben Code]]&lt;&gt;"",INDEX(tbl_Ben_Info[],MATCH(tbl_Assessment[[#This Row],[Ben Code]],tbl_Ben_Info[Ben Code],0),6),"")</f>
        <v/>
      </c>
      <c r="F348" s="113" t="str">
        <f>IF(tbl_Assessment[[#This Row],[Ben Code]]&lt;&gt;"",INDEX(tbl_Ben_Info[],MATCH(tbl_Assessment[[#This Row],[Ben Code]],tbl_Ben_Info[Ben Code],0),13),"")</f>
        <v/>
      </c>
      <c r="G348" s="49"/>
      <c r="H348" s="37"/>
      <c r="I348" s="37"/>
      <c r="J348" s="37"/>
      <c r="K348" s="37"/>
      <c r="L348" s="37"/>
      <c r="M348" s="59"/>
      <c r="N348" s="37"/>
      <c r="O348" s="37"/>
      <c r="P348" s="37"/>
      <c r="Q348" s="59"/>
      <c r="R348" s="49"/>
      <c r="S348" s="37"/>
      <c r="T348" s="37"/>
      <c r="U348" s="37"/>
      <c r="V348" s="37"/>
      <c r="W348" s="96" t="str">
        <f>tbl_Assessment[[#This Row],[Ben Code]] &amp; "-"&amp;tbl_Assessment[[#This Row],[admin4Pcode]]&amp;"-" &amp; TEXT(COUNTIF(INDEX(tbl_Assessment[Ben Code],1):tbl_Assessment[[#This Row],[Ben Code]], tbl_Assessment[[#This Row],[Ben Code]]), "00")</f>
        <v>--00</v>
      </c>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49"/>
      <c r="AU348" s="41"/>
      <c r="AV348" s="37"/>
      <c r="AW348" s="37"/>
      <c r="AX348" s="37"/>
      <c r="AY348" s="37"/>
      <c r="AZ348" s="37"/>
      <c r="BA348" s="37"/>
      <c r="BB348" s="41"/>
      <c r="BC348" s="37"/>
      <c r="BD348" s="37"/>
      <c r="BE348" s="37"/>
      <c r="BF348" s="41"/>
      <c r="BG348" s="37"/>
      <c r="BH348" s="37"/>
      <c r="BI348" s="37"/>
      <c r="BJ348" s="41"/>
    </row>
    <row r="349" spans="2:62" ht="25.15" customHeight="1" x14ac:dyDescent="0.25">
      <c r="B349" s="49">
        <v>344</v>
      </c>
      <c r="C349" s="37"/>
      <c r="D349" s="87" t="str">
        <f>IF(tbl_Assessment[[#This Row],[Ben Code]]&lt;&gt;"",INDEX(tbl_Ben_Info[],MATCH(tbl_Assessment[[#This Row],[Ben Code]],tbl_Ben_Info[Ben Code],0),48),"")</f>
        <v/>
      </c>
      <c r="E349" s="116" t="str">
        <f>IF(tbl_Assessment[[#This Row],[Ben Code]]&lt;&gt;"",INDEX(tbl_Ben_Info[],MATCH(tbl_Assessment[[#This Row],[Ben Code]],tbl_Ben_Info[Ben Code],0),6),"")</f>
        <v/>
      </c>
      <c r="F349" s="113" t="str">
        <f>IF(tbl_Assessment[[#This Row],[Ben Code]]&lt;&gt;"",INDEX(tbl_Ben_Info[],MATCH(tbl_Assessment[[#This Row],[Ben Code]],tbl_Ben_Info[Ben Code],0),13),"")</f>
        <v/>
      </c>
      <c r="G349" s="49"/>
      <c r="H349" s="37"/>
      <c r="I349" s="37"/>
      <c r="J349" s="37"/>
      <c r="K349" s="37"/>
      <c r="L349" s="37"/>
      <c r="M349" s="59"/>
      <c r="N349" s="37"/>
      <c r="O349" s="37"/>
      <c r="P349" s="37"/>
      <c r="Q349" s="59"/>
      <c r="R349" s="49"/>
      <c r="S349" s="37"/>
      <c r="T349" s="37"/>
      <c r="U349" s="37"/>
      <c r="V349" s="37"/>
      <c r="W349" s="96" t="str">
        <f>tbl_Assessment[[#This Row],[Ben Code]] &amp; "-"&amp;tbl_Assessment[[#This Row],[admin4Pcode]]&amp;"-" &amp; TEXT(COUNTIF(INDEX(tbl_Assessment[Ben Code],1):tbl_Assessment[[#This Row],[Ben Code]], tbl_Assessment[[#This Row],[Ben Code]]), "00")</f>
        <v>--00</v>
      </c>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49"/>
      <c r="AU349" s="41"/>
      <c r="AV349" s="37"/>
      <c r="AW349" s="37"/>
      <c r="AX349" s="37"/>
      <c r="AY349" s="37"/>
      <c r="AZ349" s="37"/>
      <c r="BA349" s="37"/>
      <c r="BB349" s="41"/>
      <c r="BC349" s="37"/>
      <c r="BD349" s="37"/>
      <c r="BE349" s="37"/>
      <c r="BF349" s="41"/>
      <c r="BG349" s="37"/>
      <c r="BH349" s="37"/>
      <c r="BI349" s="37"/>
      <c r="BJ349" s="41"/>
    </row>
    <row r="350" spans="2:62" ht="25.15" customHeight="1" x14ac:dyDescent="0.25">
      <c r="B350" s="49">
        <v>345</v>
      </c>
      <c r="C350" s="37"/>
      <c r="D350" s="87" t="str">
        <f>IF(tbl_Assessment[[#This Row],[Ben Code]]&lt;&gt;"",INDEX(tbl_Ben_Info[],MATCH(tbl_Assessment[[#This Row],[Ben Code]],tbl_Ben_Info[Ben Code],0),48),"")</f>
        <v/>
      </c>
      <c r="E350" s="116" t="str">
        <f>IF(tbl_Assessment[[#This Row],[Ben Code]]&lt;&gt;"",INDEX(tbl_Ben_Info[],MATCH(tbl_Assessment[[#This Row],[Ben Code]],tbl_Ben_Info[Ben Code],0),6),"")</f>
        <v/>
      </c>
      <c r="F350" s="113" t="str">
        <f>IF(tbl_Assessment[[#This Row],[Ben Code]]&lt;&gt;"",INDEX(tbl_Ben_Info[],MATCH(tbl_Assessment[[#This Row],[Ben Code]],tbl_Ben_Info[Ben Code],0),13),"")</f>
        <v/>
      </c>
      <c r="G350" s="49"/>
      <c r="H350" s="37"/>
      <c r="I350" s="37"/>
      <c r="J350" s="37"/>
      <c r="K350" s="37"/>
      <c r="L350" s="37"/>
      <c r="M350" s="59"/>
      <c r="N350" s="37"/>
      <c r="O350" s="37"/>
      <c r="P350" s="37"/>
      <c r="Q350" s="59"/>
      <c r="R350" s="49"/>
      <c r="S350" s="37"/>
      <c r="T350" s="37"/>
      <c r="U350" s="37"/>
      <c r="V350" s="37"/>
      <c r="W350" s="96" t="str">
        <f>tbl_Assessment[[#This Row],[Ben Code]] &amp; "-"&amp;tbl_Assessment[[#This Row],[admin4Pcode]]&amp;"-" &amp; TEXT(COUNTIF(INDEX(tbl_Assessment[Ben Code],1):tbl_Assessment[[#This Row],[Ben Code]], tbl_Assessment[[#This Row],[Ben Code]]), "00")</f>
        <v>--00</v>
      </c>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49"/>
      <c r="AU350" s="41"/>
      <c r="AV350" s="37"/>
      <c r="AW350" s="37"/>
      <c r="AX350" s="37"/>
      <c r="AY350" s="37"/>
      <c r="AZ350" s="37"/>
      <c r="BA350" s="37"/>
      <c r="BB350" s="41"/>
      <c r="BC350" s="37"/>
      <c r="BD350" s="37"/>
      <c r="BE350" s="37"/>
      <c r="BF350" s="41"/>
      <c r="BG350" s="37"/>
      <c r="BH350" s="37"/>
      <c r="BI350" s="37"/>
      <c r="BJ350" s="41"/>
    </row>
    <row r="351" spans="2:62" ht="25.15" customHeight="1" x14ac:dyDescent="0.25">
      <c r="B351" s="49">
        <v>346</v>
      </c>
      <c r="C351" s="37"/>
      <c r="D351" s="87" t="str">
        <f>IF(tbl_Assessment[[#This Row],[Ben Code]]&lt;&gt;"",INDEX(tbl_Ben_Info[],MATCH(tbl_Assessment[[#This Row],[Ben Code]],tbl_Ben_Info[Ben Code],0),48),"")</f>
        <v/>
      </c>
      <c r="E351" s="116" t="str">
        <f>IF(tbl_Assessment[[#This Row],[Ben Code]]&lt;&gt;"",INDEX(tbl_Ben_Info[],MATCH(tbl_Assessment[[#This Row],[Ben Code]],tbl_Ben_Info[Ben Code],0),6),"")</f>
        <v/>
      </c>
      <c r="F351" s="113" t="str">
        <f>IF(tbl_Assessment[[#This Row],[Ben Code]]&lt;&gt;"",INDEX(tbl_Ben_Info[],MATCH(tbl_Assessment[[#This Row],[Ben Code]],tbl_Ben_Info[Ben Code],0),13),"")</f>
        <v/>
      </c>
      <c r="G351" s="49"/>
      <c r="H351" s="37"/>
      <c r="I351" s="37"/>
      <c r="J351" s="37"/>
      <c r="K351" s="37"/>
      <c r="L351" s="37"/>
      <c r="M351" s="59"/>
      <c r="N351" s="37"/>
      <c r="O351" s="37"/>
      <c r="P351" s="37"/>
      <c r="Q351" s="59"/>
      <c r="R351" s="49"/>
      <c r="S351" s="37"/>
      <c r="T351" s="37"/>
      <c r="U351" s="37"/>
      <c r="V351" s="37"/>
      <c r="W351" s="96" t="str">
        <f>tbl_Assessment[[#This Row],[Ben Code]] &amp; "-"&amp;tbl_Assessment[[#This Row],[admin4Pcode]]&amp;"-" &amp; TEXT(COUNTIF(INDEX(tbl_Assessment[Ben Code],1):tbl_Assessment[[#This Row],[Ben Code]], tbl_Assessment[[#This Row],[Ben Code]]), "00")</f>
        <v>--00</v>
      </c>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49"/>
      <c r="AU351" s="41"/>
      <c r="AV351" s="37"/>
      <c r="AW351" s="37"/>
      <c r="AX351" s="37"/>
      <c r="AY351" s="37"/>
      <c r="AZ351" s="37"/>
      <c r="BA351" s="37"/>
      <c r="BB351" s="41"/>
      <c r="BC351" s="37"/>
      <c r="BD351" s="37"/>
      <c r="BE351" s="37"/>
      <c r="BF351" s="41"/>
      <c r="BG351" s="37"/>
      <c r="BH351" s="37"/>
      <c r="BI351" s="37"/>
      <c r="BJ351" s="41"/>
    </row>
    <row r="352" spans="2:62" ht="25.15" customHeight="1" x14ac:dyDescent="0.25">
      <c r="B352" s="49">
        <v>347</v>
      </c>
      <c r="C352" s="37"/>
      <c r="D352" s="87" t="str">
        <f>IF(tbl_Assessment[[#This Row],[Ben Code]]&lt;&gt;"",INDEX(tbl_Ben_Info[],MATCH(tbl_Assessment[[#This Row],[Ben Code]],tbl_Ben_Info[Ben Code],0),48),"")</f>
        <v/>
      </c>
      <c r="E352" s="116" t="str">
        <f>IF(tbl_Assessment[[#This Row],[Ben Code]]&lt;&gt;"",INDEX(tbl_Ben_Info[],MATCH(tbl_Assessment[[#This Row],[Ben Code]],tbl_Ben_Info[Ben Code],0),6),"")</f>
        <v/>
      </c>
      <c r="F352" s="113" t="str">
        <f>IF(tbl_Assessment[[#This Row],[Ben Code]]&lt;&gt;"",INDEX(tbl_Ben_Info[],MATCH(tbl_Assessment[[#This Row],[Ben Code]],tbl_Ben_Info[Ben Code],0),13),"")</f>
        <v/>
      </c>
      <c r="G352" s="49"/>
      <c r="H352" s="37"/>
      <c r="I352" s="37"/>
      <c r="J352" s="37"/>
      <c r="K352" s="37"/>
      <c r="L352" s="37"/>
      <c r="M352" s="59"/>
      <c r="N352" s="37"/>
      <c r="O352" s="37"/>
      <c r="P352" s="37"/>
      <c r="Q352" s="59"/>
      <c r="R352" s="49"/>
      <c r="S352" s="37"/>
      <c r="T352" s="37"/>
      <c r="U352" s="37"/>
      <c r="V352" s="37"/>
      <c r="W352" s="96" t="str">
        <f>tbl_Assessment[[#This Row],[Ben Code]] &amp; "-"&amp;tbl_Assessment[[#This Row],[admin4Pcode]]&amp;"-" &amp; TEXT(COUNTIF(INDEX(tbl_Assessment[Ben Code],1):tbl_Assessment[[#This Row],[Ben Code]], tbl_Assessment[[#This Row],[Ben Code]]), "00")</f>
        <v>--00</v>
      </c>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49"/>
      <c r="AU352" s="41"/>
      <c r="AV352" s="37"/>
      <c r="AW352" s="37"/>
      <c r="AX352" s="37"/>
      <c r="AY352" s="37"/>
      <c r="AZ352" s="37"/>
      <c r="BA352" s="37"/>
      <c r="BB352" s="41"/>
      <c r="BC352" s="37"/>
      <c r="BD352" s="37"/>
      <c r="BE352" s="37"/>
      <c r="BF352" s="41"/>
      <c r="BG352" s="37"/>
      <c r="BH352" s="37"/>
      <c r="BI352" s="37"/>
      <c r="BJ352" s="41"/>
    </row>
    <row r="353" spans="2:62" ht="25.15" customHeight="1" x14ac:dyDescent="0.25">
      <c r="B353" s="49">
        <v>348</v>
      </c>
      <c r="C353" s="37"/>
      <c r="D353" s="87" t="str">
        <f>IF(tbl_Assessment[[#This Row],[Ben Code]]&lt;&gt;"",INDEX(tbl_Ben_Info[],MATCH(tbl_Assessment[[#This Row],[Ben Code]],tbl_Ben_Info[Ben Code],0),48),"")</f>
        <v/>
      </c>
      <c r="E353" s="116" t="str">
        <f>IF(tbl_Assessment[[#This Row],[Ben Code]]&lt;&gt;"",INDEX(tbl_Ben_Info[],MATCH(tbl_Assessment[[#This Row],[Ben Code]],tbl_Ben_Info[Ben Code],0),6),"")</f>
        <v/>
      </c>
      <c r="F353" s="113" t="str">
        <f>IF(tbl_Assessment[[#This Row],[Ben Code]]&lt;&gt;"",INDEX(tbl_Ben_Info[],MATCH(tbl_Assessment[[#This Row],[Ben Code]],tbl_Ben_Info[Ben Code],0),13),"")</f>
        <v/>
      </c>
      <c r="G353" s="49"/>
      <c r="H353" s="37"/>
      <c r="I353" s="37"/>
      <c r="J353" s="37"/>
      <c r="K353" s="37"/>
      <c r="L353" s="37"/>
      <c r="M353" s="59"/>
      <c r="N353" s="37"/>
      <c r="O353" s="37"/>
      <c r="P353" s="37"/>
      <c r="Q353" s="59"/>
      <c r="R353" s="49"/>
      <c r="S353" s="37"/>
      <c r="T353" s="37"/>
      <c r="U353" s="37"/>
      <c r="V353" s="37"/>
      <c r="W353" s="96" t="str">
        <f>tbl_Assessment[[#This Row],[Ben Code]] &amp; "-"&amp;tbl_Assessment[[#This Row],[admin4Pcode]]&amp;"-" &amp; TEXT(COUNTIF(INDEX(tbl_Assessment[Ben Code],1):tbl_Assessment[[#This Row],[Ben Code]], tbl_Assessment[[#This Row],[Ben Code]]), "00")</f>
        <v>--00</v>
      </c>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49"/>
      <c r="AU353" s="41"/>
      <c r="AV353" s="37"/>
      <c r="AW353" s="37"/>
      <c r="AX353" s="37"/>
      <c r="AY353" s="37"/>
      <c r="AZ353" s="37"/>
      <c r="BA353" s="37"/>
      <c r="BB353" s="41"/>
      <c r="BC353" s="37"/>
      <c r="BD353" s="37"/>
      <c r="BE353" s="37"/>
      <c r="BF353" s="41"/>
      <c r="BG353" s="37"/>
      <c r="BH353" s="37"/>
      <c r="BI353" s="37"/>
      <c r="BJ353" s="41"/>
    </row>
    <row r="354" spans="2:62" ht="25.15" customHeight="1" x14ac:dyDescent="0.25">
      <c r="B354" s="49">
        <v>349</v>
      </c>
      <c r="C354" s="37"/>
      <c r="D354" s="87" t="str">
        <f>IF(tbl_Assessment[[#This Row],[Ben Code]]&lt;&gt;"",INDEX(tbl_Ben_Info[],MATCH(tbl_Assessment[[#This Row],[Ben Code]],tbl_Ben_Info[Ben Code],0),48),"")</f>
        <v/>
      </c>
      <c r="E354" s="116" t="str">
        <f>IF(tbl_Assessment[[#This Row],[Ben Code]]&lt;&gt;"",INDEX(tbl_Ben_Info[],MATCH(tbl_Assessment[[#This Row],[Ben Code]],tbl_Ben_Info[Ben Code],0),6),"")</f>
        <v/>
      </c>
      <c r="F354" s="113" t="str">
        <f>IF(tbl_Assessment[[#This Row],[Ben Code]]&lt;&gt;"",INDEX(tbl_Ben_Info[],MATCH(tbl_Assessment[[#This Row],[Ben Code]],tbl_Ben_Info[Ben Code],0),13),"")</f>
        <v/>
      </c>
      <c r="G354" s="49"/>
      <c r="H354" s="37"/>
      <c r="I354" s="37"/>
      <c r="J354" s="37"/>
      <c r="K354" s="37"/>
      <c r="L354" s="37"/>
      <c r="M354" s="59"/>
      <c r="N354" s="37"/>
      <c r="O354" s="37"/>
      <c r="P354" s="37"/>
      <c r="Q354" s="59"/>
      <c r="R354" s="49"/>
      <c r="S354" s="37"/>
      <c r="T354" s="37"/>
      <c r="U354" s="37"/>
      <c r="V354" s="37"/>
      <c r="W354" s="96" t="str">
        <f>tbl_Assessment[[#This Row],[Ben Code]] &amp; "-"&amp;tbl_Assessment[[#This Row],[admin4Pcode]]&amp;"-" &amp; TEXT(COUNTIF(INDEX(tbl_Assessment[Ben Code],1):tbl_Assessment[[#This Row],[Ben Code]], tbl_Assessment[[#This Row],[Ben Code]]), "00")</f>
        <v>--00</v>
      </c>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49"/>
      <c r="AU354" s="41"/>
      <c r="AV354" s="37"/>
      <c r="AW354" s="37"/>
      <c r="AX354" s="37"/>
      <c r="AY354" s="37"/>
      <c r="AZ354" s="37"/>
      <c r="BA354" s="37"/>
      <c r="BB354" s="41"/>
      <c r="BC354" s="37"/>
      <c r="BD354" s="37"/>
      <c r="BE354" s="37"/>
      <c r="BF354" s="41"/>
      <c r="BG354" s="37"/>
      <c r="BH354" s="37"/>
      <c r="BI354" s="37"/>
      <c r="BJ354" s="41"/>
    </row>
    <row r="355" spans="2:62" ht="25.15" customHeight="1" x14ac:dyDescent="0.25">
      <c r="B355" s="49">
        <v>350</v>
      </c>
      <c r="C355" s="37"/>
      <c r="D355" s="87" t="str">
        <f>IF(tbl_Assessment[[#This Row],[Ben Code]]&lt;&gt;"",INDEX(tbl_Ben_Info[],MATCH(tbl_Assessment[[#This Row],[Ben Code]],tbl_Ben_Info[Ben Code],0),48),"")</f>
        <v/>
      </c>
      <c r="E355" s="116" t="str">
        <f>IF(tbl_Assessment[[#This Row],[Ben Code]]&lt;&gt;"",INDEX(tbl_Ben_Info[],MATCH(tbl_Assessment[[#This Row],[Ben Code]],tbl_Ben_Info[Ben Code],0),6),"")</f>
        <v/>
      </c>
      <c r="F355" s="113" t="str">
        <f>IF(tbl_Assessment[[#This Row],[Ben Code]]&lt;&gt;"",INDEX(tbl_Ben_Info[],MATCH(tbl_Assessment[[#This Row],[Ben Code]],tbl_Ben_Info[Ben Code],0),13),"")</f>
        <v/>
      </c>
      <c r="G355" s="49"/>
      <c r="H355" s="37"/>
      <c r="I355" s="37"/>
      <c r="J355" s="37"/>
      <c r="K355" s="37"/>
      <c r="L355" s="37"/>
      <c r="M355" s="59"/>
      <c r="N355" s="37"/>
      <c r="O355" s="37"/>
      <c r="P355" s="37"/>
      <c r="Q355" s="59"/>
      <c r="R355" s="49"/>
      <c r="S355" s="37"/>
      <c r="T355" s="37"/>
      <c r="U355" s="37"/>
      <c r="V355" s="37"/>
      <c r="W355" s="96" t="str">
        <f>tbl_Assessment[[#This Row],[Ben Code]] &amp; "-"&amp;tbl_Assessment[[#This Row],[admin4Pcode]]&amp;"-" &amp; TEXT(COUNTIF(INDEX(tbl_Assessment[Ben Code],1):tbl_Assessment[[#This Row],[Ben Code]], tbl_Assessment[[#This Row],[Ben Code]]), "00")</f>
        <v>--00</v>
      </c>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49"/>
      <c r="AU355" s="41"/>
      <c r="AV355" s="37"/>
      <c r="AW355" s="37"/>
      <c r="AX355" s="37"/>
      <c r="AY355" s="37"/>
      <c r="AZ355" s="37"/>
      <c r="BA355" s="37"/>
      <c r="BB355" s="41"/>
      <c r="BC355" s="37"/>
      <c r="BD355" s="37"/>
      <c r="BE355" s="37"/>
      <c r="BF355" s="41"/>
      <c r="BG355" s="37"/>
      <c r="BH355" s="37"/>
      <c r="BI355" s="37"/>
      <c r="BJ355" s="41"/>
    </row>
    <row r="356" spans="2:62" ht="25.15" customHeight="1" x14ac:dyDescent="0.25">
      <c r="B356" s="49">
        <v>351</v>
      </c>
      <c r="C356" s="37"/>
      <c r="D356" s="87" t="str">
        <f>IF(tbl_Assessment[[#This Row],[Ben Code]]&lt;&gt;"",INDEX(tbl_Ben_Info[],MATCH(tbl_Assessment[[#This Row],[Ben Code]],tbl_Ben_Info[Ben Code],0),48),"")</f>
        <v/>
      </c>
      <c r="E356" s="116" t="str">
        <f>IF(tbl_Assessment[[#This Row],[Ben Code]]&lt;&gt;"",INDEX(tbl_Ben_Info[],MATCH(tbl_Assessment[[#This Row],[Ben Code]],tbl_Ben_Info[Ben Code],0),6),"")</f>
        <v/>
      </c>
      <c r="F356" s="113" t="str">
        <f>IF(tbl_Assessment[[#This Row],[Ben Code]]&lt;&gt;"",INDEX(tbl_Ben_Info[],MATCH(tbl_Assessment[[#This Row],[Ben Code]],tbl_Ben_Info[Ben Code],0),13),"")</f>
        <v/>
      </c>
      <c r="G356" s="49"/>
      <c r="H356" s="37"/>
      <c r="I356" s="37"/>
      <c r="J356" s="37"/>
      <c r="K356" s="37"/>
      <c r="L356" s="37"/>
      <c r="M356" s="59"/>
      <c r="N356" s="37"/>
      <c r="O356" s="37"/>
      <c r="P356" s="37"/>
      <c r="Q356" s="59"/>
      <c r="R356" s="49"/>
      <c r="S356" s="37"/>
      <c r="T356" s="37"/>
      <c r="U356" s="37"/>
      <c r="V356" s="37"/>
      <c r="W356" s="96" t="str">
        <f>tbl_Assessment[[#This Row],[Ben Code]] &amp; "-"&amp;tbl_Assessment[[#This Row],[admin4Pcode]]&amp;"-" &amp; TEXT(COUNTIF(INDEX(tbl_Assessment[Ben Code],1):tbl_Assessment[[#This Row],[Ben Code]], tbl_Assessment[[#This Row],[Ben Code]]), "00")</f>
        <v>--00</v>
      </c>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49"/>
      <c r="AU356" s="41"/>
      <c r="AV356" s="37"/>
      <c r="AW356" s="37"/>
      <c r="AX356" s="37"/>
      <c r="AY356" s="37"/>
      <c r="AZ356" s="37"/>
      <c r="BA356" s="37"/>
      <c r="BB356" s="41"/>
      <c r="BC356" s="37"/>
      <c r="BD356" s="37"/>
      <c r="BE356" s="37"/>
      <c r="BF356" s="41"/>
      <c r="BG356" s="37"/>
      <c r="BH356" s="37"/>
      <c r="BI356" s="37"/>
      <c r="BJ356" s="41"/>
    </row>
    <row r="357" spans="2:62" ht="25.15" customHeight="1" x14ac:dyDescent="0.25">
      <c r="B357" s="49">
        <v>352</v>
      </c>
      <c r="C357" s="37"/>
      <c r="D357" s="87" t="str">
        <f>IF(tbl_Assessment[[#This Row],[Ben Code]]&lt;&gt;"",INDEX(tbl_Ben_Info[],MATCH(tbl_Assessment[[#This Row],[Ben Code]],tbl_Ben_Info[Ben Code],0),48),"")</f>
        <v/>
      </c>
      <c r="E357" s="116" t="str">
        <f>IF(tbl_Assessment[[#This Row],[Ben Code]]&lt;&gt;"",INDEX(tbl_Ben_Info[],MATCH(tbl_Assessment[[#This Row],[Ben Code]],tbl_Ben_Info[Ben Code],0),6),"")</f>
        <v/>
      </c>
      <c r="F357" s="113" t="str">
        <f>IF(tbl_Assessment[[#This Row],[Ben Code]]&lt;&gt;"",INDEX(tbl_Ben_Info[],MATCH(tbl_Assessment[[#This Row],[Ben Code]],tbl_Ben_Info[Ben Code],0),13),"")</f>
        <v/>
      </c>
      <c r="G357" s="49"/>
      <c r="H357" s="37"/>
      <c r="I357" s="37"/>
      <c r="J357" s="37"/>
      <c r="K357" s="37"/>
      <c r="L357" s="37"/>
      <c r="M357" s="59"/>
      <c r="N357" s="37"/>
      <c r="O357" s="37"/>
      <c r="P357" s="37"/>
      <c r="Q357" s="59"/>
      <c r="R357" s="49"/>
      <c r="S357" s="37"/>
      <c r="T357" s="37"/>
      <c r="U357" s="37"/>
      <c r="V357" s="37"/>
      <c r="W357" s="96" t="str">
        <f>tbl_Assessment[[#This Row],[Ben Code]] &amp; "-"&amp;tbl_Assessment[[#This Row],[admin4Pcode]]&amp;"-" &amp; TEXT(COUNTIF(INDEX(tbl_Assessment[Ben Code],1):tbl_Assessment[[#This Row],[Ben Code]], tbl_Assessment[[#This Row],[Ben Code]]), "00")</f>
        <v>--00</v>
      </c>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49"/>
      <c r="AU357" s="41"/>
      <c r="AV357" s="37"/>
      <c r="AW357" s="37"/>
      <c r="AX357" s="37"/>
      <c r="AY357" s="37"/>
      <c r="AZ357" s="37"/>
      <c r="BA357" s="37"/>
      <c r="BB357" s="41"/>
      <c r="BC357" s="37"/>
      <c r="BD357" s="37"/>
      <c r="BE357" s="37"/>
      <c r="BF357" s="41"/>
      <c r="BG357" s="37"/>
      <c r="BH357" s="37"/>
      <c r="BI357" s="37"/>
      <c r="BJ357" s="41"/>
    </row>
    <row r="358" spans="2:62" ht="25.15" customHeight="1" x14ac:dyDescent="0.25">
      <c r="B358" s="49">
        <v>353</v>
      </c>
      <c r="C358" s="37"/>
      <c r="D358" s="87" t="str">
        <f>IF(tbl_Assessment[[#This Row],[Ben Code]]&lt;&gt;"",INDEX(tbl_Ben_Info[],MATCH(tbl_Assessment[[#This Row],[Ben Code]],tbl_Ben_Info[Ben Code],0),48),"")</f>
        <v/>
      </c>
      <c r="E358" s="116" t="str">
        <f>IF(tbl_Assessment[[#This Row],[Ben Code]]&lt;&gt;"",INDEX(tbl_Ben_Info[],MATCH(tbl_Assessment[[#This Row],[Ben Code]],tbl_Ben_Info[Ben Code],0),6),"")</f>
        <v/>
      </c>
      <c r="F358" s="113" t="str">
        <f>IF(tbl_Assessment[[#This Row],[Ben Code]]&lt;&gt;"",INDEX(tbl_Ben_Info[],MATCH(tbl_Assessment[[#This Row],[Ben Code]],tbl_Ben_Info[Ben Code],0),13),"")</f>
        <v/>
      </c>
      <c r="G358" s="49"/>
      <c r="H358" s="37"/>
      <c r="I358" s="37"/>
      <c r="J358" s="37"/>
      <c r="K358" s="37"/>
      <c r="L358" s="37"/>
      <c r="M358" s="59"/>
      <c r="N358" s="37"/>
      <c r="O358" s="37"/>
      <c r="P358" s="37"/>
      <c r="Q358" s="59"/>
      <c r="R358" s="49"/>
      <c r="S358" s="37"/>
      <c r="T358" s="37"/>
      <c r="U358" s="37"/>
      <c r="V358" s="37"/>
      <c r="W358" s="96" t="str">
        <f>tbl_Assessment[[#This Row],[Ben Code]] &amp; "-"&amp;tbl_Assessment[[#This Row],[admin4Pcode]]&amp;"-" &amp; TEXT(COUNTIF(INDEX(tbl_Assessment[Ben Code],1):tbl_Assessment[[#This Row],[Ben Code]], tbl_Assessment[[#This Row],[Ben Code]]), "00")</f>
        <v>--00</v>
      </c>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49"/>
      <c r="AU358" s="41"/>
      <c r="AV358" s="37"/>
      <c r="AW358" s="37"/>
      <c r="AX358" s="37"/>
      <c r="AY358" s="37"/>
      <c r="AZ358" s="37"/>
      <c r="BA358" s="37"/>
      <c r="BB358" s="41"/>
      <c r="BC358" s="37"/>
      <c r="BD358" s="37"/>
      <c r="BE358" s="37"/>
      <c r="BF358" s="41"/>
      <c r="BG358" s="37"/>
      <c r="BH358" s="37"/>
      <c r="BI358" s="37"/>
      <c r="BJ358" s="41"/>
    </row>
    <row r="359" spans="2:62" ht="25.15" customHeight="1" x14ac:dyDescent="0.25">
      <c r="B359" s="49">
        <v>354</v>
      </c>
      <c r="C359" s="37"/>
      <c r="D359" s="87" t="str">
        <f>IF(tbl_Assessment[[#This Row],[Ben Code]]&lt;&gt;"",INDEX(tbl_Ben_Info[],MATCH(tbl_Assessment[[#This Row],[Ben Code]],tbl_Ben_Info[Ben Code],0),48),"")</f>
        <v/>
      </c>
      <c r="E359" s="116" t="str">
        <f>IF(tbl_Assessment[[#This Row],[Ben Code]]&lt;&gt;"",INDEX(tbl_Ben_Info[],MATCH(tbl_Assessment[[#This Row],[Ben Code]],tbl_Ben_Info[Ben Code],0),6),"")</f>
        <v/>
      </c>
      <c r="F359" s="113" t="str">
        <f>IF(tbl_Assessment[[#This Row],[Ben Code]]&lt;&gt;"",INDEX(tbl_Ben_Info[],MATCH(tbl_Assessment[[#This Row],[Ben Code]],tbl_Ben_Info[Ben Code],0),13),"")</f>
        <v/>
      </c>
      <c r="G359" s="49"/>
      <c r="H359" s="37"/>
      <c r="I359" s="37"/>
      <c r="J359" s="37"/>
      <c r="K359" s="37"/>
      <c r="L359" s="37"/>
      <c r="M359" s="59"/>
      <c r="N359" s="37"/>
      <c r="O359" s="37"/>
      <c r="P359" s="37"/>
      <c r="Q359" s="59"/>
      <c r="R359" s="49"/>
      <c r="S359" s="37"/>
      <c r="T359" s="37"/>
      <c r="U359" s="37"/>
      <c r="V359" s="37"/>
      <c r="W359" s="96" t="str">
        <f>tbl_Assessment[[#This Row],[Ben Code]] &amp; "-"&amp;tbl_Assessment[[#This Row],[admin4Pcode]]&amp;"-" &amp; TEXT(COUNTIF(INDEX(tbl_Assessment[Ben Code],1):tbl_Assessment[[#This Row],[Ben Code]], tbl_Assessment[[#This Row],[Ben Code]]), "00")</f>
        <v>--00</v>
      </c>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49"/>
      <c r="AU359" s="41"/>
      <c r="AV359" s="37"/>
      <c r="AW359" s="37"/>
      <c r="AX359" s="37"/>
      <c r="AY359" s="37"/>
      <c r="AZ359" s="37"/>
      <c r="BA359" s="37"/>
      <c r="BB359" s="41"/>
      <c r="BC359" s="37"/>
      <c r="BD359" s="37"/>
      <c r="BE359" s="37"/>
      <c r="BF359" s="41"/>
      <c r="BG359" s="37"/>
      <c r="BH359" s="37"/>
      <c r="BI359" s="37"/>
      <c r="BJ359" s="41"/>
    </row>
    <row r="360" spans="2:62" ht="25.15" customHeight="1" x14ac:dyDescent="0.25">
      <c r="B360" s="49">
        <v>355</v>
      </c>
      <c r="C360" s="37"/>
      <c r="D360" s="87" t="str">
        <f>IF(tbl_Assessment[[#This Row],[Ben Code]]&lt;&gt;"",INDEX(tbl_Ben_Info[],MATCH(tbl_Assessment[[#This Row],[Ben Code]],tbl_Ben_Info[Ben Code],0),48),"")</f>
        <v/>
      </c>
      <c r="E360" s="116" t="str">
        <f>IF(tbl_Assessment[[#This Row],[Ben Code]]&lt;&gt;"",INDEX(tbl_Ben_Info[],MATCH(tbl_Assessment[[#This Row],[Ben Code]],tbl_Ben_Info[Ben Code],0),6),"")</f>
        <v/>
      </c>
      <c r="F360" s="113" t="str">
        <f>IF(tbl_Assessment[[#This Row],[Ben Code]]&lt;&gt;"",INDEX(tbl_Ben_Info[],MATCH(tbl_Assessment[[#This Row],[Ben Code]],tbl_Ben_Info[Ben Code],0),13),"")</f>
        <v/>
      </c>
      <c r="G360" s="49"/>
      <c r="H360" s="37"/>
      <c r="I360" s="37"/>
      <c r="J360" s="37"/>
      <c r="K360" s="37"/>
      <c r="L360" s="37"/>
      <c r="M360" s="59"/>
      <c r="N360" s="37"/>
      <c r="O360" s="37"/>
      <c r="P360" s="37"/>
      <c r="Q360" s="59"/>
      <c r="R360" s="49"/>
      <c r="S360" s="37"/>
      <c r="T360" s="37"/>
      <c r="U360" s="37"/>
      <c r="V360" s="37"/>
      <c r="W360" s="96" t="str">
        <f>tbl_Assessment[[#This Row],[Ben Code]] &amp; "-"&amp;tbl_Assessment[[#This Row],[admin4Pcode]]&amp;"-" &amp; TEXT(COUNTIF(INDEX(tbl_Assessment[Ben Code],1):tbl_Assessment[[#This Row],[Ben Code]], tbl_Assessment[[#This Row],[Ben Code]]), "00")</f>
        <v>--00</v>
      </c>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49"/>
      <c r="AU360" s="41"/>
      <c r="AV360" s="37"/>
      <c r="AW360" s="37"/>
      <c r="AX360" s="37"/>
      <c r="AY360" s="37"/>
      <c r="AZ360" s="37"/>
      <c r="BA360" s="37"/>
      <c r="BB360" s="41"/>
      <c r="BC360" s="37"/>
      <c r="BD360" s="37"/>
      <c r="BE360" s="37"/>
      <c r="BF360" s="41"/>
      <c r="BG360" s="37"/>
      <c r="BH360" s="37"/>
      <c r="BI360" s="37"/>
      <c r="BJ360" s="41"/>
    </row>
    <row r="361" spans="2:62" ht="25.15" customHeight="1" x14ac:dyDescent="0.25">
      <c r="B361" s="49">
        <v>356</v>
      </c>
      <c r="C361" s="37"/>
      <c r="D361" s="87" t="str">
        <f>IF(tbl_Assessment[[#This Row],[Ben Code]]&lt;&gt;"",INDEX(tbl_Ben_Info[],MATCH(tbl_Assessment[[#This Row],[Ben Code]],tbl_Ben_Info[Ben Code],0),48),"")</f>
        <v/>
      </c>
      <c r="E361" s="116" t="str">
        <f>IF(tbl_Assessment[[#This Row],[Ben Code]]&lt;&gt;"",INDEX(tbl_Ben_Info[],MATCH(tbl_Assessment[[#This Row],[Ben Code]],tbl_Ben_Info[Ben Code],0),6),"")</f>
        <v/>
      </c>
      <c r="F361" s="113" t="str">
        <f>IF(tbl_Assessment[[#This Row],[Ben Code]]&lt;&gt;"",INDEX(tbl_Ben_Info[],MATCH(tbl_Assessment[[#This Row],[Ben Code]],tbl_Ben_Info[Ben Code],0),13),"")</f>
        <v/>
      </c>
      <c r="G361" s="49"/>
      <c r="H361" s="37"/>
      <c r="I361" s="37"/>
      <c r="J361" s="37"/>
      <c r="K361" s="37"/>
      <c r="L361" s="37"/>
      <c r="M361" s="59"/>
      <c r="N361" s="37"/>
      <c r="O361" s="37"/>
      <c r="P361" s="37"/>
      <c r="Q361" s="59"/>
      <c r="R361" s="49"/>
      <c r="S361" s="37"/>
      <c r="T361" s="37"/>
      <c r="U361" s="37"/>
      <c r="V361" s="37"/>
      <c r="W361" s="96" t="str">
        <f>tbl_Assessment[[#This Row],[Ben Code]] &amp; "-"&amp;tbl_Assessment[[#This Row],[admin4Pcode]]&amp;"-" &amp; TEXT(COUNTIF(INDEX(tbl_Assessment[Ben Code],1):tbl_Assessment[[#This Row],[Ben Code]], tbl_Assessment[[#This Row],[Ben Code]]), "00")</f>
        <v>--00</v>
      </c>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49"/>
      <c r="AU361" s="41"/>
      <c r="AV361" s="37"/>
      <c r="AW361" s="37"/>
      <c r="AX361" s="37"/>
      <c r="AY361" s="37"/>
      <c r="AZ361" s="37"/>
      <c r="BA361" s="37"/>
      <c r="BB361" s="41"/>
      <c r="BC361" s="37"/>
      <c r="BD361" s="37"/>
      <c r="BE361" s="37"/>
      <c r="BF361" s="41"/>
      <c r="BG361" s="37"/>
      <c r="BH361" s="37"/>
      <c r="BI361" s="37"/>
      <c r="BJ361" s="41"/>
    </row>
    <row r="362" spans="2:62" ht="25.15" customHeight="1" x14ac:dyDescent="0.25">
      <c r="B362" s="49">
        <v>357</v>
      </c>
      <c r="C362" s="37"/>
      <c r="D362" s="87" t="str">
        <f>IF(tbl_Assessment[[#This Row],[Ben Code]]&lt;&gt;"",INDEX(tbl_Ben_Info[],MATCH(tbl_Assessment[[#This Row],[Ben Code]],tbl_Ben_Info[Ben Code],0),48),"")</f>
        <v/>
      </c>
      <c r="E362" s="116" t="str">
        <f>IF(tbl_Assessment[[#This Row],[Ben Code]]&lt;&gt;"",INDEX(tbl_Ben_Info[],MATCH(tbl_Assessment[[#This Row],[Ben Code]],tbl_Ben_Info[Ben Code],0),6),"")</f>
        <v/>
      </c>
      <c r="F362" s="113" t="str">
        <f>IF(tbl_Assessment[[#This Row],[Ben Code]]&lt;&gt;"",INDEX(tbl_Ben_Info[],MATCH(tbl_Assessment[[#This Row],[Ben Code]],tbl_Ben_Info[Ben Code],0),13),"")</f>
        <v/>
      </c>
      <c r="G362" s="49"/>
      <c r="H362" s="37"/>
      <c r="I362" s="37"/>
      <c r="J362" s="37"/>
      <c r="K362" s="37"/>
      <c r="L362" s="37"/>
      <c r="M362" s="59"/>
      <c r="N362" s="37"/>
      <c r="O362" s="37"/>
      <c r="P362" s="37"/>
      <c r="Q362" s="59"/>
      <c r="R362" s="49"/>
      <c r="S362" s="37"/>
      <c r="T362" s="37"/>
      <c r="U362" s="37"/>
      <c r="V362" s="37"/>
      <c r="W362" s="96" t="str">
        <f>tbl_Assessment[[#This Row],[Ben Code]] &amp; "-"&amp;tbl_Assessment[[#This Row],[admin4Pcode]]&amp;"-" &amp; TEXT(COUNTIF(INDEX(tbl_Assessment[Ben Code],1):tbl_Assessment[[#This Row],[Ben Code]], tbl_Assessment[[#This Row],[Ben Code]]), "00")</f>
        <v>--00</v>
      </c>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49"/>
      <c r="AU362" s="41"/>
      <c r="AV362" s="37"/>
      <c r="AW362" s="37"/>
      <c r="AX362" s="37"/>
      <c r="AY362" s="37"/>
      <c r="AZ362" s="37"/>
      <c r="BA362" s="37"/>
      <c r="BB362" s="41"/>
      <c r="BC362" s="37"/>
      <c r="BD362" s="37"/>
      <c r="BE362" s="37"/>
      <c r="BF362" s="41"/>
      <c r="BG362" s="37"/>
      <c r="BH362" s="37"/>
      <c r="BI362" s="37"/>
      <c r="BJ362" s="41"/>
    </row>
    <row r="363" spans="2:62" ht="25.15" customHeight="1" x14ac:dyDescent="0.25">
      <c r="B363" s="49">
        <v>358</v>
      </c>
      <c r="C363" s="37"/>
      <c r="D363" s="87" t="str">
        <f>IF(tbl_Assessment[[#This Row],[Ben Code]]&lt;&gt;"",INDEX(tbl_Ben_Info[],MATCH(tbl_Assessment[[#This Row],[Ben Code]],tbl_Ben_Info[Ben Code],0),48),"")</f>
        <v/>
      </c>
      <c r="E363" s="116" t="str">
        <f>IF(tbl_Assessment[[#This Row],[Ben Code]]&lt;&gt;"",INDEX(tbl_Ben_Info[],MATCH(tbl_Assessment[[#This Row],[Ben Code]],tbl_Ben_Info[Ben Code],0),6),"")</f>
        <v/>
      </c>
      <c r="F363" s="113" t="str">
        <f>IF(tbl_Assessment[[#This Row],[Ben Code]]&lt;&gt;"",INDEX(tbl_Ben_Info[],MATCH(tbl_Assessment[[#This Row],[Ben Code]],tbl_Ben_Info[Ben Code],0),13),"")</f>
        <v/>
      </c>
      <c r="G363" s="49"/>
      <c r="H363" s="37"/>
      <c r="I363" s="37"/>
      <c r="J363" s="37"/>
      <c r="K363" s="37"/>
      <c r="L363" s="37"/>
      <c r="M363" s="59"/>
      <c r="N363" s="37"/>
      <c r="O363" s="37"/>
      <c r="P363" s="37"/>
      <c r="Q363" s="59"/>
      <c r="R363" s="49"/>
      <c r="S363" s="37"/>
      <c r="T363" s="37"/>
      <c r="U363" s="37"/>
      <c r="V363" s="37"/>
      <c r="W363" s="96" t="str">
        <f>tbl_Assessment[[#This Row],[Ben Code]] &amp; "-"&amp;tbl_Assessment[[#This Row],[admin4Pcode]]&amp;"-" &amp; TEXT(COUNTIF(INDEX(tbl_Assessment[Ben Code],1):tbl_Assessment[[#This Row],[Ben Code]], tbl_Assessment[[#This Row],[Ben Code]]), "00")</f>
        <v>--00</v>
      </c>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49"/>
      <c r="AU363" s="41"/>
      <c r="AV363" s="37"/>
      <c r="AW363" s="37"/>
      <c r="AX363" s="37"/>
      <c r="AY363" s="37"/>
      <c r="AZ363" s="37"/>
      <c r="BA363" s="37"/>
      <c r="BB363" s="41"/>
      <c r="BC363" s="37"/>
      <c r="BD363" s="37"/>
      <c r="BE363" s="37"/>
      <c r="BF363" s="41"/>
      <c r="BG363" s="37"/>
      <c r="BH363" s="37"/>
      <c r="BI363" s="37"/>
      <c r="BJ363" s="41"/>
    </row>
    <row r="364" spans="2:62" ht="25.15" customHeight="1" x14ac:dyDescent="0.25">
      <c r="B364" s="49">
        <v>359</v>
      </c>
      <c r="C364" s="37"/>
      <c r="D364" s="87" t="str">
        <f>IF(tbl_Assessment[[#This Row],[Ben Code]]&lt;&gt;"",INDEX(tbl_Ben_Info[],MATCH(tbl_Assessment[[#This Row],[Ben Code]],tbl_Ben_Info[Ben Code],0),48),"")</f>
        <v/>
      </c>
      <c r="E364" s="116" t="str">
        <f>IF(tbl_Assessment[[#This Row],[Ben Code]]&lt;&gt;"",INDEX(tbl_Ben_Info[],MATCH(tbl_Assessment[[#This Row],[Ben Code]],tbl_Ben_Info[Ben Code],0),6),"")</f>
        <v/>
      </c>
      <c r="F364" s="113" t="str">
        <f>IF(tbl_Assessment[[#This Row],[Ben Code]]&lt;&gt;"",INDEX(tbl_Ben_Info[],MATCH(tbl_Assessment[[#This Row],[Ben Code]],tbl_Ben_Info[Ben Code],0),13),"")</f>
        <v/>
      </c>
      <c r="G364" s="49"/>
      <c r="H364" s="37"/>
      <c r="I364" s="37"/>
      <c r="J364" s="37"/>
      <c r="K364" s="37"/>
      <c r="L364" s="37"/>
      <c r="M364" s="59"/>
      <c r="N364" s="37"/>
      <c r="O364" s="37"/>
      <c r="P364" s="37"/>
      <c r="Q364" s="59"/>
      <c r="R364" s="49"/>
      <c r="S364" s="37"/>
      <c r="T364" s="37"/>
      <c r="U364" s="37"/>
      <c r="V364" s="37"/>
      <c r="W364" s="96" t="str">
        <f>tbl_Assessment[[#This Row],[Ben Code]] &amp; "-"&amp;tbl_Assessment[[#This Row],[admin4Pcode]]&amp;"-" &amp; TEXT(COUNTIF(INDEX(tbl_Assessment[Ben Code],1):tbl_Assessment[[#This Row],[Ben Code]], tbl_Assessment[[#This Row],[Ben Code]]), "00")</f>
        <v>--00</v>
      </c>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49"/>
      <c r="AU364" s="41"/>
      <c r="AV364" s="37"/>
      <c r="AW364" s="37"/>
      <c r="AX364" s="37"/>
      <c r="AY364" s="37"/>
      <c r="AZ364" s="37"/>
      <c r="BA364" s="37"/>
      <c r="BB364" s="41"/>
      <c r="BC364" s="37"/>
      <c r="BD364" s="37"/>
      <c r="BE364" s="37"/>
      <c r="BF364" s="41"/>
      <c r="BG364" s="37"/>
      <c r="BH364" s="37"/>
      <c r="BI364" s="37"/>
      <c r="BJ364" s="41"/>
    </row>
    <row r="365" spans="2:62" ht="25.15" customHeight="1" x14ac:dyDescent="0.25">
      <c r="B365" s="49">
        <v>360</v>
      </c>
      <c r="C365" s="37"/>
      <c r="D365" s="87" t="str">
        <f>IF(tbl_Assessment[[#This Row],[Ben Code]]&lt;&gt;"",INDEX(tbl_Ben_Info[],MATCH(tbl_Assessment[[#This Row],[Ben Code]],tbl_Ben_Info[Ben Code],0),48),"")</f>
        <v/>
      </c>
      <c r="E365" s="116" t="str">
        <f>IF(tbl_Assessment[[#This Row],[Ben Code]]&lt;&gt;"",INDEX(tbl_Ben_Info[],MATCH(tbl_Assessment[[#This Row],[Ben Code]],tbl_Ben_Info[Ben Code],0),6),"")</f>
        <v/>
      </c>
      <c r="F365" s="113" t="str">
        <f>IF(tbl_Assessment[[#This Row],[Ben Code]]&lt;&gt;"",INDEX(tbl_Ben_Info[],MATCH(tbl_Assessment[[#This Row],[Ben Code]],tbl_Ben_Info[Ben Code],0),13),"")</f>
        <v/>
      </c>
      <c r="G365" s="49"/>
      <c r="H365" s="37"/>
      <c r="I365" s="37"/>
      <c r="J365" s="37"/>
      <c r="K365" s="37"/>
      <c r="L365" s="37"/>
      <c r="M365" s="59"/>
      <c r="N365" s="37"/>
      <c r="O365" s="37"/>
      <c r="P365" s="37"/>
      <c r="Q365" s="59"/>
      <c r="R365" s="49"/>
      <c r="S365" s="37"/>
      <c r="T365" s="37"/>
      <c r="U365" s="37"/>
      <c r="V365" s="37"/>
      <c r="W365" s="96" t="str">
        <f>tbl_Assessment[[#This Row],[Ben Code]] &amp; "-"&amp;tbl_Assessment[[#This Row],[admin4Pcode]]&amp;"-" &amp; TEXT(COUNTIF(INDEX(tbl_Assessment[Ben Code],1):tbl_Assessment[[#This Row],[Ben Code]], tbl_Assessment[[#This Row],[Ben Code]]), "00")</f>
        <v>--00</v>
      </c>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49"/>
      <c r="AU365" s="41"/>
      <c r="AV365" s="37"/>
      <c r="AW365" s="37"/>
      <c r="AX365" s="37"/>
      <c r="AY365" s="37"/>
      <c r="AZ365" s="37"/>
      <c r="BA365" s="37"/>
      <c r="BB365" s="41"/>
      <c r="BC365" s="37"/>
      <c r="BD365" s="37"/>
      <c r="BE365" s="37"/>
      <c r="BF365" s="41"/>
      <c r="BG365" s="37"/>
      <c r="BH365" s="37"/>
      <c r="BI365" s="37"/>
      <c r="BJ365" s="41"/>
    </row>
    <row r="366" spans="2:62" ht="25.15" customHeight="1" x14ac:dyDescent="0.25">
      <c r="B366" s="49">
        <v>361</v>
      </c>
      <c r="C366" s="37"/>
      <c r="D366" s="87" t="str">
        <f>IF(tbl_Assessment[[#This Row],[Ben Code]]&lt;&gt;"",INDEX(tbl_Ben_Info[],MATCH(tbl_Assessment[[#This Row],[Ben Code]],tbl_Ben_Info[Ben Code],0),48),"")</f>
        <v/>
      </c>
      <c r="E366" s="116" t="str">
        <f>IF(tbl_Assessment[[#This Row],[Ben Code]]&lt;&gt;"",INDEX(tbl_Ben_Info[],MATCH(tbl_Assessment[[#This Row],[Ben Code]],tbl_Ben_Info[Ben Code],0),6),"")</f>
        <v/>
      </c>
      <c r="F366" s="113" t="str">
        <f>IF(tbl_Assessment[[#This Row],[Ben Code]]&lt;&gt;"",INDEX(tbl_Ben_Info[],MATCH(tbl_Assessment[[#This Row],[Ben Code]],tbl_Ben_Info[Ben Code],0),13),"")</f>
        <v/>
      </c>
      <c r="G366" s="49"/>
      <c r="H366" s="37"/>
      <c r="I366" s="37"/>
      <c r="J366" s="37"/>
      <c r="K366" s="37"/>
      <c r="L366" s="37"/>
      <c r="M366" s="59"/>
      <c r="N366" s="37"/>
      <c r="O366" s="37"/>
      <c r="P366" s="37"/>
      <c r="Q366" s="59"/>
      <c r="R366" s="49"/>
      <c r="S366" s="37"/>
      <c r="T366" s="37"/>
      <c r="U366" s="37"/>
      <c r="V366" s="37"/>
      <c r="W366" s="96" t="str">
        <f>tbl_Assessment[[#This Row],[Ben Code]] &amp; "-"&amp;tbl_Assessment[[#This Row],[admin4Pcode]]&amp;"-" &amp; TEXT(COUNTIF(INDEX(tbl_Assessment[Ben Code],1):tbl_Assessment[[#This Row],[Ben Code]], tbl_Assessment[[#This Row],[Ben Code]]), "00")</f>
        <v>--00</v>
      </c>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49"/>
      <c r="AU366" s="41"/>
      <c r="AV366" s="37"/>
      <c r="AW366" s="37"/>
      <c r="AX366" s="37"/>
      <c r="AY366" s="37"/>
      <c r="AZ366" s="37"/>
      <c r="BA366" s="37"/>
      <c r="BB366" s="41"/>
      <c r="BC366" s="37"/>
      <c r="BD366" s="37"/>
      <c r="BE366" s="37"/>
      <c r="BF366" s="41"/>
      <c r="BG366" s="37"/>
      <c r="BH366" s="37"/>
      <c r="BI366" s="37"/>
      <c r="BJ366" s="41"/>
    </row>
    <row r="367" spans="2:62" ht="25.15" customHeight="1" x14ac:dyDescent="0.25">
      <c r="B367" s="49">
        <v>362</v>
      </c>
      <c r="C367" s="37"/>
      <c r="D367" s="87" t="str">
        <f>IF(tbl_Assessment[[#This Row],[Ben Code]]&lt;&gt;"",INDEX(tbl_Ben_Info[],MATCH(tbl_Assessment[[#This Row],[Ben Code]],tbl_Ben_Info[Ben Code],0),48),"")</f>
        <v/>
      </c>
      <c r="E367" s="116" t="str">
        <f>IF(tbl_Assessment[[#This Row],[Ben Code]]&lt;&gt;"",INDEX(tbl_Ben_Info[],MATCH(tbl_Assessment[[#This Row],[Ben Code]],tbl_Ben_Info[Ben Code],0),6),"")</f>
        <v/>
      </c>
      <c r="F367" s="113" t="str">
        <f>IF(tbl_Assessment[[#This Row],[Ben Code]]&lt;&gt;"",INDEX(tbl_Ben_Info[],MATCH(tbl_Assessment[[#This Row],[Ben Code]],tbl_Ben_Info[Ben Code],0),13),"")</f>
        <v/>
      </c>
      <c r="G367" s="49"/>
      <c r="H367" s="37"/>
      <c r="I367" s="37"/>
      <c r="J367" s="37"/>
      <c r="K367" s="37"/>
      <c r="L367" s="37"/>
      <c r="M367" s="59"/>
      <c r="N367" s="37"/>
      <c r="O367" s="37"/>
      <c r="P367" s="37"/>
      <c r="Q367" s="59"/>
      <c r="R367" s="49"/>
      <c r="S367" s="37"/>
      <c r="T367" s="37"/>
      <c r="U367" s="37"/>
      <c r="V367" s="37"/>
      <c r="W367" s="96" t="str">
        <f>tbl_Assessment[[#This Row],[Ben Code]] &amp; "-"&amp;tbl_Assessment[[#This Row],[admin4Pcode]]&amp;"-" &amp; TEXT(COUNTIF(INDEX(tbl_Assessment[Ben Code],1):tbl_Assessment[[#This Row],[Ben Code]], tbl_Assessment[[#This Row],[Ben Code]]), "00")</f>
        <v>--00</v>
      </c>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49"/>
      <c r="AU367" s="41"/>
      <c r="AV367" s="37"/>
      <c r="AW367" s="37"/>
      <c r="AX367" s="37"/>
      <c r="AY367" s="37"/>
      <c r="AZ367" s="37"/>
      <c r="BA367" s="37"/>
      <c r="BB367" s="41"/>
      <c r="BC367" s="37"/>
      <c r="BD367" s="37"/>
      <c r="BE367" s="37"/>
      <c r="BF367" s="41"/>
      <c r="BG367" s="37"/>
      <c r="BH367" s="37"/>
      <c r="BI367" s="37"/>
      <c r="BJ367" s="41"/>
    </row>
    <row r="368" spans="2:62" ht="25.15" customHeight="1" x14ac:dyDescent="0.25">
      <c r="B368" s="49">
        <v>363</v>
      </c>
      <c r="C368" s="37"/>
      <c r="D368" s="87" t="str">
        <f>IF(tbl_Assessment[[#This Row],[Ben Code]]&lt;&gt;"",INDEX(tbl_Ben_Info[],MATCH(tbl_Assessment[[#This Row],[Ben Code]],tbl_Ben_Info[Ben Code],0),48),"")</f>
        <v/>
      </c>
      <c r="E368" s="116" t="str">
        <f>IF(tbl_Assessment[[#This Row],[Ben Code]]&lt;&gt;"",INDEX(tbl_Ben_Info[],MATCH(tbl_Assessment[[#This Row],[Ben Code]],tbl_Ben_Info[Ben Code],0),6),"")</f>
        <v/>
      </c>
      <c r="F368" s="113" t="str">
        <f>IF(tbl_Assessment[[#This Row],[Ben Code]]&lt;&gt;"",INDEX(tbl_Ben_Info[],MATCH(tbl_Assessment[[#This Row],[Ben Code]],tbl_Ben_Info[Ben Code],0),13),"")</f>
        <v/>
      </c>
      <c r="G368" s="49"/>
      <c r="H368" s="37"/>
      <c r="I368" s="37"/>
      <c r="J368" s="37"/>
      <c r="K368" s="37"/>
      <c r="L368" s="37"/>
      <c r="M368" s="59"/>
      <c r="N368" s="37"/>
      <c r="O368" s="37"/>
      <c r="P368" s="37"/>
      <c r="Q368" s="59"/>
      <c r="R368" s="49"/>
      <c r="S368" s="37"/>
      <c r="T368" s="37"/>
      <c r="U368" s="37"/>
      <c r="V368" s="37"/>
      <c r="W368" s="96" t="str">
        <f>tbl_Assessment[[#This Row],[Ben Code]] &amp; "-"&amp;tbl_Assessment[[#This Row],[admin4Pcode]]&amp;"-" &amp; TEXT(COUNTIF(INDEX(tbl_Assessment[Ben Code],1):tbl_Assessment[[#This Row],[Ben Code]], tbl_Assessment[[#This Row],[Ben Code]]), "00")</f>
        <v>--00</v>
      </c>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49"/>
      <c r="AU368" s="41"/>
      <c r="AV368" s="37"/>
      <c r="AW368" s="37"/>
      <c r="AX368" s="37"/>
      <c r="AY368" s="37"/>
      <c r="AZ368" s="37"/>
      <c r="BA368" s="37"/>
      <c r="BB368" s="41"/>
      <c r="BC368" s="37"/>
      <c r="BD368" s="37"/>
      <c r="BE368" s="37"/>
      <c r="BF368" s="41"/>
      <c r="BG368" s="37"/>
      <c r="BH368" s="37"/>
      <c r="BI368" s="37"/>
      <c r="BJ368" s="41"/>
    </row>
    <row r="369" spans="2:62" ht="25.15" customHeight="1" x14ac:dyDescent="0.25">
      <c r="B369" s="49">
        <v>364</v>
      </c>
      <c r="C369" s="37"/>
      <c r="D369" s="87" t="str">
        <f>IF(tbl_Assessment[[#This Row],[Ben Code]]&lt;&gt;"",INDEX(tbl_Ben_Info[],MATCH(tbl_Assessment[[#This Row],[Ben Code]],tbl_Ben_Info[Ben Code],0),48),"")</f>
        <v/>
      </c>
      <c r="E369" s="116" t="str">
        <f>IF(tbl_Assessment[[#This Row],[Ben Code]]&lt;&gt;"",INDEX(tbl_Ben_Info[],MATCH(tbl_Assessment[[#This Row],[Ben Code]],tbl_Ben_Info[Ben Code],0),6),"")</f>
        <v/>
      </c>
      <c r="F369" s="113" t="str">
        <f>IF(tbl_Assessment[[#This Row],[Ben Code]]&lt;&gt;"",INDEX(tbl_Ben_Info[],MATCH(tbl_Assessment[[#This Row],[Ben Code]],tbl_Ben_Info[Ben Code],0),13),"")</f>
        <v/>
      </c>
      <c r="G369" s="49"/>
      <c r="H369" s="37"/>
      <c r="I369" s="37"/>
      <c r="J369" s="37"/>
      <c r="K369" s="37"/>
      <c r="L369" s="37"/>
      <c r="M369" s="59"/>
      <c r="N369" s="37"/>
      <c r="O369" s="37"/>
      <c r="P369" s="37"/>
      <c r="Q369" s="59"/>
      <c r="R369" s="49"/>
      <c r="S369" s="37"/>
      <c r="T369" s="37"/>
      <c r="U369" s="37"/>
      <c r="V369" s="37"/>
      <c r="W369" s="96" t="str">
        <f>tbl_Assessment[[#This Row],[Ben Code]] &amp; "-"&amp;tbl_Assessment[[#This Row],[admin4Pcode]]&amp;"-" &amp; TEXT(COUNTIF(INDEX(tbl_Assessment[Ben Code],1):tbl_Assessment[[#This Row],[Ben Code]], tbl_Assessment[[#This Row],[Ben Code]]), "00")</f>
        <v>--00</v>
      </c>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49"/>
      <c r="AU369" s="41"/>
      <c r="AV369" s="37"/>
      <c r="AW369" s="37"/>
      <c r="AX369" s="37"/>
      <c r="AY369" s="37"/>
      <c r="AZ369" s="37"/>
      <c r="BA369" s="37"/>
      <c r="BB369" s="41"/>
      <c r="BC369" s="37"/>
      <c r="BD369" s="37"/>
      <c r="BE369" s="37"/>
      <c r="BF369" s="41"/>
      <c r="BG369" s="37"/>
      <c r="BH369" s="37"/>
      <c r="BI369" s="37"/>
      <c r="BJ369" s="41"/>
    </row>
    <row r="370" spans="2:62" ht="25.15" customHeight="1" x14ac:dyDescent="0.25">
      <c r="B370" s="49">
        <v>365</v>
      </c>
      <c r="C370" s="37"/>
      <c r="D370" s="87" t="str">
        <f>IF(tbl_Assessment[[#This Row],[Ben Code]]&lt;&gt;"",INDEX(tbl_Ben_Info[],MATCH(tbl_Assessment[[#This Row],[Ben Code]],tbl_Ben_Info[Ben Code],0),48),"")</f>
        <v/>
      </c>
      <c r="E370" s="116" t="str">
        <f>IF(tbl_Assessment[[#This Row],[Ben Code]]&lt;&gt;"",INDEX(tbl_Ben_Info[],MATCH(tbl_Assessment[[#This Row],[Ben Code]],tbl_Ben_Info[Ben Code],0),6),"")</f>
        <v/>
      </c>
      <c r="F370" s="113" t="str">
        <f>IF(tbl_Assessment[[#This Row],[Ben Code]]&lt;&gt;"",INDEX(tbl_Ben_Info[],MATCH(tbl_Assessment[[#This Row],[Ben Code]],tbl_Ben_Info[Ben Code],0),13),"")</f>
        <v/>
      </c>
      <c r="G370" s="49"/>
      <c r="H370" s="37"/>
      <c r="I370" s="37"/>
      <c r="J370" s="37"/>
      <c r="K370" s="37"/>
      <c r="L370" s="37"/>
      <c r="M370" s="59"/>
      <c r="N370" s="37"/>
      <c r="O370" s="37"/>
      <c r="P370" s="37"/>
      <c r="Q370" s="59"/>
      <c r="R370" s="49"/>
      <c r="S370" s="37"/>
      <c r="T370" s="37"/>
      <c r="U370" s="37"/>
      <c r="V370" s="37"/>
      <c r="W370" s="96" t="str">
        <f>tbl_Assessment[[#This Row],[Ben Code]] &amp; "-"&amp;tbl_Assessment[[#This Row],[admin4Pcode]]&amp;"-" &amp; TEXT(COUNTIF(INDEX(tbl_Assessment[Ben Code],1):tbl_Assessment[[#This Row],[Ben Code]], tbl_Assessment[[#This Row],[Ben Code]]), "00")</f>
        <v>--00</v>
      </c>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49"/>
      <c r="AU370" s="41"/>
      <c r="AV370" s="37"/>
      <c r="AW370" s="37"/>
      <c r="AX370" s="37"/>
      <c r="AY370" s="37"/>
      <c r="AZ370" s="37"/>
      <c r="BA370" s="37"/>
      <c r="BB370" s="41"/>
      <c r="BC370" s="37"/>
      <c r="BD370" s="37"/>
      <c r="BE370" s="37"/>
      <c r="BF370" s="41"/>
      <c r="BG370" s="37"/>
      <c r="BH370" s="37"/>
      <c r="BI370" s="37"/>
      <c r="BJ370" s="41"/>
    </row>
    <row r="371" spans="2:62" ht="25.15" customHeight="1" x14ac:dyDescent="0.25">
      <c r="B371" s="49">
        <v>366</v>
      </c>
      <c r="C371" s="37"/>
      <c r="D371" s="87" t="str">
        <f>IF(tbl_Assessment[[#This Row],[Ben Code]]&lt;&gt;"",INDEX(tbl_Ben_Info[],MATCH(tbl_Assessment[[#This Row],[Ben Code]],tbl_Ben_Info[Ben Code],0),48),"")</f>
        <v/>
      </c>
      <c r="E371" s="116" t="str">
        <f>IF(tbl_Assessment[[#This Row],[Ben Code]]&lt;&gt;"",INDEX(tbl_Ben_Info[],MATCH(tbl_Assessment[[#This Row],[Ben Code]],tbl_Ben_Info[Ben Code],0),6),"")</f>
        <v/>
      </c>
      <c r="F371" s="113" t="str">
        <f>IF(tbl_Assessment[[#This Row],[Ben Code]]&lt;&gt;"",INDEX(tbl_Ben_Info[],MATCH(tbl_Assessment[[#This Row],[Ben Code]],tbl_Ben_Info[Ben Code],0),13),"")</f>
        <v/>
      </c>
      <c r="G371" s="49"/>
      <c r="H371" s="37"/>
      <c r="I371" s="37"/>
      <c r="J371" s="37"/>
      <c r="K371" s="37"/>
      <c r="L371" s="37"/>
      <c r="M371" s="59"/>
      <c r="N371" s="37"/>
      <c r="O371" s="37"/>
      <c r="P371" s="37"/>
      <c r="Q371" s="59"/>
      <c r="R371" s="49"/>
      <c r="S371" s="37"/>
      <c r="T371" s="37"/>
      <c r="U371" s="37"/>
      <c r="V371" s="37"/>
      <c r="W371" s="96" t="str">
        <f>tbl_Assessment[[#This Row],[Ben Code]] &amp; "-"&amp;tbl_Assessment[[#This Row],[admin4Pcode]]&amp;"-" &amp; TEXT(COUNTIF(INDEX(tbl_Assessment[Ben Code],1):tbl_Assessment[[#This Row],[Ben Code]], tbl_Assessment[[#This Row],[Ben Code]]), "00")</f>
        <v>--00</v>
      </c>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49"/>
      <c r="AU371" s="41"/>
      <c r="AV371" s="37"/>
      <c r="AW371" s="37"/>
      <c r="AX371" s="37"/>
      <c r="AY371" s="37"/>
      <c r="AZ371" s="37"/>
      <c r="BA371" s="37"/>
      <c r="BB371" s="41"/>
      <c r="BC371" s="37"/>
      <c r="BD371" s="37"/>
      <c r="BE371" s="37"/>
      <c r="BF371" s="41"/>
      <c r="BG371" s="37"/>
      <c r="BH371" s="37"/>
      <c r="BI371" s="37"/>
      <c r="BJ371" s="41"/>
    </row>
    <row r="372" spans="2:62" ht="25.15" customHeight="1" x14ac:dyDescent="0.25">
      <c r="B372" s="49">
        <v>367</v>
      </c>
      <c r="C372" s="37"/>
      <c r="D372" s="87" t="str">
        <f>IF(tbl_Assessment[[#This Row],[Ben Code]]&lt;&gt;"",INDEX(tbl_Ben_Info[],MATCH(tbl_Assessment[[#This Row],[Ben Code]],tbl_Ben_Info[Ben Code],0),48),"")</f>
        <v/>
      </c>
      <c r="E372" s="116" t="str">
        <f>IF(tbl_Assessment[[#This Row],[Ben Code]]&lt;&gt;"",INDEX(tbl_Ben_Info[],MATCH(tbl_Assessment[[#This Row],[Ben Code]],tbl_Ben_Info[Ben Code],0),6),"")</f>
        <v/>
      </c>
      <c r="F372" s="113" t="str">
        <f>IF(tbl_Assessment[[#This Row],[Ben Code]]&lt;&gt;"",INDEX(tbl_Ben_Info[],MATCH(tbl_Assessment[[#This Row],[Ben Code]],tbl_Ben_Info[Ben Code],0),13),"")</f>
        <v/>
      </c>
      <c r="G372" s="49"/>
      <c r="H372" s="37"/>
      <c r="I372" s="37"/>
      <c r="J372" s="37"/>
      <c r="K372" s="37"/>
      <c r="L372" s="37"/>
      <c r="M372" s="59"/>
      <c r="N372" s="37"/>
      <c r="O372" s="37"/>
      <c r="P372" s="37"/>
      <c r="Q372" s="59"/>
      <c r="R372" s="49"/>
      <c r="S372" s="37"/>
      <c r="T372" s="37"/>
      <c r="U372" s="37"/>
      <c r="V372" s="37"/>
      <c r="W372" s="96" t="str">
        <f>tbl_Assessment[[#This Row],[Ben Code]] &amp; "-"&amp;tbl_Assessment[[#This Row],[admin4Pcode]]&amp;"-" &amp; TEXT(COUNTIF(INDEX(tbl_Assessment[Ben Code],1):tbl_Assessment[[#This Row],[Ben Code]], tbl_Assessment[[#This Row],[Ben Code]]), "00")</f>
        <v>--00</v>
      </c>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49"/>
      <c r="AU372" s="41"/>
      <c r="AV372" s="37"/>
      <c r="AW372" s="37"/>
      <c r="AX372" s="37"/>
      <c r="AY372" s="37"/>
      <c r="AZ372" s="37"/>
      <c r="BA372" s="37"/>
      <c r="BB372" s="41"/>
      <c r="BC372" s="37"/>
      <c r="BD372" s="37"/>
      <c r="BE372" s="37"/>
      <c r="BF372" s="41"/>
      <c r="BG372" s="37"/>
      <c r="BH372" s="37"/>
      <c r="BI372" s="37"/>
      <c r="BJ372" s="41"/>
    </row>
    <row r="373" spans="2:62" ht="25.15" customHeight="1" x14ac:dyDescent="0.25">
      <c r="B373" s="49">
        <v>368</v>
      </c>
      <c r="C373" s="37"/>
      <c r="D373" s="87" t="str">
        <f>IF(tbl_Assessment[[#This Row],[Ben Code]]&lt;&gt;"",INDEX(tbl_Ben_Info[],MATCH(tbl_Assessment[[#This Row],[Ben Code]],tbl_Ben_Info[Ben Code],0),48),"")</f>
        <v/>
      </c>
      <c r="E373" s="116" t="str">
        <f>IF(tbl_Assessment[[#This Row],[Ben Code]]&lt;&gt;"",INDEX(tbl_Ben_Info[],MATCH(tbl_Assessment[[#This Row],[Ben Code]],tbl_Ben_Info[Ben Code],0),6),"")</f>
        <v/>
      </c>
      <c r="F373" s="113" t="str">
        <f>IF(tbl_Assessment[[#This Row],[Ben Code]]&lt;&gt;"",INDEX(tbl_Ben_Info[],MATCH(tbl_Assessment[[#This Row],[Ben Code]],tbl_Ben_Info[Ben Code],0),13),"")</f>
        <v/>
      </c>
      <c r="G373" s="49"/>
      <c r="H373" s="37"/>
      <c r="I373" s="37"/>
      <c r="J373" s="37"/>
      <c r="K373" s="37"/>
      <c r="L373" s="37"/>
      <c r="M373" s="59"/>
      <c r="N373" s="37"/>
      <c r="O373" s="37"/>
      <c r="P373" s="37"/>
      <c r="Q373" s="59"/>
      <c r="R373" s="49"/>
      <c r="S373" s="37"/>
      <c r="T373" s="37"/>
      <c r="U373" s="37"/>
      <c r="V373" s="37"/>
      <c r="W373" s="96" t="str">
        <f>tbl_Assessment[[#This Row],[Ben Code]] &amp; "-"&amp;tbl_Assessment[[#This Row],[admin4Pcode]]&amp;"-" &amp; TEXT(COUNTIF(INDEX(tbl_Assessment[Ben Code],1):tbl_Assessment[[#This Row],[Ben Code]], tbl_Assessment[[#This Row],[Ben Code]]), "00")</f>
        <v>--00</v>
      </c>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49"/>
      <c r="AU373" s="41"/>
      <c r="AV373" s="37"/>
      <c r="AW373" s="37"/>
      <c r="AX373" s="37"/>
      <c r="AY373" s="37"/>
      <c r="AZ373" s="37"/>
      <c r="BA373" s="37"/>
      <c r="BB373" s="41"/>
      <c r="BC373" s="37"/>
      <c r="BD373" s="37"/>
      <c r="BE373" s="37"/>
      <c r="BF373" s="41"/>
      <c r="BG373" s="37"/>
      <c r="BH373" s="37"/>
      <c r="BI373" s="37"/>
      <c r="BJ373" s="41"/>
    </row>
    <row r="374" spans="2:62" ht="25.15" customHeight="1" x14ac:dyDescent="0.25">
      <c r="B374" s="49">
        <v>369</v>
      </c>
      <c r="C374" s="37"/>
      <c r="D374" s="87" t="str">
        <f>IF(tbl_Assessment[[#This Row],[Ben Code]]&lt;&gt;"",INDEX(tbl_Ben_Info[],MATCH(tbl_Assessment[[#This Row],[Ben Code]],tbl_Ben_Info[Ben Code],0),48),"")</f>
        <v/>
      </c>
      <c r="E374" s="116" t="str">
        <f>IF(tbl_Assessment[[#This Row],[Ben Code]]&lt;&gt;"",INDEX(tbl_Ben_Info[],MATCH(tbl_Assessment[[#This Row],[Ben Code]],tbl_Ben_Info[Ben Code],0),6),"")</f>
        <v/>
      </c>
      <c r="F374" s="113" t="str">
        <f>IF(tbl_Assessment[[#This Row],[Ben Code]]&lt;&gt;"",INDEX(tbl_Ben_Info[],MATCH(tbl_Assessment[[#This Row],[Ben Code]],tbl_Ben_Info[Ben Code],0),13),"")</f>
        <v/>
      </c>
      <c r="G374" s="49"/>
      <c r="H374" s="37"/>
      <c r="I374" s="37"/>
      <c r="J374" s="37"/>
      <c r="K374" s="37"/>
      <c r="L374" s="37"/>
      <c r="M374" s="59"/>
      <c r="N374" s="37"/>
      <c r="O374" s="37"/>
      <c r="P374" s="37"/>
      <c r="Q374" s="59"/>
      <c r="R374" s="49"/>
      <c r="S374" s="37"/>
      <c r="T374" s="37"/>
      <c r="U374" s="37"/>
      <c r="V374" s="37"/>
      <c r="W374" s="96" t="str">
        <f>tbl_Assessment[[#This Row],[Ben Code]] &amp; "-"&amp;tbl_Assessment[[#This Row],[admin4Pcode]]&amp;"-" &amp; TEXT(COUNTIF(INDEX(tbl_Assessment[Ben Code],1):tbl_Assessment[[#This Row],[Ben Code]], tbl_Assessment[[#This Row],[Ben Code]]), "00")</f>
        <v>--00</v>
      </c>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49"/>
      <c r="AU374" s="41"/>
      <c r="AV374" s="37"/>
      <c r="AW374" s="37"/>
      <c r="AX374" s="37"/>
      <c r="AY374" s="37"/>
      <c r="AZ374" s="37"/>
      <c r="BA374" s="37"/>
      <c r="BB374" s="41"/>
      <c r="BC374" s="37"/>
      <c r="BD374" s="37"/>
      <c r="BE374" s="37"/>
      <c r="BF374" s="41"/>
      <c r="BG374" s="37"/>
      <c r="BH374" s="37"/>
      <c r="BI374" s="37"/>
      <c r="BJ374" s="41"/>
    </row>
    <row r="375" spans="2:62" ht="25.15" customHeight="1" x14ac:dyDescent="0.25">
      <c r="B375" s="49">
        <v>370</v>
      </c>
      <c r="C375" s="37"/>
      <c r="D375" s="87" t="str">
        <f>IF(tbl_Assessment[[#This Row],[Ben Code]]&lt;&gt;"",INDEX(tbl_Ben_Info[],MATCH(tbl_Assessment[[#This Row],[Ben Code]],tbl_Ben_Info[Ben Code],0),48),"")</f>
        <v/>
      </c>
      <c r="E375" s="116" t="str">
        <f>IF(tbl_Assessment[[#This Row],[Ben Code]]&lt;&gt;"",INDEX(tbl_Ben_Info[],MATCH(tbl_Assessment[[#This Row],[Ben Code]],tbl_Ben_Info[Ben Code],0),6),"")</f>
        <v/>
      </c>
      <c r="F375" s="113" t="str">
        <f>IF(tbl_Assessment[[#This Row],[Ben Code]]&lt;&gt;"",INDEX(tbl_Ben_Info[],MATCH(tbl_Assessment[[#This Row],[Ben Code]],tbl_Ben_Info[Ben Code],0),13),"")</f>
        <v/>
      </c>
      <c r="G375" s="49"/>
      <c r="H375" s="37"/>
      <c r="I375" s="37"/>
      <c r="J375" s="37"/>
      <c r="K375" s="37"/>
      <c r="L375" s="37"/>
      <c r="M375" s="59"/>
      <c r="N375" s="37"/>
      <c r="O375" s="37"/>
      <c r="P375" s="37"/>
      <c r="Q375" s="59"/>
      <c r="R375" s="49"/>
      <c r="S375" s="37"/>
      <c r="T375" s="37"/>
      <c r="U375" s="37"/>
      <c r="V375" s="37"/>
      <c r="W375" s="96" t="str">
        <f>tbl_Assessment[[#This Row],[Ben Code]] &amp; "-"&amp;tbl_Assessment[[#This Row],[admin4Pcode]]&amp;"-" &amp; TEXT(COUNTIF(INDEX(tbl_Assessment[Ben Code],1):tbl_Assessment[[#This Row],[Ben Code]], tbl_Assessment[[#This Row],[Ben Code]]), "00")</f>
        <v>--00</v>
      </c>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49"/>
      <c r="AU375" s="41"/>
      <c r="AV375" s="37"/>
      <c r="AW375" s="37"/>
      <c r="AX375" s="37"/>
      <c r="AY375" s="37"/>
      <c r="AZ375" s="37"/>
      <c r="BA375" s="37"/>
      <c r="BB375" s="41"/>
      <c r="BC375" s="37"/>
      <c r="BD375" s="37"/>
      <c r="BE375" s="37"/>
      <c r="BF375" s="41"/>
      <c r="BG375" s="37"/>
      <c r="BH375" s="37"/>
      <c r="BI375" s="37"/>
      <c r="BJ375" s="41"/>
    </row>
    <row r="376" spans="2:62" ht="25.15" customHeight="1" x14ac:dyDescent="0.25">
      <c r="B376" s="49">
        <v>371</v>
      </c>
      <c r="C376" s="37"/>
      <c r="D376" s="87" t="str">
        <f>IF(tbl_Assessment[[#This Row],[Ben Code]]&lt;&gt;"",INDEX(tbl_Ben_Info[],MATCH(tbl_Assessment[[#This Row],[Ben Code]],tbl_Ben_Info[Ben Code],0),48),"")</f>
        <v/>
      </c>
      <c r="E376" s="116" t="str">
        <f>IF(tbl_Assessment[[#This Row],[Ben Code]]&lt;&gt;"",INDEX(tbl_Ben_Info[],MATCH(tbl_Assessment[[#This Row],[Ben Code]],tbl_Ben_Info[Ben Code],0),6),"")</f>
        <v/>
      </c>
      <c r="F376" s="113" t="str">
        <f>IF(tbl_Assessment[[#This Row],[Ben Code]]&lt;&gt;"",INDEX(tbl_Ben_Info[],MATCH(tbl_Assessment[[#This Row],[Ben Code]],tbl_Ben_Info[Ben Code],0),13),"")</f>
        <v/>
      </c>
      <c r="G376" s="49"/>
      <c r="H376" s="37"/>
      <c r="I376" s="37"/>
      <c r="J376" s="37"/>
      <c r="K376" s="37"/>
      <c r="L376" s="37"/>
      <c r="M376" s="59"/>
      <c r="N376" s="37"/>
      <c r="O376" s="37"/>
      <c r="P376" s="37"/>
      <c r="Q376" s="59"/>
      <c r="R376" s="49"/>
      <c r="S376" s="37"/>
      <c r="T376" s="37"/>
      <c r="U376" s="37"/>
      <c r="V376" s="37"/>
      <c r="W376" s="96" t="str">
        <f>tbl_Assessment[[#This Row],[Ben Code]] &amp; "-"&amp;tbl_Assessment[[#This Row],[admin4Pcode]]&amp;"-" &amp; TEXT(COUNTIF(INDEX(tbl_Assessment[Ben Code],1):tbl_Assessment[[#This Row],[Ben Code]], tbl_Assessment[[#This Row],[Ben Code]]), "00")</f>
        <v>--00</v>
      </c>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49"/>
      <c r="AU376" s="41"/>
      <c r="AV376" s="37"/>
      <c r="AW376" s="37"/>
      <c r="AX376" s="37"/>
      <c r="AY376" s="37"/>
      <c r="AZ376" s="37"/>
      <c r="BA376" s="37"/>
      <c r="BB376" s="41"/>
      <c r="BC376" s="37"/>
      <c r="BD376" s="37"/>
      <c r="BE376" s="37"/>
      <c r="BF376" s="41"/>
      <c r="BG376" s="37"/>
      <c r="BH376" s="37"/>
      <c r="BI376" s="37"/>
      <c r="BJ376" s="41"/>
    </row>
    <row r="377" spans="2:62" ht="25.15" customHeight="1" x14ac:dyDescent="0.25">
      <c r="B377" s="49">
        <v>372</v>
      </c>
      <c r="C377" s="37"/>
      <c r="D377" s="87" t="str">
        <f>IF(tbl_Assessment[[#This Row],[Ben Code]]&lt;&gt;"",INDEX(tbl_Ben_Info[],MATCH(tbl_Assessment[[#This Row],[Ben Code]],tbl_Ben_Info[Ben Code],0),48),"")</f>
        <v/>
      </c>
      <c r="E377" s="116" t="str">
        <f>IF(tbl_Assessment[[#This Row],[Ben Code]]&lt;&gt;"",INDEX(tbl_Ben_Info[],MATCH(tbl_Assessment[[#This Row],[Ben Code]],tbl_Ben_Info[Ben Code],0),6),"")</f>
        <v/>
      </c>
      <c r="F377" s="113" t="str">
        <f>IF(tbl_Assessment[[#This Row],[Ben Code]]&lt;&gt;"",INDEX(tbl_Ben_Info[],MATCH(tbl_Assessment[[#This Row],[Ben Code]],tbl_Ben_Info[Ben Code],0),13),"")</f>
        <v/>
      </c>
      <c r="G377" s="49"/>
      <c r="H377" s="37"/>
      <c r="I377" s="37"/>
      <c r="J377" s="37"/>
      <c r="K377" s="37"/>
      <c r="L377" s="37"/>
      <c r="M377" s="59"/>
      <c r="N377" s="37"/>
      <c r="O377" s="37"/>
      <c r="P377" s="37"/>
      <c r="Q377" s="59"/>
      <c r="R377" s="49"/>
      <c r="S377" s="37"/>
      <c r="T377" s="37"/>
      <c r="U377" s="37"/>
      <c r="V377" s="37"/>
      <c r="W377" s="96" t="str">
        <f>tbl_Assessment[[#This Row],[Ben Code]] &amp; "-"&amp;tbl_Assessment[[#This Row],[admin4Pcode]]&amp;"-" &amp; TEXT(COUNTIF(INDEX(tbl_Assessment[Ben Code],1):tbl_Assessment[[#This Row],[Ben Code]], tbl_Assessment[[#This Row],[Ben Code]]), "00")</f>
        <v>--00</v>
      </c>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49"/>
      <c r="AU377" s="41"/>
      <c r="AV377" s="37"/>
      <c r="AW377" s="37"/>
      <c r="AX377" s="37"/>
      <c r="AY377" s="37"/>
      <c r="AZ377" s="37"/>
      <c r="BA377" s="37"/>
      <c r="BB377" s="41"/>
      <c r="BC377" s="37"/>
      <c r="BD377" s="37"/>
      <c r="BE377" s="37"/>
      <c r="BF377" s="41"/>
      <c r="BG377" s="37"/>
      <c r="BH377" s="37"/>
      <c r="BI377" s="37"/>
      <c r="BJ377" s="41"/>
    </row>
    <row r="378" spans="2:62" ht="25.15" customHeight="1" x14ac:dyDescent="0.25">
      <c r="B378" s="49">
        <v>373</v>
      </c>
      <c r="C378" s="37"/>
      <c r="D378" s="87" t="str">
        <f>IF(tbl_Assessment[[#This Row],[Ben Code]]&lt;&gt;"",INDEX(tbl_Ben_Info[],MATCH(tbl_Assessment[[#This Row],[Ben Code]],tbl_Ben_Info[Ben Code],0),48),"")</f>
        <v/>
      </c>
      <c r="E378" s="116" t="str">
        <f>IF(tbl_Assessment[[#This Row],[Ben Code]]&lt;&gt;"",INDEX(tbl_Ben_Info[],MATCH(tbl_Assessment[[#This Row],[Ben Code]],tbl_Ben_Info[Ben Code],0),6),"")</f>
        <v/>
      </c>
      <c r="F378" s="113" t="str">
        <f>IF(tbl_Assessment[[#This Row],[Ben Code]]&lt;&gt;"",INDEX(tbl_Ben_Info[],MATCH(tbl_Assessment[[#This Row],[Ben Code]],tbl_Ben_Info[Ben Code],0),13),"")</f>
        <v/>
      </c>
      <c r="G378" s="49"/>
      <c r="H378" s="37"/>
      <c r="I378" s="37"/>
      <c r="J378" s="37"/>
      <c r="K378" s="37"/>
      <c r="L378" s="37"/>
      <c r="M378" s="59"/>
      <c r="N378" s="37"/>
      <c r="O378" s="37"/>
      <c r="P378" s="37"/>
      <c r="Q378" s="59"/>
      <c r="R378" s="49"/>
      <c r="S378" s="37"/>
      <c r="T378" s="37"/>
      <c r="U378" s="37"/>
      <c r="V378" s="37"/>
      <c r="W378" s="96" t="str">
        <f>tbl_Assessment[[#This Row],[Ben Code]] &amp; "-"&amp;tbl_Assessment[[#This Row],[admin4Pcode]]&amp;"-" &amp; TEXT(COUNTIF(INDEX(tbl_Assessment[Ben Code],1):tbl_Assessment[[#This Row],[Ben Code]], tbl_Assessment[[#This Row],[Ben Code]]), "00")</f>
        <v>--00</v>
      </c>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49"/>
      <c r="AU378" s="41"/>
      <c r="AV378" s="37"/>
      <c r="AW378" s="37"/>
      <c r="AX378" s="37"/>
      <c r="AY378" s="37"/>
      <c r="AZ378" s="37"/>
      <c r="BA378" s="37"/>
      <c r="BB378" s="41"/>
      <c r="BC378" s="37"/>
      <c r="BD378" s="37"/>
      <c r="BE378" s="37"/>
      <c r="BF378" s="41"/>
      <c r="BG378" s="37"/>
      <c r="BH378" s="37"/>
      <c r="BI378" s="37"/>
      <c r="BJ378" s="41"/>
    </row>
    <row r="379" spans="2:62" ht="25.15" customHeight="1" x14ac:dyDescent="0.25">
      <c r="B379" s="49">
        <v>374</v>
      </c>
      <c r="C379" s="37"/>
      <c r="D379" s="87" t="str">
        <f>IF(tbl_Assessment[[#This Row],[Ben Code]]&lt;&gt;"",INDEX(tbl_Ben_Info[],MATCH(tbl_Assessment[[#This Row],[Ben Code]],tbl_Ben_Info[Ben Code],0),48),"")</f>
        <v/>
      </c>
      <c r="E379" s="116" t="str">
        <f>IF(tbl_Assessment[[#This Row],[Ben Code]]&lt;&gt;"",INDEX(tbl_Ben_Info[],MATCH(tbl_Assessment[[#This Row],[Ben Code]],tbl_Ben_Info[Ben Code],0),6),"")</f>
        <v/>
      </c>
      <c r="F379" s="113" t="str">
        <f>IF(tbl_Assessment[[#This Row],[Ben Code]]&lt;&gt;"",INDEX(tbl_Ben_Info[],MATCH(tbl_Assessment[[#This Row],[Ben Code]],tbl_Ben_Info[Ben Code],0),13),"")</f>
        <v/>
      </c>
      <c r="G379" s="49"/>
      <c r="H379" s="37"/>
      <c r="I379" s="37"/>
      <c r="J379" s="37"/>
      <c r="K379" s="37"/>
      <c r="L379" s="37"/>
      <c r="M379" s="59"/>
      <c r="N379" s="37"/>
      <c r="O379" s="37"/>
      <c r="P379" s="37"/>
      <c r="Q379" s="59"/>
      <c r="R379" s="49"/>
      <c r="S379" s="37"/>
      <c r="T379" s="37"/>
      <c r="U379" s="37"/>
      <c r="V379" s="37"/>
      <c r="W379" s="96" t="str">
        <f>tbl_Assessment[[#This Row],[Ben Code]] &amp; "-"&amp;tbl_Assessment[[#This Row],[admin4Pcode]]&amp;"-" &amp; TEXT(COUNTIF(INDEX(tbl_Assessment[Ben Code],1):tbl_Assessment[[#This Row],[Ben Code]], tbl_Assessment[[#This Row],[Ben Code]]), "00")</f>
        <v>--00</v>
      </c>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49"/>
      <c r="AU379" s="41"/>
      <c r="AV379" s="37"/>
      <c r="AW379" s="37"/>
      <c r="AX379" s="37"/>
      <c r="AY379" s="37"/>
      <c r="AZ379" s="37"/>
      <c r="BA379" s="37"/>
      <c r="BB379" s="41"/>
      <c r="BC379" s="37"/>
      <c r="BD379" s="37"/>
      <c r="BE379" s="37"/>
      <c r="BF379" s="41"/>
      <c r="BG379" s="37"/>
      <c r="BH379" s="37"/>
      <c r="BI379" s="37"/>
      <c r="BJ379" s="41"/>
    </row>
    <row r="380" spans="2:62" ht="25.15" customHeight="1" x14ac:dyDescent="0.25">
      <c r="B380" s="49">
        <v>375</v>
      </c>
      <c r="C380" s="37"/>
      <c r="D380" s="87" t="str">
        <f>IF(tbl_Assessment[[#This Row],[Ben Code]]&lt;&gt;"",INDEX(tbl_Ben_Info[],MATCH(tbl_Assessment[[#This Row],[Ben Code]],tbl_Ben_Info[Ben Code],0),48),"")</f>
        <v/>
      </c>
      <c r="E380" s="116" t="str">
        <f>IF(tbl_Assessment[[#This Row],[Ben Code]]&lt;&gt;"",INDEX(tbl_Ben_Info[],MATCH(tbl_Assessment[[#This Row],[Ben Code]],tbl_Ben_Info[Ben Code],0),6),"")</f>
        <v/>
      </c>
      <c r="F380" s="113" t="str">
        <f>IF(tbl_Assessment[[#This Row],[Ben Code]]&lt;&gt;"",INDEX(tbl_Ben_Info[],MATCH(tbl_Assessment[[#This Row],[Ben Code]],tbl_Ben_Info[Ben Code],0),13),"")</f>
        <v/>
      </c>
      <c r="G380" s="49"/>
      <c r="H380" s="37"/>
      <c r="I380" s="37"/>
      <c r="J380" s="37"/>
      <c r="K380" s="37"/>
      <c r="L380" s="37"/>
      <c r="M380" s="59"/>
      <c r="N380" s="37"/>
      <c r="O380" s="37"/>
      <c r="P380" s="37"/>
      <c r="Q380" s="59"/>
      <c r="R380" s="49"/>
      <c r="S380" s="37"/>
      <c r="T380" s="37"/>
      <c r="U380" s="37"/>
      <c r="V380" s="37"/>
      <c r="W380" s="96" t="str">
        <f>tbl_Assessment[[#This Row],[Ben Code]] &amp; "-"&amp;tbl_Assessment[[#This Row],[admin4Pcode]]&amp;"-" &amp; TEXT(COUNTIF(INDEX(tbl_Assessment[Ben Code],1):tbl_Assessment[[#This Row],[Ben Code]], tbl_Assessment[[#This Row],[Ben Code]]), "00")</f>
        <v>--00</v>
      </c>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49"/>
      <c r="AU380" s="41"/>
      <c r="AV380" s="37"/>
      <c r="AW380" s="37"/>
      <c r="AX380" s="37"/>
      <c r="AY380" s="37"/>
      <c r="AZ380" s="37"/>
      <c r="BA380" s="37"/>
      <c r="BB380" s="41"/>
      <c r="BC380" s="37"/>
      <c r="BD380" s="37"/>
      <c r="BE380" s="37"/>
      <c r="BF380" s="41"/>
      <c r="BG380" s="37"/>
      <c r="BH380" s="37"/>
      <c r="BI380" s="37"/>
      <c r="BJ380" s="41"/>
    </row>
    <row r="381" spans="2:62" ht="25.15" customHeight="1" x14ac:dyDescent="0.25">
      <c r="B381" s="49">
        <v>376</v>
      </c>
      <c r="C381" s="37"/>
      <c r="D381" s="87" t="str">
        <f>IF(tbl_Assessment[[#This Row],[Ben Code]]&lt;&gt;"",INDEX(tbl_Ben_Info[],MATCH(tbl_Assessment[[#This Row],[Ben Code]],tbl_Ben_Info[Ben Code],0),48),"")</f>
        <v/>
      </c>
      <c r="E381" s="116" t="str">
        <f>IF(tbl_Assessment[[#This Row],[Ben Code]]&lt;&gt;"",INDEX(tbl_Ben_Info[],MATCH(tbl_Assessment[[#This Row],[Ben Code]],tbl_Ben_Info[Ben Code],0),6),"")</f>
        <v/>
      </c>
      <c r="F381" s="113" t="str">
        <f>IF(tbl_Assessment[[#This Row],[Ben Code]]&lt;&gt;"",INDEX(tbl_Ben_Info[],MATCH(tbl_Assessment[[#This Row],[Ben Code]],tbl_Ben_Info[Ben Code],0),13),"")</f>
        <v/>
      </c>
      <c r="G381" s="49"/>
      <c r="H381" s="37"/>
      <c r="I381" s="37"/>
      <c r="J381" s="37"/>
      <c r="K381" s="37"/>
      <c r="L381" s="37"/>
      <c r="M381" s="59"/>
      <c r="N381" s="37"/>
      <c r="O381" s="37"/>
      <c r="P381" s="37"/>
      <c r="Q381" s="59"/>
      <c r="R381" s="49"/>
      <c r="S381" s="37"/>
      <c r="T381" s="37"/>
      <c r="U381" s="37"/>
      <c r="V381" s="37"/>
      <c r="W381" s="96" t="str">
        <f>tbl_Assessment[[#This Row],[Ben Code]] &amp; "-"&amp;tbl_Assessment[[#This Row],[admin4Pcode]]&amp;"-" &amp; TEXT(COUNTIF(INDEX(tbl_Assessment[Ben Code],1):tbl_Assessment[[#This Row],[Ben Code]], tbl_Assessment[[#This Row],[Ben Code]]), "00")</f>
        <v>--00</v>
      </c>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49"/>
      <c r="AU381" s="41"/>
      <c r="AV381" s="37"/>
      <c r="AW381" s="37"/>
      <c r="AX381" s="37"/>
      <c r="AY381" s="37"/>
      <c r="AZ381" s="37"/>
      <c r="BA381" s="37"/>
      <c r="BB381" s="41"/>
      <c r="BC381" s="37"/>
      <c r="BD381" s="37"/>
      <c r="BE381" s="37"/>
      <c r="BF381" s="41"/>
      <c r="BG381" s="37"/>
      <c r="BH381" s="37"/>
      <c r="BI381" s="37"/>
      <c r="BJ381" s="41"/>
    </row>
    <row r="382" spans="2:62" ht="25.15" customHeight="1" x14ac:dyDescent="0.25">
      <c r="B382" s="49">
        <v>377</v>
      </c>
      <c r="C382" s="37"/>
      <c r="D382" s="87" t="str">
        <f>IF(tbl_Assessment[[#This Row],[Ben Code]]&lt;&gt;"",INDEX(tbl_Ben_Info[],MATCH(tbl_Assessment[[#This Row],[Ben Code]],tbl_Ben_Info[Ben Code],0),48),"")</f>
        <v/>
      </c>
      <c r="E382" s="116" t="str">
        <f>IF(tbl_Assessment[[#This Row],[Ben Code]]&lt;&gt;"",INDEX(tbl_Ben_Info[],MATCH(tbl_Assessment[[#This Row],[Ben Code]],tbl_Ben_Info[Ben Code],0),6),"")</f>
        <v/>
      </c>
      <c r="F382" s="113" t="str">
        <f>IF(tbl_Assessment[[#This Row],[Ben Code]]&lt;&gt;"",INDEX(tbl_Ben_Info[],MATCH(tbl_Assessment[[#This Row],[Ben Code]],tbl_Ben_Info[Ben Code],0),13),"")</f>
        <v/>
      </c>
      <c r="G382" s="49"/>
      <c r="H382" s="37"/>
      <c r="I382" s="37"/>
      <c r="J382" s="37"/>
      <c r="K382" s="37"/>
      <c r="L382" s="37"/>
      <c r="M382" s="59"/>
      <c r="N382" s="37"/>
      <c r="O382" s="37"/>
      <c r="P382" s="37"/>
      <c r="Q382" s="59"/>
      <c r="R382" s="49"/>
      <c r="S382" s="37"/>
      <c r="T382" s="37"/>
      <c r="U382" s="37"/>
      <c r="V382" s="37"/>
      <c r="W382" s="96" t="str">
        <f>tbl_Assessment[[#This Row],[Ben Code]] &amp; "-"&amp;tbl_Assessment[[#This Row],[admin4Pcode]]&amp;"-" &amp; TEXT(COUNTIF(INDEX(tbl_Assessment[Ben Code],1):tbl_Assessment[[#This Row],[Ben Code]], tbl_Assessment[[#This Row],[Ben Code]]), "00")</f>
        <v>--00</v>
      </c>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49"/>
      <c r="AU382" s="41"/>
      <c r="AV382" s="37"/>
      <c r="AW382" s="37"/>
      <c r="AX382" s="37"/>
      <c r="AY382" s="37"/>
      <c r="AZ382" s="37"/>
      <c r="BA382" s="37"/>
      <c r="BB382" s="41"/>
      <c r="BC382" s="37"/>
      <c r="BD382" s="37"/>
      <c r="BE382" s="37"/>
      <c r="BF382" s="41"/>
      <c r="BG382" s="37"/>
      <c r="BH382" s="37"/>
      <c r="BI382" s="37"/>
      <c r="BJ382" s="41"/>
    </row>
    <row r="383" spans="2:62" ht="25.15" customHeight="1" x14ac:dyDescent="0.25">
      <c r="B383" s="49">
        <v>378</v>
      </c>
      <c r="C383" s="37"/>
      <c r="D383" s="87" t="str">
        <f>IF(tbl_Assessment[[#This Row],[Ben Code]]&lt;&gt;"",INDEX(tbl_Ben_Info[],MATCH(tbl_Assessment[[#This Row],[Ben Code]],tbl_Ben_Info[Ben Code],0),48),"")</f>
        <v/>
      </c>
      <c r="E383" s="116" t="str">
        <f>IF(tbl_Assessment[[#This Row],[Ben Code]]&lt;&gt;"",INDEX(tbl_Ben_Info[],MATCH(tbl_Assessment[[#This Row],[Ben Code]],tbl_Ben_Info[Ben Code],0),6),"")</f>
        <v/>
      </c>
      <c r="F383" s="113" t="str">
        <f>IF(tbl_Assessment[[#This Row],[Ben Code]]&lt;&gt;"",INDEX(tbl_Ben_Info[],MATCH(tbl_Assessment[[#This Row],[Ben Code]],tbl_Ben_Info[Ben Code],0),13),"")</f>
        <v/>
      </c>
      <c r="G383" s="49"/>
      <c r="H383" s="37"/>
      <c r="I383" s="37"/>
      <c r="J383" s="37"/>
      <c r="K383" s="37"/>
      <c r="L383" s="37"/>
      <c r="M383" s="59"/>
      <c r="N383" s="37"/>
      <c r="O383" s="37"/>
      <c r="P383" s="37"/>
      <c r="Q383" s="59"/>
      <c r="R383" s="49"/>
      <c r="S383" s="37"/>
      <c r="T383" s="37"/>
      <c r="U383" s="37"/>
      <c r="V383" s="37"/>
      <c r="W383" s="96" t="str">
        <f>tbl_Assessment[[#This Row],[Ben Code]] &amp; "-"&amp;tbl_Assessment[[#This Row],[admin4Pcode]]&amp;"-" &amp; TEXT(COUNTIF(INDEX(tbl_Assessment[Ben Code],1):tbl_Assessment[[#This Row],[Ben Code]], tbl_Assessment[[#This Row],[Ben Code]]), "00")</f>
        <v>--00</v>
      </c>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49"/>
      <c r="AU383" s="41"/>
      <c r="AV383" s="37"/>
      <c r="AW383" s="37"/>
      <c r="AX383" s="37"/>
      <c r="AY383" s="37"/>
      <c r="AZ383" s="37"/>
      <c r="BA383" s="37"/>
      <c r="BB383" s="41"/>
      <c r="BC383" s="37"/>
      <c r="BD383" s="37"/>
      <c r="BE383" s="37"/>
      <c r="BF383" s="41"/>
      <c r="BG383" s="37"/>
      <c r="BH383" s="37"/>
      <c r="BI383" s="37"/>
      <c r="BJ383" s="41"/>
    </row>
    <row r="384" spans="2:62" ht="25.15" customHeight="1" x14ac:dyDescent="0.25">
      <c r="B384" s="49">
        <v>379</v>
      </c>
      <c r="C384" s="37"/>
      <c r="D384" s="87" t="str">
        <f>IF(tbl_Assessment[[#This Row],[Ben Code]]&lt;&gt;"",INDEX(tbl_Ben_Info[],MATCH(tbl_Assessment[[#This Row],[Ben Code]],tbl_Ben_Info[Ben Code],0),48),"")</f>
        <v/>
      </c>
      <c r="E384" s="116" t="str">
        <f>IF(tbl_Assessment[[#This Row],[Ben Code]]&lt;&gt;"",INDEX(tbl_Ben_Info[],MATCH(tbl_Assessment[[#This Row],[Ben Code]],tbl_Ben_Info[Ben Code],0),6),"")</f>
        <v/>
      </c>
      <c r="F384" s="113" t="str">
        <f>IF(tbl_Assessment[[#This Row],[Ben Code]]&lt;&gt;"",INDEX(tbl_Ben_Info[],MATCH(tbl_Assessment[[#This Row],[Ben Code]],tbl_Ben_Info[Ben Code],0),13),"")</f>
        <v/>
      </c>
      <c r="G384" s="49"/>
      <c r="H384" s="37"/>
      <c r="I384" s="37"/>
      <c r="J384" s="37"/>
      <c r="K384" s="37"/>
      <c r="L384" s="37"/>
      <c r="M384" s="59"/>
      <c r="N384" s="37"/>
      <c r="O384" s="37"/>
      <c r="P384" s="37"/>
      <c r="Q384" s="59"/>
      <c r="R384" s="49"/>
      <c r="S384" s="37"/>
      <c r="T384" s="37"/>
      <c r="U384" s="37"/>
      <c r="V384" s="37"/>
      <c r="W384" s="96" t="str">
        <f>tbl_Assessment[[#This Row],[Ben Code]] &amp; "-"&amp;tbl_Assessment[[#This Row],[admin4Pcode]]&amp;"-" &amp; TEXT(COUNTIF(INDEX(tbl_Assessment[Ben Code],1):tbl_Assessment[[#This Row],[Ben Code]], tbl_Assessment[[#This Row],[Ben Code]]), "00")</f>
        <v>--00</v>
      </c>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49"/>
      <c r="AU384" s="41"/>
      <c r="AV384" s="37"/>
      <c r="AW384" s="37"/>
      <c r="AX384" s="37"/>
      <c r="AY384" s="37"/>
      <c r="AZ384" s="37"/>
      <c r="BA384" s="37"/>
      <c r="BB384" s="41"/>
      <c r="BC384" s="37"/>
      <c r="BD384" s="37"/>
      <c r="BE384" s="37"/>
      <c r="BF384" s="41"/>
      <c r="BG384" s="37"/>
      <c r="BH384" s="37"/>
      <c r="BI384" s="37"/>
      <c r="BJ384" s="41"/>
    </row>
    <row r="385" spans="2:62" ht="25.15" customHeight="1" x14ac:dyDescent="0.25">
      <c r="B385" s="49">
        <v>380</v>
      </c>
      <c r="C385" s="37"/>
      <c r="D385" s="87" t="str">
        <f>IF(tbl_Assessment[[#This Row],[Ben Code]]&lt;&gt;"",INDEX(tbl_Ben_Info[],MATCH(tbl_Assessment[[#This Row],[Ben Code]],tbl_Ben_Info[Ben Code],0),48),"")</f>
        <v/>
      </c>
      <c r="E385" s="116" t="str">
        <f>IF(tbl_Assessment[[#This Row],[Ben Code]]&lt;&gt;"",INDEX(tbl_Ben_Info[],MATCH(tbl_Assessment[[#This Row],[Ben Code]],tbl_Ben_Info[Ben Code],0),6),"")</f>
        <v/>
      </c>
      <c r="F385" s="113" t="str">
        <f>IF(tbl_Assessment[[#This Row],[Ben Code]]&lt;&gt;"",INDEX(tbl_Ben_Info[],MATCH(tbl_Assessment[[#This Row],[Ben Code]],tbl_Ben_Info[Ben Code],0),13),"")</f>
        <v/>
      </c>
      <c r="G385" s="49"/>
      <c r="H385" s="37"/>
      <c r="I385" s="37"/>
      <c r="J385" s="37"/>
      <c r="K385" s="37"/>
      <c r="L385" s="37"/>
      <c r="M385" s="59"/>
      <c r="N385" s="37"/>
      <c r="O385" s="37"/>
      <c r="P385" s="37"/>
      <c r="Q385" s="59"/>
      <c r="R385" s="49"/>
      <c r="S385" s="37"/>
      <c r="T385" s="37"/>
      <c r="U385" s="37"/>
      <c r="V385" s="37"/>
      <c r="W385" s="96" t="str">
        <f>tbl_Assessment[[#This Row],[Ben Code]] &amp; "-"&amp;tbl_Assessment[[#This Row],[admin4Pcode]]&amp;"-" &amp; TEXT(COUNTIF(INDEX(tbl_Assessment[Ben Code],1):tbl_Assessment[[#This Row],[Ben Code]], tbl_Assessment[[#This Row],[Ben Code]]), "00")</f>
        <v>--00</v>
      </c>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49"/>
      <c r="AU385" s="41"/>
      <c r="AV385" s="37"/>
      <c r="AW385" s="37"/>
      <c r="AX385" s="37"/>
      <c r="AY385" s="37"/>
      <c r="AZ385" s="37"/>
      <c r="BA385" s="37"/>
      <c r="BB385" s="41"/>
      <c r="BC385" s="37"/>
      <c r="BD385" s="37"/>
      <c r="BE385" s="37"/>
      <c r="BF385" s="41"/>
      <c r="BG385" s="37"/>
      <c r="BH385" s="37"/>
      <c r="BI385" s="37"/>
      <c r="BJ385" s="41"/>
    </row>
    <row r="386" spans="2:62" ht="25.15" customHeight="1" x14ac:dyDescent="0.25">
      <c r="B386" s="49">
        <v>381</v>
      </c>
      <c r="C386" s="37"/>
      <c r="D386" s="87" t="str">
        <f>IF(tbl_Assessment[[#This Row],[Ben Code]]&lt;&gt;"",INDEX(tbl_Ben_Info[],MATCH(tbl_Assessment[[#This Row],[Ben Code]],tbl_Ben_Info[Ben Code],0),48),"")</f>
        <v/>
      </c>
      <c r="E386" s="116" t="str">
        <f>IF(tbl_Assessment[[#This Row],[Ben Code]]&lt;&gt;"",INDEX(tbl_Ben_Info[],MATCH(tbl_Assessment[[#This Row],[Ben Code]],tbl_Ben_Info[Ben Code],0),6),"")</f>
        <v/>
      </c>
      <c r="F386" s="113" t="str">
        <f>IF(tbl_Assessment[[#This Row],[Ben Code]]&lt;&gt;"",INDEX(tbl_Ben_Info[],MATCH(tbl_Assessment[[#This Row],[Ben Code]],tbl_Ben_Info[Ben Code],0),13),"")</f>
        <v/>
      </c>
      <c r="G386" s="49"/>
      <c r="H386" s="37"/>
      <c r="I386" s="37"/>
      <c r="J386" s="37"/>
      <c r="K386" s="37"/>
      <c r="L386" s="37"/>
      <c r="M386" s="59"/>
      <c r="N386" s="37"/>
      <c r="O386" s="37"/>
      <c r="P386" s="37"/>
      <c r="Q386" s="59"/>
      <c r="R386" s="49"/>
      <c r="S386" s="37"/>
      <c r="T386" s="37"/>
      <c r="U386" s="37"/>
      <c r="V386" s="37"/>
      <c r="W386" s="96" t="str">
        <f>tbl_Assessment[[#This Row],[Ben Code]] &amp; "-"&amp;tbl_Assessment[[#This Row],[admin4Pcode]]&amp;"-" &amp; TEXT(COUNTIF(INDEX(tbl_Assessment[Ben Code],1):tbl_Assessment[[#This Row],[Ben Code]], tbl_Assessment[[#This Row],[Ben Code]]), "00")</f>
        <v>--00</v>
      </c>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49"/>
      <c r="AU386" s="41"/>
      <c r="AV386" s="37"/>
      <c r="AW386" s="37"/>
      <c r="AX386" s="37"/>
      <c r="AY386" s="37"/>
      <c r="AZ386" s="37"/>
      <c r="BA386" s="37"/>
      <c r="BB386" s="41"/>
      <c r="BC386" s="37"/>
      <c r="BD386" s="37"/>
      <c r="BE386" s="37"/>
      <c r="BF386" s="41"/>
      <c r="BG386" s="37"/>
      <c r="BH386" s="37"/>
      <c r="BI386" s="37"/>
      <c r="BJ386" s="41"/>
    </row>
    <row r="387" spans="2:62" ht="25.15" customHeight="1" x14ac:dyDescent="0.25">
      <c r="B387" s="49">
        <v>382</v>
      </c>
      <c r="C387" s="37"/>
      <c r="D387" s="87" t="str">
        <f>IF(tbl_Assessment[[#This Row],[Ben Code]]&lt;&gt;"",INDEX(tbl_Ben_Info[],MATCH(tbl_Assessment[[#This Row],[Ben Code]],tbl_Ben_Info[Ben Code],0),48),"")</f>
        <v/>
      </c>
      <c r="E387" s="116" t="str">
        <f>IF(tbl_Assessment[[#This Row],[Ben Code]]&lt;&gt;"",INDEX(tbl_Ben_Info[],MATCH(tbl_Assessment[[#This Row],[Ben Code]],tbl_Ben_Info[Ben Code],0),6),"")</f>
        <v/>
      </c>
      <c r="F387" s="113" t="str">
        <f>IF(tbl_Assessment[[#This Row],[Ben Code]]&lt;&gt;"",INDEX(tbl_Ben_Info[],MATCH(tbl_Assessment[[#This Row],[Ben Code]],tbl_Ben_Info[Ben Code],0),13),"")</f>
        <v/>
      </c>
      <c r="G387" s="49"/>
      <c r="H387" s="37"/>
      <c r="I387" s="37"/>
      <c r="J387" s="37"/>
      <c r="K387" s="37"/>
      <c r="L387" s="37"/>
      <c r="M387" s="59"/>
      <c r="N387" s="37"/>
      <c r="O387" s="37"/>
      <c r="P387" s="37"/>
      <c r="Q387" s="59"/>
      <c r="R387" s="49"/>
      <c r="S387" s="37"/>
      <c r="T387" s="37"/>
      <c r="U387" s="37"/>
      <c r="V387" s="37"/>
      <c r="W387" s="96" t="str">
        <f>tbl_Assessment[[#This Row],[Ben Code]] &amp; "-"&amp;tbl_Assessment[[#This Row],[admin4Pcode]]&amp;"-" &amp; TEXT(COUNTIF(INDEX(tbl_Assessment[Ben Code],1):tbl_Assessment[[#This Row],[Ben Code]], tbl_Assessment[[#This Row],[Ben Code]]), "00")</f>
        <v>--00</v>
      </c>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49"/>
      <c r="AU387" s="41"/>
      <c r="AV387" s="37"/>
      <c r="AW387" s="37"/>
      <c r="AX387" s="37"/>
      <c r="AY387" s="37"/>
      <c r="AZ387" s="37"/>
      <c r="BA387" s="37"/>
      <c r="BB387" s="41"/>
      <c r="BC387" s="37"/>
      <c r="BD387" s="37"/>
      <c r="BE387" s="37"/>
      <c r="BF387" s="41"/>
      <c r="BG387" s="37"/>
      <c r="BH387" s="37"/>
      <c r="BI387" s="37"/>
      <c r="BJ387" s="41"/>
    </row>
    <row r="388" spans="2:62" ht="25.15" customHeight="1" x14ac:dyDescent="0.25">
      <c r="B388" s="49">
        <v>383</v>
      </c>
      <c r="C388" s="37"/>
      <c r="D388" s="87" t="str">
        <f>IF(tbl_Assessment[[#This Row],[Ben Code]]&lt;&gt;"",INDEX(tbl_Ben_Info[],MATCH(tbl_Assessment[[#This Row],[Ben Code]],tbl_Ben_Info[Ben Code],0),48),"")</f>
        <v/>
      </c>
      <c r="E388" s="116" t="str">
        <f>IF(tbl_Assessment[[#This Row],[Ben Code]]&lt;&gt;"",INDEX(tbl_Ben_Info[],MATCH(tbl_Assessment[[#This Row],[Ben Code]],tbl_Ben_Info[Ben Code],0),6),"")</f>
        <v/>
      </c>
      <c r="F388" s="113" t="str">
        <f>IF(tbl_Assessment[[#This Row],[Ben Code]]&lt;&gt;"",INDEX(tbl_Ben_Info[],MATCH(tbl_Assessment[[#This Row],[Ben Code]],tbl_Ben_Info[Ben Code],0),13),"")</f>
        <v/>
      </c>
      <c r="G388" s="49"/>
      <c r="H388" s="37"/>
      <c r="I388" s="37"/>
      <c r="J388" s="37"/>
      <c r="K388" s="37"/>
      <c r="L388" s="37"/>
      <c r="M388" s="59"/>
      <c r="N388" s="37"/>
      <c r="O388" s="37"/>
      <c r="P388" s="37"/>
      <c r="Q388" s="59"/>
      <c r="R388" s="49"/>
      <c r="S388" s="37"/>
      <c r="T388" s="37"/>
      <c r="U388" s="37"/>
      <c r="V388" s="37"/>
      <c r="W388" s="96" t="str">
        <f>tbl_Assessment[[#This Row],[Ben Code]] &amp; "-"&amp;tbl_Assessment[[#This Row],[admin4Pcode]]&amp;"-" &amp; TEXT(COUNTIF(INDEX(tbl_Assessment[Ben Code],1):tbl_Assessment[[#This Row],[Ben Code]], tbl_Assessment[[#This Row],[Ben Code]]), "00")</f>
        <v>--00</v>
      </c>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49"/>
      <c r="AU388" s="41"/>
      <c r="AV388" s="37"/>
      <c r="AW388" s="37"/>
      <c r="AX388" s="37"/>
      <c r="AY388" s="37"/>
      <c r="AZ388" s="37"/>
      <c r="BA388" s="37"/>
      <c r="BB388" s="41"/>
      <c r="BC388" s="37"/>
      <c r="BD388" s="37"/>
      <c r="BE388" s="37"/>
      <c r="BF388" s="41"/>
      <c r="BG388" s="37"/>
      <c r="BH388" s="37"/>
      <c r="BI388" s="37"/>
      <c r="BJ388" s="41"/>
    </row>
    <row r="389" spans="2:62" ht="25.15" customHeight="1" x14ac:dyDescent="0.25">
      <c r="B389" s="49">
        <v>384</v>
      </c>
      <c r="C389" s="37"/>
      <c r="D389" s="87" t="str">
        <f>IF(tbl_Assessment[[#This Row],[Ben Code]]&lt;&gt;"",INDEX(tbl_Ben_Info[],MATCH(tbl_Assessment[[#This Row],[Ben Code]],tbl_Ben_Info[Ben Code],0),48),"")</f>
        <v/>
      </c>
      <c r="E389" s="116" t="str">
        <f>IF(tbl_Assessment[[#This Row],[Ben Code]]&lt;&gt;"",INDEX(tbl_Ben_Info[],MATCH(tbl_Assessment[[#This Row],[Ben Code]],tbl_Ben_Info[Ben Code],0),6),"")</f>
        <v/>
      </c>
      <c r="F389" s="113" t="str">
        <f>IF(tbl_Assessment[[#This Row],[Ben Code]]&lt;&gt;"",INDEX(tbl_Ben_Info[],MATCH(tbl_Assessment[[#This Row],[Ben Code]],tbl_Ben_Info[Ben Code],0),13),"")</f>
        <v/>
      </c>
      <c r="G389" s="49"/>
      <c r="H389" s="37"/>
      <c r="I389" s="37"/>
      <c r="J389" s="37"/>
      <c r="K389" s="37"/>
      <c r="L389" s="37"/>
      <c r="M389" s="59"/>
      <c r="N389" s="37"/>
      <c r="O389" s="37"/>
      <c r="P389" s="37"/>
      <c r="Q389" s="59"/>
      <c r="R389" s="49"/>
      <c r="S389" s="37"/>
      <c r="T389" s="37"/>
      <c r="U389" s="37"/>
      <c r="V389" s="37"/>
      <c r="W389" s="96" t="str">
        <f>tbl_Assessment[[#This Row],[Ben Code]] &amp; "-"&amp;tbl_Assessment[[#This Row],[admin4Pcode]]&amp;"-" &amp; TEXT(COUNTIF(INDEX(tbl_Assessment[Ben Code],1):tbl_Assessment[[#This Row],[Ben Code]], tbl_Assessment[[#This Row],[Ben Code]]), "00")</f>
        <v>--00</v>
      </c>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49"/>
      <c r="AU389" s="41"/>
      <c r="AV389" s="37"/>
      <c r="AW389" s="37"/>
      <c r="AX389" s="37"/>
      <c r="AY389" s="37"/>
      <c r="AZ389" s="37"/>
      <c r="BA389" s="37"/>
      <c r="BB389" s="41"/>
      <c r="BC389" s="37"/>
      <c r="BD389" s="37"/>
      <c r="BE389" s="37"/>
      <c r="BF389" s="41"/>
      <c r="BG389" s="37"/>
      <c r="BH389" s="37"/>
      <c r="BI389" s="37"/>
      <c r="BJ389" s="41"/>
    </row>
    <row r="390" spans="2:62" ht="25.15" customHeight="1" x14ac:dyDescent="0.25">
      <c r="B390" s="49">
        <v>385</v>
      </c>
      <c r="C390" s="37"/>
      <c r="D390" s="87" t="str">
        <f>IF(tbl_Assessment[[#This Row],[Ben Code]]&lt;&gt;"",INDEX(tbl_Ben_Info[],MATCH(tbl_Assessment[[#This Row],[Ben Code]],tbl_Ben_Info[Ben Code],0),48),"")</f>
        <v/>
      </c>
      <c r="E390" s="116" t="str">
        <f>IF(tbl_Assessment[[#This Row],[Ben Code]]&lt;&gt;"",INDEX(tbl_Ben_Info[],MATCH(tbl_Assessment[[#This Row],[Ben Code]],tbl_Ben_Info[Ben Code],0),6),"")</f>
        <v/>
      </c>
      <c r="F390" s="113" t="str">
        <f>IF(tbl_Assessment[[#This Row],[Ben Code]]&lt;&gt;"",INDEX(tbl_Ben_Info[],MATCH(tbl_Assessment[[#This Row],[Ben Code]],tbl_Ben_Info[Ben Code],0),13),"")</f>
        <v/>
      </c>
      <c r="G390" s="49"/>
      <c r="H390" s="37"/>
      <c r="I390" s="37"/>
      <c r="J390" s="37"/>
      <c r="K390" s="37"/>
      <c r="L390" s="37"/>
      <c r="M390" s="59"/>
      <c r="N390" s="37"/>
      <c r="O390" s="37"/>
      <c r="P390" s="37"/>
      <c r="Q390" s="59"/>
      <c r="R390" s="49"/>
      <c r="S390" s="37"/>
      <c r="T390" s="37"/>
      <c r="U390" s="37"/>
      <c r="V390" s="37"/>
      <c r="W390" s="96" t="str">
        <f>tbl_Assessment[[#This Row],[Ben Code]] &amp; "-"&amp;tbl_Assessment[[#This Row],[admin4Pcode]]&amp;"-" &amp; TEXT(COUNTIF(INDEX(tbl_Assessment[Ben Code],1):tbl_Assessment[[#This Row],[Ben Code]], tbl_Assessment[[#This Row],[Ben Code]]), "00")</f>
        <v>--00</v>
      </c>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49"/>
      <c r="AU390" s="41"/>
      <c r="AV390" s="37"/>
      <c r="AW390" s="37"/>
      <c r="AX390" s="37"/>
      <c r="AY390" s="37"/>
      <c r="AZ390" s="37"/>
      <c r="BA390" s="37"/>
      <c r="BB390" s="41"/>
      <c r="BC390" s="37"/>
      <c r="BD390" s="37"/>
      <c r="BE390" s="37"/>
      <c r="BF390" s="41"/>
      <c r="BG390" s="37"/>
      <c r="BH390" s="37"/>
      <c r="BI390" s="37"/>
      <c r="BJ390" s="41"/>
    </row>
    <row r="391" spans="2:62" ht="25.15" customHeight="1" x14ac:dyDescent="0.25">
      <c r="B391" s="49">
        <v>386</v>
      </c>
      <c r="C391" s="37"/>
      <c r="D391" s="87" t="str">
        <f>IF(tbl_Assessment[[#This Row],[Ben Code]]&lt;&gt;"",INDEX(tbl_Ben_Info[],MATCH(tbl_Assessment[[#This Row],[Ben Code]],tbl_Ben_Info[Ben Code],0),48),"")</f>
        <v/>
      </c>
      <c r="E391" s="116" t="str">
        <f>IF(tbl_Assessment[[#This Row],[Ben Code]]&lt;&gt;"",INDEX(tbl_Ben_Info[],MATCH(tbl_Assessment[[#This Row],[Ben Code]],tbl_Ben_Info[Ben Code],0),6),"")</f>
        <v/>
      </c>
      <c r="F391" s="113" t="str">
        <f>IF(tbl_Assessment[[#This Row],[Ben Code]]&lt;&gt;"",INDEX(tbl_Ben_Info[],MATCH(tbl_Assessment[[#This Row],[Ben Code]],tbl_Ben_Info[Ben Code],0),13),"")</f>
        <v/>
      </c>
      <c r="G391" s="49"/>
      <c r="H391" s="37"/>
      <c r="I391" s="37"/>
      <c r="J391" s="37"/>
      <c r="K391" s="37"/>
      <c r="L391" s="37"/>
      <c r="M391" s="59"/>
      <c r="N391" s="37"/>
      <c r="O391" s="37"/>
      <c r="P391" s="37"/>
      <c r="Q391" s="59"/>
      <c r="R391" s="49"/>
      <c r="S391" s="37"/>
      <c r="T391" s="37"/>
      <c r="U391" s="37"/>
      <c r="V391" s="37"/>
      <c r="W391" s="96" t="str">
        <f>tbl_Assessment[[#This Row],[Ben Code]] &amp; "-"&amp;tbl_Assessment[[#This Row],[admin4Pcode]]&amp;"-" &amp; TEXT(COUNTIF(INDEX(tbl_Assessment[Ben Code],1):tbl_Assessment[[#This Row],[Ben Code]], tbl_Assessment[[#This Row],[Ben Code]]), "00")</f>
        <v>--00</v>
      </c>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49"/>
      <c r="AU391" s="41"/>
      <c r="AV391" s="37"/>
      <c r="AW391" s="37"/>
      <c r="AX391" s="37"/>
      <c r="AY391" s="37"/>
      <c r="AZ391" s="37"/>
      <c r="BA391" s="37"/>
      <c r="BB391" s="41"/>
      <c r="BC391" s="37"/>
      <c r="BD391" s="37"/>
      <c r="BE391" s="37"/>
      <c r="BF391" s="41"/>
      <c r="BG391" s="37"/>
      <c r="BH391" s="37"/>
      <c r="BI391" s="37"/>
      <c r="BJ391" s="41"/>
    </row>
    <row r="392" spans="2:62" ht="25.15" customHeight="1" x14ac:dyDescent="0.25">
      <c r="B392" s="49">
        <v>387</v>
      </c>
      <c r="C392" s="37"/>
      <c r="D392" s="87" t="str">
        <f>IF(tbl_Assessment[[#This Row],[Ben Code]]&lt;&gt;"",INDEX(tbl_Ben_Info[],MATCH(tbl_Assessment[[#This Row],[Ben Code]],tbl_Ben_Info[Ben Code],0),48),"")</f>
        <v/>
      </c>
      <c r="E392" s="116" t="str">
        <f>IF(tbl_Assessment[[#This Row],[Ben Code]]&lt;&gt;"",INDEX(tbl_Ben_Info[],MATCH(tbl_Assessment[[#This Row],[Ben Code]],tbl_Ben_Info[Ben Code],0),6),"")</f>
        <v/>
      </c>
      <c r="F392" s="113" t="str">
        <f>IF(tbl_Assessment[[#This Row],[Ben Code]]&lt;&gt;"",INDEX(tbl_Ben_Info[],MATCH(tbl_Assessment[[#This Row],[Ben Code]],tbl_Ben_Info[Ben Code],0),13),"")</f>
        <v/>
      </c>
      <c r="G392" s="49"/>
      <c r="H392" s="37"/>
      <c r="I392" s="37"/>
      <c r="J392" s="37"/>
      <c r="K392" s="37"/>
      <c r="L392" s="37"/>
      <c r="M392" s="59"/>
      <c r="N392" s="37"/>
      <c r="O392" s="37"/>
      <c r="P392" s="37"/>
      <c r="Q392" s="59"/>
      <c r="R392" s="49"/>
      <c r="S392" s="37"/>
      <c r="T392" s="37"/>
      <c r="U392" s="37"/>
      <c r="V392" s="37"/>
      <c r="W392" s="96" t="str">
        <f>tbl_Assessment[[#This Row],[Ben Code]] &amp; "-"&amp;tbl_Assessment[[#This Row],[admin4Pcode]]&amp;"-" &amp; TEXT(COUNTIF(INDEX(tbl_Assessment[Ben Code],1):tbl_Assessment[[#This Row],[Ben Code]], tbl_Assessment[[#This Row],[Ben Code]]), "00")</f>
        <v>--00</v>
      </c>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49"/>
      <c r="AU392" s="41"/>
      <c r="AV392" s="37"/>
      <c r="AW392" s="37"/>
      <c r="AX392" s="37"/>
      <c r="AY392" s="37"/>
      <c r="AZ392" s="37"/>
      <c r="BA392" s="37"/>
      <c r="BB392" s="41"/>
      <c r="BC392" s="37"/>
      <c r="BD392" s="37"/>
      <c r="BE392" s="37"/>
      <c r="BF392" s="41"/>
      <c r="BG392" s="37"/>
      <c r="BH392" s="37"/>
      <c r="BI392" s="37"/>
      <c r="BJ392" s="41"/>
    </row>
    <row r="393" spans="2:62" ht="25.15" customHeight="1" x14ac:dyDescent="0.25">
      <c r="B393" s="49">
        <v>388</v>
      </c>
      <c r="C393" s="37"/>
      <c r="D393" s="87" t="str">
        <f>IF(tbl_Assessment[[#This Row],[Ben Code]]&lt;&gt;"",INDEX(tbl_Ben_Info[],MATCH(tbl_Assessment[[#This Row],[Ben Code]],tbl_Ben_Info[Ben Code],0),48),"")</f>
        <v/>
      </c>
      <c r="E393" s="116" t="str">
        <f>IF(tbl_Assessment[[#This Row],[Ben Code]]&lt;&gt;"",INDEX(tbl_Ben_Info[],MATCH(tbl_Assessment[[#This Row],[Ben Code]],tbl_Ben_Info[Ben Code],0),6),"")</f>
        <v/>
      </c>
      <c r="F393" s="113" t="str">
        <f>IF(tbl_Assessment[[#This Row],[Ben Code]]&lt;&gt;"",INDEX(tbl_Ben_Info[],MATCH(tbl_Assessment[[#This Row],[Ben Code]],tbl_Ben_Info[Ben Code],0),13),"")</f>
        <v/>
      </c>
      <c r="G393" s="49"/>
      <c r="H393" s="37"/>
      <c r="I393" s="37"/>
      <c r="J393" s="37"/>
      <c r="K393" s="37"/>
      <c r="L393" s="37"/>
      <c r="M393" s="59"/>
      <c r="N393" s="37"/>
      <c r="O393" s="37"/>
      <c r="P393" s="37"/>
      <c r="Q393" s="59"/>
      <c r="R393" s="49"/>
      <c r="S393" s="37"/>
      <c r="T393" s="37"/>
      <c r="U393" s="37"/>
      <c r="V393" s="37"/>
      <c r="W393" s="96" t="str">
        <f>tbl_Assessment[[#This Row],[Ben Code]] &amp; "-"&amp;tbl_Assessment[[#This Row],[admin4Pcode]]&amp;"-" &amp; TEXT(COUNTIF(INDEX(tbl_Assessment[Ben Code],1):tbl_Assessment[[#This Row],[Ben Code]], tbl_Assessment[[#This Row],[Ben Code]]), "00")</f>
        <v>--00</v>
      </c>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49"/>
      <c r="AU393" s="41"/>
      <c r="AV393" s="37"/>
      <c r="AW393" s="37"/>
      <c r="AX393" s="37"/>
      <c r="AY393" s="37"/>
      <c r="AZ393" s="37"/>
      <c r="BA393" s="37"/>
      <c r="BB393" s="41"/>
      <c r="BC393" s="37"/>
      <c r="BD393" s="37"/>
      <c r="BE393" s="37"/>
      <c r="BF393" s="41"/>
      <c r="BG393" s="37"/>
      <c r="BH393" s="37"/>
      <c r="BI393" s="37"/>
      <c r="BJ393" s="41"/>
    </row>
    <row r="394" spans="2:62" ht="25.15" customHeight="1" x14ac:dyDescent="0.25">
      <c r="B394" s="49">
        <v>389</v>
      </c>
      <c r="C394" s="37"/>
      <c r="D394" s="87" t="str">
        <f>IF(tbl_Assessment[[#This Row],[Ben Code]]&lt;&gt;"",INDEX(tbl_Ben_Info[],MATCH(tbl_Assessment[[#This Row],[Ben Code]],tbl_Ben_Info[Ben Code],0),48),"")</f>
        <v/>
      </c>
      <c r="E394" s="116" t="str">
        <f>IF(tbl_Assessment[[#This Row],[Ben Code]]&lt;&gt;"",INDEX(tbl_Ben_Info[],MATCH(tbl_Assessment[[#This Row],[Ben Code]],tbl_Ben_Info[Ben Code],0),6),"")</f>
        <v/>
      </c>
      <c r="F394" s="113" t="str">
        <f>IF(tbl_Assessment[[#This Row],[Ben Code]]&lt;&gt;"",INDEX(tbl_Ben_Info[],MATCH(tbl_Assessment[[#This Row],[Ben Code]],tbl_Ben_Info[Ben Code],0),13),"")</f>
        <v/>
      </c>
      <c r="G394" s="49"/>
      <c r="H394" s="37"/>
      <c r="I394" s="37"/>
      <c r="J394" s="37"/>
      <c r="K394" s="37"/>
      <c r="L394" s="37"/>
      <c r="M394" s="59"/>
      <c r="N394" s="37"/>
      <c r="O394" s="37"/>
      <c r="P394" s="37"/>
      <c r="Q394" s="59"/>
      <c r="R394" s="49"/>
      <c r="S394" s="37"/>
      <c r="T394" s="37"/>
      <c r="U394" s="37"/>
      <c r="V394" s="37"/>
      <c r="W394" s="96" t="str">
        <f>tbl_Assessment[[#This Row],[Ben Code]] &amp; "-"&amp;tbl_Assessment[[#This Row],[admin4Pcode]]&amp;"-" &amp; TEXT(COUNTIF(INDEX(tbl_Assessment[Ben Code],1):tbl_Assessment[[#This Row],[Ben Code]], tbl_Assessment[[#This Row],[Ben Code]]), "00")</f>
        <v>--00</v>
      </c>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49"/>
      <c r="AU394" s="41"/>
      <c r="AV394" s="37"/>
      <c r="AW394" s="37"/>
      <c r="AX394" s="37"/>
      <c r="AY394" s="37"/>
      <c r="AZ394" s="37"/>
      <c r="BA394" s="37"/>
      <c r="BB394" s="41"/>
      <c r="BC394" s="37"/>
      <c r="BD394" s="37"/>
      <c r="BE394" s="37"/>
      <c r="BF394" s="41"/>
      <c r="BG394" s="37"/>
      <c r="BH394" s="37"/>
      <c r="BI394" s="37"/>
      <c r="BJ394" s="41"/>
    </row>
    <row r="395" spans="2:62" ht="25.15" customHeight="1" x14ac:dyDescent="0.25">
      <c r="B395" s="49">
        <v>390</v>
      </c>
      <c r="C395" s="37"/>
      <c r="D395" s="87" t="str">
        <f>IF(tbl_Assessment[[#This Row],[Ben Code]]&lt;&gt;"",INDEX(tbl_Ben_Info[],MATCH(tbl_Assessment[[#This Row],[Ben Code]],tbl_Ben_Info[Ben Code],0),48),"")</f>
        <v/>
      </c>
      <c r="E395" s="116" t="str">
        <f>IF(tbl_Assessment[[#This Row],[Ben Code]]&lt;&gt;"",INDEX(tbl_Ben_Info[],MATCH(tbl_Assessment[[#This Row],[Ben Code]],tbl_Ben_Info[Ben Code],0),6),"")</f>
        <v/>
      </c>
      <c r="F395" s="113" t="str">
        <f>IF(tbl_Assessment[[#This Row],[Ben Code]]&lt;&gt;"",INDEX(tbl_Ben_Info[],MATCH(tbl_Assessment[[#This Row],[Ben Code]],tbl_Ben_Info[Ben Code],0),13),"")</f>
        <v/>
      </c>
      <c r="G395" s="49"/>
      <c r="H395" s="37"/>
      <c r="I395" s="37"/>
      <c r="J395" s="37"/>
      <c r="K395" s="37"/>
      <c r="L395" s="37"/>
      <c r="M395" s="59"/>
      <c r="N395" s="37"/>
      <c r="O395" s="37"/>
      <c r="P395" s="37"/>
      <c r="Q395" s="59"/>
      <c r="R395" s="49"/>
      <c r="S395" s="37"/>
      <c r="T395" s="37"/>
      <c r="U395" s="37"/>
      <c r="V395" s="37"/>
      <c r="W395" s="96" t="str">
        <f>tbl_Assessment[[#This Row],[Ben Code]] &amp; "-"&amp;tbl_Assessment[[#This Row],[admin4Pcode]]&amp;"-" &amp; TEXT(COUNTIF(INDEX(tbl_Assessment[Ben Code],1):tbl_Assessment[[#This Row],[Ben Code]], tbl_Assessment[[#This Row],[Ben Code]]), "00")</f>
        <v>--00</v>
      </c>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49"/>
      <c r="AU395" s="41"/>
      <c r="AV395" s="37"/>
      <c r="AW395" s="37"/>
      <c r="AX395" s="37"/>
      <c r="AY395" s="37"/>
      <c r="AZ395" s="37"/>
      <c r="BA395" s="37"/>
      <c r="BB395" s="41"/>
      <c r="BC395" s="37"/>
      <c r="BD395" s="37"/>
      <c r="BE395" s="37"/>
      <c r="BF395" s="41"/>
      <c r="BG395" s="37"/>
      <c r="BH395" s="37"/>
      <c r="BI395" s="37"/>
      <c r="BJ395" s="41"/>
    </row>
    <row r="396" spans="2:62" ht="25.15" customHeight="1" x14ac:dyDescent="0.25">
      <c r="B396" s="49">
        <v>391</v>
      </c>
      <c r="C396" s="37"/>
      <c r="D396" s="87" t="str">
        <f>IF(tbl_Assessment[[#This Row],[Ben Code]]&lt;&gt;"",INDEX(tbl_Ben_Info[],MATCH(tbl_Assessment[[#This Row],[Ben Code]],tbl_Ben_Info[Ben Code],0),48),"")</f>
        <v/>
      </c>
      <c r="E396" s="116" t="str">
        <f>IF(tbl_Assessment[[#This Row],[Ben Code]]&lt;&gt;"",INDEX(tbl_Ben_Info[],MATCH(tbl_Assessment[[#This Row],[Ben Code]],tbl_Ben_Info[Ben Code],0),6),"")</f>
        <v/>
      </c>
      <c r="F396" s="113" t="str">
        <f>IF(tbl_Assessment[[#This Row],[Ben Code]]&lt;&gt;"",INDEX(tbl_Ben_Info[],MATCH(tbl_Assessment[[#This Row],[Ben Code]],tbl_Ben_Info[Ben Code],0),13),"")</f>
        <v/>
      </c>
      <c r="G396" s="49"/>
      <c r="H396" s="37"/>
      <c r="I396" s="37"/>
      <c r="J396" s="37"/>
      <c r="K396" s="37"/>
      <c r="L396" s="37"/>
      <c r="M396" s="59"/>
      <c r="N396" s="37"/>
      <c r="O396" s="37"/>
      <c r="P396" s="37"/>
      <c r="Q396" s="59"/>
      <c r="R396" s="49"/>
      <c r="S396" s="37"/>
      <c r="T396" s="37"/>
      <c r="U396" s="37"/>
      <c r="V396" s="37"/>
      <c r="W396" s="96" t="str">
        <f>tbl_Assessment[[#This Row],[Ben Code]] &amp; "-"&amp;tbl_Assessment[[#This Row],[admin4Pcode]]&amp;"-" &amp; TEXT(COUNTIF(INDEX(tbl_Assessment[Ben Code],1):tbl_Assessment[[#This Row],[Ben Code]], tbl_Assessment[[#This Row],[Ben Code]]), "00")</f>
        <v>--00</v>
      </c>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49"/>
      <c r="AU396" s="41"/>
      <c r="AV396" s="37"/>
      <c r="AW396" s="37"/>
      <c r="AX396" s="37"/>
      <c r="AY396" s="37"/>
      <c r="AZ396" s="37"/>
      <c r="BA396" s="37"/>
      <c r="BB396" s="41"/>
      <c r="BC396" s="37"/>
      <c r="BD396" s="37"/>
      <c r="BE396" s="37"/>
      <c r="BF396" s="41"/>
      <c r="BG396" s="37"/>
      <c r="BH396" s="37"/>
      <c r="BI396" s="37"/>
      <c r="BJ396" s="41"/>
    </row>
    <row r="397" spans="2:62" ht="25.15" customHeight="1" x14ac:dyDescent="0.25">
      <c r="B397" s="49">
        <v>392</v>
      </c>
      <c r="C397" s="37"/>
      <c r="D397" s="87" t="str">
        <f>IF(tbl_Assessment[[#This Row],[Ben Code]]&lt;&gt;"",INDEX(tbl_Ben_Info[],MATCH(tbl_Assessment[[#This Row],[Ben Code]],tbl_Ben_Info[Ben Code],0),48),"")</f>
        <v/>
      </c>
      <c r="E397" s="116" t="str">
        <f>IF(tbl_Assessment[[#This Row],[Ben Code]]&lt;&gt;"",INDEX(tbl_Ben_Info[],MATCH(tbl_Assessment[[#This Row],[Ben Code]],tbl_Ben_Info[Ben Code],0),6),"")</f>
        <v/>
      </c>
      <c r="F397" s="113" t="str">
        <f>IF(tbl_Assessment[[#This Row],[Ben Code]]&lt;&gt;"",INDEX(tbl_Ben_Info[],MATCH(tbl_Assessment[[#This Row],[Ben Code]],tbl_Ben_Info[Ben Code],0),13),"")</f>
        <v/>
      </c>
      <c r="G397" s="49"/>
      <c r="H397" s="37"/>
      <c r="I397" s="37"/>
      <c r="J397" s="37"/>
      <c r="K397" s="37"/>
      <c r="L397" s="37"/>
      <c r="M397" s="59"/>
      <c r="N397" s="37"/>
      <c r="O397" s="37"/>
      <c r="P397" s="37"/>
      <c r="Q397" s="59"/>
      <c r="R397" s="49"/>
      <c r="S397" s="37"/>
      <c r="T397" s="37"/>
      <c r="U397" s="37"/>
      <c r="V397" s="37"/>
      <c r="W397" s="96" t="str">
        <f>tbl_Assessment[[#This Row],[Ben Code]] &amp; "-"&amp;tbl_Assessment[[#This Row],[admin4Pcode]]&amp;"-" &amp; TEXT(COUNTIF(INDEX(tbl_Assessment[Ben Code],1):tbl_Assessment[[#This Row],[Ben Code]], tbl_Assessment[[#This Row],[Ben Code]]), "00")</f>
        <v>--00</v>
      </c>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49"/>
      <c r="AU397" s="41"/>
      <c r="AV397" s="37"/>
      <c r="AW397" s="37"/>
      <c r="AX397" s="37"/>
      <c r="AY397" s="37"/>
      <c r="AZ397" s="37"/>
      <c r="BA397" s="37"/>
      <c r="BB397" s="41"/>
      <c r="BC397" s="37"/>
      <c r="BD397" s="37"/>
      <c r="BE397" s="37"/>
      <c r="BF397" s="41"/>
      <c r="BG397" s="37"/>
      <c r="BH397" s="37"/>
      <c r="BI397" s="37"/>
      <c r="BJ397" s="41"/>
    </row>
    <row r="398" spans="2:62" ht="25.15" customHeight="1" x14ac:dyDescent="0.25">
      <c r="B398" s="49">
        <v>393</v>
      </c>
      <c r="C398" s="37"/>
      <c r="D398" s="87" t="str">
        <f>IF(tbl_Assessment[[#This Row],[Ben Code]]&lt;&gt;"",INDEX(tbl_Ben_Info[],MATCH(tbl_Assessment[[#This Row],[Ben Code]],tbl_Ben_Info[Ben Code],0),48),"")</f>
        <v/>
      </c>
      <c r="E398" s="116" t="str">
        <f>IF(tbl_Assessment[[#This Row],[Ben Code]]&lt;&gt;"",INDEX(tbl_Ben_Info[],MATCH(tbl_Assessment[[#This Row],[Ben Code]],tbl_Ben_Info[Ben Code],0),6),"")</f>
        <v/>
      </c>
      <c r="F398" s="113" t="str">
        <f>IF(tbl_Assessment[[#This Row],[Ben Code]]&lt;&gt;"",INDEX(tbl_Ben_Info[],MATCH(tbl_Assessment[[#This Row],[Ben Code]],tbl_Ben_Info[Ben Code],0),13),"")</f>
        <v/>
      </c>
      <c r="G398" s="49"/>
      <c r="H398" s="37"/>
      <c r="I398" s="37"/>
      <c r="J398" s="37"/>
      <c r="K398" s="37"/>
      <c r="L398" s="37"/>
      <c r="M398" s="59"/>
      <c r="N398" s="37"/>
      <c r="O398" s="37"/>
      <c r="P398" s="37"/>
      <c r="Q398" s="59"/>
      <c r="R398" s="49"/>
      <c r="S398" s="37"/>
      <c r="T398" s="37"/>
      <c r="U398" s="37"/>
      <c r="V398" s="37"/>
      <c r="W398" s="96" t="str">
        <f>tbl_Assessment[[#This Row],[Ben Code]] &amp; "-"&amp;tbl_Assessment[[#This Row],[admin4Pcode]]&amp;"-" &amp; TEXT(COUNTIF(INDEX(tbl_Assessment[Ben Code],1):tbl_Assessment[[#This Row],[Ben Code]], tbl_Assessment[[#This Row],[Ben Code]]), "00")</f>
        <v>--00</v>
      </c>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49"/>
      <c r="AU398" s="41"/>
      <c r="AV398" s="37"/>
      <c r="AW398" s="37"/>
      <c r="AX398" s="37"/>
      <c r="AY398" s="37"/>
      <c r="AZ398" s="37"/>
      <c r="BA398" s="37"/>
      <c r="BB398" s="41"/>
      <c r="BC398" s="37"/>
      <c r="BD398" s="37"/>
      <c r="BE398" s="37"/>
      <c r="BF398" s="41"/>
      <c r="BG398" s="37"/>
      <c r="BH398" s="37"/>
      <c r="BI398" s="37"/>
      <c r="BJ398" s="41"/>
    </row>
    <row r="399" spans="2:62" ht="25.15" customHeight="1" x14ac:dyDescent="0.25">
      <c r="B399" s="49">
        <v>394</v>
      </c>
      <c r="C399" s="37"/>
      <c r="D399" s="87" t="str">
        <f>IF(tbl_Assessment[[#This Row],[Ben Code]]&lt;&gt;"",INDEX(tbl_Ben_Info[],MATCH(tbl_Assessment[[#This Row],[Ben Code]],tbl_Ben_Info[Ben Code],0),48),"")</f>
        <v/>
      </c>
      <c r="E399" s="116" t="str">
        <f>IF(tbl_Assessment[[#This Row],[Ben Code]]&lt;&gt;"",INDEX(tbl_Ben_Info[],MATCH(tbl_Assessment[[#This Row],[Ben Code]],tbl_Ben_Info[Ben Code],0),6),"")</f>
        <v/>
      </c>
      <c r="F399" s="113" t="str">
        <f>IF(tbl_Assessment[[#This Row],[Ben Code]]&lt;&gt;"",INDEX(tbl_Ben_Info[],MATCH(tbl_Assessment[[#This Row],[Ben Code]],tbl_Ben_Info[Ben Code],0),13),"")</f>
        <v/>
      </c>
      <c r="G399" s="49"/>
      <c r="H399" s="37"/>
      <c r="I399" s="37"/>
      <c r="J399" s="37"/>
      <c r="K399" s="37"/>
      <c r="L399" s="37"/>
      <c r="M399" s="59"/>
      <c r="N399" s="37"/>
      <c r="O399" s="37"/>
      <c r="P399" s="37"/>
      <c r="Q399" s="59"/>
      <c r="R399" s="49"/>
      <c r="S399" s="37"/>
      <c r="T399" s="37"/>
      <c r="U399" s="37"/>
      <c r="V399" s="37"/>
      <c r="W399" s="96" t="str">
        <f>tbl_Assessment[[#This Row],[Ben Code]] &amp; "-"&amp;tbl_Assessment[[#This Row],[admin4Pcode]]&amp;"-" &amp; TEXT(COUNTIF(INDEX(tbl_Assessment[Ben Code],1):tbl_Assessment[[#This Row],[Ben Code]], tbl_Assessment[[#This Row],[Ben Code]]), "00")</f>
        <v>--00</v>
      </c>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49"/>
      <c r="AU399" s="41"/>
      <c r="AV399" s="37"/>
      <c r="AW399" s="37"/>
      <c r="AX399" s="37"/>
      <c r="AY399" s="37"/>
      <c r="AZ399" s="37"/>
      <c r="BA399" s="37"/>
      <c r="BB399" s="41"/>
      <c r="BC399" s="37"/>
      <c r="BD399" s="37"/>
      <c r="BE399" s="37"/>
      <c r="BF399" s="41"/>
      <c r="BG399" s="37"/>
      <c r="BH399" s="37"/>
      <c r="BI399" s="37"/>
      <c r="BJ399" s="41"/>
    </row>
    <row r="400" spans="2:62" ht="25.15" customHeight="1" x14ac:dyDescent="0.25">
      <c r="B400" s="49">
        <v>395</v>
      </c>
      <c r="C400" s="37"/>
      <c r="D400" s="87" t="str">
        <f>IF(tbl_Assessment[[#This Row],[Ben Code]]&lt;&gt;"",INDEX(tbl_Ben_Info[],MATCH(tbl_Assessment[[#This Row],[Ben Code]],tbl_Ben_Info[Ben Code],0),48),"")</f>
        <v/>
      </c>
      <c r="E400" s="116" t="str">
        <f>IF(tbl_Assessment[[#This Row],[Ben Code]]&lt;&gt;"",INDEX(tbl_Ben_Info[],MATCH(tbl_Assessment[[#This Row],[Ben Code]],tbl_Ben_Info[Ben Code],0),6),"")</f>
        <v/>
      </c>
      <c r="F400" s="113" t="str">
        <f>IF(tbl_Assessment[[#This Row],[Ben Code]]&lt;&gt;"",INDEX(tbl_Ben_Info[],MATCH(tbl_Assessment[[#This Row],[Ben Code]],tbl_Ben_Info[Ben Code],0),13),"")</f>
        <v/>
      </c>
      <c r="G400" s="49"/>
      <c r="H400" s="37"/>
      <c r="I400" s="37"/>
      <c r="J400" s="37"/>
      <c r="K400" s="37"/>
      <c r="L400" s="37"/>
      <c r="M400" s="59"/>
      <c r="N400" s="37"/>
      <c r="O400" s="37"/>
      <c r="P400" s="37"/>
      <c r="Q400" s="59"/>
      <c r="R400" s="49"/>
      <c r="S400" s="37"/>
      <c r="T400" s="37"/>
      <c r="U400" s="37"/>
      <c r="V400" s="37"/>
      <c r="W400" s="96" t="str">
        <f>tbl_Assessment[[#This Row],[Ben Code]] &amp; "-"&amp;tbl_Assessment[[#This Row],[admin4Pcode]]&amp;"-" &amp; TEXT(COUNTIF(INDEX(tbl_Assessment[Ben Code],1):tbl_Assessment[[#This Row],[Ben Code]], tbl_Assessment[[#This Row],[Ben Code]]), "00")</f>
        <v>--00</v>
      </c>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49"/>
      <c r="AU400" s="41"/>
      <c r="AV400" s="37"/>
      <c r="AW400" s="37"/>
      <c r="AX400" s="37"/>
      <c r="AY400" s="37"/>
      <c r="AZ400" s="37"/>
      <c r="BA400" s="37"/>
      <c r="BB400" s="41"/>
      <c r="BC400" s="37"/>
      <c r="BD400" s="37"/>
      <c r="BE400" s="37"/>
      <c r="BF400" s="41"/>
      <c r="BG400" s="37"/>
      <c r="BH400" s="37"/>
      <c r="BI400" s="37"/>
      <c r="BJ400" s="41"/>
    </row>
    <row r="401" spans="2:62" ht="25.15" customHeight="1" x14ac:dyDescent="0.25">
      <c r="B401" s="49">
        <v>396</v>
      </c>
      <c r="C401" s="37"/>
      <c r="D401" s="87" t="str">
        <f>IF(tbl_Assessment[[#This Row],[Ben Code]]&lt;&gt;"",INDEX(tbl_Ben_Info[],MATCH(tbl_Assessment[[#This Row],[Ben Code]],tbl_Ben_Info[Ben Code],0),48),"")</f>
        <v/>
      </c>
      <c r="E401" s="116" t="str">
        <f>IF(tbl_Assessment[[#This Row],[Ben Code]]&lt;&gt;"",INDEX(tbl_Ben_Info[],MATCH(tbl_Assessment[[#This Row],[Ben Code]],tbl_Ben_Info[Ben Code],0),6),"")</f>
        <v/>
      </c>
      <c r="F401" s="113" t="str">
        <f>IF(tbl_Assessment[[#This Row],[Ben Code]]&lt;&gt;"",INDEX(tbl_Ben_Info[],MATCH(tbl_Assessment[[#This Row],[Ben Code]],tbl_Ben_Info[Ben Code],0),13),"")</f>
        <v/>
      </c>
      <c r="G401" s="49"/>
      <c r="H401" s="37"/>
      <c r="I401" s="37"/>
      <c r="J401" s="37"/>
      <c r="K401" s="37"/>
      <c r="L401" s="37"/>
      <c r="M401" s="59"/>
      <c r="N401" s="37"/>
      <c r="O401" s="37"/>
      <c r="P401" s="37"/>
      <c r="Q401" s="59"/>
      <c r="R401" s="49"/>
      <c r="S401" s="37"/>
      <c r="T401" s="37"/>
      <c r="U401" s="37"/>
      <c r="V401" s="37"/>
      <c r="W401" s="96" t="str">
        <f>tbl_Assessment[[#This Row],[Ben Code]] &amp; "-"&amp;tbl_Assessment[[#This Row],[admin4Pcode]]&amp;"-" &amp; TEXT(COUNTIF(INDEX(tbl_Assessment[Ben Code],1):tbl_Assessment[[#This Row],[Ben Code]], tbl_Assessment[[#This Row],[Ben Code]]), "00")</f>
        <v>--00</v>
      </c>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49"/>
      <c r="AU401" s="41"/>
      <c r="AV401" s="37"/>
      <c r="AW401" s="37"/>
      <c r="AX401" s="37"/>
      <c r="AY401" s="37"/>
      <c r="AZ401" s="37"/>
      <c r="BA401" s="37"/>
      <c r="BB401" s="41"/>
      <c r="BC401" s="37"/>
      <c r="BD401" s="37"/>
      <c r="BE401" s="37"/>
      <c r="BF401" s="41"/>
      <c r="BG401" s="37"/>
      <c r="BH401" s="37"/>
      <c r="BI401" s="37"/>
      <c r="BJ401" s="41"/>
    </row>
    <row r="402" spans="2:62" ht="25.15" customHeight="1" x14ac:dyDescent="0.25">
      <c r="B402" s="49">
        <v>397</v>
      </c>
      <c r="C402" s="37"/>
      <c r="D402" s="87" t="str">
        <f>IF(tbl_Assessment[[#This Row],[Ben Code]]&lt;&gt;"",INDEX(tbl_Ben_Info[],MATCH(tbl_Assessment[[#This Row],[Ben Code]],tbl_Ben_Info[Ben Code],0),48),"")</f>
        <v/>
      </c>
      <c r="E402" s="116" t="str">
        <f>IF(tbl_Assessment[[#This Row],[Ben Code]]&lt;&gt;"",INDEX(tbl_Ben_Info[],MATCH(tbl_Assessment[[#This Row],[Ben Code]],tbl_Ben_Info[Ben Code],0),6),"")</f>
        <v/>
      </c>
      <c r="F402" s="113" t="str">
        <f>IF(tbl_Assessment[[#This Row],[Ben Code]]&lt;&gt;"",INDEX(tbl_Ben_Info[],MATCH(tbl_Assessment[[#This Row],[Ben Code]],tbl_Ben_Info[Ben Code],0),13),"")</f>
        <v/>
      </c>
      <c r="G402" s="49"/>
      <c r="H402" s="37"/>
      <c r="I402" s="37"/>
      <c r="J402" s="37"/>
      <c r="K402" s="37"/>
      <c r="L402" s="37"/>
      <c r="M402" s="59"/>
      <c r="N402" s="37"/>
      <c r="O402" s="37"/>
      <c r="P402" s="37"/>
      <c r="Q402" s="59"/>
      <c r="R402" s="49"/>
      <c r="S402" s="37"/>
      <c r="T402" s="37"/>
      <c r="U402" s="37"/>
      <c r="V402" s="37"/>
      <c r="W402" s="96" t="str">
        <f>tbl_Assessment[[#This Row],[Ben Code]] &amp; "-"&amp;tbl_Assessment[[#This Row],[admin4Pcode]]&amp;"-" &amp; TEXT(COUNTIF(INDEX(tbl_Assessment[Ben Code],1):tbl_Assessment[[#This Row],[Ben Code]], tbl_Assessment[[#This Row],[Ben Code]]), "00")</f>
        <v>--00</v>
      </c>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49"/>
      <c r="AU402" s="41"/>
      <c r="AV402" s="37"/>
      <c r="AW402" s="37"/>
      <c r="AX402" s="37"/>
      <c r="AY402" s="37"/>
      <c r="AZ402" s="37"/>
      <c r="BA402" s="37"/>
      <c r="BB402" s="41"/>
      <c r="BC402" s="37"/>
      <c r="BD402" s="37"/>
      <c r="BE402" s="37"/>
      <c r="BF402" s="41"/>
      <c r="BG402" s="37"/>
      <c r="BH402" s="37"/>
      <c r="BI402" s="37"/>
      <c r="BJ402" s="41"/>
    </row>
    <row r="403" spans="2:62" ht="25.15" customHeight="1" x14ac:dyDescent="0.25">
      <c r="B403" s="49">
        <v>398</v>
      </c>
      <c r="C403" s="37"/>
      <c r="D403" s="87" t="str">
        <f>IF(tbl_Assessment[[#This Row],[Ben Code]]&lt;&gt;"",INDEX(tbl_Ben_Info[],MATCH(tbl_Assessment[[#This Row],[Ben Code]],tbl_Ben_Info[Ben Code],0),48),"")</f>
        <v/>
      </c>
      <c r="E403" s="116" t="str">
        <f>IF(tbl_Assessment[[#This Row],[Ben Code]]&lt;&gt;"",INDEX(tbl_Ben_Info[],MATCH(tbl_Assessment[[#This Row],[Ben Code]],tbl_Ben_Info[Ben Code],0),6),"")</f>
        <v/>
      </c>
      <c r="F403" s="113" t="str">
        <f>IF(tbl_Assessment[[#This Row],[Ben Code]]&lt;&gt;"",INDEX(tbl_Ben_Info[],MATCH(tbl_Assessment[[#This Row],[Ben Code]],tbl_Ben_Info[Ben Code],0),13),"")</f>
        <v/>
      </c>
      <c r="G403" s="49"/>
      <c r="H403" s="37"/>
      <c r="I403" s="37"/>
      <c r="J403" s="37"/>
      <c r="K403" s="37"/>
      <c r="L403" s="37"/>
      <c r="M403" s="59"/>
      <c r="N403" s="37"/>
      <c r="O403" s="37"/>
      <c r="P403" s="37"/>
      <c r="Q403" s="59"/>
      <c r="R403" s="49"/>
      <c r="S403" s="37"/>
      <c r="T403" s="37"/>
      <c r="U403" s="37"/>
      <c r="V403" s="37"/>
      <c r="W403" s="96" t="str">
        <f>tbl_Assessment[[#This Row],[Ben Code]] &amp; "-"&amp;tbl_Assessment[[#This Row],[admin4Pcode]]&amp;"-" &amp; TEXT(COUNTIF(INDEX(tbl_Assessment[Ben Code],1):tbl_Assessment[[#This Row],[Ben Code]], tbl_Assessment[[#This Row],[Ben Code]]), "00")</f>
        <v>--00</v>
      </c>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49"/>
      <c r="AU403" s="41"/>
      <c r="AV403" s="37"/>
      <c r="AW403" s="37"/>
      <c r="AX403" s="37"/>
      <c r="AY403" s="37"/>
      <c r="AZ403" s="37"/>
      <c r="BA403" s="37"/>
      <c r="BB403" s="41"/>
      <c r="BC403" s="37"/>
      <c r="BD403" s="37"/>
      <c r="BE403" s="37"/>
      <c r="BF403" s="41"/>
      <c r="BG403" s="37"/>
      <c r="BH403" s="37"/>
      <c r="BI403" s="37"/>
      <c r="BJ403" s="41"/>
    </row>
    <row r="404" spans="2:62" ht="25.15" customHeight="1" x14ac:dyDescent="0.25">
      <c r="B404" s="49">
        <v>399</v>
      </c>
      <c r="C404" s="37"/>
      <c r="D404" s="87" t="str">
        <f>IF(tbl_Assessment[[#This Row],[Ben Code]]&lt;&gt;"",INDEX(tbl_Ben_Info[],MATCH(tbl_Assessment[[#This Row],[Ben Code]],tbl_Ben_Info[Ben Code],0),48),"")</f>
        <v/>
      </c>
      <c r="E404" s="116" t="str">
        <f>IF(tbl_Assessment[[#This Row],[Ben Code]]&lt;&gt;"",INDEX(tbl_Ben_Info[],MATCH(tbl_Assessment[[#This Row],[Ben Code]],tbl_Ben_Info[Ben Code],0),6),"")</f>
        <v/>
      </c>
      <c r="F404" s="113" t="str">
        <f>IF(tbl_Assessment[[#This Row],[Ben Code]]&lt;&gt;"",INDEX(tbl_Ben_Info[],MATCH(tbl_Assessment[[#This Row],[Ben Code]],tbl_Ben_Info[Ben Code],0),13),"")</f>
        <v/>
      </c>
      <c r="G404" s="49"/>
      <c r="H404" s="37"/>
      <c r="I404" s="37"/>
      <c r="J404" s="37"/>
      <c r="K404" s="37"/>
      <c r="L404" s="37"/>
      <c r="M404" s="59"/>
      <c r="N404" s="37"/>
      <c r="O404" s="37"/>
      <c r="P404" s="37"/>
      <c r="Q404" s="59"/>
      <c r="R404" s="49"/>
      <c r="S404" s="37"/>
      <c r="T404" s="37"/>
      <c r="U404" s="37"/>
      <c r="V404" s="37"/>
      <c r="W404" s="96" t="str">
        <f>tbl_Assessment[[#This Row],[Ben Code]] &amp; "-"&amp;tbl_Assessment[[#This Row],[admin4Pcode]]&amp;"-" &amp; TEXT(COUNTIF(INDEX(tbl_Assessment[Ben Code],1):tbl_Assessment[[#This Row],[Ben Code]], tbl_Assessment[[#This Row],[Ben Code]]), "00")</f>
        <v>--00</v>
      </c>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49"/>
      <c r="AU404" s="41"/>
      <c r="AV404" s="37"/>
      <c r="AW404" s="37"/>
      <c r="AX404" s="37"/>
      <c r="AY404" s="37"/>
      <c r="AZ404" s="37"/>
      <c r="BA404" s="37"/>
      <c r="BB404" s="41"/>
      <c r="BC404" s="37"/>
      <c r="BD404" s="37"/>
      <c r="BE404" s="37"/>
      <c r="BF404" s="41"/>
      <c r="BG404" s="37"/>
      <c r="BH404" s="37"/>
      <c r="BI404" s="37"/>
      <c r="BJ404" s="41"/>
    </row>
    <row r="405" spans="2:62" ht="25.15" customHeight="1" x14ac:dyDescent="0.25">
      <c r="B405" s="49">
        <v>400</v>
      </c>
      <c r="C405" s="37"/>
      <c r="D405" s="87" t="str">
        <f>IF(tbl_Assessment[[#This Row],[Ben Code]]&lt;&gt;"",INDEX(tbl_Ben_Info[],MATCH(tbl_Assessment[[#This Row],[Ben Code]],tbl_Ben_Info[Ben Code],0),48),"")</f>
        <v/>
      </c>
      <c r="E405" s="116" t="str">
        <f>IF(tbl_Assessment[[#This Row],[Ben Code]]&lt;&gt;"",INDEX(tbl_Ben_Info[],MATCH(tbl_Assessment[[#This Row],[Ben Code]],tbl_Ben_Info[Ben Code],0),6),"")</f>
        <v/>
      </c>
      <c r="F405" s="113" t="str">
        <f>IF(tbl_Assessment[[#This Row],[Ben Code]]&lt;&gt;"",INDEX(tbl_Ben_Info[],MATCH(tbl_Assessment[[#This Row],[Ben Code]],tbl_Ben_Info[Ben Code],0),13),"")</f>
        <v/>
      </c>
      <c r="G405" s="49"/>
      <c r="H405" s="37"/>
      <c r="I405" s="37"/>
      <c r="J405" s="37"/>
      <c r="K405" s="37"/>
      <c r="L405" s="37"/>
      <c r="M405" s="59"/>
      <c r="N405" s="37"/>
      <c r="O405" s="37"/>
      <c r="P405" s="37"/>
      <c r="Q405" s="59"/>
      <c r="R405" s="49"/>
      <c r="S405" s="37"/>
      <c r="T405" s="37"/>
      <c r="U405" s="37"/>
      <c r="V405" s="37"/>
      <c r="W405" s="96" t="str">
        <f>tbl_Assessment[[#This Row],[Ben Code]] &amp; "-"&amp;tbl_Assessment[[#This Row],[admin4Pcode]]&amp;"-" &amp; TEXT(COUNTIF(INDEX(tbl_Assessment[Ben Code],1):tbl_Assessment[[#This Row],[Ben Code]], tbl_Assessment[[#This Row],[Ben Code]]), "00")</f>
        <v>--00</v>
      </c>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49"/>
      <c r="AU405" s="41"/>
      <c r="AV405" s="37"/>
      <c r="AW405" s="37"/>
      <c r="AX405" s="37"/>
      <c r="AY405" s="37"/>
      <c r="AZ405" s="37"/>
      <c r="BA405" s="37"/>
      <c r="BB405" s="41"/>
      <c r="BC405" s="37"/>
      <c r="BD405" s="37"/>
      <c r="BE405" s="37"/>
      <c r="BF405" s="41"/>
      <c r="BG405" s="37"/>
      <c r="BH405" s="37"/>
      <c r="BI405" s="37"/>
      <c r="BJ405" s="41"/>
    </row>
    <row r="406" spans="2:62" ht="25.15" customHeight="1" x14ac:dyDescent="0.25">
      <c r="B406" s="49">
        <v>401</v>
      </c>
      <c r="C406" s="37"/>
      <c r="D406" s="87" t="str">
        <f>IF(tbl_Assessment[[#This Row],[Ben Code]]&lt;&gt;"",INDEX(tbl_Ben_Info[],MATCH(tbl_Assessment[[#This Row],[Ben Code]],tbl_Ben_Info[Ben Code],0),48),"")</f>
        <v/>
      </c>
      <c r="E406" s="116" t="str">
        <f>IF(tbl_Assessment[[#This Row],[Ben Code]]&lt;&gt;"",INDEX(tbl_Ben_Info[],MATCH(tbl_Assessment[[#This Row],[Ben Code]],tbl_Ben_Info[Ben Code],0),6),"")</f>
        <v/>
      </c>
      <c r="F406" s="113" t="str">
        <f>IF(tbl_Assessment[[#This Row],[Ben Code]]&lt;&gt;"",INDEX(tbl_Ben_Info[],MATCH(tbl_Assessment[[#This Row],[Ben Code]],tbl_Ben_Info[Ben Code],0),13),"")</f>
        <v/>
      </c>
      <c r="G406" s="49"/>
      <c r="H406" s="37"/>
      <c r="I406" s="37"/>
      <c r="J406" s="37"/>
      <c r="K406" s="37"/>
      <c r="L406" s="37"/>
      <c r="M406" s="59"/>
      <c r="N406" s="37"/>
      <c r="O406" s="37"/>
      <c r="P406" s="37"/>
      <c r="Q406" s="59"/>
      <c r="R406" s="49"/>
      <c r="S406" s="37"/>
      <c r="T406" s="37"/>
      <c r="U406" s="37"/>
      <c r="V406" s="37"/>
      <c r="W406" s="96" t="str">
        <f>tbl_Assessment[[#This Row],[Ben Code]] &amp; "-"&amp;tbl_Assessment[[#This Row],[admin4Pcode]]&amp;"-" &amp; TEXT(COUNTIF(INDEX(tbl_Assessment[Ben Code],1):tbl_Assessment[[#This Row],[Ben Code]], tbl_Assessment[[#This Row],[Ben Code]]), "00")</f>
        <v>--00</v>
      </c>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49"/>
      <c r="AU406" s="41"/>
      <c r="AV406" s="37"/>
      <c r="AW406" s="37"/>
      <c r="AX406" s="37"/>
      <c r="AY406" s="37"/>
      <c r="AZ406" s="37"/>
      <c r="BA406" s="37"/>
      <c r="BB406" s="41"/>
      <c r="BC406" s="37"/>
      <c r="BD406" s="37"/>
      <c r="BE406" s="37"/>
      <c r="BF406" s="41"/>
      <c r="BG406" s="37"/>
      <c r="BH406" s="37"/>
      <c r="BI406" s="37"/>
      <c r="BJ406" s="41"/>
    </row>
    <row r="407" spans="2:62" ht="25.15" customHeight="1" x14ac:dyDescent="0.25">
      <c r="B407" s="49">
        <v>402</v>
      </c>
      <c r="C407" s="37"/>
      <c r="D407" s="87" t="str">
        <f>IF(tbl_Assessment[[#This Row],[Ben Code]]&lt;&gt;"",INDEX(tbl_Ben_Info[],MATCH(tbl_Assessment[[#This Row],[Ben Code]],tbl_Ben_Info[Ben Code],0),48),"")</f>
        <v/>
      </c>
      <c r="E407" s="116" t="str">
        <f>IF(tbl_Assessment[[#This Row],[Ben Code]]&lt;&gt;"",INDEX(tbl_Ben_Info[],MATCH(tbl_Assessment[[#This Row],[Ben Code]],tbl_Ben_Info[Ben Code],0),6),"")</f>
        <v/>
      </c>
      <c r="F407" s="113" t="str">
        <f>IF(tbl_Assessment[[#This Row],[Ben Code]]&lt;&gt;"",INDEX(tbl_Ben_Info[],MATCH(tbl_Assessment[[#This Row],[Ben Code]],tbl_Ben_Info[Ben Code],0),13),"")</f>
        <v/>
      </c>
      <c r="G407" s="49"/>
      <c r="H407" s="37"/>
      <c r="I407" s="37"/>
      <c r="J407" s="37"/>
      <c r="K407" s="37"/>
      <c r="L407" s="37"/>
      <c r="M407" s="59"/>
      <c r="N407" s="37"/>
      <c r="O407" s="37"/>
      <c r="P407" s="37"/>
      <c r="Q407" s="59"/>
      <c r="R407" s="49"/>
      <c r="S407" s="37"/>
      <c r="T407" s="37"/>
      <c r="U407" s="37"/>
      <c r="V407" s="37"/>
      <c r="W407" s="96" t="str">
        <f>tbl_Assessment[[#This Row],[Ben Code]] &amp; "-"&amp;tbl_Assessment[[#This Row],[admin4Pcode]]&amp;"-" &amp; TEXT(COUNTIF(INDEX(tbl_Assessment[Ben Code],1):tbl_Assessment[[#This Row],[Ben Code]], tbl_Assessment[[#This Row],[Ben Code]]), "00")</f>
        <v>--00</v>
      </c>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49"/>
      <c r="AU407" s="41"/>
      <c r="AV407" s="37"/>
      <c r="AW407" s="37"/>
      <c r="AX407" s="37"/>
      <c r="AY407" s="37"/>
      <c r="AZ407" s="37"/>
      <c r="BA407" s="37"/>
      <c r="BB407" s="41"/>
      <c r="BC407" s="37"/>
      <c r="BD407" s="37"/>
      <c r="BE407" s="37"/>
      <c r="BF407" s="41"/>
      <c r="BG407" s="37"/>
      <c r="BH407" s="37"/>
      <c r="BI407" s="37"/>
      <c r="BJ407" s="41"/>
    </row>
    <row r="408" spans="2:62" ht="25.15" customHeight="1" x14ac:dyDescent="0.25">
      <c r="B408" s="49">
        <v>403</v>
      </c>
      <c r="C408" s="37"/>
      <c r="D408" s="87" t="str">
        <f>IF(tbl_Assessment[[#This Row],[Ben Code]]&lt;&gt;"",INDEX(tbl_Ben_Info[],MATCH(tbl_Assessment[[#This Row],[Ben Code]],tbl_Ben_Info[Ben Code],0),48),"")</f>
        <v/>
      </c>
      <c r="E408" s="116" t="str">
        <f>IF(tbl_Assessment[[#This Row],[Ben Code]]&lt;&gt;"",INDEX(tbl_Ben_Info[],MATCH(tbl_Assessment[[#This Row],[Ben Code]],tbl_Ben_Info[Ben Code],0),6),"")</f>
        <v/>
      </c>
      <c r="F408" s="113" t="str">
        <f>IF(tbl_Assessment[[#This Row],[Ben Code]]&lt;&gt;"",INDEX(tbl_Ben_Info[],MATCH(tbl_Assessment[[#This Row],[Ben Code]],tbl_Ben_Info[Ben Code],0),13),"")</f>
        <v/>
      </c>
      <c r="G408" s="49"/>
      <c r="H408" s="37"/>
      <c r="I408" s="37"/>
      <c r="J408" s="37"/>
      <c r="K408" s="37"/>
      <c r="L408" s="37"/>
      <c r="M408" s="59"/>
      <c r="N408" s="37"/>
      <c r="O408" s="37"/>
      <c r="P408" s="37"/>
      <c r="Q408" s="59"/>
      <c r="R408" s="49"/>
      <c r="S408" s="37"/>
      <c r="T408" s="37"/>
      <c r="U408" s="37"/>
      <c r="V408" s="37"/>
      <c r="W408" s="96" t="str">
        <f>tbl_Assessment[[#This Row],[Ben Code]] &amp; "-"&amp;tbl_Assessment[[#This Row],[admin4Pcode]]&amp;"-" &amp; TEXT(COUNTIF(INDEX(tbl_Assessment[Ben Code],1):tbl_Assessment[[#This Row],[Ben Code]], tbl_Assessment[[#This Row],[Ben Code]]), "00")</f>
        <v>--00</v>
      </c>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49"/>
      <c r="AU408" s="41"/>
      <c r="AV408" s="37"/>
      <c r="AW408" s="37"/>
      <c r="AX408" s="37"/>
      <c r="AY408" s="37"/>
      <c r="AZ408" s="37"/>
      <c r="BA408" s="37"/>
      <c r="BB408" s="41"/>
      <c r="BC408" s="37"/>
      <c r="BD408" s="37"/>
      <c r="BE408" s="37"/>
      <c r="BF408" s="41"/>
      <c r="BG408" s="37"/>
      <c r="BH408" s="37"/>
      <c r="BI408" s="37"/>
      <c r="BJ408" s="41"/>
    </row>
    <row r="409" spans="2:62" ht="25.15" customHeight="1" x14ac:dyDescent="0.25">
      <c r="B409" s="49">
        <v>404</v>
      </c>
      <c r="C409" s="37"/>
      <c r="D409" s="87" t="str">
        <f>IF(tbl_Assessment[[#This Row],[Ben Code]]&lt;&gt;"",INDEX(tbl_Ben_Info[],MATCH(tbl_Assessment[[#This Row],[Ben Code]],tbl_Ben_Info[Ben Code],0),48),"")</f>
        <v/>
      </c>
      <c r="E409" s="116" t="str">
        <f>IF(tbl_Assessment[[#This Row],[Ben Code]]&lt;&gt;"",INDEX(tbl_Ben_Info[],MATCH(tbl_Assessment[[#This Row],[Ben Code]],tbl_Ben_Info[Ben Code],0),6),"")</f>
        <v/>
      </c>
      <c r="F409" s="113" t="str">
        <f>IF(tbl_Assessment[[#This Row],[Ben Code]]&lt;&gt;"",INDEX(tbl_Ben_Info[],MATCH(tbl_Assessment[[#This Row],[Ben Code]],tbl_Ben_Info[Ben Code],0),13),"")</f>
        <v/>
      </c>
      <c r="G409" s="49"/>
      <c r="H409" s="37"/>
      <c r="I409" s="37"/>
      <c r="J409" s="37"/>
      <c r="K409" s="37"/>
      <c r="L409" s="37"/>
      <c r="M409" s="59"/>
      <c r="N409" s="37"/>
      <c r="O409" s="37"/>
      <c r="P409" s="37"/>
      <c r="Q409" s="59"/>
      <c r="R409" s="49"/>
      <c r="S409" s="37"/>
      <c r="T409" s="37"/>
      <c r="U409" s="37"/>
      <c r="V409" s="37"/>
      <c r="W409" s="96" t="str">
        <f>tbl_Assessment[[#This Row],[Ben Code]] &amp; "-"&amp;tbl_Assessment[[#This Row],[admin4Pcode]]&amp;"-" &amp; TEXT(COUNTIF(INDEX(tbl_Assessment[Ben Code],1):tbl_Assessment[[#This Row],[Ben Code]], tbl_Assessment[[#This Row],[Ben Code]]), "00")</f>
        <v>--00</v>
      </c>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49"/>
      <c r="AU409" s="41"/>
      <c r="AV409" s="37"/>
      <c r="AW409" s="37"/>
      <c r="AX409" s="37"/>
      <c r="AY409" s="37"/>
      <c r="AZ409" s="37"/>
      <c r="BA409" s="37"/>
      <c r="BB409" s="41"/>
      <c r="BC409" s="37"/>
      <c r="BD409" s="37"/>
      <c r="BE409" s="37"/>
      <c r="BF409" s="41"/>
      <c r="BG409" s="37"/>
      <c r="BH409" s="37"/>
      <c r="BI409" s="37"/>
      <c r="BJ409" s="41"/>
    </row>
    <row r="410" spans="2:62" ht="25.15" customHeight="1" x14ac:dyDescent="0.25">
      <c r="B410" s="49">
        <v>405</v>
      </c>
      <c r="C410" s="37"/>
      <c r="D410" s="87" t="str">
        <f>IF(tbl_Assessment[[#This Row],[Ben Code]]&lt;&gt;"",INDEX(tbl_Ben_Info[],MATCH(tbl_Assessment[[#This Row],[Ben Code]],tbl_Ben_Info[Ben Code],0),48),"")</f>
        <v/>
      </c>
      <c r="E410" s="116" t="str">
        <f>IF(tbl_Assessment[[#This Row],[Ben Code]]&lt;&gt;"",INDEX(tbl_Ben_Info[],MATCH(tbl_Assessment[[#This Row],[Ben Code]],tbl_Ben_Info[Ben Code],0),6),"")</f>
        <v/>
      </c>
      <c r="F410" s="113" t="str">
        <f>IF(tbl_Assessment[[#This Row],[Ben Code]]&lt;&gt;"",INDEX(tbl_Ben_Info[],MATCH(tbl_Assessment[[#This Row],[Ben Code]],tbl_Ben_Info[Ben Code],0),13),"")</f>
        <v/>
      </c>
      <c r="G410" s="49"/>
      <c r="H410" s="37"/>
      <c r="I410" s="37"/>
      <c r="J410" s="37"/>
      <c r="K410" s="37"/>
      <c r="L410" s="37"/>
      <c r="M410" s="59"/>
      <c r="N410" s="37"/>
      <c r="O410" s="37"/>
      <c r="P410" s="37"/>
      <c r="Q410" s="59"/>
      <c r="R410" s="49"/>
      <c r="S410" s="37"/>
      <c r="T410" s="37"/>
      <c r="U410" s="37"/>
      <c r="V410" s="37"/>
      <c r="W410" s="96" t="str">
        <f>tbl_Assessment[[#This Row],[Ben Code]] &amp; "-"&amp;tbl_Assessment[[#This Row],[admin4Pcode]]&amp;"-" &amp; TEXT(COUNTIF(INDEX(tbl_Assessment[Ben Code],1):tbl_Assessment[[#This Row],[Ben Code]], tbl_Assessment[[#This Row],[Ben Code]]), "00")</f>
        <v>--00</v>
      </c>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49"/>
      <c r="AU410" s="41"/>
      <c r="AV410" s="37"/>
      <c r="AW410" s="37"/>
      <c r="AX410" s="37"/>
      <c r="AY410" s="37"/>
      <c r="AZ410" s="37"/>
      <c r="BA410" s="37"/>
      <c r="BB410" s="41"/>
      <c r="BC410" s="37"/>
      <c r="BD410" s="37"/>
      <c r="BE410" s="37"/>
      <c r="BF410" s="41"/>
      <c r="BG410" s="37"/>
      <c r="BH410" s="37"/>
      <c r="BI410" s="37"/>
      <c r="BJ410" s="41"/>
    </row>
    <row r="411" spans="2:62" ht="25.15" customHeight="1" x14ac:dyDescent="0.25">
      <c r="B411" s="49">
        <v>406</v>
      </c>
      <c r="C411" s="37"/>
      <c r="D411" s="87" t="str">
        <f>IF(tbl_Assessment[[#This Row],[Ben Code]]&lt;&gt;"",INDEX(tbl_Ben_Info[],MATCH(tbl_Assessment[[#This Row],[Ben Code]],tbl_Ben_Info[Ben Code],0),48),"")</f>
        <v/>
      </c>
      <c r="E411" s="116" t="str">
        <f>IF(tbl_Assessment[[#This Row],[Ben Code]]&lt;&gt;"",INDEX(tbl_Ben_Info[],MATCH(tbl_Assessment[[#This Row],[Ben Code]],tbl_Ben_Info[Ben Code],0),6),"")</f>
        <v/>
      </c>
      <c r="F411" s="113" t="str">
        <f>IF(tbl_Assessment[[#This Row],[Ben Code]]&lt;&gt;"",INDEX(tbl_Ben_Info[],MATCH(tbl_Assessment[[#This Row],[Ben Code]],tbl_Ben_Info[Ben Code],0),13),"")</f>
        <v/>
      </c>
      <c r="G411" s="49"/>
      <c r="H411" s="37"/>
      <c r="I411" s="37"/>
      <c r="J411" s="37"/>
      <c r="K411" s="37"/>
      <c r="L411" s="37"/>
      <c r="M411" s="59"/>
      <c r="N411" s="37"/>
      <c r="O411" s="37"/>
      <c r="P411" s="37"/>
      <c r="Q411" s="59"/>
      <c r="R411" s="49"/>
      <c r="S411" s="37"/>
      <c r="T411" s="37"/>
      <c r="U411" s="37"/>
      <c r="V411" s="37"/>
      <c r="W411" s="96" t="str">
        <f>tbl_Assessment[[#This Row],[Ben Code]] &amp; "-"&amp;tbl_Assessment[[#This Row],[admin4Pcode]]&amp;"-" &amp; TEXT(COUNTIF(INDEX(tbl_Assessment[Ben Code],1):tbl_Assessment[[#This Row],[Ben Code]], tbl_Assessment[[#This Row],[Ben Code]]), "00")</f>
        <v>--00</v>
      </c>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49"/>
      <c r="AU411" s="41"/>
      <c r="AV411" s="37"/>
      <c r="AW411" s="37"/>
      <c r="AX411" s="37"/>
      <c r="AY411" s="37"/>
      <c r="AZ411" s="37"/>
      <c r="BA411" s="37"/>
      <c r="BB411" s="41"/>
      <c r="BC411" s="37"/>
      <c r="BD411" s="37"/>
      <c r="BE411" s="37"/>
      <c r="BF411" s="41"/>
      <c r="BG411" s="37"/>
      <c r="BH411" s="37"/>
      <c r="BI411" s="37"/>
      <c r="BJ411" s="41"/>
    </row>
    <row r="412" spans="2:62" ht="25.15" customHeight="1" x14ac:dyDescent="0.25">
      <c r="B412" s="49">
        <v>407</v>
      </c>
      <c r="C412" s="37"/>
      <c r="D412" s="87" t="str">
        <f>IF(tbl_Assessment[[#This Row],[Ben Code]]&lt;&gt;"",INDEX(tbl_Ben_Info[],MATCH(tbl_Assessment[[#This Row],[Ben Code]],tbl_Ben_Info[Ben Code],0),48),"")</f>
        <v/>
      </c>
      <c r="E412" s="116" t="str">
        <f>IF(tbl_Assessment[[#This Row],[Ben Code]]&lt;&gt;"",INDEX(tbl_Ben_Info[],MATCH(tbl_Assessment[[#This Row],[Ben Code]],tbl_Ben_Info[Ben Code],0),6),"")</f>
        <v/>
      </c>
      <c r="F412" s="113" t="str">
        <f>IF(tbl_Assessment[[#This Row],[Ben Code]]&lt;&gt;"",INDEX(tbl_Ben_Info[],MATCH(tbl_Assessment[[#This Row],[Ben Code]],tbl_Ben_Info[Ben Code],0),13),"")</f>
        <v/>
      </c>
      <c r="G412" s="49"/>
      <c r="H412" s="37"/>
      <c r="I412" s="37"/>
      <c r="J412" s="37"/>
      <c r="K412" s="37"/>
      <c r="L412" s="37"/>
      <c r="M412" s="59"/>
      <c r="N412" s="37"/>
      <c r="O412" s="37"/>
      <c r="P412" s="37"/>
      <c r="Q412" s="59"/>
      <c r="R412" s="49"/>
      <c r="S412" s="37"/>
      <c r="T412" s="37"/>
      <c r="U412" s="37"/>
      <c r="V412" s="37"/>
      <c r="W412" s="96" t="str">
        <f>tbl_Assessment[[#This Row],[Ben Code]] &amp; "-"&amp;tbl_Assessment[[#This Row],[admin4Pcode]]&amp;"-" &amp; TEXT(COUNTIF(INDEX(tbl_Assessment[Ben Code],1):tbl_Assessment[[#This Row],[Ben Code]], tbl_Assessment[[#This Row],[Ben Code]]), "00")</f>
        <v>--00</v>
      </c>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49"/>
      <c r="AU412" s="41"/>
      <c r="AV412" s="37"/>
      <c r="AW412" s="37"/>
      <c r="AX412" s="37"/>
      <c r="AY412" s="37"/>
      <c r="AZ412" s="37"/>
      <c r="BA412" s="37"/>
      <c r="BB412" s="41"/>
      <c r="BC412" s="37"/>
      <c r="BD412" s="37"/>
      <c r="BE412" s="37"/>
      <c r="BF412" s="41"/>
      <c r="BG412" s="37"/>
      <c r="BH412" s="37"/>
      <c r="BI412" s="37"/>
      <c r="BJ412" s="41"/>
    </row>
    <row r="413" spans="2:62" ht="25.15" customHeight="1" x14ac:dyDescent="0.25">
      <c r="B413" s="49">
        <v>408</v>
      </c>
      <c r="C413" s="37"/>
      <c r="D413" s="87" t="str">
        <f>IF(tbl_Assessment[[#This Row],[Ben Code]]&lt;&gt;"",INDEX(tbl_Ben_Info[],MATCH(tbl_Assessment[[#This Row],[Ben Code]],tbl_Ben_Info[Ben Code],0),48),"")</f>
        <v/>
      </c>
      <c r="E413" s="116" t="str">
        <f>IF(tbl_Assessment[[#This Row],[Ben Code]]&lt;&gt;"",INDEX(tbl_Ben_Info[],MATCH(tbl_Assessment[[#This Row],[Ben Code]],tbl_Ben_Info[Ben Code],0),6),"")</f>
        <v/>
      </c>
      <c r="F413" s="113" t="str">
        <f>IF(tbl_Assessment[[#This Row],[Ben Code]]&lt;&gt;"",INDEX(tbl_Ben_Info[],MATCH(tbl_Assessment[[#This Row],[Ben Code]],tbl_Ben_Info[Ben Code],0),13),"")</f>
        <v/>
      </c>
      <c r="G413" s="49"/>
      <c r="H413" s="37"/>
      <c r="I413" s="37"/>
      <c r="J413" s="37"/>
      <c r="K413" s="37"/>
      <c r="L413" s="37"/>
      <c r="M413" s="59"/>
      <c r="N413" s="37"/>
      <c r="O413" s="37"/>
      <c r="P413" s="37"/>
      <c r="Q413" s="59"/>
      <c r="R413" s="49"/>
      <c r="S413" s="37"/>
      <c r="T413" s="37"/>
      <c r="U413" s="37"/>
      <c r="V413" s="37"/>
      <c r="W413" s="96" t="str">
        <f>tbl_Assessment[[#This Row],[Ben Code]] &amp; "-"&amp;tbl_Assessment[[#This Row],[admin4Pcode]]&amp;"-" &amp; TEXT(COUNTIF(INDEX(tbl_Assessment[Ben Code],1):tbl_Assessment[[#This Row],[Ben Code]], tbl_Assessment[[#This Row],[Ben Code]]), "00")</f>
        <v>--00</v>
      </c>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49"/>
      <c r="AU413" s="41"/>
      <c r="AV413" s="37"/>
      <c r="AW413" s="37"/>
      <c r="AX413" s="37"/>
      <c r="AY413" s="37"/>
      <c r="AZ413" s="37"/>
      <c r="BA413" s="37"/>
      <c r="BB413" s="41"/>
      <c r="BC413" s="37"/>
      <c r="BD413" s="37"/>
      <c r="BE413" s="37"/>
      <c r="BF413" s="41"/>
      <c r="BG413" s="37"/>
      <c r="BH413" s="37"/>
      <c r="BI413" s="37"/>
      <c r="BJ413" s="41"/>
    </row>
    <row r="414" spans="2:62" ht="25.15" customHeight="1" x14ac:dyDescent="0.25">
      <c r="B414" s="49">
        <v>409</v>
      </c>
      <c r="C414" s="37"/>
      <c r="D414" s="87" t="str">
        <f>IF(tbl_Assessment[[#This Row],[Ben Code]]&lt;&gt;"",INDEX(tbl_Ben_Info[],MATCH(tbl_Assessment[[#This Row],[Ben Code]],tbl_Ben_Info[Ben Code],0),48),"")</f>
        <v/>
      </c>
      <c r="E414" s="116" t="str">
        <f>IF(tbl_Assessment[[#This Row],[Ben Code]]&lt;&gt;"",INDEX(tbl_Ben_Info[],MATCH(tbl_Assessment[[#This Row],[Ben Code]],tbl_Ben_Info[Ben Code],0),6),"")</f>
        <v/>
      </c>
      <c r="F414" s="113" t="str">
        <f>IF(tbl_Assessment[[#This Row],[Ben Code]]&lt;&gt;"",INDEX(tbl_Ben_Info[],MATCH(tbl_Assessment[[#This Row],[Ben Code]],tbl_Ben_Info[Ben Code],0),13),"")</f>
        <v/>
      </c>
      <c r="G414" s="49"/>
      <c r="H414" s="37"/>
      <c r="I414" s="37"/>
      <c r="J414" s="37"/>
      <c r="K414" s="37"/>
      <c r="L414" s="37"/>
      <c r="M414" s="59"/>
      <c r="N414" s="37"/>
      <c r="O414" s="37"/>
      <c r="P414" s="37"/>
      <c r="Q414" s="59"/>
      <c r="R414" s="49"/>
      <c r="S414" s="37"/>
      <c r="T414" s="37"/>
      <c r="U414" s="37"/>
      <c r="V414" s="37"/>
      <c r="W414" s="96" t="str">
        <f>tbl_Assessment[[#This Row],[Ben Code]] &amp; "-"&amp;tbl_Assessment[[#This Row],[admin4Pcode]]&amp;"-" &amp; TEXT(COUNTIF(INDEX(tbl_Assessment[Ben Code],1):tbl_Assessment[[#This Row],[Ben Code]], tbl_Assessment[[#This Row],[Ben Code]]), "00")</f>
        <v>--00</v>
      </c>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49"/>
      <c r="AU414" s="41"/>
      <c r="AV414" s="37"/>
      <c r="AW414" s="37"/>
      <c r="AX414" s="37"/>
      <c r="AY414" s="37"/>
      <c r="AZ414" s="37"/>
      <c r="BA414" s="37"/>
      <c r="BB414" s="41"/>
      <c r="BC414" s="37"/>
      <c r="BD414" s="37"/>
      <c r="BE414" s="37"/>
      <c r="BF414" s="41"/>
      <c r="BG414" s="37"/>
      <c r="BH414" s="37"/>
      <c r="BI414" s="37"/>
      <c r="BJ414" s="41"/>
    </row>
    <row r="415" spans="2:62" ht="25.15" customHeight="1" x14ac:dyDescent="0.25">
      <c r="B415" s="49">
        <v>410</v>
      </c>
      <c r="C415" s="37"/>
      <c r="D415" s="87" t="str">
        <f>IF(tbl_Assessment[[#This Row],[Ben Code]]&lt;&gt;"",INDEX(tbl_Ben_Info[],MATCH(tbl_Assessment[[#This Row],[Ben Code]],tbl_Ben_Info[Ben Code],0),48),"")</f>
        <v/>
      </c>
      <c r="E415" s="116" t="str">
        <f>IF(tbl_Assessment[[#This Row],[Ben Code]]&lt;&gt;"",INDEX(tbl_Ben_Info[],MATCH(tbl_Assessment[[#This Row],[Ben Code]],tbl_Ben_Info[Ben Code],0),6),"")</f>
        <v/>
      </c>
      <c r="F415" s="113" t="str">
        <f>IF(tbl_Assessment[[#This Row],[Ben Code]]&lt;&gt;"",INDEX(tbl_Ben_Info[],MATCH(tbl_Assessment[[#This Row],[Ben Code]],tbl_Ben_Info[Ben Code],0),13),"")</f>
        <v/>
      </c>
      <c r="G415" s="49"/>
      <c r="H415" s="37"/>
      <c r="I415" s="37"/>
      <c r="J415" s="37"/>
      <c r="K415" s="37"/>
      <c r="L415" s="37"/>
      <c r="M415" s="59"/>
      <c r="N415" s="37"/>
      <c r="O415" s="37"/>
      <c r="P415" s="37"/>
      <c r="Q415" s="59"/>
      <c r="R415" s="49"/>
      <c r="S415" s="37"/>
      <c r="T415" s="37"/>
      <c r="U415" s="37"/>
      <c r="V415" s="37"/>
      <c r="W415" s="96" t="str">
        <f>tbl_Assessment[[#This Row],[Ben Code]] &amp; "-"&amp;tbl_Assessment[[#This Row],[admin4Pcode]]&amp;"-" &amp; TEXT(COUNTIF(INDEX(tbl_Assessment[Ben Code],1):tbl_Assessment[[#This Row],[Ben Code]], tbl_Assessment[[#This Row],[Ben Code]]), "00")</f>
        <v>--00</v>
      </c>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49"/>
      <c r="AU415" s="41"/>
      <c r="AV415" s="37"/>
      <c r="AW415" s="37"/>
      <c r="AX415" s="37"/>
      <c r="AY415" s="37"/>
      <c r="AZ415" s="37"/>
      <c r="BA415" s="37"/>
      <c r="BB415" s="41"/>
      <c r="BC415" s="37"/>
      <c r="BD415" s="37"/>
      <c r="BE415" s="37"/>
      <c r="BF415" s="41"/>
      <c r="BG415" s="37"/>
      <c r="BH415" s="37"/>
      <c r="BI415" s="37"/>
      <c r="BJ415" s="41"/>
    </row>
    <row r="416" spans="2:62" ht="25.15" customHeight="1" x14ac:dyDescent="0.25">
      <c r="B416" s="49">
        <v>411</v>
      </c>
      <c r="C416" s="37"/>
      <c r="D416" s="87" t="str">
        <f>IF(tbl_Assessment[[#This Row],[Ben Code]]&lt;&gt;"",INDEX(tbl_Ben_Info[],MATCH(tbl_Assessment[[#This Row],[Ben Code]],tbl_Ben_Info[Ben Code],0),48),"")</f>
        <v/>
      </c>
      <c r="E416" s="116" t="str">
        <f>IF(tbl_Assessment[[#This Row],[Ben Code]]&lt;&gt;"",INDEX(tbl_Ben_Info[],MATCH(tbl_Assessment[[#This Row],[Ben Code]],tbl_Ben_Info[Ben Code],0),6),"")</f>
        <v/>
      </c>
      <c r="F416" s="113" t="str">
        <f>IF(tbl_Assessment[[#This Row],[Ben Code]]&lt;&gt;"",INDEX(tbl_Ben_Info[],MATCH(tbl_Assessment[[#This Row],[Ben Code]],tbl_Ben_Info[Ben Code],0),13),"")</f>
        <v/>
      </c>
      <c r="G416" s="49"/>
      <c r="H416" s="37"/>
      <c r="I416" s="37"/>
      <c r="J416" s="37"/>
      <c r="K416" s="37"/>
      <c r="L416" s="37"/>
      <c r="M416" s="59"/>
      <c r="N416" s="37"/>
      <c r="O416" s="37"/>
      <c r="P416" s="37"/>
      <c r="Q416" s="59"/>
      <c r="R416" s="49"/>
      <c r="S416" s="37"/>
      <c r="T416" s="37"/>
      <c r="U416" s="37"/>
      <c r="V416" s="37"/>
      <c r="W416" s="96" t="str">
        <f>tbl_Assessment[[#This Row],[Ben Code]] &amp; "-"&amp;tbl_Assessment[[#This Row],[admin4Pcode]]&amp;"-" &amp; TEXT(COUNTIF(INDEX(tbl_Assessment[Ben Code],1):tbl_Assessment[[#This Row],[Ben Code]], tbl_Assessment[[#This Row],[Ben Code]]), "00")</f>
        <v>--00</v>
      </c>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49"/>
      <c r="AU416" s="41"/>
      <c r="AV416" s="37"/>
      <c r="AW416" s="37"/>
      <c r="AX416" s="37"/>
      <c r="AY416" s="37"/>
      <c r="AZ416" s="37"/>
      <c r="BA416" s="37"/>
      <c r="BB416" s="41"/>
      <c r="BC416" s="37"/>
      <c r="BD416" s="37"/>
      <c r="BE416" s="37"/>
      <c r="BF416" s="41"/>
      <c r="BG416" s="37"/>
      <c r="BH416" s="37"/>
      <c r="BI416" s="37"/>
      <c r="BJ416" s="41"/>
    </row>
    <row r="417" spans="2:62" ht="25.15" customHeight="1" x14ac:dyDescent="0.25">
      <c r="B417" s="49">
        <v>412</v>
      </c>
      <c r="C417" s="37"/>
      <c r="D417" s="87" t="str">
        <f>IF(tbl_Assessment[[#This Row],[Ben Code]]&lt;&gt;"",INDEX(tbl_Ben_Info[],MATCH(tbl_Assessment[[#This Row],[Ben Code]],tbl_Ben_Info[Ben Code],0),48),"")</f>
        <v/>
      </c>
      <c r="E417" s="116" t="str">
        <f>IF(tbl_Assessment[[#This Row],[Ben Code]]&lt;&gt;"",INDEX(tbl_Ben_Info[],MATCH(tbl_Assessment[[#This Row],[Ben Code]],tbl_Ben_Info[Ben Code],0),6),"")</f>
        <v/>
      </c>
      <c r="F417" s="113" t="str">
        <f>IF(tbl_Assessment[[#This Row],[Ben Code]]&lt;&gt;"",INDEX(tbl_Ben_Info[],MATCH(tbl_Assessment[[#This Row],[Ben Code]],tbl_Ben_Info[Ben Code],0),13),"")</f>
        <v/>
      </c>
      <c r="G417" s="49"/>
      <c r="H417" s="37"/>
      <c r="I417" s="37"/>
      <c r="J417" s="37"/>
      <c r="K417" s="37"/>
      <c r="L417" s="37"/>
      <c r="M417" s="59"/>
      <c r="N417" s="37"/>
      <c r="O417" s="37"/>
      <c r="P417" s="37"/>
      <c r="Q417" s="59"/>
      <c r="R417" s="49"/>
      <c r="S417" s="37"/>
      <c r="T417" s="37"/>
      <c r="U417" s="37"/>
      <c r="V417" s="37"/>
      <c r="W417" s="96" t="str">
        <f>tbl_Assessment[[#This Row],[Ben Code]] &amp; "-"&amp;tbl_Assessment[[#This Row],[admin4Pcode]]&amp;"-" &amp; TEXT(COUNTIF(INDEX(tbl_Assessment[Ben Code],1):tbl_Assessment[[#This Row],[Ben Code]], tbl_Assessment[[#This Row],[Ben Code]]), "00")</f>
        <v>--00</v>
      </c>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49"/>
      <c r="AU417" s="41"/>
      <c r="AV417" s="37"/>
      <c r="AW417" s="37"/>
      <c r="AX417" s="37"/>
      <c r="AY417" s="37"/>
      <c r="AZ417" s="37"/>
      <c r="BA417" s="37"/>
      <c r="BB417" s="41"/>
      <c r="BC417" s="37"/>
      <c r="BD417" s="37"/>
      <c r="BE417" s="37"/>
      <c r="BF417" s="41"/>
      <c r="BG417" s="37"/>
      <c r="BH417" s="37"/>
      <c r="BI417" s="37"/>
      <c r="BJ417" s="41"/>
    </row>
    <row r="418" spans="2:62" ht="25.15" customHeight="1" x14ac:dyDescent="0.25">
      <c r="B418" s="49">
        <v>413</v>
      </c>
      <c r="C418" s="37"/>
      <c r="D418" s="87" t="str">
        <f>IF(tbl_Assessment[[#This Row],[Ben Code]]&lt;&gt;"",INDEX(tbl_Ben_Info[],MATCH(tbl_Assessment[[#This Row],[Ben Code]],tbl_Ben_Info[Ben Code],0),48),"")</f>
        <v/>
      </c>
      <c r="E418" s="116" t="str">
        <f>IF(tbl_Assessment[[#This Row],[Ben Code]]&lt;&gt;"",INDEX(tbl_Ben_Info[],MATCH(tbl_Assessment[[#This Row],[Ben Code]],tbl_Ben_Info[Ben Code],0),6),"")</f>
        <v/>
      </c>
      <c r="F418" s="113" t="str">
        <f>IF(tbl_Assessment[[#This Row],[Ben Code]]&lt;&gt;"",INDEX(tbl_Ben_Info[],MATCH(tbl_Assessment[[#This Row],[Ben Code]],tbl_Ben_Info[Ben Code],0),13),"")</f>
        <v/>
      </c>
      <c r="G418" s="49"/>
      <c r="H418" s="37"/>
      <c r="I418" s="37"/>
      <c r="J418" s="37"/>
      <c r="K418" s="37"/>
      <c r="L418" s="37"/>
      <c r="M418" s="59"/>
      <c r="N418" s="37"/>
      <c r="O418" s="37"/>
      <c r="P418" s="37"/>
      <c r="Q418" s="59"/>
      <c r="R418" s="49"/>
      <c r="S418" s="37"/>
      <c r="T418" s="37"/>
      <c r="U418" s="37"/>
      <c r="V418" s="37"/>
      <c r="W418" s="96" t="str">
        <f>tbl_Assessment[[#This Row],[Ben Code]] &amp; "-"&amp;tbl_Assessment[[#This Row],[admin4Pcode]]&amp;"-" &amp; TEXT(COUNTIF(INDEX(tbl_Assessment[Ben Code],1):tbl_Assessment[[#This Row],[Ben Code]], tbl_Assessment[[#This Row],[Ben Code]]), "00")</f>
        <v>--00</v>
      </c>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49"/>
      <c r="AU418" s="41"/>
      <c r="AV418" s="37"/>
      <c r="AW418" s="37"/>
      <c r="AX418" s="37"/>
      <c r="AY418" s="37"/>
      <c r="AZ418" s="37"/>
      <c r="BA418" s="37"/>
      <c r="BB418" s="41"/>
      <c r="BC418" s="37"/>
      <c r="BD418" s="37"/>
      <c r="BE418" s="37"/>
      <c r="BF418" s="41"/>
      <c r="BG418" s="37"/>
      <c r="BH418" s="37"/>
      <c r="BI418" s="37"/>
      <c r="BJ418" s="41"/>
    </row>
    <row r="419" spans="2:62" ht="25.15" customHeight="1" x14ac:dyDescent="0.25">
      <c r="B419" s="49">
        <v>414</v>
      </c>
      <c r="C419" s="37"/>
      <c r="D419" s="87" t="str">
        <f>IF(tbl_Assessment[[#This Row],[Ben Code]]&lt;&gt;"",INDEX(tbl_Ben_Info[],MATCH(tbl_Assessment[[#This Row],[Ben Code]],tbl_Ben_Info[Ben Code],0),48),"")</f>
        <v/>
      </c>
      <c r="E419" s="116" t="str">
        <f>IF(tbl_Assessment[[#This Row],[Ben Code]]&lt;&gt;"",INDEX(tbl_Ben_Info[],MATCH(tbl_Assessment[[#This Row],[Ben Code]],tbl_Ben_Info[Ben Code],0),6),"")</f>
        <v/>
      </c>
      <c r="F419" s="113" t="str">
        <f>IF(tbl_Assessment[[#This Row],[Ben Code]]&lt;&gt;"",INDEX(tbl_Ben_Info[],MATCH(tbl_Assessment[[#This Row],[Ben Code]],tbl_Ben_Info[Ben Code],0),13),"")</f>
        <v/>
      </c>
      <c r="G419" s="49"/>
      <c r="H419" s="37"/>
      <c r="I419" s="37"/>
      <c r="J419" s="37"/>
      <c r="K419" s="37"/>
      <c r="L419" s="37"/>
      <c r="M419" s="59"/>
      <c r="N419" s="37"/>
      <c r="O419" s="37"/>
      <c r="P419" s="37"/>
      <c r="Q419" s="59"/>
      <c r="R419" s="49"/>
      <c r="S419" s="37"/>
      <c r="T419" s="37"/>
      <c r="U419" s="37"/>
      <c r="V419" s="37"/>
      <c r="W419" s="96" t="str">
        <f>tbl_Assessment[[#This Row],[Ben Code]] &amp; "-"&amp;tbl_Assessment[[#This Row],[admin4Pcode]]&amp;"-" &amp; TEXT(COUNTIF(INDEX(tbl_Assessment[Ben Code],1):tbl_Assessment[[#This Row],[Ben Code]], tbl_Assessment[[#This Row],[Ben Code]]), "00")</f>
        <v>--00</v>
      </c>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49"/>
      <c r="AU419" s="41"/>
      <c r="AV419" s="37"/>
      <c r="AW419" s="37"/>
      <c r="AX419" s="37"/>
      <c r="AY419" s="37"/>
      <c r="AZ419" s="37"/>
      <c r="BA419" s="37"/>
      <c r="BB419" s="41"/>
      <c r="BC419" s="37"/>
      <c r="BD419" s="37"/>
      <c r="BE419" s="37"/>
      <c r="BF419" s="41"/>
      <c r="BG419" s="37"/>
      <c r="BH419" s="37"/>
      <c r="BI419" s="37"/>
      <c r="BJ419" s="41"/>
    </row>
    <row r="420" spans="2:62" ht="25.15" customHeight="1" x14ac:dyDescent="0.25">
      <c r="B420" s="49">
        <v>415</v>
      </c>
      <c r="C420" s="37"/>
      <c r="D420" s="87" t="str">
        <f>IF(tbl_Assessment[[#This Row],[Ben Code]]&lt;&gt;"",INDEX(tbl_Ben_Info[],MATCH(tbl_Assessment[[#This Row],[Ben Code]],tbl_Ben_Info[Ben Code],0),48),"")</f>
        <v/>
      </c>
      <c r="E420" s="116" t="str">
        <f>IF(tbl_Assessment[[#This Row],[Ben Code]]&lt;&gt;"",INDEX(tbl_Ben_Info[],MATCH(tbl_Assessment[[#This Row],[Ben Code]],tbl_Ben_Info[Ben Code],0),6),"")</f>
        <v/>
      </c>
      <c r="F420" s="113" t="str">
        <f>IF(tbl_Assessment[[#This Row],[Ben Code]]&lt;&gt;"",INDEX(tbl_Ben_Info[],MATCH(tbl_Assessment[[#This Row],[Ben Code]],tbl_Ben_Info[Ben Code],0),13),"")</f>
        <v/>
      </c>
      <c r="G420" s="49"/>
      <c r="H420" s="37"/>
      <c r="I420" s="37"/>
      <c r="J420" s="37"/>
      <c r="K420" s="37"/>
      <c r="L420" s="37"/>
      <c r="M420" s="59"/>
      <c r="N420" s="37"/>
      <c r="O420" s="37"/>
      <c r="P420" s="37"/>
      <c r="Q420" s="59"/>
      <c r="R420" s="49"/>
      <c r="S420" s="37"/>
      <c r="T420" s="37"/>
      <c r="U420" s="37"/>
      <c r="V420" s="37"/>
      <c r="W420" s="96" t="str">
        <f>tbl_Assessment[[#This Row],[Ben Code]] &amp; "-"&amp;tbl_Assessment[[#This Row],[admin4Pcode]]&amp;"-" &amp; TEXT(COUNTIF(INDEX(tbl_Assessment[Ben Code],1):tbl_Assessment[[#This Row],[Ben Code]], tbl_Assessment[[#This Row],[Ben Code]]), "00")</f>
        <v>--00</v>
      </c>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49"/>
      <c r="AU420" s="41"/>
      <c r="AV420" s="37"/>
      <c r="AW420" s="37"/>
      <c r="AX420" s="37"/>
      <c r="AY420" s="37"/>
      <c r="AZ420" s="37"/>
      <c r="BA420" s="37"/>
      <c r="BB420" s="41"/>
      <c r="BC420" s="37"/>
      <c r="BD420" s="37"/>
      <c r="BE420" s="37"/>
      <c r="BF420" s="41"/>
      <c r="BG420" s="37"/>
      <c r="BH420" s="37"/>
      <c r="BI420" s="37"/>
      <c r="BJ420" s="41"/>
    </row>
    <row r="421" spans="2:62" ht="25.15" customHeight="1" x14ac:dyDescent="0.25">
      <c r="B421" s="49">
        <v>416</v>
      </c>
      <c r="C421" s="37"/>
      <c r="D421" s="87" t="str">
        <f>IF(tbl_Assessment[[#This Row],[Ben Code]]&lt;&gt;"",INDEX(tbl_Ben_Info[],MATCH(tbl_Assessment[[#This Row],[Ben Code]],tbl_Ben_Info[Ben Code],0),48),"")</f>
        <v/>
      </c>
      <c r="E421" s="116" t="str">
        <f>IF(tbl_Assessment[[#This Row],[Ben Code]]&lt;&gt;"",INDEX(tbl_Ben_Info[],MATCH(tbl_Assessment[[#This Row],[Ben Code]],tbl_Ben_Info[Ben Code],0),6),"")</f>
        <v/>
      </c>
      <c r="F421" s="113" t="str">
        <f>IF(tbl_Assessment[[#This Row],[Ben Code]]&lt;&gt;"",INDEX(tbl_Ben_Info[],MATCH(tbl_Assessment[[#This Row],[Ben Code]],tbl_Ben_Info[Ben Code],0),13),"")</f>
        <v/>
      </c>
      <c r="G421" s="49"/>
      <c r="H421" s="37"/>
      <c r="I421" s="37"/>
      <c r="J421" s="37"/>
      <c r="K421" s="37"/>
      <c r="L421" s="37"/>
      <c r="M421" s="59"/>
      <c r="N421" s="37"/>
      <c r="O421" s="37"/>
      <c r="P421" s="37"/>
      <c r="Q421" s="59"/>
      <c r="R421" s="49"/>
      <c r="S421" s="37"/>
      <c r="T421" s="37"/>
      <c r="U421" s="37"/>
      <c r="V421" s="37"/>
      <c r="W421" s="96" t="str">
        <f>tbl_Assessment[[#This Row],[Ben Code]] &amp; "-"&amp;tbl_Assessment[[#This Row],[admin4Pcode]]&amp;"-" &amp; TEXT(COUNTIF(INDEX(tbl_Assessment[Ben Code],1):tbl_Assessment[[#This Row],[Ben Code]], tbl_Assessment[[#This Row],[Ben Code]]), "00")</f>
        <v>--00</v>
      </c>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49"/>
      <c r="AU421" s="41"/>
      <c r="AV421" s="37"/>
      <c r="AW421" s="37"/>
      <c r="AX421" s="37"/>
      <c r="AY421" s="37"/>
      <c r="AZ421" s="37"/>
      <c r="BA421" s="37"/>
      <c r="BB421" s="41"/>
      <c r="BC421" s="37"/>
      <c r="BD421" s="37"/>
      <c r="BE421" s="37"/>
      <c r="BF421" s="41"/>
      <c r="BG421" s="37"/>
      <c r="BH421" s="37"/>
      <c r="BI421" s="37"/>
      <c r="BJ421" s="41"/>
    </row>
    <row r="422" spans="2:62" ht="25.15" customHeight="1" x14ac:dyDescent="0.25">
      <c r="B422" s="49">
        <v>417</v>
      </c>
      <c r="C422" s="37"/>
      <c r="D422" s="87" t="str">
        <f>IF(tbl_Assessment[[#This Row],[Ben Code]]&lt;&gt;"",INDEX(tbl_Ben_Info[],MATCH(tbl_Assessment[[#This Row],[Ben Code]],tbl_Ben_Info[Ben Code],0),48),"")</f>
        <v/>
      </c>
      <c r="E422" s="116" t="str">
        <f>IF(tbl_Assessment[[#This Row],[Ben Code]]&lt;&gt;"",INDEX(tbl_Ben_Info[],MATCH(tbl_Assessment[[#This Row],[Ben Code]],tbl_Ben_Info[Ben Code],0),6),"")</f>
        <v/>
      </c>
      <c r="F422" s="113" t="str">
        <f>IF(tbl_Assessment[[#This Row],[Ben Code]]&lt;&gt;"",INDEX(tbl_Ben_Info[],MATCH(tbl_Assessment[[#This Row],[Ben Code]],tbl_Ben_Info[Ben Code],0),13),"")</f>
        <v/>
      </c>
      <c r="G422" s="49"/>
      <c r="H422" s="37"/>
      <c r="I422" s="37"/>
      <c r="J422" s="37"/>
      <c r="K422" s="37"/>
      <c r="L422" s="37"/>
      <c r="M422" s="59"/>
      <c r="N422" s="37"/>
      <c r="O422" s="37"/>
      <c r="P422" s="37"/>
      <c r="Q422" s="59"/>
      <c r="R422" s="49"/>
      <c r="S422" s="37"/>
      <c r="T422" s="37"/>
      <c r="U422" s="37"/>
      <c r="V422" s="37"/>
      <c r="W422" s="96" t="str">
        <f>tbl_Assessment[[#This Row],[Ben Code]] &amp; "-"&amp;tbl_Assessment[[#This Row],[admin4Pcode]]&amp;"-" &amp; TEXT(COUNTIF(INDEX(tbl_Assessment[Ben Code],1):tbl_Assessment[[#This Row],[Ben Code]], tbl_Assessment[[#This Row],[Ben Code]]), "00")</f>
        <v>--00</v>
      </c>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49"/>
      <c r="AU422" s="41"/>
      <c r="AV422" s="37"/>
      <c r="AW422" s="37"/>
      <c r="AX422" s="37"/>
      <c r="AY422" s="37"/>
      <c r="AZ422" s="37"/>
      <c r="BA422" s="37"/>
      <c r="BB422" s="41"/>
      <c r="BC422" s="37"/>
      <c r="BD422" s="37"/>
      <c r="BE422" s="37"/>
      <c r="BF422" s="41"/>
      <c r="BG422" s="37"/>
      <c r="BH422" s="37"/>
      <c r="BI422" s="37"/>
      <c r="BJ422" s="41"/>
    </row>
    <row r="423" spans="2:62" ht="25.15" customHeight="1" x14ac:dyDescent="0.25">
      <c r="B423" s="49">
        <v>418</v>
      </c>
      <c r="C423" s="37"/>
      <c r="D423" s="87" t="str">
        <f>IF(tbl_Assessment[[#This Row],[Ben Code]]&lt;&gt;"",INDEX(tbl_Ben_Info[],MATCH(tbl_Assessment[[#This Row],[Ben Code]],tbl_Ben_Info[Ben Code],0),48),"")</f>
        <v/>
      </c>
      <c r="E423" s="116" t="str">
        <f>IF(tbl_Assessment[[#This Row],[Ben Code]]&lt;&gt;"",INDEX(tbl_Ben_Info[],MATCH(tbl_Assessment[[#This Row],[Ben Code]],tbl_Ben_Info[Ben Code],0),6),"")</f>
        <v/>
      </c>
      <c r="F423" s="113" t="str">
        <f>IF(tbl_Assessment[[#This Row],[Ben Code]]&lt;&gt;"",INDEX(tbl_Ben_Info[],MATCH(tbl_Assessment[[#This Row],[Ben Code]],tbl_Ben_Info[Ben Code],0),13),"")</f>
        <v/>
      </c>
      <c r="G423" s="49"/>
      <c r="H423" s="37"/>
      <c r="I423" s="37"/>
      <c r="J423" s="37"/>
      <c r="K423" s="37"/>
      <c r="L423" s="37"/>
      <c r="M423" s="59"/>
      <c r="N423" s="37"/>
      <c r="O423" s="37"/>
      <c r="P423" s="37"/>
      <c r="Q423" s="59"/>
      <c r="R423" s="49"/>
      <c r="S423" s="37"/>
      <c r="T423" s="37"/>
      <c r="U423" s="37"/>
      <c r="V423" s="37"/>
      <c r="W423" s="96" t="str">
        <f>tbl_Assessment[[#This Row],[Ben Code]] &amp; "-"&amp;tbl_Assessment[[#This Row],[admin4Pcode]]&amp;"-" &amp; TEXT(COUNTIF(INDEX(tbl_Assessment[Ben Code],1):tbl_Assessment[[#This Row],[Ben Code]], tbl_Assessment[[#This Row],[Ben Code]]), "00")</f>
        <v>--00</v>
      </c>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49"/>
      <c r="AU423" s="41"/>
      <c r="AV423" s="37"/>
      <c r="AW423" s="37"/>
      <c r="AX423" s="37"/>
      <c r="AY423" s="37"/>
      <c r="AZ423" s="37"/>
      <c r="BA423" s="37"/>
      <c r="BB423" s="41"/>
      <c r="BC423" s="37"/>
      <c r="BD423" s="37"/>
      <c r="BE423" s="37"/>
      <c r="BF423" s="41"/>
      <c r="BG423" s="37"/>
      <c r="BH423" s="37"/>
      <c r="BI423" s="37"/>
      <c r="BJ423" s="41"/>
    </row>
    <row r="424" spans="2:62" ht="25.15" customHeight="1" x14ac:dyDescent="0.25">
      <c r="B424" s="49">
        <v>419</v>
      </c>
      <c r="C424" s="37"/>
      <c r="D424" s="87" t="str">
        <f>IF(tbl_Assessment[[#This Row],[Ben Code]]&lt;&gt;"",INDEX(tbl_Ben_Info[],MATCH(tbl_Assessment[[#This Row],[Ben Code]],tbl_Ben_Info[Ben Code],0),48),"")</f>
        <v/>
      </c>
      <c r="E424" s="116" t="str">
        <f>IF(tbl_Assessment[[#This Row],[Ben Code]]&lt;&gt;"",INDEX(tbl_Ben_Info[],MATCH(tbl_Assessment[[#This Row],[Ben Code]],tbl_Ben_Info[Ben Code],0),6),"")</f>
        <v/>
      </c>
      <c r="F424" s="113" t="str">
        <f>IF(tbl_Assessment[[#This Row],[Ben Code]]&lt;&gt;"",INDEX(tbl_Ben_Info[],MATCH(tbl_Assessment[[#This Row],[Ben Code]],tbl_Ben_Info[Ben Code],0),13),"")</f>
        <v/>
      </c>
      <c r="G424" s="49"/>
      <c r="H424" s="37"/>
      <c r="I424" s="37"/>
      <c r="J424" s="37"/>
      <c r="K424" s="37"/>
      <c r="L424" s="37"/>
      <c r="M424" s="59"/>
      <c r="N424" s="37"/>
      <c r="O424" s="37"/>
      <c r="P424" s="37"/>
      <c r="Q424" s="59"/>
      <c r="R424" s="49"/>
      <c r="S424" s="37"/>
      <c r="T424" s="37"/>
      <c r="U424" s="37"/>
      <c r="V424" s="37"/>
      <c r="W424" s="96" t="str">
        <f>tbl_Assessment[[#This Row],[Ben Code]] &amp; "-"&amp;tbl_Assessment[[#This Row],[admin4Pcode]]&amp;"-" &amp; TEXT(COUNTIF(INDEX(tbl_Assessment[Ben Code],1):tbl_Assessment[[#This Row],[Ben Code]], tbl_Assessment[[#This Row],[Ben Code]]), "00")</f>
        <v>--00</v>
      </c>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49"/>
      <c r="AU424" s="41"/>
      <c r="AV424" s="37"/>
      <c r="AW424" s="37"/>
      <c r="AX424" s="37"/>
      <c r="AY424" s="37"/>
      <c r="AZ424" s="37"/>
      <c r="BA424" s="37"/>
      <c r="BB424" s="41"/>
      <c r="BC424" s="37"/>
      <c r="BD424" s="37"/>
      <c r="BE424" s="37"/>
      <c r="BF424" s="41"/>
      <c r="BG424" s="37"/>
      <c r="BH424" s="37"/>
      <c r="BI424" s="37"/>
      <c r="BJ424" s="41"/>
    </row>
    <row r="425" spans="2:62" ht="25.15" customHeight="1" x14ac:dyDescent="0.25">
      <c r="B425" s="49">
        <v>420</v>
      </c>
      <c r="C425" s="37"/>
      <c r="D425" s="87" t="str">
        <f>IF(tbl_Assessment[[#This Row],[Ben Code]]&lt;&gt;"",INDEX(tbl_Ben_Info[],MATCH(tbl_Assessment[[#This Row],[Ben Code]],tbl_Ben_Info[Ben Code],0),48),"")</f>
        <v/>
      </c>
      <c r="E425" s="116" t="str">
        <f>IF(tbl_Assessment[[#This Row],[Ben Code]]&lt;&gt;"",INDEX(tbl_Ben_Info[],MATCH(tbl_Assessment[[#This Row],[Ben Code]],tbl_Ben_Info[Ben Code],0),6),"")</f>
        <v/>
      </c>
      <c r="F425" s="113" t="str">
        <f>IF(tbl_Assessment[[#This Row],[Ben Code]]&lt;&gt;"",INDEX(tbl_Ben_Info[],MATCH(tbl_Assessment[[#This Row],[Ben Code]],tbl_Ben_Info[Ben Code],0),13),"")</f>
        <v/>
      </c>
      <c r="G425" s="49"/>
      <c r="H425" s="37"/>
      <c r="I425" s="37"/>
      <c r="J425" s="37"/>
      <c r="K425" s="37"/>
      <c r="L425" s="37"/>
      <c r="M425" s="59"/>
      <c r="N425" s="37"/>
      <c r="O425" s="37"/>
      <c r="P425" s="37"/>
      <c r="Q425" s="59"/>
      <c r="R425" s="49"/>
      <c r="S425" s="37"/>
      <c r="T425" s="37"/>
      <c r="U425" s="37"/>
      <c r="V425" s="37"/>
      <c r="W425" s="96" t="str">
        <f>tbl_Assessment[[#This Row],[Ben Code]] &amp; "-"&amp;tbl_Assessment[[#This Row],[admin4Pcode]]&amp;"-" &amp; TEXT(COUNTIF(INDEX(tbl_Assessment[Ben Code],1):tbl_Assessment[[#This Row],[Ben Code]], tbl_Assessment[[#This Row],[Ben Code]]), "00")</f>
        <v>--00</v>
      </c>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49"/>
      <c r="AU425" s="41"/>
      <c r="AV425" s="37"/>
      <c r="AW425" s="37"/>
      <c r="AX425" s="37"/>
      <c r="AY425" s="37"/>
      <c r="AZ425" s="37"/>
      <c r="BA425" s="37"/>
      <c r="BB425" s="41"/>
      <c r="BC425" s="37"/>
      <c r="BD425" s="37"/>
      <c r="BE425" s="37"/>
      <c r="BF425" s="41"/>
      <c r="BG425" s="37"/>
      <c r="BH425" s="37"/>
      <c r="BI425" s="37"/>
      <c r="BJ425" s="41"/>
    </row>
    <row r="426" spans="2:62" ht="25.15" customHeight="1" x14ac:dyDescent="0.25">
      <c r="B426" s="49">
        <v>421</v>
      </c>
      <c r="C426" s="37"/>
      <c r="D426" s="87" t="str">
        <f>IF(tbl_Assessment[[#This Row],[Ben Code]]&lt;&gt;"",INDEX(tbl_Ben_Info[],MATCH(tbl_Assessment[[#This Row],[Ben Code]],tbl_Ben_Info[Ben Code],0),48),"")</f>
        <v/>
      </c>
      <c r="E426" s="116" t="str">
        <f>IF(tbl_Assessment[[#This Row],[Ben Code]]&lt;&gt;"",INDEX(tbl_Ben_Info[],MATCH(tbl_Assessment[[#This Row],[Ben Code]],tbl_Ben_Info[Ben Code],0),6),"")</f>
        <v/>
      </c>
      <c r="F426" s="113" t="str">
        <f>IF(tbl_Assessment[[#This Row],[Ben Code]]&lt;&gt;"",INDEX(tbl_Ben_Info[],MATCH(tbl_Assessment[[#This Row],[Ben Code]],tbl_Ben_Info[Ben Code],0),13),"")</f>
        <v/>
      </c>
      <c r="G426" s="49"/>
      <c r="H426" s="37"/>
      <c r="I426" s="37"/>
      <c r="J426" s="37"/>
      <c r="K426" s="37"/>
      <c r="L426" s="37"/>
      <c r="M426" s="59"/>
      <c r="N426" s="37"/>
      <c r="O426" s="37"/>
      <c r="P426" s="37"/>
      <c r="Q426" s="59"/>
      <c r="R426" s="49"/>
      <c r="S426" s="37"/>
      <c r="T426" s="37"/>
      <c r="U426" s="37"/>
      <c r="V426" s="37"/>
      <c r="W426" s="96" t="str">
        <f>tbl_Assessment[[#This Row],[Ben Code]] &amp; "-"&amp;tbl_Assessment[[#This Row],[admin4Pcode]]&amp;"-" &amp; TEXT(COUNTIF(INDEX(tbl_Assessment[Ben Code],1):tbl_Assessment[[#This Row],[Ben Code]], tbl_Assessment[[#This Row],[Ben Code]]), "00")</f>
        <v>--00</v>
      </c>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49"/>
      <c r="AU426" s="41"/>
      <c r="AV426" s="37"/>
      <c r="AW426" s="37"/>
      <c r="AX426" s="37"/>
      <c r="AY426" s="37"/>
      <c r="AZ426" s="37"/>
      <c r="BA426" s="37"/>
      <c r="BB426" s="41"/>
      <c r="BC426" s="37"/>
      <c r="BD426" s="37"/>
      <c r="BE426" s="37"/>
      <c r="BF426" s="41"/>
      <c r="BG426" s="37"/>
      <c r="BH426" s="37"/>
      <c r="BI426" s="37"/>
      <c r="BJ426" s="41"/>
    </row>
    <row r="427" spans="2:62" ht="25.15" customHeight="1" x14ac:dyDescent="0.25">
      <c r="B427" s="49">
        <v>422</v>
      </c>
      <c r="C427" s="37"/>
      <c r="D427" s="87" t="str">
        <f>IF(tbl_Assessment[[#This Row],[Ben Code]]&lt;&gt;"",INDEX(tbl_Ben_Info[],MATCH(tbl_Assessment[[#This Row],[Ben Code]],tbl_Ben_Info[Ben Code],0),48),"")</f>
        <v/>
      </c>
      <c r="E427" s="116" t="str">
        <f>IF(tbl_Assessment[[#This Row],[Ben Code]]&lt;&gt;"",INDEX(tbl_Ben_Info[],MATCH(tbl_Assessment[[#This Row],[Ben Code]],tbl_Ben_Info[Ben Code],0),6),"")</f>
        <v/>
      </c>
      <c r="F427" s="113" t="str">
        <f>IF(tbl_Assessment[[#This Row],[Ben Code]]&lt;&gt;"",INDEX(tbl_Ben_Info[],MATCH(tbl_Assessment[[#This Row],[Ben Code]],tbl_Ben_Info[Ben Code],0),13),"")</f>
        <v/>
      </c>
      <c r="G427" s="49"/>
      <c r="H427" s="37"/>
      <c r="I427" s="37"/>
      <c r="J427" s="37"/>
      <c r="K427" s="37"/>
      <c r="L427" s="37"/>
      <c r="M427" s="59"/>
      <c r="N427" s="37"/>
      <c r="O427" s="37"/>
      <c r="P427" s="37"/>
      <c r="Q427" s="59"/>
      <c r="R427" s="49"/>
      <c r="S427" s="37"/>
      <c r="T427" s="37"/>
      <c r="U427" s="37"/>
      <c r="V427" s="37"/>
      <c r="W427" s="96" t="str">
        <f>tbl_Assessment[[#This Row],[Ben Code]] &amp; "-"&amp;tbl_Assessment[[#This Row],[admin4Pcode]]&amp;"-" &amp; TEXT(COUNTIF(INDEX(tbl_Assessment[Ben Code],1):tbl_Assessment[[#This Row],[Ben Code]], tbl_Assessment[[#This Row],[Ben Code]]), "00")</f>
        <v>--00</v>
      </c>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49"/>
      <c r="AU427" s="41"/>
      <c r="AV427" s="37"/>
      <c r="AW427" s="37"/>
      <c r="AX427" s="37"/>
      <c r="AY427" s="37"/>
      <c r="AZ427" s="37"/>
      <c r="BA427" s="37"/>
      <c r="BB427" s="41"/>
      <c r="BC427" s="37"/>
      <c r="BD427" s="37"/>
      <c r="BE427" s="37"/>
      <c r="BF427" s="41"/>
      <c r="BG427" s="37"/>
      <c r="BH427" s="37"/>
      <c r="BI427" s="37"/>
      <c r="BJ427" s="41"/>
    </row>
    <row r="428" spans="2:62" ht="25.15" customHeight="1" x14ac:dyDescent="0.25">
      <c r="B428" s="49">
        <v>423</v>
      </c>
      <c r="C428" s="37"/>
      <c r="D428" s="87" t="str">
        <f>IF(tbl_Assessment[[#This Row],[Ben Code]]&lt;&gt;"",INDEX(tbl_Ben_Info[],MATCH(tbl_Assessment[[#This Row],[Ben Code]],tbl_Ben_Info[Ben Code],0),48),"")</f>
        <v/>
      </c>
      <c r="E428" s="116" t="str">
        <f>IF(tbl_Assessment[[#This Row],[Ben Code]]&lt;&gt;"",INDEX(tbl_Ben_Info[],MATCH(tbl_Assessment[[#This Row],[Ben Code]],tbl_Ben_Info[Ben Code],0),6),"")</f>
        <v/>
      </c>
      <c r="F428" s="113" t="str">
        <f>IF(tbl_Assessment[[#This Row],[Ben Code]]&lt;&gt;"",INDEX(tbl_Ben_Info[],MATCH(tbl_Assessment[[#This Row],[Ben Code]],tbl_Ben_Info[Ben Code],0),13),"")</f>
        <v/>
      </c>
      <c r="G428" s="49"/>
      <c r="H428" s="37"/>
      <c r="I428" s="37"/>
      <c r="J428" s="37"/>
      <c r="K428" s="37"/>
      <c r="L428" s="37"/>
      <c r="M428" s="59"/>
      <c r="N428" s="37"/>
      <c r="O428" s="37"/>
      <c r="P428" s="37"/>
      <c r="Q428" s="59"/>
      <c r="R428" s="49"/>
      <c r="S428" s="37"/>
      <c r="T428" s="37"/>
      <c r="U428" s="37"/>
      <c r="V428" s="37"/>
      <c r="W428" s="96" t="str">
        <f>tbl_Assessment[[#This Row],[Ben Code]] &amp; "-"&amp;tbl_Assessment[[#This Row],[admin4Pcode]]&amp;"-" &amp; TEXT(COUNTIF(INDEX(tbl_Assessment[Ben Code],1):tbl_Assessment[[#This Row],[Ben Code]], tbl_Assessment[[#This Row],[Ben Code]]), "00")</f>
        <v>--00</v>
      </c>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49"/>
      <c r="AU428" s="41"/>
      <c r="AV428" s="37"/>
      <c r="AW428" s="37"/>
      <c r="AX428" s="37"/>
      <c r="AY428" s="37"/>
      <c r="AZ428" s="37"/>
      <c r="BA428" s="37"/>
      <c r="BB428" s="41"/>
      <c r="BC428" s="37"/>
      <c r="BD428" s="37"/>
      <c r="BE428" s="37"/>
      <c r="BF428" s="41"/>
      <c r="BG428" s="37"/>
      <c r="BH428" s="37"/>
      <c r="BI428" s="37"/>
      <c r="BJ428" s="41"/>
    </row>
    <row r="429" spans="2:62" ht="25.15" customHeight="1" x14ac:dyDescent="0.25">
      <c r="B429" s="49">
        <v>424</v>
      </c>
      <c r="C429" s="37"/>
      <c r="D429" s="87" t="str">
        <f>IF(tbl_Assessment[[#This Row],[Ben Code]]&lt;&gt;"",INDEX(tbl_Ben_Info[],MATCH(tbl_Assessment[[#This Row],[Ben Code]],tbl_Ben_Info[Ben Code],0),48),"")</f>
        <v/>
      </c>
      <c r="E429" s="116" t="str">
        <f>IF(tbl_Assessment[[#This Row],[Ben Code]]&lt;&gt;"",INDEX(tbl_Ben_Info[],MATCH(tbl_Assessment[[#This Row],[Ben Code]],tbl_Ben_Info[Ben Code],0),6),"")</f>
        <v/>
      </c>
      <c r="F429" s="113" t="str">
        <f>IF(tbl_Assessment[[#This Row],[Ben Code]]&lt;&gt;"",INDEX(tbl_Ben_Info[],MATCH(tbl_Assessment[[#This Row],[Ben Code]],tbl_Ben_Info[Ben Code],0),13),"")</f>
        <v/>
      </c>
      <c r="G429" s="49"/>
      <c r="H429" s="37"/>
      <c r="I429" s="37"/>
      <c r="J429" s="37"/>
      <c r="K429" s="37"/>
      <c r="L429" s="37"/>
      <c r="M429" s="59"/>
      <c r="N429" s="37"/>
      <c r="O429" s="37"/>
      <c r="P429" s="37"/>
      <c r="Q429" s="59"/>
      <c r="R429" s="49"/>
      <c r="S429" s="37"/>
      <c r="T429" s="37"/>
      <c r="U429" s="37"/>
      <c r="V429" s="37"/>
      <c r="W429" s="96" t="str">
        <f>tbl_Assessment[[#This Row],[Ben Code]] &amp; "-"&amp;tbl_Assessment[[#This Row],[admin4Pcode]]&amp;"-" &amp; TEXT(COUNTIF(INDEX(tbl_Assessment[Ben Code],1):tbl_Assessment[[#This Row],[Ben Code]], tbl_Assessment[[#This Row],[Ben Code]]), "00")</f>
        <v>--00</v>
      </c>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49"/>
      <c r="AU429" s="41"/>
      <c r="AV429" s="37"/>
      <c r="AW429" s="37"/>
      <c r="AX429" s="37"/>
      <c r="AY429" s="37"/>
      <c r="AZ429" s="37"/>
      <c r="BA429" s="37"/>
      <c r="BB429" s="41"/>
      <c r="BC429" s="37"/>
      <c r="BD429" s="37"/>
      <c r="BE429" s="37"/>
      <c r="BF429" s="41"/>
      <c r="BG429" s="37"/>
      <c r="BH429" s="37"/>
      <c r="BI429" s="37"/>
      <c r="BJ429" s="41"/>
    </row>
    <row r="430" spans="2:62" ht="25.15" customHeight="1" x14ac:dyDescent="0.25">
      <c r="B430" s="49">
        <v>425</v>
      </c>
      <c r="C430" s="37"/>
      <c r="D430" s="87" t="str">
        <f>IF(tbl_Assessment[[#This Row],[Ben Code]]&lt;&gt;"",INDEX(tbl_Ben_Info[],MATCH(tbl_Assessment[[#This Row],[Ben Code]],tbl_Ben_Info[Ben Code],0),48),"")</f>
        <v/>
      </c>
      <c r="E430" s="116" t="str">
        <f>IF(tbl_Assessment[[#This Row],[Ben Code]]&lt;&gt;"",INDEX(tbl_Ben_Info[],MATCH(tbl_Assessment[[#This Row],[Ben Code]],tbl_Ben_Info[Ben Code],0),6),"")</f>
        <v/>
      </c>
      <c r="F430" s="113" t="str">
        <f>IF(tbl_Assessment[[#This Row],[Ben Code]]&lt;&gt;"",INDEX(tbl_Ben_Info[],MATCH(tbl_Assessment[[#This Row],[Ben Code]],tbl_Ben_Info[Ben Code],0),13),"")</f>
        <v/>
      </c>
      <c r="G430" s="49"/>
      <c r="H430" s="37"/>
      <c r="I430" s="37"/>
      <c r="J430" s="37"/>
      <c r="K430" s="37"/>
      <c r="L430" s="37"/>
      <c r="M430" s="59"/>
      <c r="N430" s="37"/>
      <c r="O430" s="37"/>
      <c r="P430" s="37"/>
      <c r="Q430" s="59"/>
      <c r="R430" s="49"/>
      <c r="S430" s="37"/>
      <c r="T430" s="37"/>
      <c r="U430" s="37"/>
      <c r="V430" s="37"/>
      <c r="W430" s="96" t="str">
        <f>tbl_Assessment[[#This Row],[Ben Code]] &amp; "-"&amp;tbl_Assessment[[#This Row],[admin4Pcode]]&amp;"-" &amp; TEXT(COUNTIF(INDEX(tbl_Assessment[Ben Code],1):tbl_Assessment[[#This Row],[Ben Code]], tbl_Assessment[[#This Row],[Ben Code]]), "00")</f>
        <v>--00</v>
      </c>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49"/>
      <c r="AU430" s="41"/>
      <c r="AV430" s="37"/>
      <c r="AW430" s="37"/>
      <c r="AX430" s="37"/>
      <c r="AY430" s="37"/>
      <c r="AZ430" s="37"/>
      <c r="BA430" s="37"/>
      <c r="BB430" s="41"/>
      <c r="BC430" s="37"/>
      <c r="BD430" s="37"/>
      <c r="BE430" s="37"/>
      <c r="BF430" s="41"/>
      <c r="BG430" s="37"/>
      <c r="BH430" s="37"/>
      <c r="BI430" s="37"/>
      <c r="BJ430" s="41"/>
    </row>
    <row r="431" spans="2:62" ht="25.15" customHeight="1" x14ac:dyDescent="0.25">
      <c r="B431" s="49">
        <v>426</v>
      </c>
      <c r="C431" s="37"/>
      <c r="D431" s="87" t="str">
        <f>IF(tbl_Assessment[[#This Row],[Ben Code]]&lt;&gt;"",INDEX(tbl_Ben_Info[],MATCH(tbl_Assessment[[#This Row],[Ben Code]],tbl_Ben_Info[Ben Code],0),48),"")</f>
        <v/>
      </c>
      <c r="E431" s="116" t="str">
        <f>IF(tbl_Assessment[[#This Row],[Ben Code]]&lt;&gt;"",INDEX(tbl_Ben_Info[],MATCH(tbl_Assessment[[#This Row],[Ben Code]],tbl_Ben_Info[Ben Code],0),6),"")</f>
        <v/>
      </c>
      <c r="F431" s="113" t="str">
        <f>IF(tbl_Assessment[[#This Row],[Ben Code]]&lt;&gt;"",INDEX(tbl_Ben_Info[],MATCH(tbl_Assessment[[#This Row],[Ben Code]],tbl_Ben_Info[Ben Code],0),13),"")</f>
        <v/>
      </c>
      <c r="G431" s="49"/>
      <c r="H431" s="37"/>
      <c r="I431" s="37"/>
      <c r="J431" s="37"/>
      <c r="K431" s="37"/>
      <c r="L431" s="37"/>
      <c r="M431" s="59"/>
      <c r="N431" s="37"/>
      <c r="O431" s="37"/>
      <c r="P431" s="37"/>
      <c r="Q431" s="59"/>
      <c r="R431" s="49"/>
      <c r="S431" s="37"/>
      <c r="T431" s="37"/>
      <c r="U431" s="37"/>
      <c r="V431" s="37"/>
      <c r="W431" s="96" t="str">
        <f>tbl_Assessment[[#This Row],[Ben Code]] &amp; "-"&amp;tbl_Assessment[[#This Row],[admin4Pcode]]&amp;"-" &amp; TEXT(COUNTIF(INDEX(tbl_Assessment[Ben Code],1):tbl_Assessment[[#This Row],[Ben Code]], tbl_Assessment[[#This Row],[Ben Code]]), "00")</f>
        <v>--00</v>
      </c>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49"/>
      <c r="AU431" s="41"/>
      <c r="AV431" s="37"/>
      <c r="AW431" s="37"/>
      <c r="AX431" s="37"/>
      <c r="AY431" s="37"/>
      <c r="AZ431" s="37"/>
      <c r="BA431" s="37"/>
      <c r="BB431" s="41"/>
      <c r="BC431" s="37"/>
      <c r="BD431" s="37"/>
      <c r="BE431" s="37"/>
      <c r="BF431" s="41"/>
      <c r="BG431" s="37"/>
      <c r="BH431" s="37"/>
      <c r="BI431" s="37"/>
      <c r="BJ431" s="41"/>
    </row>
    <row r="432" spans="2:62" ht="25.15" customHeight="1" x14ac:dyDescent="0.25">
      <c r="B432" s="49">
        <v>427</v>
      </c>
      <c r="C432" s="37"/>
      <c r="D432" s="87" t="str">
        <f>IF(tbl_Assessment[[#This Row],[Ben Code]]&lt;&gt;"",INDEX(tbl_Ben_Info[],MATCH(tbl_Assessment[[#This Row],[Ben Code]],tbl_Ben_Info[Ben Code],0),48),"")</f>
        <v/>
      </c>
      <c r="E432" s="116" t="str">
        <f>IF(tbl_Assessment[[#This Row],[Ben Code]]&lt;&gt;"",INDEX(tbl_Ben_Info[],MATCH(tbl_Assessment[[#This Row],[Ben Code]],tbl_Ben_Info[Ben Code],0),6),"")</f>
        <v/>
      </c>
      <c r="F432" s="113" t="str">
        <f>IF(tbl_Assessment[[#This Row],[Ben Code]]&lt;&gt;"",INDEX(tbl_Ben_Info[],MATCH(tbl_Assessment[[#This Row],[Ben Code]],tbl_Ben_Info[Ben Code],0),13),"")</f>
        <v/>
      </c>
      <c r="G432" s="49"/>
      <c r="H432" s="37"/>
      <c r="I432" s="37"/>
      <c r="J432" s="37"/>
      <c r="K432" s="37"/>
      <c r="L432" s="37"/>
      <c r="M432" s="59"/>
      <c r="N432" s="37"/>
      <c r="O432" s="37"/>
      <c r="P432" s="37"/>
      <c r="Q432" s="59"/>
      <c r="R432" s="49"/>
      <c r="S432" s="37"/>
      <c r="T432" s="37"/>
      <c r="U432" s="37"/>
      <c r="V432" s="37"/>
      <c r="W432" s="96" t="str">
        <f>tbl_Assessment[[#This Row],[Ben Code]] &amp; "-"&amp;tbl_Assessment[[#This Row],[admin4Pcode]]&amp;"-" &amp; TEXT(COUNTIF(INDEX(tbl_Assessment[Ben Code],1):tbl_Assessment[[#This Row],[Ben Code]], tbl_Assessment[[#This Row],[Ben Code]]), "00")</f>
        <v>--00</v>
      </c>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49"/>
      <c r="AU432" s="41"/>
      <c r="AV432" s="37"/>
      <c r="AW432" s="37"/>
      <c r="AX432" s="37"/>
      <c r="AY432" s="37"/>
      <c r="AZ432" s="37"/>
      <c r="BA432" s="37"/>
      <c r="BB432" s="41"/>
      <c r="BC432" s="37"/>
      <c r="BD432" s="37"/>
      <c r="BE432" s="37"/>
      <c r="BF432" s="41"/>
      <c r="BG432" s="37"/>
      <c r="BH432" s="37"/>
      <c r="BI432" s="37"/>
      <c r="BJ432" s="41"/>
    </row>
    <row r="433" spans="2:62" ht="25.15" customHeight="1" x14ac:dyDescent="0.25">
      <c r="B433" s="49">
        <v>428</v>
      </c>
      <c r="C433" s="37"/>
      <c r="D433" s="87" t="str">
        <f>IF(tbl_Assessment[[#This Row],[Ben Code]]&lt;&gt;"",INDEX(tbl_Ben_Info[],MATCH(tbl_Assessment[[#This Row],[Ben Code]],tbl_Ben_Info[Ben Code],0),48),"")</f>
        <v/>
      </c>
      <c r="E433" s="116" t="str">
        <f>IF(tbl_Assessment[[#This Row],[Ben Code]]&lt;&gt;"",INDEX(tbl_Ben_Info[],MATCH(tbl_Assessment[[#This Row],[Ben Code]],tbl_Ben_Info[Ben Code],0),6),"")</f>
        <v/>
      </c>
      <c r="F433" s="113" t="str">
        <f>IF(tbl_Assessment[[#This Row],[Ben Code]]&lt;&gt;"",INDEX(tbl_Ben_Info[],MATCH(tbl_Assessment[[#This Row],[Ben Code]],tbl_Ben_Info[Ben Code],0),13),"")</f>
        <v/>
      </c>
      <c r="G433" s="49"/>
      <c r="H433" s="37"/>
      <c r="I433" s="37"/>
      <c r="J433" s="37"/>
      <c r="K433" s="37"/>
      <c r="L433" s="37"/>
      <c r="M433" s="59"/>
      <c r="N433" s="37"/>
      <c r="O433" s="37"/>
      <c r="P433" s="37"/>
      <c r="Q433" s="59"/>
      <c r="R433" s="49"/>
      <c r="S433" s="37"/>
      <c r="T433" s="37"/>
      <c r="U433" s="37"/>
      <c r="V433" s="37"/>
      <c r="W433" s="96" t="str">
        <f>tbl_Assessment[[#This Row],[Ben Code]] &amp; "-"&amp;tbl_Assessment[[#This Row],[admin4Pcode]]&amp;"-" &amp; TEXT(COUNTIF(INDEX(tbl_Assessment[Ben Code],1):tbl_Assessment[[#This Row],[Ben Code]], tbl_Assessment[[#This Row],[Ben Code]]), "00")</f>
        <v>--00</v>
      </c>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49"/>
      <c r="AU433" s="41"/>
      <c r="AV433" s="37"/>
      <c r="AW433" s="37"/>
      <c r="AX433" s="37"/>
      <c r="AY433" s="37"/>
      <c r="AZ433" s="37"/>
      <c r="BA433" s="37"/>
      <c r="BB433" s="41"/>
      <c r="BC433" s="37"/>
      <c r="BD433" s="37"/>
      <c r="BE433" s="37"/>
      <c r="BF433" s="41"/>
      <c r="BG433" s="37"/>
      <c r="BH433" s="37"/>
      <c r="BI433" s="37"/>
      <c r="BJ433" s="41"/>
    </row>
    <row r="434" spans="2:62" ht="25.15" customHeight="1" x14ac:dyDescent="0.25">
      <c r="B434" s="49">
        <v>429</v>
      </c>
      <c r="C434" s="37"/>
      <c r="D434" s="87" t="str">
        <f>IF(tbl_Assessment[[#This Row],[Ben Code]]&lt;&gt;"",INDEX(tbl_Ben_Info[],MATCH(tbl_Assessment[[#This Row],[Ben Code]],tbl_Ben_Info[Ben Code],0),48),"")</f>
        <v/>
      </c>
      <c r="E434" s="116" t="str">
        <f>IF(tbl_Assessment[[#This Row],[Ben Code]]&lt;&gt;"",INDEX(tbl_Ben_Info[],MATCH(tbl_Assessment[[#This Row],[Ben Code]],tbl_Ben_Info[Ben Code],0),6),"")</f>
        <v/>
      </c>
      <c r="F434" s="113" t="str">
        <f>IF(tbl_Assessment[[#This Row],[Ben Code]]&lt;&gt;"",INDEX(tbl_Ben_Info[],MATCH(tbl_Assessment[[#This Row],[Ben Code]],tbl_Ben_Info[Ben Code],0),13),"")</f>
        <v/>
      </c>
      <c r="G434" s="49"/>
      <c r="H434" s="37"/>
      <c r="I434" s="37"/>
      <c r="J434" s="37"/>
      <c r="K434" s="37"/>
      <c r="L434" s="37"/>
      <c r="M434" s="59"/>
      <c r="N434" s="37"/>
      <c r="O434" s="37"/>
      <c r="P434" s="37"/>
      <c r="Q434" s="59"/>
      <c r="R434" s="49"/>
      <c r="S434" s="37"/>
      <c r="T434" s="37"/>
      <c r="U434" s="37"/>
      <c r="V434" s="37"/>
      <c r="W434" s="96" t="str">
        <f>tbl_Assessment[[#This Row],[Ben Code]] &amp; "-"&amp;tbl_Assessment[[#This Row],[admin4Pcode]]&amp;"-" &amp; TEXT(COUNTIF(INDEX(tbl_Assessment[Ben Code],1):tbl_Assessment[[#This Row],[Ben Code]], tbl_Assessment[[#This Row],[Ben Code]]), "00")</f>
        <v>--00</v>
      </c>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49"/>
      <c r="AU434" s="41"/>
      <c r="AV434" s="37"/>
      <c r="AW434" s="37"/>
      <c r="AX434" s="37"/>
      <c r="AY434" s="37"/>
      <c r="AZ434" s="37"/>
      <c r="BA434" s="37"/>
      <c r="BB434" s="41"/>
      <c r="BC434" s="37"/>
      <c r="BD434" s="37"/>
      <c r="BE434" s="37"/>
      <c r="BF434" s="41"/>
      <c r="BG434" s="37"/>
      <c r="BH434" s="37"/>
      <c r="BI434" s="37"/>
      <c r="BJ434" s="41"/>
    </row>
    <row r="435" spans="2:62" ht="25.15" customHeight="1" x14ac:dyDescent="0.25">
      <c r="B435" s="49">
        <v>430</v>
      </c>
      <c r="C435" s="37"/>
      <c r="D435" s="87" t="str">
        <f>IF(tbl_Assessment[[#This Row],[Ben Code]]&lt;&gt;"",INDEX(tbl_Ben_Info[],MATCH(tbl_Assessment[[#This Row],[Ben Code]],tbl_Ben_Info[Ben Code],0),48),"")</f>
        <v/>
      </c>
      <c r="E435" s="116" t="str">
        <f>IF(tbl_Assessment[[#This Row],[Ben Code]]&lt;&gt;"",INDEX(tbl_Ben_Info[],MATCH(tbl_Assessment[[#This Row],[Ben Code]],tbl_Ben_Info[Ben Code],0),6),"")</f>
        <v/>
      </c>
      <c r="F435" s="113" t="str">
        <f>IF(tbl_Assessment[[#This Row],[Ben Code]]&lt;&gt;"",INDEX(tbl_Ben_Info[],MATCH(tbl_Assessment[[#This Row],[Ben Code]],tbl_Ben_Info[Ben Code],0),13),"")</f>
        <v/>
      </c>
      <c r="G435" s="49"/>
      <c r="H435" s="37"/>
      <c r="I435" s="37"/>
      <c r="J435" s="37"/>
      <c r="K435" s="37"/>
      <c r="L435" s="37"/>
      <c r="M435" s="59"/>
      <c r="N435" s="37"/>
      <c r="O435" s="37"/>
      <c r="P435" s="37"/>
      <c r="Q435" s="59"/>
      <c r="R435" s="49"/>
      <c r="S435" s="37"/>
      <c r="T435" s="37"/>
      <c r="U435" s="37"/>
      <c r="V435" s="37"/>
      <c r="W435" s="96" t="str">
        <f>tbl_Assessment[[#This Row],[Ben Code]] &amp; "-"&amp;tbl_Assessment[[#This Row],[admin4Pcode]]&amp;"-" &amp; TEXT(COUNTIF(INDEX(tbl_Assessment[Ben Code],1):tbl_Assessment[[#This Row],[Ben Code]], tbl_Assessment[[#This Row],[Ben Code]]), "00")</f>
        <v>--00</v>
      </c>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49"/>
      <c r="AU435" s="41"/>
      <c r="AV435" s="37"/>
      <c r="AW435" s="37"/>
      <c r="AX435" s="37"/>
      <c r="AY435" s="37"/>
      <c r="AZ435" s="37"/>
      <c r="BA435" s="37"/>
      <c r="BB435" s="41"/>
      <c r="BC435" s="37"/>
      <c r="BD435" s="37"/>
      <c r="BE435" s="37"/>
      <c r="BF435" s="41"/>
      <c r="BG435" s="37"/>
      <c r="BH435" s="37"/>
      <c r="BI435" s="37"/>
      <c r="BJ435" s="41"/>
    </row>
    <row r="436" spans="2:62" ht="25.15" customHeight="1" x14ac:dyDescent="0.25">
      <c r="B436" s="49">
        <v>431</v>
      </c>
      <c r="C436" s="37"/>
      <c r="D436" s="87" t="str">
        <f>IF(tbl_Assessment[[#This Row],[Ben Code]]&lt;&gt;"",INDEX(tbl_Ben_Info[],MATCH(tbl_Assessment[[#This Row],[Ben Code]],tbl_Ben_Info[Ben Code],0),48),"")</f>
        <v/>
      </c>
      <c r="E436" s="116" t="str">
        <f>IF(tbl_Assessment[[#This Row],[Ben Code]]&lt;&gt;"",INDEX(tbl_Ben_Info[],MATCH(tbl_Assessment[[#This Row],[Ben Code]],tbl_Ben_Info[Ben Code],0),6),"")</f>
        <v/>
      </c>
      <c r="F436" s="113" t="str">
        <f>IF(tbl_Assessment[[#This Row],[Ben Code]]&lt;&gt;"",INDEX(tbl_Ben_Info[],MATCH(tbl_Assessment[[#This Row],[Ben Code]],tbl_Ben_Info[Ben Code],0),13),"")</f>
        <v/>
      </c>
      <c r="G436" s="49"/>
      <c r="H436" s="37"/>
      <c r="I436" s="37"/>
      <c r="J436" s="37"/>
      <c r="K436" s="37"/>
      <c r="L436" s="37"/>
      <c r="M436" s="59"/>
      <c r="N436" s="37"/>
      <c r="O436" s="37"/>
      <c r="P436" s="37"/>
      <c r="Q436" s="59"/>
      <c r="R436" s="49"/>
      <c r="S436" s="37"/>
      <c r="T436" s="37"/>
      <c r="U436" s="37"/>
      <c r="V436" s="37"/>
      <c r="W436" s="96" t="str">
        <f>tbl_Assessment[[#This Row],[Ben Code]] &amp; "-"&amp;tbl_Assessment[[#This Row],[admin4Pcode]]&amp;"-" &amp; TEXT(COUNTIF(INDEX(tbl_Assessment[Ben Code],1):tbl_Assessment[[#This Row],[Ben Code]], tbl_Assessment[[#This Row],[Ben Code]]), "00")</f>
        <v>--00</v>
      </c>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49"/>
      <c r="AU436" s="41"/>
      <c r="AV436" s="37"/>
      <c r="AW436" s="37"/>
      <c r="AX436" s="37"/>
      <c r="AY436" s="37"/>
      <c r="AZ436" s="37"/>
      <c r="BA436" s="37"/>
      <c r="BB436" s="41"/>
      <c r="BC436" s="37"/>
      <c r="BD436" s="37"/>
      <c r="BE436" s="37"/>
      <c r="BF436" s="41"/>
      <c r="BG436" s="37"/>
      <c r="BH436" s="37"/>
      <c r="BI436" s="37"/>
      <c r="BJ436" s="41"/>
    </row>
    <row r="437" spans="2:62" ht="25.15" customHeight="1" x14ac:dyDescent="0.25">
      <c r="B437" s="49">
        <v>432</v>
      </c>
      <c r="C437" s="37"/>
      <c r="D437" s="87" t="str">
        <f>IF(tbl_Assessment[[#This Row],[Ben Code]]&lt;&gt;"",INDEX(tbl_Ben_Info[],MATCH(tbl_Assessment[[#This Row],[Ben Code]],tbl_Ben_Info[Ben Code],0),48),"")</f>
        <v/>
      </c>
      <c r="E437" s="116" t="str">
        <f>IF(tbl_Assessment[[#This Row],[Ben Code]]&lt;&gt;"",INDEX(tbl_Ben_Info[],MATCH(tbl_Assessment[[#This Row],[Ben Code]],tbl_Ben_Info[Ben Code],0),6),"")</f>
        <v/>
      </c>
      <c r="F437" s="113" t="str">
        <f>IF(tbl_Assessment[[#This Row],[Ben Code]]&lt;&gt;"",INDEX(tbl_Ben_Info[],MATCH(tbl_Assessment[[#This Row],[Ben Code]],tbl_Ben_Info[Ben Code],0),13),"")</f>
        <v/>
      </c>
      <c r="G437" s="49"/>
      <c r="H437" s="37"/>
      <c r="I437" s="37"/>
      <c r="J437" s="37"/>
      <c r="K437" s="37"/>
      <c r="L437" s="37"/>
      <c r="M437" s="59"/>
      <c r="N437" s="37"/>
      <c r="O437" s="37"/>
      <c r="P437" s="37"/>
      <c r="Q437" s="59"/>
      <c r="R437" s="49"/>
      <c r="S437" s="37"/>
      <c r="T437" s="37"/>
      <c r="U437" s="37"/>
      <c r="V437" s="37"/>
      <c r="W437" s="96" t="str">
        <f>tbl_Assessment[[#This Row],[Ben Code]] &amp; "-"&amp;tbl_Assessment[[#This Row],[admin4Pcode]]&amp;"-" &amp; TEXT(COUNTIF(INDEX(tbl_Assessment[Ben Code],1):tbl_Assessment[[#This Row],[Ben Code]], tbl_Assessment[[#This Row],[Ben Code]]), "00")</f>
        <v>--00</v>
      </c>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49"/>
      <c r="AU437" s="41"/>
      <c r="AV437" s="37"/>
      <c r="AW437" s="37"/>
      <c r="AX437" s="37"/>
      <c r="AY437" s="37"/>
      <c r="AZ437" s="37"/>
      <c r="BA437" s="37"/>
      <c r="BB437" s="41"/>
      <c r="BC437" s="37"/>
      <c r="BD437" s="37"/>
      <c r="BE437" s="37"/>
      <c r="BF437" s="41"/>
      <c r="BG437" s="37"/>
      <c r="BH437" s="37"/>
      <c r="BI437" s="37"/>
      <c r="BJ437" s="41"/>
    </row>
    <row r="438" spans="2:62" ht="25.15" customHeight="1" x14ac:dyDescent="0.25">
      <c r="B438" s="49">
        <v>433</v>
      </c>
      <c r="C438" s="37"/>
      <c r="D438" s="87" t="str">
        <f>IF(tbl_Assessment[[#This Row],[Ben Code]]&lt;&gt;"",INDEX(tbl_Ben_Info[],MATCH(tbl_Assessment[[#This Row],[Ben Code]],tbl_Ben_Info[Ben Code],0),48),"")</f>
        <v/>
      </c>
      <c r="E438" s="116" t="str">
        <f>IF(tbl_Assessment[[#This Row],[Ben Code]]&lt;&gt;"",INDEX(tbl_Ben_Info[],MATCH(tbl_Assessment[[#This Row],[Ben Code]],tbl_Ben_Info[Ben Code],0),6),"")</f>
        <v/>
      </c>
      <c r="F438" s="113" t="str">
        <f>IF(tbl_Assessment[[#This Row],[Ben Code]]&lt;&gt;"",INDEX(tbl_Ben_Info[],MATCH(tbl_Assessment[[#This Row],[Ben Code]],tbl_Ben_Info[Ben Code],0),13),"")</f>
        <v/>
      </c>
      <c r="G438" s="49"/>
      <c r="H438" s="37"/>
      <c r="I438" s="37"/>
      <c r="J438" s="37"/>
      <c r="K438" s="37"/>
      <c r="L438" s="37"/>
      <c r="M438" s="59"/>
      <c r="N438" s="37"/>
      <c r="O438" s="37"/>
      <c r="P438" s="37"/>
      <c r="Q438" s="59"/>
      <c r="R438" s="49"/>
      <c r="S438" s="37"/>
      <c r="T438" s="37"/>
      <c r="U438" s="37"/>
      <c r="V438" s="37"/>
      <c r="W438" s="96" t="str">
        <f>tbl_Assessment[[#This Row],[Ben Code]] &amp; "-"&amp;tbl_Assessment[[#This Row],[admin4Pcode]]&amp;"-" &amp; TEXT(COUNTIF(INDEX(tbl_Assessment[Ben Code],1):tbl_Assessment[[#This Row],[Ben Code]], tbl_Assessment[[#This Row],[Ben Code]]), "00")</f>
        <v>--00</v>
      </c>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49"/>
      <c r="AU438" s="41"/>
      <c r="AV438" s="37"/>
      <c r="AW438" s="37"/>
      <c r="AX438" s="37"/>
      <c r="AY438" s="37"/>
      <c r="AZ438" s="37"/>
      <c r="BA438" s="37"/>
      <c r="BB438" s="41"/>
      <c r="BC438" s="37"/>
      <c r="BD438" s="37"/>
      <c r="BE438" s="37"/>
      <c r="BF438" s="41"/>
      <c r="BG438" s="37"/>
      <c r="BH438" s="37"/>
      <c r="BI438" s="37"/>
      <c r="BJ438" s="41"/>
    </row>
    <row r="439" spans="2:62" ht="25.15" customHeight="1" x14ac:dyDescent="0.25">
      <c r="B439" s="49">
        <v>434</v>
      </c>
      <c r="C439" s="37"/>
      <c r="D439" s="87" t="str">
        <f>IF(tbl_Assessment[[#This Row],[Ben Code]]&lt;&gt;"",INDEX(tbl_Ben_Info[],MATCH(tbl_Assessment[[#This Row],[Ben Code]],tbl_Ben_Info[Ben Code],0),48),"")</f>
        <v/>
      </c>
      <c r="E439" s="116" t="str">
        <f>IF(tbl_Assessment[[#This Row],[Ben Code]]&lt;&gt;"",INDEX(tbl_Ben_Info[],MATCH(tbl_Assessment[[#This Row],[Ben Code]],tbl_Ben_Info[Ben Code],0),6),"")</f>
        <v/>
      </c>
      <c r="F439" s="113" t="str">
        <f>IF(tbl_Assessment[[#This Row],[Ben Code]]&lt;&gt;"",INDEX(tbl_Ben_Info[],MATCH(tbl_Assessment[[#This Row],[Ben Code]],tbl_Ben_Info[Ben Code],0),13),"")</f>
        <v/>
      </c>
      <c r="G439" s="49"/>
      <c r="H439" s="37"/>
      <c r="I439" s="37"/>
      <c r="J439" s="37"/>
      <c r="K439" s="37"/>
      <c r="L439" s="37"/>
      <c r="M439" s="59"/>
      <c r="N439" s="37"/>
      <c r="O439" s="37"/>
      <c r="P439" s="37"/>
      <c r="Q439" s="59"/>
      <c r="R439" s="49"/>
      <c r="S439" s="37"/>
      <c r="T439" s="37"/>
      <c r="U439" s="37"/>
      <c r="V439" s="37"/>
      <c r="W439" s="96" t="str">
        <f>tbl_Assessment[[#This Row],[Ben Code]] &amp; "-"&amp;tbl_Assessment[[#This Row],[admin4Pcode]]&amp;"-" &amp; TEXT(COUNTIF(INDEX(tbl_Assessment[Ben Code],1):tbl_Assessment[[#This Row],[Ben Code]], tbl_Assessment[[#This Row],[Ben Code]]), "00")</f>
        <v>--00</v>
      </c>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49"/>
      <c r="AU439" s="41"/>
      <c r="AV439" s="37"/>
      <c r="AW439" s="37"/>
      <c r="AX439" s="37"/>
      <c r="AY439" s="37"/>
      <c r="AZ439" s="37"/>
      <c r="BA439" s="37"/>
      <c r="BB439" s="41"/>
      <c r="BC439" s="37"/>
      <c r="BD439" s="37"/>
      <c r="BE439" s="37"/>
      <c r="BF439" s="41"/>
      <c r="BG439" s="37"/>
      <c r="BH439" s="37"/>
      <c r="BI439" s="37"/>
      <c r="BJ439" s="41"/>
    </row>
    <row r="440" spans="2:62" ht="25.15" customHeight="1" x14ac:dyDescent="0.25">
      <c r="B440" s="49">
        <v>435</v>
      </c>
      <c r="C440" s="37"/>
      <c r="D440" s="87" t="str">
        <f>IF(tbl_Assessment[[#This Row],[Ben Code]]&lt;&gt;"",INDEX(tbl_Ben_Info[],MATCH(tbl_Assessment[[#This Row],[Ben Code]],tbl_Ben_Info[Ben Code],0),48),"")</f>
        <v/>
      </c>
      <c r="E440" s="116" t="str">
        <f>IF(tbl_Assessment[[#This Row],[Ben Code]]&lt;&gt;"",INDEX(tbl_Ben_Info[],MATCH(tbl_Assessment[[#This Row],[Ben Code]],tbl_Ben_Info[Ben Code],0),6),"")</f>
        <v/>
      </c>
      <c r="F440" s="113" t="str">
        <f>IF(tbl_Assessment[[#This Row],[Ben Code]]&lt;&gt;"",INDEX(tbl_Ben_Info[],MATCH(tbl_Assessment[[#This Row],[Ben Code]],tbl_Ben_Info[Ben Code],0),13),"")</f>
        <v/>
      </c>
      <c r="G440" s="49"/>
      <c r="H440" s="37"/>
      <c r="I440" s="37"/>
      <c r="J440" s="37"/>
      <c r="K440" s="37"/>
      <c r="L440" s="37"/>
      <c r="M440" s="59"/>
      <c r="N440" s="37"/>
      <c r="O440" s="37"/>
      <c r="P440" s="37"/>
      <c r="Q440" s="59"/>
      <c r="R440" s="49"/>
      <c r="S440" s="37"/>
      <c r="T440" s="37"/>
      <c r="U440" s="37"/>
      <c r="V440" s="37"/>
      <c r="W440" s="96" t="str">
        <f>tbl_Assessment[[#This Row],[Ben Code]] &amp; "-"&amp;tbl_Assessment[[#This Row],[admin4Pcode]]&amp;"-" &amp; TEXT(COUNTIF(INDEX(tbl_Assessment[Ben Code],1):tbl_Assessment[[#This Row],[Ben Code]], tbl_Assessment[[#This Row],[Ben Code]]), "00")</f>
        <v>--00</v>
      </c>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49"/>
      <c r="AU440" s="41"/>
      <c r="AV440" s="37"/>
      <c r="AW440" s="37"/>
      <c r="AX440" s="37"/>
      <c r="AY440" s="37"/>
      <c r="AZ440" s="37"/>
      <c r="BA440" s="37"/>
      <c r="BB440" s="41"/>
      <c r="BC440" s="37"/>
      <c r="BD440" s="37"/>
      <c r="BE440" s="37"/>
      <c r="BF440" s="41"/>
      <c r="BG440" s="37"/>
      <c r="BH440" s="37"/>
      <c r="BI440" s="37"/>
      <c r="BJ440" s="41"/>
    </row>
    <row r="441" spans="2:62" ht="25.15" customHeight="1" x14ac:dyDescent="0.25">
      <c r="B441" s="49">
        <v>436</v>
      </c>
      <c r="C441" s="37"/>
      <c r="D441" s="87" t="str">
        <f>IF(tbl_Assessment[[#This Row],[Ben Code]]&lt;&gt;"",INDEX(tbl_Ben_Info[],MATCH(tbl_Assessment[[#This Row],[Ben Code]],tbl_Ben_Info[Ben Code],0),48),"")</f>
        <v/>
      </c>
      <c r="E441" s="116" t="str">
        <f>IF(tbl_Assessment[[#This Row],[Ben Code]]&lt;&gt;"",INDEX(tbl_Ben_Info[],MATCH(tbl_Assessment[[#This Row],[Ben Code]],tbl_Ben_Info[Ben Code],0),6),"")</f>
        <v/>
      </c>
      <c r="F441" s="113" t="str">
        <f>IF(tbl_Assessment[[#This Row],[Ben Code]]&lt;&gt;"",INDEX(tbl_Ben_Info[],MATCH(tbl_Assessment[[#This Row],[Ben Code]],tbl_Ben_Info[Ben Code],0),13),"")</f>
        <v/>
      </c>
      <c r="G441" s="49"/>
      <c r="H441" s="37"/>
      <c r="I441" s="37"/>
      <c r="J441" s="37"/>
      <c r="K441" s="37"/>
      <c r="L441" s="37"/>
      <c r="M441" s="59"/>
      <c r="N441" s="37"/>
      <c r="O441" s="37"/>
      <c r="P441" s="37"/>
      <c r="Q441" s="59"/>
      <c r="R441" s="49"/>
      <c r="S441" s="37"/>
      <c r="T441" s="37"/>
      <c r="U441" s="37"/>
      <c r="V441" s="37"/>
      <c r="W441" s="96" t="str">
        <f>tbl_Assessment[[#This Row],[Ben Code]] &amp; "-"&amp;tbl_Assessment[[#This Row],[admin4Pcode]]&amp;"-" &amp; TEXT(COUNTIF(INDEX(tbl_Assessment[Ben Code],1):tbl_Assessment[[#This Row],[Ben Code]], tbl_Assessment[[#This Row],[Ben Code]]), "00")</f>
        <v>--00</v>
      </c>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49"/>
      <c r="AU441" s="41"/>
      <c r="AV441" s="37"/>
      <c r="AW441" s="37"/>
      <c r="AX441" s="37"/>
      <c r="AY441" s="37"/>
      <c r="AZ441" s="37"/>
      <c r="BA441" s="37"/>
      <c r="BB441" s="41"/>
      <c r="BC441" s="37"/>
      <c r="BD441" s="37"/>
      <c r="BE441" s="37"/>
      <c r="BF441" s="41"/>
      <c r="BG441" s="37"/>
      <c r="BH441" s="37"/>
      <c r="BI441" s="37"/>
      <c r="BJ441" s="41"/>
    </row>
    <row r="442" spans="2:62" ht="25.15" customHeight="1" x14ac:dyDescent="0.25">
      <c r="B442" s="49">
        <v>437</v>
      </c>
      <c r="C442" s="37"/>
      <c r="D442" s="87" t="str">
        <f>IF(tbl_Assessment[[#This Row],[Ben Code]]&lt;&gt;"",INDEX(tbl_Ben_Info[],MATCH(tbl_Assessment[[#This Row],[Ben Code]],tbl_Ben_Info[Ben Code],0),48),"")</f>
        <v/>
      </c>
      <c r="E442" s="116" t="str">
        <f>IF(tbl_Assessment[[#This Row],[Ben Code]]&lt;&gt;"",INDEX(tbl_Ben_Info[],MATCH(tbl_Assessment[[#This Row],[Ben Code]],tbl_Ben_Info[Ben Code],0),6),"")</f>
        <v/>
      </c>
      <c r="F442" s="113" t="str">
        <f>IF(tbl_Assessment[[#This Row],[Ben Code]]&lt;&gt;"",INDEX(tbl_Ben_Info[],MATCH(tbl_Assessment[[#This Row],[Ben Code]],tbl_Ben_Info[Ben Code],0),13),"")</f>
        <v/>
      </c>
      <c r="G442" s="49"/>
      <c r="H442" s="37"/>
      <c r="I442" s="37"/>
      <c r="J442" s="37"/>
      <c r="K442" s="37"/>
      <c r="L442" s="37"/>
      <c r="M442" s="59"/>
      <c r="N442" s="37"/>
      <c r="O442" s="37"/>
      <c r="P442" s="37"/>
      <c r="Q442" s="59"/>
      <c r="R442" s="49"/>
      <c r="S442" s="37"/>
      <c r="T442" s="37"/>
      <c r="U442" s="37"/>
      <c r="V442" s="37"/>
      <c r="W442" s="96" t="str">
        <f>tbl_Assessment[[#This Row],[Ben Code]] &amp; "-"&amp;tbl_Assessment[[#This Row],[admin4Pcode]]&amp;"-" &amp; TEXT(COUNTIF(INDEX(tbl_Assessment[Ben Code],1):tbl_Assessment[[#This Row],[Ben Code]], tbl_Assessment[[#This Row],[Ben Code]]), "00")</f>
        <v>--00</v>
      </c>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49"/>
      <c r="AU442" s="41"/>
      <c r="AV442" s="37"/>
      <c r="AW442" s="37"/>
      <c r="AX442" s="37"/>
      <c r="AY442" s="37"/>
      <c r="AZ442" s="37"/>
      <c r="BA442" s="37"/>
      <c r="BB442" s="41"/>
      <c r="BC442" s="37"/>
      <c r="BD442" s="37"/>
      <c r="BE442" s="37"/>
      <c r="BF442" s="41"/>
      <c r="BG442" s="37"/>
      <c r="BH442" s="37"/>
      <c r="BI442" s="37"/>
      <c r="BJ442" s="41"/>
    </row>
    <row r="443" spans="2:62" ht="25.15" customHeight="1" x14ac:dyDescent="0.25">
      <c r="B443" s="49">
        <v>438</v>
      </c>
      <c r="C443" s="37"/>
      <c r="D443" s="87" t="str">
        <f>IF(tbl_Assessment[[#This Row],[Ben Code]]&lt;&gt;"",INDEX(tbl_Ben_Info[],MATCH(tbl_Assessment[[#This Row],[Ben Code]],tbl_Ben_Info[Ben Code],0),48),"")</f>
        <v/>
      </c>
      <c r="E443" s="116" t="str">
        <f>IF(tbl_Assessment[[#This Row],[Ben Code]]&lt;&gt;"",INDEX(tbl_Ben_Info[],MATCH(tbl_Assessment[[#This Row],[Ben Code]],tbl_Ben_Info[Ben Code],0),6),"")</f>
        <v/>
      </c>
      <c r="F443" s="113" t="str">
        <f>IF(tbl_Assessment[[#This Row],[Ben Code]]&lt;&gt;"",INDEX(tbl_Ben_Info[],MATCH(tbl_Assessment[[#This Row],[Ben Code]],tbl_Ben_Info[Ben Code],0),13),"")</f>
        <v/>
      </c>
      <c r="G443" s="49"/>
      <c r="H443" s="37"/>
      <c r="I443" s="37"/>
      <c r="J443" s="37"/>
      <c r="K443" s="37"/>
      <c r="L443" s="37"/>
      <c r="M443" s="59"/>
      <c r="N443" s="37"/>
      <c r="O443" s="37"/>
      <c r="P443" s="37"/>
      <c r="Q443" s="59"/>
      <c r="R443" s="49"/>
      <c r="S443" s="37"/>
      <c r="T443" s="37"/>
      <c r="U443" s="37"/>
      <c r="V443" s="37"/>
      <c r="W443" s="96" t="str">
        <f>tbl_Assessment[[#This Row],[Ben Code]] &amp; "-"&amp;tbl_Assessment[[#This Row],[admin4Pcode]]&amp;"-" &amp; TEXT(COUNTIF(INDEX(tbl_Assessment[Ben Code],1):tbl_Assessment[[#This Row],[Ben Code]], tbl_Assessment[[#This Row],[Ben Code]]), "00")</f>
        <v>--00</v>
      </c>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49"/>
      <c r="AU443" s="41"/>
      <c r="AV443" s="37"/>
      <c r="AW443" s="37"/>
      <c r="AX443" s="37"/>
      <c r="AY443" s="37"/>
      <c r="AZ443" s="37"/>
      <c r="BA443" s="37"/>
      <c r="BB443" s="41"/>
      <c r="BC443" s="37"/>
      <c r="BD443" s="37"/>
      <c r="BE443" s="37"/>
      <c r="BF443" s="41"/>
      <c r="BG443" s="37"/>
      <c r="BH443" s="37"/>
      <c r="BI443" s="37"/>
      <c r="BJ443" s="41"/>
    </row>
    <row r="444" spans="2:62" ht="25.15" customHeight="1" x14ac:dyDescent="0.25">
      <c r="B444" s="49">
        <v>439</v>
      </c>
      <c r="C444" s="37"/>
      <c r="D444" s="87" t="str">
        <f>IF(tbl_Assessment[[#This Row],[Ben Code]]&lt;&gt;"",INDEX(tbl_Ben_Info[],MATCH(tbl_Assessment[[#This Row],[Ben Code]],tbl_Ben_Info[Ben Code],0),48),"")</f>
        <v/>
      </c>
      <c r="E444" s="116" t="str">
        <f>IF(tbl_Assessment[[#This Row],[Ben Code]]&lt;&gt;"",INDEX(tbl_Ben_Info[],MATCH(tbl_Assessment[[#This Row],[Ben Code]],tbl_Ben_Info[Ben Code],0),6),"")</f>
        <v/>
      </c>
      <c r="F444" s="113" t="str">
        <f>IF(tbl_Assessment[[#This Row],[Ben Code]]&lt;&gt;"",INDEX(tbl_Ben_Info[],MATCH(tbl_Assessment[[#This Row],[Ben Code]],tbl_Ben_Info[Ben Code],0),13),"")</f>
        <v/>
      </c>
      <c r="G444" s="49"/>
      <c r="H444" s="37"/>
      <c r="I444" s="37"/>
      <c r="J444" s="37"/>
      <c r="K444" s="37"/>
      <c r="L444" s="37"/>
      <c r="M444" s="59"/>
      <c r="N444" s="37"/>
      <c r="O444" s="37"/>
      <c r="P444" s="37"/>
      <c r="Q444" s="59"/>
      <c r="R444" s="49"/>
      <c r="S444" s="37"/>
      <c r="T444" s="37"/>
      <c r="U444" s="37"/>
      <c r="V444" s="37"/>
      <c r="W444" s="96" t="str">
        <f>tbl_Assessment[[#This Row],[Ben Code]] &amp; "-"&amp;tbl_Assessment[[#This Row],[admin4Pcode]]&amp;"-" &amp; TEXT(COUNTIF(INDEX(tbl_Assessment[Ben Code],1):tbl_Assessment[[#This Row],[Ben Code]], tbl_Assessment[[#This Row],[Ben Code]]), "00")</f>
        <v>--00</v>
      </c>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49"/>
      <c r="AU444" s="41"/>
      <c r="AV444" s="37"/>
      <c r="AW444" s="37"/>
      <c r="AX444" s="37"/>
      <c r="AY444" s="37"/>
      <c r="AZ444" s="37"/>
      <c r="BA444" s="37"/>
      <c r="BB444" s="41"/>
      <c r="BC444" s="37"/>
      <c r="BD444" s="37"/>
      <c r="BE444" s="37"/>
      <c r="BF444" s="41"/>
      <c r="BG444" s="37"/>
      <c r="BH444" s="37"/>
      <c r="BI444" s="37"/>
      <c r="BJ444" s="41"/>
    </row>
    <row r="445" spans="2:62" ht="25.15" customHeight="1" x14ac:dyDescent="0.25">
      <c r="B445" s="49">
        <v>440</v>
      </c>
      <c r="C445" s="37"/>
      <c r="D445" s="87" t="str">
        <f>IF(tbl_Assessment[[#This Row],[Ben Code]]&lt;&gt;"",INDEX(tbl_Ben_Info[],MATCH(tbl_Assessment[[#This Row],[Ben Code]],tbl_Ben_Info[Ben Code],0),48),"")</f>
        <v/>
      </c>
      <c r="E445" s="116" t="str">
        <f>IF(tbl_Assessment[[#This Row],[Ben Code]]&lt;&gt;"",INDEX(tbl_Ben_Info[],MATCH(tbl_Assessment[[#This Row],[Ben Code]],tbl_Ben_Info[Ben Code],0),6),"")</f>
        <v/>
      </c>
      <c r="F445" s="113" t="str">
        <f>IF(tbl_Assessment[[#This Row],[Ben Code]]&lt;&gt;"",INDEX(tbl_Ben_Info[],MATCH(tbl_Assessment[[#This Row],[Ben Code]],tbl_Ben_Info[Ben Code],0),13),"")</f>
        <v/>
      </c>
      <c r="G445" s="49"/>
      <c r="H445" s="37"/>
      <c r="I445" s="37"/>
      <c r="J445" s="37"/>
      <c r="K445" s="37"/>
      <c r="L445" s="37"/>
      <c r="M445" s="59"/>
      <c r="N445" s="37"/>
      <c r="O445" s="37"/>
      <c r="P445" s="37"/>
      <c r="Q445" s="59"/>
      <c r="R445" s="49"/>
      <c r="S445" s="37"/>
      <c r="T445" s="37"/>
      <c r="U445" s="37"/>
      <c r="V445" s="37"/>
      <c r="W445" s="96" t="str">
        <f>tbl_Assessment[[#This Row],[Ben Code]] &amp; "-"&amp;tbl_Assessment[[#This Row],[admin4Pcode]]&amp;"-" &amp; TEXT(COUNTIF(INDEX(tbl_Assessment[Ben Code],1):tbl_Assessment[[#This Row],[Ben Code]], tbl_Assessment[[#This Row],[Ben Code]]), "00")</f>
        <v>--00</v>
      </c>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49"/>
      <c r="AU445" s="41"/>
      <c r="AV445" s="37"/>
      <c r="AW445" s="37"/>
      <c r="AX445" s="37"/>
      <c r="AY445" s="37"/>
      <c r="AZ445" s="37"/>
      <c r="BA445" s="37"/>
      <c r="BB445" s="41"/>
      <c r="BC445" s="37"/>
      <c r="BD445" s="37"/>
      <c r="BE445" s="37"/>
      <c r="BF445" s="41"/>
      <c r="BG445" s="37"/>
      <c r="BH445" s="37"/>
      <c r="BI445" s="37"/>
      <c r="BJ445" s="41"/>
    </row>
    <row r="446" spans="2:62" ht="25.15" customHeight="1" x14ac:dyDescent="0.25">
      <c r="B446" s="49">
        <v>441</v>
      </c>
      <c r="C446" s="37"/>
      <c r="D446" s="87" t="str">
        <f>IF(tbl_Assessment[[#This Row],[Ben Code]]&lt;&gt;"",INDEX(tbl_Ben_Info[],MATCH(tbl_Assessment[[#This Row],[Ben Code]],tbl_Ben_Info[Ben Code],0),48),"")</f>
        <v/>
      </c>
      <c r="E446" s="116" t="str">
        <f>IF(tbl_Assessment[[#This Row],[Ben Code]]&lt;&gt;"",INDEX(tbl_Ben_Info[],MATCH(tbl_Assessment[[#This Row],[Ben Code]],tbl_Ben_Info[Ben Code],0),6),"")</f>
        <v/>
      </c>
      <c r="F446" s="113" t="str">
        <f>IF(tbl_Assessment[[#This Row],[Ben Code]]&lt;&gt;"",INDEX(tbl_Ben_Info[],MATCH(tbl_Assessment[[#This Row],[Ben Code]],tbl_Ben_Info[Ben Code],0),13),"")</f>
        <v/>
      </c>
      <c r="G446" s="49"/>
      <c r="H446" s="37"/>
      <c r="I446" s="37"/>
      <c r="J446" s="37"/>
      <c r="K446" s="37"/>
      <c r="L446" s="37"/>
      <c r="M446" s="59"/>
      <c r="N446" s="37"/>
      <c r="O446" s="37"/>
      <c r="P446" s="37"/>
      <c r="Q446" s="59"/>
      <c r="R446" s="49"/>
      <c r="S446" s="37"/>
      <c r="T446" s="37"/>
      <c r="U446" s="37"/>
      <c r="V446" s="37"/>
      <c r="W446" s="96" t="str">
        <f>tbl_Assessment[[#This Row],[Ben Code]] &amp; "-"&amp;tbl_Assessment[[#This Row],[admin4Pcode]]&amp;"-" &amp; TEXT(COUNTIF(INDEX(tbl_Assessment[Ben Code],1):tbl_Assessment[[#This Row],[Ben Code]], tbl_Assessment[[#This Row],[Ben Code]]), "00")</f>
        <v>--00</v>
      </c>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49"/>
      <c r="AU446" s="41"/>
      <c r="AV446" s="37"/>
      <c r="AW446" s="37"/>
      <c r="AX446" s="37"/>
      <c r="AY446" s="37"/>
      <c r="AZ446" s="37"/>
      <c r="BA446" s="37"/>
      <c r="BB446" s="41"/>
      <c r="BC446" s="37"/>
      <c r="BD446" s="37"/>
      <c r="BE446" s="37"/>
      <c r="BF446" s="41"/>
      <c r="BG446" s="37"/>
      <c r="BH446" s="37"/>
      <c r="BI446" s="37"/>
      <c r="BJ446" s="41"/>
    </row>
    <row r="447" spans="2:62" ht="25.15" customHeight="1" x14ac:dyDescent="0.25">
      <c r="B447" s="49">
        <v>442</v>
      </c>
      <c r="C447" s="37"/>
      <c r="D447" s="87" t="str">
        <f>IF(tbl_Assessment[[#This Row],[Ben Code]]&lt;&gt;"",INDEX(tbl_Ben_Info[],MATCH(tbl_Assessment[[#This Row],[Ben Code]],tbl_Ben_Info[Ben Code],0),48),"")</f>
        <v/>
      </c>
      <c r="E447" s="116" t="str">
        <f>IF(tbl_Assessment[[#This Row],[Ben Code]]&lt;&gt;"",INDEX(tbl_Ben_Info[],MATCH(tbl_Assessment[[#This Row],[Ben Code]],tbl_Ben_Info[Ben Code],0),6),"")</f>
        <v/>
      </c>
      <c r="F447" s="113" t="str">
        <f>IF(tbl_Assessment[[#This Row],[Ben Code]]&lt;&gt;"",INDEX(tbl_Ben_Info[],MATCH(tbl_Assessment[[#This Row],[Ben Code]],tbl_Ben_Info[Ben Code],0),13),"")</f>
        <v/>
      </c>
      <c r="G447" s="49"/>
      <c r="H447" s="37"/>
      <c r="I447" s="37"/>
      <c r="J447" s="37"/>
      <c r="K447" s="37"/>
      <c r="L447" s="37"/>
      <c r="M447" s="59"/>
      <c r="N447" s="37"/>
      <c r="O447" s="37"/>
      <c r="P447" s="37"/>
      <c r="Q447" s="59"/>
      <c r="R447" s="49"/>
      <c r="S447" s="37"/>
      <c r="T447" s="37"/>
      <c r="U447" s="37"/>
      <c r="V447" s="37"/>
      <c r="W447" s="96" t="str">
        <f>tbl_Assessment[[#This Row],[Ben Code]] &amp; "-"&amp;tbl_Assessment[[#This Row],[admin4Pcode]]&amp;"-" &amp; TEXT(COUNTIF(INDEX(tbl_Assessment[Ben Code],1):tbl_Assessment[[#This Row],[Ben Code]], tbl_Assessment[[#This Row],[Ben Code]]), "00")</f>
        <v>--00</v>
      </c>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49"/>
      <c r="AU447" s="41"/>
      <c r="AV447" s="37"/>
      <c r="AW447" s="37"/>
      <c r="AX447" s="37"/>
      <c r="AY447" s="37"/>
      <c r="AZ447" s="37"/>
      <c r="BA447" s="37"/>
      <c r="BB447" s="41"/>
      <c r="BC447" s="37"/>
      <c r="BD447" s="37"/>
      <c r="BE447" s="37"/>
      <c r="BF447" s="41"/>
      <c r="BG447" s="37"/>
      <c r="BH447" s="37"/>
      <c r="BI447" s="37"/>
      <c r="BJ447" s="41"/>
    </row>
    <row r="448" spans="2:62" ht="25.15" customHeight="1" x14ac:dyDescent="0.25">
      <c r="B448" s="49">
        <v>443</v>
      </c>
      <c r="C448" s="37"/>
      <c r="D448" s="87" t="str">
        <f>IF(tbl_Assessment[[#This Row],[Ben Code]]&lt;&gt;"",INDEX(tbl_Ben_Info[],MATCH(tbl_Assessment[[#This Row],[Ben Code]],tbl_Ben_Info[Ben Code],0),48),"")</f>
        <v/>
      </c>
      <c r="E448" s="116" t="str">
        <f>IF(tbl_Assessment[[#This Row],[Ben Code]]&lt;&gt;"",INDEX(tbl_Ben_Info[],MATCH(tbl_Assessment[[#This Row],[Ben Code]],tbl_Ben_Info[Ben Code],0),6),"")</f>
        <v/>
      </c>
      <c r="F448" s="113" t="str">
        <f>IF(tbl_Assessment[[#This Row],[Ben Code]]&lt;&gt;"",INDEX(tbl_Ben_Info[],MATCH(tbl_Assessment[[#This Row],[Ben Code]],tbl_Ben_Info[Ben Code],0),13),"")</f>
        <v/>
      </c>
      <c r="G448" s="49"/>
      <c r="H448" s="37"/>
      <c r="I448" s="37"/>
      <c r="J448" s="37"/>
      <c r="K448" s="37"/>
      <c r="L448" s="37"/>
      <c r="M448" s="59"/>
      <c r="N448" s="37"/>
      <c r="O448" s="37"/>
      <c r="P448" s="37"/>
      <c r="Q448" s="59"/>
      <c r="R448" s="49"/>
      <c r="S448" s="37"/>
      <c r="T448" s="37"/>
      <c r="U448" s="37"/>
      <c r="V448" s="37"/>
      <c r="W448" s="96" t="str">
        <f>tbl_Assessment[[#This Row],[Ben Code]] &amp; "-"&amp;tbl_Assessment[[#This Row],[admin4Pcode]]&amp;"-" &amp; TEXT(COUNTIF(INDEX(tbl_Assessment[Ben Code],1):tbl_Assessment[[#This Row],[Ben Code]], tbl_Assessment[[#This Row],[Ben Code]]), "00")</f>
        <v>--00</v>
      </c>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49"/>
      <c r="AU448" s="41"/>
      <c r="AV448" s="37"/>
      <c r="AW448" s="37"/>
      <c r="AX448" s="37"/>
      <c r="AY448" s="37"/>
      <c r="AZ448" s="37"/>
      <c r="BA448" s="37"/>
      <c r="BB448" s="41"/>
      <c r="BC448" s="37"/>
      <c r="BD448" s="37"/>
      <c r="BE448" s="37"/>
      <c r="BF448" s="41"/>
      <c r="BG448" s="37"/>
      <c r="BH448" s="37"/>
      <c r="BI448" s="37"/>
      <c r="BJ448" s="41"/>
    </row>
    <row r="449" spans="2:62" ht="25.15" customHeight="1" x14ac:dyDescent="0.25">
      <c r="B449" s="49">
        <v>444</v>
      </c>
      <c r="C449" s="37"/>
      <c r="D449" s="87" t="str">
        <f>IF(tbl_Assessment[[#This Row],[Ben Code]]&lt;&gt;"",INDEX(tbl_Ben_Info[],MATCH(tbl_Assessment[[#This Row],[Ben Code]],tbl_Ben_Info[Ben Code],0),48),"")</f>
        <v/>
      </c>
      <c r="E449" s="116" t="str">
        <f>IF(tbl_Assessment[[#This Row],[Ben Code]]&lt;&gt;"",INDEX(tbl_Ben_Info[],MATCH(tbl_Assessment[[#This Row],[Ben Code]],tbl_Ben_Info[Ben Code],0),6),"")</f>
        <v/>
      </c>
      <c r="F449" s="113" t="str">
        <f>IF(tbl_Assessment[[#This Row],[Ben Code]]&lt;&gt;"",INDEX(tbl_Ben_Info[],MATCH(tbl_Assessment[[#This Row],[Ben Code]],tbl_Ben_Info[Ben Code],0),13),"")</f>
        <v/>
      </c>
      <c r="G449" s="49"/>
      <c r="H449" s="37"/>
      <c r="I449" s="37"/>
      <c r="J449" s="37"/>
      <c r="K449" s="37"/>
      <c r="L449" s="37"/>
      <c r="M449" s="59"/>
      <c r="N449" s="37"/>
      <c r="O449" s="37"/>
      <c r="P449" s="37"/>
      <c r="Q449" s="59"/>
      <c r="R449" s="49"/>
      <c r="S449" s="37"/>
      <c r="T449" s="37"/>
      <c r="U449" s="37"/>
      <c r="V449" s="37"/>
      <c r="W449" s="96" t="str">
        <f>tbl_Assessment[[#This Row],[Ben Code]] &amp; "-"&amp;tbl_Assessment[[#This Row],[admin4Pcode]]&amp;"-" &amp; TEXT(COUNTIF(INDEX(tbl_Assessment[Ben Code],1):tbl_Assessment[[#This Row],[Ben Code]], tbl_Assessment[[#This Row],[Ben Code]]), "00")</f>
        <v>--00</v>
      </c>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49"/>
      <c r="AU449" s="41"/>
      <c r="AV449" s="37"/>
      <c r="AW449" s="37"/>
      <c r="AX449" s="37"/>
      <c r="AY449" s="37"/>
      <c r="AZ449" s="37"/>
      <c r="BA449" s="37"/>
      <c r="BB449" s="41"/>
      <c r="BC449" s="37"/>
      <c r="BD449" s="37"/>
      <c r="BE449" s="37"/>
      <c r="BF449" s="41"/>
      <c r="BG449" s="37"/>
      <c r="BH449" s="37"/>
      <c r="BI449" s="37"/>
      <c r="BJ449" s="41"/>
    </row>
    <row r="450" spans="2:62" ht="25.15" customHeight="1" x14ac:dyDescent="0.25">
      <c r="B450" s="49">
        <v>445</v>
      </c>
      <c r="C450" s="37"/>
      <c r="D450" s="87" t="str">
        <f>IF(tbl_Assessment[[#This Row],[Ben Code]]&lt;&gt;"",INDEX(tbl_Ben_Info[],MATCH(tbl_Assessment[[#This Row],[Ben Code]],tbl_Ben_Info[Ben Code],0),48),"")</f>
        <v/>
      </c>
      <c r="E450" s="116" t="str">
        <f>IF(tbl_Assessment[[#This Row],[Ben Code]]&lt;&gt;"",INDEX(tbl_Ben_Info[],MATCH(tbl_Assessment[[#This Row],[Ben Code]],tbl_Ben_Info[Ben Code],0),6),"")</f>
        <v/>
      </c>
      <c r="F450" s="113" t="str">
        <f>IF(tbl_Assessment[[#This Row],[Ben Code]]&lt;&gt;"",INDEX(tbl_Ben_Info[],MATCH(tbl_Assessment[[#This Row],[Ben Code]],tbl_Ben_Info[Ben Code],0),13),"")</f>
        <v/>
      </c>
      <c r="G450" s="49"/>
      <c r="H450" s="37"/>
      <c r="I450" s="37"/>
      <c r="J450" s="37"/>
      <c r="K450" s="37"/>
      <c r="L450" s="37"/>
      <c r="M450" s="59"/>
      <c r="N450" s="37"/>
      <c r="O450" s="37"/>
      <c r="P450" s="37"/>
      <c r="Q450" s="59"/>
      <c r="R450" s="49"/>
      <c r="S450" s="37"/>
      <c r="T450" s="37"/>
      <c r="U450" s="37"/>
      <c r="V450" s="37"/>
      <c r="W450" s="96" t="str">
        <f>tbl_Assessment[[#This Row],[Ben Code]] &amp; "-"&amp;tbl_Assessment[[#This Row],[admin4Pcode]]&amp;"-" &amp; TEXT(COUNTIF(INDEX(tbl_Assessment[Ben Code],1):tbl_Assessment[[#This Row],[Ben Code]], tbl_Assessment[[#This Row],[Ben Code]]), "00")</f>
        <v>--00</v>
      </c>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49"/>
      <c r="AU450" s="41"/>
      <c r="AV450" s="37"/>
      <c r="AW450" s="37"/>
      <c r="AX450" s="37"/>
      <c r="AY450" s="37"/>
      <c r="AZ450" s="37"/>
      <c r="BA450" s="37"/>
      <c r="BB450" s="41"/>
      <c r="BC450" s="37"/>
      <c r="BD450" s="37"/>
      <c r="BE450" s="37"/>
      <c r="BF450" s="41"/>
      <c r="BG450" s="37"/>
      <c r="BH450" s="37"/>
      <c r="BI450" s="37"/>
      <c r="BJ450" s="41"/>
    </row>
    <row r="451" spans="2:62" ht="25.15" customHeight="1" x14ac:dyDescent="0.25">
      <c r="B451" s="49">
        <v>446</v>
      </c>
      <c r="C451" s="37"/>
      <c r="D451" s="87" t="str">
        <f>IF(tbl_Assessment[[#This Row],[Ben Code]]&lt;&gt;"",INDEX(tbl_Ben_Info[],MATCH(tbl_Assessment[[#This Row],[Ben Code]],tbl_Ben_Info[Ben Code],0),48),"")</f>
        <v/>
      </c>
      <c r="E451" s="116" t="str">
        <f>IF(tbl_Assessment[[#This Row],[Ben Code]]&lt;&gt;"",INDEX(tbl_Ben_Info[],MATCH(tbl_Assessment[[#This Row],[Ben Code]],tbl_Ben_Info[Ben Code],0),6),"")</f>
        <v/>
      </c>
      <c r="F451" s="113" t="str">
        <f>IF(tbl_Assessment[[#This Row],[Ben Code]]&lt;&gt;"",INDEX(tbl_Ben_Info[],MATCH(tbl_Assessment[[#This Row],[Ben Code]],tbl_Ben_Info[Ben Code],0),13),"")</f>
        <v/>
      </c>
      <c r="G451" s="49"/>
      <c r="H451" s="37"/>
      <c r="I451" s="37"/>
      <c r="J451" s="37"/>
      <c r="K451" s="37"/>
      <c r="L451" s="37"/>
      <c r="M451" s="59"/>
      <c r="N451" s="37"/>
      <c r="O451" s="37"/>
      <c r="P451" s="37"/>
      <c r="Q451" s="59"/>
      <c r="R451" s="49"/>
      <c r="S451" s="37"/>
      <c r="T451" s="37"/>
      <c r="U451" s="37"/>
      <c r="V451" s="37"/>
      <c r="W451" s="96" t="str">
        <f>tbl_Assessment[[#This Row],[Ben Code]] &amp; "-"&amp;tbl_Assessment[[#This Row],[admin4Pcode]]&amp;"-" &amp; TEXT(COUNTIF(INDEX(tbl_Assessment[Ben Code],1):tbl_Assessment[[#This Row],[Ben Code]], tbl_Assessment[[#This Row],[Ben Code]]), "00")</f>
        <v>--00</v>
      </c>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49"/>
      <c r="AU451" s="41"/>
      <c r="AV451" s="37"/>
      <c r="AW451" s="37"/>
      <c r="AX451" s="37"/>
      <c r="AY451" s="37"/>
      <c r="AZ451" s="37"/>
      <c r="BA451" s="37"/>
      <c r="BB451" s="41"/>
      <c r="BC451" s="37"/>
      <c r="BD451" s="37"/>
      <c r="BE451" s="37"/>
      <c r="BF451" s="41"/>
      <c r="BG451" s="37"/>
      <c r="BH451" s="37"/>
      <c r="BI451" s="37"/>
      <c r="BJ451" s="41"/>
    </row>
    <row r="452" spans="2:62" ht="25.15" customHeight="1" x14ac:dyDescent="0.25">
      <c r="B452" s="49">
        <v>447</v>
      </c>
      <c r="C452" s="37"/>
      <c r="D452" s="87" t="str">
        <f>IF(tbl_Assessment[[#This Row],[Ben Code]]&lt;&gt;"",INDEX(tbl_Ben_Info[],MATCH(tbl_Assessment[[#This Row],[Ben Code]],tbl_Ben_Info[Ben Code],0),48),"")</f>
        <v/>
      </c>
      <c r="E452" s="116" t="str">
        <f>IF(tbl_Assessment[[#This Row],[Ben Code]]&lt;&gt;"",INDEX(tbl_Ben_Info[],MATCH(tbl_Assessment[[#This Row],[Ben Code]],tbl_Ben_Info[Ben Code],0),6),"")</f>
        <v/>
      </c>
      <c r="F452" s="113" t="str">
        <f>IF(tbl_Assessment[[#This Row],[Ben Code]]&lt;&gt;"",INDEX(tbl_Ben_Info[],MATCH(tbl_Assessment[[#This Row],[Ben Code]],tbl_Ben_Info[Ben Code],0),13),"")</f>
        <v/>
      </c>
      <c r="G452" s="49"/>
      <c r="H452" s="37"/>
      <c r="I452" s="37"/>
      <c r="J452" s="37"/>
      <c r="K452" s="37"/>
      <c r="L452" s="37"/>
      <c r="M452" s="59"/>
      <c r="N452" s="37"/>
      <c r="O452" s="37"/>
      <c r="P452" s="37"/>
      <c r="Q452" s="59"/>
      <c r="R452" s="49"/>
      <c r="S452" s="37"/>
      <c r="T452" s="37"/>
      <c r="U452" s="37"/>
      <c r="V452" s="37"/>
      <c r="W452" s="96" t="str">
        <f>tbl_Assessment[[#This Row],[Ben Code]] &amp; "-"&amp;tbl_Assessment[[#This Row],[admin4Pcode]]&amp;"-" &amp; TEXT(COUNTIF(INDEX(tbl_Assessment[Ben Code],1):tbl_Assessment[[#This Row],[Ben Code]], tbl_Assessment[[#This Row],[Ben Code]]), "00")</f>
        <v>--00</v>
      </c>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49"/>
      <c r="AU452" s="41"/>
      <c r="AV452" s="37"/>
      <c r="AW452" s="37"/>
      <c r="AX452" s="37"/>
      <c r="AY452" s="37"/>
      <c r="AZ452" s="37"/>
      <c r="BA452" s="37"/>
      <c r="BB452" s="41"/>
      <c r="BC452" s="37"/>
      <c r="BD452" s="37"/>
      <c r="BE452" s="37"/>
      <c r="BF452" s="41"/>
      <c r="BG452" s="37"/>
      <c r="BH452" s="37"/>
      <c r="BI452" s="37"/>
      <c r="BJ452" s="41"/>
    </row>
    <row r="453" spans="2:62" ht="25.15" customHeight="1" x14ac:dyDescent="0.25">
      <c r="B453" s="49">
        <v>448</v>
      </c>
      <c r="C453" s="37"/>
      <c r="D453" s="87" t="str">
        <f>IF(tbl_Assessment[[#This Row],[Ben Code]]&lt;&gt;"",INDEX(tbl_Ben_Info[],MATCH(tbl_Assessment[[#This Row],[Ben Code]],tbl_Ben_Info[Ben Code],0),48),"")</f>
        <v/>
      </c>
      <c r="E453" s="116" t="str">
        <f>IF(tbl_Assessment[[#This Row],[Ben Code]]&lt;&gt;"",INDEX(tbl_Ben_Info[],MATCH(tbl_Assessment[[#This Row],[Ben Code]],tbl_Ben_Info[Ben Code],0),6),"")</f>
        <v/>
      </c>
      <c r="F453" s="113" t="str">
        <f>IF(tbl_Assessment[[#This Row],[Ben Code]]&lt;&gt;"",INDEX(tbl_Ben_Info[],MATCH(tbl_Assessment[[#This Row],[Ben Code]],tbl_Ben_Info[Ben Code],0),13),"")</f>
        <v/>
      </c>
      <c r="G453" s="49"/>
      <c r="H453" s="37"/>
      <c r="I453" s="37"/>
      <c r="J453" s="37"/>
      <c r="K453" s="37"/>
      <c r="L453" s="37"/>
      <c r="M453" s="59"/>
      <c r="N453" s="37"/>
      <c r="O453" s="37"/>
      <c r="P453" s="37"/>
      <c r="Q453" s="59"/>
      <c r="R453" s="49"/>
      <c r="S453" s="37"/>
      <c r="T453" s="37"/>
      <c r="U453" s="37"/>
      <c r="V453" s="37"/>
      <c r="W453" s="96" t="str">
        <f>tbl_Assessment[[#This Row],[Ben Code]] &amp; "-"&amp;tbl_Assessment[[#This Row],[admin4Pcode]]&amp;"-" &amp; TEXT(COUNTIF(INDEX(tbl_Assessment[Ben Code],1):tbl_Assessment[[#This Row],[Ben Code]], tbl_Assessment[[#This Row],[Ben Code]]), "00")</f>
        <v>--00</v>
      </c>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49"/>
      <c r="AU453" s="41"/>
      <c r="AV453" s="37"/>
      <c r="AW453" s="37"/>
      <c r="AX453" s="37"/>
      <c r="AY453" s="37"/>
      <c r="AZ453" s="37"/>
      <c r="BA453" s="37"/>
      <c r="BB453" s="41"/>
      <c r="BC453" s="37"/>
      <c r="BD453" s="37"/>
      <c r="BE453" s="37"/>
      <c r="BF453" s="41"/>
      <c r="BG453" s="37"/>
      <c r="BH453" s="37"/>
      <c r="BI453" s="37"/>
      <c r="BJ453" s="41"/>
    </row>
    <row r="454" spans="2:62" ht="25.15" customHeight="1" x14ac:dyDescent="0.25">
      <c r="B454" s="49">
        <v>449</v>
      </c>
      <c r="C454" s="37"/>
      <c r="D454" s="87" t="str">
        <f>IF(tbl_Assessment[[#This Row],[Ben Code]]&lt;&gt;"",INDEX(tbl_Ben_Info[],MATCH(tbl_Assessment[[#This Row],[Ben Code]],tbl_Ben_Info[Ben Code],0),48),"")</f>
        <v/>
      </c>
      <c r="E454" s="116" t="str">
        <f>IF(tbl_Assessment[[#This Row],[Ben Code]]&lt;&gt;"",INDEX(tbl_Ben_Info[],MATCH(tbl_Assessment[[#This Row],[Ben Code]],tbl_Ben_Info[Ben Code],0),6),"")</f>
        <v/>
      </c>
      <c r="F454" s="113" t="str">
        <f>IF(tbl_Assessment[[#This Row],[Ben Code]]&lt;&gt;"",INDEX(tbl_Ben_Info[],MATCH(tbl_Assessment[[#This Row],[Ben Code]],tbl_Ben_Info[Ben Code],0),13),"")</f>
        <v/>
      </c>
      <c r="G454" s="49"/>
      <c r="H454" s="37"/>
      <c r="I454" s="37"/>
      <c r="J454" s="37"/>
      <c r="K454" s="37"/>
      <c r="L454" s="37"/>
      <c r="M454" s="59"/>
      <c r="N454" s="37"/>
      <c r="O454" s="37"/>
      <c r="P454" s="37"/>
      <c r="Q454" s="59"/>
      <c r="R454" s="49"/>
      <c r="S454" s="37"/>
      <c r="T454" s="37"/>
      <c r="U454" s="37"/>
      <c r="V454" s="37"/>
      <c r="W454" s="96" t="str">
        <f>tbl_Assessment[[#This Row],[Ben Code]] &amp; "-"&amp;tbl_Assessment[[#This Row],[admin4Pcode]]&amp;"-" &amp; TEXT(COUNTIF(INDEX(tbl_Assessment[Ben Code],1):tbl_Assessment[[#This Row],[Ben Code]], tbl_Assessment[[#This Row],[Ben Code]]), "00")</f>
        <v>--00</v>
      </c>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49"/>
      <c r="AU454" s="41"/>
      <c r="AV454" s="37"/>
      <c r="AW454" s="37"/>
      <c r="AX454" s="37"/>
      <c r="AY454" s="37"/>
      <c r="AZ454" s="37"/>
      <c r="BA454" s="37"/>
      <c r="BB454" s="41"/>
      <c r="BC454" s="37"/>
      <c r="BD454" s="37"/>
      <c r="BE454" s="37"/>
      <c r="BF454" s="41"/>
      <c r="BG454" s="37"/>
      <c r="BH454" s="37"/>
      <c r="BI454" s="37"/>
      <c r="BJ454" s="41"/>
    </row>
    <row r="455" spans="2:62" ht="25.15" customHeight="1" x14ac:dyDescent="0.25">
      <c r="B455" s="49">
        <v>450</v>
      </c>
      <c r="C455" s="37"/>
      <c r="D455" s="87" t="str">
        <f>IF(tbl_Assessment[[#This Row],[Ben Code]]&lt;&gt;"",INDEX(tbl_Ben_Info[],MATCH(tbl_Assessment[[#This Row],[Ben Code]],tbl_Ben_Info[Ben Code],0),48),"")</f>
        <v/>
      </c>
      <c r="E455" s="116" t="str">
        <f>IF(tbl_Assessment[[#This Row],[Ben Code]]&lt;&gt;"",INDEX(tbl_Ben_Info[],MATCH(tbl_Assessment[[#This Row],[Ben Code]],tbl_Ben_Info[Ben Code],0),6),"")</f>
        <v/>
      </c>
      <c r="F455" s="113" t="str">
        <f>IF(tbl_Assessment[[#This Row],[Ben Code]]&lt;&gt;"",INDEX(tbl_Ben_Info[],MATCH(tbl_Assessment[[#This Row],[Ben Code]],tbl_Ben_Info[Ben Code],0),13),"")</f>
        <v/>
      </c>
      <c r="G455" s="49"/>
      <c r="H455" s="37"/>
      <c r="I455" s="37"/>
      <c r="J455" s="37"/>
      <c r="K455" s="37"/>
      <c r="L455" s="37"/>
      <c r="M455" s="59"/>
      <c r="N455" s="37"/>
      <c r="O455" s="37"/>
      <c r="P455" s="37"/>
      <c r="Q455" s="59"/>
      <c r="R455" s="49"/>
      <c r="S455" s="37"/>
      <c r="T455" s="37"/>
      <c r="U455" s="37"/>
      <c r="V455" s="37"/>
      <c r="W455" s="96" t="str">
        <f>tbl_Assessment[[#This Row],[Ben Code]] &amp; "-"&amp;tbl_Assessment[[#This Row],[admin4Pcode]]&amp;"-" &amp; TEXT(COUNTIF(INDEX(tbl_Assessment[Ben Code],1):tbl_Assessment[[#This Row],[Ben Code]], tbl_Assessment[[#This Row],[Ben Code]]), "00")</f>
        <v>--00</v>
      </c>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49"/>
      <c r="AU455" s="41"/>
      <c r="AV455" s="37"/>
      <c r="AW455" s="37"/>
      <c r="AX455" s="37"/>
      <c r="AY455" s="37"/>
      <c r="AZ455" s="37"/>
      <c r="BA455" s="37"/>
      <c r="BB455" s="41"/>
      <c r="BC455" s="37"/>
      <c r="BD455" s="37"/>
      <c r="BE455" s="37"/>
      <c r="BF455" s="41"/>
      <c r="BG455" s="37"/>
      <c r="BH455" s="37"/>
      <c r="BI455" s="37"/>
      <c r="BJ455" s="41"/>
    </row>
    <row r="456" spans="2:62" ht="25.15" customHeight="1" x14ac:dyDescent="0.25">
      <c r="B456" s="49">
        <v>451</v>
      </c>
      <c r="C456" s="37"/>
      <c r="D456" s="87" t="str">
        <f>IF(tbl_Assessment[[#This Row],[Ben Code]]&lt;&gt;"",INDEX(tbl_Ben_Info[],MATCH(tbl_Assessment[[#This Row],[Ben Code]],tbl_Ben_Info[Ben Code],0),48),"")</f>
        <v/>
      </c>
      <c r="E456" s="116" t="str">
        <f>IF(tbl_Assessment[[#This Row],[Ben Code]]&lt;&gt;"",INDEX(tbl_Ben_Info[],MATCH(tbl_Assessment[[#This Row],[Ben Code]],tbl_Ben_Info[Ben Code],0),6),"")</f>
        <v/>
      </c>
      <c r="F456" s="113" t="str">
        <f>IF(tbl_Assessment[[#This Row],[Ben Code]]&lt;&gt;"",INDEX(tbl_Ben_Info[],MATCH(tbl_Assessment[[#This Row],[Ben Code]],tbl_Ben_Info[Ben Code],0),13),"")</f>
        <v/>
      </c>
      <c r="G456" s="49"/>
      <c r="H456" s="37"/>
      <c r="I456" s="37"/>
      <c r="J456" s="37"/>
      <c r="K456" s="37"/>
      <c r="L456" s="37"/>
      <c r="M456" s="59"/>
      <c r="N456" s="37"/>
      <c r="O456" s="37"/>
      <c r="P456" s="37"/>
      <c r="Q456" s="59"/>
      <c r="R456" s="49"/>
      <c r="S456" s="37"/>
      <c r="T456" s="37"/>
      <c r="U456" s="37"/>
      <c r="V456" s="37"/>
      <c r="W456" s="96" t="str">
        <f>tbl_Assessment[[#This Row],[Ben Code]] &amp; "-"&amp;tbl_Assessment[[#This Row],[admin4Pcode]]&amp;"-" &amp; TEXT(COUNTIF(INDEX(tbl_Assessment[Ben Code],1):tbl_Assessment[[#This Row],[Ben Code]], tbl_Assessment[[#This Row],[Ben Code]]), "00")</f>
        <v>--00</v>
      </c>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49"/>
      <c r="AU456" s="41"/>
      <c r="AV456" s="37"/>
      <c r="AW456" s="37"/>
      <c r="AX456" s="37"/>
      <c r="AY456" s="37"/>
      <c r="AZ456" s="37"/>
      <c r="BA456" s="37"/>
      <c r="BB456" s="41"/>
      <c r="BC456" s="37"/>
      <c r="BD456" s="37"/>
      <c r="BE456" s="37"/>
      <c r="BF456" s="41"/>
      <c r="BG456" s="37"/>
      <c r="BH456" s="37"/>
      <c r="BI456" s="37"/>
      <c r="BJ456" s="41"/>
    </row>
    <row r="457" spans="2:62" ht="25.15" customHeight="1" x14ac:dyDescent="0.25">
      <c r="B457" s="49">
        <v>452</v>
      </c>
      <c r="C457" s="37"/>
      <c r="D457" s="87" t="str">
        <f>IF(tbl_Assessment[[#This Row],[Ben Code]]&lt;&gt;"",INDEX(tbl_Ben_Info[],MATCH(tbl_Assessment[[#This Row],[Ben Code]],tbl_Ben_Info[Ben Code],0),48),"")</f>
        <v/>
      </c>
      <c r="E457" s="116" t="str">
        <f>IF(tbl_Assessment[[#This Row],[Ben Code]]&lt;&gt;"",INDEX(tbl_Ben_Info[],MATCH(tbl_Assessment[[#This Row],[Ben Code]],tbl_Ben_Info[Ben Code],0),6),"")</f>
        <v/>
      </c>
      <c r="F457" s="113" t="str">
        <f>IF(tbl_Assessment[[#This Row],[Ben Code]]&lt;&gt;"",INDEX(tbl_Ben_Info[],MATCH(tbl_Assessment[[#This Row],[Ben Code]],tbl_Ben_Info[Ben Code],0),13),"")</f>
        <v/>
      </c>
      <c r="G457" s="49"/>
      <c r="H457" s="37"/>
      <c r="I457" s="37"/>
      <c r="J457" s="37"/>
      <c r="K457" s="37"/>
      <c r="L457" s="37"/>
      <c r="M457" s="59"/>
      <c r="N457" s="37"/>
      <c r="O457" s="37"/>
      <c r="P457" s="37"/>
      <c r="Q457" s="59"/>
      <c r="R457" s="49"/>
      <c r="S457" s="37"/>
      <c r="T457" s="37"/>
      <c r="U457" s="37"/>
      <c r="V457" s="37"/>
      <c r="W457" s="96" t="str">
        <f>tbl_Assessment[[#This Row],[Ben Code]] &amp; "-"&amp;tbl_Assessment[[#This Row],[admin4Pcode]]&amp;"-" &amp; TEXT(COUNTIF(INDEX(tbl_Assessment[Ben Code],1):tbl_Assessment[[#This Row],[Ben Code]], tbl_Assessment[[#This Row],[Ben Code]]), "00")</f>
        <v>--00</v>
      </c>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49"/>
      <c r="AU457" s="41"/>
      <c r="AV457" s="37"/>
      <c r="AW457" s="37"/>
      <c r="AX457" s="37"/>
      <c r="AY457" s="37"/>
      <c r="AZ457" s="37"/>
      <c r="BA457" s="37"/>
      <c r="BB457" s="41"/>
      <c r="BC457" s="37"/>
      <c r="BD457" s="37"/>
      <c r="BE457" s="37"/>
      <c r="BF457" s="41"/>
      <c r="BG457" s="37"/>
      <c r="BH457" s="37"/>
      <c r="BI457" s="37"/>
      <c r="BJ457" s="41"/>
    </row>
    <row r="458" spans="2:62" ht="25.15" customHeight="1" x14ac:dyDescent="0.25">
      <c r="B458" s="49">
        <v>453</v>
      </c>
      <c r="C458" s="37"/>
      <c r="D458" s="87" t="str">
        <f>IF(tbl_Assessment[[#This Row],[Ben Code]]&lt;&gt;"",INDEX(tbl_Ben_Info[],MATCH(tbl_Assessment[[#This Row],[Ben Code]],tbl_Ben_Info[Ben Code],0),48),"")</f>
        <v/>
      </c>
      <c r="E458" s="116" t="str">
        <f>IF(tbl_Assessment[[#This Row],[Ben Code]]&lt;&gt;"",INDEX(tbl_Ben_Info[],MATCH(tbl_Assessment[[#This Row],[Ben Code]],tbl_Ben_Info[Ben Code],0),6),"")</f>
        <v/>
      </c>
      <c r="F458" s="113" t="str">
        <f>IF(tbl_Assessment[[#This Row],[Ben Code]]&lt;&gt;"",INDEX(tbl_Ben_Info[],MATCH(tbl_Assessment[[#This Row],[Ben Code]],tbl_Ben_Info[Ben Code],0),13),"")</f>
        <v/>
      </c>
      <c r="G458" s="49"/>
      <c r="H458" s="37"/>
      <c r="I458" s="37"/>
      <c r="J458" s="37"/>
      <c r="K458" s="37"/>
      <c r="L458" s="37"/>
      <c r="M458" s="59"/>
      <c r="N458" s="37"/>
      <c r="O458" s="37"/>
      <c r="P458" s="37"/>
      <c r="Q458" s="59"/>
      <c r="R458" s="49"/>
      <c r="S458" s="37"/>
      <c r="T458" s="37"/>
      <c r="U458" s="37"/>
      <c r="V458" s="37"/>
      <c r="W458" s="96" t="str">
        <f>tbl_Assessment[[#This Row],[Ben Code]] &amp; "-"&amp;tbl_Assessment[[#This Row],[admin4Pcode]]&amp;"-" &amp; TEXT(COUNTIF(INDEX(tbl_Assessment[Ben Code],1):tbl_Assessment[[#This Row],[Ben Code]], tbl_Assessment[[#This Row],[Ben Code]]), "00")</f>
        <v>--00</v>
      </c>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49"/>
      <c r="AU458" s="41"/>
      <c r="AV458" s="37"/>
      <c r="AW458" s="37"/>
      <c r="AX458" s="37"/>
      <c r="AY458" s="37"/>
      <c r="AZ458" s="37"/>
      <c r="BA458" s="37"/>
      <c r="BB458" s="41"/>
      <c r="BC458" s="37"/>
      <c r="BD458" s="37"/>
      <c r="BE458" s="37"/>
      <c r="BF458" s="41"/>
      <c r="BG458" s="37"/>
      <c r="BH458" s="37"/>
      <c r="BI458" s="37"/>
      <c r="BJ458" s="41"/>
    </row>
    <row r="459" spans="2:62" ht="25.15" customHeight="1" x14ac:dyDescent="0.25">
      <c r="B459" s="49">
        <v>454</v>
      </c>
      <c r="C459" s="37"/>
      <c r="D459" s="87" t="str">
        <f>IF(tbl_Assessment[[#This Row],[Ben Code]]&lt;&gt;"",INDEX(tbl_Ben_Info[],MATCH(tbl_Assessment[[#This Row],[Ben Code]],tbl_Ben_Info[Ben Code],0),48),"")</f>
        <v/>
      </c>
      <c r="E459" s="116" t="str">
        <f>IF(tbl_Assessment[[#This Row],[Ben Code]]&lt;&gt;"",INDEX(tbl_Ben_Info[],MATCH(tbl_Assessment[[#This Row],[Ben Code]],tbl_Ben_Info[Ben Code],0),6),"")</f>
        <v/>
      </c>
      <c r="F459" s="113" t="str">
        <f>IF(tbl_Assessment[[#This Row],[Ben Code]]&lt;&gt;"",INDEX(tbl_Ben_Info[],MATCH(tbl_Assessment[[#This Row],[Ben Code]],tbl_Ben_Info[Ben Code],0),13),"")</f>
        <v/>
      </c>
      <c r="G459" s="49"/>
      <c r="H459" s="37"/>
      <c r="I459" s="37"/>
      <c r="J459" s="37"/>
      <c r="K459" s="37"/>
      <c r="L459" s="37"/>
      <c r="M459" s="59"/>
      <c r="N459" s="37"/>
      <c r="O459" s="37"/>
      <c r="P459" s="37"/>
      <c r="Q459" s="59"/>
      <c r="R459" s="49"/>
      <c r="S459" s="37"/>
      <c r="T459" s="37"/>
      <c r="U459" s="37"/>
      <c r="V459" s="37"/>
      <c r="W459" s="96" t="str">
        <f>tbl_Assessment[[#This Row],[Ben Code]] &amp; "-"&amp;tbl_Assessment[[#This Row],[admin4Pcode]]&amp;"-" &amp; TEXT(COUNTIF(INDEX(tbl_Assessment[Ben Code],1):tbl_Assessment[[#This Row],[Ben Code]], tbl_Assessment[[#This Row],[Ben Code]]), "00")</f>
        <v>--00</v>
      </c>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49"/>
      <c r="AU459" s="41"/>
      <c r="AV459" s="37"/>
      <c r="AW459" s="37"/>
      <c r="AX459" s="37"/>
      <c r="AY459" s="37"/>
      <c r="AZ459" s="37"/>
      <c r="BA459" s="37"/>
      <c r="BB459" s="41"/>
      <c r="BC459" s="37"/>
      <c r="BD459" s="37"/>
      <c r="BE459" s="37"/>
      <c r="BF459" s="41"/>
      <c r="BG459" s="37"/>
      <c r="BH459" s="37"/>
      <c r="BI459" s="37"/>
      <c r="BJ459" s="41"/>
    </row>
    <row r="460" spans="2:62" ht="25.15" customHeight="1" x14ac:dyDescent="0.25">
      <c r="B460" s="49">
        <v>455</v>
      </c>
      <c r="C460" s="37"/>
      <c r="D460" s="87" t="str">
        <f>IF(tbl_Assessment[[#This Row],[Ben Code]]&lt;&gt;"",INDEX(tbl_Ben_Info[],MATCH(tbl_Assessment[[#This Row],[Ben Code]],tbl_Ben_Info[Ben Code],0),48),"")</f>
        <v/>
      </c>
      <c r="E460" s="116" t="str">
        <f>IF(tbl_Assessment[[#This Row],[Ben Code]]&lt;&gt;"",INDEX(tbl_Ben_Info[],MATCH(tbl_Assessment[[#This Row],[Ben Code]],tbl_Ben_Info[Ben Code],0),6),"")</f>
        <v/>
      </c>
      <c r="F460" s="113" t="str">
        <f>IF(tbl_Assessment[[#This Row],[Ben Code]]&lt;&gt;"",INDEX(tbl_Ben_Info[],MATCH(tbl_Assessment[[#This Row],[Ben Code]],tbl_Ben_Info[Ben Code],0),13),"")</f>
        <v/>
      </c>
      <c r="G460" s="49"/>
      <c r="H460" s="37"/>
      <c r="I460" s="37"/>
      <c r="J460" s="37"/>
      <c r="K460" s="37"/>
      <c r="L460" s="37"/>
      <c r="M460" s="59"/>
      <c r="N460" s="37"/>
      <c r="O460" s="37"/>
      <c r="P460" s="37"/>
      <c r="Q460" s="59"/>
      <c r="R460" s="49"/>
      <c r="S460" s="37"/>
      <c r="T460" s="37"/>
      <c r="U460" s="37"/>
      <c r="V460" s="37"/>
      <c r="W460" s="96" t="str">
        <f>tbl_Assessment[[#This Row],[Ben Code]] &amp; "-"&amp;tbl_Assessment[[#This Row],[admin4Pcode]]&amp;"-" &amp; TEXT(COUNTIF(INDEX(tbl_Assessment[Ben Code],1):tbl_Assessment[[#This Row],[Ben Code]], tbl_Assessment[[#This Row],[Ben Code]]), "00")</f>
        <v>--00</v>
      </c>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49"/>
      <c r="AU460" s="41"/>
      <c r="AV460" s="37"/>
      <c r="AW460" s="37"/>
      <c r="AX460" s="37"/>
      <c r="AY460" s="37"/>
      <c r="AZ460" s="37"/>
      <c r="BA460" s="37"/>
      <c r="BB460" s="41"/>
      <c r="BC460" s="37"/>
      <c r="BD460" s="37"/>
      <c r="BE460" s="37"/>
      <c r="BF460" s="41"/>
      <c r="BG460" s="37"/>
      <c r="BH460" s="37"/>
      <c r="BI460" s="37"/>
      <c r="BJ460" s="41"/>
    </row>
    <row r="461" spans="2:62" ht="25.15" customHeight="1" x14ac:dyDescent="0.25">
      <c r="B461" s="49">
        <v>456</v>
      </c>
      <c r="C461" s="37"/>
      <c r="D461" s="87" t="str">
        <f>IF(tbl_Assessment[[#This Row],[Ben Code]]&lt;&gt;"",INDEX(tbl_Ben_Info[],MATCH(tbl_Assessment[[#This Row],[Ben Code]],tbl_Ben_Info[Ben Code],0),48),"")</f>
        <v/>
      </c>
      <c r="E461" s="116" t="str">
        <f>IF(tbl_Assessment[[#This Row],[Ben Code]]&lt;&gt;"",INDEX(tbl_Ben_Info[],MATCH(tbl_Assessment[[#This Row],[Ben Code]],tbl_Ben_Info[Ben Code],0),6),"")</f>
        <v/>
      </c>
      <c r="F461" s="113" t="str">
        <f>IF(tbl_Assessment[[#This Row],[Ben Code]]&lt;&gt;"",INDEX(tbl_Ben_Info[],MATCH(tbl_Assessment[[#This Row],[Ben Code]],tbl_Ben_Info[Ben Code],0),13),"")</f>
        <v/>
      </c>
      <c r="G461" s="49"/>
      <c r="H461" s="37"/>
      <c r="I461" s="37"/>
      <c r="J461" s="37"/>
      <c r="K461" s="37"/>
      <c r="L461" s="37"/>
      <c r="M461" s="59"/>
      <c r="N461" s="37"/>
      <c r="O461" s="37"/>
      <c r="P461" s="37"/>
      <c r="Q461" s="59"/>
      <c r="R461" s="49"/>
      <c r="S461" s="37"/>
      <c r="T461" s="37"/>
      <c r="U461" s="37"/>
      <c r="V461" s="37"/>
      <c r="W461" s="96" t="str">
        <f>tbl_Assessment[[#This Row],[Ben Code]] &amp; "-"&amp;tbl_Assessment[[#This Row],[admin4Pcode]]&amp;"-" &amp; TEXT(COUNTIF(INDEX(tbl_Assessment[Ben Code],1):tbl_Assessment[[#This Row],[Ben Code]], tbl_Assessment[[#This Row],[Ben Code]]), "00")</f>
        <v>--00</v>
      </c>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49"/>
      <c r="AU461" s="41"/>
      <c r="AV461" s="37"/>
      <c r="AW461" s="37"/>
      <c r="AX461" s="37"/>
      <c r="AY461" s="37"/>
      <c r="AZ461" s="37"/>
      <c r="BA461" s="37"/>
      <c r="BB461" s="41"/>
      <c r="BC461" s="37"/>
      <c r="BD461" s="37"/>
      <c r="BE461" s="37"/>
      <c r="BF461" s="41"/>
      <c r="BG461" s="37"/>
      <c r="BH461" s="37"/>
      <c r="BI461" s="37"/>
      <c r="BJ461" s="41"/>
    </row>
    <row r="462" spans="2:62" ht="25.15" customHeight="1" x14ac:dyDescent="0.25">
      <c r="B462" s="49">
        <v>457</v>
      </c>
      <c r="C462" s="37"/>
      <c r="D462" s="87" t="str">
        <f>IF(tbl_Assessment[[#This Row],[Ben Code]]&lt;&gt;"",INDEX(tbl_Ben_Info[],MATCH(tbl_Assessment[[#This Row],[Ben Code]],tbl_Ben_Info[Ben Code],0),48),"")</f>
        <v/>
      </c>
      <c r="E462" s="116" t="str">
        <f>IF(tbl_Assessment[[#This Row],[Ben Code]]&lt;&gt;"",INDEX(tbl_Ben_Info[],MATCH(tbl_Assessment[[#This Row],[Ben Code]],tbl_Ben_Info[Ben Code],0),6),"")</f>
        <v/>
      </c>
      <c r="F462" s="113" t="str">
        <f>IF(tbl_Assessment[[#This Row],[Ben Code]]&lt;&gt;"",INDEX(tbl_Ben_Info[],MATCH(tbl_Assessment[[#This Row],[Ben Code]],tbl_Ben_Info[Ben Code],0),13),"")</f>
        <v/>
      </c>
      <c r="G462" s="49"/>
      <c r="H462" s="37"/>
      <c r="I462" s="37"/>
      <c r="J462" s="37"/>
      <c r="K462" s="37"/>
      <c r="L462" s="37"/>
      <c r="M462" s="59"/>
      <c r="N462" s="37"/>
      <c r="O462" s="37"/>
      <c r="P462" s="37"/>
      <c r="Q462" s="59"/>
      <c r="R462" s="49"/>
      <c r="S462" s="37"/>
      <c r="T462" s="37"/>
      <c r="U462" s="37"/>
      <c r="V462" s="37"/>
      <c r="W462" s="96" t="str">
        <f>tbl_Assessment[[#This Row],[Ben Code]] &amp; "-"&amp;tbl_Assessment[[#This Row],[admin4Pcode]]&amp;"-" &amp; TEXT(COUNTIF(INDEX(tbl_Assessment[Ben Code],1):tbl_Assessment[[#This Row],[Ben Code]], tbl_Assessment[[#This Row],[Ben Code]]), "00")</f>
        <v>--00</v>
      </c>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49"/>
      <c r="AU462" s="41"/>
      <c r="AV462" s="37"/>
      <c r="AW462" s="37"/>
      <c r="AX462" s="37"/>
      <c r="AY462" s="37"/>
      <c r="AZ462" s="37"/>
      <c r="BA462" s="37"/>
      <c r="BB462" s="41"/>
      <c r="BC462" s="37"/>
      <c r="BD462" s="37"/>
      <c r="BE462" s="37"/>
      <c r="BF462" s="41"/>
      <c r="BG462" s="37"/>
      <c r="BH462" s="37"/>
      <c r="BI462" s="37"/>
      <c r="BJ462" s="41"/>
    </row>
    <row r="463" spans="2:62" ht="25.15" customHeight="1" x14ac:dyDescent="0.25">
      <c r="B463" s="49">
        <v>458</v>
      </c>
      <c r="C463" s="37"/>
      <c r="D463" s="87" t="str">
        <f>IF(tbl_Assessment[[#This Row],[Ben Code]]&lt;&gt;"",INDEX(tbl_Ben_Info[],MATCH(tbl_Assessment[[#This Row],[Ben Code]],tbl_Ben_Info[Ben Code],0),48),"")</f>
        <v/>
      </c>
      <c r="E463" s="116" t="str">
        <f>IF(tbl_Assessment[[#This Row],[Ben Code]]&lt;&gt;"",INDEX(tbl_Ben_Info[],MATCH(tbl_Assessment[[#This Row],[Ben Code]],tbl_Ben_Info[Ben Code],0),6),"")</f>
        <v/>
      </c>
      <c r="F463" s="113" t="str">
        <f>IF(tbl_Assessment[[#This Row],[Ben Code]]&lt;&gt;"",INDEX(tbl_Ben_Info[],MATCH(tbl_Assessment[[#This Row],[Ben Code]],tbl_Ben_Info[Ben Code],0),13),"")</f>
        <v/>
      </c>
      <c r="G463" s="49"/>
      <c r="H463" s="37"/>
      <c r="I463" s="37"/>
      <c r="J463" s="37"/>
      <c r="K463" s="37"/>
      <c r="L463" s="37"/>
      <c r="M463" s="59"/>
      <c r="N463" s="37"/>
      <c r="O463" s="37"/>
      <c r="P463" s="37"/>
      <c r="Q463" s="59"/>
      <c r="R463" s="49"/>
      <c r="S463" s="37"/>
      <c r="T463" s="37"/>
      <c r="U463" s="37"/>
      <c r="V463" s="37"/>
      <c r="W463" s="96" t="str">
        <f>tbl_Assessment[[#This Row],[Ben Code]] &amp; "-"&amp;tbl_Assessment[[#This Row],[admin4Pcode]]&amp;"-" &amp; TEXT(COUNTIF(INDEX(tbl_Assessment[Ben Code],1):tbl_Assessment[[#This Row],[Ben Code]], tbl_Assessment[[#This Row],[Ben Code]]), "00")</f>
        <v>--00</v>
      </c>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49"/>
      <c r="AU463" s="41"/>
      <c r="AV463" s="37"/>
      <c r="AW463" s="37"/>
      <c r="AX463" s="37"/>
      <c r="AY463" s="37"/>
      <c r="AZ463" s="37"/>
      <c r="BA463" s="37"/>
      <c r="BB463" s="41"/>
      <c r="BC463" s="37"/>
      <c r="BD463" s="37"/>
      <c r="BE463" s="37"/>
      <c r="BF463" s="41"/>
      <c r="BG463" s="37"/>
      <c r="BH463" s="37"/>
      <c r="BI463" s="37"/>
      <c r="BJ463" s="41"/>
    </row>
    <row r="464" spans="2:62" ht="25.15" customHeight="1" x14ac:dyDescent="0.25">
      <c r="B464" s="49">
        <v>459</v>
      </c>
      <c r="C464" s="37"/>
      <c r="D464" s="87" t="str">
        <f>IF(tbl_Assessment[[#This Row],[Ben Code]]&lt;&gt;"",INDEX(tbl_Ben_Info[],MATCH(tbl_Assessment[[#This Row],[Ben Code]],tbl_Ben_Info[Ben Code],0),48),"")</f>
        <v/>
      </c>
      <c r="E464" s="116" t="str">
        <f>IF(tbl_Assessment[[#This Row],[Ben Code]]&lt;&gt;"",INDEX(tbl_Ben_Info[],MATCH(tbl_Assessment[[#This Row],[Ben Code]],tbl_Ben_Info[Ben Code],0),6),"")</f>
        <v/>
      </c>
      <c r="F464" s="113" t="str">
        <f>IF(tbl_Assessment[[#This Row],[Ben Code]]&lt;&gt;"",INDEX(tbl_Ben_Info[],MATCH(tbl_Assessment[[#This Row],[Ben Code]],tbl_Ben_Info[Ben Code],0),13),"")</f>
        <v/>
      </c>
      <c r="G464" s="49"/>
      <c r="H464" s="37"/>
      <c r="I464" s="37"/>
      <c r="J464" s="37"/>
      <c r="K464" s="37"/>
      <c r="L464" s="37"/>
      <c r="M464" s="59"/>
      <c r="N464" s="37"/>
      <c r="O464" s="37"/>
      <c r="P464" s="37"/>
      <c r="Q464" s="59"/>
      <c r="R464" s="49"/>
      <c r="S464" s="37"/>
      <c r="T464" s="37"/>
      <c r="U464" s="37"/>
      <c r="V464" s="37"/>
      <c r="W464" s="96" t="str">
        <f>tbl_Assessment[[#This Row],[Ben Code]] &amp; "-"&amp;tbl_Assessment[[#This Row],[admin4Pcode]]&amp;"-" &amp; TEXT(COUNTIF(INDEX(tbl_Assessment[Ben Code],1):tbl_Assessment[[#This Row],[Ben Code]], tbl_Assessment[[#This Row],[Ben Code]]), "00")</f>
        <v>--00</v>
      </c>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49"/>
      <c r="AU464" s="41"/>
      <c r="AV464" s="37"/>
      <c r="AW464" s="37"/>
      <c r="AX464" s="37"/>
      <c r="AY464" s="37"/>
      <c r="AZ464" s="37"/>
      <c r="BA464" s="37"/>
      <c r="BB464" s="41"/>
      <c r="BC464" s="37"/>
      <c r="BD464" s="37"/>
      <c r="BE464" s="37"/>
      <c r="BF464" s="41"/>
      <c r="BG464" s="37"/>
      <c r="BH464" s="37"/>
      <c r="BI464" s="37"/>
      <c r="BJ464" s="41"/>
    </row>
    <row r="465" spans="2:62" ht="25.15" customHeight="1" x14ac:dyDescent="0.25">
      <c r="B465" s="49">
        <v>460</v>
      </c>
      <c r="C465" s="37"/>
      <c r="D465" s="87" t="str">
        <f>IF(tbl_Assessment[[#This Row],[Ben Code]]&lt;&gt;"",INDEX(tbl_Ben_Info[],MATCH(tbl_Assessment[[#This Row],[Ben Code]],tbl_Ben_Info[Ben Code],0),48),"")</f>
        <v/>
      </c>
      <c r="E465" s="116" t="str">
        <f>IF(tbl_Assessment[[#This Row],[Ben Code]]&lt;&gt;"",INDEX(tbl_Ben_Info[],MATCH(tbl_Assessment[[#This Row],[Ben Code]],tbl_Ben_Info[Ben Code],0),6),"")</f>
        <v/>
      </c>
      <c r="F465" s="113" t="str">
        <f>IF(tbl_Assessment[[#This Row],[Ben Code]]&lt;&gt;"",INDEX(tbl_Ben_Info[],MATCH(tbl_Assessment[[#This Row],[Ben Code]],tbl_Ben_Info[Ben Code],0),13),"")</f>
        <v/>
      </c>
      <c r="G465" s="49"/>
      <c r="H465" s="37"/>
      <c r="I465" s="37"/>
      <c r="J465" s="37"/>
      <c r="K465" s="37"/>
      <c r="L465" s="37"/>
      <c r="M465" s="59"/>
      <c r="N465" s="37"/>
      <c r="O465" s="37"/>
      <c r="P465" s="37"/>
      <c r="Q465" s="59"/>
      <c r="R465" s="49"/>
      <c r="S465" s="37"/>
      <c r="T465" s="37"/>
      <c r="U465" s="37"/>
      <c r="V465" s="37"/>
      <c r="W465" s="96" t="str">
        <f>tbl_Assessment[[#This Row],[Ben Code]] &amp; "-"&amp;tbl_Assessment[[#This Row],[admin4Pcode]]&amp;"-" &amp; TEXT(COUNTIF(INDEX(tbl_Assessment[Ben Code],1):tbl_Assessment[[#This Row],[Ben Code]], tbl_Assessment[[#This Row],[Ben Code]]), "00")</f>
        <v>--00</v>
      </c>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49"/>
      <c r="AU465" s="41"/>
      <c r="AV465" s="37"/>
      <c r="AW465" s="37"/>
      <c r="AX465" s="37"/>
      <c r="AY465" s="37"/>
      <c r="AZ465" s="37"/>
      <c r="BA465" s="37"/>
      <c r="BB465" s="41"/>
      <c r="BC465" s="37"/>
      <c r="BD465" s="37"/>
      <c r="BE465" s="37"/>
      <c r="BF465" s="41"/>
      <c r="BG465" s="37"/>
      <c r="BH465" s="37"/>
      <c r="BI465" s="37"/>
      <c r="BJ465" s="41"/>
    </row>
    <row r="466" spans="2:62" ht="25.15" customHeight="1" x14ac:dyDescent="0.25">
      <c r="B466" s="49">
        <v>461</v>
      </c>
      <c r="C466" s="37"/>
      <c r="D466" s="87" t="str">
        <f>IF(tbl_Assessment[[#This Row],[Ben Code]]&lt;&gt;"",INDEX(tbl_Ben_Info[],MATCH(tbl_Assessment[[#This Row],[Ben Code]],tbl_Ben_Info[Ben Code],0),48),"")</f>
        <v/>
      </c>
      <c r="E466" s="116" t="str">
        <f>IF(tbl_Assessment[[#This Row],[Ben Code]]&lt;&gt;"",INDEX(tbl_Ben_Info[],MATCH(tbl_Assessment[[#This Row],[Ben Code]],tbl_Ben_Info[Ben Code],0),6),"")</f>
        <v/>
      </c>
      <c r="F466" s="113" t="str">
        <f>IF(tbl_Assessment[[#This Row],[Ben Code]]&lt;&gt;"",INDEX(tbl_Ben_Info[],MATCH(tbl_Assessment[[#This Row],[Ben Code]],tbl_Ben_Info[Ben Code],0),13),"")</f>
        <v/>
      </c>
      <c r="G466" s="49"/>
      <c r="H466" s="37"/>
      <c r="I466" s="37"/>
      <c r="J466" s="37"/>
      <c r="K466" s="37"/>
      <c r="L466" s="37"/>
      <c r="M466" s="59"/>
      <c r="N466" s="37"/>
      <c r="O466" s="37"/>
      <c r="P466" s="37"/>
      <c r="Q466" s="59"/>
      <c r="R466" s="49"/>
      <c r="S466" s="37"/>
      <c r="T466" s="37"/>
      <c r="U466" s="37"/>
      <c r="V466" s="37"/>
      <c r="W466" s="96" t="str">
        <f>tbl_Assessment[[#This Row],[Ben Code]] &amp; "-"&amp;tbl_Assessment[[#This Row],[admin4Pcode]]&amp;"-" &amp; TEXT(COUNTIF(INDEX(tbl_Assessment[Ben Code],1):tbl_Assessment[[#This Row],[Ben Code]], tbl_Assessment[[#This Row],[Ben Code]]), "00")</f>
        <v>--00</v>
      </c>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49"/>
      <c r="AU466" s="41"/>
      <c r="AV466" s="37"/>
      <c r="AW466" s="37"/>
      <c r="AX466" s="37"/>
      <c r="AY466" s="37"/>
      <c r="AZ466" s="37"/>
      <c r="BA466" s="37"/>
      <c r="BB466" s="41"/>
      <c r="BC466" s="37"/>
      <c r="BD466" s="37"/>
      <c r="BE466" s="37"/>
      <c r="BF466" s="41"/>
      <c r="BG466" s="37"/>
      <c r="BH466" s="37"/>
      <c r="BI466" s="37"/>
      <c r="BJ466" s="41"/>
    </row>
    <row r="467" spans="2:62" ht="25.15" customHeight="1" x14ac:dyDescent="0.25">
      <c r="B467" s="49">
        <v>462</v>
      </c>
      <c r="C467" s="37"/>
      <c r="D467" s="87" t="str">
        <f>IF(tbl_Assessment[[#This Row],[Ben Code]]&lt;&gt;"",INDEX(tbl_Ben_Info[],MATCH(tbl_Assessment[[#This Row],[Ben Code]],tbl_Ben_Info[Ben Code],0),48),"")</f>
        <v/>
      </c>
      <c r="E467" s="116" t="str">
        <f>IF(tbl_Assessment[[#This Row],[Ben Code]]&lt;&gt;"",INDEX(tbl_Ben_Info[],MATCH(tbl_Assessment[[#This Row],[Ben Code]],tbl_Ben_Info[Ben Code],0),6),"")</f>
        <v/>
      </c>
      <c r="F467" s="113" t="str">
        <f>IF(tbl_Assessment[[#This Row],[Ben Code]]&lt;&gt;"",INDEX(tbl_Ben_Info[],MATCH(tbl_Assessment[[#This Row],[Ben Code]],tbl_Ben_Info[Ben Code],0),13),"")</f>
        <v/>
      </c>
      <c r="G467" s="49"/>
      <c r="H467" s="37"/>
      <c r="I467" s="37"/>
      <c r="J467" s="37"/>
      <c r="K467" s="37"/>
      <c r="L467" s="37"/>
      <c r="M467" s="59"/>
      <c r="N467" s="37"/>
      <c r="O467" s="37"/>
      <c r="P467" s="37"/>
      <c r="Q467" s="59"/>
      <c r="R467" s="49"/>
      <c r="S467" s="37"/>
      <c r="T467" s="37"/>
      <c r="U467" s="37"/>
      <c r="V467" s="37"/>
      <c r="W467" s="96" t="str">
        <f>tbl_Assessment[[#This Row],[Ben Code]] &amp; "-"&amp;tbl_Assessment[[#This Row],[admin4Pcode]]&amp;"-" &amp; TEXT(COUNTIF(INDEX(tbl_Assessment[Ben Code],1):tbl_Assessment[[#This Row],[Ben Code]], tbl_Assessment[[#This Row],[Ben Code]]), "00")</f>
        <v>--00</v>
      </c>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49"/>
      <c r="AU467" s="41"/>
      <c r="AV467" s="37"/>
      <c r="AW467" s="37"/>
      <c r="AX467" s="37"/>
      <c r="AY467" s="37"/>
      <c r="AZ467" s="37"/>
      <c r="BA467" s="37"/>
      <c r="BB467" s="41"/>
      <c r="BC467" s="37"/>
      <c r="BD467" s="37"/>
      <c r="BE467" s="37"/>
      <c r="BF467" s="41"/>
      <c r="BG467" s="37"/>
      <c r="BH467" s="37"/>
      <c r="BI467" s="37"/>
      <c r="BJ467" s="41"/>
    </row>
    <row r="468" spans="2:62" ht="25.15" customHeight="1" x14ac:dyDescent="0.25">
      <c r="B468" s="49">
        <v>463</v>
      </c>
      <c r="C468" s="37"/>
      <c r="D468" s="87" t="str">
        <f>IF(tbl_Assessment[[#This Row],[Ben Code]]&lt;&gt;"",INDEX(tbl_Ben_Info[],MATCH(tbl_Assessment[[#This Row],[Ben Code]],tbl_Ben_Info[Ben Code],0),48),"")</f>
        <v/>
      </c>
      <c r="E468" s="116" t="str">
        <f>IF(tbl_Assessment[[#This Row],[Ben Code]]&lt;&gt;"",INDEX(tbl_Ben_Info[],MATCH(tbl_Assessment[[#This Row],[Ben Code]],tbl_Ben_Info[Ben Code],0),6),"")</f>
        <v/>
      </c>
      <c r="F468" s="113" t="str">
        <f>IF(tbl_Assessment[[#This Row],[Ben Code]]&lt;&gt;"",INDEX(tbl_Ben_Info[],MATCH(tbl_Assessment[[#This Row],[Ben Code]],tbl_Ben_Info[Ben Code],0),13),"")</f>
        <v/>
      </c>
      <c r="G468" s="49"/>
      <c r="H468" s="37"/>
      <c r="I468" s="37"/>
      <c r="J468" s="37"/>
      <c r="K468" s="37"/>
      <c r="L468" s="37"/>
      <c r="M468" s="59"/>
      <c r="N468" s="37"/>
      <c r="O468" s="37"/>
      <c r="P468" s="37"/>
      <c r="Q468" s="59"/>
      <c r="R468" s="49"/>
      <c r="S468" s="37"/>
      <c r="T468" s="37"/>
      <c r="U468" s="37"/>
      <c r="V468" s="37"/>
      <c r="W468" s="96" t="str">
        <f>tbl_Assessment[[#This Row],[Ben Code]] &amp; "-"&amp;tbl_Assessment[[#This Row],[admin4Pcode]]&amp;"-" &amp; TEXT(COUNTIF(INDEX(tbl_Assessment[Ben Code],1):tbl_Assessment[[#This Row],[Ben Code]], tbl_Assessment[[#This Row],[Ben Code]]), "00")</f>
        <v>--00</v>
      </c>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49"/>
      <c r="AU468" s="41"/>
      <c r="AV468" s="37"/>
      <c r="AW468" s="37"/>
      <c r="AX468" s="37"/>
      <c r="AY468" s="37"/>
      <c r="AZ468" s="37"/>
      <c r="BA468" s="37"/>
      <c r="BB468" s="41"/>
      <c r="BC468" s="37"/>
      <c r="BD468" s="37"/>
      <c r="BE468" s="37"/>
      <c r="BF468" s="41"/>
      <c r="BG468" s="37"/>
      <c r="BH468" s="37"/>
      <c r="BI468" s="37"/>
      <c r="BJ468" s="41"/>
    </row>
    <row r="469" spans="2:62" ht="25.15" customHeight="1" x14ac:dyDescent="0.25">
      <c r="B469" s="49">
        <v>464</v>
      </c>
      <c r="C469" s="37"/>
      <c r="D469" s="87" t="str">
        <f>IF(tbl_Assessment[[#This Row],[Ben Code]]&lt;&gt;"",INDEX(tbl_Ben_Info[],MATCH(tbl_Assessment[[#This Row],[Ben Code]],tbl_Ben_Info[Ben Code],0),48),"")</f>
        <v/>
      </c>
      <c r="E469" s="116" t="str">
        <f>IF(tbl_Assessment[[#This Row],[Ben Code]]&lt;&gt;"",INDEX(tbl_Ben_Info[],MATCH(tbl_Assessment[[#This Row],[Ben Code]],tbl_Ben_Info[Ben Code],0),6),"")</f>
        <v/>
      </c>
      <c r="F469" s="113" t="str">
        <f>IF(tbl_Assessment[[#This Row],[Ben Code]]&lt;&gt;"",INDEX(tbl_Ben_Info[],MATCH(tbl_Assessment[[#This Row],[Ben Code]],tbl_Ben_Info[Ben Code],0),13),"")</f>
        <v/>
      </c>
      <c r="G469" s="49"/>
      <c r="H469" s="37"/>
      <c r="I469" s="37"/>
      <c r="J469" s="37"/>
      <c r="K469" s="37"/>
      <c r="L469" s="37"/>
      <c r="M469" s="59"/>
      <c r="N469" s="37"/>
      <c r="O469" s="37"/>
      <c r="P469" s="37"/>
      <c r="Q469" s="59"/>
      <c r="R469" s="49"/>
      <c r="S469" s="37"/>
      <c r="T469" s="37"/>
      <c r="U469" s="37"/>
      <c r="V469" s="37"/>
      <c r="W469" s="96" t="str">
        <f>tbl_Assessment[[#This Row],[Ben Code]] &amp; "-"&amp;tbl_Assessment[[#This Row],[admin4Pcode]]&amp;"-" &amp; TEXT(COUNTIF(INDEX(tbl_Assessment[Ben Code],1):tbl_Assessment[[#This Row],[Ben Code]], tbl_Assessment[[#This Row],[Ben Code]]), "00")</f>
        <v>--00</v>
      </c>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49"/>
      <c r="AU469" s="41"/>
      <c r="AV469" s="37"/>
      <c r="AW469" s="37"/>
      <c r="AX469" s="37"/>
      <c r="AY469" s="37"/>
      <c r="AZ469" s="37"/>
      <c r="BA469" s="37"/>
      <c r="BB469" s="41"/>
      <c r="BC469" s="37"/>
      <c r="BD469" s="37"/>
      <c r="BE469" s="37"/>
      <c r="BF469" s="41"/>
      <c r="BG469" s="37"/>
      <c r="BH469" s="37"/>
      <c r="BI469" s="37"/>
      <c r="BJ469" s="41"/>
    </row>
    <row r="470" spans="2:62" ht="25.15" customHeight="1" x14ac:dyDescent="0.25">
      <c r="B470" s="49">
        <v>465</v>
      </c>
      <c r="C470" s="37"/>
      <c r="D470" s="87" t="str">
        <f>IF(tbl_Assessment[[#This Row],[Ben Code]]&lt;&gt;"",INDEX(tbl_Ben_Info[],MATCH(tbl_Assessment[[#This Row],[Ben Code]],tbl_Ben_Info[Ben Code],0),48),"")</f>
        <v/>
      </c>
      <c r="E470" s="116" t="str">
        <f>IF(tbl_Assessment[[#This Row],[Ben Code]]&lt;&gt;"",INDEX(tbl_Ben_Info[],MATCH(tbl_Assessment[[#This Row],[Ben Code]],tbl_Ben_Info[Ben Code],0),6),"")</f>
        <v/>
      </c>
      <c r="F470" s="113" t="str">
        <f>IF(tbl_Assessment[[#This Row],[Ben Code]]&lt;&gt;"",INDEX(tbl_Ben_Info[],MATCH(tbl_Assessment[[#This Row],[Ben Code]],tbl_Ben_Info[Ben Code],0),13),"")</f>
        <v/>
      </c>
      <c r="G470" s="49"/>
      <c r="H470" s="37"/>
      <c r="I470" s="37"/>
      <c r="J470" s="37"/>
      <c r="K470" s="37"/>
      <c r="L470" s="37"/>
      <c r="M470" s="59"/>
      <c r="N470" s="37"/>
      <c r="O470" s="37"/>
      <c r="P470" s="37"/>
      <c r="Q470" s="59"/>
      <c r="R470" s="49"/>
      <c r="S470" s="37"/>
      <c r="T470" s="37"/>
      <c r="U470" s="37"/>
      <c r="V470" s="37"/>
      <c r="W470" s="96" t="str">
        <f>tbl_Assessment[[#This Row],[Ben Code]] &amp; "-"&amp;tbl_Assessment[[#This Row],[admin4Pcode]]&amp;"-" &amp; TEXT(COUNTIF(INDEX(tbl_Assessment[Ben Code],1):tbl_Assessment[[#This Row],[Ben Code]], tbl_Assessment[[#This Row],[Ben Code]]), "00")</f>
        <v>--00</v>
      </c>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49"/>
      <c r="AU470" s="41"/>
      <c r="AV470" s="37"/>
      <c r="AW470" s="37"/>
      <c r="AX470" s="37"/>
      <c r="AY470" s="37"/>
      <c r="AZ470" s="37"/>
      <c r="BA470" s="37"/>
      <c r="BB470" s="41"/>
      <c r="BC470" s="37"/>
      <c r="BD470" s="37"/>
      <c r="BE470" s="37"/>
      <c r="BF470" s="41"/>
      <c r="BG470" s="37"/>
      <c r="BH470" s="37"/>
      <c r="BI470" s="37"/>
      <c r="BJ470" s="41"/>
    </row>
    <row r="471" spans="2:62" ht="25.15" customHeight="1" x14ac:dyDescent="0.25">
      <c r="B471" s="49">
        <v>466</v>
      </c>
      <c r="C471" s="37"/>
      <c r="D471" s="87" t="str">
        <f>IF(tbl_Assessment[[#This Row],[Ben Code]]&lt;&gt;"",INDEX(tbl_Ben_Info[],MATCH(tbl_Assessment[[#This Row],[Ben Code]],tbl_Ben_Info[Ben Code],0),48),"")</f>
        <v/>
      </c>
      <c r="E471" s="116" t="str">
        <f>IF(tbl_Assessment[[#This Row],[Ben Code]]&lt;&gt;"",INDEX(tbl_Ben_Info[],MATCH(tbl_Assessment[[#This Row],[Ben Code]],tbl_Ben_Info[Ben Code],0),6),"")</f>
        <v/>
      </c>
      <c r="F471" s="113" t="str">
        <f>IF(tbl_Assessment[[#This Row],[Ben Code]]&lt;&gt;"",INDEX(tbl_Ben_Info[],MATCH(tbl_Assessment[[#This Row],[Ben Code]],tbl_Ben_Info[Ben Code],0),13),"")</f>
        <v/>
      </c>
      <c r="G471" s="49"/>
      <c r="H471" s="37"/>
      <c r="I471" s="37"/>
      <c r="J471" s="37"/>
      <c r="K471" s="37"/>
      <c r="L471" s="37"/>
      <c r="M471" s="59"/>
      <c r="N471" s="37"/>
      <c r="O471" s="37"/>
      <c r="P471" s="37"/>
      <c r="Q471" s="59"/>
      <c r="R471" s="49"/>
      <c r="S471" s="37"/>
      <c r="T471" s="37"/>
      <c r="U471" s="37"/>
      <c r="V471" s="37"/>
      <c r="W471" s="96" t="str">
        <f>tbl_Assessment[[#This Row],[Ben Code]] &amp; "-"&amp;tbl_Assessment[[#This Row],[admin4Pcode]]&amp;"-" &amp; TEXT(COUNTIF(INDEX(tbl_Assessment[Ben Code],1):tbl_Assessment[[#This Row],[Ben Code]], tbl_Assessment[[#This Row],[Ben Code]]), "00")</f>
        <v>--00</v>
      </c>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49"/>
      <c r="AU471" s="41"/>
      <c r="AV471" s="37"/>
      <c r="AW471" s="37"/>
      <c r="AX471" s="37"/>
      <c r="AY471" s="37"/>
      <c r="AZ471" s="37"/>
      <c r="BA471" s="37"/>
      <c r="BB471" s="41"/>
      <c r="BC471" s="37"/>
      <c r="BD471" s="37"/>
      <c r="BE471" s="37"/>
      <c r="BF471" s="41"/>
      <c r="BG471" s="37"/>
      <c r="BH471" s="37"/>
      <c r="BI471" s="37"/>
      <c r="BJ471" s="41"/>
    </row>
    <row r="472" spans="2:62" ht="25.15" customHeight="1" x14ac:dyDescent="0.25">
      <c r="B472" s="49">
        <v>467</v>
      </c>
      <c r="C472" s="37"/>
      <c r="D472" s="87" t="str">
        <f>IF(tbl_Assessment[[#This Row],[Ben Code]]&lt;&gt;"",INDEX(tbl_Ben_Info[],MATCH(tbl_Assessment[[#This Row],[Ben Code]],tbl_Ben_Info[Ben Code],0),48),"")</f>
        <v/>
      </c>
      <c r="E472" s="116" t="str">
        <f>IF(tbl_Assessment[[#This Row],[Ben Code]]&lt;&gt;"",INDEX(tbl_Ben_Info[],MATCH(tbl_Assessment[[#This Row],[Ben Code]],tbl_Ben_Info[Ben Code],0),6),"")</f>
        <v/>
      </c>
      <c r="F472" s="113" t="str">
        <f>IF(tbl_Assessment[[#This Row],[Ben Code]]&lt;&gt;"",INDEX(tbl_Ben_Info[],MATCH(tbl_Assessment[[#This Row],[Ben Code]],tbl_Ben_Info[Ben Code],0),13),"")</f>
        <v/>
      </c>
      <c r="G472" s="49"/>
      <c r="H472" s="37"/>
      <c r="I472" s="37"/>
      <c r="J472" s="37"/>
      <c r="K472" s="37"/>
      <c r="L472" s="37"/>
      <c r="M472" s="59"/>
      <c r="N472" s="37"/>
      <c r="O472" s="37"/>
      <c r="P472" s="37"/>
      <c r="Q472" s="59"/>
      <c r="R472" s="49"/>
      <c r="S472" s="37"/>
      <c r="T472" s="37"/>
      <c r="U472" s="37"/>
      <c r="V472" s="37"/>
      <c r="W472" s="96" t="str">
        <f>tbl_Assessment[[#This Row],[Ben Code]] &amp; "-"&amp;tbl_Assessment[[#This Row],[admin4Pcode]]&amp;"-" &amp; TEXT(COUNTIF(INDEX(tbl_Assessment[Ben Code],1):tbl_Assessment[[#This Row],[Ben Code]], tbl_Assessment[[#This Row],[Ben Code]]), "00")</f>
        <v>--00</v>
      </c>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49"/>
      <c r="AU472" s="41"/>
      <c r="AV472" s="37"/>
      <c r="AW472" s="37"/>
      <c r="AX472" s="37"/>
      <c r="AY472" s="37"/>
      <c r="AZ472" s="37"/>
      <c r="BA472" s="37"/>
      <c r="BB472" s="41"/>
      <c r="BC472" s="37"/>
      <c r="BD472" s="37"/>
      <c r="BE472" s="37"/>
      <c r="BF472" s="41"/>
      <c r="BG472" s="37"/>
      <c r="BH472" s="37"/>
      <c r="BI472" s="37"/>
      <c r="BJ472" s="41"/>
    </row>
    <row r="473" spans="2:62" ht="25.15" customHeight="1" x14ac:dyDescent="0.25">
      <c r="B473" s="49">
        <v>468</v>
      </c>
      <c r="C473" s="37"/>
      <c r="D473" s="87" t="str">
        <f>IF(tbl_Assessment[[#This Row],[Ben Code]]&lt;&gt;"",INDEX(tbl_Ben_Info[],MATCH(tbl_Assessment[[#This Row],[Ben Code]],tbl_Ben_Info[Ben Code],0),48),"")</f>
        <v/>
      </c>
      <c r="E473" s="116" t="str">
        <f>IF(tbl_Assessment[[#This Row],[Ben Code]]&lt;&gt;"",INDEX(tbl_Ben_Info[],MATCH(tbl_Assessment[[#This Row],[Ben Code]],tbl_Ben_Info[Ben Code],0),6),"")</f>
        <v/>
      </c>
      <c r="F473" s="113" t="str">
        <f>IF(tbl_Assessment[[#This Row],[Ben Code]]&lt;&gt;"",INDEX(tbl_Ben_Info[],MATCH(tbl_Assessment[[#This Row],[Ben Code]],tbl_Ben_Info[Ben Code],0),13),"")</f>
        <v/>
      </c>
      <c r="G473" s="49"/>
      <c r="H473" s="37"/>
      <c r="I473" s="37"/>
      <c r="J473" s="37"/>
      <c r="K473" s="37"/>
      <c r="L473" s="37"/>
      <c r="M473" s="59"/>
      <c r="N473" s="37"/>
      <c r="O473" s="37"/>
      <c r="P473" s="37"/>
      <c r="Q473" s="59"/>
      <c r="R473" s="49"/>
      <c r="S473" s="37"/>
      <c r="T473" s="37"/>
      <c r="U473" s="37"/>
      <c r="V473" s="37"/>
      <c r="W473" s="96" t="str">
        <f>tbl_Assessment[[#This Row],[Ben Code]] &amp; "-"&amp;tbl_Assessment[[#This Row],[admin4Pcode]]&amp;"-" &amp; TEXT(COUNTIF(INDEX(tbl_Assessment[Ben Code],1):tbl_Assessment[[#This Row],[Ben Code]], tbl_Assessment[[#This Row],[Ben Code]]), "00")</f>
        <v>--00</v>
      </c>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49"/>
      <c r="AU473" s="41"/>
      <c r="AV473" s="37"/>
      <c r="AW473" s="37"/>
      <c r="AX473" s="37"/>
      <c r="AY473" s="37"/>
      <c r="AZ473" s="37"/>
      <c r="BA473" s="37"/>
      <c r="BB473" s="41"/>
      <c r="BC473" s="37"/>
      <c r="BD473" s="37"/>
      <c r="BE473" s="37"/>
      <c r="BF473" s="41"/>
      <c r="BG473" s="37"/>
      <c r="BH473" s="37"/>
      <c r="BI473" s="37"/>
      <c r="BJ473" s="41"/>
    </row>
    <row r="474" spans="2:62" ht="25.15" customHeight="1" x14ac:dyDescent="0.25">
      <c r="B474" s="49">
        <v>469</v>
      </c>
      <c r="C474" s="37"/>
      <c r="D474" s="87" t="str">
        <f>IF(tbl_Assessment[[#This Row],[Ben Code]]&lt;&gt;"",INDEX(tbl_Ben_Info[],MATCH(tbl_Assessment[[#This Row],[Ben Code]],tbl_Ben_Info[Ben Code],0),48),"")</f>
        <v/>
      </c>
      <c r="E474" s="116" t="str">
        <f>IF(tbl_Assessment[[#This Row],[Ben Code]]&lt;&gt;"",INDEX(tbl_Ben_Info[],MATCH(tbl_Assessment[[#This Row],[Ben Code]],tbl_Ben_Info[Ben Code],0),6),"")</f>
        <v/>
      </c>
      <c r="F474" s="113" t="str">
        <f>IF(tbl_Assessment[[#This Row],[Ben Code]]&lt;&gt;"",INDEX(tbl_Ben_Info[],MATCH(tbl_Assessment[[#This Row],[Ben Code]],tbl_Ben_Info[Ben Code],0),13),"")</f>
        <v/>
      </c>
      <c r="G474" s="49"/>
      <c r="H474" s="37"/>
      <c r="I474" s="37"/>
      <c r="J474" s="37"/>
      <c r="K474" s="37"/>
      <c r="L474" s="37"/>
      <c r="M474" s="59"/>
      <c r="N474" s="37"/>
      <c r="O474" s="37"/>
      <c r="P474" s="37"/>
      <c r="Q474" s="59"/>
      <c r="R474" s="49"/>
      <c r="S474" s="37"/>
      <c r="T474" s="37"/>
      <c r="U474" s="37"/>
      <c r="V474" s="37"/>
      <c r="W474" s="96" t="str">
        <f>tbl_Assessment[[#This Row],[Ben Code]] &amp; "-"&amp;tbl_Assessment[[#This Row],[admin4Pcode]]&amp;"-" &amp; TEXT(COUNTIF(INDEX(tbl_Assessment[Ben Code],1):tbl_Assessment[[#This Row],[Ben Code]], tbl_Assessment[[#This Row],[Ben Code]]), "00")</f>
        <v>--00</v>
      </c>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49"/>
      <c r="AU474" s="41"/>
      <c r="AV474" s="37"/>
      <c r="AW474" s="37"/>
      <c r="AX474" s="37"/>
      <c r="AY474" s="37"/>
      <c r="AZ474" s="37"/>
      <c r="BA474" s="37"/>
      <c r="BB474" s="41"/>
      <c r="BC474" s="37"/>
      <c r="BD474" s="37"/>
      <c r="BE474" s="37"/>
      <c r="BF474" s="41"/>
      <c r="BG474" s="37"/>
      <c r="BH474" s="37"/>
      <c r="BI474" s="37"/>
      <c r="BJ474" s="41"/>
    </row>
    <row r="475" spans="2:62" ht="25.15" customHeight="1" x14ac:dyDescent="0.25">
      <c r="B475" s="49">
        <v>470</v>
      </c>
      <c r="C475" s="37"/>
      <c r="D475" s="87" t="str">
        <f>IF(tbl_Assessment[[#This Row],[Ben Code]]&lt;&gt;"",INDEX(tbl_Ben_Info[],MATCH(tbl_Assessment[[#This Row],[Ben Code]],tbl_Ben_Info[Ben Code],0),48),"")</f>
        <v/>
      </c>
      <c r="E475" s="116" t="str">
        <f>IF(tbl_Assessment[[#This Row],[Ben Code]]&lt;&gt;"",INDEX(tbl_Ben_Info[],MATCH(tbl_Assessment[[#This Row],[Ben Code]],tbl_Ben_Info[Ben Code],0),6),"")</f>
        <v/>
      </c>
      <c r="F475" s="113" t="str">
        <f>IF(tbl_Assessment[[#This Row],[Ben Code]]&lt;&gt;"",INDEX(tbl_Ben_Info[],MATCH(tbl_Assessment[[#This Row],[Ben Code]],tbl_Ben_Info[Ben Code],0),13),"")</f>
        <v/>
      </c>
      <c r="G475" s="49"/>
      <c r="H475" s="37"/>
      <c r="I475" s="37"/>
      <c r="J475" s="37"/>
      <c r="K475" s="37"/>
      <c r="L475" s="37"/>
      <c r="M475" s="59"/>
      <c r="N475" s="37"/>
      <c r="O475" s="37"/>
      <c r="P475" s="37"/>
      <c r="Q475" s="59"/>
      <c r="R475" s="49"/>
      <c r="S475" s="37"/>
      <c r="T475" s="37"/>
      <c r="U475" s="37"/>
      <c r="V475" s="37"/>
      <c r="W475" s="96" t="str">
        <f>tbl_Assessment[[#This Row],[Ben Code]] &amp; "-"&amp;tbl_Assessment[[#This Row],[admin4Pcode]]&amp;"-" &amp; TEXT(COUNTIF(INDEX(tbl_Assessment[Ben Code],1):tbl_Assessment[[#This Row],[Ben Code]], tbl_Assessment[[#This Row],[Ben Code]]), "00")</f>
        <v>--00</v>
      </c>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49"/>
      <c r="AU475" s="41"/>
      <c r="AV475" s="37"/>
      <c r="AW475" s="37"/>
      <c r="AX475" s="37"/>
      <c r="AY475" s="37"/>
      <c r="AZ475" s="37"/>
      <c r="BA475" s="37"/>
      <c r="BB475" s="41"/>
      <c r="BC475" s="37"/>
      <c r="BD475" s="37"/>
      <c r="BE475" s="37"/>
      <c r="BF475" s="41"/>
      <c r="BG475" s="37"/>
      <c r="BH475" s="37"/>
      <c r="BI475" s="37"/>
      <c r="BJ475" s="41"/>
    </row>
    <row r="476" spans="2:62" ht="25.15" customHeight="1" x14ac:dyDescent="0.25">
      <c r="B476" s="49">
        <v>471</v>
      </c>
      <c r="C476" s="37"/>
      <c r="D476" s="87" t="str">
        <f>IF(tbl_Assessment[[#This Row],[Ben Code]]&lt;&gt;"",INDEX(tbl_Ben_Info[],MATCH(tbl_Assessment[[#This Row],[Ben Code]],tbl_Ben_Info[Ben Code],0),48),"")</f>
        <v/>
      </c>
      <c r="E476" s="116" t="str">
        <f>IF(tbl_Assessment[[#This Row],[Ben Code]]&lt;&gt;"",INDEX(tbl_Ben_Info[],MATCH(tbl_Assessment[[#This Row],[Ben Code]],tbl_Ben_Info[Ben Code],0),6),"")</f>
        <v/>
      </c>
      <c r="F476" s="113" t="str">
        <f>IF(tbl_Assessment[[#This Row],[Ben Code]]&lt;&gt;"",INDEX(tbl_Ben_Info[],MATCH(tbl_Assessment[[#This Row],[Ben Code]],tbl_Ben_Info[Ben Code],0),13),"")</f>
        <v/>
      </c>
      <c r="G476" s="49"/>
      <c r="H476" s="37"/>
      <c r="I476" s="37"/>
      <c r="J476" s="37"/>
      <c r="K476" s="37"/>
      <c r="L476" s="37"/>
      <c r="M476" s="59"/>
      <c r="N476" s="37"/>
      <c r="O476" s="37"/>
      <c r="P476" s="37"/>
      <c r="Q476" s="59"/>
      <c r="R476" s="49"/>
      <c r="S476" s="37"/>
      <c r="T476" s="37"/>
      <c r="U476" s="37"/>
      <c r="V476" s="37"/>
      <c r="W476" s="96" t="str">
        <f>tbl_Assessment[[#This Row],[Ben Code]] &amp; "-"&amp;tbl_Assessment[[#This Row],[admin4Pcode]]&amp;"-" &amp; TEXT(COUNTIF(INDEX(tbl_Assessment[Ben Code],1):tbl_Assessment[[#This Row],[Ben Code]], tbl_Assessment[[#This Row],[Ben Code]]), "00")</f>
        <v>--00</v>
      </c>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49"/>
      <c r="AU476" s="41"/>
      <c r="AV476" s="37"/>
      <c r="AW476" s="37"/>
      <c r="AX476" s="37"/>
      <c r="AY476" s="37"/>
      <c r="AZ476" s="37"/>
      <c r="BA476" s="37"/>
      <c r="BB476" s="41"/>
      <c r="BC476" s="37"/>
      <c r="BD476" s="37"/>
      <c r="BE476" s="37"/>
      <c r="BF476" s="41"/>
      <c r="BG476" s="37"/>
      <c r="BH476" s="37"/>
      <c r="BI476" s="37"/>
      <c r="BJ476" s="41"/>
    </row>
    <row r="477" spans="2:62" ht="25.15" customHeight="1" x14ac:dyDescent="0.25">
      <c r="B477" s="49">
        <v>472</v>
      </c>
      <c r="C477" s="37"/>
      <c r="D477" s="87" t="str">
        <f>IF(tbl_Assessment[[#This Row],[Ben Code]]&lt;&gt;"",INDEX(tbl_Ben_Info[],MATCH(tbl_Assessment[[#This Row],[Ben Code]],tbl_Ben_Info[Ben Code],0),48),"")</f>
        <v/>
      </c>
      <c r="E477" s="116" t="str">
        <f>IF(tbl_Assessment[[#This Row],[Ben Code]]&lt;&gt;"",INDEX(tbl_Ben_Info[],MATCH(tbl_Assessment[[#This Row],[Ben Code]],tbl_Ben_Info[Ben Code],0),6),"")</f>
        <v/>
      </c>
      <c r="F477" s="113" t="str">
        <f>IF(tbl_Assessment[[#This Row],[Ben Code]]&lt;&gt;"",INDEX(tbl_Ben_Info[],MATCH(tbl_Assessment[[#This Row],[Ben Code]],tbl_Ben_Info[Ben Code],0),13),"")</f>
        <v/>
      </c>
      <c r="G477" s="49"/>
      <c r="H477" s="37"/>
      <c r="I477" s="37"/>
      <c r="J477" s="37"/>
      <c r="K477" s="37"/>
      <c r="L477" s="37"/>
      <c r="M477" s="59"/>
      <c r="N477" s="37"/>
      <c r="O477" s="37"/>
      <c r="P477" s="37"/>
      <c r="Q477" s="59"/>
      <c r="R477" s="49"/>
      <c r="S477" s="37"/>
      <c r="T477" s="37"/>
      <c r="U477" s="37"/>
      <c r="V477" s="37"/>
      <c r="W477" s="96" t="str">
        <f>tbl_Assessment[[#This Row],[Ben Code]] &amp; "-"&amp;tbl_Assessment[[#This Row],[admin4Pcode]]&amp;"-" &amp; TEXT(COUNTIF(INDEX(tbl_Assessment[Ben Code],1):tbl_Assessment[[#This Row],[Ben Code]], tbl_Assessment[[#This Row],[Ben Code]]), "00")</f>
        <v>--00</v>
      </c>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49"/>
      <c r="AU477" s="41"/>
      <c r="AV477" s="37"/>
      <c r="AW477" s="37"/>
      <c r="AX477" s="37"/>
      <c r="AY477" s="37"/>
      <c r="AZ477" s="37"/>
      <c r="BA477" s="37"/>
      <c r="BB477" s="41"/>
      <c r="BC477" s="37"/>
      <c r="BD477" s="37"/>
      <c r="BE477" s="37"/>
      <c r="BF477" s="41"/>
      <c r="BG477" s="37"/>
      <c r="BH477" s="37"/>
      <c r="BI477" s="37"/>
      <c r="BJ477" s="41"/>
    </row>
    <row r="478" spans="2:62" ht="25.15" customHeight="1" x14ac:dyDescent="0.25">
      <c r="B478" s="49">
        <v>473</v>
      </c>
      <c r="C478" s="37"/>
      <c r="D478" s="87" t="str">
        <f>IF(tbl_Assessment[[#This Row],[Ben Code]]&lt;&gt;"",INDEX(tbl_Ben_Info[],MATCH(tbl_Assessment[[#This Row],[Ben Code]],tbl_Ben_Info[Ben Code],0),48),"")</f>
        <v/>
      </c>
      <c r="E478" s="116" t="str">
        <f>IF(tbl_Assessment[[#This Row],[Ben Code]]&lt;&gt;"",INDEX(tbl_Ben_Info[],MATCH(tbl_Assessment[[#This Row],[Ben Code]],tbl_Ben_Info[Ben Code],0),6),"")</f>
        <v/>
      </c>
      <c r="F478" s="113" t="str">
        <f>IF(tbl_Assessment[[#This Row],[Ben Code]]&lt;&gt;"",INDEX(tbl_Ben_Info[],MATCH(tbl_Assessment[[#This Row],[Ben Code]],tbl_Ben_Info[Ben Code],0),13),"")</f>
        <v/>
      </c>
      <c r="G478" s="49"/>
      <c r="H478" s="37"/>
      <c r="I478" s="37"/>
      <c r="J478" s="37"/>
      <c r="K478" s="37"/>
      <c r="L478" s="37"/>
      <c r="M478" s="59"/>
      <c r="N478" s="37"/>
      <c r="O478" s="37"/>
      <c r="P478" s="37"/>
      <c r="Q478" s="59"/>
      <c r="R478" s="49"/>
      <c r="S478" s="37"/>
      <c r="T478" s="37"/>
      <c r="U478" s="37"/>
      <c r="V478" s="37"/>
      <c r="W478" s="96" t="str">
        <f>tbl_Assessment[[#This Row],[Ben Code]] &amp; "-"&amp;tbl_Assessment[[#This Row],[admin4Pcode]]&amp;"-" &amp; TEXT(COUNTIF(INDEX(tbl_Assessment[Ben Code],1):tbl_Assessment[[#This Row],[Ben Code]], tbl_Assessment[[#This Row],[Ben Code]]), "00")</f>
        <v>--00</v>
      </c>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49"/>
      <c r="AU478" s="41"/>
      <c r="AV478" s="37"/>
      <c r="AW478" s="37"/>
      <c r="AX478" s="37"/>
      <c r="AY478" s="37"/>
      <c r="AZ478" s="37"/>
      <c r="BA478" s="37"/>
      <c r="BB478" s="41"/>
      <c r="BC478" s="37"/>
      <c r="BD478" s="37"/>
      <c r="BE478" s="37"/>
      <c r="BF478" s="41"/>
      <c r="BG478" s="37"/>
      <c r="BH478" s="37"/>
      <c r="BI478" s="37"/>
      <c r="BJ478" s="41"/>
    </row>
    <row r="479" spans="2:62" ht="25.15" customHeight="1" x14ac:dyDescent="0.25">
      <c r="B479" s="49">
        <v>474</v>
      </c>
      <c r="C479" s="37"/>
      <c r="D479" s="87" t="str">
        <f>IF(tbl_Assessment[[#This Row],[Ben Code]]&lt;&gt;"",INDEX(tbl_Ben_Info[],MATCH(tbl_Assessment[[#This Row],[Ben Code]],tbl_Ben_Info[Ben Code],0),48),"")</f>
        <v/>
      </c>
      <c r="E479" s="116" t="str">
        <f>IF(tbl_Assessment[[#This Row],[Ben Code]]&lt;&gt;"",INDEX(tbl_Ben_Info[],MATCH(tbl_Assessment[[#This Row],[Ben Code]],tbl_Ben_Info[Ben Code],0),6),"")</f>
        <v/>
      </c>
      <c r="F479" s="113" t="str">
        <f>IF(tbl_Assessment[[#This Row],[Ben Code]]&lt;&gt;"",INDEX(tbl_Ben_Info[],MATCH(tbl_Assessment[[#This Row],[Ben Code]],tbl_Ben_Info[Ben Code],0),13),"")</f>
        <v/>
      </c>
      <c r="G479" s="49"/>
      <c r="H479" s="37"/>
      <c r="I479" s="37"/>
      <c r="J479" s="37"/>
      <c r="K479" s="37"/>
      <c r="L479" s="37"/>
      <c r="M479" s="59"/>
      <c r="N479" s="37"/>
      <c r="O479" s="37"/>
      <c r="P479" s="37"/>
      <c r="Q479" s="59"/>
      <c r="R479" s="49"/>
      <c r="S479" s="37"/>
      <c r="T479" s="37"/>
      <c r="U479" s="37"/>
      <c r="V479" s="37"/>
      <c r="W479" s="96" t="str">
        <f>tbl_Assessment[[#This Row],[Ben Code]] &amp; "-"&amp;tbl_Assessment[[#This Row],[admin4Pcode]]&amp;"-" &amp; TEXT(COUNTIF(INDEX(tbl_Assessment[Ben Code],1):tbl_Assessment[[#This Row],[Ben Code]], tbl_Assessment[[#This Row],[Ben Code]]), "00")</f>
        <v>--00</v>
      </c>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49"/>
      <c r="AU479" s="41"/>
      <c r="AV479" s="37"/>
      <c r="AW479" s="37"/>
      <c r="AX479" s="37"/>
      <c r="AY479" s="37"/>
      <c r="AZ479" s="37"/>
      <c r="BA479" s="37"/>
      <c r="BB479" s="41"/>
      <c r="BC479" s="37"/>
      <c r="BD479" s="37"/>
      <c r="BE479" s="37"/>
      <c r="BF479" s="41"/>
      <c r="BG479" s="37"/>
      <c r="BH479" s="37"/>
      <c r="BI479" s="37"/>
      <c r="BJ479" s="41"/>
    </row>
    <row r="480" spans="2:62" ht="25.15" customHeight="1" x14ac:dyDescent="0.25">
      <c r="B480" s="49">
        <v>475</v>
      </c>
      <c r="C480" s="37"/>
      <c r="D480" s="87" t="str">
        <f>IF(tbl_Assessment[[#This Row],[Ben Code]]&lt;&gt;"",INDEX(tbl_Ben_Info[],MATCH(tbl_Assessment[[#This Row],[Ben Code]],tbl_Ben_Info[Ben Code],0),48),"")</f>
        <v/>
      </c>
      <c r="E480" s="116" t="str">
        <f>IF(tbl_Assessment[[#This Row],[Ben Code]]&lt;&gt;"",INDEX(tbl_Ben_Info[],MATCH(tbl_Assessment[[#This Row],[Ben Code]],tbl_Ben_Info[Ben Code],0),6),"")</f>
        <v/>
      </c>
      <c r="F480" s="113" t="str">
        <f>IF(tbl_Assessment[[#This Row],[Ben Code]]&lt;&gt;"",INDEX(tbl_Ben_Info[],MATCH(tbl_Assessment[[#This Row],[Ben Code]],tbl_Ben_Info[Ben Code],0),13),"")</f>
        <v/>
      </c>
      <c r="G480" s="49"/>
      <c r="H480" s="37"/>
      <c r="I480" s="37"/>
      <c r="J480" s="37"/>
      <c r="K480" s="37"/>
      <c r="L480" s="37"/>
      <c r="M480" s="59"/>
      <c r="N480" s="37"/>
      <c r="O480" s="37"/>
      <c r="P480" s="37"/>
      <c r="Q480" s="59"/>
      <c r="R480" s="49"/>
      <c r="S480" s="37"/>
      <c r="T480" s="37"/>
      <c r="U480" s="37"/>
      <c r="V480" s="37"/>
      <c r="W480" s="96" t="str">
        <f>tbl_Assessment[[#This Row],[Ben Code]] &amp; "-"&amp;tbl_Assessment[[#This Row],[admin4Pcode]]&amp;"-" &amp; TEXT(COUNTIF(INDEX(tbl_Assessment[Ben Code],1):tbl_Assessment[[#This Row],[Ben Code]], tbl_Assessment[[#This Row],[Ben Code]]), "00")</f>
        <v>--00</v>
      </c>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49"/>
      <c r="AU480" s="41"/>
      <c r="AV480" s="37"/>
      <c r="AW480" s="37"/>
      <c r="AX480" s="37"/>
      <c r="AY480" s="37"/>
      <c r="AZ480" s="37"/>
      <c r="BA480" s="37"/>
      <c r="BB480" s="41"/>
      <c r="BC480" s="37"/>
      <c r="BD480" s="37"/>
      <c r="BE480" s="37"/>
      <c r="BF480" s="41"/>
      <c r="BG480" s="37"/>
      <c r="BH480" s="37"/>
      <c r="BI480" s="37"/>
      <c r="BJ480" s="41"/>
    </row>
    <row r="481" spans="2:62" ht="25.15" customHeight="1" x14ac:dyDescent="0.25">
      <c r="B481" s="49">
        <v>476</v>
      </c>
      <c r="C481" s="37"/>
      <c r="D481" s="87" t="str">
        <f>IF(tbl_Assessment[[#This Row],[Ben Code]]&lt;&gt;"",INDEX(tbl_Ben_Info[],MATCH(tbl_Assessment[[#This Row],[Ben Code]],tbl_Ben_Info[Ben Code],0),48),"")</f>
        <v/>
      </c>
      <c r="E481" s="116" t="str">
        <f>IF(tbl_Assessment[[#This Row],[Ben Code]]&lt;&gt;"",INDEX(tbl_Ben_Info[],MATCH(tbl_Assessment[[#This Row],[Ben Code]],tbl_Ben_Info[Ben Code],0),6),"")</f>
        <v/>
      </c>
      <c r="F481" s="113" t="str">
        <f>IF(tbl_Assessment[[#This Row],[Ben Code]]&lt;&gt;"",INDEX(tbl_Ben_Info[],MATCH(tbl_Assessment[[#This Row],[Ben Code]],tbl_Ben_Info[Ben Code],0),13),"")</f>
        <v/>
      </c>
      <c r="G481" s="49"/>
      <c r="H481" s="37"/>
      <c r="I481" s="37"/>
      <c r="J481" s="37"/>
      <c r="K481" s="37"/>
      <c r="L481" s="37"/>
      <c r="M481" s="59"/>
      <c r="N481" s="37"/>
      <c r="O481" s="37"/>
      <c r="P481" s="37"/>
      <c r="Q481" s="59"/>
      <c r="R481" s="49"/>
      <c r="S481" s="37"/>
      <c r="T481" s="37"/>
      <c r="U481" s="37"/>
      <c r="V481" s="37"/>
      <c r="W481" s="96" t="str">
        <f>tbl_Assessment[[#This Row],[Ben Code]] &amp; "-"&amp;tbl_Assessment[[#This Row],[admin4Pcode]]&amp;"-" &amp; TEXT(COUNTIF(INDEX(tbl_Assessment[Ben Code],1):tbl_Assessment[[#This Row],[Ben Code]], tbl_Assessment[[#This Row],[Ben Code]]), "00")</f>
        <v>--00</v>
      </c>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49"/>
      <c r="AU481" s="41"/>
      <c r="AV481" s="37"/>
      <c r="AW481" s="37"/>
      <c r="AX481" s="37"/>
      <c r="AY481" s="37"/>
      <c r="AZ481" s="37"/>
      <c r="BA481" s="37"/>
      <c r="BB481" s="41"/>
      <c r="BC481" s="37"/>
      <c r="BD481" s="37"/>
      <c r="BE481" s="37"/>
      <c r="BF481" s="41"/>
      <c r="BG481" s="37"/>
      <c r="BH481" s="37"/>
      <c r="BI481" s="37"/>
      <c r="BJ481" s="41"/>
    </row>
    <row r="482" spans="2:62" ht="25.15" customHeight="1" x14ac:dyDescent="0.25">
      <c r="B482" s="49">
        <v>477</v>
      </c>
      <c r="C482" s="37"/>
      <c r="D482" s="87" t="str">
        <f>IF(tbl_Assessment[[#This Row],[Ben Code]]&lt;&gt;"",INDEX(tbl_Ben_Info[],MATCH(tbl_Assessment[[#This Row],[Ben Code]],tbl_Ben_Info[Ben Code],0),48),"")</f>
        <v/>
      </c>
      <c r="E482" s="116" t="str">
        <f>IF(tbl_Assessment[[#This Row],[Ben Code]]&lt;&gt;"",INDEX(tbl_Ben_Info[],MATCH(tbl_Assessment[[#This Row],[Ben Code]],tbl_Ben_Info[Ben Code],0),6),"")</f>
        <v/>
      </c>
      <c r="F482" s="113" t="str">
        <f>IF(tbl_Assessment[[#This Row],[Ben Code]]&lt;&gt;"",INDEX(tbl_Ben_Info[],MATCH(tbl_Assessment[[#This Row],[Ben Code]],tbl_Ben_Info[Ben Code],0),13),"")</f>
        <v/>
      </c>
      <c r="G482" s="49"/>
      <c r="H482" s="37"/>
      <c r="I482" s="37"/>
      <c r="J482" s="37"/>
      <c r="K482" s="37"/>
      <c r="L482" s="37"/>
      <c r="M482" s="59"/>
      <c r="N482" s="37"/>
      <c r="O482" s="37"/>
      <c r="P482" s="37"/>
      <c r="Q482" s="59"/>
      <c r="R482" s="49"/>
      <c r="S482" s="37"/>
      <c r="T482" s="37"/>
      <c r="U482" s="37"/>
      <c r="V482" s="37"/>
      <c r="W482" s="96" t="str">
        <f>tbl_Assessment[[#This Row],[Ben Code]] &amp; "-"&amp;tbl_Assessment[[#This Row],[admin4Pcode]]&amp;"-" &amp; TEXT(COUNTIF(INDEX(tbl_Assessment[Ben Code],1):tbl_Assessment[[#This Row],[Ben Code]], tbl_Assessment[[#This Row],[Ben Code]]), "00")</f>
        <v>--00</v>
      </c>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49"/>
      <c r="AU482" s="41"/>
      <c r="AV482" s="37"/>
      <c r="AW482" s="37"/>
      <c r="AX482" s="37"/>
      <c r="AY482" s="37"/>
      <c r="AZ482" s="37"/>
      <c r="BA482" s="37"/>
      <c r="BB482" s="41"/>
      <c r="BC482" s="37"/>
      <c r="BD482" s="37"/>
      <c r="BE482" s="37"/>
      <c r="BF482" s="41"/>
      <c r="BG482" s="37"/>
      <c r="BH482" s="37"/>
      <c r="BI482" s="37"/>
      <c r="BJ482" s="41"/>
    </row>
    <row r="483" spans="2:62" ht="25.15" customHeight="1" x14ac:dyDescent="0.25">
      <c r="B483" s="49">
        <v>478</v>
      </c>
      <c r="C483" s="37"/>
      <c r="D483" s="87" t="str">
        <f>IF(tbl_Assessment[[#This Row],[Ben Code]]&lt;&gt;"",INDEX(tbl_Ben_Info[],MATCH(tbl_Assessment[[#This Row],[Ben Code]],tbl_Ben_Info[Ben Code],0),48),"")</f>
        <v/>
      </c>
      <c r="E483" s="116" t="str">
        <f>IF(tbl_Assessment[[#This Row],[Ben Code]]&lt;&gt;"",INDEX(tbl_Ben_Info[],MATCH(tbl_Assessment[[#This Row],[Ben Code]],tbl_Ben_Info[Ben Code],0),6),"")</f>
        <v/>
      </c>
      <c r="F483" s="113" t="str">
        <f>IF(tbl_Assessment[[#This Row],[Ben Code]]&lt;&gt;"",INDEX(tbl_Ben_Info[],MATCH(tbl_Assessment[[#This Row],[Ben Code]],tbl_Ben_Info[Ben Code],0),13),"")</f>
        <v/>
      </c>
      <c r="G483" s="49"/>
      <c r="H483" s="37"/>
      <c r="I483" s="37"/>
      <c r="J483" s="37"/>
      <c r="K483" s="37"/>
      <c r="L483" s="37"/>
      <c r="M483" s="59"/>
      <c r="N483" s="37"/>
      <c r="O483" s="37"/>
      <c r="P483" s="37"/>
      <c r="Q483" s="59"/>
      <c r="R483" s="49"/>
      <c r="S483" s="37"/>
      <c r="T483" s="37"/>
      <c r="U483" s="37"/>
      <c r="V483" s="37"/>
      <c r="W483" s="96" t="str">
        <f>tbl_Assessment[[#This Row],[Ben Code]] &amp; "-"&amp;tbl_Assessment[[#This Row],[admin4Pcode]]&amp;"-" &amp; TEXT(COUNTIF(INDEX(tbl_Assessment[Ben Code],1):tbl_Assessment[[#This Row],[Ben Code]], tbl_Assessment[[#This Row],[Ben Code]]), "00")</f>
        <v>--00</v>
      </c>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49"/>
      <c r="AU483" s="41"/>
      <c r="AV483" s="37"/>
      <c r="AW483" s="37"/>
      <c r="AX483" s="37"/>
      <c r="AY483" s="37"/>
      <c r="AZ483" s="37"/>
      <c r="BA483" s="37"/>
      <c r="BB483" s="41"/>
      <c r="BC483" s="37"/>
      <c r="BD483" s="37"/>
      <c r="BE483" s="37"/>
      <c r="BF483" s="41"/>
      <c r="BG483" s="37"/>
      <c r="BH483" s="37"/>
      <c r="BI483" s="37"/>
      <c r="BJ483" s="41"/>
    </row>
    <row r="484" spans="2:62" ht="25.15" customHeight="1" x14ac:dyDescent="0.25">
      <c r="B484" s="49">
        <v>479</v>
      </c>
      <c r="C484" s="37"/>
      <c r="D484" s="87" t="str">
        <f>IF(tbl_Assessment[[#This Row],[Ben Code]]&lt;&gt;"",INDEX(tbl_Ben_Info[],MATCH(tbl_Assessment[[#This Row],[Ben Code]],tbl_Ben_Info[Ben Code],0),48),"")</f>
        <v/>
      </c>
      <c r="E484" s="116" t="str">
        <f>IF(tbl_Assessment[[#This Row],[Ben Code]]&lt;&gt;"",INDEX(tbl_Ben_Info[],MATCH(tbl_Assessment[[#This Row],[Ben Code]],tbl_Ben_Info[Ben Code],0),6),"")</f>
        <v/>
      </c>
      <c r="F484" s="113" t="str">
        <f>IF(tbl_Assessment[[#This Row],[Ben Code]]&lt;&gt;"",INDEX(tbl_Ben_Info[],MATCH(tbl_Assessment[[#This Row],[Ben Code]],tbl_Ben_Info[Ben Code],0),13),"")</f>
        <v/>
      </c>
      <c r="G484" s="49"/>
      <c r="H484" s="37"/>
      <c r="I484" s="37"/>
      <c r="J484" s="37"/>
      <c r="K484" s="37"/>
      <c r="L484" s="37"/>
      <c r="M484" s="59"/>
      <c r="N484" s="37"/>
      <c r="O484" s="37"/>
      <c r="P484" s="37"/>
      <c r="Q484" s="59"/>
      <c r="R484" s="49"/>
      <c r="S484" s="37"/>
      <c r="T484" s="37"/>
      <c r="U484" s="37"/>
      <c r="V484" s="37"/>
      <c r="W484" s="96" t="str">
        <f>tbl_Assessment[[#This Row],[Ben Code]] &amp; "-"&amp;tbl_Assessment[[#This Row],[admin4Pcode]]&amp;"-" &amp; TEXT(COUNTIF(INDEX(tbl_Assessment[Ben Code],1):tbl_Assessment[[#This Row],[Ben Code]], tbl_Assessment[[#This Row],[Ben Code]]), "00")</f>
        <v>--00</v>
      </c>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49"/>
      <c r="AU484" s="41"/>
      <c r="AV484" s="37"/>
      <c r="AW484" s="37"/>
      <c r="AX484" s="37"/>
      <c r="AY484" s="37"/>
      <c r="AZ484" s="37"/>
      <c r="BA484" s="37"/>
      <c r="BB484" s="41"/>
      <c r="BC484" s="37"/>
      <c r="BD484" s="37"/>
      <c r="BE484" s="37"/>
      <c r="BF484" s="41"/>
      <c r="BG484" s="37"/>
      <c r="BH484" s="37"/>
      <c r="BI484" s="37"/>
      <c r="BJ484" s="41"/>
    </row>
    <row r="485" spans="2:62" ht="25.15" customHeight="1" x14ac:dyDescent="0.25">
      <c r="B485" s="49">
        <v>480</v>
      </c>
      <c r="C485" s="37"/>
      <c r="D485" s="87" t="str">
        <f>IF(tbl_Assessment[[#This Row],[Ben Code]]&lt;&gt;"",INDEX(tbl_Ben_Info[],MATCH(tbl_Assessment[[#This Row],[Ben Code]],tbl_Ben_Info[Ben Code],0),48),"")</f>
        <v/>
      </c>
      <c r="E485" s="116" t="str">
        <f>IF(tbl_Assessment[[#This Row],[Ben Code]]&lt;&gt;"",INDEX(tbl_Ben_Info[],MATCH(tbl_Assessment[[#This Row],[Ben Code]],tbl_Ben_Info[Ben Code],0),6),"")</f>
        <v/>
      </c>
      <c r="F485" s="113" t="str">
        <f>IF(tbl_Assessment[[#This Row],[Ben Code]]&lt;&gt;"",INDEX(tbl_Ben_Info[],MATCH(tbl_Assessment[[#This Row],[Ben Code]],tbl_Ben_Info[Ben Code],0),13),"")</f>
        <v/>
      </c>
      <c r="G485" s="49"/>
      <c r="H485" s="37"/>
      <c r="I485" s="37"/>
      <c r="J485" s="37"/>
      <c r="K485" s="37"/>
      <c r="L485" s="37"/>
      <c r="M485" s="59"/>
      <c r="N485" s="37"/>
      <c r="O485" s="37"/>
      <c r="P485" s="37"/>
      <c r="Q485" s="59"/>
      <c r="R485" s="49"/>
      <c r="S485" s="37"/>
      <c r="T485" s="37"/>
      <c r="U485" s="37"/>
      <c r="V485" s="37"/>
      <c r="W485" s="96" t="str">
        <f>tbl_Assessment[[#This Row],[Ben Code]] &amp; "-"&amp;tbl_Assessment[[#This Row],[admin4Pcode]]&amp;"-" &amp; TEXT(COUNTIF(INDEX(tbl_Assessment[Ben Code],1):tbl_Assessment[[#This Row],[Ben Code]], tbl_Assessment[[#This Row],[Ben Code]]), "00")</f>
        <v>--00</v>
      </c>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49"/>
      <c r="AU485" s="41"/>
      <c r="AV485" s="37"/>
      <c r="AW485" s="37"/>
      <c r="AX485" s="37"/>
      <c r="AY485" s="37"/>
      <c r="AZ485" s="37"/>
      <c r="BA485" s="37"/>
      <c r="BB485" s="41"/>
      <c r="BC485" s="37"/>
      <c r="BD485" s="37"/>
      <c r="BE485" s="37"/>
      <c r="BF485" s="41"/>
      <c r="BG485" s="37"/>
      <c r="BH485" s="37"/>
      <c r="BI485" s="37"/>
      <c r="BJ485" s="41"/>
    </row>
    <row r="486" spans="2:62" ht="25.15" customHeight="1" x14ac:dyDescent="0.25">
      <c r="B486" s="49">
        <v>481</v>
      </c>
      <c r="C486" s="37"/>
      <c r="D486" s="87" t="str">
        <f>IF(tbl_Assessment[[#This Row],[Ben Code]]&lt;&gt;"",INDEX(tbl_Ben_Info[],MATCH(tbl_Assessment[[#This Row],[Ben Code]],tbl_Ben_Info[Ben Code],0),48),"")</f>
        <v/>
      </c>
      <c r="E486" s="116" t="str">
        <f>IF(tbl_Assessment[[#This Row],[Ben Code]]&lt;&gt;"",INDEX(tbl_Ben_Info[],MATCH(tbl_Assessment[[#This Row],[Ben Code]],tbl_Ben_Info[Ben Code],0),6),"")</f>
        <v/>
      </c>
      <c r="F486" s="113" t="str">
        <f>IF(tbl_Assessment[[#This Row],[Ben Code]]&lt;&gt;"",INDEX(tbl_Ben_Info[],MATCH(tbl_Assessment[[#This Row],[Ben Code]],tbl_Ben_Info[Ben Code],0),13),"")</f>
        <v/>
      </c>
      <c r="G486" s="49"/>
      <c r="H486" s="37"/>
      <c r="I486" s="37"/>
      <c r="J486" s="37"/>
      <c r="K486" s="37"/>
      <c r="L486" s="37"/>
      <c r="M486" s="59"/>
      <c r="N486" s="37"/>
      <c r="O486" s="37"/>
      <c r="P486" s="37"/>
      <c r="Q486" s="59"/>
      <c r="R486" s="49"/>
      <c r="S486" s="37"/>
      <c r="T486" s="37"/>
      <c r="U486" s="37"/>
      <c r="V486" s="37"/>
      <c r="W486" s="96" t="str">
        <f>tbl_Assessment[[#This Row],[Ben Code]] &amp; "-"&amp;tbl_Assessment[[#This Row],[admin4Pcode]]&amp;"-" &amp; TEXT(COUNTIF(INDEX(tbl_Assessment[Ben Code],1):tbl_Assessment[[#This Row],[Ben Code]], tbl_Assessment[[#This Row],[Ben Code]]), "00")</f>
        <v>--00</v>
      </c>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49"/>
      <c r="AU486" s="41"/>
      <c r="AV486" s="37"/>
      <c r="AW486" s="37"/>
      <c r="AX486" s="37"/>
      <c r="AY486" s="37"/>
      <c r="AZ486" s="37"/>
      <c r="BA486" s="37"/>
      <c r="BB486" s="41"/>
      <c r="BC486" s="37"/>
      <c r="BD486" s="37"/>
      <c r="BE486" s="37"/>
      <c r="BF486" s="41"/>
      <c r="BG486" s="37"/>
      <c r="BH486" s="37"/>
      <c r="BI486" s="37"/>
      <c r="BJ486" s="41"/>
    </row>
    <row r="487" spans="2:62" ht="25.15" customHeight="1" x14ac:dyDescent="0.25">
      <c r="B487" s="49">
        <v>482</v>
      </c>
      <c r="C487" s="37"/>
      <c r="D487" s="87" t="str">
        <f>IF(tbl_Assessment[[#This Row],[Ben Code]]&lt;&gt;"",INDEX(tbl_Ben_Info[],MATCH(tbl_Assessment[[#This Row],[Ben Code]],tbl_Ben_Info[Ben Code],0),48),"")</f>
        <v/>
      </c>
      <c r="E487" s="116" t="str">
        <f>IF(tbl_Assessment[[#This Row],[Ben Code]]&lt;&gt;"",INDEX(tbl_Ben_Info[],MATCH(tbl_Assessment[[#This Row],[Ben Code]],tbl_Ben_Info[Ben Code],0),6),"")</f>
        <v/>
      </c>
      <c r="F487" s="113" t="str">
        <f>IF(tbl_Assessment[[#This Row],[Ben Code]]&lt;&gt;"",INDEX(tbl_Ben_Info[],MATCH(tbl_Assessment[[#This Row],[Ben Code]],tbl_Ben_Info[Ben Code],0),13),"")</f>
        <v/>
      </c>
      <c r="G487" s="49"/>
      <c r="H487" s="37"/>
      <c r="I487" s="37"/>
      <c r="J487" s="37"/>
      <c r="K487" s="37"/>
      <c r="L487" s="37"/>
      <c r="M487" s="59"/>
      <c r="N487" s="37"/>
      <c r="O487" s="37"/>
      <c r="P487" s="37"/>
      <c r="Q487" s="59"/>
      <c r="R487" s="49"/>
      <c r="S487" s="37"/>
      <c r="T487" s="37"/>
      <c r="U487" s="37"/>
      <c r="V487" s="37"/>
      <c r="W487" s="96" t="str">
        <f>tbl_Assessment[[#This Row],[Ben Code]] &amp; "-"&amp;tbl_Assessment[[#This Row],[admin4Pcode]]&amp;"-" &amp; TEXT(COUNTIF(INDEX(tbl_Assessment[Ben Code],1):tbl_Assessment[[#This Row],[Ben Code]], tbl_Assessment[[#This Row],[Ben Code]]), "00")</f>
        <v>--00</v>
      </c>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49"/>
      <c r="AU487" s="41"/>
      <c r="AV487" s="37"/>
      <c r="AW487" s="37"/>
      <c r="AX487" s="37"/>
      <c r="AY487" s="37"/>
      <c r="AZ487" s="37"/>
      <c r="BA487" s="37"/>
      <c r="BB487" s="41"/>
      <c r="BC487" s="37"/>
      <c r="BD487" s="37"/>
      <c r="BE487" s="37"/>
      <c r="BF487" s="41"/>
      <c r="BG487" s="37"/>
      <c r="BH487" s="37"/>
      <c r="BI487" s="37"/>
      <c r="BJ487" s="41"/>
    </row>
    <row r="488" spans="2:62" ht="25.15" customHeight="1" x14ac:dyDescent="0.25">
      <c r="B488" s="49">
        <v>483</v>
      </c>
      <c r="C488" s="37"/>
      <c r="D488" s="87" t="str">
        <f>IF(tbl_Assessment[[#This Row],[Ben Code]]&lt;&gt;"",INDEX(tbl_Ben_Info[],MATCH(tbl_Assessment[[#This Row],[Ben Code]],tbl_Ben_Info[Ben Code],0),48),"")</f>
        <v/>
      </c>
      <c r="E488" s="116" t="str">
        <f>IF(tbl_Assessment[[#This Row],[Ben Code]]&lt;&gt;"",INDEX(tbl_Ben_Info[],MATCH(tbl_Assessment[[#This Row],[Ben Code]],tbl_Ben_Info[Ben Code],0),6),"")</f>
        <v/>
      </c>
      <c r="F488" s="113" t="str">
        <f>IF(tbl_Assessment[[#This Row],[Ben Code]]&lt;&gt;"",INDEX(tbl_Ben_Info[],MATCH(tbl_Assessment[[#This Row],[Ben Code]],tbl_Ben_Info[Ben Code],0),13),"")</f>
        <v/>
      </c>
      <c r="G488" s="49"/>
      <c r="H488" s="37"/>
      <c r="I488" s="37"/>
      <c r="J488" s="37"/>
      <c r="K488" s="37"/>
      <c r="L488" s="37"/>
      <c r="M488" s="59"/>
      <c r="N488" s="37"/>
      <c r="O488" s="37"/>
      <c r="P488" s="37"/>
      <c r="Q488" s="59"/>
      <c r="R488" s="49"/>
      <c r="S488" s="37"/>
      <c r="T488" s="37"/>
      <c r="U488" s="37"/>
      <c r="V488" s="37"/>
      <c r="W488" s="96" t="str">
        <f>tbl_Assessment[[#This Row],[Ben Code]] &amp; "-"&amp;tbl_Assessment[[#This Row],[admin4Pcode]]&amp;"-" &amp; TEXT(COUNTIF(INDEX(tbl_Assessment[Ben Code],1):tbl_Assessment[[#This Row],[Ben Code]], tbl_Assessment[[#This Row],[Ben Code]]), "00")</f>
        <v>--00</v>
      </c>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49"/>
      <c r="AU488" s="41"/>
      <c r="AV488" s="37"/>
      <c r="AW488" s="37"/>
      <c r="AX488" s="37"/>
      <c r="AY488" s="37"/>
      <c r="AZ488" s="37"/>
      <c r="BA488" s="37"/>
      <c r="BB488" s="41"/>
      <c r="BC488" s="37"/>
      <c r="BD488" s="37"/>
      <c r="BE488" s="37"/>
      <c r="BF488" s="41"/>
      <c r="BG488" s="37"/>
      <c r="BH488" s="37"/>
      <c r="BI488" s="37"/>
      <c r="BJ488" s="41"/>
    </row>
    <row r="489" spans="2:62" ht="25.15" customHeight="1" x14ac:dyDescent="0.25">
      <c r="B489" s="49">
        <v>484</v>
      </c>
      <c r="C489" s="37"/>
      <c r="D489" s="87" t="str">
        <f>IF(tbl_Assessment[[#This Row],[Ben Code]]&lt;&gt;"",INDEX(tbl_Ben_Info[],MATCH(tbl_Assessment[[#This Row],[Ben Code]],tbl_Ben_Info[Ben Code],0),48),"")</f>
        <v/>
      </c>
      <c r="E489" s="116" t="str">
        <f>IF(tbl_Assessment[[#This Row],[Ben Code]]&lt;&gt;"",INDEX(tbl_Ben_Info[],MATCH(tbl_Assessment[[#This Row],[Ben Code]],tbl_Ben_Info[Ben Code],0),6),"")</f>
        <v/>
      </c>
      <c r="F489" s="113" t="str">
        <f>IF(tbl_Assessment[[#This Row],[Ben Code]]&lt;&gt;"",INDEX(tbl_Ben_Info[],MATCH(tbl_Assessment[[#This Row],[Ben Code]],tbl_Ben_Info[Ben Code],0),13),"")</f>
        <v/>
      </c>
      <c r="G489" s="49"/>
      <c r="H489" s="37"/>
      <c r="I489" s="37"/>
      <c r="J489" s="37"/>
      <c r="K489" s="37"/>
      <c r="L489" s="37"/>
      <c r="M489" s="59"/>
      <c r="N489" s="37"/>
      <c r="O489" s="37"/>
      <c r="P489" s="37"/>
      <c r="Q489" s="59"/>
      <c r="R489" s="49"/>
      <c r="S489" s="37"/>
      <c r="T489" s="37"/>
      <c r="U489" s="37"/>
      <c r="V489" s="37"/>
      <c r="W489" s="96" t="str">
        <f>tbl_Assessment[[#This Row],[Ben Code]] &amp; "-"&amp;tbl_Assessment[[#This Row],[admin4Pcode]]&amp;"-" &amp; TEXT(COUNTIF(INDEX(tbl_Assessment[Ben Code],1):tbl_Assessment[[#This Row],[Ben Code]], tbl_Assessment[[#This Row],[Ben Code]]), "00")</f>
        <v>--00</v>
      </c>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49"/>
      <c r="AU489" s="41"/>
      <c r="AV489" s="37"/>
      <c r="AW489" s="37"/>
      <c r="AX489" s="37"/>
      <c r="AY489" s="37"/>
      <c r="AZ489" s="37"/>
      <c r="BA489" s="37"/>
      <c r="BB489" s="41"/>
      <c r="BC489" s="37"/>
      <c r="BD489" s="37"/>
      <c r="BE489" s="37"/>
      <c r="BF489" s="41"/>
      <c r="BG489" s="37"/>
      <c r="BH489" s="37"/>
      <c r="BI489" s="37"/>
      <c r="BJ489" s="41"/>
    </row>
    <row r="490" spans="2:62" ht="25.15" customHeight="1" x14ac:dyDescent="0.25">
      <c r="B490" s="49">
        <v>485</v>
      </c>
      <c r="C490" s="37"/>
      <c r="D490" s="87" t="str">
        <f>IF(tbl_Assessment[[#This Row],[Ben Code]]&lt;&gt;"",INDEX(tbl_Ben_Info[],MATCH(tbl_Assessment[[#This Row],[Ben Code]],tbl_Ben_Info[Ben Code],0),48),"")</f>
        <v/>
      </c>
      <c r="E490" s="116" t="str">
        <f>IF(tbl_Assessment[[#This Row],[Ben Code]]&lt;&gt;"",INDEX(tbl_Ben_Info[],MATCH(tbl_Assessment[[#This Row],[Ben Code]],tbl_Ben_Info[Ben Code],0),6),"")</f>
        <v/>
      </c>
      <c r="F490" s="113" t="str">
        <f>IF(tbl_Assessment[[#This Row],[Ben Code]]&lt;&gt;"",INDEX(tbl_Ben_Info[],MATCH(tbl_Assessment[[#This Row],[Ben Code]],tbl_Ben_Info[Ben Code],0),13),"")</f>
        <v/>
      </c>
      <c r="G490" s="49"/>
      <c r="H490" s="37"/>
      <c r="I490" s="37"/>
      <c r="J490" s="37"/>
      <c r="K490" s="37"/>
      <c r="L490" s="37"/>
      <c r="M490" s="59"/>
      <c r="N490" s="37"/>
      <c r="O490" s="37"/>
      <c r="P490" s="37"/>
      <c r="Q490" s="59"/>
      <c r="R490" s="49"/>
      <c r="S490" s="37"/>
      <c r="T490" s="37"/>
      <c r="U490" s="37"/>
      <c r="V490" s="37"/>
      <c r="W490" s="96" t="str">
        <f>tbl_Assessment[[#This Row],[Ben Code]] &amp; "-"&amp;tbl_Assessment[[#This Row],[admin4Pcode]]&amp;"-" &amp; TEXT(COUNTIF(INDEX(tbl_Assessment[Ben Code],1):tbl_Assessment[[#This Row],[Ben Code]], tbl_Assessment[[#This Row],[Ben Code]]), "00")</f>
        <v>--00</v>
      </c>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49"/>
      <c r="AU490" s="41"/>
      <c r="AV490" s="37"/>
      <c r="AW490" s="37"/>
      <c r="AX490" s="37"/>
      <c r="AY490" s="37"/>
      <c r="AZ490" s="37"/>
      <c r="BA490" s="37"/>
      <c r="BB490" s="41"/>
      <c r="BC490" s="37"/>
      <c r="BD490" s="37"/>
      <c r="BE490" s="37"/>
      <c r="BF490" s="41"/>
      <c r="BG490" s="37"/>
      <c r="BH490" s="37"/>
      <c r="BI490" s="37"/>
      <c r="BJ490" s="41"/>
    </row>
    <row r="491" spans="2:62" ht="25.15" customHeight="1" x14ac:dyDescent="0.25">
      <c r="B491" s="49">
        <v>486</v>
      </c>
      <c r="C491" s="37"/>
      <c r="D491" s="87" t="str">
        <f>IF(tbl_Assessment[[#This Row],[Ben Code]]&lt;&gt;"",INDEX(tbl_Ben_Info[],MATCH(tbl_Assessment[[#This Row],[Ben Code]],tbl_Ben_Info[Ben Code],0),48),"")</f>
        <v/>
      </c>
      <c r="E491" s="116" t="str">
        <f>IF(tbl_Assessment[[#This Row],[Ben Code]]&lt;&gt;"",INDEX(tbl_Ben_Info[],MATCH(tbl_Assessment[[#This Row],[Ben Code]],tbl_Ben_Info[Ben Code],0),6),"")</f>
        <v/>
      </c>
      <c r="F491" s="113" t="str">
        <f>IF(tbl_Assessment[[#This Row],[Ben Code]]&lt;&gt;"",INDEX(tbl_Ben_Info[],MATCH(tbl_Assessment[[#This Row],[Ben Code]],tbl_Ben_Info[Ben Code],0),13),"")</f>
        <v/>
      </c>
      <c r="G491" s="49"/>
      <c r="H491" s="37"/>
      <c r="I491" s="37"/>
      <c r="J491" s="37"/>
      <c r="K491" s="37"/>
      <c r="L491" s="37"/>
      <c r="M491" s="59"/>
      <c r="N491" s="37"/>
      <c r="O491" s="37"/>
      <c r="P491" s="37"/>
      <c r="Q491" s="59"/>
      <c r="R491" s="49"/>
      <c r="S491" s="37"/>
      <c r="T491" s="37"/>
      <c r="U491" s="37"/>
      <c r="V491" s="37"/>
      <c r="W491" s="96" t="str">
        <f>tbl_Assessment[[#This Row],[Ben Code]] &amp; "-"&amp;tbl_Assessment[[#This Row],[admin4Pcode]]&amp;"-" &amp; TEXT(COUNTIF(INDEX(tbl_Assessment[Ben Code],1):tbl_Assessment[[#This Row],[Ben Code]], tbl_Assessment[[#This Row],[Ben Code]]), "00")</f>
        <v>--00</v>
      </c>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49"/>
      <c r="AU491" s="41"/>
      <c r="AV491" s="37"/>
      <c r="AW491" s="37"/>
      <c r="AX491" s="37"/>
      <c r="AY491" s="37"/>
      <c r="AZ491" s="37"/>
      <c r="BA491" s="37"/>
      <c r="BB491" s="41"/>
      <c r="BC491" s="37"/>
      <c r="BD491" s="37"/>
      <c r="BE491" s="37"/>
      <c r="BF491" s="41"/>
      <c r="BG491" s="37"/>
      <c r="BH491" s="37"/>
      <c r="BI491" s="37"/>
      <c r="BJ491" s="41"/>
    </row>
    <row r="492" spans="2:62" ht="25.15" customHeight="1" x14ac:dyDescent="0.25">
      <c r="B492" s="49">
        <v>487</v>
      </c>
      <c r="C492" s="37"/>
      <c r="D492" s="87" t="str">
        <f>IF(tbl_Assessment[[#This Row],[Ben Code]]&lt;&gt;"",INDEX(tbl_Ben_Info[],MATCH(tbl_Assessment[[#This Row],[Ben Code]],tbl_Ben_Info[Ben Code],0),48),"")</f>
        <v/>
      </c>
      <c r="E492" s="116" t="str">
        <f>IF(tbl_Assessment[[#This Row],[Ben Code]]&lt;&gt;"",INDEX(tbl_Ben_Info[],MATCH(tbl_Assessment[[#This Row],[Ben Code]],tbl_Ben_Info[Ben Code],0),6),"")</f>
        <v/>
      </c>
      <c r="F492" s="113" t="str">
        <f>IF(tbl_Assessment[[#This Row],[Ben Code]]&lt;&gt;"",INDEX(tbl_Ben_Info[],MATCH(tbl_Assessment[[#This Row],[Ben Code]],tbl_Ben_Info[Ben Code],0),13),"")</f>
        <v/>
      </c>
      <c r="G492" s="49"/>
      <c r="H492" s="37"/>
      <c r="I492" s="37"/>
      <c r="J492" s="37"/>
      <c r="K492" s="37"/>
      <c r="L492" s="37"/>
      <c r="M492" s="59"/>
      <c r="N492" s="37"/>
      <c r="O492" s="37"/>
      <c r="P492" s="37"/>
      <c r="Q492" s="59"/>
      <c r="R492" s="49"/>
      <c r="S492" s="37"/>
      <c r="T492" s="37"/>
      <c r="U492" s="37"/>
      <c r="V492" s="37"/>
      <c r="W492" s="96" t="str">
        <f>tbl_Assessment[[#This Row],[Ben Code]] &amp; "-"&amp;tbl_Assessment[[#This Row],[admin4Pcode]]&amp;"-" &amp; TEXT(COUNTIF(INDEX(tbl_Assessment[Ben Code],1):tbl_Assessment[[#This Row],[Ben Code]], tbl_Assessment[[#This Row],[Ben Code]]), "00")</f>
        <v>--00</v>
      </c>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49"/>
      <c r="AU492" s="41"/>
      <c r="AV492" s="37"/>
      <c r="AW492" s="37"/>
      <c r="AX492" s="37"/>
      <c r="AY492" s="37"/>
      <c r="AZ492" s="37"/>
      <c r="BA492" s="37"/>
      <c r="BB492" s="41"/>
      <c r="BC492" s="37"/>
      <c r="BD492" s="37"/>
      <c r="BE492" s="37"/>
      <c r="BF492" s="41"/>
      <c r="BG492" s="37"/>
      <c r="BH492" s="37"/>
      <c r="BI492" s="37"/>
      <c r="BJ492" s="41"/>
    </row>
    <row r="493" spans="2:62" ht="25.15" customHeight="1" x14ac:dyDescent="0.25">
      <c r="B493" s="49">
        <v>488</v>
      </c>
      <c r="C493" s="37"/>
      <c r="D493" s="87" t="str">
        <f>IF(tbl_Assessment[[#This Row],[Ben Code]]&lt;&gt;"",INDEX(tbl_Ben_Info[],MATCH(tbl_Assessment[[#This Row],[Ben Code]],tbl_Ben_Info[Ben Code],0),48),"")</f>
        <v/>
      </c>
      <c r="E493" s="116" t="str">
        <f>IF(tbl_Assessment[[#This Row],[Ben Code]]&lt;&gt;"",INDEX(tbl_Ben_Info[],MATCH(tbl_Assessment[[#This Row],[Ben Code]],tbl_Ben_Info[Ben Code],0),6),"")</f>
        <v/>
      </c>
      <c r="F493" s="113" t="str">
        <f>IF(tbl_Assessment[[#This Row],[Ben Code]]&lt;&gt;"",INDEX(tbl_Ben_Info[],MATCH(tbl_Assessment[[#This Row],[Ben Code]],tbl_Ben_Info[Ben Code],0),13),"")</f>
        <v/>
      </c>
      <c r="G493" s="49"/>
      <c r="H493" s="37"/>
      <c r="I493" s="37"/>
      <c r="J493" s="37"/>
      <c r="K493" s="37"/>
      <c r="L493" s="37"/>
      <c r="M493" s="59"/>
      <c r="N493" s="37"/>
      <c r="O493" s="37"/>
      <c r="P493" s="37"/>
      <c r="Q493" s="59"/>
      <c r="R493" s="49"/>
      <c r="S493" s="37"/>
      <c r="T493" s="37"/>
      <c r="U493" s="37"/>
      <c r="V493" s="37"/>
      <c r="W493" s="96" t="str">
        <f>tbl_Assessment[[#This Row],[Ben Code]] &amp; "-"&amp;tbl_Assessment[[#This Row],[admin4Pcode]]&amp;"-" &amp; TEXT(COUNTIF(INDEX(tbl_Assessment[Ben Code],1):tbl_Assessment[[#This Row],[Ben Code]], tbl_Assessment[[#This Row],[Ben Code]]), "00")</f>
        <v>--00</v>
      </c>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49"/>
      <c r="AU493" s="41"/>
      <c r="AV493" s="37"/>
      <c r="AW493" s="37"/>
      <c r="AX493" s="37"/>
      <c r="AY493" s="37"/>
      <c r="AZ493" s="37"/>
      <c r="BA493" s="37"/>
      <c r="BB493" s="41"/>
      <c r="BC493" s="37"/>
      <c r="BD493" s="37"/>
      <c r="BE493" s="37"/>
      <c r="BF493" s="41"/>
      <c r="BG493" s="37"/>
      <c r="BH493" s="37"/>
      <c r="BI493" s="37"/>
      <c r="BJ493" s="41"/>
    </row>
    <row r="494" spans="2:62" ht="25.15" customHeight="1" x14ac:dyDescent="0.25">
      <c r="B494" s="49">
        <v>489</v>
      </c>
      <c r="C494" s="37"/>
      <c r="D494" s="87" t="str">
        <f>IF(tbl_Assessment[[#This Row],[Ben Code]]&lt;&gt;"",INDEX(tbl_Ben_Info[],MATCH(tbl_Assessment[[#This Row],[Ben Code]],tbl_Ben_Info[Ben Code],0),48),"")</f>
        <v/>
      </c>
      <c r="E494" s="116" t="str">
        <f>IF(tbl_Assessment[[#This Row],[Ben Code]]&lt;&gt;"",INDEX(tbl_Ben_Info[],MATCH(tbl_Assessment[[#This Row],[Ben Code]],tbl_Ben_Info[Ben Code],0),6),"")</f>
        <v/>
      </c>
      <c r="F494" s="113" t="str">
        <f>IF(tbl_Assessment[[#This Row],[Ben Code]]&lt;&gt;"",INDEX(tbl_Ben_Info[],MATCH(tbl_Assessment[[#This Row],[Ben Code]],tbl_Ben_Info[Ben Code],0),13),"")</f>
        <v/>
      </c>
      <c r="G494" s="49"/>
      <c r="H494" s="37"/>
      <c r="I494" s="37"/>
      <c r="J494" s="37"/>
      <c r="K494" s="37"/>
      <c r="L494" s="37"/>
      <c r="M494" s="59"/>
      <c r="N494" s="37"/>
      <c r="O494" s="37"/>
      <c r="P494" s="37"/>
      <c r="Q494" s="59"/>
      <c r="R494" s="49"/>
      <c r="S494" s="37"/>
      <c r="T494" s="37"/>
      <c r="U494" s="37"/>
      <c r="V494" s="37"/>
      <c r="W494" s="96" t="str">
        <f>tbl_Assessment[[#This Row],[Ben Code]] &amp; "-"&amp;tbl_Assessment[[#This Row],[admin4Pcode]]&amp;"-" &amp; TEXT(COUNTIF(INDEX(tbl_Assessment[Ben Code],1):tbl_Assessment[[#This Row],[Ben Code]], tbl_Assessment[[#This Row],[Ben Code]]), "00")</f>
        <v>--00</v>
      </c>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49"/>
      <c r="AU494" s="41"/>
      <c r="AV494" s="37"/>
      <c r="AW494" s="37"/>
      <c r="AX494" s="37"/>
      <c r="AY494" s="37"/>
      <c r="AZ494" s="37"/>
      <c r="BA494" s="37"/>
      <c r="BB494" s="41"/>
      <c r="BC494" s="37"/>
      <c r="BD494" s="37"/>
      <c r="BE494" s="37"/>
      <c r="BF494" s="41"/>
      <c r="BG494" s="37"/>
      <c r="BH494" s="37"/>
      <c r="BI494" s="37"/>
      <c r="BJ494" s="41"/>
    </row>
    <row r="495" spans="2:62" ht="25.15" customHeight="1" x14ac:dyDescent="0.25">
      <c r="B495" s="49">
        <v>490</v>
      </c>
      <c r="C495" s="37"/>
      <c r="D495" s="87" t="str">
        <f>IF(tbl_Assessment[[#This Row],[Ben Code]]&lt;&gt;"",INDEX(tbl_Ben_Info[],MATCH(tbl_Assessment[[#This Row],[Ben Code]],tbl_Ben_Info[Ben Code],0),48),"")</f>
        <v/>
      </c>
      <c r="E495" s="116" t="str">
        <f>IF(tbl_Assessment[[#This Row],[Ben Code]]&lt;&gt;"",INDEX(tbl_Ben_Info[],MATCH(tbl_Assessment[[#This Row],[Ben Code]],tbl_Ben_Info[Ben Code],0),6),"")</f>
        <v/>
      </c>
      <c r="F495" s="113" t="str">
        <f>IF(tbl_Assessment[[#This Row],[Ben Code]]&lt;&gt;"",INDEX(tbl_Ben_Info[],MATCH(tbl_Assessment[[#This Row],[Ben Code]],tbl_Ben_Info[Ben Code],0),13),"")</f>
        <v/>
      </c>
      <c r="G495" s="49"/>
      <c r="H495" s="37"/>
      <c r="I495" s="37"/>
      <c r="J495" s="37"/>
      <c r="K495" s="37"/>
      <c r="L495" s="37"/>
      <c r="M495" s="59"/>
      <c r="N495" s="37"/>
      <c r="O495" s="37"/>
      <c r="P495" s="37"/>
      <c r="Q495" s="59"/>
      <c r="R495" s="49"/>
      <c r="S495" s="37"/>
      <c r="T495" s="37"/>
      <c r="U495" s="37"/>
      <c r="V495" s="37"/>
      <c r="W495" s="96" t="str">
        <f>tbl_Assessment[[#This Row],[Ben Code]] &amp; "-"&amp;tbl_Assessment[[#This Row],[admin4Pcode]]&amp;"-" &amp; TEXT(COUNTIF(INDEX(tbl_Assessment[Ben Code],1):tbl_Assessment[[#This Row],[Ben Code]], tbl_Assessment[[#This Row],[Ben Code]]), "00")</f>
        <v>--00</v>
      </c>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49"/>
      <c r="AU495" s="41"/>
      <c r="AV495" s="37"/>
      <c r="AW495" s="37"/>
      <c r="AX495" s="37"/>
      <c r="AY495" s="37"/>
      <c r="AZ495" s="37"/>
      <c r="BA495" s="37"/>
      <c r="BB495" s="41"/>
      <c r="BC495" s="37"/>
      <c r="BD495" s="37"/>
      <c r="BE495" s="37"/>
      <c r="BF495" s="41"/>
      <c r="BG495" s="37"/>
      <c r="BH495" s="37"/>
      <c r="BI495" s="37"/>
      <c r="BJ495" s="41"/>
    </row>
    <row r="496" spans="2:62" ht="25.15" customHeight="1" x14ac:dyDescent="0.25">
      <c r="B496" s="49">
        <v>491</v>
      </c>
      <c r="C496" s="37"/>
      <c r="D496" s="87" t="str">
        <f>IF(tbl_Assessment[[#This Row],[Ben Code]]&lt;&gt;"",INDEX(tbl_Ben_Info[],MATCH(tbl_Assessment[[#This Row],[Ben Code]],tbl_Ben_Info[Ben Code],0),48),"")</f>
        <v/>
      </c>
      <c r="E496" s="116" t="str">
        <f>IF(tbl_Assessment[[#This Row],[Ben Code]]&lt;&gt;"",INDEX(tbl_Ben_Info[],MATCH(tbl_Assessment[[#This Row],[Ben Code]],tbl_Ben_Info[Ben Code],0),6),"")</f>
        <v/>
      </c>
      <c r="F496" s="113" t="str">
        <f>IF(tbl_Assessment[[#This Row],[Ben Code]]&lt;&gt;"",INDEX(tbl_Ben_Info[],MATCH(tbl_Assessment[[#This Row],[Ben Code]],tbl_Ben_Info[Ben Code],0),13),"")</f>
        <v/>
      </c>
      <c r="G496" s="49"/>
      <c r="H496" s="37"/>
      <c r="I496" s="37"/>
      <c r="J496" s="37"/>
      <c r="K496" s="37"/>
      <c r="L496" s="37"/>
      <c r="M496" s="59"/>
      <c r="N496" s="37"/>
      <c r="O496" s="37"/>
      <c r="P496" s="37"/>
      <c r="Q496" s="59"/>
      <c r="R496" s="49"/>
      <c r="S496" s="37"/>
      <c r="T496" s="37"/>
      <c r="U496" s="37"/>
      <c r="V496" s="37"/>
      <c r="W496" s="96" t="str">
        <f>tbl_Assessment[[#This Row],[Ben Code]] &amp; "-"&amp;tbl_Assessment[[#This Row],[admin4Pcode]]&amp;"-" &amp; TEXT(COUNTIF(INDEX(tbl_Assessment[Ben Code],1):tbl_Assessment[[#This Row],[Ben Code]], tbl_Assessment[[#This Row],[Ben Code]]), "00")</f>
        <v>--00</v>
      </c>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49"/>
      <c r="AU496" s="41"/>
      <c r="AV496" s="37"/>
      <c r="AW496" s="37"/>
      <c r="AX496" s="37"/>
      <c r="AY496" s="37"/>
      <c r="AZ496" s="37"/>
      <c r="BA496" s="37"/>
      <c r="BB496" s="41"/>
      <c r="BC496" s="37"/>
      <c r="BD496" s="37"/>
      <c r="BE496" s="37"/>
      <c r="BF496" s="41"/>
      <c r="BG496" s="37"/>
      <c r="BH496" s="37"/>
      <c r="BI496" s="37"/>
      <c r="BJ496" s="41"/>
    </row>
    <row r="497" spans="2:62" ht="25.15" customHeight="1" x14ac:dyDescent="0.25">
      <c r="B497" s="49">
        <v>492</v>
      </c>
      <c r="C497" s="37"/>
      <c r="D497" s="87" t="str">
        <f>IF(tbl_Assessment[[#This Row],[Ben Code]]&lt;&gt;"",INDEX(tbl_Ben_Info[],MATCH(tbl_Assessment[[#This Row],[Ben Code]],tbl_Ben_Info[Ben Code],0),48),"")</f>
        <v/>
      </c>
      <c r="E497" s="116" t="str">
        <f>IF(tbl_Assessment[[#This Row],[Ben Code]]&lt;&gt;"",INDEX(tbl_Ben_Info[],MATCH(tbl_Assessment[[#This Row],[Ben Code]],tbl_Ben_Info[Ben Code],0),6),"")</f>
        <v/>
      </c>
      <c r="F497" s="113" t="str">
        <f>IF(tbl_Assessment[[#This Row],[Ben Code]]&lt;&gt;"",INDEX(tbl_Ben_Info[],MATCH(tbl_Assessment[[#This Row],[Ben Code]],tbl_Ben_Info[Ben Code],0),13),"")</f>
        <v/>
      </c>
      <c r="G497" s="49"/>
      <c r="H497" s="37"/>
      <c r="I497" s="37"/>
      <c r="J497" s="37"/>
      <c r="K497" s="37"/>
      <c r="L497" s="37"/>
      <c r="M497" s="59"/>
      <c r="N497" s="37"/>
      <c r="O497" s="37"/>
      <c r="P497" s="37"/>
      <c r="Q497" s="59"/>
      <c r="R497" s="49"/>
      <c r="S497" s="37"/>
      <c r="T497" s="37"/>
      <c r="U497" s="37"/>
      <c r="V497" s="37"/>
      <c r="W497" s="96" t="str">
        <f>tbl_Assessment[[#This Row],[Ben Code]] &amp; "-"&amp;tbl_Assessment[[#This Row],[admin4Pcode]]&amp;"-" &amp; TEXT(COUNTIF(INDEX(tbl_Assessment[Ben Code],1):tbl_Assessment[[#This Row],[Ben Code]], tbl_Assessment[[#This Row],[Ben Code]]), "00")</f>
        <v>--00</v>
      </c>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49"/>
      <c r="AU497" s="41"/>
      <c r="AV497" s="37"/>
      <c r="AW497" s="37"/>
      <c r="AX497" s="37"/>
      <c r="AY497" s="37"/>
      <c r="AZ497" s="37"/>
      <c r="BA497" s="37"/>
      <c r="BB497" s="41"/>
      <c r="BC497" s="37"/>
      <c r="BD497" s="37"/>
      <c r="BE497" s="37"/>
      <c r="BF497" s="41"/>
      <c r="BG497" s="37"/>
      <c r="BH497" s="37"/>
      <c r="BI497" s="37"/>
      <c r="BJ497" s="41"/>
    </row>
    <row r="498" spans="2:62" ht="25.15" customHeight="1" x14ac:dyDescent="0.25">
      <c r="B498" s="49">
        <v>493</v>
      </c>
      <c r="C498" s="37"/>
      <c r="D498" s="87" t="str">
        <f>IF(tbl_Assessment[[#This Row],[Ben Code]]&lt;&gt;"",INDEX(tbl_Ben_Info[],MATCH(tbl_Assessment[[#This Row],[Ben Code]],tbl_Ben_Info[Ben Code],0),48),"")</f>
        <v/>
      </c>
      <c r="E498" s="116" t="str">
        <f>IF(tbl_Assessment[[#This Row],[Ben Code]]&lt;&gt;"",INDEX(tbl_Ben_Info[],MATCH(tbl_Assessment[[#This Row],[Ben Code]],tbl_Ben_Info[Ben Code],0),6),"")</f>
        <v/>
      </c>
      <c r="F498" s="113" t="str">
        <f>IF(tbl_Assessment[[#This Row],[Ben Code]]&lt;&gt;"",INDEX(tbl_Ben_Info[],MATCH(tbl_Assessment[[#This Row],[Ben Code]],tbl_Ben_Info[Ben Code],0),13),"")</f>
        <v/>
      </c>
      <c r="G498" s="49"/>
      <c r="H498" s="37"/>
      <c r="I498" s="37"/>
      <c r="J498" s="37"/>
      <c r="K498" s="37"/>
      <c r="L498" s="37"/>
      <c r="M498" s="59"/>
      <c r="N498" s="37"/>
      <c r="O498" s="37"/>
      <c r="P498" s="37"/>
      <c r="Q498" s="59"/>
      <c r="R498" s="49"/>
      <c r="S498" s="37"/>
      <c r="T498" s="37"/>
      <c r="U498" s="37"/>
      <c r="V498" s="37"/>
      <c r="W498" s="96" t="str">
        <f>tbl_Assessment[[#This Row],[Ben Code]] &amp; "-"&amp;tbl_Assessment[[#This Row],[admin4Pcode]]&amp;"-" &amp; TEXT(COUNTIF(INDEX(tbl_Assessment[Ben Code],1):tbl_Assessment[[#This Row],[Ben Code]], tbl_Assessment[[#This Row],[Ben Code]]), "00")</f>
        <v>--00</v>
      </c>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49"/>
      <c r="AU498" s="41"/>
      <c r="AV498" s="37"/>
      <c r="AW498" s="37"/>
      <c r="AX498" s="37"/>
      <c r="AY498" s="37"/>
      <c r="AZ498" s="37"/>
      <c r="BA498" s="37"/>
      <c r="BB498" s="41"/>
      <c r="BC498" s="37"/>
      <c r="BD498" s="37"/>
      <c r="BE498" s="37"/>
      <c r="BF498" s="41"/>
      <c r="BG498" s="37"/>
      <c r="BH498" s="37"/>
      <c r="BI498" s="37"/>
      <c r="BJ498" s="41"/>
    </row>
    <row r="499" spans="2:62" ht="25.15" customHeight="1" x14ac:dyDescent="0.25">
      <c r="B499" s="49">
        <v>494</v>
      </c>
      <c r="C499" s="37"/>
      <c r="D499" s="87" t="str">
        <f>IF(tbl_Assessment[[#This Row],[Ben Code]]&lt;&gt;"",INDEX(tbl_Ben_Info[],MATCH(tbl_Assessment[[#This Row],[Ben Code]],tbl_Ben_Info[Ben Code],0),48),"")</f>
        <v/>
      </c>
      <c r="E499" s="116" t="str">
        <f>IF(tbl_Assessment[[#This Row],[Ben Code]]&lt;&gt;"",INDEX(tbl_Ben_Info[],MATCH(tbl_Assessment[[#This Row],[Ben Code]],tbl_Ben_Info[Ben Code],0),6),"")</f>
        <v/>
      </c>
      <c r="F499" s="113" t="str">
        <f>IF(tbl_Assessment[[#This Row],[Ben Code]]&lt;&gt;"",INDEX(tbl_Ben_Info[],MATCH(tbl_Assessment[[#This Row],[Ben Code]],tbl_Ben_Info[Ben Code],0),13),"")</f>
        <v/>
      </c>
      <c r="G499" s="49"/>
      <c r="H499" s="37"/>
      <c r="I499" s="37"/>
      <c r="J499" s="37"/>
      <c r="K499" s="37"/>
      <c r="L499" s="37"/>
      <c r="M499" s="59"/>
      <c r="N499" s="37"/>
      <c r="O499" s="37"/>
      <c r="P499" s="37"/>
      <c r="Q499" s="59"/>
      <c r="R499" s="49"/>
      <c r="S499" s="37"/>
      <c r="T499" s="37"/>
      <c r="U499" s="37"/>
      <c r="V499" s="37"/>
      <c r="W499" s="96" t="str">
        <f>tbl_Assessment[[#This Row],[Ben Code]] &amp; "-"&amp;tbl_Assessment[[#This Row],[admin4Pcode]]&amp;"-" &amp; TEXT(COUNTIF(INDEX(tbl_Assessment[Ben Code],1):tbl_Assessment[[#This Row],[Ben Code]], tbl_Assessment[[#This Row],[Ben Code]]), "00")</f>
        <v>--00</v>
      </c>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49"/>
      <c r="AU499" s="41"/>
      <c r="AV499" s="37"/>
      <c r="AW499" s="37"/>
      <c r="AX499" s="37"/>
      <c r="AY499" s="37"/>
      <c r="AZ499" s="37"/>
      <c r="BA499" s="37"/>
      <c r="BB499" s="41"/>
      <c r="BC499" s="37"/>
      <c r="BD499" s="37"/>
      <c r="BE499" s="37"/>
      <c r="BF499" s="41"/>
      <c r="BG499" s="37"/>
      <c r="BH499" s="37"/>
      <c r="BI499" s="37"/>
      <c r="BJ499" s="41"/>
    </row>
    <row r="500" spans="2:62" ht="25.15" customHeight="1" x14ac:dyDescent="0.25">
      <c r="B500" s="49">
        <v>495</v>
      </c>
      <c r="C500" s="37"/>
      <c r="D500" s="87" t="str">
        <f>IF(tbl_Assessment[[#This Row],[Ben Code]]&lt;&gt;"",INDEX(tbl_Ben_Info[],MATCH(tbl_Assessment[[#This Row],[Ben Code]],tbl_Ben_Info[Ben Code],0),48),"")</f>
        <v/>
      </c>
      <c r="E500" s="116" t="str">
        <f>IF(tbl_Assessment[[#This Row],[Ben Code]]&lt;&gt;"",INDEX(tbl_Ben_Info[],MATCH(tbl_Assessment[[#This Row],[Ben Code]],tbl_Ben_Info[Ben Code],0),6),"")</f>
        <v/>
      </c>
      <c r="F500" s="113" t="str">
        <f>IF(tbl_Assessment[[#This Row],[Ben Code]]&lt;&gt;"",INDEX(tbl_Ben_Info[],MATCH(tbl_Assessment[[#This Row],[Ben Code]],tbl_Ben_Info[Ben Code],0),13),"")</f>
        <v/>
      </c>
      <c r="G500" s="49"/>
      <c r="H500" s="37"/>
      <c r="I500" s="37"/>
      <c r="J500" s="37"/>
      <c r="K500" s="37"/>
      <c r="L500" s="37"/>
      <c r="M500" s="59"/>
      <c r="N500" s="37"/>
      <c r="O500" s="37"/>
      <c r="P500" s="37"/>
      <c r="Q500" s="59"/>
      <c r="R500" s="49"/>
      <c r="S500" s="37"/>
      <c r="T500" s="37"/>
      <c r="U500" s="37"/>
      <c r="V500" s="37"/>
      <c r="W500" s="96" t="str">
        <f>tbl_Assessment[[#This Row],[Ben Code]] &amp; "-"&amp;tbl_Assessment[[#This Row],[admin4Pcode]]&amp;"-" &amp; TEXT(COUNTIF(INDEX(tbl_Assessment[Ben Code],1):tbl_Assessment[[#This Row],[Ben Code]], tbl_Assessment[[#This Row],[Ben Code]]), "00")</f>
        <v>--00</v>
      </c>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49"/>
      <c r="AU500" s="41"/>
      <c r="AV500" s="37"/>
      <c r="AW500" s="37"/>
      <c r="AX500" s="37"/>
      <c r="AY500" s="37"/>
      <c r="AZ500" s="37"/>
      <c r="BA500" s="37"/>
      <c r="BB500" s="41"/>
      <c r="BC500" s="37"/>
      <c r="BD500" s="37"/>
      <c r="BE500" s="37"/>
      <c r="BF500" s="41"/>
      <c r="BG500" s="37"/>
      <c r="BH500" s="37"/>
      <c r="BI500" s="37"/>
      <c r="BJ500" s="41"/>
    </row>
    <row r="501" spans="2:62" ht="25.15" customHeight="1" x14ac:dyDescent="0.25">
      <c r="B501" s="49">
        <v>496</v>
      </c>
      <c r="C501" s="37"/>
      <c r="D501" s="87" t="str">
        <f>IF(tbl_Assessment[[#This Row],[Ben Code]]&lt;&gt;"",INDEX(tbl_Ben_Info[],MATCH(tbl_Assessment[[#This Row],[Ben Code]],tbl_Ben_Info[Ben Code],0),48),"")</f>
        <v/>
      </c>
      <c r="E501" s="116" t="str">
        <f>IF(tbl_Assessment[[#This Row],[Ben Code]]&lt;&gt;"",INDEX(tbl_Ben_Info[],MATCH(tbl_Assessment[[#This Row],[Ben Code]],tbl_Ben_Info[Ben Code],0),6),"")</f>
        <v/>
      </c>
      <c r="F501" s="113" t="str">
        <f>IF(tbl_Assessment[[#This Row],[Ben Code]]&lt;&gt;"",INDEX(tbl_Ben_Info[],MATCH(tbl_Assessment[[#This Row],[Ben Code]],tbl_Ben_Info[Ben Code],0),13),"")</f>
        <v/>
      </c>
      <c r="G501" s="49"/>
      <c r="H501" s="37"/>
      <c r="I501" s="37"/>
      <c r="J501" s="37"/>
      <c r="K501" s="37"/>
      <c r="L501" s="37"/>
      <c r="M501" s="59"/>
      <c r="N501" s="37"/>
      <c r="O501" s="37"/>
      <c r="P501" s="37"/>
      <c r="Q501" s="59"/>
      <c r="R501" s="49"/>
      <c r="S501" s="37"/>
      <c r="T501" s="37"/>
      <c r="U501" s="37"/>
      <c r="V501" s="37"/>
      <c r="W501" s="96" t="str">
        <f>tbl_Assessment[[#This Row],[Ben Code]] &amp; "-"&amp;tbl_Assessment[[#This Row],[admin4Pcode]]&amp;"-" &amp; TEXT(COUNTIF(INDEX(tbl_Assessment[Ben Code],1):tbl_Assessment[[#This Row],[Ben Code]], tbl_Assessment[[#This Row],[Ben Code]]), "00")</f>
        <v>--00</v>
      </c>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49"/>
      <c r="AU501" s="41"/>
      <c r="AV501" s="37"/>
      <c r="AW501" s="37"/>
      <c r="AX501" s="37"/>
      <c r="AY501" s="37"/>
      <c r="AZ501" s="37"/>
      <c r="BA501" s="37"/>
      <c r="BB501" s="41"/>
      <c r="BC501" s="37"/>
      <c r="BD501" s="37"/>
      <c r="BE501" s="37"/>
      <c r="BF501" s="41"/>
      <c r="BG501" s="37"/>
      <c r="BH501" s="37"/>
      <c r="BI501" s="37"/>
      <c r="BJ501" s="41"/>
    </row>
    <row r="502" spans="2:62" ht="25.15" customHeight="1" x14ac:dyDescent="0.25">
      <c r="B502" s="49">
        <v>497</v>
      </c>
      <c r="C502" s="37"/>
      <c r="D502" s="87" t="str">
        <f>IF(tbl_Assessment[[#This Row],[Ben Code]]&lt;&gt;"",INDEX(tbl_Ben_Info[],MATCH(tbl_Assessment[[#This Row],[Ben Code]],tbl_Ben_Info[Ben Code],0),48),"")</f>
        <v/>
      </c>
      <c r="E502" s="116" t="str">
        <f>IF(tbl_Assessment[[#This Row],[Ben Code]]&lt;&gt;"",INDEX(tbl_Ben_Info[],MATCH(tbl_Assessment[[#This Row],[Ben Code]],tbl_Ben_Info[Ben Code],0),6),"")</f>
        <v/>
      </c>
      <c r="F502" s="113" t="str">
        <f>IF(tbl_Assessment[[#This Row],[Ben Code]]&lt;&gt;"",INDEX(tbl_Ben_Info[],MATCH(tbl_Assessment[[#This Row],[Ben Code]],tbl_Ben_Info[Ben Code],0),13),"")</f>
        <v/>
      </c>
      <c r="G502" s="49"/>
      <c r="H502" s="37"/>
      <c r="I502" s="37"/>
      <c r="J502" s="37"/>
      <c r="K502" s="37"/>
      <c r="L502" s="37"/>
      <c r="M502" s="59"/>
      <c r="N502" s="37"/>
      <c r="O502" s="37"/>
      <c r="P502" s="37"/>
      <c r="Q502" s="59"/>
      <c r="R502" s="49"/>
      <c r="S502" s="37"/>
      <c r="T502" s="37"/>
      <c r="U502" s="37"/>
      <c r="V502" s="37"/>
      <c r="W502" s="96" t="str">
        <f>tbl_Assessment[[#This Row],[Ben Code]] &amp; "-"&amp;tbl_Assessment[[#This Row],[admin4Pcode]]&amp;"-" &amp; TEXT(COUNTIF(INDEX(tbl_Assessment[Ben Code],1):tbl_Assessment[[#This Row],[Ben Code]], tbl_Assessment[[#This Row],[Ben Code]]), "00")</f>
        <v>--00</v>
      </c>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49"/>
      <c r="AU502" s="41"/>
      <c r="AV502" s="37"/>
      <c r="AW502" s="37"/>
      <c r="AX502" s="37"/>
      <c r="AY502" s="37"/>
      <c r="AZ502" s="37"/>
      <c r="BA502" s="37"/>
      <c r="BB502" s="41"/>
      <c r="BC502" s="37"/>
      <c r="BD502" s="37"/>
      <c r="BE502" s="37"/>
      <c r="BF502" s="41"/>
      <c r="BG502" s="37"/>
      <c r="BH502" s="37"/>
      <c r="BI502" s="37"/>
      <c r="BJ502" s="41"/>
    </row>
    <row r="503" spans="2:62" ht="25.15" customHeight="1" x14ac:dyDescent="0.25">
      <c r="B503" s="49">
        <v>498</v>
      </c>
      <c r="C503" s="37"/>
      <c r="D503" s="87" t="str">
        <f>IF(tbl_Assessment[[#This Row],[Ben Code]]&lt;&gt;"",INDEX(tbl_Ben_Info[],MATCH(tbl_Assessment[[#This Row],[Ben Code]],tbl_Ben_Info[Ben Code],0),48),"")</f>
        <v/>
      </c>
      <c r="E503" s="116" t="str">
        <f>IF(tbl_Assessment[[#This Row],[Ben Code]]&lt;&gt;"",INDEX(tbl_Ben_Info[],MATCH(tbl_Assessment[[#This Row],[Ben Code]],tbl_Ben_Info[Ben Code],0),6),"")</f>
        <v/>
      </c>
      <c r="F503" s="113" t="str">
        <f>IF(tbl_Assessment[[#This Row],[Ben Code]]&lt;&gt;"",INDEX(tbl_Ben_Info[],MATCH(tbl_Assessment[[#This Row],[Ben Code]],tbl_Ben_Info[Ben Code],0),13),"")</f>
        <v/>
      </c>
      <c r="G503" s="49"/>
      <c r="H503" s="37"/>
      <c r="I503" s="37"/>
      <c r="J503" s="37"/>
      <c r="K503" s="37"/>
      <c r="L503" s="37"/>
      <c r="M503" s="59"/>
      <c r="N503" s="37"/>
      <c r="O503" s="37"/>
      <c r="P503" s="37"/>
      <c r="Q503" s="59"/>
      <c r="R503" s="49"/>
      <c r="S503" s="37"/>
      <c r="T503" s="37"/>
      <c r="U503" s="37"/>
      <c r="V503" s="37"/>
      <c r="W503" s="96" t="str">
        <f>tbl_Assessment[[#This Row],[Ben Code]] &amp; "-"&amp;tbl_Assessment[[#This Row],[admin4Pcode]]&amp;"-" &amp; TEXT(COUNTIF(INDEX(tbl_Assessment[Ben Code],1):tbl_Assessment[[#This Row],[Ben Code]], tbl_Assessment[[#This Row],[Ben Code]]), "00")</f>
        <v>--00</v>
      </c>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49"/>
      <c r="AU503" s="41"/>
      <c r="AV503" s="37"/>
      <c r="AW503" s="37"/>
      <c r="AX503" s="37"/>
      <c r="AY503" s="37"/>
      <c r="AZ503" s="37"/>
      <c r="BA503" s="37"/>
      <c r="BB503" s="41"/>
      <c r="BC503" s="37"/>
      <c r="BD503" s="37"/>
      <c r="BE503" s="37"/>
      <c r="BF503" s="41"/>
      <c r="BG503" s="37"/>
      <c r="BH503" s="37"/>
      <c r="BI503" s="37"/>
      <c r="BJ503" s="41"/>
    </row>
    <row r="504" spans="2:62" ht="25.15" customHeight="1" x14ac:dyDescent="0.25">
      <c r="B504" s="49">
        <v>499</v>
      </c>
      <c r="C504" s="37"/>
      <c r="D504" s="87" t="str">
        <f>IF(tbl_Assessment[[#This Row],[Ben Code]]&lt;&gt;"",INDEX(tbl_Ben_Info[],MATCH(tbl_Assessment[[#This Row],[Ben Code]],tbl_Ben_Info[Ben Code],0),48),"")</f>
        <v/>
      </c>
      <c r="E504" s="116" t="str">
        <f>IF(tbl_Assessment[[#This Row],[Ben Code]]&lt;&gt;"",INDEX(tbl_Ben_Info[],MATCH(tbl_Assessment[[#This Row],[Ben Code]],tbl_Ben_Info[Ben Code],0),6),"")</f>
        <v/>
      </c>
      <c r="F504" s="113" t="str">
        <f>IF(tbl_Assessment[[#This Row],[Ben Code]]&lt;&gt;"",INDEX(tbl_Ben_Info[],MATCH(tbl_Assessment[[#This Row],[Ben Code]],tbl_Ben_Info[Ben Code],0),13),"")</f>
        <v/>
      </c>
      <c r="G504" s="49"/>
      <c r="H504" s="37"/>
      <c r="I504" s="37"/>
      <c r="J504" s="37"/>
      <c r="K504" s="37"/>
      <c r="L504" s="37"/>
      <c r="M504" s="59"/>
      <c r="N504" s="37"/>
      <c r="O504" s="37"/>
      <c r="P504" s="37"/>
      <c r="Q504" s="59"/>
      <c r="R504" s="49"/>
      <c r="S504" s="37"/>
      <c r="T504" s="37"/>
      <c r="U504" s="37"/>
      <c r="V504" s="37"/>
      <c r="W504" s="96" t="str">
        <f>tbl_Assessment[[#This Row],[Ben Code]] &amp; "-"&amp;tbl_Assessment[[#This Row],[admin4Pcode]]&amp;"-" &amp; TEXT(COUNTIF(INDEX(tbl_Assessment[Ben Code],1):tbl_Assessment[[#This Row],[Ben Code]], tbl_Assessment[[#This Row],[Ben Code]]), "00")</f>
        <v>--00</v>
      </c>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49"/>
      <c r="AU504" s="41"/>
      <c r="AV504" s="37"/>
      <c r="AW504" s="37"/>
      <c r="AX504" s="37"/>
      <c r="AY504" s="37"/>
      <c r="AZ504" s="37"/>
      <c r="BA504" s="37"/>
      <c r="BB504" s="41"/>
      <c r="BC504" s="37"/>
      <c r="BD504" s="37"/>
      <c r="BE504" s="37"/>
      <c r="BF504" s="41"/>
      <c r="BG504" s="37"/>
      <c r="BH504" s="37"/>
      <c r="BI504" s="37"/>
      <c r="BJ504" s="41"/>
    </row>
    <row r="505" spans="2:62" ht="25.15" customHeight="1" x14ac:dyDescent="0.25">
      <c r="B505" s="49">
        <v>500</v>
      </c>
      <c r="C505" s="37"/>
      <c r="D505" s="87" t="str">
        <f>IF(tbl_Assessment[[#This Row],[Ben Code]]&lt;&gt;"",INDEX(tbl_Ben_Info[],MATCH(tbl_Assessment[[#This Row],[Ben Code]],tbl_Ben_Info[Ben Code],0),48),"")</f>
        <v/>
      </c>
      <c r="E505" s="116" t="str">
        <f>IF(tbl_Assessment[[#This Row],[Ben Code]]&lt;&gt;"",INDEX(tbl_Ben_Info[],MATCH(tbl_Assessment[[#This Row],[Ben Code]],tbl_Ben_Info[Ben Code],0),6),"")</f>
        <v/>
      </c>
      <c r="F505" s="113" t="str">
        <f>IF(tbl_Assessment[[#This Row],[Ben Code]]&lt;&gt;"",INDEX(tbl_Ben_Info[],MATCH(tbl_Assessment[[#This Row],[Ben Code]],tbl_Ben_Info[Ben Code],0),13),"")</f>
        <v/>
      </c>
      <c r="G505" s="49"/>
      <c r="H505" s="37"/>
      <c r="I505" s="37"/>
      <c r="J505" s="37"/>
      <c r="K505" s="37"/>
      <c r="L505" s="37"/>
      <c r="M505" s="59"/>
      <c r="N505" s="37"/>
      <c r="O505" s="37"/>
      <c r="P505" s="37"/>
      <c r="Q505" s="59"/>
      <c r="R505" s="49"/>
      <c r="S505" s="37"/>
      <c r="T505" s="37"/>
      <c r="U505" s="37"/>
      <c r="V505" s="37"/>
      <c r="W505" s="96" t="str">
        <f>tbl_Assessment[[#This Row],[Ben Code]] &amp; "-"&amp;tbl_Assessment[[#This Row],[admin4Pcode]]&amp;"-" &amp; TEXT(COUNTIF(INDEX(tbl_Assessment[Ben Code],1):tbl_Assessment[[#This Row],[Ben Code]], tbl_Assessment[[#This Row],[Ben Code]]), "00")</f>
        <v>--00</v>
      </c>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49"/>
      <c r="AU505" s="41"/>
      <c r="AV505" s="37"/>
      <c r="AW505" s="37"/>
      <c r="AX505" s="37"/>
      <c r="AY505" s="37"/>
      <c r="AZ505" s="37"/>
      <c r="BA505" s="37"/>
      <c r="BB505" s="41"/>
      <c r="BC505" s="37"/>
      <c r="BD505" s="37"/>
      <c r="BE505" s="37"/>
      <c r="BF505" s="41"/>
      <c r="BG505" s="37"/>
      <c r="BH505" s="37"/>
      <c r="BI505" s="37"/>
      <c r="BJ505" s="41"/>
    </row>
    <row r="506" spans="2:62" ht="25.15" customHeight="1" x14ac:dyDescent="0.25">
      <c r="B506" s="49">
        <v>501</v>
      </c>
      <c r="C506" s="37"/>
      <c r="D506" s="87" t="str">
        <f>IF(tbl_Assessment[[#This Row],[Ben Code]]&lt;&gt;"",INDEX(tbl_Ben_Info[],MATCH(tbl_Assessment[[#This Row],[Ben Code]],tbl_Ben_Info[Ben Code],0),48),"")</f>
        <v/>
      </c>
      <c r="E506" s="116" t="str">
        <f>IF(tbl_Assessment[[#This Row],[Ben Code]]&lt;&gt;"",INDEX(tbl_Ben_Info[],MATCH(tbl_Assessment[[#This Row],[Ben Code]],tbl_Ben_Info[Ben Code],0),6),"")</f>
        <v/>
      </c>
      <c r="F506" s="113" t="str">
        <f>IF(tbl_Assessment[[#This Row],[Ben Code]]&lt;&gt;"",INDEX(tbl_Ben_Info[],MATCH(tbl_Assessment[[#This Row],[Ben Code]],tbl_Ben_Info[Ben Code],0),13),"")</f>
        <v/>
      </c>
      <c r="G506" s="49"/>
      <c r="H506" s="37"/>
      <c r="I506" s="37"/>
      <c r="J506" s="37"/>
      <c r="K506" s="37"/>
      <c r="L506" s="37"/>
      <c r="M506" s="59"/>
      <c r="N506" s="37"/>
      <c r="O506" s="37"/>
      <c r="P506" s="37"/>
      <c r="Q506" s="59"/>
      <c r="R506" s="49"/>
      <c r="S506" s="37"/>
      <c r="T506" s="37"/>
      <c r="U506" s="37"/>
      <c r="V506" s="37"/>
      <c r="W506" s="96" t="str">
        <f>tbl_Assessment[[#This Row],[Ben Code]] &amp; "-"&amp;tbl_Assessment[[#This Row],[admin4Pcode]]&amp;"-" &amp; TEXT(COUNTIF(INDEX(tbl_Assessment[Ben Code],1):tbl_Assessment[[#This Row],[Ben Code]], tbl_Assessment[[#This Row],[Ben Code]]), "00")</f>
        <v>--00</v>
      </c>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49"/>
      <c r="AU506" s="41"/>
      <c r="AV506" s="37"/>
      <c r="AW506" s="37"/>
      <c r="AX506" s="37"/>
      <c r="AY506" s="37"/>
      <c r="AZ506" s="37"/>
      <c r="BA506" s="37"/>
      <c r="BB506" s="41"/>
      <c r="BC506" s="37"/>
      <c r="BD506" s="37"/>
      <c r="BE506" s="37"/>
      <c r="BF506" s="41"/>
      <c r="BG506" s="37"/>
      <c r="BH506" s="37"/>
      <c r="BI506" s="37"/>
      <c r="BJ506" s="41"/>
    </row>
    <row r="507" spans="2:62" ht="25.15" customHeight="1" x14ac:dyDescent="0.25">
      <c r="B507" s="49">
        <v>502</v>
      </c>
      <c r="C507" s="37"/>
      <c r="D507" s="87" t="str">
        <f>IF(tbl_Assessment[[#This Row],[Ben Code]]&lt;&gt;"",INDEX(tbl_Ben_Info[],MATCH(tbl_Assessment[[#This Row],[Ben Code]],tbl_Ben_Info[Ben Code],0),48),"")</f>
        <v/>
      </c>
      <c r="E507" s="116" t="str">
        <f>IF(tbl_Assessment[[#This Row],[Ben Code]]&lt;&gt;"",INDEX(tbl_Ben_Info[],MATCH(tbl_Assessment[[#This Row],[Ben Code]],tbl_Ben_Info[Ben Code],0),6),"")</f>
        <v/>
      </c>
      <c r="F507" s="113" t="str">
        <f>IF(tbl_Assessment[[#This Row],[Ben Code]]&lt;&gt;"",INDEX(tbl_Ben_Info[],MATCH(tbl_Assessment[[#This Row],[Ben Code]],tbl_Ben_Info[Ben Code],0),13),"")</f>
        <v/>
      </c>
      <c r="G507" s="49"/>
      <c r="H507" s="37"/>
      <c r="I507" s="37"/>
      <c r="J507" s="37"/>
      <c r="K507" s="37"/>
      <c r="L507" s="37"/>
      <c r="M507" s="59"/>
      <c r="N507" s="37"/>
      <c r="O507" s="37"/>
      <c r="P507" s="37"/>
      <c r="Q507" s="59"/>
      <c r="R507" s="49"/>
      <c r="S507" s="37"/>
      <c r="T507" s="37"/>
      <c r="U507" s="37"/>
      <c r="V507" s="37"/>
      <c r="W507" s="96" t="str">
        <f>tbl_Assessment[[#This Row],[Ben Code]] &amp; "-"&amp;tbl_Assessment[[#This Row],[admin4Pcode]]&amp;"-" &amp; TEXT(COUNTIF(INDEX(tbl_Assessment[Ben Code],1):tbl_Assessment[[#This Row],[Ben Code]], tbl_Assessment[[#This Row],[Ben Code]]), "00")</f>
        <v>--00</v>
      </c>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49"/>
      <c r="AU507" s="41"/>
      <c r="AV507" s="37"/>
      <c r="AW507" s="37"/>
      <c r="AX507" s="37"/>
      <c r="AY507" s="37"/>
      <c r="AZ507" s="37"/>
      <c r="BA507" s="37"/>
      <c r="BB507" s="41"/>
      <c r="BC507" s="37"/>
      <c r="BD507" s="37"/>
      <c r="BE507" s="37"/>
      <c r="BF507" s="41"/>
      <c r="BG507" s="37"/>
      <c r="BH507" s="37"/>
      <c r="BI507" s="37"/>
      <c r="BJ507" s="41"/>
    </row>
    <row r="508" spans="2:62" ht="25.15" customHeight="1" x14ac:dyDescent="0.25">
      <c r="B508" s="49">
        <v>503</v>
      </c>
      <c r="C508" s="37"/>
      <c r="D508" s="87" t="str">
        <f>IF(tbl_Assessment[[#This Row],[Ben Code]]&lt;&gt;"",INDEX(tbl_Ben_Info[],MATCH(tbl_Assessment[[#This Row],[Ben Code]],tbl_Ben_Info[Ben Code],0),48),"")</f>
        <v/>
      </c>
      <c r="E508" s="116" t="str">
        <f>IF(tbl_Assessment[[#This Row],[Ben Code]]&lt;&gt;"",INDEX(tbl_Ben_Info[],MATCH(tbl_Assessment[[#This Row],[Ben Code]],tbl_Ben_Info[Ben Code],0),6),"")</f>
        <v/>
      </c>
      <c r="F508" s="113" t="str">
        <f>IF(tbl_Assessment[[#This Row],[Ben Code]]&lt;&gt;"",INDEX(tbl_Ben_Info[],MATCH(tbl_Assessment[[#This Row],[Ben Code]],tbl_Ben_Info[Ben Code],0),13),"")</f>
        <v/>
      </c>
      <c r="G508" s="49"/>
      <c r="H508" s="37"/>
      <c r="I508" s="37"/>
      <c r="J508" s="37"/>
      <c r="K508" s="37"/>
      <c r="L508" s="37"/>
      <c r="M508" s="59"/>
      <c r="N508" s="37"/>
      <c r="O508" s="37"/>
      <c r="P508" s="37"/>
      <c r="Q508" s="59"/>
      <c r="R508" s="49"/>
      <c r="S508" s="37"/>
      <c r="T508" s="37"/>
      <c r="U508" s="37"/>
      <c r="V508" s="37"/>
      <c r="W508" s="96" t="str">
        <f>tbl_Assessment[[#This Row],[Ben Code]] &amp; "-"&amp;tbl_Assessment[[#This Row],[admin4Pcode]]&amp;"-" &amp; TEXT(COUNTIF(INDEX(tbl_Assessment[Ben Code],1):tbl_Assessment[[#This Row],[Ben Code]], tbl_Assessment[[#This Row],[Ben Code]]), "00")</f>
        <v>--00</v>
      </c>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49"/>
      <c r="AU508" s="41"/>
      <c r="AV508" s="37"/>
      <c r="AW508" s="37"/>
      <c r="AX508" s="37"/>
      <c r="AY508" s="37"/>
      <c r="AZ508" s="37"/>
      <c r="BA508" s="37"/>
      <c r="BB508" s="41"/>
      <c r="BC508" s="37"/>
      <c r="BD508" s="37"/>
      <c r="BE508" s="37"/>
      <c r="BF508" s="41"/>
      <c r="BG508" s="37"/>
      <c r="BH508" s="37"/>
      <c r="BI508" s="37"/>
      <c r="BJ508" s="41"/>
    </row>
    <row r="509" spans="2:62" ht="25.15" customHeight="1" x14ac:dyDescent="0.25">
      <c r="B509" s="49">
        <v>504</v>
      </c>
      <c r="C509" s="37"/>
      <c r="D509" s="87" t="str">
        <f>IF(tbl_Assessment[[#This Row],[Ben Code]]&lt;&gt;"",INDEX(tbl_Ben_Info[],MATCH(tbl_Assessment[[#This Row],[Ben Code]],tbl_Ben_Info[Ben Code],0),48),"")</f>
        <v/>
      </c>
      <c r="E509" s="116" t="str">
        <f>IF(tbl_Assessment[[#This Row],[Ben Code]]&lt;&gt;"",INDEX(tbl_Ben_Info[],MATCH(tbl_Assessment[[#This Row],[Ben Code]],tbl_Ben_Info[Ben Code],0),6),"")</f>
        <v/>
      </c>
      <c r="F509" s="113" t="str">
        <f>IF(tbl_Assessment[[#This Row],[Ben Code]]&lt;&gt;"",INDEX(tbl_Ben_Info[],MATCH(tbl_Assessment[[#This Row],[Ben Code]],tbl_Ben_Info[Ben Code],0),13),"")</f>
        <v/>
      </c>
      <c r="G509" s="49"/>
      <c r="H509" s="37"/>
      <c r="I509" s="37"/>
      <c r="J509" s="37"/>
      <c r="K509" s="37"/>
      <c r="L509" s="37"/>
      <c r="M509" s="59"/>
      <c r="N509" s="37"/>
      <c r="O509" s="37"/>
      <c r="P509" s="37"/>
      <c r="Q509" s="59"/>
      <c r="R509" s="49"/>
      <c r="S509" s="37"/>
      <c r="T509" s="37"/>
      <c r="U509" s="37"/>
      <c r="V509" s="37"/>
      <c r="W509" s="96" t="str">
        <f>tbl_Assessment[[#This Row],[Ben Code]] &amp; "-"&amp;tbl_Assessment[[#This Row],[admin4Pcode]]&amp;"-" &amp; TEXT(COUNTIF(INDEX(tbl_Assessment[Ben Code],1):tbl_Assessment[[#This Row],[Ben Code]], tbl_Assessment[[#This Row],[Ben Code]]), "00")</f>
        <v>--00</v>
      </c>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49"/>
      <c r="AU509" s="41"/>
      <c r="AV509" s="37"/>
      <c r="AW509" s="37"/>
      <c r="AX509" s="37"/>
      <c r="AY509" s="37"/>
      <c r="AZ509" s="37"/>
      <c r="BA509" s="37"/>
      <c r="BB509" s="41"/>
      <c r="BC509" s="37"/>
      <c r="BD509" s="37"/>
      <c r="BE509" s="37"/>
      <c r="BF509" s="41"/>
      <c r="BG509" s="37"/>
      <c r="BH509" s="37"/>
      <c r="BI509" s="37"/>
      <c r="BJ509" s="41"/>
    </row>
    <row r="510" spans="2:62" ht="25.15" customHeight="1" x14ac:dyDescent="0.25">
      <c r="B510" s="49">
        <v>505</v>
      </c>
      <c r="C510" s="37"/>
      <c r="D510" s="87" t="str">
        <f>IF(tbl_Assessment[[#This Row],[Ben Code]]&lt;&gt;"",INDEX(tbl_Ben_Info[],MATCH(tbl_Assessment[[#This Row],[Ben Code]],tbl_Ben_Info[Ben Code],0),48),"")</f>
        <v/>
      </c>
      <c r="E510" s="116" t="str">
        <f>IF(tbl_Assessment[[#This Row],[Ben Code]]&lt;&gt;"",INDEX(tbl_Ben_Info[],MATCH(tbl_Assessment[[#This Row],[Ben Code]],tbl_Ben_Info[Ben Code],0),6),"")</f>
        <v/>
      </c>
      <c r="F510" s="113" t="str">
        <f>IF(tbl_Assessment[[#This Row],[Ben Code]]&lt;&gt;"",INDEX(tbl_Ben_Info[],MATCH(tbl_Assessment[[#This Row],[Ben Code]],tbl_Ben_Info[Ben Code],0),13),"")</f>
        <v/>
      </c>
      <c r="G510" s="49"/>
      <c r="H510" s="37"/>
      <c r="I510" s="37"/>
      <c r="J510" s="37"/>
      <c r="K510" s="37"/>
      <c r="L510" s="37"/>
      <c r="M510" s="59"/>
      <c r="N510" s="37"/>
      <c r="O510" s="37"/>
      <c r="P510" s="37"/>
      <c r="Q510" s="59"/>
      <c r="R510" s="49"/>
      <c r="S510" s="37"/>
      <c r="T510" s="37"/>
      <c r="U510" s="37"/>
      <c r="V510" s="37"/>
      <c r="W510" s="96" t="str">
        <f>tbl_Assessment[[#This Row],[Ben Code]] &amp; "-"&amp;tbl_Assessment[[#This Row],[admin4Pcode]]&amp;"-" &amp; TEXT(COUNTIF(INDEX(tbl_Assessment[Ben Code],1):tbl_Assessment[[#This Row],[Ben Code]], tbl_Assessment[[#This Row],[Ben Code]]), "00")</f>
        <v>--00</v>
      </c>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49"/>
      <c r="AU510" s="41"/>
      <c r="AV510" s="37"/>
      <c r="AW510" s="37"/>
      <c r="AX510" s="37"/>
      <c r="AY510" s="37"/>
      <c r="AZ510" s="37"/>
      <c r="BA510" s="37"/>
      <c r="BB510" s="41"/>
      <c r="BC510" s="37"/>
      <c r="BD510" s="37"/>
      <c r="BE510" s="37"/>
      <c r="BF510" s="41"/>
      <c r="BG510" s="37"/>
      <c r="BH510" s="37"/>
      <c r="BI510" s="37"/>
      <c r="BJ510" s="41"/>
    </row>
    <row r="511" spans="2:62" ht="25.15" customHeight="1" x14ac:dyDescent="0.25">
      <c r="B511" s="49">
        <v>506</v>
      </c>
      <c r="C511" s="37"/>
      <c r="D511" s="87" t="str">
        <f>IF(tbl_Assessment[[#This Row],[Ben Code]]&lt;&gt;"",INDEX(tbl_Ben_Info[],MATCH(tbl_Assessment[[#This Row],[Ben Code]],tbl_Ben_Info[Ben Code],0),48),"")</f>
        <v/>
      </c>
      <c r="E511" s="116" t="str">
        <f>IF(tbl_Assessment[[#This Row],[Ben Code]]&lt;&gt;"",INDEX(tbl_Ben_Info[],MATCH(tbl_Assessment[[#This Row],[Ben Code]],tbl_Ben_Info[Ben Code],0),6),"")</f>
        <v/>
      </c>
      <c r="F511" s="113" t="str">
        <f>IF(tbl_Assessment[[#This Row],[Ben Code]]&lt;&gt;"",INDEX(tbl_Ben_Info[],MATCH(tbl_Assessment[[#This Row],[Ben Code]],tbl_Ben_Info[Ben Code],0),13),"")</f>
        <v/>
      </c>
      <c r="G511" s="49"/>
      <c r="H511" s="37"/>
      <c r="I511" s="37"/>
      <c r="J511" s="37"/>
      <c r="K511" s="37"/>
      <c r="L511" s="37"/>
      <c r="M511" s="59"/>
      <c r="N511" s="37"/>
      <c r="O511" s="37"/>
      <c r="P511" s="37"/>
      <c r="Q511" s="59"/>
      <c r="R511" s="49"/>
      <c r="S511" s="37"/>
      <c r="T511" s="37"/>
      <c r="U511" s="37"/>
      <c r="V511" s="37"/>
      <c r="W511" s="96" t="str">
        <f>tbl_Assessment[[#This Row],[Ben Code]] &amp; "-"&amp;tbl_Assessment[[#This Row],[admin4Pcode]]&amp;"-" &amp; TEXT(COUNTIF(INDEX(tbl_Assessment[Ben Code],1):tbl_Assessment[[#This Row],[Ben Code]], tbl_Assessment[[#This Row],[Ben Code]]), "00")</f>
        <v>--00</v>
      </c>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49"/>
      <c r="AU511" s="41"/>
      <c r="AV511" s="37"/>
      <c r="AW511" s="37"/>
      <c r="AX511" s="37"/>
      <c r="AY511" s="37"/>
      <c r="AZ511" s="37"/>
      <c r="BA511" s="37"/>
      <c r="BB511" s="41"/>
      <c r="BC511" s="37"/>
      <c r="BD511" s="37"/>
      <c r="BE511" s="37"/>
      <c r="BF511" s="41"/>
      <c r="BG511" s="37"/>
      <c r="BH511" s="37"/>
      <c r="BI511" s="37"/>
      <c r="BJ511" s="41"/>
    </row>
    <row r="512" spans="2:62" ht="25.15" customHeight="1" x14ac:dyDescent="0.25">
      <c r="B512" s="49">
        <v>507</v>
      </c>
      <c r="C512" s="37"/>
      <c r="D512" s="87" t="str">
        <f>IF(tbl_Assessment[[#This Row],[Ben Code]]&lt;&gt;"",INDEX(tbl_Ben_Info[],MATCH(tbl_Assessment[[#This Row],[Ben Code]],tbl_Ben_Info[Ben Code],0),48),"")</f>
        <v/>
      </c>
      <c r="E512" s="116" t="str">
        <f>IF(tbl_Assessment[[#This Row],[Ben Code]]&lt;&gt;"",INDEX(tbl_Ben_Info[],MATCH(tbl_Assessment[[#This Row],[Ben Code]],tbl_Ben_Info[Ben Code],0),6),"")</f>
        <v/>
      </c>
      <c r="F512" s="113" t="str">
        <f>IF(tbl_Assessment[[#This Row],[Ben Code]]&lt;&gt;"",INDEX(tbl_Ben_Info[],MATCH(tbl_Assessment[[#This Row],[Ben Code]],tbl_Ben_Info[Ben Code],0),13),"")</f>
        <v/>
      </c>
      <c r="G512" s="49"/>
      <c r="H512" s="37"/>
      <c r="I512" s="37"/>
      <c r="J512" s="37"/>
      <c r="K512" s="37"/>
      <c r="L512" s="37"/>
      <c r="M512" s="59"/>
      <c r="N512" s="37"/>
      <c r="O512" s="37"/>
      <c r="P512" s="37"/>
      <c r="Q512" s="59"/>
      <c r="R512" s="49"/>
      <c r="S512" s="37"/>
      <c r="T512" s="37"/>
      <c r="U512" s="37"/>
      <c r="V512" s="37"/>
      <c r="W512" s="96" t="str">
        <f>tbl_Assessment[[#This Row],[Ben Code]] &amp; "-"&amp;tbl_Assessment[[#This Row],[admin4Pcode]]&amp;"-" &amp; TEXT(COUNTIF(INDEX(tbl_Assessment[Ben Code],1):tbl_Assessment[[#This Row],[Ben Code]], tbl_Assessment[[#This Row],[Ben Code]]), "00")</f>
        <v>--00</v>
      </c>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49"/>
      <c r="AU512" s="41"/>
      <c r="AV512" s="37"/>
      <c r="AW512" s="37"/>
      <c r="AX512" s="37"/>
      <c r="AY512" s="37"/>
      <c r="AZ512" s="37"/>
      <c r="BA512" s="37"/>
      <c r="BB512" s="41"/>
      <c r="BC512" s="37"/>
      <c r="BD512" s="37"/>
      <c r="BE512" s="37"/>
      <c r="BF512" s="41"/>
      <c r="BG512" s="37"/>
      <c r="BH512" s="37"/>
      <c r="BI512" s="37"/>
      <c r="BJ512" s="41"/>
    </row>
    <row r="513" spans="2:62" ht="25.15" customHeight="1" x14ac:dyDescent="0.25">
      <c r="B513" s="49">
        <v>508</v>
      </c>
      <c r="C513" s="37"/>
      <c r="D513" s="87" t="str">
        <f>IF(tbl_Assessment[[#This Row],[Ben Code]]&lt;&gt;"",INDEX(tbl_Ben_Info[],MATCH(tbl_Assessment[[#This Row],[Ben Code]],tbl_Ben_Info[Ben Code],0),48),"")</f>
        <v/>
      </c>
      <c r="E513" s="116" t="str">
        <f>IF(tbl_Assessment[[#This Row],[Ben Code]]&lt;&gt;"",INDEX(tbl_Ben_Info[],MATCH(tbl_Assessment[[#This Row],[Ben Code]],tbl_Ben_Info[Ben Code],0),6),"")</f>
        <v/>
      </c>
      <c r="F513" s="113" t="str">
        <f>IF(tbl_Assessment[[#This Row],[Ben Code]]&lt;&gt;"",INDEX(tbl_Ben_Info[],MATCH(tbl_Assessment[[#This Row],[Ben Code]],tbl_Ben_Info[Ben Code],0),13),"")</f>
        <v/>
      </c>
      <c r="G513" s="49"/>
      <c r="H513" s="37"/>
      <c r="I513" s="37"/>
      <c r="J513" s="37"/>
      <c r="K513" s="37"/>
      <c r="L513" s="37"/>
      <c r="M513" s="59"/>
      <c r="N513" s="37"/>
      <c r="O513" s="37"/>
      <c r="P513" s="37"/>
      <c r="Q513" s="59"/>
      <c r="R513" s="49"/>
      <c r="S513" s="37"/>
      <c r="T513" s="37"/>
      <c r="U513" s="37"/>
      <c r="V513" s="37"/>
      <c r="W513" s="96" t="str">
        <f>tbl_Assessment[[#This Row],[Ben Code]] &amp; "-"&amp;tbl_Assessment[[#This Row],[admin4Pcode]]&amp;"-" &amp; TEXT(COUNTIF(INDEX(tbl_Assessment[Ben Code],1):tbl_Assessment[[#This Row],[Ben Code]], tbl_Assessment[[#This Row],[Ben Code]]), "00")</f>
        <v>--00</v>
      </c>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49"/>
      <c r="AU513" s="41"/>
      <c r="AV513" s="37"/>
      <c r="AW513" s="37"/>
      <c r="AX513" s="37"/>
      <c r="AY513" s="37"/>
      <c r="AZ513" s="37"/>
      <c r="BA513" s="37"/>
      <c r="BB513" s="41"/>
      <c r="BC513" s="37"/>
      <c r="BD513" s="37"/>
      <c r="BE513" s="37"/>
      <c r="BF513" s="41"/>
      <c r="BG513" s="37"/>
      <c r="BH513" s="37"/>
      <c r="BI513" s="37"/>
      <c r="BJ513" s="41"/>
    </row>
    <row r="514" spans="2:62" ht="25.15" customHeight="1" x14ac:dyDescent="0.25">
      <c r="B514" s="49">
        <v>509</v>
      </c>
      <c r="C514" s="37"/>
      <c r="D514" s="87" t="str">
        <f>IF(tbl_Assessment[[#This Row],[Ben Code]]&lt;&gt;"",INDEX(tbl_Ben_Info[],MATCH(tbl_Assessment[[#This Row],[Ben Code]],tbl_Ben_Info[Ben Code],0),48),"")</f>
        <v/>
      </c>
      <c r="E514" s="116" t="str">
        <f>IF(tbl_Assessment[[#This Row],[Ben Code]]&lt;&gt;"",INDEX(tbl_Ben_Info[],MATCH(tbl_Assessment[[#This Row],[Ben Code]],tbl_Ben_Info[Ben Code],0),6),"")</f>
        <v/>
      </c>
      <c r="F514" s="113" t="str">
        <f>IF(tbl_Assessment[[#This Row],[Ben Code]]&lt;&gt;"",INDEX(tbl_Ben_Info[],MATCH(tbl_Assessment[[#This Row],[Ben Code]],tbl_Ben_Info[Ben Code],0),13),"")</f>
        <v/>
      </c>
      <c r="G514" s="49"/>
      <c r="H514" s="37"/>
      <c r="I514" s="37"/>
      <c r="J514" s="37"/>
      <c r="K514" s="37"/>
      <c r="L514" s="37"/>
      <c r="M514" s="59"/>
      <c r="N514" s="37"/>
      <c r="O514" s="37"/>
      <c r="P514" s="37"/>
      <c r="Q514" s="59"/>
      <c r="R514" s="49"/>
      <c r="S514" s="37"/>
      <c r="T514" s="37"/>
      <c r="U514" s="37"/>
      <c r="V514" s="37"/>
      <c r="W514" s="96" t="str">
        <f>tbl_Assessment[[#This Row],[Ben Code]] &amp; "-"&amp;tbl_Assessment[[#This Row],[admin4Pcode]]&amp;"-" &amp; TEXT(COUNTIF(INDEX(tbl_Assessment[Ben Code],1):tbl_Assessment[[#This Row],[Ben Code]], tbl_Assessment[[#This Row],[Ben Code]]), "00")</f>
        <v>--00</v>
      </c>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49"/>
      <c r="AU514" s="41"/>
      <c r="AV514" s="37"/>
      <c r="AW514" s="37"/>
      <c r="AX514" s="37"/>
      <c r="AY514" s="37"/>
      <c r="AZ514" s="37"/>
      <c r="BA514" s="37"/>
      <c r="BB514" s="41"/>
      <c r="BC514" s="37"/>
      <c r="BD514" s="37"/>
      <c r="BE514" s="37"/>
      <c r="BF514" s="41"/>
      <c r="BG514" s="37"/>
      <c r="BH514" s="37"/>
      <c r="BI514" s="37"/>
      <c r="BJ514" s="41"/>
    </row>
    <row r="515" spans="2:62" ht="25.15" customHeight="1" x14ac:dyDescent="0.25">
      <c r="B515" s="49">
        <v>510</v>
      </c>
      <c r="C515" s="37"/>
      <c r="D515" s="87" t="str">
        <f>IF(tbl_Assessment[[#This Row],[Ben Code]]&lt;&gt;"",INDEX(tbl_Ben_Info[],MATCH(tbl_Assessment[[#This Row],[Ben Code]],tbl_Ben_Info[Ben Code],0),48),"")</f>
        <v/>
      </c>
      <c r="E515" s="116" t="str">
        <f>IF(tbl_Assessment[[#This Row],[Ben Code]]&lt;&gt;"",INDEX(tbl_Ben_Info[],MATCH(tbl_Assessment[[#This Row],[Ben Code]],tbl_Ben_Info[Ben Code],0),6),"")</f>
        <v/>
      </c>
      <c r="F515" s="113" t="str">
        <f>IF(tbl_Assessment[[#This Row],[Ben Code]]&lt;&gt;"",INDEX(tbl_Ben_Info[],MATCH(tbl_Assessment[[#This Row],[Ben Code]],tbl_Ben_Info[Ben Code],0),13),"")</f>
        <v/>
      </c>
      <c r="G515" s="49"/>
      <c r="H515" s="37"/>
      <c r="I515" s="37"/>
      <c r="J515" s="37"/>
      <c r="K515" s="37"/>
      <c r="L515" s="37"/>
      <c r="M515" s="59"/>
      <c r="N515" s="37"/>
      <c r="O515" s="37"/>
      <c r="P515" s="37"/>
      <c r="Q515" s="59"/>
      <c r="R515" s="49"/>
      <c r="S515" s="37"/>
      <c r="T515" s="37"/>
      <c r="U515" s="37"/>
      <c r="V515" s="37"/>
      <c r="W515" s="96" t="str">
        <f>tbl_Assessment[[#This Row],[Ben Code]] &amp; "-"&amp;tbl_Assessment[[#This Row],[admin4Pcode]]&amp;"-" &amp; TEXT(COUNTIF(INDEX(tbl_Assessment[Ben Code],1):tbl_Assessment[[#This Row],[Ben Code]], tbl_Assessment[[#This Row],[Ben Code]]), "00")</f>
        <v>--00</v>
      </c>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49"/>
      <c r="AU515" s="41"/>
      <c r="AV515" s="37"/>
      <c r="AW515" s="37"/>
      <c r="AX515" s="37"/>
      <c r="AY515" s="37"/>
      <c r="AZ515" s="37"/>
      <c r="BA515" s="37"/>
      <c r="BB515" s="41"/>
      <c r="BC515" s="37"/>
      <c r="BD515" s="37"/>
      <c r="BE515" s="37"/>
      <c r="BF515" s="41"/>
      <c r="BG515" s="37"/>
      <c r="BH515" s="37"/>
      <c r="BI515" s="37"/>
      <c r="BJ515" s="41"/>
    </row>
    <row r="516" spans="2:62" ht="25.15" customHeight="1" x14ac:dyDescent="0.25">
      <c r="B516" s="49">
        <v>511</v>
      </c>
      <c r="C516" s="37"/>
      <c r="D516" s="87" t="str">
        <f>IF(tbl_Assessment[[#This Row],[Ben Code]]&lt;&gt;"",INDEX(tbl_Ben_Info[],MATCH(tbl_Assessment[[#This Row],[Ben Code]],tbl_Ben_Info[Ben Code],0),48),"")</f>
        <v/>
      </c>
      <c r="E516" s="116" t="str">
        <f>IF(tbl_Assessment[[#This Row],[Ben Code]]&lt;&gt;"",INDEX(tbl_Ben_Info[],MATCH(tbl_Assessment[[#This Row],[Ben Code]],tbl_Ben_Info[Ben Code],0),6),"")</f>
        <v/>
      </c>
      <c r="F516" s="113" t="str">
        <f>IF(tbl_Assessment[[#This Row],[Ben Code]]&lt;&gt;"",INDEX(tbl_Ben_Info[],MATCH(tbl_Assessment[[#This Row],[Ben Code]],tbl_Ben_Info[Ben Code],0),13),"")</f>
        <v/>
      </c>
      <c r="G516" s="49"/>
      <c r="H516" s="37"/>
      <c r="I516" s="37"/>
      <c r="J516" s="37"/>
      <c r="K516" s="37"/>
      <c r="L516" s="37"/>
      <c r="M516" s="59"/>
      <c r="N516" s="37"/>
      <c r="O516" s="37"/>
      <c r="P516" s="37"/>
      <c r="Q516" s="59"/>
      <c r="R516" s="49"/>
      <c r="S516" s="37"/>
      <c r="T516" s="37"/>
      <c r="U516" s="37"/>
      <c r="V516" s="37"/>
      <c r="W516" s="96" t="str">
        <f>tbl_Assessment[[#This Row],[Ben Code]] &amp; "-"&amp;tbl_Assessment[[#This Row],[admin4Pcode]]&amp;"-" &amp; TEXT(COUNTIF(INDEX(tbl_Assessment[Ben Code],1):tbl_Assessment[[#This Row],[Ben Code]], tbl_Assessment[[#This Row],[Ben Code]]), "00")</f>
        <v>--00</v>
      </c>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49"/>
      <c r="AU516" s="41"/>
      <c r="AV516" s="37"/>
      <c r="AW516" s="37"/>
      <c r="AX516" s="37"/>
      <c r="AY516" s="37"/>
      <c r="AZ516" s="37"/>
      <c r="BA516" s="37"/>
      <c r="BB516" s="41"/>
      <c r="BC516" s="37"/>
      <c r="BD516" s="37"/>
      <c r="BE516" s="37"/>
      <c r="BF516" s="41"/>
      <c r="BG516" s="37"/>
      <c r="BH516" s="37"/>
      <c r="BI516" s="37"/>
      <c r="BJ516" s="41"/>
    </row>
    <row r="517" spans="2:62" ht="25.15" customHeight="1" x14ac:dyDescent="0.25">
      <c r="B517" s="49">
        <v>512</v>
      </c>
      <c r="C517" s="37"/>
      <c r="D517" s="87" t="str">
        <f>IF(tbl_Assessment[[#This Row],[Ben Code]]&lt;&gt;"",INDEX(tbl_Ben_Info[],MATCH(tbl_Assessment[[#This Row],[Ben Code]],tbl_Ben_Info[Ben Code],0),48),"")</f>
        <v/>
      </c>
      <c r="E517" s="116" t="str">
        <f>IF(tbl_Assessment[[#This Row],[Ben Code]]&lt;&gt;"",INDEX(tbl_Ben_Info[],MATCH(tbl_Assessment[[#This Row],[Ben Code]],tbl_Ben_Info[Ben Code],0),6),"")</f>
        <v/>
      </c>
      <c r="F517" s="113" t="str">
        <f>IF(tbl_Assessment[[#This Row],[Ben Code]]&lt;&gt;"",INDEX(tbl_Ben_Info[],MATCH(tbl_Assessment[[#This Row],[Ben Code]],tbl_Ben_Info[Ben Code],0),13),"")</f>
        <v/>
      </c>
      <c r="G517" s="49"/>
      <c r="H517" s="37"/>
      <c r="I517" s="37"/>
      <c r="J517" s="37"/>
      <c r="K517" s="37"/>
      <c r="L517" s="37"/>
      <c r="M517" s="59"/>
      <c r="N517" s="37"/>
      <c r="O517" s="37"/>
      <c r="P517" s="37"/>
      <c r="Q517" s="59"/>
      <c r="R517" s="49"/>
      <c r="S517" s="37"/>
      <c r="T517" s="37"/>
      <c r="U517" s="37"/>
      <c r="V517" s="37"/>
      <c r="W517" s="96" t="str">
        <f>tbl_Assessment[[#This Row],[Ben Code]] &amp; "-"&amp;tbl_Assessment[[#This Row],[admin4Pcode]]&amp;"-" &amp; TEXT(COUNTIF(INDEX(tbl_Assessment[Ben Code],1):tbl_Assessment[[#This Row],[Ben Code]], tbl_Assessment[[#This Row],[Ben Code]]), "00")</f>
        <v>--00</v>
      </c>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49"/>
      <c r="AU517" s="41"/>
      <c r="AV517" s="37"/>
      <c r="AW517" s="37"/>
      <c r="AX517" s="37"/>
      <c r="AY517" s="37"/>
      <c r="AZ517" s="37"/>
      <c r="BA517" s="37"/>
      <c r="BB517" s="41"/>
      <c r="BC517" s="37"/>
      <c r="BD517" s="37"/>
      <c r="BE517" s="37"/>
      <c r="BF517" s="41"/>
      <c r="BG517" s="37"/>
      <c r="BH517" s="37"/>
      <c r="BI517" s="37"/>
      <c r="BJ517" s="41"/>
    </row>
    <row r="518" spans="2:62" ht="25.15" customHeight="1" x14ac:dyDescent="0.25">
      <c r="B518" s="49">
        <v>513</v>
      </c>
      <c r="C518" s="37"/>
      <c r="D518" s="87" t="str">
        <f>IF(tbl_Assessment[[#This Row],[Ben Code]]&lt;&gt;"",INDEX(tbl_Ben_Info[],MATCH(tbl_Assessment[[#This Row],[Ben Code]],tbl_Ben_Info[Ben Code],0),48),"")</f>
        <v/>
      </c>
      <c r="E518" s="116" t="str">
        <f>IF(tbl_Assessment[[#This Row],[Ben Code]]&lt;&gt;"",INDEX(tbl_Ben_Info[],MATCH(tbl_Assessment[[#This Row],[Ben Code]],tbl_Ben_Info[Ben Code],0),6),"")</f>
        <v/>
      </c>
      <c r="F518" s="113" t="str">
        <f>IF(tbl_Assessment[[#This Row],[Ben Code]]&lt;&gt;"",INDEX(tbl_Ben_Info[],MATCH(tbl_Assessment[[#This Row],[Ben Code]],tbl_Ben_Info[Ben Code],0),13),"")</f>
        <v/>
      </c>
      <c r="G518" s="49"/>
      <c r="H518" s="37"/>
      <c r="I518" s="37"/>
      <c r="J518" s="37"/>
      <c r="K518" s="37"/>
      <c r="L518" s="37"/>
      <c r="M518" s="59"/>
      <c r="N518" s="37"/>
      <c r="O518" s="37"/>
      <c r="P518" s="37"/>
      <c r="Q518" s="59"/>
      <c r="R518" s="49"/>
      <c r="S518" s="37"/>
      <c r="T518" s="37"/>
      <c r="U518" s="37"/>
      <c r="V518" s="37"/>
      <c r="W518" s="96" t="str">
        <f>tbl_Assessment[[#This Row],[Ben Code]] &amp; "-"&amp;tbl_Assessment[[#This Row],[admin4Pcode]]&amp;"-" &amp; TEXT(COUNTIF(INDEX(tbl_Assessment[Ben Code],1):tbl_Assessment[[#This Row],[Ben Code]], tbl_Assessment[[#This Row],[Ben Code]]), "00")</f>
        <v>--00</v>
      </c>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49"/>
      <c r="AU518" s="41"/>
      <c r="AV518" s="37"/>
      <c r="AW518" s="37"/>
      <c r="AX518" s="37"/>
      <c r="AY518" s="37"/>
      <c r="AZ518" s="37"/>
      <c r="BA518" s="37"/>
      <c r="BB518" s="41"/>
      <c r="BC518" s="37"/>
      <c r="BD518" s="37"/>
      <c r="BE518" s="37"/>
      <c r="BF518" s="41"/>
      <c r="BG518" s="37"/>
      <c r="BH518" s="37"/>
      <c r="BI518" s="37"/>
      <c r="BJ518" s="41"/>
    </row>
    <row r="519" spans="2:62" ht="25.15" customHeight="1" x14ac:dyDescent="0.25">
      <c r="B519" s="49">
        <v>514</v>
      </c>
      <c r="C519" s="37"/>
      <c r="D519" s="87" t="str">
        <f>IF(tbl_Assessment[[#This Row],[Ben Code]]&lt;&gt;"",INDEX(tbl_Ben_Info[],MATCH(tbl_Assessment[[#This Row],[Ben Code]],tbl_Ben_Info[Ben Code],0),48),"")</f>
        <v/>
      </c>
      <c r="E519" s="116" t="str">
        <f>IF(tbl_Assessment[[#This Row],[Ben Code]]&lt;&gt;"",INDEX(tbl_Ben_Info[],MATCH(tbl_Assessment[[#This Row],[Ben Code]],tbl_Ben_Info[Ben Code],0),6),"")</f>
        <v/>
      </c>
      <c r="F519" s="113" t="str">
        <f>IF(tbl_Assessment[[#This Row],[Ben Code]]&lt;&gt;"",INDEX(tbl_Ben_Info[],MATCH(tbl_Assessment[[#This Row],[Ben Code]],tbl_Ben_Info[Ben Code],0),13),"")</f>
        <v/>
      </c>
      <c r="G519" s="49"/>
      <c r="H519" s="37"/>
      <c r="I519" s="37"/>
      <c r="J519" s="37"/>
      <c r="K519" s="37"/>
      <c r="L519" s="37"/>
      <c r="M519" s="59"/>
      <c r="N519" s="37"/>
      <c r="O519" s="37"/>
      <c r="P519" s="37"/>
      <c r="Q519" s="59"/>
      <c r="R519" s="49"/>
      <c r="S519" s="37"/>
      <c r="T519" s="37"/>
      <c r="U519" s="37"/>
      <c r="V519" s="37"/>
      <c r="W519" s="96" t="str">
        <f>tbl_Assessment[[#This Row],[Ben Code]] &amp; "-"&amp;tbl_Assessment[[#This Row],[admin4Pcode]]&amp;"-" &amp; TEXT(COUNTIF(INDEX(tbl_Assessment[Ben Code],1):tbl_Assessment[[#This Row],[Ben Code]], tbl_Assessment[[#This Row],[Ben Code]]), "00")</f>
        <v>--00</v>
      </c>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49"/>
      <c r="AU519" s="41"/>
      <c r="AV519" s="37"/>
      <c r="AW519" s="37"/>
      <c r="AX519" s="37"/>
      <c r="AY519" s="37"/>
      <c r="AZ519" s="37"/>
      <c r="BA519" s="37"/>
      <c r="BB519" s="41"/>
      <c r="BC519" s="37"/>
      <c r="BD519" s="37"/>
      <c r="BE519" s="37"/>
      <c r="BF519" s="41"/>
      <c r="BG519" s="37"/>
      <c r="BH519" s="37"/>
      <c r="BI519" s="37"/>
      <c r="BJ519" s="41"/>
    </row>
    <row r="520" spans="2:62" ht="25.15" customHeight="1" x14ac:dyDescent="0.25">
      <c r="B520" s="49">
        <v>515</v>
      </c>
      <c r="C520" s="37"/>
      <c r="D520" s="87" t="str">
        <f>IF(tbl_Assessment[[#This Row],[Ben Code]]&lt;&gt;"",INDEX(tbl_Ben_Info[],MATCH(tbl_Assessment[[#This Row],[Ben Code]],tbl_Ben_Info[Ben Code],0),48),"")</f>
        <v/>
      </c>
      <c r="E520" s="116" t="str">
        <f>IF(tbl_Assessment[[#This Row],[Ben Code]]&lt;&gt;"",INDEX(tbl_Ben_Info[],MATCH(tbl_Assessment[[#This Row],[Ben Code]],tbl_Ben_Info[Ben Code],0),6),"")</f>
        <v/>
      </c>
      <c r="F520" s="113" t="str">
        <f>IF(tbl_Assessment[[#This Row],[Ben Code]]&lt;&gt;"",INDEX(tbl_Ben_Info[],MATCH(tbl_Assessment[[#This Row],[Ben Code]],tbl_Ben_Info[Ben Code],0),13),"")</f>
        <v/>
      </c>
      <c r="G520" s="49"/>
      <c r="H520" s="37"/>
      <c r="I520" s="37"/>
      <c r="J520" s="37"/>
      <c r="K520" s="37"/>
      <c r="L520" s="37"/>
      <c r="M520" s="59"/>
      <c r="N520" s="37"/>
      <c r="O520" s="37"/>
      <c r="P520" s="37"/>
      <c r="Q520" s="59"/>
      <c r="R520" s="49"/>
      <c r="S520" s="37"/>
      <c r="T520" s="37"/>
      <c r="U520" s="37"/>
      <c r="V520" s="37"/>
      <c r="W520" s="96" t="str">
        <f>tbl_Assessment[[#This Row],[Ben Code]] &amp; "-"&amp;tbl_Assessment[[#This Row],[admin4Pcode]]&amp;"-" &amp; TEXT(COUNTIF(INDEX(tbl_Assessment[Ben Code],1):tbl_Assessment[[#This Row],[Ben Code]], tbl_Assessment[[#This Row],[Ben Code]]), "00")</f>
        <v>--00</v>
      </c>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49"/>
      <c r="AU520" s="41"/>
      <c r="AV520" s="37"/>
      <c r="AW520" s="37"/>
      <c r="AX520" s="37"/>
      <c r="AY520" s="37"/>
      <c r="AZ520" s="37"/>
      <c r="BA520" s="37"/>
      <c r="BB520" s="41"/>
      <c r="BC520" s="37"/>
      <c r="BD520" s="37"/>
      <c r="BE520" s="37"/>
      <c r="BF520" s="41"/>
      <c r="BG520" s="37"/>
      <c r="BH520" s="37"/>
      <c r="BI520" s="37"/>
      <c r="BJ520" s="41"/>
    </row>
    <row r="521" spans="2:62" ht="25.15" customHeight="1" x14ac:dyDescent="0.25">
      <c r="B521" s="49">
        <v>516</v>
      </c>
      <c r="C521" s="37"/>
      <c r="D521" s="87" t="str">
        <f>IF(tbl_Assessment[[#This Row],[Ben Code]]&lt;&gt;"",INDEX(tbl_Ben_Info[],MATCH(tbl_Assessment[[#This Row],[Ben Code]],tbl_Ben_Info[Ben Code],0),48),"")</f>
        <v/>
      </c>
      <c r="E521" s="116" t="str">
        <f>IF(tbl_Assessment[[#This Row],[Ben Code]]&lt;&gt;"",INDEX(tbl_Ben_Info[],MATCH(tbl_Assessment[[#This Row],[Ben Code]],tbl_Ben_Info[Ben Code],0),6),"")</f>
        <v/>
      </c>
      <c r="F521" s="113" t="str">
        <f>IF(tbl_Assessment[[#This Row],[Ben Code]]&lt;&gt;"",INDEX(tbl_Ben_Info[],MATCH(tbl_Assessment[[#This Row],[Ben Code]],tbl_Ben_Info[Ben Code],0),13),"")</f>
        <v/>
      </c>
      <c r="G521" s="49"/>
      <c r="H521" s="37"/>
      <c r="I521" s="37"/>
      <c r="J521" s="37"/>
      <c r="K521" s="37"/>
      <c r="L521" s="37"/>
      <c r="M521" s="59"/>
      <c r="N521" s="37"/>
      <c r="O521" s="37"/>
      <c r="P521" s="37"/>
      <c r="Q521" s="59"/>
      <c r="R521" s="49"/>
      <c r="S521" s="37"/>
      <c r="T521" s="37"/>
      <c r="U521" s="37"/>
      <c r="V521" s="37"/>
      <c r="W521" s="96" t="str">
        <f>tbl_Assessment[[#This Row],[Ben Code]] &amp; "-"&amp;tbl_Assessment[[#This Row],[admin4Pcode]]&amp;"-" &amp; TEXT(COUNTIF(INDEX(tbl_Assessment[Ben Code],1):tbl_Assessment[[#This Row],[Ben Code]], tbl_Assessment[[#This Row],[Ben Code]]), "00")</f>
        <v>--00</v>
      </c>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49"/>
      <c r="AU521" s="41"/>
      <c r="AV521" s="37"/>
      <c r="AW521" s="37"/>
      <c r="AX521" s="37"/>
      <c r="AY521" s="37"/>
      <c r="AZ521" s="37"/>
      <c r="BA521" s="37"/>
      <c r="BB521" s="41"/>
      <c r="BC521" s="37"/>
      <c r="BD521" s="37"/>
      <c r="BE521" s="37"/>
      <c r="BF521" s="41"/>
      <c r="BG521" s="37"/>
      <c r="BH521" s="37"/>
      <c r="BI521" s="37"/>
      <c r="BJ521" s="41"/>
    </row>
    <row r="522" spans="2:62" ht="25.15" customHeight="1" x14ac:dyDescent="0.25">
      <c r="B522" s="49">
        <v>517</v>
      </c>
      <c r="C522" s="37"/>
      <c r="D522" s="87" t="str">
        <f>IF(tbl_Assessment[[#This Row],[Ben Code]]&lt;&gt;"",INDEX(tbl_Ben_Info[],MATCH(tbl_Assessment[[#This Row],[Ben Code]],tbl_Ben_Info[Ben Code],0),48),"")</f>
        <v/>
      </c>
      <c r="E522" s="116" t="str">
        <f>IF(tbl_Assessment[[#This Row],[Ben Code]]&lt;&gt;"",INDEX(tbl_Ben_Info[],MATCH(tbl_Assessment[[#This Row],[Ben Code]],tbl_Ben_Info[Ben Code],0),6),"")</f>
        <v/>
      </c>
      <c r="F522" s="113" t="str">
        <f>IF(tbl_Assessment[[#This Row],[Ben Code]]&lt;&gt;"",INDEX(tbl_Ben_Info[],MATCH(tbl_Assessment[[#This Row],[Ben Code]],tbl_Ben_Info[Ben Code],0),13),"")</f>
        <v/>
      </c>
      <c r="G522" s="49"/>
      <c r="H522" s="37"/>
      <c r="I522" s="37"/>
      <c r="J522" s="37"/>
      <c r="K522" s="37"/>
      <c r="L522" s="37"/>
      <c r="M522" s="59"/>
      <c r="N522" s="37"/>
      <c r="O522" s="37"/>
      <c r="P522" s="37"/>
      <c r="Q522" s="59"/>
      <c r="R522" s="49"/>
      <c r="S522" s="37"/>
      <c r="T522" s="37"/>
      <c r="U522" s="37"/>
      <c r="V522" s="37"/>
      <c r="W522" s="96" t="str">
        <f>tbl_Assessment[[#This Row],[Ben Code]] &amp; "-"&amp;tbl_Assessment[[#This Row],[admin4Pcode]]&amp;"-" &amp; TEXT(COUNTIF(INDEX(tbl_Assessment[Ben Code],1):tbl_Assessment[[#This Row],[Ben Code]], tbl_Assessment[[#This Row],[Ben Code]]), "00")</f>
        <v>--00</v>
      </c>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49"/>
      <c r="AU522" s="41"/>
      <c r="AV522" s="37"/>
      <c r="AW522" s="37"/>
      <c r="AX522" s="37"/>
      <c r="AY522" s="37"/>
      <c r="AZ522" s="37"/>
      <c r="BA522" s="37"/>
      <c r="BB522" s="41"/>
      <c r="BC522" s="37"/>
      <c r="BD522" s="37"/>
      <c r="BE522" s="37"/>
      <c r="BF522" s="41"/>
      <c r="BG522" s="37"/>
      <c r="BH522" s="37"/>
      <c r="BI522" s="37"/>
      <c r="BJ522" s="41"/>
    </row>
    <row r="523" spans="2:62" ht="25.15" customHeight="1" x14ac:dyDescent="0.25">
      <c r="B523" s="49">
        <v>518</v>
      </c>
      <c r="C523" s="37"/>
      <c r="D523" s="87" t="str">
        <f>IF(tbl_Assessment[[#This Row],[Ben Code]]&lt;&gt;"",INDEX(tbl_Ben_Info[],MATCH(tbl_Assessment[[#This Row],[Ben Code]],tbl_Ben_Info[Ben Code],0),48),"")</f>
        <v/>
      </c>
      <c r="E523" s="116" t="str">
        <f>IF(tbl_Assessment[[#This Row],[Ben Code]]&lt;&gt;"",INDEX(tbl_Ben_Info[],MATCH(tbl_Assessment[[#This Row],[Ben Code]],tbl_Ben_Info[Ben Code],0),6),"")</f>
        <v/>
      </c>
      <c r="F523" s="113" t="str">
        <f>IF(tbl_Assessment[[#This Row],[Ben Code]]&lt;&gt;"",INDEX(tbl_Ben_Info[],MATCH(tbl_Assessment[[#This Row],[Ben Code]],tbl_Ben_Info[Ben Code],0),13),"")</f>
        <v/>
      </c>
      <c r="G523" s="49"/>
      <c r="H523" s="37"/>
      <c r="I523" s="37"/>
      <c r="J523" s="37"/>
      <c r="K523" s="37"/>
      <c r="L523" s="37"/>
      <c r="M523" s="59"/>
      <c r="N523" s="37"/>
      <c r="O523" s="37"/>
      <c r="P523" s="37"/>
      <c r="Q523" s="59"/>
      <c r="R523" s="49"/>
      <c r="S523" s="37"/>
      <c r="T523" s="37"/>
      <c r="U523" s="37"/>
      <c r="V523" s="37"/>
      <c r="W523" s="96" t="str">
        <f>tbl_Assessment[[#This Row],[Ben Code]] &amp; "-"&amp;tbl_Assessment[[#This Row],[admin4Pcode]]&amp;"-" &amp; TEXT(COUNTIF(INDEX(tbl_Assessment[Ben Code],1):tbl_Assessment[[#This Row],[Ben Code]], tbl_Assessment[[#This Row],[Ben Code]]), "00")</f>
        <v>--00</v>
      </c>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49"/>
      <c r="AU523" s="41"/>
      <c r="AV523" s="37"/>
      <c r="AW523" s="37"/>
      <c r="AX523" s="37"/>
      <c r="AY523" s="37"/>
      <c r="AZ523" s="37"/>
      <c r="BA523" s="37"/>
      <c r="BB523" s="41"/>
      <c r="BC523" s="37"/>
      <c r="BD523" s="37"/>
      <c r="BE523" s="37"/>
      <c r="BF523" s="41"/>
      <c r="BG523" s="37"/>
      <c r="BH523" s="37"/>
      <c r="BI523" s="37"/>
      <c r="BJ523" s="41"/>
    </row>
    <row r="524" spans="2:62" ht="25.15" customHeight="1" x14ac:dyDescent="0.25">
      <c r="B524" s="49">
        <v>519</v>
      </c>
      <c r="C524" s="37"/>
      <c r="D524" s="87" t="str">
        <f>IF(tbl_Assessment[[#This Row],[Ben Code]]&lt;&gt;"",INDEX(tbl_Ben_Info[],MATCH(tbl_Assessment[[#This Row],[Ben Code]],tbl_Ben_Info[Ben Code],0),48),"")</f>
        <v/>
      </c>
      <c r="E524" s="116" t="str">
        <f>IF(tbl_Assessment[[#This Row],[Ben Code]]&lt;&gt;"",INDEX(tbl_Ben_Info[],MATCH(tbl_Assessment[[#This Row],[Ben Code]],tbl_Ben_Info[Ben Code],0),6),"")</f>
        <v/>
      </c>
      <c r="F524" s="113" t="str">
        <f>IF(tbl_Assessment[[#This Row],[Ben Code]]&lt;&gt;"",INDEX(tbl_Ben_Info[],MATCH(tbl_Assessment[[#This Row],[Ben Code]],tbl_Ben_Info[Ben Code],0),13),"")</f>
        <v/>
      </c>
      <c r="G524" s="49"/>
      <c r="H524" s="37"/>
      <c r="I524" s="37"/>
      <c r="J524" s="37"/>
      <c r="K524" s="37"/>
      <c r="L524" s="37"/>
      <c r="M524" s="59"/>
      <c r="N524" s="37"/>
      <c r="O524" s="37"/>
      <c r="P524" s="37"/>
      <c r="Q524" s="59"/>
      <c r="R524" s="49"/>
      <c r="S524" s="37"/>
      <c r="T524" s="37"/>
      <c r="U524" s="37"/>
      <c r="V524" s="37"/>
      <c r="W524" s="96" t="str">
        <f>tbl_Assessment[[#This Row],[Ben Code]] &amp; "-"&amp;tbl_Assessment[[#This Row],[admin4Pcode]]&amp;"-" &amp; TEXT(COUNTIF(INDEX(tbl_Assessment[Ben Code],1):tbl_Assessment[[#This Row],[Ben Code]], tbl_Assessment[[#This Row],[Ben Code]]), "00")</f>
        <v>--00</v>
      </c>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49"/>
      <c r="AU524" s="41"/>
      <c r="AV524" s="37"/>
      <c r="AW524" s="37"/>
      <c r="AX524" s="37"/>
      <c r="AY524" s="37"/>
      <c r="AZ524" s="37"/>
      <c r="BA524" s="37"/>
      <c r="BB524" s="41"/>
      <c r="BC524" s="37"/>
      <c r="BD524" s="37"/>
      <c r="BE524" s="37"/>
      <c r="BF524" s="41"/>
      <c r="BG524" s="37"/>
      <c r="BH524" s="37"/>
      <c r="BI524" s="37"/>
      <c r="BJ524" s="41"/>
    </row>
    <row r="525" spans="2:62" ht="25.15" customHeight="1" x14ac:dyDescent="0.25">
      <c r="B525" s="49">
        <v>520</v>
      </c>
      <c r="C525" s="37"/>
      <c r="D525" s="87" t="str">
        <f>IF(tbl_Assessment[[#This Row],[Ben Code]]&lt;&gt;"",INDEX(tbl_Ben_Info[],MATCH(tbl_Assessment[[#This Row],[Ben Code]],tbl_Ben_Info[Ben Code],0),48),"")</f>
        <v/>
      </c>
      <c r="E525" s="116" t="str">
        <f>IF(tbl_Assessment[[#This Row],[Ben Code]]&lt;&gt;"",INDEX(tbl_Ben_Info[],MATCH(tbl_Assessment[[#This Row],[Ben Code]],tbl_Ben_Info[Ben Code],0),6),"")</f>
        <v/>
      </c>
      <c r="F525" s="113" t="str">
        <f>IF(tbl_Assessment[[#This Row],[Ben Code]]&lt;&gt;"",INDEX(tbl_Ben_Info[],MATCH(tbl_Assessment[[#This Row],[Ben Code]],tbl_Ben_Info[Ben Code],0),13),"")</f>
        <v/>
      </c>
      <c r="G525" s="49"/>
      <c r="H525" s="37"/>
      <c r="I525" s="37"/>
      <c r="J525" s="37"/>
      <c r="K525" s="37"/>
      <c r="L525" s="37"/>
      <c r="M525" s="59"/>
      <c r="N525" s="37"/>
      <c r="O525" s="37"/>
      <c r="P525" s="37"/>
      <c r="Q525" s="59"/>
      <c r="R525" s="49"/>
      <c r="S525" s="37"/>
      <c r="T525" s="37"/>
      <c r="U525" s="37"/>
      <c r="V525" s="37"/>
      <c r="W525" s="96" t="str">
        <f>tbl_Assessment[[#This Row],[Ben Code]] &amp; "-"&amp;tbl_Assessment[[#This Row],[admin4Pcode]]&amp;"-" &amp; TEXT(COUNTIF(INDEX(tbl_Assessment[Ben Code],1):tbl_Assessment[[#This Row],[Ben Code]], tbl_Assessment[[#This Row],[Ben Code]]), "00")</f>
        <v>--00</v>
      </c>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49"/>
      <c r="AU525" s="41"/>
      <c r="AV525" s="37"/>
      <c r="AW525" s="37"/>
      <c r="AX525" s="37"/>
      <c r="AY525" s="37"/>
      <c r="AZ525" s="37"/>
      <c r="BA525" s="37"/>
      <c r="BB525" s="41"/>
      <c r="BC525" s="37"/>
      <c r="BD525" s="37"/>
      <c r="BE525" s="37"/>
      <c r="BF525" s="41"/>
      <c r="BG525" s="37"/>
      <c r="BH525" s="37"/>
      <c r="BI525" s="37"/>
      <c r="BJ525" s="41"/>
    </row>
    <row r="526" spans="2:62" ht="25.15" customHeight="1" x14ac:dyDescent="0.25">
      <c r="B526" s="49">
        <v>521</v>
      </c>
      <c r="C526" s="37"/>
      <c r="D526" s="87" t="str">
        <f>IF(tbl_Assessment[[#This Row],[Ben Code]]&lt;&gt;"",INDEX(tbl_Ben_Info[],MATCH(tbl_Assessment[[#This Row],[Ben Code]],tbl_Ben_Info[Ben Code],0),48),"")</f>
        <v/>
      </c>
      <c r="E526" s="116" t="str">
        <f>IF(tbl_Assessment[[#This Row],[Ben Code]]&lt;&gt;"",INDEX(tbl_Ben_Info[],MATCH(tbl_Assessment[[#This Row],[Ben Code]],tbl_Ben_Info[Ben Code],0),6),"")</f>
        <v/>
      </c>
      <c r="F526" s="113" t="str">
        <f>IF(tbl_Assessment[[#This Row],[Ben Code]]&lt;&gt;"",INDEX(tbl_Ben_Info[],MATCH(tbl_Assessment[[#This Row],[Ben Code]],tbl_Ben_Info[Ben Code],0),13),"")</f>
        <v/>
      </c>
      <c r="G526" s="49"/>
      <c r="H526" s="37"/>
      <c r="I526" s="37"/>
      <c r="J526" s="37"/>
      <c r="K526" s="37"/>
      <c r="L526" s="37"/>
      <c r="M526" s="59"/>
      <c r="N526" s="37"/>
      <c r="O526" s="37"/>
      <c r="P526" s="37"/>
      <c r="Q526" s="59"/>
      <c r="R526" s="49"/>
      <c r="S526" s="37"/>
      <c r="T526" s="37"/>
      <c r="U526" s="37"/>
      <c r="V526" s="37"/>
      <c r="W526" s="96" t="str">
        <f>tbl_Assessment[[#This Row],[Ben Code]] &amp; "-"&amp;tbl_Assessment[[#This Row],[admin4Pcode]]&amp;"-" &amp; TEXT(COUNTIF(INDEX(tbl_Assessment[Ben Code],1):tbl_Assessment[[#This Row],[Ben Code]], tbl_Assessment[[#This Row],[Ben Code]]), "00")</f>
        <v>--00</v>
      </c>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49"/>
      <c r="AU526" s="41"/>
      <c r="AV526" s="37"/>
      <c r="AW526" s="37"/>
      <c r="AX526" s="37"/>
      <c r="AY526" s="37"/>
      <c r="AZ526" s="37"/>
      <c r="BA526" s="37"/>
      <c r="BB526" s="41"/>
      <c r="BC526" s="37"/>
      <c r="BD526" s="37"/>
      <c r="BE526" s="37"/>
      <c r="BF526" s="41"/>
      <c r="BG526" s="37"/>
      <c r="BH526" s="37"/>
      <c r="BI526" s="37"/>
      <c r="BJ526" s="41"/>
    </row>
    <row r="527" spans="2:62" ht="25.15" customHeight="1" x14ac:dyDescent="0.25">
      <c r="B527" s="49">
        <v>522</v>
      </c>
      <c r="C527" s="37"/>
      <c r="D527" s="87" t="str">
        <f>IF(tbl_Assessment[[#This Row],[Ben Code]]&lt;&gt;"",INDEX(tbl_Ben_Info[],MATCH(tbl_Assessment[[#This Row],[Ben Code]],tbl_Ben_Info[Ben Code],0),48),"")</f>
        <v/>
      </c>
      <c r="E527" s="116" t="str">
        <f>IF(tbl_Assessment[[#This Row],[Ben Code]]&lt;&gt;"",INDEX(tbl_Ben_Info[],MATCH(tbl_Assessment[[#This Row],[Ben Code]],tbl_Ben_Info[Ben Code],0),6),"")</f>
        <v/>
      </c>
      <c r="F527" s="113" t="str">
        <f>IF(tbl_Assessment[[#This Row],[Ben Code]]&lt;&gt;"",INDEX(tbl_Ben_Info[],MATCH(tbl_Assessment[[#This Row],[Ben Code]],tbl_Ben_Info[Ben Code],0),13),"")</f>
        <v/>
      </c>
      <c r="G527" s="49"/>
      <c r="H527" s="37"/>
      <c r="I527" s="37"/>
      <c r="J527" s="37"/>
      <c r="K527" s="37"/>
      <c r="L527" s="37"/>
      <c r="M527" s="59"/>
      <c r="N527" s="37"/>
      <c r="O527" s="37"/>
      <c r="P527" s="37"/>
      <c r="Q527" s="59"/>
      <c r="R527" s="49"/>
      <c r="S527" s="37"/>
      <c r="T527" s="37"/>
      <c r="U527" s="37"/>
      <c r="V527" s="37"/>
      <c r="W527" s="96" t="str">
        <f>tbl_Assessment[[#This Row],[Ben Code]] &amp; "-"&amp;tbl_Assessment[[#This Row],[admin4Pcode]]&amp;"-" &amp; TEXT(COUNTIF(INDEX(tbl_Assessment[Ben Code],1):tbl_Assessment[[#This Row],[Ben Code]], tbl_Assessment[[#This Row],[Ben Code]]), "00")</f>
        <v>--00</v>
      </c>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49"/>
      <c r="AU527" s="41"/>
      <c r="AV527" s="37"/>
      <c r="AW527" s="37"/>
      <c r="AX527" s="37"/>
      <c r="AY527" s="37"/>
      <c r="AZ527" s="37"/>
      <c r="BA527" s="37"/>
      <c r="BB527" s="41"/>
      <c r="BC527" s="37"/>
      <c r="BD527" s="37"/>
      <c r="BE527" s="37"/>
      <c r="BF527" s="41"/>
      <c r="BG527" s="37"/>
      <c r="BH527" s="37"/>
      <c r="BI527" s="37"/>
      <c r="BJ527" s="41"/>
    </row>
    <row r="528" spans="2:62" ht="25.15" customHeight="1" x14ac:dyDescent="0.25">
      <c r="B528" s="49">
        <v>523</v>
      </c>
      <c r="C528" s="37"/>
      <c r="D528" s="87" t="str">
        <f>IF(tbl_Assessment[[#This Row],[Ben Code]]&lt;&gt;"",INDEX(tbl_Ben_Info[],MATCH(tbl_Assessment[[#This Row],[Ben Code]],tbl_Ben_Info[Ben Code],0),48),"")</f>
        <v/>
      </c>
      <c r="E528" s="116" t="str">
        <f>IF(tbl_Assessment[[#This Row],[Ben Code]]&lt;&gt;"",INDEX(tbl_Ben_Info[],MATCH(tbl_Assessment[[#This Row],[Ben Code]],tbl_Ben_Info[Ben Code],0),6),"")</f>
        <v/>
      </c>
      <c r="F528" s="113" t="str">
        <f>IF(tbl_Assessment[[#This Row],[Ben Code]]&lt;&gt;"",INDEX(tbl_Ben_Info[],MATCH(tbl_Assessment[[#This Row],[Ben Code]],tbl_Ben_Info[Ben Code],0),13),"")</f>
        <v/>
      </c>
      <c r="G528" s="49"/>
      <c r="H528" s="37"/>
      <c r="I528" s="37"/>
      <c r="J528" s="37"/>
      <c r="K528" s="37"/>
      <c r="L528" s="37"/>
      <c r="M528" s="59"/>
      <c r="N528" s="37"/>
      <c r="O528" s="37"/>
      <c r="P528" s="37"/>
      <c r="Q528" s="59"/>
      <c r="R528" s="49"/>
      <c r="S528" s="37"/>
      <c r="T528" s="37"/>
      <c r="U528" s="37"/>
      <c r="V528" s="37"/>
      <c r="W528" s="96" t="str">
        <f>tbl_Assessment[[#This Row],[Ben Code]] &amp; "-"&amp;tbl_Assessment[[#This Row],[admin4Pcode]]&amp;"-" &amp; TEXT(COUNTIF(INDEX(tbl_Assessment[Ben Code],1):tbl_Assessment[[#This Row],[Ben Code]], tbl_Assessment[[#This Row],[Ben Code]]), "00")</f>
        <v>--00</v>
      </c>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49"/>
      <c r="AU528" s="41"/>
      <c r="AV528" s="37"/>
      <c r="AW528" s="37"/>
      <c r="AX528" s="37"/>
      <c r="AY528" s="37"/>
      <c r="AZ528" s="37"/>
      <c r="BA528" s="37"/>
      <c r="BB528" s="41"/>
      <c r="BC528" s="37"/>
      <c r="BD528" s="37"/>
      <c r="BE528" s="37"/>
      <c r="BF528" s="41"/>
      <c r="BG528" s="37"/>
      <c r="BH528" s="37"/>
      <c r="BI528" s="37"/>
      <c r="BJ528" s="41"/>
    </row>
    <row r="529" spans="2:62" ht="25.15" customHeight="1" x14ac:dyDescent="0.25">
      <c r="B529" s="49">
        <v>524</v>
      </c>
      <c r="C529" s="37"/>
      <c r="D529" s="87" t="str">
        <f>IF(tbl_Assessment[[#This Row],[Ben Code]]&lt;&gt;"",INDEX(tbl_Ben_Info[],MATCH(tbl_Assessment[[#This Row],[Ben Code]],tbl_Ben_Info[Ben Code],0),48),"")</f>
        <v/>
      </c>
      <c r="E529" s="116" t="str">
        <f>IF(tbl_Assessment[[#This Row],[Ben Code]]&lt;&gt;"",INDEX(tbl_Ben_Info[],MATCH(tbl_Assessment[[#This Row],[Ben Code]],tbl_Ben_Info[Ben Code],0),6),"")</f>
        <v/>
      </c>
      <c r="F529" s="113" t="str">
        <f>IF(tbl_Assessment[[#This Row],[Ben Code]]&lt;&gt;"",INDEX(tbl_Ben_Info[],MATCH(tbl_Assessment[[#This Row],[Ben Code]],tbl_Ben_Info[Ben Code],0),13),"")</f>
        <v/>
      </c>
      <c r="G529" s="49"/>
      <c r="H529" s="37"/>
      <c r="I529" s="37"/>
      <c r="J529" s="37"/>
      <c r="K529" s="37"/>
      <c r="L529" s="37"/>
      <c r="M529" s="59"/>
      <c r="N529" s="37"/>
      <c r="O529" s="37"/>
      <c r="P529" s="37"/>
      <c r="Q529" s="59"/>
      <c r="R529" s="49"/>
      <c r="S529" s="37"/>
      <c r="T529" s="37"/>
      <c r="U529" s="37"/>
      <c r="V529" s="37"/>
      <c r="W529" s="96" t="str">
        <f>tbl_Assessment[[#This Row],[Ben Code]] &amp; "-"&amp;tbl_Assessment[[#This Row],[admin4Pcode]]&amp;"-" &amp; TEXT(COUNTIF(INDEX(tbl_Assessment[Ben Code],1):tbl_Assessment[[#This Row],[Ben Code]], tbl_Assessment[[#This Row],[Ben Code]]), "00")</f>
        <v>--00</v>
      </c>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49"/>
      <c r="AU529" s="41"/>
      <c r="AV529" s="37"/>
      <c r="AW529" s="37"/>
      <c r="AX529" s="37"/>
      <c r="AY529" s="37"/>
      <c r="AZ529" s="37"/>
      <c r="BA529" s="37"/>
      <c r="BB529" s="41"/>
      <c r="BC529" s="37"/>
      <c r="BD529" s="37"/>
      <c r="BE529" s="37"/>
      <c r="BF529" s="41"/>
      <c r="BG529" s="37"/>
      <c r="BH529" s="37"/>
      <c r="BI529" s="37"/>
      <c r="BJ529" s="41"/>
    </row>
    <row r="530" spans="2:62" ht="25.15" customHeight="1" x14ac:dyDescent="0.25">
      <c r="B530" s="49">
        <v>525</v>
      </c>
      <c r="C530" s="37"/>
      <c r="D530" s="87" t="str">
        <f>IF(tbl_Assessment[[#This Row],[Ben Code]]&lt;&gt;"",INDEX(tbl_Ben_Info[],MATCH(tbl_Assessment[[#This Row],[Ben Code]],tbl_Ben_Info[Ben Code],0),48),"")</f>
        <v/>
      </c>
      <c r="E530" s="116" t="str">
        <f>IF(tbl_Assessment[[#This Row],[Ben Code]]&lt;&gt;"",INDEX(tbl_Ben_Info[],MATCH(tbl_Assessment[[#This Row],[Ben Code]],tbl_Ben_Info[Ben Code],0),6),"")</f>
        <v/>
      </c>
      <c r="F530" s="113" t="str">
        <f>IF(tbl_Assessment[[#This Row],[Ben Code]]&lt;&gt;"",INDEX(tbl_Ben_Info[],MATCH(tbl_Assessment[[#This Row],[Ben Code]],tbl_Ben_Info[Ben Code],0),13),"")</f>
        <v/>
      </c>
      <c r="G530" s="49"/>
      <c r="H530" s="37"/>
      <c r="I530" s="37"/>
      <c r="J530" s="37"/>
      <c r="K530" s="37"/>
      <c r="L530" s="37"/>
      <c r="M530" s="59"/>
      <c r="N530" s="37"/>
      <c r="O530" s="37"/>
      <c r="P530" s="37"/>
      <c r="Q530" s="59"/>
      <c r="R530" s="49"/>
      <c r="S530" s="37"/>
      <c r="T530" s="37"/>
      <c r="U530" s="37"/>
      <c r="V530" s="37"/>
      <c r="W530" s="96" t="str">
        <f>tbl_Assessment[[#This Row],[Ben Code]] &amp; "-"&amp;tbl_Assessment[[#This Row],[admin4Pcode]]&amp;"-" &amp; TEXT(COUNTIF(INDEX(tbl_Assessment[Ben Code],1):tbl_Assessment[[#This Row],[Ben Code]], tbl_Assessment[[#This Row],[Ben Code]]), "00")</f>
        <v>--00</v>
      </c>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49"/>
      <c r="AU530" s="41"/>
      <c r="AV530" s="37"/>
      <c r="AW530" s="37"/>
      <c r="AX530" s="37"/>
      <c r="AY530" s="37"/>
      <c r="AZ530" s="37"/>
      <c r="BA530" s="37"/>
      <c r="BB530" s="41"/>
      <c r="BC530" s="37"/>
      <c r="BD530" s="37"/>
      <c r="BE530" s="37"/>
      <c r="BF530" s="41"/>
      <c r="BG530" s="37"/>
      <c r="BH530" s="37"/>
      <c r="BI530" s="37"/>
      <c r="BJ530" s="41"/>
    </row>
    <row r="531" spans="2:62" ht="25.15" customHeight="1" x14ac:dyDescent="0.25">
      <c r="B531" s="49">
        <v>526</v>
      </c>
      <c r="C531" s="37"/>
      <c r="D531" s="87" t="str">
        <f>IF(tbl_Assessment[[#This Row],[Ben Code]]&lt;&gt;"",INDEX(tbl_Ben_Info[],MATCH(tbl_Assessment[[#This Row],[Ben Code]],tbl_Ben_Info[Ben Code],0),48),"")</f>
        <v/>
      </c>
      <c r="E531" s="116" t="str">
        <f>IF(tbl_Assessment[[#This Row],[Ben Code]]&lt;&gt;"",INDEX(tbl_Ben_Info[],MATCH(tbl_Assessment[[#This Row],[Ben Code]],tbl_Ben_Info[Ben Code],0),6),"")</f>
        <v/>
      </c>
      <c r="F531" s="113" t="str">
        <f>IF(tbl_Assessment[[#This Row],[Ben Code]]&lt;&gt;"",INDEX(tbl_Ben_Info[],MATCH(tbl_Assessment[[#This Row],[Ben Code]],tbl_Ben_Info[Ben Code],0),13),"")</f>
        <v/>
      </c>
      <c r="G531" s="49"/>
      <c r="H531" s="37"/>
      <c r="I531" s="37"/>
      <c r="J531" s="37"/>
      <c r="K531" s="37"/>
      <c r="L531" s="37"/>
      <c r="M531" s="59"/>
      <c r="N531" s="37"/>
      <c r="O531" s="37"/>
      <c r="P531" s="37"/>
      <c r="Q531" s="59"/>
      <c r="R531" s="49"/>
      <c r="S531" s="37"/>
      <c r="T531" s="37"/>
      <c r="U531" s="37"/>
      <c r="V531" s="37"/>
      <c r="W531" s="96" t="str">
        <f>tbl_Assessment[[#This Row],[Ben Code]] &amp; "-"&amp;tbl_Assessment[[#This Row],[admin4Pcode]]&amp;"-" &amp; TEXT(COUNTIF(INDEX(tbl_Assessment[Ben Code],1):tbl_Assessment[[#This Row],[Ben Code]], tbl_Assessment[[#This Row],[Ben Code]]), "00")</f>
        <v>--00</v>
      </c>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49"/>
      <c r="AU531" s="41"/>
      <c r="AV531" s="37"/>
      <c r="AW531" s="37"/>
      <c r="AX531" s="37"/>
      <c r="AY531" s="37"/>
      <c r="AZ531" s="37"/>
      <c r="BA531" s="37"/>
      <c r="BB531" s="41"/>
      <c r="BC531" s="37"/>
      <c r="BD531" s="37"/>
      <c r="BE531" s="37"/>
      <c r="BF531" s="41"/>
      <c r="BG531" s="37"/>
      <c r="BH531" s="37"/>
      <c r="BI531" s="37"/>
      <c r="BJ531" s="41"/>
    </row>
    <row r="532" spans="2:62" ht="25.15" customHeight="1" x14ac:dyDescent="0.25">
      <c r="B532" s="49">
        <v>527</v>
      </c>
      <c r="C532" s="37"/>
      <c r="D532" s="87" t="str">
        <f>IF(tbl_Assessment[[#This Row],[Ben Code]]&lt;&gt;"",INDEX(tbl_Ben_Info[],MATCH(tbl_Assessment[[#This Row],[Ben Code]],tbl_Ben_Info[Ben Code],0),48),"")</f>
        <v/>
      </c>
      <c r="E532" s="116" t="str">
        <f>IF(tbl_Assessment[[#This Row],[Ben Code]]&lt;&gt;"",INDEX(tbl_Ben_Info[],MATCH(tbl_Assessment[[#This Row],[Ben Code]],tbl_Ben_Info[Ben Code],0),6),"")</f>
        <v/>
      </c>
      <c r="F532" s="113" t="str">
        <f>IF(tbl_Assessment[[#This Row],[Ben Code]]&lt;&gt;"",INDEX(tbl_Ben_Info[],MATCH(tbl_Assessment[[#This Row],[Ben Code]],tbl_Ben_Info[Ben Code],0),13),"")</f>
        <v/>
      </c>
      <c r="G532" s="49"/>
      <c r="H532" s="37"/>
      <c r="I532" s="37"/>
      <c r="J532" s="37"/>
      <c r="K532" s="37"/>
      <c r="L532" s="37"/>
      <c r="M532" s="59"/>
      <c r="N532" s="37"/>
      <c r="O532" s="37"/>
      <c r="P532" s="37"/>
      <c r="Q532" s="59"/>
      <c r="R532" s="49"/>
      <c r="S532" s="37"/>
      <c r="T532" s="37"/>
      <c r="U532" s="37"/>
      <c r="V532" s="37"/>
      <c r="W532" s="96" t="str">
        <f>tbl_Assessment[[#This Row],[Ben Code]] &amp; "-"&amp;tbl_Assessment[[#This Row],[admin4Pcode]]&amp;"-" &amp; TEXT(COUNTIF(INDEX(tbl_Assessment[Ben Code],1):tbl_Assessment[[#This Row],[Ben Code]], tbl_Assessment[[#This Row],[Ben Code]]), "00")</f>
        <v>--00</v>
      </c>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49"/>
      <c r="AU532" s="41"/>
      <c r="AV532" s="37"/>
      <c r="AW532" s="37"/>
      <c r="AX532" s="37"/>
      <c r="AY532" s="37"/>
      <c r="AZ532" s="37"/>
      <c r="BA532" s="37"/>
      <c r="BB532" s="41"/>
      <c r="BC532" s="37"/>
      <c r="BD532" s="37"/>
      <c r="BE532" s="37"/>
      <c r="BF532" s="41"/>
      <c r="BG532" s="37"/>
      <c r="BH532" s="37"/>
      <c r="BI532" s="37"/>
      <c r="BJ532" s="41"/>
    </row>
    <row r="533" spans="2:62" ht="25.15" customHeight="1" x14ac:dyDescent="0.25">
      <c r="B533" s="49">
        <v>528</v>
      </c>
      <c r="C533" s="37"/>
      <c r="D533" s="87" t="str">
        <f>IF(tbl_Assessment[[#This Row],[Ben Code]]&lt;&gt;"",INDEX(tbl_Ben_Info[],MATCH(tbl_Assessment[[#This Row],[Ben Code]],tbl_Ben_Info[Ben Code],0),48),"")</f>
        <v/>
      </c>
      <c r="E533" s="116" t="str">
        <f>IF(tbl_Assessment[[#This Row],[Ben Code]]&lt;&gt;"",INDEX(tbl_Ben_Info[],MATCH(tbl_Assessment[[#This Row],[Ben Code]],tbl_Ben_Info[Ben Code],0),6),"")</f>
        <v/>
      </c>
      <c r="F533" s="113" t="str">
        <f>IF(tbl_Assessment[[#This Row],[Ben Code]]&lt;&gt;"",INDEX(tbl_Ben_Info[],MATCH(tbl_Assessment[[#This Row],[Ben Code]],tbl_Ben_Info[Ben Code],0),13),"")</f>
        <v/>
      </c>
      <c r="G533" s="49"/>
      <c r="H533" s="37"/>
      <c r="I533" s="37"/>
      <c r="J533" s="37"/>
      <c r="K533" s="37"/>
      <c r="L533" s="37"/>
      <c r="M533" s="59"/>
      <c r="N533" s="37"/>
      <c r="O533" s="37"/>
      <c r="P533" s="37"/>
      <c r="Q533" s="59"/>
      <c r="R533" s="49"/>
      <c r="S533" s="37"/>
      <c r="T533" s="37"/>
      <c r="U533" s="37"/>
      <c r="V533" s="37"/>
      <c r="W533" s="96" t="str">
        <f>tbl_Assessment[[#This Row],[Ben Code]] &amp; "-"&amp;tbl_Assessment[[#This Row],[admin4Pcode]]&amp;"-" &amp; TEXT(COUNTIF(INDEX(tbl_Assessment[Ben Code],1):tbl_Assessment[[#This Row],[Ben Code]], tbl_Assessment[[#This Row],[Ben Code]]), "00")</f>
        <v>--00</v>
      </c>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49"/>
      <c r="AU533" s="41"/>
      <c r="AV533" s="37"/>
      <c r="AW533" s="37"/>
      <c r="AX533" s="37"/>
      <c r="AY533" s="37"/>
      <c r="AZ533" s="37"/>
      <c r="BA533" s="37"/>
      <c r="BB533" s="41"/>
      <c r="BC533" s="37"/>
      <c r="BD533" s="37"/>
      <c r="BE533" s="37"/>
      <c r="BF533" s="41"/>
      <c r="BG533" s="37"/>
      <c r="BH533" s="37"/>
      <c r="BI533" s="37"/>
      <c r="BJ533" s="41"/>
    </row>
    <row r="534" spans="2:62" ht="25.15" customHeight="1" x14ac:dyDescent="0.25">
      <c r="B534" s="49">
        <v>529</v>
      </c>
      <c r="C534" s="37"/>
      <c r="D534" s="87" t="str">
        <f>IF(tbl_Assessment[[#This Row],[Ben Code]]&lt;&gt;"",INDEX(tbl_Ben_Info[],MATCH(tbl_Assessment[[#This Row],[Ben Code]],tbl_Ben_Info[Ben Code],0),48),"")</f>
        <v/>
      </c>
      <c r="E534" s="116" t="str">
        <f>IF(tbl_Assessment[[#This Row],[Ben Code]]&lt;&gt;"",INDEX(tbl_Ben_Info[],MATCH(tbl_Assessment[[#This Row],[Ben Code]],tbl_Ben_Info[Ben Code],0),6),"")</f>
        <v/>
      </c>
      <c r="F534" s="113" t="str">
        <f>IF(tbl_Assessment[[#This Row],[Ben Code]]&lt;&gt;"",INDEX(tbl_Ben_Info[],MATCH(tbl_Assessment[[#This Row],[Ben Code]],tbl_Ben_Info[Ben Code],0),13),"")</f>
        <v/>
      </c>
      <c r="G534" s="49"/>
      <c r="H534" s="37"/>
      <c r="I534" s="37"/>
      <c r="J534" s="37"/>
      <c r="K534" s="37"/>
      <c r="L534" s="37"/>
      <c r="M534" s="59"/>
      <c r="N534" s="37"/>
      <c r="O534" s="37"/>
      <c r="P534" s="37"/>
      <c r="Q534" s="59"/>
      <c r="R534" s="49"/>
      <c r="S534" s="37"/>
      <c r="T534" s="37"/>
      <c r="U534" s="37"/>
      <c r="V534" s="37"/>
      <c r="W534" s="96" t="str">
        <f>tbl_Assessment[[#This Row],[Ben Code]] &amp; "-"&amp;tbl_Assessment[[#This Row],[admin4Pcode]]&amp;"-" &amp; TEXT(COUNTIF(INDEX(tbl_Assessment[Ben Code],1):tbl_Assessment[[#This Row],[Ben Code]], tbl_Assessment[[#This Row],[Ben Code]]), "00")</f>
        <v>--00</v>
      </c>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49"/>
      <c r="AU534" s="41"/>
      <c r="AV534" s="37"/>
      <c r="AW534" s="37"/>
      <c r="AX534" s="37"/>
      <c r="AY534" s="37"/>
      <c r="AZ534" s="37"/>
      <c r="BA534" s="37"/>
      <c r="BB534" s="41"/>
      <c r="BC534" s="37"/>
      <c r="BD534" s="37"/>
      <c r="BE534" s="37"/>
      <c r="BF534" s="41"/>
      <c r="BG534" s="37"/>
      <c r="BH534" s="37"/>
      <c r="BI534" s="37"/>
      <c r="BJ534" s="41"/>
    </row>
    <row r="535" spans="2:62" ht="25.15" customHeight="1" x14ac:dyDescent="0.25">
      <c r="B535" s="49">
        <v>530</v>
      </c>
      <c r="C535" s="37"/>
      <c r="D535" s="87" t="str">
        <f>IF(tbl_Assessment[[#This Row],[Ben Code]]&lt;&gt;"",INDEX(tbl_Ben_Info[],MATCH(tbl_Assessment[[#This Row],[Ben Code]],tbl_Ben_Info[Ben Code],0),48),"")</f>
        <v/>
      </c>
      <c r="E535" s="116" t="str">
        <f>IF(tbl_Assessment[[#This Row],[Ben Code]]&lt;&gt;"",INDEX(tbl_Ben_Info[],MATCH(tbl_Assessment[[#This Row],[Ben Code]],tbl_Ben_Info[Ben Code],0),6),"")</f>
        <v/>
      </c>
      <c r="F535" s="113" t="str">
        <f>IF(tbl_Assessment[[#This Row],[Ben Code]]&lt;&gt;"",INDEX(tbl_Ben_Info[],MATCH(tbl_Assessment[[#This Row],[Ben Code]],tbl_Ben_Info[Ben Code],0),13),"")</f>
        <v/>
      </c>
      <c r="G535" s="49"/>
      <c r="H535" s="37"/>
      <c r="I535" s="37"/>
      <c r="J535" s="37"/>
      <c r="K535" s="37"/>
      <c r="L535" s="37"/>
      <c r="M535" s="59"/>
      <c r="N535" s="37"/>
      <c r="O535" s="37"/>
      <c r="P535" s="37"/>
      <c r="Q535" s="59"/>
      <c r="R535" s="49"/>
      <c r="S535" s="37"/>
      <c r="T535" s="37"/>
      <c r="U535" s="37"/>
      <c r="V535" s="37"/>
      <c r="W535" s="96" t="str">
        <f>tbl_Assessment[[#This Row],[Ben Code]] &amp; "-"&amp;tbl_Assessment[[#This Row],[admin4Pcode]]&amp;"-" &amp; TEXT(COUNTIF(INDEX(tbl_Assessment[Ben Code],1):tbl_Assessment[[#This Row],[Ben Code]], tbl_Assessment[[#This Row],[Ben Code]]), "00")</f>
        <v>--00</v>
      </c>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49"/>
      <c r="AU535" s="41"/>
      <c r="AV535" s="37"/>
      <c r="AW535" s="37"/>
      <c r="AX535" s="37"/>
      <c r="AY535" s="37"/>
      <c r="AZ535" s="37"/>
      <c r="BA535" s="37"/>
      <c r="BB535" s="41"/>
      <c r="BC535" s="37"/>
      <c r="BD535" s="37"/>
      <c r="BE535" s="37"/>
      <c r="BF535" s="41"/>
      <c r="BG535" s="37"/>
      <c r="BH535" s="37"/>
      <c r="BI535" s="37"/>
      <c r="BJ535" s="41"/>
    </row>
    <row r="536" spans="2:62" ht="25.15" customHeight="1" x14ac:dyDescent="0.25">
      <c r="B536" s="49">
        <v>531</v>
      </c>
      <c r="C536" s="37"/>
      <c r="D536" s="87" t="str">
        <f>IF(tbl_Assessment[[#This Row],[Ben Code]]&lt;&gt;"",INDEX(tbl_Ben_Info[],MATCH(tbl_Assessment[[#This Row],[Ben Code]],tbl_Ben_Info[Ben Code],0),48),"")</f>
        <v/>
      </c>
      <c r="E536" s="116" t="str">
        <f>IF(tbl_Assessment[[#This Row],[Ben Code]]&lt;&gt;"",INDEX(tbl_Ben_Info[],MATCH(tbl_Assessment[[#This Row],[Ben Code]],tbl_Ben_Info[Ben Code],0),6),"")</f>
        <v/>
      </c>
      <c r="F536" s="113" t="str">
        <f>IF(tbl_Assessment[[#This Row],[Ben Code]]&lt;&gt;"",INDEX(tbl_Ben_Info[],MATCH(tbl_Assessment[[#This Row],[Ben Code]],tbl_Ben_Info[Ben Code],0),13),"")</f>
        <v/>
      </c>
      <c r="G536" s="49"/>
      <c r="H536" s="37"/>
      <c r="I536" s="37"/>
      <c r="J536" s="37"/>
      <c r="K536" s="37"/>
      <c r="L536" s="37"/>
      <c r="M536" s="59"/>
      <c r="N536" s="37"/>
      <c r="O536" s="37"/>
      <c r="P536" s="37"/>
      <c r="Q536" s="59"/>
      <c r="R536" s="49"/>
      <c r="S536" s="37"/>
      <c r="T536" s="37"/>
      <c r="U536" s="37"/>
      <c r="V536" s="37"/>
      <c r="W536" s="96" t="str">
        <f>tbl_Assessment[[#This Row],[Ben Code]] &amp; "-"&amp;tbl_Assessment[[#This Row],[admin4Pcode]]&amp;"-" &amp; TEXT(COUNTIF(INDEX(tbl_Assessment[Ben Code],1):tbl_Assessment[[#This Row],[Ben Code]], tbl_Assessment[[#This Row],[Ben Code]]), "00")</f>
        <v>--00</v>
      </c>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49"/>
      <c r="AU536" s="41"/>
      <c r="AV536" s="37"/>
      <c r="AW536" s="37"/>
      <c r="AX536" s="37"/>
      <c r="AY536" s="37"/>
      <c r="AZ536" s="37"/>
      <c r="BA536" s="37"/>
      <c r="BB536" s="41"/>
      <c r="BC536" s="37"/>
      <c r="BD536" s="37"/>
      <c r="BE536" s="37"/>
      <c r="BF536" s="41"/>
      <c r="BG536" s="37"/>
      <c r="BH536" s="37"/>
      <c r="BI536" s="37"/>
      <c r="BJ536" s="41"/>
    </row>
    <row r="537" spans="2:62" ht="25.15" customHeight="1" x14ac:dyDescent="0.25">
      <c r="B537" s="49">
        <v>532</v>
      </c>
      <c r="C537" s="37"/>
      <c r="D537" s="87" t="str">
        <f>IF(tbl_Assessment[[#This Row],[Ben Code]]&lt;&gt;"",INDEX(tbl_Ben_Info[],MATCH(tbl_Assessment[[#This Row],[Ben Code]],tbl_Ben_Info[Ben Code],0),48),"")</f>
        <v/>
      </c>
      <c r="E537" s="116" t="str">
        <f>IF(tbl_Assessment[[#This Row],[Ben Code]]&lt;&gt;"",INDEX(tbl_Ben_Info[],MATCH(tbl_Assessment[[#This Row],[Ben Code]],tbl_Ben_Info[Ben Code],0),6),"")</f>
        <v/>
      </c>
      <c r="F537" s="113" t="str">
        <f>IF(tbl_Assessment[[#This Row],[Ben Code]]&lt;&gt;"",INDEX(tbl_Ben_Info[],MATCH(tbl_Assessment[[#This Row],[Ben Code]],tbl_Ben_Info[Ben Code],0),13),"")</f>
        <v/>
      </c>
      <c r="G537" s="49"/>
      <c r="H537" s="37"/>
      <c r="I537" s="37"/>
      <c r="J537" s="37"/>
      <c r="K537" s="37"/>
      <c r="L537" s="37"/>
      <c r="M537" s="59"/>
      <c r="N537" s="37"/>
      <c r="O537" s="37"/>
      <c r="P537" s="37"/>
      <c r="Q537" s="59"/>
      <c r="R537" s="49"/>
      <c r="S537" s="37"/>
      <c r="T537" s="37"/>
      <c r="U537" s="37"/>
      <c r="V537" s="37"/>
      <c r="W537" s="96" t="str">
        <f>tbl_Assessment[[#This Row],[Ben Code]] &amp; "-"&amp;tbl_Assessment[[#This Row],[admin4Pcode]]&amp;"-" &amp; TEXT(COUNTIF(INDEX(tbl_Assessment[Ben Code],1):tbl_Assessment[[#This Row],[Ben Code]], tbl_Assessment[[#This Row],[Ben Code]]), "00")</f>
        <v>--00</v>
      </c>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49"/>
      <c r="AU537" s="41"/>
      <c r="AV537" s="37"/>
      <c r="AW537" s="37"/>
      <c r="AX537" s="37"/>
      <c r="AY537" s="37"/>
      <c r="AZ537" s="37"/>
      <c r="BA537" s="37"/>
      <c r="BB537" s="41"/>
      <c r="BC537" s="37"/>
      <c r="BD537" s="37"/>
      <c r="BE537" s="37"/>
      <c r="BF537" s="41"/>
      <c r="BG537" s="37"/>
      <c r="BH537" s="37"/>
      <c r="BI537" s="37"/>
      <c r="BJ537" s="41"/>
    </row>
    <row r="538" spans="2:62" ht="25.15" customHeight="1" x14ac:dyDescent="0.25">
      <c r="B538" s="49">
        <v>533</v>
      </c>
      <c r="C538" s="37"/>
      <c r="D538" s="87" t="str">
        <f>IF(tbl_Assessment[[#This Row],[Ben Code]]&lt;&gt;"",INDEX(tbl_Ben_Info[],MATCH(tbl_Assessment[[#This Row],[Ben Code]],tbl_Ben_Info[Ben Code],0),48),"")</f>
        <v/>
      </c>
      <c r="E538" s="116" t="str">
        <f>IF(tbl_Assessment[[#This Row],[Ben Code]]&lt;&gt;"",INDEX(tbl_Ben_Info[],MATCH(tbl_Assessment[[#This Row],[Ben Code]],tbl_Ben_Info[Ben Code],0),6),"")</f>
        <v/>
      </c>
      <c r="F538" s="113" t="str">
        <f>IF(tbl_Assessment[[#This Row],[Ben Code]]&lt;&gt;"",INDEX(tbl_Ben_Info[],MATCH(tbl_Assessment[[#This Row],[Ben Code]],tbl_Ben_Info[Ben Code],0),13),"")</f>
        <v/>
      </c>
      <c r="G538" s="49"/>
      <c r="H538" s="37"/>
      <c r="I538" s="37"/>
      <c r="J538" s="37"/>
      <c r="K538" s="37"/>
      <c r="L538" s="37"/>
      <c r="M538" s="59"/>
      <c r="N538" s="37"/>
      <c r="O538" s="37"/>
      <c r="P538" s="37"/>
      <c r="Q538" s="59"/>
      <c r="R538" s="49"/>
      <c r="S538" s="37"/>
      <c r="T538" s="37"/>
      <c r="U538" s="37"/>
      <c r="V538" s="37"/>
      <c r="W538" s="96" t="str">
        <f>tbl_Assessment[[#This Row],[Ben Code]] &amp; "-"&amp;tbl_Assessment[[#This Row],[admin4Pcode]]&amp;"-" &amp; TEXT(COUNTIF(INDEX(tbl_Assessment[Ben Code],1):tbl_Assessment[[#This Row],[Ben Code]], tbl_Assessment[[#This Row],[Ben Code]]), "00")</f>
        <v>--00</v>
      </c>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49"/>
      <c r="AU538" s="41"/>
      <c r="AV538" s="37"/>
      <c r="AW538" s="37"/>
      <c r="AX538" s="37"/>
      <c r="AY538" s="37"/>
      <c r="AZ538" s="37"/>
      <c r="BA538" s="37"/>
      <c r="BB538" s="41"/>
      <c r="BC538" s="37"/>
      <c r="BD538" s="37"/>
      <c r="BE538" s="37"/>
      <c r="BF538" s="41"/>
      <c r="BG538" s="37"/>
      <c r="BH538" s="37"/>
      <c r="BI538" s="37"/>
      <c r="BJ538" s="41"/>
    </row>
    <row r="539" spans="2:62" ht="25.15" customHeight="1" x14ac:dyDescent="0.25">
      <c r="B539" s="49">
        <v>534</v>
      </c>
      <c r="C539" s="37"/>
      <c r="D539" s="87" t="str">
        <f>IF(tbl_Assessment[[#This Row],[Ben Code]]&lt;&gt;"",INDEX(tbl_Ben_Info[],MATCH(tbl_Assessment[[#This Row],[Ben Code]],tbl_Ben_Info[Ben Code],0),48),"")</f>
        <v/>
      </c>
      <c r="E539" s="116" t="str">
        <f>IF(tbl_Assessment[[#This Row],[Ben Code]]&lt;&gt;"",INDEX(tbl_Ben_Info[],MATCH(tbl_Assessment[[#This Row],[Ben Code]],tbl_Ben_Info[Ben Code],0),6),"")</f>
        <v/>
      </c>
      <c r="F539" s="113" t="str">
        <f>IF(tbl_Assessment[[#This Row],[Ben Code]]&lt;&gt;"",INDEX(tbl_Ben_Info[],MATCH(tbl_Assessment[[#This Row],[Ben Code]],tbl_Ben_Info[Ben Code],0),13),"")</f>
        <v/>
      </c>
      <c r="G539" s="49"/>
      <c r="H539" s="37"/>
      <c r="I539" s="37"/>
      <c r="J539" s="37"/>
      <c r="K539" s="37"/>
      <c r="L539" s="37"/>
      <c r="M539" s="59"/>
      <c r="N539" s="37"/>
      <c r="O539" s="37"/>
      <c r="P539" s="37"/>
      <c r="Q539" s="59"/>
      <c r="R539" s="49"/>
      <c r="S539" s="37"/>
      <c r="T539" s="37"/>
      <c r="U539" s="37"/>
      <c r="V539" s="37"/>
      <c r="W539" s="96" t="str">
        <f>tbl_Assessment[[#This Row],[Ben Code]] &amp; "-"&amp;tbl_Assessment[[#This Row],[admin4Pcode]]&amp;"-" &amp; TEXT(COUNTIF(INDEX(tbl_Assessment[Ben Code],1):tbl_Assessment[[#This Row],[Ben Code]], tbl_Assessment[[#This Row],[Ben Code]]), "00")</f>
        <v>--00</v>
      </c>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49"/>
      <c r="AU539" s="41"/>
      <c r="AV539" s="37"/>
      <c r="AW539" s="37"/>
      <c r="AX539" s="37"/>
      <c r="AY539" s="37"/>
      <c r="AZ539" s="37"/>
      <c r="BA539" s="37"/>
      <c r="BB539" s="41"/>
      <c r="BC539" s="37"/>
      <c r="BD539" s="37"/>
      <c r="BE539" s="37"/>
      <c r="BF539" s="41"/>
      <c r="BG539" s="37"/>
      <c r="BH539" s="37"/>
      <c r="BI539" s="37"/>
      <c r="BJ539" s="41"/>
    </row>
    <row r="540" spans="2:62" ht="25.15" customHeight="1" x14ac:dyDescent="0.25">
      <c r="B540" s="49">
        <v>535</v>
      </c>
      <c r="C540" s="37"/>
      <c r="D540" s="87" t="str">
        <f>IF(tbl_Assessment[[#This Row],[Ben Code]]&lt;&gt;"",INDEX(tbl_Ben_Info[],MATCH(tbl_Assessment[[#This Row],[Ben Code]],tbl_Ben_Info[Ben Code],0),48),"")</f>
        <v/>
      </c>
      <c r="E540" s="116" t="str">
        <f>IF(tbl_Assessment[[#This Row],[Ben Code]]&lt;&gt;"",INDEX(tbl_Ben_Info[],MATCH(tbl_Assessment[[#This Row],[Ben Code]],tbl_Ben_Info[Ben Code],0),6),"")</f>
        <v/>
      </c>
      <c r="F540" s="113" t="str">
        <f>IF(tbl_Assessment[[#This Row],[Ben Code]]&lt;&gt;"",INDEX(tbl_Ben_Info[],MATCH(tbl_Assessment[[#This Row],[Ben Code]],tbl_Ben_Info[Ben Code],0),13),"")</f>
        <v/>
      </c>
      <c r="G540" s="49"/>
      <c r="H540" s="37"/>
      <c r="I540" s="37"/>
      <c r="J540" s="37"/>
      <c r="K540" s="37"/>
      <c r="L540" s="37"/>
      <c r="M540" s="59"/>
      <c r="N540" s="37"/>
      <c r="O540" s="37"/>
      <c r="P540" s="37"/>
      <c r="Q540" s="59"/>
      <c r="R540" s="49"/>
      <c r="S540" s="37"/>
      <c r="T540" s="37"/>
      <c r="U540" s="37"/>
      <c r="V540" s="37"/>
      <c r="W540" s="96" t="str">
        <f>tbl_Assessment[[#This Row],[Ben Code]] &amp; "-"&amp;tbl_Assessment[[#This Row],[admin4Pcode]]&amp;"-" &amp; TEXT(COUNTIF(INDEX(tbl_Assessment[Ben Code],1):tbl_Assessment[[#This Row],[Ben Code]], tbl_Assessment[[#This Row],[Ben Code]]), "00")</f>
        <v>--00</v>
      </c>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49"/>
      <c r="AU540" s="41"/>
      <c r="AV540" s="37"/>
      <c r="AW540" s="37"/>
      <c r="AX540" s="37"/>
      <c r="AY540" s="37"/>
      <c r="AZ540" s="37"/>
      <c r="BA540" s="37"/>
      <c r="BB540" s="41"/>
      <c r="BC540" s="37"/>
      <c r="BD540" s="37"/>
      <c r="BE540" s="37"/>
      <c r="BF540" s="41"/>
      <c r="BG540" s="37"/>
      <c r="BH540" s="37"/>
      <c r="BI540" s="37"/>
      <c r="BJ540" s="41"/>
    </row>
    <row r="541" spans="2:62" ht="25.15" customHeight="1" x14ac:dyDescent="0.25">
      <c r="B541" s="49">
        <v>536</v>
      </c>
      <c r="C541" s="37"/>
      <c r="D541" s="87" t="str">
        <f>IF(tbl_Assessment[[#This Row],[Ben Code]]&lt;&gt;"",INDEX(tbl_Ben_Info[],MATCH(tbl_Assessment[[#This Row],[Ben Code]],tbl_Ben_Info[Ben Code],0),48),"")</f>
        <v/>
      </c>
      <c r="E541" s="116" t="str">
        <f>IF(tbl_Assessment[[#This Row],[Ben Code]]&lt;&gt;"",INDEX(tbl_Ben_Info[],MATCH(tbl_Assessment[[#This Row],[Ben Code]],tbl_Ben_Info[Ben Code],0),6),"")</f>
        <v/>
      </c>
      <c r="F541" s="113" t="str">
        <f>IF(tbl_Assessment[[#This Row],[Ben Code]]&lt;&gt;"",INDEX(tbl_Ben_Info[],MATCH(tbl_Assessment[[#This Row],[Ben Code]],tbl_Ben_Info[Ben Code],0),13),"")</f>
        <v/>
      </c>
      <c r="G541" s="49"/>
      <c r="H541" s="37"/>
      <c r="I541" s="37"/>
      <c r="J541" s="37"/>
      <c r="K541" s="37"/>
      <c r="L541" s="37"/>
      <c r="M541" s="59"/>
      <c r="N541" s="37"/>
      <c r="O541" s="37"/>
      <c r="P541" s="37"/>
      <c r="Q541" s="59"/>
      <c r="R541" s="49"/>
      <c r="S541" s="37"/>
      <c r="T541" s="37"/>
      <c r="U541" s="37"/>
      <c r="V541" s="37"/>
      <c r="W541" s="96" t="str">
        <f>tbl_Assessment[[#This Row],[Ben Code]] &amp; "-"&amp;tbl_Assessment[[#This Row],[admin4Pcode]]&amp;"-" &amp; TEXT(COUNTIF(INDEX(tbl_Assessment[Ben Code],1):tbl_Assessment[[#This Row],[Ben Code]], tbl_Assessment[[#This Row],[Ben Code]]), "00")</f>
        <v>--00</v>
      </c>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49"/>
      <c r="AU541" s="41"/>
      <c r="AV541" s="37"/>
      <c r="AW541" s="37"/>
      <c r="AX541" s="37"/>
      <c r="AY541" s="37"/>
      <c r="AZ541" s="37"/>
      <c r="BA541" s="37"/>
      <c r="BB541" s="41"/>
      <c r="BC541" s="37"/>
      <c r="BD541" s="37"/>
      <c r="BE541" s="37"/>
      <c r="BF541" s="41"/>
      <c r="BG541" s="37"/>
      <c r="BH541" s="37"/>
      <c r="BI541" s="37"/>
      <c r="BJ541" s="41"/>
    </row>
    <row r="542" spans="2:62" ht="25.15" customHeight="1" x14ac:dyDescent="0.25">
      <c r="B542" s="49">
        <v>537</v>
      </c>
      <c r="C542" s="37"/>
      <c r="D542" s="87" t="str">
        <f>IF(tbl_Assessment[[#This Row],[Ben Code]]&lt;&gt;"",INDEX(tbl_Ben_Info[],MATCH(tbl_Assessment[[#This Row],[Ben Code]],tbl_Ben_Info[Ben Code],0),48),"")</f>
        <v/>
      </c>
      <c r="E542" s="116" t="str">
        <f>IF(tbl_Assessment[[#This Row],[Ben Code]]&lt;&gt;"",INDEX(tbl_Ben_Info[],MATCH(tbl_Assessment[[#This Row],[Ben Code]],tbl_Ben_Info[Ben Code],0),6),"")</f>
        <v/>
      </c>
      <c r="F542" s="113" t="str">
        <f>IF(tbl_Assessment[[#This Row],[Ben Code]]&lt;&gt;"",INDEX(tbl_Ben_Info[],MATCH(tbl_Assessment[[#This Row],[Ben Code]],tbl_Ben_Info[Ben Code],0),13),"")</f>
        <v/>
      </c>
      <c r="G542" s="49"/>
      <c r="H542" s="37"/>
      <c r="I542" s="37"/>
      <c r="J542" s="37"/>
      <c r="K542" s="37"/>
      <c r="L542" s="37"/>
      <c r="M542" s="59"/>
      <c r="N542" s="37"/>
      <c r="O542" s="37"/>
      <c r="P542" s="37"/>
      <c r="Q542" s="59"/>
      <c r="R542" s="49"/>
      <c r="S542" s="37"/>
      <c r="T542" s="37"/>
      <c r="U542" s="37"/>
      <c r="V542" s="37"/>
      <c r="W542" s="96" t="str">
        <f>tbl_Assessment[[#This Row],[Ben Code]] &amp; "-"&amp;tbl_Assessment[[#This Row],[admin4Pcode]]&amp;"-" &amp; TEXT(COUNTIF(INDEX(tbl_Assessment[Ben Code],1):tbl_Assessment[[#This Row],[Ben Code]], tbl_Assessment[[#This Row],[Ben Code]]), "00")</f>
        <v>--00</v>
      </c>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49"/>
      <c r="AU542" s="41"/>
      <c r="AV542" s="37"/>
      <c r="AW542" s="37"/>
      <c r="AX542" s="37"/>
      <c r="AY542" s="37"/>
      <c r="AZ542" s="37"/>
      <c r="BA542" s="37"/>
      <c r="BB542" s="41"/>
      <c r="BC542" s="37"/>
      <c r="BD542" s="37"/>
      <c r="BE542" s="37"/>
      <c r="BF542" s="41"/>
      <c r="BG542" s="37"/>
      <c r="BH542" s="37"/>
      <c r="BI542" s="37"/>
      <c r="BJ542" s="41"/>
    </row>
    <row r="543" spans="2:62" ht="25.15" customHeight="1" x14ac:dyDescent="0.25">
      <c r="B543" s="49">
        <v>538</v>
      </c>
      <c r="C543" s="37"/>
      <c r="D543" s="87" t="str">
        <f>IF(tbl_Assessment[[#This Row],[Ben Code]]&lt;&gt;"",INDEX(tbl_Ben_Info[],MATCH(tbl_Assessment[[#This Row],[Ben Code]],tbl_Ben_Info[Ben Code],0),48),"")</f>
        <v/>
      </c>
      <c r="E543" s="116" t="str">
        <f>IF(tbl_Assessment[[#This Row],[Ben Code]]&lt;&gt;"",INDEX(tbl_Ben_Info[],MATCH(tbl_Assessment[[#This Row],[Ben Code]],tbl_Ben_Info[Ben Code],0),6),"")</f>
        <v/>
      </c>
      <c r="F543" s="113" t="str">
        <f>IF(tbl_Assessment[[#This Row],[Ben Code]]&lt;&gt;"",INDEX(tbl_Ben_Info[],MATCH(tbl_Assessment[[#This Row],[Ben Code]],tbl_Ben_Info[Ben Code],0),13),"")</f>
        <v/>
      </c>
      <c r="G543" s="49"/>
      <c r="H543" s="37"/>
      <c r="I543" s="37"/>
      <c r="J543" s="37"/>
      <c r="K543" s="37"/>
      <c r="L543" s="37"/>
      <c r="M543" s="59"/>
      <c r="N543" s="37"/>
      <c r="O543" s="37"/>
      <c r="P543" s="37"/>
      <c r="Q543" s="59"/>
      <c r="R543" s="49"/>
      <c r="S543" s="37"/>
      <c r="T543" s="37"/>
      <c r="U543" s="37"/>
      <c r="V543" s="37"/>
      <c r="W543" s="96" t="str">
        <f>tbl_Assessment[[#This Row],[Ben Code]] &amp; "-"&amp;tbl_Assessment[[#This Row],[admin4Pcode]]&amp;"-" &amp; TEXT(COUNTIF(INDEX(tbl_Assessment[Ben Code],1):tbl_Assessment[[#This Row],[Ben Code]], tbl_Assessment[[#This Row],[Ben Code]]), "00")</f>
        <v>--00</v>
      </c>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49"/>
      <c r="AU543" s="41"/>
      <c r="AV543" s="37"/>
      <c r="AW543" s="37"/>
      <c r="AX543" s="37"/>
      <c r="AY543" s="37"/>
      <c r="AZ543" s="37"/>
      <c r="BA543" s="37"/>
      <c r="BB543" s="41"/>
      <c r="BC543" s="37"/>
      <c r="BD543" s="37"/>
      <c r="BE543" s="37"/>
      <c r="BF543" s="41"/>
      <c r="BG543" s="37"/>
      <c r="BH543" s="37"/>
      <c r="BI543" s="37"/>
      <c r="BJ543" s="41"/>
    </row>
    <row r="544" spans="2:62" ht="25.15" customHeight="1" x14ac:dyDescent="0.25">
      <c r="B544" s="49">
        <v>539</v>
      </c>
      <c r="C544" s="37"/>
      <c r="D544" s="87" t="str">
        <f>IF(tbl_Assessment[[#This Row],[Ben Code]]&lt;&gt;"",INDEX(tbl_Ben_Info[],MATCH(tbl_Assessment[[#This Row],[Ben Code]],tbl_Ben_Info[Ben Code],0),48),"")</f>
        <v/>
      </c>
      <c r="E544" s="116" t="str">
        <f>IF(tbl_Assessment[[#This Row],[Ben Code]]&lt;&gt;"",INDEX(tbl_Ben_Info[],MATCH(tbl_Assessment[[#This Row],[Ben Code]],tbl_Ben_Info[Ben Code],0),6),"")</f>
        <v/>
      </c>
      <c r="F544" s="113" t="str">
        <f>IF(tbl_Assessment[[#This Row],[Ben Code]]&lt;&gt;"",INDEX(tbl_Ben_Info[],MATCH(tbl_Assessment[[#This Row],[Ben Code]],tbl_Ben_Info[Ben Code],0),13),"")</f>
        <v/>
      </c>
      <c r="G544" s="49"/>
      <c r="H544" s="37"/>
      <c r="I544" s="37"/>
      <c r="J544" s="37"/>
      <c r="K544" s="37"/>
      <c r="L544" s="37"/>
      <c r="M544" s="59"/>
      <c r="N544" s="37"/>
      <c r="O544" s="37"/>
      <c r="P544" s="37"/>
      <c r="Q544" s="59"/>
      <c r="R544" s="49"/>
      <c r="S544" s="37"/>
      <c r="T544" s="37"/>
      <c r="U544" s="37"/>
      <c r="V544" s="37"/>
      <c r="W544" s="96" t="str">
        <f>tbl_Assessment[[#This Row],[Ben Code]] &amp; "-"&amp;tbl_Assessment[[#This Row],[admin4Pcode]]&amp;"-" &amp; TEXT(COUNTIF(INDEX(tbl_Assessment[Ben Code],1):tbl_Assessment[[#This Row],[Ben Code]], tbl_Assessment[[#This Row],[Ben Code]]), "00")</f>
        <v>--00</v>
      </c>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49"/>
      <c r="AU544" s="41"/>
      <c r="AV544" s="37"/>
      <c r="AW544" s="37"/>
      <c r="AX544" s="37"/>
      <c r="AY544" s="37"/>
      <c r="AZ544" s="37"/>
      <c r="BA544" s="37"/>
      <c r="BB544" s="41"/>
      <c r="BC544" s="37"/>
      <c r="BD544" s="37"/>
      <c r="BE544" s="37"/>
      <c r="BF544" s="41"/>
      <c r="BG544" s="37"/>
      <c r="BH544" s="37"/>
      <c r="BI544" s="37"/>
      <c r="BJ544" s="41"/>
    </row>
    <row r="545" spans="2:62" ht="25.15" customHeight="1" x14ac:dyDescent="0.25">
      <c r="B545" s="49">
        <v>540</v>
      </c>
      <c r="C545" s="37"/>
      <c r="D545" s="87" t="str">
        <f>IF(tbl_Assessment[[#This Row],[Ben Code]]&lt;&gt;"",INDEX(tbl_Ben_Info[],MATCH(tbl_Assessment[[#This Row],[Ben Code]],tbl_Ben_Info[Ben Code],0),48),"")</f>
        <v/>
      </c>
      <c r="E545" s="116" t="str">
        <f>IF(tbl_Assessment[[#This Row],[Ben Code]]&lt;&gt;"",INDEX(tbl_Ben_Info[],MATCH(tbl_Assessment[[#This Row],[Ben Code]],tbl_Ben_Info[Ben Code],0),6),"")</f>
        <v/>
      </c>
      <c r="F545" s="113" t="str">
        <f>IF(tbl_Assessment[[#This Row],[Ben Code]]&lt;&gt;"",INDEX(tbl_Ben_Info[],MATCH(tbl_Assessment[[#This Row],[Ben Code]],tbl_Ben_Info[Ben Code],0),13),"")</f>
        <v/>
      </c>
      <c r="G545" s="49"/>
      <c r="H545" s="37"/>
      <c r="I545" s="37"/>
      <c r="J545" s="37"/>
      <c r="K545" s="37"/>
      <c r="L545" s="37"/>
      <c r="M545" s="59"/>
      <c r="N545" s="37"/>
      <c r="O545" s="37"/>
      <c r="P545" s="37"/>
      <c r="Q545" s="59"/>
      <c r="R545" s="49"/>
      <c r="S545" s="37"/>
      <c r="T545" s="37"/>
      <c r="U545" s="37"/>
      <c r="V545" s="37"/>
      <c r="W545" s="96" t="str">
        <f>tbl_Assessment[[#This Row],[Ben Code]] &amp; "-"&amp;tbl_Assessment[[#This Row],[admin4Pcode]]&amp;"-" &amp; TEXT(COUNTIF(INDEX(tbl_Assessment[Ben Code],1):tbl_Assessment[[#This Row],[Ben Code]], tbl_Assessment[[#This Row],[Ben Code]]), "00")</f>
        <v>--00</v>
      </c>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49"/>
      <c r="AU545" s="41"/>
      <c r="AV545" s="37"/>
      <c r="AW545" s="37"/>
      <c r="AX545" s="37"/>
      <c r="AY545" s="37"/>
      <c r="AZ545" s="37"/>
      <c r="BA545" s="37"/>
      <c r="BB545" s="41"/>
      <c r="BC545" s="37"/>
      <c r="BD545" s="37"/>
      <c r="BE545" s="37"/>
      <c r="BF545" s="41"/>
      <c r="BG545" s="37"/>
      <c r="BH545" s="37"/>
      <c r="BI545" s="37"/>
      <c r="BJ545" s="41"/>
    </row>
    <row r="546" spans="2:62" ht="25.15" customHeight="1" x14ac:dyDescent="0.25">
      <c r="B546" s="49">
        <v>541</v>
      </c>
      <c r="C546" s="37"/>
      <c r="D546" s="87" t="str">
        <f>IF(tbl_Assessment[[#This Row],[Ben Code]]&lt;&gt;"",INDEX(tbl_Ben_Info[],MATCH(tbl_Assessment[[#This Row],[Ben Code]],tbl_Ben_Info[Ben Code],0),48),"")</f>
        <v/>
      </c>
      <c r="E546" s="116" t="str">
        <f>IF(tbl_Assessment[[#This Row],[Ben Code]]&lt;&gt;"",INDEX(tbl_Ben_Info[],MATCH(tbl_Assessment[[#This Row],[Ben Code]],tbl_Ben_Info[Ben Code],0),6),"")</f>
        <v/>
      </c>
      <c r="F546" s="113" t="str">
        <f>IF(tbl_Assessment[[#This Row],[Ben Code]]&lt;&gt;"",INDEX(tbl_Ben_Info[],MATCH(tbl_Assessment[[#This Row],[Ben Code]],tbl_Ben_Info[Ben Code],0),13),"")</f>
        <v/>
      </c>
      <c r="G546" s="49"/>
      <c r="H546" s="37"/>
      <c r="I546" s="37"/>
      <c r="J546" s="37"/>
      <c r="K546" s="37"/>
      <c r="L546" s="37"/>
      <c r="M546" s="59"/>
      <c r="N546" s="37"/>
      <c r="O546" s="37"/>
      <c r="P546" s="37"/>
      <c r="Q546" s="59"/>
      <c r="R546" s="49"/>
      <c r="S546" s="37"/>
      <c r="T546" s="37"/>
      <c r="U546" s="37"/>
      <c r="V546" s="37"/>
      <c r="W546" s="96" t="str">
        <f>tbl_Assessment[[#This Row],[Ben Code]] &amp; "-"&amp;tbl_Assessment[[#This Row],[admin4Pcode]]&amp;"-" &amp; TEXT(COUNTIF(INDEX(tbl_Assessment[Ben Code],1):tbl_Assessment[[#This Row],[Ben Code]], tbl_Assessment[[#This Row],[Ben Code]]), "00")</f>
        <v>--00</v>
      </c>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49"/>
      <c r="AU546" s="41"/>
      <c r="AV546" s="37"/>
      <c r="AW546" s="37"/>
      <c r="AX546" s="37"/>
      <c r="AY546" s="37"/>
      <c r="AZ546" s="37"/>
      <c r="BA546" s="37"/>
      <c r="BB546" s="41"/>
      <c r="BC546" s="37"/>
      <c r="BD546" s="37"/>
      <c r="BE546" s="37"/>
      <c r="BF546" s="41"/>
      <c r="BG546" s="37"/>
      <c r="BH546" s="37"/>
      <c r="BI546" s="37"/>
      <c r="BJ546" s="41"/>
    </row>
    <row r="547" spans="2:62" ht="25.15" customHeight="1" x14ac:dyDescent="0.25">
      <c r="B547" s="49">
        <v>542</v>
      </c>
      <c r="C547" s="37"/>
      <c r="D547" s="87" t="str">
        <f>IF(tbl_Assessment[[#This Row],[Ben Code]]&lt;&gt;"",INDEX(tbl_Ben_Info[],MATCH(tbl_Assessment[[#This Row],[Ben Code]],tbl_Ben_Info[Ben Code],0),48),"")</f>
        <v/>
      </c>
      <c r="E547" s="116" t="str">
        <f>IF(tbl_Assessment[[#This Row],[Ben Code]]&lt;&gt;"",INDEX(tbl_Ben_Info[],MATCH(tbl_Assessment[[#This Row],[Ben Code]],tbl_Ben_Info[Ben Code],0),6),"")</f>
        <v/>
      </c>
      <c r="F547" s="113" t="str">
        <f>IF(tbl_Assessment[[#This Row],[Ben Code]]&lt;&gt;"",INDEX(tbl_Ben_Info[],MATCH(tbl_Assessment[[#This Row],[Ben Code]],tbl_Ben_Info[Ben Code],0),13),"")</f>
        <v/>
      </c>
      <c r="G547" s="49"/>
      <c r="H547" s="37"/>
      <c r="I547" s="37"/>
      <c r="J547" s="37"/>
      <c r="K547" s="37"/>
      <c r="L547" s="37"/>
      <c r="M547" s="59"/>
      <c r="N547" s="37"/>
      <c r="O547" s="37"/>
      <c r="P547" s="37"/>
      <c r="Q547" s="59"/>
      <c r="R547" s="49"/>
      <c r="S547" s="37"/>
      <c r="T547" s="37"/>
      <c r="U547" s="37"/>
      <c r="V547" s="37"/>
      <c r="W547" s="96" t="str">
        <f>tbl_Assessment[[#This Row],[Ben Code]] &amp; "-"&amp;tbl_Assessment[[#This Row],[admin4Pcode]]&amp;"-" &amp; TEXT(COUNTIF(INDEX(tbl_Assessment[Ben Code],1):tbl_Assessment[[#This Row],[Ben Code]], tbl_Assessment[[#This Row],[Ben Code]]), "00")</f>
        <v>--00</v>
      </c>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49"/>
      <c r="AU547" s="41"/>
      <c r="AV547" s="37"/>
      <c r="AW547" s="37"/>
      <c r="AX547" s="37"/>
      <c r="AY547" s="37"/>
      <c r="AZ547" s="37"/>
      <c r="BA547" s="37"/>
      <c r="BB547" s="41"/>
      <c r="BC547" s="37"/>
      <c r="BD547" s="37"/>
      <c r="BE547" s="37"/>
      <c r="BF547" s="41"/>
      <c r="BG547" s="37"/>
      <c r="BH547" s="37"/>
      <c r="BI547" s="37"/>
      <c r="BJ547" s="41"/>
    </row>
    <row r="548" spans="2:62" ht="25.15" customHeight="1" x14ac:dyDescent="0.25">
      <c r="B548" s="49">
        <v>543</v>
      </c>
      <c r="C548" s="37"/>
      <c r="D548" s="87" t="str">
        <f>IF(tbl_Assessment[[#This Row],[Ben Code]]&lt;&gt;"",INDEX(tbl_Ben_Info[],MATCH(tbl_Assessment[[#This Row],[Ben Code]],tbl_Ben_Info[Ben Code],0),48),"")</f>
        <v/>
      </c>
      <c r="E548" s="116" t="str">
        <f>IF(tbl_Assessment[[#This Row],[Ben Code]]&lt;&gt;"",INDEX(tbl_Ben_Info[],MATCH(tbl_Assessment[[#This Row],[Ben Code]],tbl_Ben_Info[Ben Code],0),6),"")</f>
        <v/>
      </c>
      <c r="F548" s="113" t="str">
        <f>IF(tbl_Assessment[[#This Row],[Ben Code]]&lt;&gt;"",INDEX(tbl_Ben_Info[],MATCH(tbl_Assessment[[#This Row],[Ben Code]],tbl_Ben_Info[Ben Code],0),13),"")</f>
        <v/>
      </c>
      <c r="G548" s="49"/>
      <c r="H548" s="37"/>
      <c r="I548" s="37"/>
      <c r="J548" s="37"/>
      <c r="K548" s="37"/>
      <c r="L548" s="37"/>
      <c r="M548" s="59"/>
      <c r="N548" s="37"/>
      <c r="O548" s="37"/>
      <c r="P548" s="37"/>
      <c r="Q548" s="59"/>
      <c r="R548" s="49"/>
      <c r="S548" s="37"/>
      <c r="T548" s="37"/>
      <c r="U548" s="37"/>
      <c r="V548" s="37"/>
      <c r="W548" s="96" t="str">
        <f>tbl_Assessment[[#This Row],[Ben Code]] &amp; "-"&amp;tbl_Assessment[[#This Row],[admin4Pcode]]&amp;"-" &amp; TEXT(COUNTIF(INDEX(tbl_Assessment[Ben Code],1):tbl_Assessment[[#This Row],[Ben Code]], tbl_Assessment[[#This Row],[Ben Code]]), "00")</f>
        <v>--00</v>
      </c>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49"/>
      <c r="AU548" s="41"/>
      <c r="AV548" s="37"/>
      <c r="AW548" s="37"/>
      <c r="AX548" s="37"/>
      <c r="AY548" s="37"/>
      <c r="AZ548" s="37"/>
      <c r="BA548" s="37"/>
      <c r="BB548" s="41"/>
      <c r="BC548" s="37"/>
      <c r="BD548" s="37"/>
      <c r="BE548" s="37"/>
      <c r="BF548" s="41"/>
      <c r="BG548" s="37"/>
      <c r="BH548" s="37"/>
      <c r="BI548" s="37"/>
      <c r="BJ548" s="41"/>
    </row>
    <row r="549" spans="2:62" ht="25.15" customHeight="1" x14ac:dyDescent="0.25">
      <c r="B549" s="49">
        <v>544</v>
      </c>
      <c r="C549" s="37"/>
      <c r="D549" s="87" t="str">
        <f>IF(tbl_Assessment[[#This Row],[Ben Code]]&lt;&gt;"",INDEX(tbl_Ben_Info[],MATCH(tbl_Assessment[[#This Row],[Ben Code]],tbl_Ben_Info[Ben Code],0),48),"")</f>
        <v/>
      </c>
      <c r="E549" s="116" t="str">
        <f>IF(tbl_Assessment[[#This Row],[Ben Code]]&lt;&gt;"",INDEX(tbl_Ben_Info[],MATCH(tbl_Assessment[[#This Row],[Ben Code]],tbl_Ben_Info[Ben Code],0),6),"")</f>
        <v/>
      </c>
      <c r="F549" s="113" t="str">
        <f>IF(tbl_Assessment[[#This Row],[Ben Code]]&lt;&gt;"",INDEX(tbl_Ben_Info[],MATCH(tbl_Assessment[[#This Row],[Ben Code]],tbl_Ben_Info[Ben Code],0),13),"")</f>
        <v/>
      </c>
      <c r="G549" s="49"/>
      <c r="H549" s="37"/>
      <c r="I549" s="37"/>
      <c r="J549" s="37"/>
      <c r="K549" s="37"/>
      <c r="L549" s="37"/>
      <c r="M549" s="59"/>
      <c r="N549" s="37"/>
      <c r="O549" s="37"/>
      <c r="P549" s="37"/>
      <c r="Q549" s="59"/>
      <c r="R549" s="49"/>
      <c r="S549" s="37"/>
      <c r="T549" s="37"/>
      <c r="U549" s="37"/>
      <c r="V549" s="37"/>
      <c r="W549" s="96" t="str">
        <f>tbl_Assessment[[#This Row],[Ben Code]] &amp; "-"&amp;tbl_Assessment[[#This Row],[admin4Pcode]]&amp;"-" &amp; TEXT(COUNTIF(INDEX(tbl_Assessment[Ben Code],1):tbl_Assessment[[#This Row],[Ben Code]], tbl_Assessment[[#This Row],[Ben Code]]), "00")</f>
        <v>--00</v>
      </c>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49"/>
      <c r="AU549" s="41"/>
      <c r="AV549" s="37"/>
      <c r="AW549" s="37"/>
      <c r="AX549" s="37"/>
      <c r="AY549" s="37"/>
      <c r="AZ549" s="37"/>
      <c r="BA549" s="37"/>
      <c r="BB549" s="41"/>
      <c r="BC549" s="37"/>
      <c r="BD549" s="37"/>
      <c r="BE549" s="37"/>
      <c r="BF549" s="41"/>
      <c r="BG549" s="37"/>
      <c r="BH549" s="37"/>
      <c r="BI549" s="37"/>
      <c r="BJ549" s="41"/>
    </row>
    <row r="550" spans="2:62" ht="25.15" customHeight="1" x14ac:dyDescent="0.25">
      <c r="B550" s="49">
        <v>545</v>
      </c>
      <c r="C550" s="37"/>
      <c r="D550" s="87" t="str">
        <f>IF(tbl_Assessment[[#This Row],[Ben Code]]&lt;&gt;"",INDEX(tbl_Ben_Info[],MATCH(tbl_Assessment[[#This Row],[Ben Code]],tbl_Ben_Info[Ben Code],0),48),"")</f>
        <v/>
      </c>
      <c r="E550" s="116" t="str">
        <f>IF(tbl_Assessment[[#This Row],[Ben Code]]&lt;&gt;"",INDEX(tbl_Ben_Info[],MATCH(tbl_Assessment[[#This Row],[Ben Code]],tbl_Ben_Info[Ben Code],0),6),"")</f>
        <v/>
      </c>
      <c r="F550" s="113" t="str">
        <f>IF(tbl_Assessment[[#This Row],[Ben Code]]&lt;&gt;"",INDEX(tbl_Ben_Info[],MATCH(tbl_Assessment[[#This Row],[Ben Code]],tbl_Ben_Info[Ben Code],0),13),"")</f>
        <v/>
      </c>
      <c r="G550" s="49"/>
      <c r="H550" s="37"/>
      <c r="I550" s="37"/>
      <c r="J550" s="37"/>
      <c r="K550" s="37"/>
      <c r="L550" s="37"/>
      <c r="M550" s="59"/>
      <c r="N550" s="37"/>
      <c r="O550" s="37"/>
      <c r="P550" s="37"/>
      <c r="Q550" s="59"/>
      <c r="R550" s="49"/>
      <c r="S550" s="37"/>
      <c r="T550" s="37"/>
      <c r="U550" s="37"/>
      <c r="V550" s="37"/>
      <c r="W550" s="96" t="str">
        <f>tbl_Assessment[[#This Row],[Ben Code]] &amp; "-"&amp;tbl_Assessment[[#This Row],[admin4Pcode]]&amp;"-" &amp; TEXT(COUNTIF(INDEX(tbl_Assessment[Ben Code],1):tbl_Assessment[[#This Row],[Ben Code]], tbl_Assessment[[#This Row],[Ben Code]]), "00")</f>
        <v>--00</v>
      </c>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49"/>
      <c r="AU550" s="41"/>
      <c r="AV550" s="37"/>
      <c r="AW550" s="37"/>
      <c r="AX550" s="37"/>
      <c r="AY550" s="37"/>
      <c r="AZ550" s="37"/>
      <c r="BA550" s="37"/>
      <c r="BB550" s="41"/>
      <c r="BC550" s="37"/>
      <c r="BD550" s="37"/>
      <c r="BE550" s="37"/>
      <c r="BF550" s="41"/>
      <c r="BG550" s="37"/>
      <c r="BH550" s="37"/>
      <c r="BI550" s="37"/>
      <c r="BJ550" s="41"/>
    </row>
    <row r="551" spans="2:62" ht="25.15" customHeight="1" x14ac:dyDescent="0.25">
      <c r="B551" s="49">
        <v>546</v>
      </c>
      <c r="C551" s="37"/>
      <c r="D551" s="87" t="str">
        <f>IF(tbl_Assessment[[#This Row],[Ben Code]]&lt;&gt;"",INDEX(tbl_Ben_Info[],MATCH(tbl_Assessment[[#This Row],[Ben Code]],tbl_Ben_Info[Ben Code],0),48),"")</f>
        <v/>
      </c>
      <c r="E551" s="116" t="str">
        <f>IF(tbl_Assessment[[#This Row],[Ben Code]]&lt;&gt;"",INDEX(tbl_Ben_Info[],MATCH(tbl_Assessment[[#This Row],[Ben Code]],tbl_Ben_Info[Ben Code],0),6),"")</f>
        <v/>
      </c>
      <c r="F551" s="113" t="str">
        <f>IF(tbl_Assessment[[#This Row],[Ben Code]]&lt;&gt;"",INDEX(tbl_Ben_Info[],MATCH(tbl_Assessment[[#This Row],[Ben Code]],tbl_Ben_Info[Ben Code],0),13),"")</f>
        <v/>
      </c>
      <c r="G551" s="49"/>
      <c r="H551" s="37"/>
      <c r="I551" s="37"/>
      <c r="J551" s="37"/>
      <c r="K551" s="37"/>
      <c r="L551" s="37"/>
      <c r="M551" s="59"/>
      <c r="N551" s="37"/>
      <c r="O551" s="37"/>
      <c r="P551" s="37"/>
      <c r="Q551" s="59"/>
      <c r="R551" s="49"/>
      <c r="S551" s="37"/>
      <c r="T551" s="37"/>
      <c r="U551" s="37"/>
      <c r="V551" s="37"/>
      <c r="W551" s="96" t="str">
        <f>tbl_Assessment[[#This Row],[Ben Code]] &amp; "-"&amp;tbl_Assessment[[#This Row],[admin4Pcode]]&amp;"-" &amp; TEXT(COUNTIF(INDEX(tbl_Assessment[Ben Code],1):tbl_Assessment[[#This Row],[Ben Code]], tbl_Assessment[[#This Row],[Ben Code]]), "00")</f>
        <v>--00</v>
      </c>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49"/>
      <c r="AU551" s="41"/>
      <c r="AV551" s="37"/>
      <c r="AW551" s="37"/>
      <c r="AX551" s="37"/>
      <c r="AY551" s="37"/>
      <c r="AZ551" s="37"/>
      <c r="BA551" s="37"/>
      <c r="BB551" s="41"/>
      <c r="BC551" s="37"/>
      <c r="BD551" s="37"/>
      <c r="BE551" s="37"/>
      <c r="BF551" s="41"/>
      <c r="BG551" s="37"/>
      <c r="BH551" s="37"/>
      <c r="BI551" s="37"/>
      <c r="BJ551" s="41"/>
    </row>
    <row r="552" spans="2:62" ht="25.15" customHeight="1" x14ac:dyDescent="0.25">
      <c r="B552" s="49">
        <v>547</v>
      </c>
      <c r="C552" s="37"/>
      <c r="D552" s="87" t="str">
        <f>IF(tbl_Assessment[[#This Row],[Ben Code]]&lt;&gt;"",INDEX(tbl_Ben_Info[],MATCH(tbl_Assessment[[#This Row],[Ben Code]],tbl_Ben_Info[Ben Code],0),48),"")</f>
        <v/>
      </c>
      <c r="E552" s="116" t="str">
        <f>IF(tbl_Assessment[[#This Row],[Ben Code]]&lt;&gt;"",INDEX(tbl_Ben_Info[],MATCH(tbl_Assessment[[#This Row],[Ben Code]],tbl_Ben_Info[Ben Code],0),6),"")</f>
        <v/>
      </c>
      <c r="F552" s="113" t="str">
        <f>IF(tbl_Assessment[[#This Row],[Ben Code]]&lt;&gt;"",INDEX(tbl_Ben_Info[],MATCH(tbl_Assessment[[#This Row],[Ben Code]],tbl_Ben_Info[Ben Code],0),13),"")</f>
        <v/>
      </c>
      <c r="G552" s="49"/>
      <c r="H552" s="37"/>
      <c r="I552" s="37"/>
      <c r="J552" s="37"/>
      <c r="K552" s="37"/>
      <c r="L552" s="37"/>
      <c r="M552" s="59"/>
      <c r="N552" s="37"/>
      <c r="O552" s="37"/>
      <c r="P552" s="37"/>
      <c r="Q552" s="59"/>
      <c r="R552" s="49"/>
      <c r="S552" s="37"/>
      <c r="T552" s="37"/>
      <c r="U552" s="37"/>
      <c r="V552" s="37"/>
      <c r="W552" s="96" t="str">
        <f>tbl_Assessment[[#This Row],[Ben Code]] &amp; "-"&amp;tbl_Assessment[[#This Row],[admin4Pcode]]&amp;"-" &amp; TEXT(COUNTIF(INDEX(tbl_Assessment[Ben Code],1):tbl_Assessment[[#This Row],[Ben Code]], tbl_Assessment[[#This Row],[Ben Code]]), "00")</f>
        <v>--00</v>
      </c>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49"/>
      <c r="AU552" s="41"/>
      <c r="AV552" s="37"/>
      <c r="AW552" s="37"/>
      <c r="AX552" s="37"/>
      <c r="AY552" s="37"/>
      <c r="AZ552" s="37"/>
      <c r="BA552" s="37"/>
      <c r="BB552" s="41"/>
      <c r="BC552" s="37"/>
      <c r="BD552" s="37"/>
      <c r="BE552" s="37"/>
      <c r="BF552" s="41"/>
      <c r="BG552" s="37"/>
      <c r="BH552" s="37"/>
      <c r="BI552" s="37"/>
      <c r="BJ552" s="41"/>
    </row>
    <row r="553" spans="2:62" ht="25.15" customHeight="1" x14ac:dyDescent="0.25">
      <c r="B553" s="49">
        <v>548</v>
      </c>
      <c r="C553" s="37"/>
      <c r="D553" s="87" t="str">
        <f>IF(tbl_Assessment[[#This Row],[Ben Code]]&lt;&gt;"",INDEX(tbl_Ben_Info[],MATCH(tbl_Assessment[[#This Row],[Ben Code]],tbl_Ben_Info[Ben Code],0),48),"")</f>
        <v/>
      </c>
      <c r="E553" s="116" t="str">
        <f>IF(tbl_Assessment[[#This Row],[Ben Code]]&lt;&gt;"",INDEX(tbl_Ben_Info[],MATCH(tbl_Assessment[[#This Row],[Ben Code]],tbl_Ben_Info[Ben Code],0),6),"")</f>
        <v/>
      </c>
      <c r="F553" s="113" t="str">
        <f>IF(tbl_Assessment[[#This Row],[Ben Code]]&lt;&gt;"",INDEX(tbl_Ben_Info[],MATCH(tbl_Assessment[[#This Row],[Ben Code]],tbl_Ben_Info[Ben Code],0),13),"")</f>
        <v/>
      </c>
      <c r="G553" s="49"/>
      <c r="H553" s="37"/>
      <c r="I553" s="37"/>
      <c r="J553" s="37"/>
      <c r="K553" s="37"/>
      <c r="L553" s="37"/>
      <c r="M553" s="59"/>
      <c r="N553" s="37"/>
      <c r="O553" s="37"/>
      <c r="P553" s="37"/>
      <c r="Q553" s="59"/>
      <c r="R553" s="49"/>
      <c r="S553" s="37"/>
      <c r="T553" s="37"/>
      <c r="U553" s="37"/>
      <c r="V553" s="37"/>
      <c r="W553" s="96" t="str">
        <f>tbl_Assessment[[#This Row],[Ben Code]] &amp; "-"&amp;tbl_Assessment[[#This Row],[admin4Pcode]]&amp;"-" &amp; TEXT(COUNTIF(INDEX(tbl_Assessment[Ben Code],1):tbl_Assessment[[#This Row],[Ben Code]], tbl_Assessment[[#This Row],[Ben Code]]), "00")</f>
        <v>--00</v>
      </c>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49"/>
      <c r="AU553" s="41"/>
      <c r="AV553" s="37"/>
      <c r="AW553" s="37"/>
      <c r="AX553" s="37"/>
      <c r="AY553" s="37"/>
      <c r="AZ553" s="37"/>
      <c r="BA553" s="37"/>
      <c r="BB553" s="41"/>
      <c r="BC553" s="37"/>
      <c r="BD553" s="37"/>
      <c r="BE553" s="37"/>
      <c r="BF553" s="41"/>
      <c r="BG553" s="37"/>
      <c r="BH553" s="37"/>
      <c r="BI553" s="37"/>
      <c r="BJ553" s="41"/>
    </row>
    <row r="554" spans="2:62" ht="25.15" customHeight="1" x14ac:dyDescent="0.25">
      <c r="B554" s="49">
        <v>549</v>
      </c>
      <c r="C554" s="37"/>
      <c r="D554" s="87" t="str">
        <f>IF(tbl_Assessment[[#This Row],[Ben Code]]&lt;&gt;"",INDEX(tbl_Ben_Info[],MATCH(tbl_Assessment[[#This Row],[Ben Code]],tbl_Ben_Info[Ben Code],0),48),"")</f>
        <v/>
      </c>
      <c r="E554" s="116" t="str">
        <f>IF(tbl_Assessment[[#This Row],[Ben Code]]&lt;&gt;"",INDEX(tbl_Ben_Info[],MATCH(tbl_Assessment[[#This Row],[Ben Code]],tbl_Ben_Info[Ben Code],0),6),"")</f>
        <v/>
      </c>
      <c r="F554" s="113" t="str">
        <f>IF(tbl_Assessment[[#This Row],[Ben Code]]&lt;&gt;"",INDEX(tbl_Ben_Info[],MATCH(tbl_Assessment[[#This Row],[Ben Code]],tbl_Ben_Info[Ben Code],0),13),"")</f>
        <v/>
      </c>
      <c r="G554" s="49"/>
      <c r="H554" s="37"/>
      <c r="I554" s="37"/>
      <c r="J554" s="37"/>
      <c r="K554" s="37"/>
      <c r="L554" s="37"/>
      <c r="M554" s="59"/>
      <c r="N554" s="37"/>
      <c r="O554" s="37"/>
      <c r="P554" s="37"/>
      <c r="Q554" s="59"/>
      <c r="R554" s="49"/>
      <c r="S554" s="37"/>
      <c r="T554" s="37"/>
      <c r="U554" s="37"/>
      <c r="V554" s="37"/>
      <c r="W554" s="96" t="str">
        <f>tbl_Assessment[[#This Row],[Ben Code]] &amp; "-"&amp;tbl_Assessment[[#This Row],[admin4Pcode]]&amp;"-" &amp; TEXT(COUNTIF(INDEX(tbl_Assessment[Ben Code],1):tbl_Assessment[[#This Row],[Ben Code]], tbl_Assessment[[#This Row],[Ben Code]]), "00")</f>
        <v>--00</v>
      </c>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49"/>
      <c r="AU554" s="41"/>
      <c r="AV554" s="37"/>
      <c r="AW554" s="37"/>
      <c r="AX554" s="37"/>
      <c r="AY554" s="37"/>
      <c r="AZ554" s="37"/>
      <c r="BA554" s="37"/>
      <c r="BB554" s="41"/>
      <c r="BC554" s="37"/>
      <c r="BD554" s="37"/>
      <c r="BE554" s="37"/>
      <c r="BF554" s="41"/>
      <c r="BG554" s="37"/>
      <c r="BH554" s="37"/>
      <c r="BI554" s="37"/>
      <c r="BJ554" s="41"/>
    </row>
    <row r="555" spans="2:62" ht="25.15" customHeight="1" x14ac:dyDescent="0.25">
      <c r="B555" s="49">
        <v>550</v>
      </c>
      <c r="C555" s="37"/>
      <c r="D555" s="87" t="str">
        <f>IF(tbl_Assessment[[#This Row],[Ben Code]]&lt;&gt;"",INDEX(tbl_Ben_Info[],MATCH(tbl_Assessment[[#This Row],[Ben Code]],tbl_Ben_Info[Ben Code],0),48),"")</f>
        <v/>
      </c>
      <c r="E555" s="116" t="str">
        <f>IF(tbl_Assessment[[#This Row],[Ben Code]]&lt;&gt;"",INDEX(tbl_Ben_Info[],MATCH(tbl_Assessment[[#This Row],[Ben Code]],tbl_Ben_Info[Ben Code],0),6),"")</f>
        <v/>
      </c>
      <c r="F555" s="113" t="str">
        <f>IF(tbl_Assessment[[#This Row],[Ben Code]]&lt;&gt;"",INDEX(tbl_Ben_Info[],MATCH(tbl_Assessment[[#This Row],[Ben Code]],tbl_Ben_Info[Ben Code],0),13),"")</f>
        <v/>
      </c>
      <c r="G555" s="49"/>
      <c r="H555" s="37"/>
      <c r="I555" s="37"/>
      <c r="J555" s="37"/>
      <c r="K555" s="37"/>
      <c r="L555" s="37"/>
      <c r="M555" s="59"/>
      <c r="N555" s="37"/>
      <c r="O555" s="37"/>
      <c r="P555" s="37"/>
      <c r="Q555" s="59"/>
      <c r="R555" s="49"/>
      <c r="S555" s="37"/>
      <c r="T555" s="37"/>
      <c r="U555" s="37"/>
      <c r="V555" s="37"/>
      <c r="W555" s="96" t="str">
        <f>tbl_Assessment[[#This Row],[Ben Code]] &amp; "-"&amp;tbl_Assessment[[#This Row],[admin4Pcode]]&amp;"-" &amp; TEXT(COUNTIF(INDEX(tbl_Assessment[Ben Code],1):tbl_Assessment[[#This Row],[Ben Code]], tbl_Assessment[[#This Row],[Ben Code]]), "00")</f>
        <v>--00</v>
      </c>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49"/>
      <c r="AU555" s="41"/>
      <c r="AV555" s="37"/>
      <c r="AW555" s="37"/>
      <c r="AX555" s="37"/>
      <c r="AY555" s="37"/>
      <c r="AZ555" s="37"/>
      <c r="BA555" s="37"/>
      <c r="BB555" s="41"/>
      <c r="BC555" s="37"/>
      <c r="BD555" s="37"/>
      <c r="BE555" s="37"/>
      <c r="BF555" s="41"/>
      <c r="BG555" s="37"/>
      <c r="BH555" s="37"/>
      <c r="BI555" s="37"/>
      <c r="BJ555" s="41"/>
    </row>
    <row r="556" spans="2:62" ht="25.15" customHeight="1" x14ac:dyDescent="0.25">
      <c r="B556" s="49">
        <v>551</v>
      </c>
      <c r="C556" s="37"/>
      <c r="D556" s="87" t="str">
        <f>IF(tbl_Assessment[[#This Row],[Ben Code]]&lt;&gt;"",INDEX(tbl_Ben_Info[],MATCH(tbl_Assessment[[#This Row],[Ben Code]],tbl_Ben_Info[Ben Code],0),48),"")</f>
        <v/>
      </c>
      <c r="E556" s="116" t="str">
        <f>IF(tbl_Assessment[[#This Row],[Ben Code]]&lt;&gt;"",INDEX(tbl_Ben_Info[],MATCH(tbl_Assessment[[#This Row],[Ben Code]],tbl_Ben_Info[Ben Code],0),6),"")</f>
        <v/>
      </c>
      <c r="F556" s="113" t="str">
        <f>IF(tbl_Assessment[[#This Row],[Ben Code]]&lt;&gt;"",INDEX(tbl_Ben_Info[],MATCH(tbl_Assessment[[#This Row],[Ben Code]],tbl_Ben_Info[Ben Code],0),13),"")</f>
        <v/>
      </c>
      <c r="G556" s="49"/>
      <c r="H556" s="37"/>
      <c r="I556" s="37"/>
      <c r="J556" s="37"/>
      <c r="K556" s="37"/>
      <c r="L556" s="37"/>
      <c r="M556" s="59"/>
      <c r="N556" s="37"/>
      <c r="O556" s="37"/>
      <c r="P556" s="37"/>
      <c r="Q556" s="59"/>
      <c r="R556" s="49"/>
      <c r="S556" s="37"/>
      <c r="T556" s="37"/>
      <c r="U556" s="37"/>
      <c r="V556" s="37"/>
      <c r="W556" s="96" t="str">
        <f>tbl_Assessment[[#This Row],[Ben Code]] &amp; "-"&amp;tbl_Assessment[[#This Row],[admin4Pcode]]&amp;"-" &amp; TEXT(COUNTIF(INDEX(tbl_Assessment[Ben Code],1):tbl_Assessment[[#This Row],[Ben Code]], tbl_Assessment[[#This Row],[Ben Code]]), "00")</f>
        <v>--00</v>
      </c>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49"/>
      <c r="AU556" s="41"/>
      <c r="AV556" s="37"/>
      <c r="AW556" s="37"/>
      <c r="AX556" s="37"/>
      <c r="AY556" s="37"/>
      <c r="AZ556" s="37"/>
      <c r="BA556" s="37"/>
      <c r="BB556" s="41"/>
      <c r="BC556" s="37"/>
      <c r="BD556" s="37"/>
      <c r="BE556" s="37"/>
      <c r="BF556" s="41"/>
      <c r="BG556" s="37"/>
      <c r="BH556" s="37"/>
      <c r="BI556" s="37"/>
      <c r="BJ556" s="41"/>
    </row>
    <row r="557" spans="2:62" ht="25.15" customHeight="1" x14ac:dyDescent="0.25">
      <c r="B557" s="49">
        <v>552</v>
      </c>
      <c r="C557" s="37"/>
      <c r="D557" s="87" t="str">
        <f>IF(tbl_Assessment[[#This Row],[Ben Code]]&lt;&gt;"",INDEX(tbl_Ben_Info[],MATCH(tbl_Assessment[[#This Row],[Ben Code]],tbl_Ben_Info[Ben Code],0),48),"")</f>
        <v/>
      </c>
      <c r="E557" s="116" t="str">
        <f>IF(tbl_Assessment[[#This Row],[Ben Code]]&lt;&gt;"",INDEX(tbl_Ben_Info[],MATCH(tbl_Assessment[[#This Row],[Ben Code]],tbl_Ben_Info[Ben Code],0),6),"")</f>
        <v/>
      </c>
      <c r="F557" s="113" t="str">
        <f>IF(tbl_Assessment[[#This Row],[Ben Code]]&lt;&gt;"",INDEX(tbl_Ben_Info[],MATCH(tbl_Assessment[[#This Row],[Ben Code]],tbl_Ben_Info[Ben Code],0),13),"")</f>
        <v/>
      </c>
      <c r="G557" s="49"/>
      <c r="H557" s="37"/>
      <c r="I557" s="37"/>
      <c r="J557" s="37"/>
      <c r="K557" s="37"/>
      <c r="L557" s="37"/>
      <c r="M557" s="59"/>
      <c r="N557" s="37"/>
      <c r="O557" s="37"/>
      <c r="P557" s="37"/>
      <c r="Q557" s="59"/>
      <c r="R557" s="49"/>
      <c r="S557" s="37"/>
      <c r="T557" s="37"/>
      <c r="U557" s="37"/>
      <c r="V557" s="37"/>
      <c r="W557" s="96" t="str">
        <f>tbl_Assessment[[#This Row],[Ben Code]] &amp; "-"&amp;tbl_Assessment[[#This Row],[admin4Pcode]]&amp;"-" &amp; TEXT(COUNTIF(INDEX(tbl_Assessment[Ben Code],1):tbl_Assessment[[#This Row],[Ben Code]], tbl_Assessment[[#This Row],[Ben Code]]), "00")</f>
        <v>--00</v>
      </c>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49"/>
      <c r="AU557" s="41"/>
      <c r="AV557" s="37"/>
      <c r="AW557" s="37"/>
      <c r="AX557" s="37"/>
      <c r="AY557" s="37"/>
      <c r="AZ557" s="37"/>
      <c r="BA557" s="37"/>
      <c r="BB557" s="41"/>
      <c r="BC557" s="37"/>
      <c r="BD557" s="37"/>
      <c r="BE557" s="37"/>
      <c r="BF557" s="41"/>
      <c r="BG557" s="37"/>
      <c r="BH557" s="37"/>
      <c r="BI557" s="37"/>
      <c r="BJ557" s="41"/>
    </row>
    <row r="558" spans="2:62" ht="25.15" customHeight="1" x14ac:dyDescent="0.25">
      <c r="B558" s="49">
        <v>553</v>
      </c>
      <c r="C558" s="37"/>
      <c r="D558" s="87" t="str">
        <f>IF(tbl_Assessment[[#This Row],[Ben Code]]&lt;&gt;"",INDEX(tbl_Ben_Info[],MATCH(tbl_Assessment[[#This Row],[Ben Code]],tbl_Ben_Info[Ben Code],0),48),"")</f>
        <v/>
      </c>
      <c r="E558" s="116" t="str">
        <f>IF(tbl_Assessment[[#This Row],[Ben Code]]&lt;&gt;"",INDEX(tbl_Ben_Info[],MATCH(tbl_Assessment[[#This Row],[Ben Code]],tbl_Ben_Info[Ben Code],0),6),"")</f>
        <v/>
      </c>
      <c r="F558" s="113" t="str">
        <f>IF(tbl_Assessment[[#This Row],[Ben Code]]&lt;&gt;"",INDEX(tbl_Ben_Info[],MATCH(tbl_Assessment[[#This Row],[Ben Code]],tbl_Ben_Info[Ben Code],0),13),"")</f>
        <v/>
      </c>
      <c r="G558" s="49"/>
      <c r="H558" s="37"/>
      <c r="I558" s="37"/>
      <c r="J558" s="37"/>
      <c r="K558" s="37"/>
      <c r="L558" s="37"/>
      <c r="M558" s="59"/>
      <c r="N558" s="37"/>
      <c r="O558" s="37"/>
      <c r="P558" s="37"/>
      <c r="Q558" s="59"/>
      <c r="R558" s="49"/>
      <c r="S558" s="37"/>
      <c r="T558" s="37"/>
      <c r="U558" s="37"/>
      <c r="V558" s="37"/>
      <c r="W558" s="96" t="str">
        <f>tbl_Assessment[[#This Row],[Ben Code]] &amp; "-"&amp;tbl_Assessment[[#This Row],[admin4Pcode]]&amp;"-" &amp; TEXT(COUNTIF(INDEX(tbl_Assessment[Ben Code],1):tbl_Assessment[[#This Row],[Ben Code]], tbl_Assessment[[#This Row],[Ben Code]]), "00")</f>
        <v>--00</v>
      </c>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49"/>
      <c r="AU558" s="41"/>
      <c r="AV558" s="37"/>
      <c r="AW558" s="37"/>
      <c r="AX558" s="37"/>
      <c r="AY558" s="37"/>
      <c r="AZ558" s="37"/>
      <c r="BA558" s="37"/>
      <c r="BB558" s="41"/>
      <c r="BC558" s="37"/>
      <c r="BD558" s="37"/>
      <c r="BE558" s="37"/>
      <c r="BF558" s="41"/>
      <c r="BG558" s="37"/>
      <c r="BH558" s="37"/>
      <c r="BI558" s="37"/>
      <c r="BJ558" s="41"/>
    </row>
    <row r="559" spans="2:62" ht="25.15" customHeight="1" x14ac:dyDescent="0.25">
      <c r="B559" s="49">
        <v>554</v>
      </c>
      <c r="C559" s="37"/>
      <c r="D559" s="87" t="str">
        <f>IF(tbl_Assessment[[#This Row],[Ben Code]]&lt;&gt;"",INDEX(tbl_Ben_Info[],MATCH(tbl_Assessment[[#This Row],[Ben Code]],tbl_Ben_Info[Ben Code],0),48),"")</f>
        <v/>
      </c>
      <c r="E559" s="116" t="str">
        <f>IF(tbl_Assessment[[#This Row],[Ben Code]]&lt;&gt;"",INDEX(tbl_Ben_Info[],MATCH(tbl_Assessment[[#This Row],[Ben Code]],tbl_Ben_Info[Ben Code],0),6),"")</f>
        <v/>
      </c>
      <c r="F559" s="113" t="str">
        <f>IF(tbl_Assessment[[#This Row],[Ben Code]]&lt;&gt;"",INDEX(tbl_Ben_Info[],MATCH(tbl_Assessment[[#This Row],[Ben Code]],tbl_Ben_Info[Ben Code],0),13),"")</f>
        <v/>
      </c>
      <c r="G559" s="49"/>
      <c r="H559" s="37"/>
      <c r="I559" s="37"/>
      <c r="J559" s="37"/>
      <c r="K559" s="37"/>
      <c r="L559" s="37"/>
      <c r="M559" s="59"/>
      <c r="N559" s="37"/>
      <c r="O559" s="37"/>
      <c r="P559" s="37"/>
      <c r="Q559" s="59"/>
      <c r="R559" s="49"/>
      <c r="S559" s="37"/>
      <c r="T559" s="37"/>
      <c r="U559" s="37"/>
      <c r="V559" s="37"/>
      <c r="W559" s="96" t="str">
        <f>tbl_Assessment[[#This Row],[Ben Code]] &amp; "-"&amp;tbl_Assessment[[#This Row],[admin4Pcode]]&amp;"-" &amp; TEXT(COUNTIF(INDEX(tbl_Assessment[Ben Code],1):tbl_Assessment[[#This Row],[Ben Code]], tbl_Assessment[[#This Row],[Ben Code]]), "00")</f>
        <v>--00</v>
      </c>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49"/>
      <c r="AU559" s="41"/>
      <c r="AV559" s="37"/>
      <c r="AW559" s="37"/>
      <c r="AX559" s="37"/>
      <c r="AY559" s="37"/>
      <c r="AZ559" s="37"/>
      <c r="BA559" s="37"/>
      <c r="BB559" s="41"/>
      <c r="BC559" s="37"/>
      <c r="BD559" s="37"/>
      <c r="BE559" s="37"/>
      <c r="BF559" s="41"/>
      <c r="BG559" s="37"/>
      <c r="BH559" s="37"/>
      <c r="BI559" s="37"/>
      <c r="BJ559" s="41"/>
    </row>
    <row r="560" spans="2:62" ht="25.15" customHeight="1" x14ac:dyDescent="0.25">
      <c r="B560" s="49">
        <v>555</v>
      </c>
      <c r="C560" s="37"/>
      <c r="D560" s="87" t="str">
        <f>IF(tbl_Assessment[[#This Row],[Ben Code]]&lt;&gt;"",INDEX(tbl_Ben_Info[],MATCH(tbl_Assessment[[#This Row],[Ben Code]],tbl_Ben_Info[Ben Code],0),48),"")</f>
        <v/>
      </c>
      <c r="E560" s="116" t="str">
        <f>IF(tbl_Assessment[[#This Row],[Ben Code]]&lt;&gt;"",INDEX(tbl_Ben_Info[],MATCH(tbl_Assessment[[#This Row],[Ben Code]],tbl_Ben_Info[Ben Code],0),6),"")</f>
        <v/>
      </c>
      <c r="F560" s="113" t="str">
        <f>IF(tbl_Assessment[[#This Row],[Ben Code]]&lt;&gt;"",INDEX(tbl_Ben_Info[],MATCH(tbl_Assessment[[#This Row],[Ben Code]],tbl_Ben_Info[Ben Code],0),13),"")</f>
        <v/>
      </c>
      <c r="G560" s="49"/>
      <c r="H560" s="37"/>
      <c r="I560" s="37"/>
      <c r="J560" s="37"/>
      <c r="K560" s="37"/>
      <c r="L560" s="37"/>
      <c r="M560" s="59"/>
      <c r="N560" s="37"/>
      <c r="O560" s="37"/>
      <c r="P560" s="37"/>
      <c r="Q560" s="59"/>
      <c r="R560" s="49"/>
      <c r="S560" s="37"/>
      <c r="T560" s="37"/>
      <c r="U560" s="37"/>
      <c r="V560" s="37"/>
      <c r="W560" s="96" t="str">
        <f>tbl_Assessment[[#This Row],[Ben Code]] &amp; "-"&amp;tbl_Assessment[[#This Row],[admin4Pcode]]&amp;"-" &amp; TEXT(COUNTIF(INDEX(tbl_Assessment[Ben Code],1):tbl_Assessment[[#This Row],[Ben Code]], tbl_Assessment[[#This Row],[Ben Code]]), "00")</f>
        <v>--00</v>
      </c>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49"/>
      <c r="AU560" s="41"/>
      <c r="AV560" s="37"/>
      <c r="AW560" s="37"/>
      <c r="AX560" s="37"/>
      <c r="AY560" s="37"/>
      <c r="AZ560" s="37"/>
      <c r="BA560" s="37"/>
      <c r="BB560" s="41"/>
      <c r="BC560" s="37"/>
      <c r="BD560" s="37"/>
      <c r="BE560" s="37"/>
      <c r="BF560" s="41"/>
      <c r="BG560" s="37"/>
      <c r="BH560" s="37"/>
      <c r="BI560" s="37"/>
      <c r="BJ560" s="41"/>
    </row>
    <row r="561" spans="2:62" ht="25.15" customHeight="1" x14ac:dyDescent="0.25">
      <c r="B561" s="49">
        <v>556</v>
      </c>
      <c r="C561" s="37"/>
      <c r="D561" s="87" t="str">
        <f>IF(tbl_Assessment[[#This Row],[Ben Code]]&lt;&gt;"",INDEX(tbl_Ben_Info[],MATCH(tbl_Assessment[[#This Row],[Ben Code]],tbl_Ben_Info[Ben Code],0),48),"")</f>
        <v/>
      </c>
      <c r="E561" s="116" t="str">
        <f>IF(tbl_Assessment[[#This Row],[Ben Code]]&lt;&gt;"",INDEX(tbl_Ben_Info[],MATCH(tbl_Assessment[[#This Row],[Ben Code]],tbl_Ben_Info[Ben Code],0),6),"")</f>
        <v/>
      </c>
      <c r="F561" s="113" t="str">
        <f>IF(tbl_Assessment[[#This Row],[Ben Code]]&lt;&gt;"",INDEX(tbl_Ben_Info[],MATCH(tbl_Assessment[[#This Row],[Ben Code]],tbl_Ben_Info[Ben Code],0),13),"")</f>
        <v/>
      </c>
      <c r="G561" s="49"/>
      <c r="H561" s="37"/>
      <c r="I561" s="37"/>
      <c r="J561" s="37"/>
      <c r="K561" s="37"/>
      <c r="L561" s="37"/>
      <c r="M561" s="59"/>
      <c r="N561" s="37"/>
      <c r="O561" s="37"/>
      <c r="P561" s="37"/>
      <c r="Q561" s="59"/>
      <c r="R561" s="49"/>
      <c r="S561" s="37"/>
      <c r="T561" s="37"/>
      <c r="U561" s="37"/>
      <c r="V561" s="37"/>
      <c r="W561" s="96" t="str">
        <f>tbl_Assessment[[#This Row],[Ben Code]] &amp; "-"&amp;tbl_Assessment[[#This Row],[admin4Pcode]]&amp;"-" &amp; TEXT(COUNTIF(INDEX(tbl_Assessment[Ben Code],1):tbl_Assessment[[#This Row],[Ben Code]], tbl_Assessment[[#This Row],[Ben Code]]), "00")</f>
        <v>--00</v>
      </c>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49"/>
      <c r="AU561" s="41"/>
      <c r="AV561" s="37"/>
      <c r="AW561" s="37"/>
      <c r="AX561" s="37"/>
      <c r="AY561" s="37"/>
      <c r="AZ561" s="37"/>
      <c r="BA561" s="37"/>
      <c r="BB561" s="41"/>
      <c r="BC561" s="37"/>
      <c r="BD561" s="37"/>
      <c r="BE561" s="37"/>
      <c r="BF561" s="41"/>
      <c r="BG561" s="37"/>
      <c r="BH561" s="37"/>
      <c r="BI561" s="37"/>
      <c r="BJ561" s="41"/>
    </row>
    <row r="562" spans="2:62" ht="25.15" customHeight="1" x14ac:dyDescent="0.25">
      <c r="B562" s="49">
        <v>557</v>
      </c>
      <c r="C562" s="37"/>
      <c r="D562" s="87" t="str">
        <f>IF(tbl_Assessment[[#This Row],[Ben Code]]&lt;&gt;"",INDEX(tbl_Ben_Info[],MATCH(tbl_Assessment[[#This Row],[Ben Code]],tbl_Ben_Info[Ben Code],0),48),"")</f>
        <v/>
      </c>
      <c r="E562" s="116" t="str">
        <f>IF(tbl_Assessment[[#This Row],[Ben Code]]&lt;&gt;"",INDEX(tbl_Ben_Info[],MATCH(tbl_Assessment[[#This Row],[Ben Code]],tbl_Ben_Info[Ben Code],0),6),"")</f>
        <v/>
      </c>
      <c r="F562" s="113" t="str">
        <f>IF(tbl_Assessment[[#This Row],[Ben Code]]&lt;&gt;"",INDEX(tbl_Ben_Info[],MATCH(tbl_Assessment[[#This Row],[Ben Code]],tbl_Ben_Info[Ben Code],0),13),"")</f>
        <v/>
      </c>
      <c r="G562" s="49"/>
      <c r="H562" s="37"/>
      <c r="I562" s="37"/>
      <c r="J562" s="37"/>
      <c r="K562" s="37"/>
      <c r="L562" s="37"/>
      <c r="M562" s="59"/>
      <c r="N562" s="37"/>
      <c r="O562" s="37"/>
      <c r="P562" s="37"/>
      <c r="Q562" s="59"/>
      <c r="R562" s="49"/>
      <c r="S562" s="37"/>
      <c r="T562" s="37"/>
      <c r="U562" s="37"/>
      <c r="V562" s="37"/>
      <c r="W562" s="96" t="str">
        <f>tbl_Assessment[[#This Row],[Ben Code]] &amp; "-"&amp;tbl_Assessment[[#This Row],[admin4Pcode]]&amp;"-" &amp; TEXT(COUNTIF(INDEX(tbl_Assessment[Ben Code],1):tbl_Assessment[[#This Row],[Ben Code]], tbl_Assessment[[#This Row],[Ben Code]]), "00")</f>
        <v>--00</v>
      </c>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49"/>
      <c r="AU562" s="41"/>
      <c r="AV562" s="37"/>
      <c r="AW562" s="37"/>
      <c r="AX562" s="37"/>
      <c r="AY562" s="37"/>
      <c r="AZ562" s="37"/>
      <c r="BA562" s="37"/>
      <c r="BB562" s="41"/>
      <c r="BC562" s="37"/>
      <c r="BD562" s="37"/>
      <c r="BE562" s="37"/>
      <c r="BF562" s="41"/>
      <c r="BG562" s="37"/>
      <c r="BH562" s="37"/>
      <c r="BI562" s="37"/>
      <c r="BJ562" s="41"/>
    </row>
    <row r="563" spans="2:62" ht="25.15" customHeight="1" x14ac:dyDescent="0.25">
      <c r="B563" s="49">
        <v>558</v>
      </c>
      <c r="C563" s="37"/>
      <c r="D563" s="87" t="str">
        <f>IF(tbl_Assessment[[#This Row],[Ben Code]]&lt;&gt;"",INDEX(tbl_Ben_Info[],MATCH(tbl_Assessment[[#This Row],[Ben Code]],tbl_Ben_Info[Ben Code],0),48),"")</f>
        <v/>
      </c>
      <c r="E563" s="116" t="str">
        <f>IF(tbl_Assessment[[#This Row],[Ben Code]]&lt;&gt;"",INDEX(tbl_Ben_Info[],MATCH(tbl_Assessment[[#This Row],[Ben Code]],tbl_Ben_Info[Ben Code],0),6),"")</f>
        <v/>
      </c>
      <c r="F563" s="113" t="str">
        <f>IF(tbl_Assessment[[#This Row],[Ben Code]]&lt;&gt;"",INDEX(tbl_Ben_Info[],MATCH(tbl_Assessment[[#This Row],[Ben Code]],tbl_Ben_Info[Ben Code],0),13),"")</f>
        <v/>
      </c>
      <c r="G563" s="49"/>
      <c r="H563" s="37"/>
      <c r="I563" s="37"/>
      <c r="J563" s="37"/>
      <c r="K563" s="37"/>
      <c r="L563" s="37"/>
      <c r="M563" s="59"/>
      <c r="N563" s="37"/>
      <c r="O563" s="37"/>
      <c r="P563" s="37"/>
      <c r="Q563" s="59"/>
      <c r="R563" s="49"/>
      <c r="S563" s="37"/>
      <c r="T563" s="37"/>
      <c r="U563" s="37"/>
      <c r="V563" s="37"/>
      <c r="W563" s="96" t="str">
        <f>tbl_Assessment[[#This Row],[Ben Code]] &amp; "-"&amp;tbl_Assessment[[#This Row],[admin4Pcode]]&amp;"-" &amp; TEXT(COUNTIF(INDEX(tbl_Assessment[Ben Code],1):tbl_Assessment[[#This Row],[Ben Code]], tbl_Assessment[[#This Row],[Ben Code]]), "00")</f>
        <v>--00</v>
      </c>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49"/>
      <c r="AU563" s="41"/>
      <c r="AV563" s="37"/>
      <c r="AW563" s="37"/>
      <c r="AX563" s="37"/>
      <c r="AY563" s="37"/>
      <c r="AZ563" s="37"/>
      <c r="BA563" s="37"/>
      <c r="BB563" s="41"/>
      <c r="BC563" s="37"/>
      <c r="BD563" s="37"/>
      <c r="BE563" s="37"/>
      <c r="BF563" s="41"/>
      <c r="BG563" s="37"/>
      <c r="BH563" s="37"/>
      <c r="BI563" s="37"/>
      <c r="BJ563" s="41"/>
    </row>
    <row r="564" spans="2:62" ht="25.15" customHeight="1" x14ac:dyDescent="0.25">
      <c r="B564" s="49">
        <v>559</v>
      </c>
      <c r="C564" s="37"/>
      <c r="D564" s="87" t="str">
        <f>IF(tbl_Assessment[[#This Row],[Ben Code]]&lt;&gt;"",INDEX(tbl_Ben_Info[],MATCH(tbl_Assessment[[#This Row],[Ben Code]],tbl_Ben_Info[Ben Code],0),48),"")</f>
        <v/>
      </c>
      <c r="E564" s="116" t="str">
        <f>IF(tbl_Assessment[[#This Row],[Ben Code]]&lt;&gt;"",INDEX(tbl_Ben_Info[],MATCH(tbl_Assessment[[#This Row],[Ben Code]],tbl_Ben_Info[Ben Code],0),6),"")</f>
        <v/>
      </c>
      <c r="F564" s="113" t="str">
        <f>IF(tbl_Assessment[[#This Row],[Ben Code]]&lt;&gt;"",INDEX(tbl_Ben_Info[],MATCH(tbl_Assessment[[#This Row],[Ben Code]],tbl_Ben_Info[Ben Code],0),13),"")</f>
        <v/>
      </c>
      <c r="G564" s="49"/>
      <c r="H564" s="37"/>
      <c r="I564" s="37"/>
      <c r="J564" s="37"/>
      <c r="K564" s="37"/>
      <c r="L564" s="37"/>
      <c r="M564" s="59"/>
      <c r="N564" s="37"/>
      <c r="O564" s="37"/>
      <c r="P564" s="37"/>
      <c r="Q564" s="59"/>
      <c r="R564" s="49"/>
      <c r="S564" s="37"/>
      <c r="T564" s="37"/>
      <c r="U564" s="37"/>
      <c r="V564" s="37"/>
      <c r="W564" s="96" t="str">
        <f>tbl_Assessment[[#This Row],[Ben Code]] &amp; "-"&amp;tbl_Assessment[[#This Row],[admin4Pcode]]&amp;"-" &amp; TEXT(COUNTIF(INDEX(tbl_Assessment[Ben Code],1):tbl_Assessment[[#This Row],[Ben Code]], tbl_Assessment[[#This Row],[Ben Code]]), "00")</f>
        <v>--00</v>
      </c>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49"/>
      <c r="AU564" s="41"/>
      <c r="AV564" s="37"/>
      <c r="AW564" s="37"/>
      <c r="AX564" s="37"/>
      <c r="AY564" s="37"/>
      <c r="AZ564" s="37"/>
      <c r="BA564" s="37"/>
      <c r="BB564" s="41"/>
      <c r="BC564" s="37"/>
      <c r="BD564" s="37"/>
      <c r="BE564" s="37"/>
      <c r="BF564" s="41"/>
      <c r="BG564" s="37"/>
      <c r="BH564" s="37"/>
      <c r="BI564" s="37"/>
      <c r="BJ564" s="41"/>
    </row>
    <row r="565" spans="2:62" ht="25.15" customHeight="1" x14ac:dyDescent="0.25">
      <c r="B565" s="49">
        <v>560</v>
      </c>
      <c r="C565" s="37"/>
      <c r="D565" s="87" t="str">
        <f>IF(tbl_Assessment[[#This Row],[Ben Code]]&lt;&gt;"",INDEX(tbl_Ben_Info[],MATCH(tbl_Assessment[[#This Row],[Ben Code]],tbl_Ben_Info[Ben Code],0),48),"")</f>
        <v/>
      </c>
      <c r="E565" s="116" t="str">
        <f>IF(tbl_Assessment[[#This Row],[Ben Code]]&lt;&gt;"",INDEX(tbl_Ben_Info[],MATCH(tbl_Assessment[[#This Row],[Ben Code]],tbl_Ben_Info[Ben Code],0),6),"")</f>
        <v/>
      </c>
      <c r="F565" s="113" t="str">
        <f>IF(tbl_Assessment[[#This Row],[Ben Code]]&lt;&gt;"",INDEX(tbl_Ben_Info[],MATCH(tbl_Assessment[[#This Row],[Ben Code]],tbl_Ben_Info[Ben Code],0),13),"")</f>
        <v/>
      </c>
      <c r="G565" s="49"/>
      <c r="H565" s="37"/>
      <c r="I565" s="37"/>
      <c r="J565" s="37"/>
      <c r="K565" s="37"/>
      <c r="L565" s="37"/>
      <c r="M565" s="59"/>
      <c r="N565" s="37"/>
      <c r="O565" s="37"/>
      <c r="P565" s="37"/>
      <c r="Q565" s="59"/>
      <c r="R565" s="49"/>
      <c r="S565" s="37"/>
      <c r="T565" s="37"/>
      <c r="U565" s="37"/>
      <c r="V565" s="37"/>
      <c r="W565" s="96" t="str">
        <f>tbl_Assessment[[#This Row],[Ben Code]] &amp; "-"&amp;tbl_Assessment[[#This Row],[admin4Pcode]]&amp;"-" &amp; TEXT(COUNTIF(INDEX(tbl_Assessment[Ben Code],1):tbl_Assessment[[#This Row],[Ben Code]], tbl_Assessment[[#This Row],[Ben Code]]), "00")</f>
        <v>--00</v>
      </c>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49"/>
      <c r="AU565" s="41"/>
      <c r="AV565" s="37"/>
      <c r="AW565" s="37"/>
      <c r="AX565" s="37"/>
      <c r="AY565" s="37"/>
      <c r="AZ565" s="37"/>
      <c r="BA565" s="37"/>
      <c r="BB565" s="41"/>
      <c r="BC565" s="37"/>
      <c r="BD565" s="37"/>
      <c r="BE565" s="37"/>
      <c r="BF565" s="41"/>
      <c r="BG565" s="37"/>
      <c r="BH565" s="37"/>
      <c r="BI565" s="37"/>
      <c r="BJ565" s="41"/>
    </row>
    <row r="566" spans="2:62" ht="25.15" customHeight="1" x14ac:dyDescent="0.25">
      <c r="B566" s="49">
        <v>561</v>
      </c>
      <c r="C566" s="37"/>
      <c r="D566" s="87" t="str">
        <f>IF(tbl_Assessment[[#This Row],[Ben Code]]&lt;&gt;"",INDEX(tbl_Ben_Info[],MATCH(tbl_Assessment[[#This Row],[Ben Code]],tbl_Ben_Info[Ben Code],0),48),"")</f>
        <v/>
      </c>
      <c r="E566" s="116" t="str">
        <f>IF(tbl_Assessment[[#This Row],[Ben Code]]&lt;&gt;"",INDEX(tbl_Ben_Info[],MATCH(tbl_Assessment[[#This Row],[Ben Code]],tbl_Ben_Info[Ben Code],0),6),"")</f>
        <v/>
      </c>
      <c r="F566" s="113" t="str">
        <f>IF(tbl_Assessment[[#This Row],[Ben Code]]&lt;&gt;"",INDEX(tbl_Ben_Info[],MATCH(tbl_Assessment[[#This Row],[Ben Code]],tbl_Ben_Info[Ben Code],0),13),"")</f>
        <v/>
      </c>
      <c r="G566" s="49"/>
      <c r="H566" s="37"/>
      <c r="I566" s="37"/>
      <c r="J566" s="37"/>
      <c r="K566" s="37"/>
      <c r="L566" s="37"/>
      <c r="M566" s="59"/>
      <c r="N566" s="37"/>
      <c r="O566" s="37"/>
      <c r="P566" s="37"/>
      <c r="Q566" s="59"/>
      <c r="R566" s="49"/>
      <c r="S566" s="37"/>
      <c r="T566" s="37"/>
      <c r="U566" s="37"/>
      <c r="V566" s="37"/>
      <c r="W566" s="96" t="str">
        <f>tbl_Assessment[[#This Row],[Ben Code]] &amp; "-"&amp;tbl_Assessment[[#This Row],[admin4Pcode]]&amp;"-" &amp; TEXT(COUNTIF(INDEX(tbl_Assessment[Ben Code],1):tbl_Assessment[[#This Row],[Ben Code]], tbl_Assessment[[#This Row],[Ben Code]]), "00")</f>
        <v>--00</v>
      </c>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49"/>
      <c r="AU566" s="41"/>
      <c r="AV566" s="37"/>
      <c r="AW566" s="37"/>
      <c r="AX566" s="37"/>
      <c r="AY566" s="37"/>
      <c r="AZ566" s="37"/>
      <c r="BA566" s="37"/>
      <c r="BB566" s="41"/>
      <c r="BC566" s="37"/>
      <c r="BD566" s="37"/>
      <c r="BE566" s="37"/>
      <c r="BF566" s="41"/>
      <c r="BG566" s="37"/>
      <c r="BH566" s="37"/>
      <c r="BI566" s="37"/>
      <c r="BJ566" s="41"/>
    </row>
    <row r="567" spans="2:62" ht="25.15" customHeight="1" x14ac:dyDescent="0.25">
      <c r="B567" s="49">
        <v>562</v>
      </c>
      <c r="C567" s="37"/>
      <c r="D567" s="87" t="str">
        <f>IF(tbl_Assessment[[#This Row],[Ben Code]]&lt;&gt;"",INDEX(tbl_Ben_Info[],MATCH(tbl_Assessment[[#This Row],[Ben Code]],tbl_Ben_Info[Ben Code],0),48),"")</f>
        <v/>
      </c>
      <c r="E567" s="116" t="str">
        <f>IF(tbl_Assessment[[#This Row],[Ben Code]]&lt;&gt;"",INDEX(tbl_Ben_Info[],MATCH(tbl_Assessment[[#This Row],[Ben Code]],tbl_Ben_Info[Ben Code],0),6),"")</f>
        <v/>
      </c>
      <c r="F567" s="113" t="str">
        <f>IF(tbl_Assessment[[#This Row],[Ben Code]]&lt;&gt;"",INDEX(tbl_Ben_Info[],MATCH(tbl_Assessment[[#This Row],[Ben Code]],tbl_Ben_Info[Ben Code],0),13),"")</f>
        <v/>
      </c>
      <c r="G567" s="49"/>
      <c r="H567" s="37"/>
      <c r="I567" s="37"/>
      <c r="J567" s="37"/>
      <c r="K567" s="37"/>
      <c r="L567" s="37"/>
      <c r="M567" s="59"/>
      <c r="N567" s="37"/>
      <c r="O567" s="37"/>
      <c r="P567" s="37"/>
      <c r="Q567" s="59"/>
      <c r="R567" s="49"/>
      <c r="S567" s="37"/>
      <c r="T567" s="37"/>
      <c r="U567" s="37"/>
      <c r="V567" s="37"/>
      <c r="W567" s="96" t="str">
        <f>tbl_Assessment[[#This Row],[Ben Code]] &amp; "-"&amp;tbl_Assessment[[#This Row],[admin4Pcode]]&amp;"-" &amp; TEXT(COUNTIF(INDEX(tbl_Assessment[Ben Code],1):tbl_Assessment[[#This Row],[Ben Code]], tbl_Assessment[[#This Row],[Ben Code]]), "00")</f>
        <v>--00</v>
      </c>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49"/>
      <c r="AU567" s="41"/>
      <c r="AV567" s="37"/>
      <c r="AW567" s="37"/>
      <c r="AX567" s="37"/>
      <c r="AY567" s="37"/>
      <c r="AZ567" s="37"/>
      <c r="BA567" s="37"/>
      <c r="BB567" s="41"/>
      <c r="BC567" s="37"/>
      <c r="BD567" s="37"/>
      <c r="BE567" s="37"/>
      <c r="BF567" s="41"/>
      <c r="BG567" s="37"/>
      <c r="BH567" s="37"/>
      <c r="BI567" s="37"/>
      <c r="BJ567" s="41"/>
    </row>
    <row r="568" spans="2:62" ht="25.15" customHeight="1" x14ac:dyDescent="0.25">
      <c r="B568" s="49">
        <v>563</v>
      </c>
      <c r="C568" s="37"/>
      <c r="D568" s="87" t="str">
        <f>IF(tbl_Assessment[[#This Row],[Ben Code]]&lt;&gt;"",INDEX(tbl_Ben_Info[],MATCH(tbl_Assessment[[#This Row],[Ben Code]],tbl_Ben_Info[Ben Code],0),48),"")</f>
        <v/>
      </c>
      <c r="E568" s="116" t="str">
        <f>IF(tbl_Assessment[[#This Row],[Ben Code]]&lt;&gt;"",INDEX(tbl_Ben_Info[],MATCH(tbl_Assessment[[#This Row],[Ben Code]],tbl_Ben_Info[Ben Code],0),6),"")</f>
        <v/>
      </c>
      <c r="F568" s="113" t="str">
        <f>IF(tbl_Assessment[[#This Row],[Ben Code]]&lt;&gt;"",INDEX(tbl_Ben_Info[],MATCH(tbl_Assessment[[#This Row],[Ben Code]],tbl_Ben_Info[Ben Code],0),13),"")</f>
        <v/>
      </c>
      <c r="G568" s="49"/>
      <c r="H568" s="37"/>
      <c r="I568" s="37"/>
      <c r="J568" s="37"/>
      <c r="K568" s="37"/>
      <c r="L568" s="37"/>
      <c r="M568" s="59"/>
      <c r="N568" s="37"/>
      <c r="O568" s="37"/>
      <c r="P568" s="37"/>
      <c r="Q568" s="59"/>
      <c r="R568" s="49"/>
      <c r="S568" s="37"/>
      <c r="T568" s="37"/>
      <c r="U568" s="37"/>
      <c r="V568" s="37"/>
      <c r="W568" s="96" t="str">
        <f>tbl_Assessment[[#This Row],[Ben Code]] &amp; "-"&amp;tbl_Assessment[[#This Row],[admin4Pcode]]&amp;"-" &amp; TEXT(COUNTIF(INDEX(tbl_Assessment[Ben Code],1):tbl_Assessment[[#This Row],[Ben Code]], tbl_Assessment[[#This Row],[Ben Code]]), "00")</f>
        <v>--00</v>
      </c>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49"/>
      <c r="AU568" s="41"/>
      <c r="AV568" s="37"/>
      <c r="AW568" s="37"/>
      <c r="AX568" s="37"/>
      <c r="AY568" s="37"/>
      <c r="AZ568" s="37"/>
      <c r="BA568" s="37"/>
      <c r="BB568" s="41"/>
      <c r="BC568" s="37"/>
      <c r="BD568" s="37"/>
      <c r="BE568" s="37"/>
      <c r="BF568" s="41"/>
      <c r="BG568" s="37"/>
      <c r="BH568" s="37"/>
      <c r="BI568" s="37"/>
      <c r="BJ568" s="41"/>
    </row>
    <row r="569" spans="2:62" ht="25.15" customHeight="1" x14ac:dyDescent="0.25">
      <c r="B569" s="49">
        <v>564</v>
      </c>
      <c r="C569" s="37"/>
      <c r="D569" s="87" t="str">
        <f>IF(tbl_Assessment[[#This Row],[Ben Code]]&lt;&gt;"",INDEX(tbl_Ben_Info[],MATCH(tbl_Assessment[[#This Row],[Ben Code]],tbl_Ben_Info[Ben Code],0),48),"")</f>
        <v/>
      </c>
      <c r="E569" s="116" t="str">
        <f>IF(tbl_Assessment[[#This Row],[Ben Code]]&lt;&gt;"",INDEX(tbl_Ben_Info[],MATCH(tbl_Assessment[[#This Row],[Ben Code]],tbl_Ben_Info[Ben Code],0),6),"")</f>
        <v/>
      </c>
      <c r="F569" s="113" t="str">
        <f>IF(tbl_Assessment[[#This Row],[Ben Code]]&lt;&gt;"",INDEX(tbl_Ben_Info[],MATCH(tbl_Assessment[[#This Row],[Ben Code]],tbl_Ben_Info[Ben Code],0),13),"")</f>
        <v/>
      </c>
      <c r="G569" s="49"/>
      <c r="H569" s="37"/>
      <c r="I569" s="37"/>
      <c r="J569" s="37"/>
      <c r="K569" s="37"/>
      <c r="L569" s="37"/>
      <c r="M569" s="59"/>
      <c r="N569" s="37"/>
      <c r="O569" s="37"/>
      <c r="P569" s="37"/>
      <c r="Q569" s="59"/>
      <c r="R569" s="49"/>
      <c r="S569" s="37"/>
      <c r="T569" s="37"/>
      <c r="U569" s="37"/>
      <c r="V569" s="37"/>
      <c r="W569" s="96" t="str">
        <f>tbl_Assessment[[#This Row],[Ben Code]] &amp; "-"&amp;tbl_Assessment[[#This Row],[admin4Pcode]]&amp;"-" &amp; TEXT(COUNTIF(INDEX(tbl_Assessment[Ben Code],1):tbl_Assessment[[#This Row],[Ben Code]], tbl_Assessment[[#This Row],[Ben Code]]), "00")</f>
        <v>--00</v>
      </c>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49"/>
      <c r="AU569" s="41"/>
      <c r="AV569" s="37"/>
      <c r="AW569" s="37"/>
      <c r="AX569" s="37"/>
      <c r="AY569" s="37"/>
      <c r="AZ569" s="37"/>
      <c r="BA569" s="37"/>
      <c r="BB569" s="41"/>
      <c r="BC569" s="37"/>
      <c r="BD569" s="37"/>
      <c r="BE569" s="37"/>
      <c r="BF569" s="41"/>
      <c r="BG569" s="37"/>
      <c r="BH569" s="37"/>
      <c r="BI569" s="37"/>
      <c r="BJ569" s="41"/>
    </row>
    <row r="570" spans="2:62" ht="25.15" customHeight="1" x14ac:dyDescent="0.25">
      <c r="B570" s="49">
        <v>565</v>
      </c>
      <c r="C570" s="37"/>
      <c r="D570" s="87" t="str">
        <f>IF(tbl_Assessment[[#This Row],[Ben Code]]&lt;&gt;"",INDEX(tbl_Ben_Info[],MATCH(tbl_Assessment[[#This Row],[Ben Code]],tbl_Ben_Info[Ben Code],0),48),"")</f>
        <v/>
      </c>
      <c r="E570" s="116" t="str">
        <f>IF(tbl_Assessment[[#This Row],[Ben Code]]&lt;&gt;"",INDEX(tbl_Ben_Info[],MATCH(tbl_Assessment[[#This Row],[Ben Code]],tbl_Ben_Info[Ben Code],0),6),"")</f>
        <v/>
      </c>
      <c r="F570" s="113" t="str">
        <f>IF(tbl_Assessment[[#This Row],[Ben Code]]&lt;&gt;"",INDEX(tbl_Ben_Info[],MATCH(tbl_Assessment[[#This Row],[Ben Code]],tbl_Ben_Info[Ben Code],0),13),"")</f>
        <v/>
      </c>
      <c r="G570" s="49"/>
      <c r="H570" s="37"/>
      <c r="I570" s="37"/>
      <c r="J570" s="37"/>
      <c r="K570" s="37"/>
      <c r="L570" s="37"/>
      <c r="M570" s="59"/>
      <c r="N570" s="37"/>
      <c r="O570" s="37"/>
      <c r="P570" s="37"/>
      <c r="Q570" s="59"/>
      <c r="R570" s="49"/>
      <c r="S570" s="37"/>
      <c r="T570" s="37"/>
      <c r="U570" s="37"/>
      <c r="V570" s="37"/>
      <c r="W570" s="96" t="str">
        <f>tbl_Assessment[[#This Row],[Ben Code]] &amp; "-"&amp;tbl_Assessment[[#This Row],[admin4Pcode]]&amp;"-" &amp; TEXT(COUNTIF(INDEX(tbl_Assessment[Ben Code],1):tbl_Assessment[[#This Row],[Ben Code]], tbl_Assessment[[#This Row],[Ben Code]]), "00")</f>
        <v>--00</v>
      </c>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49"/>
      <c r="AU570" s="41"/>
      <c r="AV570" s="37"/>
      <c r="AW570" s="37"/>
      <c r="AX570" s="37"/>
      <c r="AY570" s="37"/>
      <c r="AZ570" s="37"/>
      <c r="BA570" s="37"/>
      <c r="BB570" s="41"/>
      <c r="BC570" s="37"/>
      <c r="BD570" s="37"/>
      <c r="BE570" s="37"/>
      <c r="BF570" s="41"/>
      <c r="BG570" s="37"/>
      <c r="BH570" s="37"/>
      <c r="BI570" s="37"/>
      <c r="BJ570" s="41"/>
    </row>
    <row r="571" spans="2:62" ht="25.15" customHeight="1" x14ac:dyDescent="0.25">
      <c r="B571" s="49">
        <v>566</v>
      </c>
      <c r="C571" s="37"/>
      <c r="D571" s="87" t="str">
        <f>IF(tbl_Assessment[[#This Row],[Ben Code]]&lt;&gt;"",INDEX(tbl_Ben_Info[],MATCH(tbl_Assessment[[#This Row],[Ben Code]],tbl_Ben_Info[Ben Code],0),48),"")</f>
        <v/>
      </c>
      <c r="E571" s="116" t="str">
        <f>IF(tbl_Assessment[[#This Row],[Ben Code]]&lt;&gt;"",INDEX(tbl_Ben_Info[],MATCH(tbl_Assessment[[#This Row],[Ben Code]],tbl_Ben_Info[Ben Code],0),6),"")</f>
        <v/>
      </c>
      <c r="F571" s="113" t="str">
        <f>IF(tbl_Assessment[[#This Row],[Ben Code]]&lt;&gt;"",INDEX(tbl_Ben_Info[],MATCH(tbl_Assessment[[#This Row],[Ben Code]],tbl_Ben_Info[Ben Code],0),13),"")</f>
        <v/>
      </c>
      <c r="G571" s="49"/>
      <c r="H571" s="37"/>
      <c r="I571" s="37"/>
      <c r="J571" s="37"/>
      <c r="K571" s="37"/>
      <c r="L571" s="37"/>
      <c r="M571" s="59"/>
      <c r="N571" s="37"/>
      <c r="O571" s="37"/>
      <c r="P571" s="37"/>
      <c r="Q571" s="59"/>
      <c r="R571" s="49"/>
      <c r="S571" s="37"/>
      <c r="T571" s="37"/>
      <c r="U571" s="37"/>
      <c r="V571" s="37"/>
      <c r="W571" s="96" t="str">
        <f>tbl_Assessment[[#This Row],[Ben Code]] &amp; "-"&amp;tbl_Assessment[[#This Row],[admin4Pcode]]&amp;"-" &amp; TEXT(COUNTIF(INDEX(tbl_Assessment[Ben Code],1):tbl_Assessment[[#This Row],[Ben Code]], tbl_Assessment[[#This Row],[Ben Code]]), "00")</f>
        <v>--00</v>
      </c>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49"/>
      <c r="AU571" s="41"/>
      <c r="AV571" s="37"/>
      <c r="AW571" s="37"/>
      <c r="AX571" s="37"/>
      <c r="AY571" s="37"/>
      <c r="AZ571" s="37"/>
      <c r="BA571" s="37"/>
      <c r="BB571" s="41"/>
      <c r="BC571" s="37"/>
      <c r="BD571" s="37"/>
      <c r="BE571" s="37"/>
      <c r="BF571" s="41"/>
      <c r="BG571" s="37"/>
      <c r="BH571" s="37"/>
      <c r="BI571" s="37"/>
      <c r="BJ571" s="41"/>
    </row>
    <row r="572" spans="2:62" ht="25.15" customHeight="1" x14ac:dyDescent="0.25">
      <c r="B572" s="49">
        <v>567</v>
      </c>
      <c r="C572" s="37"/>
      <c r="D572" s="87" t="str">
        <f>IF(tbl_Assessment[[#This Row],[Ben Code]]&lt;&gt;"",INDEX(tbl_Ben_Info[],MATCH(tbl_Assessment[[#This Row],[Ben Code]],tbl_Ben_Info[Ben Code],0),48),"")</f>
        <v/>
      </c>
      <c r="E572" s="116" t="str">
        <f>IF(tbl_Assessment[[#This Row],[Ben Code]]&lt;&gt;"",INDEX(tbl_Ben_Info[],MATCH(tbl_Assessment[[#This Row],[Ben Code]],tbl_Ben_Info[Ben Code],0),6),"")</f>
        <v/>
      </c>
      <c r="F572" s="113" t="str">
        <f>IF(tbl_Assessment[[#This Row],[Ben Code]]&lt;&gt;"",INDEX(tbl_Ben_Info[],MATCH(tbl_Assessment[[#This Row],[Ben Code]],tbl_Ben_Info[Ben Code],0),13),"")</f>
        <v/>
      </c>
      <c r="G572" s="49"/>
      <c r="H572" s="37"/>
      <c r="I572" s="37"/>
      <c r="J572" s="37"/>
      <c r="K572" s="37"/>
      <c r="L572" s="37"/>
      <c r="M572" s="59"/>
      <c r="N572" s="37"/>
      <c r="O572" s="37"/>
      <c r="P572" s="37"/>
      <c r="Q572" s="59"/>
      <c r="R572" s="49"/>
      <c r="S572" s="37"/>
      <c r="T572" s="37"/>
      <c r="U572" s="37"/>
      <c r="V572" s="37"/>
      <c r="W572" s="96" t="str">
        <f>tbl_Assessment[[#This Row],[Ben Code]] &amp; "-"&amp;tbl_Assessment[[#This Row],[admin4Pcode]]&amp;"-" &amp; TEXT(COUNTIF(INDEX(tbl_Assessment[Ben Code],1):tbl_Assessment[[#This Row],[Ben Code]], tbl_Assessment[[#This Row],[Ben Code]]), "00")</f>
        <v>--00</v>
      </c>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49"/>
      <c r="AU572" s="41"/>
      <c r="AV572" s="37"/>
      <c r="AW572" s="37"/>
      <c r="AX572" s="37"/>
      <c r="AY572" s="37"/>
      <c r="AZ572" s="37"/>
      <c r="BA572" s="37"/>
      <c r="BB572" s="41"/>
      <c r="BC572" s="37"/>
      <c r="BD572" s="37"/>
      <c r="BE572" s="37"/>
      <c r="BF572" s="41"/>
      <c r="BG572" s="37"/>
      <c r="BH572" s="37"/>
      <c r="BI572" s="37"/>
      <c r="BJ572" s="41"/>
    </row>
    <row r="573" spans="2:62" ht="25.15" customHeight="1" x14ac:dyDescent="0.25">
      <c r="B573" s="49">
        <v>568</v>
      </c>
      <c r="C573" s="37"/>
      <c r="D573" s="87" t="str">
        <f>IF(tbl_Assessment[[#This Row],[Ben Code]]&lt;&gt;"",INDEX(tbl_Ben_Info[],MATCH(tbl_Assessment[[#This Row],[Ben Code]],tbl_Ben_Info[Ben Code],0),48),"")</f>
        <v/>
      </c>
      <c r="E573" s="116" t="str">
        <f>IF(tbl_Assessment[[#This Row],[Ben Code]]&lt;&gt;"",INDEX(tbl_Ben_Info[],MATCH(tbl_Assessment[[#This Row],[Ben Code]],tbl_Ben_Info[Ben Code],0),6),"")</f>
        <v/>
      </c>
      <c r="F573" s="113" t="str">
        <f>IF(tbl_Assessment[[#This Row],[Ben Code]]&lt;&gt;"",INDEX(tbl_Ben_Info[],MATCH(tbl_Assessment[[#This Row],[Ben Code]],tbl_Ben_Info[Ben Code],0),13),"")</f>
        <v/>
      </c>
      <c r="G573" s="49"/>
      <c r="H573" s="37"/>
      <c r="I573" s="37"/>
      <c r="J573" s="37"/>
      <c r="K573" s="37"/>
      <c r="L573" s="37"/>
      <c r="M573" s="59"/>
      <c r="N573" s="37"/>
      <c r="O573" s="37"/>
      <c r="P573" s="37"/>
      <c r="Q573" s="59"/>
      <c r="R573" s="49"/>
      <c r="S573" s="37"/>
      <c r="T573" s="37"/>
      <c r="U573" s="37"/>
      <c r="V573" s="37"/>
      <c r="W573" s="96" t="str">
        <f>tbl_Assessment[[#This Row],[Ben Code]] &amp; "-"&amp;tbl_Assessment[[#This Row],[admin4Pcode]]&amp;"-" &amp; TEXT(COUNTIF(INDEX(tbl_Assessment[Ben Code],1):tbl_Assessment[[#This Row],[Ben Code]], tbl_Assessment[[#This Row],[Ben Code]]), "00")</f>
        <v>--00</v>
      </c>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49"/>
      <c r="AU573" s="41"/>
      <c r="AV573" s="37"/>
      <c r="AW573" s="37"/>
      <c r="AX573" s="37"/>
      <c r="AY573" s="37"/>
      <c r="AZ573" s="37"/>
      <c r="BA573" s="37"/>
      <c r="BB573" s="41"/>
      <c r="BC573" s="37"/>
      <c r="BD573" s="37"/>
      <c r="BE573" s="37"/>
      <c r="BF573" s="41"/>
      <c r="BG573" s="37"/>
      <c r="BH573" s="37"/>
      <c r="BI573" s="37"/>
      <c r="BJ573" s="41"/>
    </row>
    <row r="574" spans="2:62" ht="25.15" customHeight="1" x14ac:dyDescent="0.25">
      <c r="B574" s="49">
        <v>569</v>
      </c>
      <c r="C574" s="37"/>
      <c r="D574" s="87" t="str">
        <f>IF(tbl_Assessment[[#This Row],[Ben Code]]&lt;&gt;"",INDEX(tbl_Ben_Info[],MATCH(tbl_Assessment[[#This Row],[Ben Code]],tbl_Ben_Info[Ben Code],0),48),"")</f>
        <v/>
      </c>
      <c r="E574" s="116" t="str">
        <f>IF(tbl_Assessment[[#This Row],[Ben Code]]&lt;&gt;"",INDEX(tbl_Ben_Info[],MATCH(tbl_Assessment[[#This Row],[Ben Code]],tbl_Ben_Info[Ben Code],0),6),"")</f>
        <v/>
      </c>
      <c r="F574" s="113" t="str">
        <f>IF(tbl_Assessment[[#This Row],[Ben Code]]&lt;&gt;"",INDEX(tbl_Ben_Info[],MATCH(tbl_Assessment[[#This Row],[Ben Code]],tbl_Ben_Info[Ben Code],0),13),"")</f>
        <v/>
      </c>
      <c r="G574" s="49"/>
      <c r="H574" s="37"/>
      <c r="I574" s="37"/>
      <c r="J574" s="37"/>
      <c r="K574" s="37"/>
      <c r="L574" s="37"/>
      <c r="M574" s="59"/>
      <c r="N574" s="37"/>
      <c r="O574" s="37"/>
      <c r="P574" s="37"/>
      <c r="Q574" s="59"/>
      <c r="R574" s="49"/>
      <c r="S574" s="37"/>
      <c r="T574" s="37"/>
      <c r="U574" s="37"/>
      <c r="V574" s="37"/>
      <c r="W574" s="96" t="str">
        <f>tbl_Assessment[[#This Row],[Ben Code]] &amp; "-"&amp;tbl_Assessment[[#This Row],[admin4Pcode]]&amp;"-" &amp; TEXT(COUNTIF(INDEX(tbl_Assessment[Ben Code],1):tbl_Assessment[[#This Row],[Ben Code]], tbl_Assessment[[#This Row],[Ben Code]]), "00")</f>
        <v>--00</v>
      </c>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49"/>
      <c r="AU574" s="41"/>
      <c r="AV574" s="37"/>
      <c r="AW574" s="37"/>
      <c r="AX574" s="37"/>
      <c r="AY574" s="37"/>
      <c r="AZ574" s="37"/>
      <c r="BA574" s="37"/>
      <c r="BB574" s="41"/>
      <c r="BC574" s="37"/>
      <c r="BD574" s="37"/>
      <c r="BE574" s="37"/>
      <c r="BF574" s="41"/>
      <c r="BG574" s="37"/>
      <c r="BH574" s="37"/>
      <c r="BI574" s="37"/>
      <c r="BJ574" s="41"/>
    </row>
    <row r="575" spans="2:62" ht="25.15" customHeight="1" x14ac:dyDescent="0.25">
      <c r="B575" s="49">
        <v>570</v>
      </c>
      <c r="C575" s="37"/>
      <c r="D575" s="87" t="str">
        <f>IF(tbl_Assessment[[#This Row],[Ben Code]]&lt;&gt;"",INDEX(tbl_Ben_Info[],MATCH(tbl_Assessment[[#This Row],[Ben Code]],tbl_Ben_Info[Ben Code],0),48),"")</f>
        <v/>
      </c>
      <c r="E575" s="116" t="str">
        <f>IF(tbl_Assessment[[#This Row],[Ben Code]]&lt;&gt;"",INDEX(tbl_Ben_Info[],MATCH(tbl_Assessment[[#This Row],[Ben Code]],tbl_Ben_Info[Ben Code],0),6),"")</f>
        <v/>
      </c>
      <c r="F575" s="113" t="str">
        <f>IF(tbl_Assessment[[#This Row],[Ben Code]]&lt;&gt;"",INDEX(tbl_Ben_Info[],MATCH(tbl_Assessment[[#This Row],[Ben Code]],tbl_Ben_Info[Ben Code],0),13),"")</f>
        <v/>
      </c>
      <c r="G575" s="49"/>
      <c r="H575" s="37"/>
      <c r="I575" s="37"/>
      <c r="J575" s="37"/>
      <c r="K575" s="37"/>
      <c r="L575" s="37"/>
      <c r="M575" s="59"/>
      <c r="N575" s="37"/>
      <c r="O575" s="37"/>
      <c r="P575" s="37"/>
      <c r="Q575" s="59"/>
      <c r="R575" s="49"/>
      <c r="S575" s="37"/>
      <c r="T575" s="37"/>
      <c r="U575" s="37"/>
      <c r="V575" s="37"/>
      <c r="W575" s="96" t="str">
        <f>tbl_Assessment[[#This Row],[Ben Code]] &amp; "-"&amp;tbl_Assessment[[#This Row],[admin4Pcode]]&amp;"-" &amp; TEXT(COUNTIF(INDEX(tbl_Assessment[Ben Code],1):tbl_Assessment[[#This Row],[Ben Code]], tbl_Assessment[[#This Row],[Ben Code]]), "00")</f>
        <v>--00</v>
      </c>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49"/>
      <c r="AU575" s="41"/>
      <c r="AV575" s="37"/>
      <c r="AW575" s="37"/>
      <c r="AX575" s="37"/>
      <c r="AY575" s="37"/>
      <c r="AZ575" s="37"/>
      <c r="BA575" s="37"/>
      <c r="BB575" s="41"/>
      <c r="BC575" s="37"/>
      <c r="BD575" s="37"/>
      <c r="BE575" s="37"/>
      <c r="BF575" s="41"/>
      <c r="BG575" s="37"/>
      <c r="BH575" s="37"/>
      <c r="BI575" s="37"/>
      <c r="BJ575" s="41"/>
    </row>
    <row r="576" spans="2:62" ht="25.15" customHeight="1" x14ac:dyDescent="0.25">
      <c r="B576" s="49">
        <v>571</v>
      </c>
      <c r="C576" s="37"/>
      <c r="D576" s="87" t="str">
        <f>IF(tbl_Assessment[[#This Row],[Ben Code]]&lt;&gt;"",INDEX(tbl_Ben_Info[],MATCH(tbl_Assessment[[#This Row],[Ben Code]],tbl_Ben_Info[Ben Code],0),48),"")</f>
        <v/>
      </c>
      <c r="E576" s="116" t="str">
        <f>IF(tbl_Assessment[[#This Row],[Ben Code]]&lt;&gt;"",INDEX(tbl_Ben_Info[],MATCH(tbl_Assessment[[#This Row],[Ben Code]],tbl_Ben_Info[Ben Code],0),6),"")</f>
        <v/>
      </c>
      <c r="F576" s="113" t="str">
        <f>IF(tbl_Assessment[[#This Row],[Ben Code]]&lt;&gt;"",INDEX(tbl_Ben_Info[],MATCH(tbl_Assessment[[#This Row],[Ben Code]],tbl_Ben_Info[Ben Code],0),13),"")</f>
        <v/>
      </c>
      <c r="G576" s="49"/>
      <c r="H576" s="37"/>
      <c r="I576" s="37"/>
      <c r="J576" s="37"/>
      <c r="K576" s="37"/>
      <c r="L576" s="37"/>
      <c r="M576" s="59"/>
      <c r="N576" s="37"/>
      <c r="O576" s="37"/>
      <c r="P576" s="37"/>
      <c r="Q576" s="59"/>
      <c r="R576" s="49"/>
      <c r="S576" s="37"/>
      <c r="T576" s="37"/>
      <c r="U576" s="37"/>
      <c r="V576" s="37"/>
      <c r="W576" s="96" t="str">
        <f>tbl_Assessment[[#This Row],[Ben Code]] &amp; "-"&amp;tbl_Assessment[[#This Row],[admin4Pcode]]&amp;"-" &amp; TEXT(COUNTIF(INDEX(tbl_Assessment[Ben Code],1):tbl_Assessment[[#This Row],[Ben Code]], tbl_Assessment[[#This Row],[Ben Code]]), "00")</f>
        <v>--00</v>
      </c>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49"/>
      <c r="AU576" s="41"/>
      <c r="AV576" s="37"/>
      <c r="AW576" s="37"/>
      <c r="AX576" s="37"/>
      <c r="AY576" s="37"/>
      <c r="AZ576" s="37"/>
      <c r="BA576" s="37"/>
      <c r="BB576" s="41"/>
      <c r="BC576" s="37"/>
      <c r="BD576" s="37"/>
      <c r="BE576" s="37"/>
      <c r="BF576" s="41"/>
      <c r="BG576" s="37"/>
      <c r="BH576" s="37"/>
      <c r="BI576" s="37"/>
      <c r="BJ576" s="41"/>
    </row>
    <row r="577" spans="2:62" ht="25.15" customHeight="1" x14ac:dyDescent="0.25">
      <c r="B577" s="49">
        <v>572</v>
      </c>
      <c r="C577" s="37"/>
      <c r="D577" s="87" t="str">
        <f>IF(tbl_Assessment[[#This Row],[Ben Code]]&lt;&gt;"",INDEX(tbl_Ben_Info[],MATCH(tbl_Assessment[[#This Row],[Ben Code]],tbl_Ben_Info[Ben Code],0),48),"")</f>
        <v/>
      </c>
      <c r="E577" s="116" t="str">
        <f>IF(tbl_Assessment[[#This Row],[Ben Code]]&lt;&gt;"",INDEX(tbl_Ben_Info[],MATCH(tbl_Assessment[[#This Row],[Ben Code]],tbl_Ben_Info[Ben Code],0),6),"")</f>
        <v/>
      </c>
      <c r="F577" s="113" t="str">
        <f>IF(tbl_Assessment[[#This Row],[Ben Code]]&lt;&gt;"",INDEX(tbl_Ben_Info[],MATCH(tbl_Assessment[[#This Row],[Ben Code]],tbl_Ben_Info[Ben Code],0),13),"")</f>
        <v/>
      </c>
      <c r="G577" s="49"/>
      <c r="H577" s="37"/>
      <c r="I577" s="37"/>
      <c r="J577" s="37"/>
      <c r="K577" s="37"/>
      <c r="L577" s="37"/>
      <c r="M577" s="59"/>
      <c r="N577" s="37"/>
      <c r="O577" s="37"/>
      <c r="P577" s="37"/>
      <c r="Q577" s="59"/>
      <c r="R577" s="49"/>
      <c r="S577" s="37"/>
      <c r="T577" s="37"/>
      <c r="U577" s="37"/>
      <c r="V577" s="37"/>
      <c r="W577" s="96" t="str">
        <f>tbl_Assessment[[#This Row],[Ben Code]] &amp; "-"&amp;tbl_Assessment[[#This Row],[admin4Pcode]]&amp;"-" &amp; TEXT(COUNTIF(INDEX(tbl_Assessment[Ben Code],1):tbl_Assessment[[#This Row],[Ben Code]], tbl_Assessment[[#This Row],[Ben Code]]), "00")</f>
        <v>--00</v>
      </c>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49"/>
      <c r="AU577" s="41"/>
      <c r="AV577" s="37"/>
      <c r="AW577" s="37"/>
      <c r="AX577" s="37"/>
      <c r="AY577" s="37"/>
      <c r="AZ577" s="37"/>
      <c r="BA577" s="37"/>
      <c r="BB577" s="41"/>
      <c r="BC577" s="37"/>
      <c r="BD577" s="37"/>
      <c r="BE577" s="37"/>
      <c r="BF577" s="41"/>
      <c r="BG577" s="37"/>
      <c r="BH577" s="37"/>
      <c r="BI577" s="37"/>
      <c r="BJ577" s="41"/>
    </row>
    <row r="578" spans="2:62" ht="25.15" customHeight="1" x14ac:dyDescent="0.25">
      <c r="B578" s="49">
        <v>573</v>
      </c>
      <c r="C578" s="37"/>
      <c r="D578" s="87" t="str">
        <f>IF(tbl_Assessment[[#This Row],[Ben Code]]&lt;&gt;"",INDEX(tbl_Ben_Info[],MATCH(tbl_Assessment[[#This Row],[Ben Code]],tbl_Ben_Info[Ben Code],0),48),"")</f>
        <v/>
      </c>
      <c r="E578" s="116" t="str">
        <f>IF(tbl_Assessment[[#This Row],[Ben Code]]&lt;&gt;"",INDEX(tbl_Ben_Info[],MATCH(tbl_Assessment[[#This Row],[Ben Code]],tbl_Ben_Info[Ben Code],0),6),"")</f>
        <v/>
      </c>
      <c r="F578" s="113" t="str">
        <f>IF(tbl_Assessment[[#This Row],[Ben Code]]&lt;&gt;"",INDEX(tbl_Ben_Info[],MATCH(tbl_Assessment[[#This Row],[Ben Code]],tbl_Ben_Info[Ben Code],0),13),"")</f>
        <v/>
      </c>
      <c r="G578" s="49"/>
      <c r="H578" s="37"/>
      <c r="I578" s="37"/>
      <c r="J578" s="37"/>
      <c r="K578" s="37"/>
      <c r="L578" s="37"/>
      <c r="M578" s="59"/>
      <c r="N578" s="37"/>
      <c r="O578" s="37"/>
      <c r="P578" s="37"/>
      <c r="Q578" s="59"/>
      <c r="R578" s="49"/>
      <c r="S578" s="37"/>
      <c r="T578" s="37"/>
      <c r="U578" s="37"/>
      <c r="V578" s="37"/>
      <c r="W578" s="96" t="str">
        <f>tbl_Assessment[[#This Row],[Ben Code]] &amp; "-"&amp;tbl_Assessment[[#This Row],[admin4Pcode]]&amp;"-" &amp; TEXT(COUNTIF(INDEX(tbl_Assessment[Ben Code],1):tbl_Assessment[[#This Row],[Ben Code]], tbl_Assessment[[#This Row],[Ben Code]]), "00")</f>
        <v>--00</v>
      </c>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49"/>
      <c r="AU578" s="41"/>
      <c r="AV578" s="37"/>
      <c r="AW578" s="37"/>
      <c r="AX578" s="37"/>
      <c r="AY578" s="37"/>
      <c r="AZ578" s="37"/>
      <c r="BA578" s="37"/>
      <c r="BB578" s="41"/>
      <c r="BC578" s="37"/>
      <c r="BD578" s="37"/>
      <c r="BE578" s="37"/>
      <c r="BF578" s="41"/>
      <c r="BG578" s="37"/>
      <c r="BH578" s="37"/>
      <c r="BI578" s="37"/>
      <c r="BJ578" s="41"/>
    </row>
    <row r="579" spans="2:62" ht="25.15" customHeight="1" x14ac:dyDescent="0.25">
      <c r="B579" s="49">
        <v>574</v>
      </c>
      <c r="C579" s="37"/>
      <c r="D579" s="87" t="str">
        <f>IF(tbl_Assessment[[#This Row],[Ben Code]]&lt;&gt;"",INDEX(tbl_Ben_Info[],MATCH(tbl_Assessment[[#This Row],[Ben Code]],tbl_Ben_Info[Ben Code],0),48),"")</f>
        <v/>
      </c>
      <c r="E579" s="116" t="str">
        <f>IF(tbl_Assessment[[#This Row],[Ben Code]]&lt;&gt;"",INDEX(tbl_Ben_Info[],MATCH(tbl_Assessment[[#This Row],[Ben Code]],tbl_Ben_Info[Ben Code],0),6),"")</f>
        <v/>
      </c>
      <c r="F579" s="113" t="str">
        <f>IF(tbl_Assessment[[#This Row],[Ben Code]]&lt;&gt;"",INDEX(tbl_Ben_Info[],MATCH(tbl_Assessment[[#This Row],[Ben Code]],tbl_Ben_Info[Ben Code],0),13),"")</f>
        <v/>
      </c>
      <c r="G579" s="49"/>
      <c r="H579" s="37"/>
      <c r="I579" s="37"/>
      <c r="J579" s="37"/>
      <c r="K579" s="37"/>
      <c r="L579" s="37"/>
      <c r="M579" s="59"/>
      <c r="N579" s="37"/>
      <c r="O579" s="37"/>
      <c r="P579" s="37"/>
      <c r="Q579" s="59"/>
      <c r="R579" s="49"/>
      <c r="S579" s="37"/>
      <c r="T579" s="37"/>
      <c r="U579" s="37"/>
      <c r="V579" s="37"/>
      <c r="W579" s="96" t="str">
        <f>tbl_Assessment[[#This Row],[Ben Code]] &amp; "-"&amp;tbl_Assessment[[#This Row],[admin4Pcode]]&amp;"-" &amp; TEXT(COUNTIF(INDEX(tbl_Assessment[Ben Code],1):tbl_Assessment[[#This Row],[Ben Code]], tbl_Assessment[[#This Row],[Ben Code]]), "00")</f>
        <v>--00</v>
      </c>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49"/>
      <c r="AU579" s="41"/>
      <c r="AV579" s="37"/>
      <c r="AW579" s="37"/>
      <c r="AX579" s="37"/>
      <c r="AY579" s="37"/>
      <c r="AZ579" s="37"/>
      <c r="BA579" s="37"/>
      <c r="BB579" s="41"/>
      <c r="BC579" s="37"/>
      <c r="BD579" s="37"/>
      <c r="BE579" s="37"/>
      <c r="BF579" s="41"/>
      <c r="BG579" s="37"/>
      <c r="BH579" s="37"/>
      <c r="BI579" s="37"/>
      <c r="BJ579" s="41"/>
    </row>
    <row r="580" spans="2:62" ht="25.15" customHeight="1" x14ac:dyDescent="0.25">
      <c r="B580" s="49">
        <v>575</v>
      </c>
      <c r="C580" s="37"/>
      <c r="D580" s="87" t="str">
        <f>IF(tbl_Assessment[[#This Row],[Ben Code]]&lt;&gt;"",INDEX(tbl_Ben_Info[],MATCH(tbl_Assessment[[#This Row],[Ben Code]],tbl_Ben_Info[Ben Code],0),48),"")</f>
        <v/>
      </c>
      <c r="E580" s="116" t="str">
        <f>IF(tbl_Assessment[[#This Row],[Ben Code]]&lt;&gt;"",INDEX(tbl_Ben_Info[],MATCH(tbl_Assessment[[#This Row],[Ben Code]],tbl_Ben_Info[Ben Code],0),6),"")</f>
        <v/>
      </c>
      <c r="F580" s="113" t="str">
        <f>IF(tbl_Assessment[[#This Row],[Ben Code]]&lt;&gt;"",INDEX(tbl_Ben_Info[],MATCH(tbl_Assessment[[#This Row],[Ben Code]],tbl_Ben_Info[Ben Code],0),13),"")</f>
        <v/>
      </c>
      <c r="G580" s="49"/>
      <c r="H580" s="37"/>
      <c r="I580" s="37"/>
      <c r="J580" s="37"/>
      <c r="K580" s="37"/>
      <c r="L580" s="37"/>
      <c r="M580" s="59"/>
      <c r="N580" s="37"/>
      <c r="O580" s="37"/>
      <c r="P580" s="37"/>
      <c r="Q580" s="59"/>
      <c r="R580" s="49"/>
      <c r="S580" s="37"/>
      <c r="T580" s="37"/>
      <c r="U580" s="37"/>
      <c r="V580" s="37"/>
      <c r="W580" s="96" t="str">
        <f>tbl_Assessment[[#This Row],[Ben Code]] &amp; "-"&amp;tbl_Assessment[[#This Row],[admin4Pcode]]&amp;"-" &amp; TEXT(COUNTIF(INDEX(tbl_Assessment[Ben Code],1):tbl_Assessment[[#This Row],[Ben Code]], tbl_Assessment[[#This Row],[Ben Code]]), "00")</f>
        <v>--00</v>
      </c>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49"/>
      <c r="AU580" s="41"/>
      <c r="AV580" s="37"/>
      <c r="AW580" s="37"/>
      <c r="AX580" s="37"/>
      <c r="AY580" s="37"/>
      <c r="AZ580" s="37"/>
      <c r="BA580" s="37"/>
      <c r="BB580" s="41"/>
      <c r="BC580" s="37"/>
      <c r="BD580" s="37"/>
      <c r="BE580" s="37"/>
      <c r="BF580" s="41"/>
      <c r="BG580" s="37"/>
      <c r="BH580" s="37"/>
      <c r="BI580" s="37"/>
      <c r="BJ580" s="41"/>
    </row>
    <row r="581" spans="2:62" ht="25.15" customHeight="1" x14ac:dyDescent="0.25">
      <c r="B581" s="49">
        <v>576</v>
      </c>
      <c r="C581" s="37"/>
      <c r="D581" s="87" t="str">
        <f>IF(tbl_Assessment[[#This Row],[Ben Code]]&lt;&gt;"",INDEX(tbl_Ben_Info[],MATCH(tbl_Assessment[[#This Row],[Ben Code]],tbl_Ben_Info[Ben Code],0),48),"")</f>
        <v/>
      </c>
      <c r="E581" s="116" t="str">
        <f>IF(tbl_Assessment[[#This Row],[Ben Code]]&lt;&gt;"",INDEX(tbl_Ben_Info[],MATCH(tbl_Assessment[[#This Row],[Ben Code]],tbl_Ben_Info[Ben Code],0),6),"")</f>
        <v/>
      </c>
      <c r="F581" s="113" t="str">
        <f>IF(tbl_Assessment[[#This Row],[Ben Code]]&lt;&gt;"",INDEX(tbl_Ben_Info[],MATCH(tbl_Assessment[[#This Row],[Ben Code]],tbl_Ben_Info[Ben Code],0),13),"")</f>
        <v/>
      </c>
      <c r="G581" s="49"/>
      <c r="H581" s="37"/>
      <c r="I581" s="37"/>
      <c r="J581" s="37"/>
      <c r="K581" s="37"/>
      <c r="L581" s="37"/>
      <c r="M581" s="59"/>
      <c r="N581" s="37"/>
      <c r="O581" s="37"/>
      <c r="P581" s="37"/>
      <c r="Q581" s="59"/>
      <c r="R581" s="49"/>
      <c r="S581" s="37"/>
      <c r="T581" s="37"/>
      <c r="U581" s="37"/>
      <c r="V581" s="37"/>
      <c r="W581" s="96" t="str">
        <f>tbl_Assessment[[#This Row],[Ben Code]] &amp; "-"&amp;tbl_Assessment[[#This Row],[admin4Pcode]]&amp;"-" &amp; TEXT(COUNTIF(INDEX(tbl_Assessment[Ben Code],1):tbl_Assessment[[#This Row],[Ben Code]], tbl_Assessment[[#This Row],[Ben Code]]), "00")</f>
        <v>--00</v>
      </c>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49"/>
      <c r="AU581" s="41"/>
      <c r="AV581" s="37"/>
      <c r="AW581" s="37"/>
      <c r="AX581" s="37"/>
      <c r="AY581" s="37"/>
      <c r="AZ581" s="37"/>
      <c r="BA581" s="37"/>
      <c r="BB581" s="41"/>
      <c r="BC581" s="37"/>
      <c r="BD581" s="37"/>
      <c r="BE581" s="37"/>
      <c r="BF581" s="41"/>
      <c r="BG581" s="37"/>
      <c r="BH581" s="37"/>
      <c r="BI581" s="37"/>
      <c r="BJ581" s="41"/>
    </row>
    <row r="582" spans="2:62" ht="25.15" customHeight="1" x14ac:dyDescent="0.25">
      <c r="B582" s="49">
        <v>577</v>
      </c>
      <c r="C582" s="37"/>
      <c r="D582" s="87" t="str">
        <f>IF(tbl_Assessment[[#This Row],[Ben Code]]&lt;&gt;"",INDEX(tbl_Ben_Info[],MATCH(tbl_Assessment[[#This Row],[Ben Code]],tbl_Ben_Info[Ben Code],0),48),"")</f>
        <v/>
      </c>
      <c r="E582" s="116" t="str">
        <f>IF(tbl_Assessment[[#This Row],[Ben Code]]&lt;&gt;"",INDEX(tbl_Ben_Info[],MATCH(tbl_Assessment[[#This Row],[Ben Code]],tbl_Ben_Info[Ben Code],0),6),"")</f>
        <v/>
      </c>
      <c r="F582" s="113" t="str">
        <f>IF(tbl_Assessment[[#This Row],[Ben Code]]&lt;&gt;"",INDEX(tbl_Ben_Info[],MATCH(tbl_Assessment[[#This Row],[Ben Code]],tbl_Ben_Info[Ben Code],0),13),"")</f>
        <v/>
      </c>
      <c r="G582" s="49"/>
      <c r="H582" s="37"/>
      <c r="I582" s="37"/>
      <c r="J582" s="37"/>
      <c r="K582" s="37"/>
      <c r="L582" s="37"/>
      <c r="M582" s="59"/>
      <c r="N582" s="37"/>
      <c r="O582" s="37"/>
      <c r="P582" s="37"/>
      <c r="Q582" s="59"/>
      <c r="R582" s="49"/>
      <c r="S582" s="37"/>
      <c r="T582" s="37"/>
      <c r="U582" s="37"/>
      <c r="V582" s="37"/>
      <c r="W582" s="96" t="str">
        <f>tbl_Assessment[[#This Row],[Ben Code]] &amp; "-"&amp;tbl_Assessment[[#This Row],[admin4Pcode]]&amp;"-" &amp; TEXT(COUNTIF(INDEX(tbl_Assessment[Ben Code],1):tbl_Assessment[[#This Row],[Ben Code]], tbl_Assessment[[#This Row],[Ben Code]]), "00")</f>
        <v>--00</v>
      </c>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49"/>
      <c r="AU582" s="41"/>
      <c r="AV582" s="37"/>
      <c r="AW582" s="37"/>
      <c r="AX582" s="37"/>
      <c r="AY582" s="37"/>
      <c r="AZ582" s="37"/>
      <c r="BA582" s="37"/>
      <c r="BB582" s="41"/>
      <c r="BC582" s="37"/>
      <c r="BD582" s="37"/>
      <c r="BE582" s="37"/>
      <c r="BF582" s="41"/>
      <c r="BG582" s="37"/>
      <c r="BH582" s="37"/>
      <c r="BI582" s="37"/>
      <c r="BJ582" s="41"/>
    </row>
    <row r="583" spans="2:62" ht="25.15" customHeight="1" x14ac:dyDescent="0.25">
      <c r="B583" s="49">
        <v>578</v>
      </c>
      <c r="C583" s="37"/>
      <c r="D583" s="87" t="str">
        <f>IF(tbl_Assessment[[#This Row],[Ben Code]]&lt;&gt;"",INDEX(tbl_Ben_Info[],MATCH(tbl_Assessment[[#This Row],[Ben Code]],tbl_Ben_Info[Ben Code],0),48),"")</f>
        <v/>
      </c>
      <c r="E583" s="116" t="str">
        <f>IF(tbl_Assessment[[#This Row],[Ben Code]]&lt;&gt;"",INDEX(tbl_Ben_Info[],MATCH(tbl_Assessment[[#This Row],[Ben Code]],tbl_Ben_Info[Ben Code],0),6),"")</f>
        <v/>
      </c>
      <c r="F583" s="113" t="str">
        <f>IF(tbl_Assessment[[#This Row],[Ben Code]]&lt;&gt;"",INDEX(tbl_Ben_Info[],MATCH(tbl_Assessment[[#This Row],[Ben Code]],tbl_Ben_Info[Ben Code],0),13),"")</f>
        <v/>
      </c>
      <c r="G583" s="49"/>
      <c r="H583" s="37"/>
      <c r="I583" s="37"/>
      <c r="J583" s="37"/>
      <c r="K583" s="37"/>
      <c r="L583" s="37"/>
      <c r="M583" s="59"/>
      <c r="N583" s="37"/>
      <c r="O583" s="37"/>
      <c r="P583" s="37"/>
      <c r="Q583" s="59"/>
      <c r="R583" s="49"/>
      <c r="S583" s="37"/>
      <c r="T583" s="37"/>
      <c r="U583" s="37"/>
      <c r="V583" s="37"/>
      <c r="W583" s="96" t="str">
        <f>tbl_Assessment[[#This Row],[Ben Code]] &amp; "-"&amp;tbl_Assessment[[#This Row],[admin4Pcode]]&amp;"-" &amp; TEXT(COUNTIF(INDEX(tbl_Assessment[Ben Code],1):tbl_Assessment[[#This Row],[Ben Code]], tbl_Assessment[[#This Row],[Ben Code]]), "00")</f>
        <v>--00</v>
      </c>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49"/>
      <c r="AU583" s="41"/>
      <c r="AV583" s="37"/>
      <c r="AW583" s="37"/>
      <c r="AX583" s="37"/>
      <c r="AY583" s="37"/>
      <c r="AZ583" s="37"/>
      <c r="BA583" s="37"/>
      <c r="BB583" s="41"/>
      <c r="BC583" s="37"/>
      <c r="BD583" s="37"/>
      <c r="BE583" s="37"/>
      <c r="BF583" s="41"/>
      <c r="BG583" s="37"/>
      <c r="BH583" s="37"/>
      <c r="BI583" s="37"/>
      <c r="BJ583" s="41"/>
    </row>
    <row r="584" spans="2:62" ht="25.15" customHeight="1" x14ac:dyDescent="0.25">
      <c r="B584" s="49">
        <v>579</v>
      </c>
      <c r="C584" s="37"/>
      <c r="D584" s="87" t="str">
        <f>IF(tbl_Assessment[[#This Row],[Ben Code]]&lt;&gt;"",INDEX(tbl_Ben_Info[],MATCH(tbl_Assessment[[#This Row],[Ben Code]],tbl_Ben_Info[Ben Code],0),48),"")</f>
        <v/>
      </c>
      <c r="E584" s="116" t="str">
        <f>IF(tbl_Assessment[[#This Row],[Ben Code]]&lt;&gt;"",INDEX(tbl_Ben_Info[],MATCH(tbl_Assessment[[#This Row],[Ben Code]],tbl_Ben_Info[Ben Code],0),6),"")</f>
        <v/>
      </c>
      <c r="F584" s="113" t="str">
        <f>IF(tbl_Assessment[[#This Row],[Ben Code]]&lt;&gt;"",INDEX(tbl_Ben_Info[],MATCH(tbl_Assessment[[#This Row],[Ben Code]],tbl_Ben_Info[Ben Code],0),13),"")</f>
        <v/>
      </c>
      <c r="G584" s="49"/>
      <c r="H584" s="37"/>
      <c r="I584" s="37"/>
      <c r="J584" s="37"/>
      <c r="K584" s="37"/>
      <c r="L584" s="37"/>
      <c r="M584" s="59"/>
      <c r="N584" s="37"/>
      <c r="O584" s="37"/>
      <c r="P584" s="37"/>
      <c r="Q584" s="59"/>
      <c r="R584" s="49"/>
      <c r="S584" s="37"/>
      <c r="T584" s="37"/>
      <c r="U584" s="37"/>
      <c r="V584" s="37"/>
      <c r="W584" s="96" t="str">
        <f>tbl_Assessment[[#This Row],[Ben Code]] &amp; "-"&amp;tbl_Assessment[[#This Row],[admin4Pcode]]&amp;"-" &amp; TEXT(COUNTIF(INDEX(tbl_Assessment[Ben Code],1):tbl_Assessment[[#This Row],[Ben Code]], tbl_Assessment[[#This Row],[Ben Code]]), "00")</f>
        <v>--00</v>
      </c>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49"/>
      <c r="AU584" s="41"/>
      <c r="AV584" s="37"/>
      <c r="AW584" s="37"/>
      <c r="AX584" s="37"/>
      <c r="AY584" s="37"/>
      <c r="AZ584" s="37"/>
      <c r="BA584" s="37"/>
      <c r="BB584" s="41"/>
      <c r="BC584" s="37"/>
      <c r="BD584" s="37"/>
      <c r="BE584" s="37"/>
      <c r="BF584" s="41"/>
      <c r="BG584" s="37"/>
      <c r="BH584" s="37"/>
      <c r="BI584" s="37"/>
      <c r="BJ584" s="41"/>
    </row>
    <row r="585" spans="2:62" ht="25.15" customHeight="1" x14ac:dyDescent="0.25">
      <c r="B585" s="49">
        <v>580</v>
      </c>
      <c r="C585" s="37"/>
      <c r="D585" s="87" t="str">
        <f>IF(tbl_Assessment[[#This Row],[Ben Code]]&lt;&gt;"",INDEX(tbl_Ben_Info[],MATCH(tbl_Assessment[[#This Row],[Ben Code]],tbl_Ben_Info[Ben Code],0),48),"")</f>
        <v/>
      </c>
      <c r="E585" s="116" t="str">
        <f>IF(tbl_Assessment[[#This Row],[Ben Code]]&lt;&gt;"",INDEX(tbl_Ben_Info[],MATCH(tbl_Assessment[[#This Row],[Ben Code]],tbl_Ben_Info[Ben Code],0),6),"")</f>
        <v/>
      </c>
      <c r="F585" s="113" t="str">
        <f>IF(tbl_Assessment[[#This Row],[Ben Code]]&lt;&gt;"",INDEX(tbl_Ben_Info[],MATCH(tbl_Assessment[[#This Row],[Ben Code]],tbl_Ben_Info[Ben Code],0),13),"")</f>
        <v/>
      </c>
      <c r="G585" s="49"/>
      <c r="H585" s="37"/>
      <c r="I585" s="37"/>
      <c r="J585" s="37"/>
      <c r="K585" s="37"/>
      <c r="L585" s="37"/>
      <c r="M585" s="59"/>
      <c r="N585" s="37"/>
      <c r="O585" s="37"/>
      <c r="P585" s="37"/>
      <c r="Q585" s="59"/>
      <c r="R585" s="49"/>
      <c r="S585" s="37"/>
      <c r="T585" s="37"/>
      <c r="U585" s="37"/>
      <c r="V585" s="37"/>
      <c r="W585" s="96" t="str">
        <f>tbl_Assessment[[#This Row],[Ben Code]] &amp; "-"&amp;tbl_Assessment[[#This Row],[admin4Pcode]]&amp;"-" &amp; TEXT(COUNTIF(INDEX(tbl_Assessment[Ben Code],1):tbl_Assessment[[#This Row],[Ben Code]], tbl_Assessment[[#This Row],[Ben Code]]), "00")</f>
        <v>--00</v>
      </c>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49"/>
      <c r="AU585" s="41"/>
      <c r="AV585" s="37"/>
      <c r="AW585" s="37"/>
      <c r="AX585" s="37"/>
      <c r="AY585" s="37"/>
      <c r="AZ585" s="37"/>
      <c r="BA585" s="37"/>
      <c r="BB585" s="41"/>
      <c r="BC585" s="37"/>
      <c r="BD585" s="37"/>
      <c r="BE585" s="37"/>
      <c r="BF585" s="41"/>
      <c r="BG585" s="37"/>
      <c r="BH585" s="37"/>
      <c r="BI585" s="37"/>
      <c r="BJ585" s="41"/>
    </row>
    <row r="586" spans="2:62" ht="25.15" customHeight="1" x14ac:dyDescent="0.25">
      <c r="B586" s="49">
        <v>581</v>
      </c>
      <c r="C586" s="37"/>
      <c r="D586" s="87" t="str">
        <f>IF(tbl_Assessment[[#This Row],[Ben Code]]&lt;&gt;"",INDEX(tbl_Ben_Info[],MATCH(tbl_Assessment[[#This Row],[Ben Code]],tbl_Ben_Info[Ben Code],0),48),"")</f>
        <v/>
      </c>
      <c r="E586" s="116" t="str">
        <f>IF(tbl_Assessment[[#This Row],[Ben Code]]&lt;&gt;"",INDEX(tbl_Ben_Info[],MATCH(tbl_Assessment[[#This Row],[Ben Code]],tbl_Ben_Info[Ben Code],0),6),"")</f>
        <v/>
      </c>
      <c r="F586" s="113" t="str">
        <f>IF(tbl_Assessment[[#This Row],[Ben Code]]&lt;&gt;"",INDEX(tbl_Ben_Info[],MATCH(tbl_Assessment[[#This Row],[Ben Code]],tbl_Ben_Info[Ben Code],0),13),"")</f>
        <v/>
      </c>
      <c r="G586" s="49"/>
      <c r="H586" s="37"/>
      <c r="I586" s="37"/>
      <c r="J586" s="37"/>
      <c r="K586" s="37"/>
      <c r="L586" s="37"/>
      <c r="M586" s="59"/>
      <c r="N586" s="37"/>
      <c r="O586" s="37"/>
      <c r="P586" s="37"/>
      <c r="Q586" s="59"/>
      <c r="R586" s="49"/>
      <c r="S586" s="37"/>
      <c r="T586" s="37"/>
      <c r="U586" s="37"/>
      <c r="V586" s="37"/>
      <c r="W586" s="96" t="str">
        <f>tbl_Assessment[[#This Row],[Ben Code]] &amp; "-"&amp;tbl_Assessment[[#This Row],[admin4Pcode]]&amp;"-" &amp; TEXT(COUNTIF(INDEX(tbl_Assessment[Ben Code],1):tbl_Assessment[[#This Row],[Ben Code]], tbl_Assessment[[#This Row],[Ben Code]]), "00")</f>
        <v>--00</v>
      </c>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49"/>
      <c r="AU586" s="41"/>
      <c r="AV586" s="37"/>
      <c r="AW586" s="37"/>
      <c r="AX586" s="37"/>
      <c r="AY586" s="37"/>
      <c r="AZ586" s="37"/>
      <c r="BA586" s="37"/>
      <c r="BB586" s="41"/>
      <c r="BC586" s="37"/>
      <c r="BD586" s="37"/>
      <c r="BE586" s="37"/>
      <c r="BF586" s="41"/>
      <c r="BG586" s="37"/>
      <c r="BH586" s="37"/>
      <c r="BI586" s="37"/>
      <c r="BJ586" s="41"/>
    </row>
    <row r="587" spans="2:62" ht="25.15" customHeight="1" x14ac:dyDescent="0.25">
      <c r="B587" s="49">
        <v>582</v>
      </c>
      <c r="C587" s="37"/>
      <c r="D587" s="87" t="str">
        <f>IF(tbl_Assessment[[#This Row],[Ben Code]]&lt;&gt;"",INDEX(tbl_Ben_Info[],MATCH(tbl_Assessment[[#This Row],[Ben Code]],tbl_Ben_Info[Ben Code],0),48),"")</f>
        <v/>
      </c>
      <c r="E587" s="116" t="str">
        <f>IF(tbl_Assessment[[#This Row],[Ben Code]]&lt;&gt;"",INDEX(tbl_Ben_Info[],MATCH(tbl_Assessment[[#This Row],[Ben Code]],tbl_Ben_Info[Ben Code],0),6),"")</f>
        <v/>
      </c>
      <c r="F587" s="113" t="str">
        <f>IF(tbl_Assessment[[#This Row],[Ben Code]]&lt;&gt;"",INDEX(tbl_Ben_Info[],MATCH(tbl_Assessment[[#This Row],[Ben Code]],tbl_Ben_Info[Ben Code],0),13),"")</f>
        <v/>
      </c>
      <c r="G587" s="49"/>
      <c r="H587" s="37"/>
      <c r="I587" s="37"/>
      <c r="J587" s="37"/>
      <c r="K587" s="37"/>
      <c r="L587" s="37"/>
      <c r="M587" s="59"/>
      <c r="N587" s="37"/>
      <c r="O587" s="37"/>
      <c r="P587" s="37"/>
      <c r="Q587" s="59"/>
      <c r="R587" s="49"/>
      <c r="S587" s="37"/>
      <c r="T587" s="37"/>
      <c r="U587" s="37"/>
      <c r="V587" s="37"/>
      <c r="W587" s="96" t="str">
        <f>tbl_Assessment[[#This Row],[Ben Code]] &amp; "-"&amp;tbl_Assessment[[#This Row],[admin4Pcode]]&amp;"-" &amp; TEXT(COUNTIF(INDEX(tbl_Assessment[Ben Code],1):tbl_Assessment[[#This Row],[Ben Code]], tbl_Assessment[[#This Row],[Ben Code]]), "00")</f>
        <v>--00</v>
      </c>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49"/>
      <c r="AU587" s="41"/>
      <c r="AV587" s="37"/>
      <c r="AW587" s="37"/>
      <c r="AX587" s="37"/>
      <c r="AY587" s="37"/>
      <c r="AZ587" s="37"/>
      <c r="BA587" s="37"/>
      <c r="BB587" s="41"/>
      <c r="BC587" s="37"/>
      <c r="BD587" s="37"/>
      <c r="BE587" s="37"/>
      <c r="BF587" s="41"/>
      <c r="BG587" s="37"/>
      <c r="BH587" s="37"/>
      <c r="BI587" s="37"/>
      <c r="BJ587" s="41"/>
    </row>
    <row r="588" spans="2:62" ht="25.15" customHeight="1" x14ac:dyDescent="0.25">
      <c r="B588" s="49">
        <v>583</v>
      </c>
      <c r="C588" s="37"/>
      <c r="D588" s="87" t="str">
        <f>IF(tbl_Assessment[[#This Row],[Ben Code]]&lt;&gt;"",INDEX(tbl_Ben_Info[],MATCH(tbl_Assessment[[#This Row],[Ben Code]],tbl_Ben_Info[Ben Code],0),48),"")</f>
        <v/>
      </c>
      <c r="E588" s="116" t="str">
        <f>IF(tbl_Assessment[[#This Row],[Ben Code]]&lt;&gt;"",INDEX(tbl_Ben_Info[],MATCH(tbl_Assessment[[#This Row],[Ben Code]],tbl_Ben_Info[Ben Code],0),6),"")</f>
        <v/>
      </c>
      <c r="F588" s="113" t="str">
        <f>IF(tbl_Assessment[[#This Row],[Ben Code]]&lt;&gt;"",INDEX(tbl_Ben_Info[],MATCH(tbl_Assessment[[#This Row],[Ben Code]],tbl_Ben_Info[Ben Code],0),13),"")</f>
        <v/>
      </c>
      <c r="G588" s="49"/>
      <c r="H588" s="37"/>
      <c r="I588" s="37"/>
      <c r="J588" s="37"/>
      <c r="K588" s="37"/>
      <c r="L588" s="37"/>
      <c r="M588" s="59"/>
      <c r="N588" s="37"/>
      <c r="O588" s="37"/>
      <c r="P588" s="37"/>
      <c r="Q588" s="59"/>
      <c r="R588" s="49"/>
      <c r="S588" s="37"/>
      <c r="T588" s="37"/>
      <c r="U588" s="37"/>
      <c r="V588" s="37"/>
      <c r="W588" s="96" t="str">
        <f>tbl_Assessment[[#This Row],[Ben Code]] &amp; "-"&amp;tbl_Assessment[[#This Row],[admin4Pcode]]&amp;"-" &amp; TEXT(COUNTIF(INDEX(tbl_Assessment[Ben Code],1):tbl_Assessment[[#This Row],[Ben Code]], tbl_Assessment[[#This Row],[Ben Code]]), "00")</f>
        <v>--00</v>
      </c>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49"/>
      <c r="AU588" s="41"/>
      <c r="AV588" s="37"/>
      <c r="AW588" s="37"/>
      <c r="AX588" s="37"/>
      <c r="AY588" s="37"/>
      <c r="AZ588" s="37"/>
      <c r="BA588" s="37"/>
      <c r="BB588" s="41"/>
      <c r="BC588" s="37"/>
      <c r="BD588" s="37"/>
      <c r="BE588" s="37"/>
      <c r="BF588" s="41"/>
      <c r="BG588" s="37"/>
      <c r="BH588" s="37"/>
      <c r="BI588" s="37"/>
      <c r="BJ588" s="41"/>
    </row>
    <row r="589" spans="2:62" ht="25.15" customHeight="1" x14ac:dyDescent="0.25">
      <c r="B589" s="49">
        <v>584</v>
      </c>
      <c r="C589" s="37"/>
      <c r="D589" s="87" t="str">
        <f>IF(tbl_Assessment[[#This Row],[Ben Code]]&lt;&gt;"",INDEX(tbl_Ben_Info[],MATCH(tbl_Assessment[[#This Row],[Ben Code]],tbl_Ben_Info[Ben Code],0),48),"")</f>
        <v/>
      </c>
      <c r="E589" s="116" t="str">
        <f>IF(tbl_Assessment[[#This Row],[Ben Code]]&lt;&gt;"",INDEX(tbl_Ben_Info[],MATCH(tbl_Assessment[[#This Row],[Ben Code]],tbl_Ben_Info[Ben Code],0),6),"")</f>
        <v/>
      </c>
      <c r="F589" s="113" t="str">
        <f>IF(tbl_Assessment[[#This Row],[Ben Code]]&lt;&gt;"",INDEX(tbl_Ben_Info[],MATCH(tbl_Assessment[[#This Row],[Ben Code]],tbl_Ben_Info[Ben Code],0),13),"")</f>
        <v/>
      </c>
      <c r="G589" s="49"/>
      <c r="H589" s="37"/>
      <c r="I589" s="37"/>
      <c r="J589" s="37"/>
      <c r="K589" s="37"/>
      <c r="L589" s="37"/>
      <c r="M589" s="59"/>
      <c r="N589" s="37"/>
      <c r="O589" s="37"/>
      <c r="P589" s="37"/>
      <c r="Q589" s="59"/>
      <c r="R589" s="49"/>
      <c r="S589" s="37"/>
      <c r="T589" s="37"/>
      <c r="U589" s="37"/>
      <c r="V589" s="37"/>
      <c r="W589" s="96" t="str">
        <f>tbl_Assessment[[#This Row],[Ben Code]] &amp; "-"&amp;tbl_Assessment[[#This Row],[admin4Pcode]]&amp;"-" &amp; TEXT(COUNTIF(INDEX(tbl_Assessment[Ben Code],1):tbl_Assessment[[#This Row],[Ben Code]], tbl_Assessment[[#This Row],[Ben Code]]), "00")</f>
        <v>--00</v>
      </c>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49"/>
      <c r="AU589" s="41"/>
      <c r="AV589" s="37"/>
      <c r="AW589" s="37"/>
      <c r="AX589" s="37"/>
      <c r="AY589" s="37"/>
      <c r="AZ589" s="37"/>
      <c r="BA589" s="37"/>
      <c r="BB589" s="41"/>
      <c r="BC589" s="37"/>
      <c r="BD589" s="37"/>
      <c r="BE589" s="37"/>
      <c r="BF589" s="41"/>
      <c r="BG589" s="37"/>
      <c r="BH589" s="37"/>
      <c r="BI589" s="37"/>
      <c r="BJ589" s="41"/>
    </row>
    <row r="590" spans="2:62" ht="25.15" customHeight="1" x14ac:dyDescent="0.25">
      <c r="B590" s="49">
        <v>585</v>
      </c>
      <c r="C590" s="37"/>
      <c r="D590" s="87" t="str">
        <f>IF(tbl_Assessment[[#This Row],[Ben Code]]&lt;&gt;"",INDEX(tbl_Ben_Info[],MATCH(tbl_Assessment[[#This Row],[Ben Code]],tbl_Ben_Info[Ben Code],0),48),"")</f>
        <v/>
      </c>
      <c r="E590" s="116" t="str">
        <f>IF(tbl_Assessment[[#This Row],[Ben Code]]&lt;&gt;"",INDEX(tbl_Ben_Info[],MATCH(tbl_Assessment[[#This Row],[Ben Code]],tbl_Ben_Info[Ben Code],0),6),"")</f>
        <v/>
      </c>
      <c r="F590" s="113" t="str">
        <f>IF(tbl_Assessment[[#This Row],[Ben Code]]&lt;&gt;"",INDEX(tbl_Ben_Info[],MATCH(tbl_Assessment[[#This Row],[Ben Code]],tbl_Ben_Info[Ben Code],0),13),"")</f>
        <v/>
      </c>
      <c r="G590" s="49"/>
      <c r="H590" s="37"/>
      <c r="I590" s="37"/>
      <c r="J590" s="37"/>
      <c r="K590" s="37"/>
      <c r="L590" s="37"/>
      <c r="M590" s="59"/>
      <c r="N590" s="37"/>
      <c r="O590" s="37"/>
      <c r="P590" s="37"/>
      <c r="Q590" s="59"/>
      <c r="R590" s="49"/>
      <c r="S590" s="37"/>
      <c r="T590" s="37"/>
      <c r="U590" s="37"/>
      <c r="V590" s="37"/>
      <c r="W590" s="96" t="str">
        <f>tbl_Assessment[[#This Row],[Ben Code]] &amp; "-"&amp;tbl_Assessment[[#This Row],[admin4Pcode]]&amp;"-" &amp; TEXT(COUNTIF(INDEX(tbl_Assessment[Ben Code],1):tbl_Assessment[[#This Row],[Ben Code]], tbl_Assessment[[#This Row],[Ben Code]]), "00")</f>
        <v>--00</v>
      </c>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49"/>
      <c r="AU590" s="41"/>
      <c r="AV590" s="37"/>
      <c r="AW590" s="37"/>
      <c r="AX590" s="37"/>
      <c r="AY590" s="37"/>
      <c r="AZ590" s="37"/>
      <c r="BA590" s="37"/>
      <c r="BB590" s="41"/>
      <c r="BC590" s="37"/>
      <c r="BD590" s="37"/>
      <c r="BE590" s="37"/>
      <c r="BF590" s="41"/>
      <c r="BG590" s="37"/>
      <c r="BH590" s="37"/>
      <c r="BI590" s="37"/>
      <c r="BJ590" s="41"/>
    </row>
    <row r="591" spans="2:62" ht="25.15" customHeight="1" x14ac:dyDescent="0.25">
      <c r="B591" s="49">
        <v>586</v>
      </c>
      <c r="C591" s="37"/>
      <c r="D591" s="87" t="str">
        <f>IF(tbl_Assessment[[#This Row],[Ben Code]]&lt;&gt;"",INDEX(tbl_Ben_Info[],MATCH(tbl_Assessment[[#This Row],[Ben Code]],tbl_Ben_Info[Ben Code],0),48),"")</f>
        <v/>
      </c>
      <c r="E591" s="116" t="str">
        <f>IF(tbl_Assessment[[#This Row],[Ben Code]]&lt;&gt;"",INDEX(tbl_Ben_Info[],MATCH(tbl_Assessment[[#This Row],[Ben Code]],tbl_Ben_Info[Ben Code],0),6),"")</f>
        <v/>
      </c>
      <c r="F591" s="113" t="str">
        <f>IF(tbl_Assessment[[#This Row],[Ben Code]]&lt;&gt;"",INDEX(tbl_Ben_Info[],MATCH(tbl_Assessment[[#This Row],[Ben Code]],tbl_Ben_Info[Ben Code],0),13),"")</f>
        <v/>
      </c>
      <c r="G591" s="49"/>
      <c r="H591" s="37"/>
      <c r="I591" s="37"/>
      <c r="J591" s="37"/>
      <c r="K591" s="37"/>
      <c r="L591" s="37"/>
      <c r="M591" s="59"/>
      <c r="N591" s="37"/>
      <c r="O591" s="37"/>
      <c r="P591" s="37"/>
      <c r="Q591" s="59"/>
      <c r="R591" s="49"/>
      <c r="S591" s="37"/>
      <c r="T591" s="37"/>
      <c r="U591" s="37"/>
      <c r="V591" s="37"/>
      <c r="W591" s="96" t="str">
        <f>tbl_Assessment[[#This Row],[Ben Code]] &amp; "-"&amp;tbl_Assessment[[#This Row],[admin4Pcode]]&amp;"-" &amp; TEXT(COUNTIF(INDEX(tbl_Assessment[Ben Code],1):tbl_Assessment[[#This Row],[Ben Code]], tbl_Assessment[[#This Row],[Ben Code]]), "00")</f>
        <v>--00</v>
      </c>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49"/>
      <c r="AU591" s="41"/>
      <c r="AV591" s="37"/>
      <c r="AW591" s="37"/>
      <c r="AX591" s="37"/>
      <c r="AY591" s="37"/>
      <c r="AZ591" s="37"/>
      <c r="BA591" s="37"/>
      <c r="BB591" s="41"/>
      <c r="BC591" s="37"/>
      <c r="BD591" s="37"/>
      <c r="BE591" s="37"/>
      <c r="BF591" s="41"/>
      <c r="BG591" s="37"/>
      <c r="BH591" s="37"/>
      <c r="BI591" s="37"/>
      <c r="BJ591" s="41"/>
    </row>
    <row r="592" spans="2:62" ht="25.15" customHeight="1" x14ac:dyDescent="0.25">
      <c r="B592" s="49">
        <v>587</v>
      </c>
      <c r="C592" s="37"/>
      <c r="D592" s="87" t="str">
        <f>IF(tbl_Assessment[[#This Row],[Ben Code]]&lt;&gt;"",INDEX(tbl_Ben_Info[],MATCH(tbl_Assessment[[#This Row],[Ben Code]],tbl_Ben_Info[Ben Code],0),48),"")</f>
        <v/>
      </c>
      <c r="E592" s="116" t="str">
        <f>IF(tbl_Assessment[[#This Row],[Ben Code]]&lt;&gt;"",INDEX(tbl_Ben_Info[],MATCH(tbl_Assessment[[#This Row],[Ben Code]],tbl_Ben_Info[Ben Code],0),6),"")</f>
        <v/>
      </c>
      <c r="F592" s="113" t="str">
        <f>IF(tbl_Assessment[[#This Row],[Ben Code]]&lt;&gt;"",INDEX(tbl_Ben_Info[],MATCH(tbl_Assessment[[#This Row],[Ben Code]],tbl_Ben_Info[Ben Code],0),13),"")</f>
        <v/>
      </c>
      <c r="G592" s="49"/>
      <c r="H592" s="37"/>
      <c r="I592" s="37"/>
      <c r="J592" s="37"/>
      <c r="K592" s="37"/>
      <c r="L592" s="37"/>
      <c r="M592" s="59"/>
      <c r="N592" s="37"/>
      <c r="O592" s="37"/>
      <c r="P592" s="37"/>
      <c r="Q592" s="59"/>
      <c r="R592" s="49"/>
      <c r="S592" s="37"/>
      <c r="T592" s="37"/>
      <c r="U592" s="37"/>
      <c r="V592" s="37"/>
      <c r="W592" s="96" t="str">
        <f>tbl_Assessment[[#This Row],[Ben Code]] &amp; "-"&amp;tbl_Assessment[[#This Row],[admin4Pcode]]&amp;"-" &amp; TEXT(COUNTIF(INDEX(tbl_Assessment[Ben Code],1):tbl_Assessment[[#This Row],[Ben Code]], tbl_Assessment[[#This Row],[Ben Code]]), "00")</f>
        <v>--00</v>
      </c>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49"/>
      <c r="AU592" s="41"/>
      <c r="AV592" s="37"/>
      <c r="AW592" s="37"/>
      <c r="AX592" s="37"/>
      <c r="AY592" s="37"/>
      <c r="AZ592" s="37"/>
      <c r="BA592" s="37"/>
      <c r="BB592" s="41"/>
      <c r="BC592" s="37"/>
      <c r="BD592" s="37"/>
      <c r="BE592" s="37"/>
      <c r="BF592" s="41"/>
      <c r="BG592" s="37"/>
      <c r="BH592" s="37"/>
      <c r="BI592" s="37"/>
      <c r="BJ592" s="41"/>
    </row>
    <row r="593" spans="2:62" ht="25.15" customHeight="1" x14ac:dyDescent="0.25">
      <c r="B593" s="49">
        <v>588</v>
      </c>
      <c r="C593" s="37"/>
      <c r="D593" s="87" t="str">
        <f>IF(tbl_Assessment[[#This Row],[Ben Code]]&lt;&gt;"",INDEX(tbl_Ben_Info[],MATCH(tbl_Assessment[[#This Row],[Ben Code]],tbl_Ben_Info[Ben Code],0),48),"")</f>
        <v/>
      </c>
      <c r="E593" s="116" t="str">
        <f>IF(tbl_Assessment[[#This Row],[Ben Code]]&lt;&gt;"",INDEX(tbl_Ben_Info[],MATCH(tbl_Assessment[[#This Row],[Ben Code]],tbl_Ben_Info[Ben Code],0),6),"")</f>
        <v/>
      </c>
      <c r="F593" s="113" t="str">
        <f>IF(tbl_Assessment[[#This Row],[Ben Code]]&lt;&gt;"",INDEX(tbl_Ben_Info[],MATCH(tbl_Assessment[[#This Row],[Ben Code]],tbl_Ben_Info[Ben Code],0),13),"")</f>
        <v/>
      </c>
      <c r="G593" s="49"/>
      <c r="H593" s="37"/>
      <c r="I593" s="37"/>
      <c r="J593" s="37"/>
      <c r="K593" s="37"/>
      <c r="L593" s="37"/>
      <c r="M593" s="59"/>
      <c r="N593" s="37"/>
      <c r="O593" s="37"/>
      <c r="P593" s="37"/>
      <c r="Q593" s="59"/>
      <c r="R593" s="49"/>
      <c r="S593" s="37"/>
      <c r="T593" s="37"/>
      <c r="U593" s="37"/>
      <c r="V593" s="37"/>
      <c r="W593" s="96" t="str">
        <f>tbl_Assessment[[#This Row],[Ben Code]] &amp; "-"&amp;tbl_Assessment[[#This Row],[admin4Pcode]]&amp;"-" &amp; TEXT(COUNTIF(INDEX(tbl_Assessment[Ben Code],1):tbl_Assessment[[#This Row],[Ben Code]], tbl_Assessment[[#This Row],[Ben Code]]), "00")</f>
        <v>--00</v>
      </c>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49"/>
      <c r="AU593" s="41"/>
      <c r="AV593" s="37"/>
      <c r="AW593" s="37"/>
      <c r="AX593" s="37"/>
      <c r="AY593" s="37"/>
      <c r="AZ593" s="37"/>
      <c r="BA593" s="37"/>
      <c r="BB593" s="41"/>
      <c r="BC593" s="37"/>
      <c r="BD593" s="37"/>
      <c r="BE593" s="37"/>
      <c r="BF593" s="41"/>
      <c r="BG593" s="37"/>
      <c r="BH593" s="37"/>
      <c r="BI593" s="37"/>
      <c r="BJ593" s="41"/>
    </row>
    <row r="594" spans="2:62" ht="25.15" customHeight="1" x14ac:dyDescent="0.25">
      <c r="B594" s="49">
        <v>589</v>
      </c>
      <c r="C594" s="37"/>
      <c r="D594" s="87" t="str">
        <f>IF(tbl_Assessment[[#This Row],[Ben Code]]&lt;&gt;"",INDEX(tbl_Ben_Info[],MATCH(tbl_Assessment[[#This Row],[Ben Code]],tbl_Ben_Info[Ben Code],0),48),"")</f>
        <v/>
      </c>
      <c r="E594" s="116" t="str">
        <f>IF(tbl_Assessment[[#This Row],[Ben Code]]&lt;&gt;"",INDEX(tbl_Ben_Info[],MATCH(tbl_Assessment[[#This Row],[Ben Code]],tbl_Ben_Info[Ben Code],0),6),"")</f>
        <v/>
      </c>
      <c r="F594" s="113" t="str">
        <f>IF(tbl_Assessment[[#This Row],[Ben Code]]&lt;&gt;"",INDEX(tbl_Ben_Info[],MATCH(tbl_Assessment[[#This Row],[Ben Code]],tbl_Ben_Info[Ben Code],0),13),"")</f>
        <v/>
      </c>
      <c r="G594" s="49"/>
      <c r="H594" s="37"/>
      <c r="I594" s="37"/>
      <c r="J594" s="37"/>
      <c r="K594" s="37"/>
      <c r="L594" s="37"/>
      <c r="M594" s="59"/>
      <c r="N594" s="37"/>
      <c r="O594" s="37"/>
      <c r="P594" s="37"/>
      <c r="Q594" s="59"/>
      <c r="R594" s="49"/>
      <c r="S594" s="37"/>
      <c r="T594" s="37"/>
      <c r="U594" s="37"/>
      <c r="V594" s="37"/>
      <c r="W594" s="96" t="str">
        <f>tbl_Assessment[[#This Row],[Ben Code]] &amp; "-"&amp;tbl_Assessment[[#This Row],[admin4Pcode]]&amp;"-" &amp; TEXT(COUNTIF(INDEX(tbl_Assessment[Ben Code],1):tbl_Assessment[[#This Row],[Ben Code]], tbl_Assessment[[#This Row],[Ben Code]]), "00")</f>
        <v>--00</v>
      </c>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49"/>
      <c r="AU594" s="41"/>
      <c r="AV594" s="37"/>
      <c r="AW594" s="37"/>
      <c r="AX594" s="37"/>
      <c r="AY594" s="37"/>
      <c r="AZ594" s="37"/>
      <c r="BA594" s="37"/>
      <c r="BB594" s="41"/>
      <c r="BC594" s="37"/>
      <c r="BD594" s="37"/>
      <c r="BE594" s="37"/>
      <c r="BF594" s="41"/>
      <c r="BG594" s="37"/>
      <c r="BH594" s="37"/>
      <c r="BI594" s="37"/>
      <c r="BJ594" s="41"/>
    </row>
    <row r="595" spans="2:62" ht="25.15" customHeight="1" x14ac:dyDescent="0.25">
      <c r="B595" s="49">
        <v>590</v>
      </c>
      <c r="C595" s="37"/>
      <c r="D595" s="87" t="str">
        <f>IF(tbl_Assessment[[#This Row],[Ben Code]]&lt;&gt;"",INDEX(tbl_Ben_Info[],MATCH(tbl_Assessment[[#This Row],[Ben Code]],tbl_Ben_Info[Ben Code],0),48),"")</f>
        <v/>
      </c>
      <c r="E595" s="116" t="str">
        <f>IF(tbl_Assessment[[#This Row],[Ben Code]]&lt;&gt;"",INDEX(tbl_Ben_Info[],MATCH(tbl_Assessment[[#This Row],[Ben Code]],tbl_Ben_Info[Ben Code],0),6),"")</f>
        <v/>
      </c>
      <c r="F595" s="113" t="str">
        <f>IF(tbl_Assessment[[#This Row],[Ben Code]]&lt;&gt;"",INDEX(tbl_Ben_Info[],MATCH(tbl_Assessment[[#This Row],[Ben Code]],tbl_Ben_Info[Ben Code],0),13),"")</f>
        <v/>
      </c>
      <c r="G595" s="49"/>
      <c r="H595" s="37"/>
      <c r="I595" s="37"/>
      <c r="J595" s="37"/>
      <c r="K595" s="37"/>
      <c r="L595" s="37"/>
      <c r="M595" s="59"/>
      <c r="N595" s="37"/>
      <c r="O595" s="37"/>
      <c r="P595" s="37"/>
      <c r="Q595" s="59"/>
      <c r="R595" s="49"/>
      <c r="S595" s="37"/>
      <c r="T595" s="37"/>
      <c r="U595" s="37"/>
      <c r="V595" s="37"/>
      <c r="W595" s="96" t="str">
        <f>tbl_Assessment[[#This Row],[Ben Code]] &amp; "-"&amp;tbl_Assessment[[#This Row],[admin4Pcode]]&amp;"-" &amp; TEXT(COUNTIF(INDEX(tbl_Assessment[Ben Code],1):tbl_Assessment[[#This Row],[Ben Code]], tbl_Assessment[[#This Row],[Ben Code]]), "00")</f>
        <v>--00</v>
      </c>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49"/>
      <c r="AU595" s="41"/>
      <c r="AV595" s="37"/>
      <c r="AW595" s="37"/>
      <c r="AX595" s="37"/>
      <c r="AY595" s="37"/>
      <c r="AZ595" s="37"/>
      <c r="BA595" s="37"/>
      <c r="BB595" s="41"/>
      <c r="BC595" s="37"/>
      <c r="BD595" s="37"/>
      <c r="BE595" s="37"/>
      <c r="BF595" s="41"/>
      <c r="BG595" s="37"/>
      <c r="BH595" s="37"/>
      <c r="BI595" s="37"/>
      <c r="BJ595" s="41"/>
    </row>
    <row r="596" spans="2:62" ht="25.15" customHeight="1" x14ac:dyDescent="0.25">
      <c r="B596" s="49">
        <v>591</v>
      </c>
      <c r="C596" s="37"/>
      <c r="D596" s="87" t="str">
        <f>IF(tbl_Assessment[[#This Row],[Ben Code]]&lt;&gt;"",INDEX(tbl_Ben_Info[],MATCH(tbl_Assessment[[#This Row],[Ben Code]],tbl_Ben_Info[Ben Code],0),48),"")</f>
        <v/>
      </c>
      <c r="E596" s="116" t="str">
        <f>IF(tbl_Assessment[[#This Row],[Ben Code]]&lt;&gt;"",INDEX(tbl_Ben_Info[],MATCH(tbl_Assessment[[#This Row],[Ben Code]],tbl_Ben_Info[Ben Code],0),6),"")</f>
        <v/>
      </c>
      <c r="F596" s="113" t="str">
        <f>IF(tbl_Assessment[[#This Row],[Ben Code]]&lt;&gt;"",INDEX(tbl_Ben_Info[],MATCH(tbl_Assessment[[#This Row],[Ben Code]],tbl_Ben_Info[Ben Code],0),13),"")</f>
        <v/>
      </c>
      <c r="G596" s="49"/>
      <c r="H596" s="37"/>
      <c r="I596" s="37"/>
      <c r="J596" s="37"/>
      <c r="K596" s="37"/>
      <c r="L596" s="37"/>
      <c r="M596" s="59"/>
      <c r="N596" s="37"/>
      <c r="O596" s="37"/>
      <c r="P596" s="37"/>
      <c r="Q596" s="59"/>
      <c r="R596" s="49"/>
      <c r="S596" s="37"/>
      <c r="T596" s="37"/>
      <c r="U596" s="37"/>
      <c r="V596" s="37"/>
      <c r="W596" s="96" t="str">
        <f>tbl_Assessment[[#This Row],[Ben Code]] &amp; "-"&amp;tbl_Assessment[[#This Row],[admin4Pcode]]&amp;"-" &amp; TEXT(COUNTIF(INDEX(tbl_Assessment[Ben Code],1):tbl_Assessment[[#This Row],[Ben Code]], tbl_Assessment[[#This Row],[Ben Code]]), "00")</f>
        <v>--00</v>
      </c>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49"/>
      <c r="AU596" s="41"/>
      <c r="AV596" s="37"/>
      <c r="AW596" s="37"/>
      <c r="AX596" s="37"/>
      <c r="AY596" s="37"/>
      <c r="AZ596" s="37"/>
      <c r="BA596" s="37"/>
      <c r="BB596" s="41"/>
      <c r="BC596" s="37"/>
      <c r="BD596" s="37"/>
      <c r="BE596" s="37"/>
      <c r="BF596" s="41"/>
      <c r="BG596" s="37"/>
      <c r="BH596" s="37"/>
      <c r="BI596" s="37"/>
      <c r="BJ596" s="41"/>
    </row>
    <row r="597" spans="2:62" ht="25.15" customHeight="1" x14ac:dyDescent="0.25">
      <c r="B597" s="49">
        <v>592</v>
      </c>
      <c r="C597" s="37"/>
      <c r="D597" s="87" t="str">
        <f>IF(tbl_Assessment[[#This Row],[Ben Code]]&lt;&gt;"",INDEX(tbl_Ben_Info[],MATCH(tbl_Assessment[[#This Row],[Ben Code]],tbl_Ben_Info[Ben Code],0),48),"")</f>
        <v/>
      </c>
      <c r="E597" s="116" t="str">
        <f>IF(tbl_Assessment[[#This Row],[Ben Code]]&lt;&gt;"",INDEX(tbl_Ben_Info[],MATCH(tbl_Assessment[[#This Row],[Ben Code]],tbl_Ben_Info[Ben Code],0),6),"")</f>
        <v/>
      </c>
      <c r="F597" s="113" t="str">
        <f>IF(tbl_Assessment[[#This Row],[Ben Code]]&lt;&gt;"",INDEX(tbl_Ben_Info[],MATCH(tbl_Assessment[[#This Row],[Ben Code]],tbl_Ben_Info[Ben Code],0),13),"")</f>
        <v/>
      </c>
      <c r="G597" s="49"/>
      <c r="H597" s="37"/>
      <c r="I597" s="37"/>
      <c r="J597" s="37"/>
      <c r="K597" s="37"/>
      <c r="L597" s="37"/>
      <c r="M597" s="59"/>
      <c r="N597" s="37"/>
      <c r="O597" s="37"/>
      <c r="P597" s="37"/>
      <c r="Q597" s="59"/>
      <c r="R597" s="49"/>
      <c r="S597" s="37"/>
      <c r="T597" s="37"/>
      <c r="U597" s="37"/>
      <c r="V597" s="37"/>
      <c r="W597" s="96" t="str">
        <f>tbl_Assessment[[#This Row],[Ben Code]] &amp; "-"&amp;tbl_Assessment[[#This Row],[admin4Pcode]]&amp;"-" &amp; TEXT(COUNTIF(INDEX(tbl_Assessment[Ben Code],1):tbl_Assessment[[#This Row],[Ben Code]], tbl_Assessment[[#This Row],[Ben Code]]), "00")</f>
        <v>--00</v>
      </c>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49"/>
      <c r="AU597" s="41"/>
      <c r="AV597" s="37"/>
      <c r="AW597" s="37"/>
      <c r="AX597" s="37"/>
      <c r="AY597" s="37"/>
      <c r="AZ597" s="37"/>
      <c r="BA597" s="37"/>
      <c r="BB597" s="41"/>
      <c r="BC597" s="37"/>
      <c r="BD597" s="37"/>
      <c r="BE597" s="37"/>
      <c r="BF597" s="41"/>
      <c r="BG597" s="37"/>
      <c r="BH597" s="37"/>
      <c r="BI597" s="37"/>
      <c r="BJ597" s="41"/>
    </row>
    <row r="598" spans="2:62" ht="25.15" customHeight="1" x14ac:dyDescent="0.25">
      <c r="B598" s="49">
        <v>593</v>
      </c>
      <c r="C598" s="37"/>
      <c r="D598" s="87" t="str">
        <f>IF(tbl_Assessment[[#This Row],[Ben Code]]&lt;&gt;"",INDEX(tbl_Ben_Info[],MATCH(tbl_Assessment[[#This Row],[Ben Code]],tbl_Ben_Info[Ben Code],0),48),"")</f>
        <v/>
      </c>
      <c r="E598" s="116" t="str">
        <f>IF(tbl_Assessment[[#This Row],[Ben Code]]&lt;&gt;"",INDEX(tbl_Ben_Info[],MATCH(tbl_Assessment[[#This Row],[Ben Code]],tbl_Ben_Info[Ben Code],0),6),"")</f>
        <v/>
      </c>
      <c r="F598" s="113" t="str">
        <f>IF(tbl_Assessment[[#This Row],[Ben Code]]&lt;&gt;"",INDEX(tbl_Ben_Info[],MATCH(tbl_Assessment[[#This Row],[Ben Code]],tbl_Ben_Info[Ben Code],0),13),"")</f>
        <v/>
      </c>
      <c r="G598" s="49"/>
      <c r="H598" s="37"/>
      <c r="I598" s="37"/>
      <c r="J598" s="37"/>
      <c r="K598" s="37"/>
      <c r="L598" s="37"/>
      <c r="M598" s="59"/>
      <c r="N598" s="37"/>
      <c r="O598" s="37"/>
      <c r="P598" s="37"/>
      <c r="Q598" s="59"/>
      <c r="R598" s="49"/>
      <c r="S598" s="37"/>
      <c r="T598" s="37"/>
      <c r="U598" s="37"/>
      <c r="V598" s="37"/>
      <c r="W598" s="96" t="str">
        <f>tbl_Assessment[[#This Row],[Ben Code]] &amp; "-"&amp;tbl_Assessment[[#This Row],[admin4Pcode]]&amp;"-" &amp; TEXT(COUNTIF(INDEX(tbl_Assessment[Ben Code],1):tbl_Assessment[[#This Row],[Ben Code]], tbl_Assessment[[#This Row],[Ben Code]]), "00")</f>
        <v>--00</v>
      </c>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49"/>
      <c r="AU598" s="41"/>
      <c r="AV598" s="37"/>
      <c r="AW598" s="37"/>
      <c r="AX598" s="37"/>
      <c r="AY598" s="37"/>
      <c r="AZ598" s="37"/>
      <c r="BA598" s="37"/>
      <c r="BB598" s="41"/>
      <c r="BC598" s="37"/>
      <c r="BD598" s="37"/>
      <c r="BE598" s="37"/>
      <c r="BF598" s="41"/>
      <c r="BG598" s="37"/>
      <c r="BH598" s="37"/>
      <c r="BI598" s="37"/>
      <c r="BJ598" s="41"/>
    </row>
    <row r="599" spans="2:62" ht="25.15" customHeight="1" x14ac:dyDescent="0.25">
      <c r="B599" s="49">
        <v>594</v>
      </c>
      <c r="C599" s="37"/>
      <c r="D599" s="87" t="str">
        <f>IF(tbl_Assessment[[#This Row],[Ben Code]]&lt;&gt;"",INDEX(tbl_Ben_Info[],MATCH(tbl_Assessment[[#This Row],[Ben Code]],tbl_Ben_Info[Ben Code],0),48),"")</f>
        <v/>
      </c>
      <c r="E599" s="116" t="str">
        <f>IF(tbl_Assessment[[#This Row],[Ben Code]]&lt;&gt;"",INDEX(tbl_Ben_Info[],MATCH(tbl_Assessment[[#This Row],[Ben Code]],tbl_Ben_Info[Ben Code],0),6),"")</f>
        <v/>
      </c>
      <c r="F599" s="113" t="str">
        <f>IF(tbl_Assessment[[#This Row],[Ben Code]]&lt;&gt;"",INDEX(tbl_Ben_Info[],MATCH(tbl_Assessment[[#This Row],[Ben Code]],tbl_Ben_Info[Ben Code],0),13),"")</f>
        <v/>
      </c>
      <c r="G599" s="49"/>
      <c r="H599" s="37"/>
      <c r="I599" s="37"/>
      <c r="J599" s="37"/>
      <c r="K599" s="37"/>
      <c r="L599" s="37"/>
      <c r="M599" s="59"/>
      <c r="N599" s="37"/>
      <c r="O599" s="37"/>
      <c r="P599" s="37"/>
      <c r="Q599" s="59"/>
      <c r="R599" s="49"/>
      <c r="S599" s="37"/>
      <c r="T599" s="37"/>
      <c r="U599" s="37"/>
      <c r="V599" s="37"/>
      <c r="W599" s="96" t="str">
        <f>tbl_Assessment[[#This Row],[Ben Code]] &amp; "-"&amp;tbl_Assessment[[#This Row],[admin4Pcode]]&amp;"-" &amp; TEXT(COUNTIF(INDEX(tbl_Assessment[Ben Code],1):tbl_Assessment[[#This Row],[Ben Code]], tbl_Assessment[[#This Row],[Ben Code]]), "00")</f>
        <v>--00</v>
      </c>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49"/>
      <c r="AU599" s="41"/>
      <c r="AV599" s="37"/>
      <c r="AW599" s="37"/>
      <c r="AX599" s="37"/>
      <c r="AY599" s="37"/>
      <c r="AZ599" s="37"/>
      <c r="BA599" s="37"/>
      <c r="BB599" s="41"/>
      <c r="BC599" s="37"/>
      <c r="BD599" s="37"/>
      <c r="BE599" s="37"/>
      <c r="BF599" s="41"/>
      <c r="BG599" s="37"/>
      <c r="BH599" s="37"/>
      <c r="BI599" s="37"/>
      <c r="BJ599" s="41"/>
    </row>
    <row r="600" spans="2:62" ht="25.15" customHeight="1" x14ac:dyDescent="0.25">
      <c r="B600" s="49">
        <v>595</v>
      </c>
      <c r="C600" s="37"/>
      <c r="D600" s="87" t="str">
        <f>IF(tbl_Assessment[[#This Row],[Ben Code]]&lt;&gt;"",INDEX(tbl_Ben_Info[],MATCH(tbl_Assessment[[#This Row],[Ben Code]],tbl_Ben_Info[Ben Code],0),48),"")</f>
        <v/>
      </c>
      <c r="E600" s="116" t="str">
        <f>IF(tbl_Assessment[[#This Row],[Ben Code]]&lt;&gt;"",INDEX(tbl_Ben_Info[],MATCH(tbl_Assessment[[#This Row],[Ben Code]],tbl_Ben_Info[Ben Code],0),6),"")</f>
        <v/>
      </c>
      <c r="F600" s="113" t="str">
        <f>IF(tbl_Assessment[[#This Row],[Ben Code]]&lt;&gt;"",INDEX(tbl_Ben_Info[],MATCH(tbl_Assessment[[#This Row],[Ben Code]],tbl_Ben_Info[Ben Code],0),13),"")</f>
        <v/>
      </c>
      <c r="G600" s="49"/>
      <c r="H600" s="37"/>
      <c r="I600" s="37"/>
      <c r="J600" s="37"/>
      <c r="K600" s="37"/>
      <c r="L600" s="37"/>
      <c r="M600" s="59"/>
      <c r="N600" s="37"/>
      <c r="O600" s="37"/>
      <c r="P600" s="37"/>
      <c r="Q600" s="59"/>
      <c r="R600" s="49"/>
      <c r="S600" s="37"/>
      <c r="T600" s="37"/>
      <c r="U600" s="37"/>
      <c r="V600" s="37"/>
      <c r="W600" s="96" t="str">
        <f>tbl_Assessment[[#This Row],[Ben Code]] &amp; "-"&amp;tbl_Assessment[[#This Row],[admin4Pcode]]&amp;"-" &amp; TEXT(COUNTIF(INDEX(tbl_Assessment[Ben Code],1):tbl_Assessment[[#This Row],[Ben Code]], tbl_Assessment[[#This Row],[Ben Code]]), "00")</f>
        <v>--00</v>
      </c>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49"/>
      <c r="AU600" s="41"/>
      <c r="AV600" s="37"/>
      <c r="AW600" s="37"/>
      <c r="AX600" s="37"/>
      <c r="AY600" s="37"/>
      <c r="AZ600" s="37"/>
      <c r="BA600" s="37"/>
      <c r="BB600" s="41"/>
      <c r="BC600" s="37"/>
      <c r="BD600" s="37"/>
      <c r="BE600" s="37"/>
      <c r="BF600" s="41"/>
      <c r="BG600" s="37"/>
      <c r="BH600" s="37"/>
      <c r="BI600" s="37"/>
      <c r="BJ600" s="41"/>
    </row>
    <row r="601" spans="2:62" ht="25.15" customHeight="1" x14ac:dyDescent="0.25">
      <c r="B601" s="49">
        <v>596</v>
      </c>
      <c r="C601" s="37"/>
      <c r="D601" s="87" t="str">
        <f>IF(tbl_Assessment[[#This Row],[Ben Code]]&lt;&gt;"",INDEX(tbl_Ben_Info[],MATCH(tbl_Assessment[[#This Row],[Ben Code]],tbl_Ben_Info[Ben Code],0),48),"")</f>
        <v/>
      </c>
      <c r="E601" s="116" t="str">
        <f>IF(tbl_Assessment[[#This Row],[Ben Code]]&lt;&gt;"",INDEX(tbl_Ben_Info[],MATCH(tbl_Assessment[[#This Row],[Ben Code]],tbl_Ben_Info[Ben Code],0),6),"")</f>
        <v/>
      </c>
      <c r="F601" s="113" t="str">
        <f>IF(tbl_Assessment[[#This Row],[Ben Code]]&lt;&gt;"",INDEX(tbl_Ben_Info[],MATCH(tbl_Assessment[[#This Row],[Ben Code]],tbl_Ben_Info[Ben Code],0),13),"")</f>
        <v/>
      </c>
      <c r="G601" s="49"/>
      <c r="H601" s="37"/>
      <c r="I601" s="37"/>
      <c r="J601" s="37"/>
      <c r="K601" s="37"/>
      <c r="L601" s="37"/>
      <c r="M601" s="59"/>
      <c r="N601" s="37"/>
      <c r="O601" s="37"/>
      <c r="P601" s="37"/>
      <c r="Q601" s="59"/>
      <c r="R601" s="49"/>
      <c r="S601" s="37"/>
      <c r="T601" s="37"/>
      <c r="U601" s="37"/>
      <c r="V601" s="37"/>
      <c r="W601" s="96" t="str">
        <f>tbl_Assessment[[#This Row],[Ben Code]] &amp; "-"&amp;tbl_Assessment[[#This Row],[admin4Pcode]]&amp;"-" &amp; TEXT(COUNTIF(INDEX(tbl_Assessment[Ben Code],1):tbl_Assessment[[#This Row],[Ben Code]], tbl_Assessment[[#This Row],[Ben Code]]), "00")</f>
        <v>--00</v>
      </c>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49"/>
      <c r="AU601" s="41"/>
      <c r="AV601" s="37"/>
      <c r="AW601" s="37"/>
      <c r="AX601" s="37"/>
      <c r="AY601" s="37"/>
      <c r="AZ601" s="37"/>
      <c r="BA601" s="37"/>
      <c r="BB601" s="41"/>
      <c r="BC601" s="37"/>
      <c r="BD601" s="37"/>
      <c r="BE601" s="37"/>
      <c r="BF601" s="41"/>
      <c r="BG601" s="37"/>
      <c r="BH601" s="37"/>
      <c r="BI601" s="37"/>
      <c r="BJ601" s="41"/>
    </row>
    <row r="602" spans="2:62" ht="25.15" customHeight="1" x14ac:dyDescent="0.25">
      <c r="B602" s="49">
        <v>597</v>
      </c>
      <c r="C602" s="37"/>
      <c r="D602" s="87" t="str">
        <f>IF(tbl_Assessment[[#This Row],[Ben Code]]&lt;&gt;"",INDEX(tbl_Ben_Info[],MATCH(tbl_Assessment[[#This Row],[Ben Code]],tbl_Ben_Info[Ben Code],0),48),"")</f>
        <v/>
      </c>
      <c r="E602" s="116" t="str">
        <f>IF(tbl_Assessment[[#This Row],[Ben Code]]&lt;&gt;"",INDEX(tbl_Ben_Info[],MATCH(tbl_Assessment[[#This Row],[Ben Code]],tbl_Ben_Info[Ben Code],0),6),"")</f>
        <v/>
      </c>
      <c r="F602" s="113" t="str">
        <f>IF(tbl_Assessment[[#This Row],[Ben Code]]&lt;&gt;"",INDEX(tbl_Ben_Info[],MATCH(tbl_Assessment[[#This Row],[Ben Code]],tbl_Ben_Info[Ben Code],0),13),"")</f>
        <v/>
      </c>
      <c r="G602" s="49"/>
      <c r="H602" s="37"/>
      <c r="I602" s="37"/>
      <c r="J602" s="37"/>
      <c r="K602" s="37"/>
      <c r="L602" s="37"/>
      <c r="M602" s="59"/>
      <c r="N602" s="37"/>
      <c r="O602" s="37"/>
      <c r="P602" s="37"/>
      <c r="Q602" s="59"/>
      <c r="R602" s="49"/>
      <c r="S602" s="37"/>
      <c r="T602" s="37"/>
      <c r="U602" s="37"/>
      <c r="V602" s="37"/>
      <c r="W602" s="96" t="str">
        <f>tbl_Assessment[[#This Row],[Ben Code]] &amp; "-"&amp;tbl_Assessment[[#This Row],[admin4Pcode]]&amp;"-" &amp; TEXT(COUNTIF(INDEX(tbl_Assessment[Ben Code],1):tbl_Assessment[[#This Row],[Ben Code]], tbl_Assessment[[#This Row],[Ben Code]]), "00")</f>
        <v>--00</v>
      </c>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49"/>
      <c r="AU602" s="41"/>
      <c r="AV602" s="37"/>
      <c r="AW602" s="37"/>
      <c r="AX602" s="37"/>
      <c r="AY602" s="37"/>
      <c r="AZ602" s="37"/>
      <c r="BA602" s="37"/>
      <c r="BB602" s="41"/>
      <c r="BC602" s="37"/>
      <c r="BD602" s="37"/>
      <c r="BE602" s="37"/>
      <c r="BF602" s="41"/>
      <c r="BG602" s="37"/>
      <c r="BH602" s="37"/>
      <c r="BI602" s="37"/>
      <c r="BJ602" s="41"/>
    </row>
    <row r="603" spans="2:62" ht="25.15" customHeight="1" x14ac:dyDescent="0.25">
      <c r="B603" s="49">
        <v>598</v>
      </c>
      <c r="C603" s="37"/>
      <c r="D603" s="87" t="str">
        <f>IF(tbl_Assessment[[#This Row],[Ben Code]]&lt;&gt;"",INDEX(tbl_Ben_Info[],MATCH(tbl_Assessment[[#This Row],[Ben Code]],tbl_Ben_Info[Ben Code],0),48),"")</f>
        <v/>
      </c>
      <c r="E603" s="116" t="str">
        <f>IF(tbl_Assessment[[#This Row],[Ben Code]]&lt;&gt;"",INDEX(tbl_Ben_Info[],MATCH(tbl_Assessment[[#This Row],[Ben Code]],tbl_Ben_Info[Ben Code],0),6),"")</f>
        <v/>
      </c>
      <c r="F603" s="113" t="str">
        <f>IF(tbl_Assessment[[#This Row],[Ben Code]]&lt;&gt;"",INDEX(tbl_Ben_Info[],MATCH(tbl_Assessment[[#This Row],[Ben Code]],tbl_Ben_Info[Ben Code],0),13),"")</f>
        <v/>
      </c>
      <c r="G603" s="49"/>
      <c r="H603" s="37"/>
      <c r="I603" s="37"/>
      <c r="J603" s="37"/>
      <c r="K603" s="37"/>
      <c r="L603" s="37"/>
      <c r="M603" s="59"/>
      <c r="N603" s="37"/>
      <c r="O603" s="37"/>
      <c r="P603" s="37"/>
      <c r="Q603" s="59"/>
      <c r="R603" s="49"/>
      <c r="S603" s="37"/>
      <c r="T603" s="37"/>
      <c r="U603" s="37"/>
      <c r="V603" s="37"/>
      <c r="W603" s="96" t="str">
        <f>tbl_Assessment[[#This Row],[Ben Code]] &amp; "-"&amp;tbl_Assessment[[#This Row],[admin4Pcode]]&amp;"-" &amp; TEXT(COUNTIF(INDEX(tbl_Assessment[Ben Code],1):tbl_Assessment[[#This Row],[Ben Code]], tbl_Assessment[[#This Row],[Ben Code]]), "00")</f>
        <v>--00</v>
      </c>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49"/>
      <c r="AU603" s="41"/>
      <c r="AV603" s="37"/>
      <c r="AW603" s="37"/>
      <c r="AX603" s="37"/>
      <c r="AY603" s="37"/>
      <c r="AZ603" s="37"/>
      <c r="BA603" s="37"/>
      <c r="BB603" s="41"/>
      <c r="BC603" s="37"/>
      <c r="BD603" s="37"/>
      <c r="BE603" s="37"/>
      <c r="BF603" s="41"/>
      <c r="BG603" s="37"/>
      <c r="BH603" s="37"/>
      <c r="BI603" s="37"/>
      <c r="BJ603" s="41"/>
    </row>
    <row r="604" spans="2:62" ht="25.15" customHeight="1" x14ac:dyDescent="0.25">
      <c r="B604" s="49">
        <v>599</v>
      </c>
      <c r="C604" s="37"/>
      <c r="D604" s="87" t="str">
        <f>IF(tbl_Assessment[[#This Row],[Ben Code]]&lt;&gt;"",INDEX(tbl_Ben_Info[],MATCH(tbl_Assessment[[#This Row],[Ben Code]],tbl_Ben_Info[Ben Code],0),48),"")</f>
        <v/>
      </c>
      <c r="E604" s="116" t="str">
        <f>IF(tbl_Assessment[[#This Row],[Ben Code]]&lt;&gt;"",INDEX(tbl_Ben_Info[],MATCH(tbl_Assessment[[#This Row],[Ben Code]],tbl_Ben_Info[Ben Code],0),6),"")</f>
        <v/>
      </c>
      <c r="F604" s="113" t="str">
        <f>IF(tbl_Assessment[[#This Row],[Ben Code]]&lt;&gt;"",INDEX(tbl_Ben_Info[],MATCH(tbl_Assessment[[#This Row],[Ben Code]],tbl_Ben_Info[Ben Code],0),13),"")</f>
        <v/>
      </c>
      <c r="G604" s="49"/>
      <c r="H604" s="37"/>
      <c r="I604" s="37"/>
      <c r="J604" s="37"/>
      <c r="K604" s="37"/>
      <c r="L604" s="37"/>
      <c r="M604" s="59"/>
      <c r="N604" s="37"/>
      <c r="O604" s="37"/>
      <c r="P604" s="37"/>
      <c r="Q604" s="59"/>
      <c r="R604" s="49"/>
      <c r="S604" s="37"/>
      <c r="T604" s="37"/>
      <c r="U604" s="37"/>
      <c r="V604" s="37"/>
      <c r="W604" s="96" t="str">
        <f>tbl_Assessment[[#This Row],[Ben Code]] &amp; "-"&amp;tbl_Assessment[[#This Row],[admin4Pcode]]&amp;"-" &amp; TEXT(COUNTIF(INDEX(tbl_Assessment[Ben Code],1):tbl_Assessment[[#This Row],[Ben Code]], tbl_Assessment[[#This Row],[Ben Code]]), "00")</f>
        <v>--00</v>
      </c>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49"/>
      <c r="AU604" s="41"/>
      <c r="AV604" s="37"/>
      <c r="AW604" s="37"/>
      <c r="AX604" s="37"/>
      <c r="AY604" s="37"/>
      <c r="AZ604" s="37"/>
      <c r="BA604" s="37"/>
      <c r="BB604" s="41"/>
      <c r="BC604" s="37"/>
      <c r="BD604" s="37"/>
      <c r="BE604" s="37"/>
      <c r="BF604" s="41"/>
      <c r="BG604" s="37"/>
      <c r="BH604" s="37"/>
      <c r="BI604" s="37"/>
      <c r="BJ604" s="41"/>
    </row>
    <row r="605" spans="2:62" ht="25.15" customHeight="1" x14ac:dyDescent="0.25">
      <c r="B605" s="49">
        <v>600</v>
      </c>
      <c r="C605" s="37"/>
      <c r="D605" s="87" t="str">
        <f>IF(tbl_Assessment[[#This Row],[Ben Code]]&lt;&gt;"",INDEX(tbl_Ben_Info[],MATCH(tbl_Assessment[[#This Row],[Ben Code]],tbl_Ben_Info[Ben Code],0),48),"")</f>
        <v/>
      </c>
      <c r="E605" s="116" t="str">
        <f>IF(tbl_Assessment[[#This Row],[Ben Code]]&lt;&gt;"",INDEX(tbl_Ben_Info[],MATCH(tbl_Assessment[[#This Row],[Ben Code]],tbl_Ben_Info[Ben Code],0),6),"")</f>
        <v/>
      </c>
      <c r="F605" s="113" t="str">
        <f>IF(tbl_Assessment[[#This Row],[Ben Code]]&lt;&gt;"",INDEX(tbl_Ben_Info[],MATCH(tbl_Assessment[[#This Row],[Ben Code]],tbl_Ben_Info[Ben Code],0),13),"")</f>
        <v/>
      </c>
      <c r="G605" s="49"/>
      <c r="H605" s="37"/>
      <c r="I605" s="37"/>
      <c r="J605" s="37"/>
      <c r="K605" s="37"/>
      <c r="L605" s="37"/>
      <c r="M605" s="59"/>
      <c r="N605" s="37"/>
      <c r="O605" s="37"/>
      <c r="P605" s="37"/>
      <c r="Q605" s="59"/>
      <c r="R605" s="49"/>
      <c r="S605" s="37"/>
      <c r="T605" s="37"/>
      <c r="U605" s="37"/>
      <c r="V605" s="37"/>
      <c r="W605" s="96" t="str">
        <f>tbl_Assessment[[#This Row],[Ben Code]] &amp; "-"&amp;tbl_Assessment[[#This Row],[admin4Pcode]]&amp;"-" &amp; TEXT(COUNTIF(INDEX(tbl_Assessment[Ben Code],1):tbl_Assessment[[#This Row],[Ben Code]], tbl_Assessment[[#This Row],[Ben Code]]), "00")</f>
        <v>--00</v>
      </c>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49"/>
      <c r="AU605" s="41"/>
      <c r="AV605" s="37"/>
      <c r="AW605" s="37"/>
      <c r="AX605" s="37"/>
      <c r="AY605" s="37"/>
      <c r="AZ605" s="37"/>
      <c r="BA605" s="37"/>
      <c r="BB605" s="41"/>
      <c r="BC605" s="37"/>
      <c r="BD605" s="37"/>
      <c r="BE605" s="37"/>
      <c r="BF605" s="41"/>
      <c r="BG605" s="37"/>
      <c r="BH605" s="37"/>
      <c r="BI605" s="37"/>
      <c r="BJ605" s="41"/>
    </row>
    <row r="606" spans="2:62" ht="25.15" customHeight="1" x14ac:dyDescent="0.25">
      <c r="B606" s="49">
        <v>601</v>
      </c>
      <c r="C606" s="37"/>
      <c r="D606" s="87" t="str">
        <f>IF(tbl_Assessment[[#This Row],[Ben Code]]&lt;&gt;"",INDEX(tbl_Ben_Info[],MATCH(tbl_Assessment[[#This Row],[Ben Code]],tbl_Ben_Info[Ben Code],0),48),"")</f>
        <v/>
      </c>
      <c r="E606" s="116" t="str">
        <f>IF(tbl_Assessment[[#This Row],[Ben Code]]&lt;&gt;"",INDEX(tbl_Ben_Info[],MATCH(tbl_Assessment[[#This Row],[Ben Code]],tbl_Ben_Info[Ben Code],0),6),"")</f>
        <v/>
      </c>
      <c r="F606" s="113" t="str">
        <f>IF(tbl_Assessment[[#This Row],[Ben Code]]&lt;&gt;"",INDEX(tbl_Ben_Info[],MATCH(tbl_Assessment[[#This Row],[Ben Code]],tbl_Ben_Info[Ben Code],0),13),"")</f>
        <v/>
      </c>
      <c r="G606" s="49"/>
      <c r="H606" s="37"/>
      <c r="I606" s="37"/>
      <c r="J606" s="37"/>
      <c r="K606" s="37"/>
      <c r="L606" s="37"/>
      <c r="M606" s="59"/>
      <c r="N606" s="37"/>
      <c r="O606" s="37"/>
      <c r="P606" s="37"/>
      <c r="Q606" s="59"/>
      <c r="R606" s="49"/>
      <c r="S606" s="37"/>
      <c r="T606" s="37"/>
      <c r="U606" s="37"/>
      <c r="V606" s="37"/>
      <c r="W606" s="96" t="str">
        <f>tbl_Assessment[[#This Row],[Ben Code]] &amp; "-"&amp;tbl_Assessment[[#This Row],[admin4Pcode]]&amp;"-" &amp; TEXT(COUNTIF(INDEX(tbl_Assessment[Ben Code],1):tbl_Assessment[[#This Row],[Ben Code]], tbl_Assessment[[#This Row],[Ben Code]]), "00")</f>
        <v>--00</v>
      </c>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49"/>
      <c r="AU606" s="41"/>
      <c r="AV606" s="37"/>
      <c r="AW606" s="37"/>
      <c r="AX606" s="37"/>
      <c r="AY606" s="37"/>
      <c r="AZ606" s="37"/>
      <c r="BA606" s="37"/>
      <c r="BB606" s="41"/>
      <c r="BC606" s="37"/>
      <c r="BD606" s="37"/>
      <c r="BE606" s="37"/>
      <c r="BF606" s="41"/>
      <c r="BG606" s="37"/>
      <c r="BH606" s="37"/>
      <c r="BI606" s="37"/>
      <c r="BJ606" s="41"/>
    </row>
    <row r="607" spans="2:62" ht="25.15" customHeight="1" x14ac:dyDescent="0.25">
      <c r="B607" s="49">
        <v>602</v>
      </c>
      <c r="C607" s="37"/>
      <c r="D607" s="87" t="str">
        <f>IF(tbl_Assessment[[#This Row],[Ben Code]]&lt;&gt;"",INDEX(tbl_Ben_Info[],MATCH(tbl_Assessment[[#This Row],[Ben Code]],tbl_Ben_Info[Ben Code],0),48),"")</f>
        <v/>
      </c>
      <c r="E607" s="116" t="str">
        <f>IF(tbl_Assessment[[#This Row],[Ben Code]]&lt;&gt;"",INDEX(tbl_Ben_Info[],MATCH(tbl_Assessment[[#This Row],[Ben Code]],tbl_Ben_Info[Ben Code],0),6),"")</f>
        <v/>
      </c>
      <c r="F607" s="113" t="str">
        <f>IF(tbl_Assessment[[#This Row],[Ben Code]]&lt;&gt;"",INDEX(tbl_Ben_Info[],MATCH(tbl_Assessment[[#This Row],[Ben Code]],tbl_Ben_Info[Ben Code],0),13),"")</f>
        <v/>
      </c>
      <c r="G607" s="49"/>
      <c r="H607" s="37"/>
      <c r="I607" s="37"/>
      <c r="J607" s="37"/>
      <c r="K607" s="37"/>
      <c r="L607" s="37"/>
      <c r="M607" s="59"/>
      <c r="N607" s="37"/>
      <c r="O607" s="37"/>
      <c r="P607" s="37"/>
      <c r="Q607" s="59"/>
      <c r="R607" s="49"/>
      <c r="S607" s="37"/>
      <c r="T607" s="37"/>
      <c r="U607" s="37"/>
      <c r="V607" s="37"/>
      <c r="W607" s="96" t="str">
        <f>tbl_Assessment[[#This Row],[Ben Code]] &amp; "-"&amp;tbl_Assessment[[#This Row],[admin4Pcode]]&amp;"-" &amp; TEXT(COUNTIF(INDEX(tbl_Assessment[Ben Code],1):tbl_Assessment[[#This Row],[Ben Code]], tbl_Assessment[[#This Row],[Ben Code]]), "00")</f>
        <v>--00</v>
      </c>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49"/>
      <c r="AU607" s="41"/>
      <c r="AV607" s="37"/>
      <c r="AW607" s="37"/>
      <c r="AX607" s="37"/>
      <c r="AY607" s="37"/>
      <c r="AZ607" s="37"/>
      <c r="BA607" s="37"/>
      <c r="BB607" s="41"/>
      <c r="BC607" s="37"/>
      <c r="BD607" s="37"/>
      <c r="BE607" s="37"/>
      <c r="BF607" s="41"/>
      <c r="BG607" s="37"/>
      <c r="BH607" s="37"/>
      <c r="BI607" s="37"/>
      <c r="BJ607" s="41"/>
    </row>
    <row r="608" spans="2:62" ht="25.15" customHeight="1" x14ac:dyDescent="0.25">
      <c r="B608" s="49">
        <v>603</v>
      </c>
      <c r="C608" s="37"/>
      <c r="D608" s="87" t="str">
        <f>IF(tbl_Assessment[[#This Row],[Ben Code]]&lt;&gt;"",INDEX(tbl_Ben_Info[],MATCH(tbl_Assessment[[#This Row],[Ben Code]],tbl_Ben_Info[Ben Code],0),48),"")</f>
        <v/>
      </c>
      <c r="E608" s="116" t="str">
        <f>IF(tbl_Assessment[[#This Row],[Ben Code]]&lt;&gt;"",INDEX(tbl_Ben_Info[],MATCH(tbl_Assessment[[#This Row],[Ben Code]],tbl_Ben_Info[Ben Code],0),6),"")</f>
        <v/>
      </c>
      <c r="F608" s="113" t="str">
        <f>IF(tbl_Assessment[[#This Row],[Ben Code]]&lt;&gt;"",INDEX(tbl_Ben_Info[],MATCH(tbl_Assessment[[#This Row],[Ben Code]],tbl_Ben_Info[Ben Code],0),13),"")</f>
        <v/>
      </c>
      <c r="G608" s="49"/>
      <c r="H608" s="37"/>
      <c r="I608" s="37"/>
      <c r="J608" s="37"/>
      <c r="K608" s="37"/>
      <c r="L608" s="37"/>
      <c r="M608" s="59"/>
      <c r="N608" s="37"/>
      <c r="O608" s="37"/>
      <c r="P608" s="37"/>
      <c r="Q608" s="59"/>
      <c r="R608" s="49"/>
      <c r="S608" s="37"/>
      <c r="T608" s="37"/>
      <c r="U608" s="37"/>
      <c r="V608" s="37"/>
      <c r="W608" s="96" t="str">
        <f>tbl_Assessment[[#This Row],[Ben Code]] &amp; "-"&amp;tbl_Assessment[[#This Row],[admin4Pcode]]&amp;"-" &amp; TEXT(COUNTIF(INDEX(tbl_Assessment[Ben Code],1):tbl_Assessment[[#This Row],[Ben Code]], tbl_Assessment[[#This Row],[Ben Code]]), "00")</f>
        <v>--00</v>
      </c>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49"/>
      <c r="AU608" s="41"/>
      <c r="AV608" s="37"/>
      <c r="AW608" s="37"/>
      <c r="AX608" s="37"/>
      <c r="AY608" s="37"/>
      <c r="AZ608" s="37"/>
      <c r="BA608" s="37"/>
      <c r="BB608" s="41"/>
      <c r="BC608" s="37"/>
      <c r="BD608" s="37"/>
      <c r="BE608" s="37"/>
      <c r="BF608" s="41"/>
      <c r="BG608" s="37"/>
      <c r="BH608" s="37"/>
      <c r="BI608" s="37"/>
      <c r="BJ608" s="41"/>
    </row>
    <row r="609" spans="2:62" ht="25.15" customHeight="1" x14ac:dyDescent="0.25">
      <c r="B609" s="49">
        <v>604</v>
      </c>
      <c r="C609" s="37"/>
      <c r="D609" s="87" t="str">
        <f>IF(tbl_Assessment[[#This Row],[Ben Code]]&lt;&gt;"",INDEX(tbl_Ben_Info[],MATCH(tbl_Assessment[[#This Row],[Ben Code]],tbl_Ben_Info[Ben Code],0),48),"")</f>
        <v/>
      </c>
      <c r="E609" s="116" t="str">
        <f>IF(tbl_Assessment[[#This Row],[Ben Code]]&lt;&gt;"",INDEX(tbl_Ben_Info[],MATCH(tbl_Assessment[[#This Row],[Ben Code]],tbl_Ben_Info[Ben Code],0),6),"")</f>
        <v/>
      </c>
      <c r="F609" s="113" t="str">
        <f>IF(tbl_Assessment[[#This Row],[Ben Code]]&lt;&gt;"",INDEX(tbl_Ben_Info[],MATCH(tbl_Assessment[[#This Row],[Ben Code]],tbl_Ben_Info[Ben Code],0),13),"")</f>
        <v/>
      </c>
      <c r="G609" s="49"/>
      <c r="H609" s="37"/>
      <c r="I609" s="37"/>
      <c r="J609" s="37"/>
      <c r="K609" s="37"/>
      <c r="L609" s="37"/>
      <c r="M609" s="59"/>
      <c r="N609" s="37"/>
      <c r="O609" s="37"/>
      <c r="P609" s="37"/>
      <c r="Q609" s="59"/>
      <c r="R609" s="49"/>
      <c r="S609" s="37"/>
      <c r="T609" s="37"/>
      <c r="U609" s="37"/>
      <c r="V609" s="37"/>
      <c r="W609" s="96" t="str">
        <f>tbl_Assessment[[#This Row],[Ben Code]] &amp; "-"&amp;tbl_Assessment[[#This Row],[admin4Pcode]]&amp;"-" &amp; TEXT(COUNTIF(INDEX(tbl_Assessment[Ben Code],1):tbl_Assessment[[#This Row],[Ben Code]], tbl_Assessment[[#This Row],[Ben Code]]), "00")</f>
        <v>--00</v>
      </c>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49"/>
      <c r="AU609" s="41"/>
      <c r="AV609" s="37"/>
      <c r="AW609" s="37"/>
      <c r="AX609" s="37"/>
      <c r="AY609" s="37"/>
      <c r="AZ609" s="37"/>
      <c r="BA609" s="37"/>
      <c r="BB609" s="41"/>
      <c r="BC609" s="37"/>
      <c r="BD609" s="37"/>
      <c r="BE609" s="37"/>
      <c r="BF609" s="41"/>
      <c r="BG609" s="37"/>
      <c r="BH609" s="37"/>
      <c r="BI609" s="37"/>
      <c r="BJ609" s="41"/>
    </row>
    <row r="610" spans="2:62" ht="25.15" customHeight="1" x14ac:dyDescent="0.25">
      <c r="B610" s="49">
        <v>605</v>
      </c>
      <c r="C610" s="37"/>
      <c r="D610" s="87" t="str">
        <f>IF(tbl_Assessment[[#This Row],[Ben Code]]&lt;&gt;"",INDEX(tbl_Ben_Info[],MATCH(tbl_Assessment[[#This Row],[Ben Code]],tbl_Ben_Info[Ben Code],0),48),"")</f>
        <v/>
      </c>
      <c r="E610" s="116" t="str">
        <f>IF(tbl_Assessment[[#This Row],[Ben Code]]&lt;&gt;"",INDEX(tbl_Ben_Info[],MATCH(tbl_Assessment[[#This Row],[Ben Code]],tbl_Ben_Info[Ben Code],0),6),"")</f>
        <v/>
      </c>
      <c r="F610" s="113" t="str">
        <f>IF(tbl_Assessment[[#This Row],[Ben Code]]&lt;&gt;"",INDEX(tbl_Ben_Info[],MATCH(tbl_Assessment[[#This Row],[Ben Code]],tbl_Ben_Info[Ben Code],0),13),"")</f>
        <v/>
      </c>
      <c r="G610" s="49"/>
      <c r="H610" s="37"/>
      <c r="I610" s="37"/>
      <c r="J610" s="37"/>
      <c r="K610" s="37"/>
      <c r="L610" s="37"/>
      <c r="M610" s="59"/>
      <c r="N610" s="37"/>
      <c r="O610" s="37"/>
      <c r="P610" s="37"/>
      <c r="Q610" s="59"/>
      <c r="R610" s="49"/>
      <c r="S610" s="37"/>
      <c r="T610" s="37"/>
      <c r="U610" s="37"/>
      <c r="V610" s="37"/>
      <c r="W610" s="96" t="str">
        <f>tbl_Assessment[[#This Row],[Ben Code]] &amp; "-"&amp;tbl_Assessment[[#This Row],[admin4Pcode]]&amp;"-" &amp; TEXT(COUNTIF(INDEX(tbl_Assessment[Ben Code],1):tbl_Assessment[[#This Row],[Ben Code]], tbl_Assessment[[#This Row],[Ben Code]]), "00")</f>
        <v>--00</v>
      </c>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49"/>
      <c r="AU610" s="41"/>
      <c r="AV610" s="37"/>
      <c r="AW610" s="37"/>
      <c r="AX610" s="37"/>
      <c r="AY610" s="37"/>
      <c r="AZ610" s="37"/>
      <c r="BA610" s="37"/>
      <c r="BB610" s="41"/>
      <c r="BC610" s="37"/>
      <c r="BD610" s="37"/>
      <c r="BE610" s="37"/>
      <c r="BF610" s="41"/>
      <c r="BG610" s="37"/>
      <c r="BH610" s="37"/>
      <c r="BI610" s="37"/>
      <c r="BJ610" s="41"/>
    </row>
    <row r="611" spans="2:62" ht="25.15" customHeight="1" x14ac:dyDescent="0.25">
      <c r="B611" s="49">
        <v>606</v>
      </c>
      <c r="C611" s="37"/>
      <c r="D611" s="87" t="str">
        <f>IF(tbl_Assessment[[#This Row],[Ben Code]]&lt;&gt;"",INDEX(tbl_Ben_Info[],MATCH(tbl_Assessment[[#This Row],[Ben Code]],tbl_Ben_Info[Ben Code],0),48),"")</f>
        <v/>
      </c>
      <c r="E611" s="116" t="str">
        <f>IF(tbl_Assessment[[#This Row],[Ben Code]]&lt;&gt;"",INDEX(tbl_Ben_Info[],MATCH(tbl_Assessment[[#This Row],[Ben Code]],tbl_Ben_Info[Ben Code],0),6),"")</f>
        <v/>
      </c>
      <c r="F611" s="113" t="str">
        <f>IF(tbl_Assessment[[#This Row],[Ben Code]]&lt;&gt;"",INDEX(tbl_Ben_Info[],MATCH(tbl_Assessment[[#This Row],[Ben Code]],tbl_Ben_Info[Ben Code],0),13),"")</f>
        <v/>
      </c>
      <c r="G611" s="49"/>
      <c r="H611" s="37"/>
      <c r="I611" s="37"/>
      <c r="J611" s="37"/>
      <c r="K611" s="37"/>
      <c r="L611" s="37"/>
      <c r="M611" s="59"/>
      <c r="N611" s="37"/>
      <c r="O611" s="37"/>
      <c r="P611" s="37"/>
      <c r="Q611" s="59"/>
      <c r="R611" s="49"/>
      <c r="S611" s="37"/>
      <c r="T611" s="37"/>
      <c r="U611" s="37"/>
      <c r="V611" s="37"/>
      <c r="W611" s="96" t="str">
        <f>tbl_Assessment[[#This Row],[Ben Code]] &amp; "-"&amp;tbl_Assessment[[#This Row],[admin4Pcode]]&amp;"-" &amp; TEXT(COUNTIF(INDEX(tbl_Assessment[Ben Code],1):tbl_Assessment[[#This Row],[Ben Code]], tbl_Assessment[[#This Row],[Ben Code]]), "00")</f>
        <v>--00</v>
      </c>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49"/>
      <c r="AU611" s="41"/>
      <c r="AV611" s="37"/>
      <c r="AW611" s="37"/>
      <c r="AX611" s="37"/>
      <c r="AY611" s="37"/>
      <c r="AZ611" s="37"/>
      <c r="BA611" s="37"/>
      <c r="BB611" s="41"/>
      <c r="BC611" s="37"/>
      <c r="BD611" s="37"/>
      <c r="BE611" s="37"/>
      <c r="BF611" s="41"/>
      <c r="BG611" s="37"/>
      <c r="BH611" s="37"/>
      <c r="BI611" s="37"/>
      <c r="BJ611" s="41"/>
    </row>
    <row r="612" spans="2:62" ht="25.15" customHeight="1" x14ac:dyDescent="0.25">
      <c r="B612" s="49">
        <v>607</v>
      </c>
      <c r="C612" s="37"/>
      <c r="D612" s="87" t="str">
        <f>IF(tbl_Assessment[[#This Row],[Ben Code]]&lt;&gt;"",INDEX(tbl_Ben_Info[],MATCH(tbl_Assessment[[#This Row],[Ben Code]],tbl_Ben_Info[Ben Code],0),48),"")</f>
        <v/>
      </c>
      <c r="E612" s="116" t="str">
        <f>IF(tbl_Assessment[[#This Row],[Ben Code]]&lt;&gt;"",INDEX(tbl_Ben_Info[],MATCH(tbl_Assessment[[#This Row],[Ben Code]],tbl_Ben_Info[Ben Code],0),6),"")</f>
        <v/>
      </c>
      <c r="F612" s="113" t="str">
        <f>IF(tbl_Assessment[[#This Row],[Ben Code]]&lt;&gt;"",INDEX(tbl_Ben_Info[],MATCH(tbl_Assessment[[#This Row],[Ben Code]],tbl_Ben_Info[Ben Code],0),13),"")</f>
        <v/>
      </c>
      <c r="G612" s="49"/>
      <c r="H612" s="37"/>
      <c r="I612" s="37"/>
      <c r="J612" s="37"/>
      <c r="K612" s="37"/>
      <c r="L612" s="37"/>
      <c r="M612" s="59"/>
      <c r="N612" s="37"/>
      <c r="O612" s="37"/>
      <c r="P612" s="37"/>
      <c r="Q612" s="59"/>
      <c r="R612" s="49"/>
      <c r="S612" s="37"/>
      <c r="T612" s="37"/>
      <c r="U612" s="37"/>
      <c r="V612" s="37"/>
      <c r="W612" s="96" t="str">
        <f>tbl_Assessment[[#This Row],[Ben Code]] &amp; "-"&amp;tbl_Assessment[[#This Row],[admin4Pcode]]&amp;"-" &amp; TEXT(COUNTIF(INDEX(tbl_Assessment[Ben Code],1):tbl_Assessment[[#This Row],[Ben Code]], tbl_Assessment[[#This Row],[Ben Code]]), "00")</f>
        <v>--00</v>
      </c>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49"/>
      <c r="AU612" s="41"/>
      <c r="AV612" s="37"/>
      <c r="AW612" s="37"/>
      <c r="AX612" s="37"/>
      <c r="AY612" s="37"/>
      <c r="AZ612" s="37"/>
      <c r="BA612" s="37"/>
      <c r="BB612" s="41"/>
      <c r="BC612" s="37"/>
      <c r="BD612" s="37"/>
      <c r="BE612" s="37"/>
      <c r="BF612" s="41"/>
      <c r="BG612" s="37"/>
      <c r="BH612" s="37"/>
      <c r="BI612" s="37"/>
      <c r="BJ612" s="41"/>
    </row>
    <row r="613" spans="2:62" ht="25.15" customHeight="1" x14ac:dyDescent="0.25">
      <c r="B613" s="49">
        <v>608</v>
      </c>
      <c r="C613" s="37"/>
      <c r="D613" s="87" t="str">
        <f>IF(tbl_Assessment[[#This Row],[Ben Code]]&lt;&gt;"",INDEX(tbl_Ben_Info[],MATCH(tbl_Assessment[[#This Row],[Ben Code]],tbl_Ben_Info[Ben Code],0),48),"")</f>
        <v/>
      </c>
      <c r="E613" s="116" t="str">
        <f>IF(tbl_Assessment[[#This Row],[Ben Code]]&lt;&gt;"",INDEX(tbl_Ben_Info[],MATCH(tbl_Assessment[[#This Row],[Ben Code]],tbl_Ben_Info[Ben Code],0),6),"")</f>
        <v/>
      </c>
      <c r="F613" s="113" t="str">
        <f>IF(tbl_Assessment[[#This Row],[Ben Code]]&lt;&gt;"",INDEX(tbl_Ben_Info[],MATCH(tbl_Assessment[[#This Row],[Ben Code]],tbl_Ben_Info[Ben Code],0),13),"")</f>
        <v/>
      </c>
      <c r="G613" s="49"/>
      <c r="H613" s="37"/>
      <c r="I613" s="37"/>
      <c r="J613" s="37"/>
      <c r="K613" s="37"/>
      <c r="L613" s="37"/>
      <c r="M613" s="59"/>
      <c r="N613" s="37"/>
      <c r="O613" s="37"/>
      <c r="P613" s="37"/>
      <c r="Q613" s="59"/>
      <c r="R613" s="49"/>
      <c r="S613" s="37"/>
      <c r="T613" s="37"/>
      <c r="U613" s="37"/>
      <c r="V613" s="37"/>
      <c r="W613" s="96" t="str">
        <f>tbl_Assessment[[#This Row],[Ben Code]] &amp; "-"&amp;tbl_Assessment[[#This Row],[admin4Pcode]]&amp;"-" &amp; TEXT(COUNTIF(INDEX(tbl_Assessment[Ben Code],1):tbl_Assessment[[#This Row],[Ben Code]], tbl_Assessment[[#This Row],[Ben Code]]), "00")</f>
        <v>--00</v>
      </c>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49"/>
      <c r="AU613" s="41"/>
      <c r="AV613" s="37"/>
      <c r="AW613" s="37"/>
      <c r="AX613" s="37"/>
      <c r="AY613" s="37"/>
      <c r="AZ613" s="37"/>
      <c r="BA613" s="37"/>
      <c r="BB613" s="41"/>
      <c r="BC613" s="37"/>
      <c r="BD613" s="37"/>
      <c r="BE613" s="37"/>
      <c r="BF613" s="41"/>
      <c r="BG613" s="37"/>
      <c r="BH613" s="37"/>
      <c r="BI613" s="37"/>
      <c r="BJ613" s="41"/>
    </row>
    <row r="614" spans="2:62" ht="25.15" customHeight="1" x14ac:dyDescent="0.25">
      <c r="B614" s="49">
        <v>609</v>
      </c>
      <c r="C614" s="37"/>
      <c r="D614" s="87" t="str">
        <f>IF(tbl_Assessment[[#This Row],[Ben Code]]&lt;&gt;"",INDEX(tbl_Ben_Info[],MATCH(tbl_Assessment[[#This Row],[Ben Code]],tbl_Ben_Info[Ben Code],0),48),"")</f>
        <v/>
      </c>
      <c r="E614" s="116" t="str">
        <f>IF(tbl_Assessment[[#This Row],[Ben Code]]&lt;&gt;"",INDEX(tbl_Ben_Info[],MATCH(tbl_Assessment[[#This Row],[Ben Code]],tbl_Ben_Info[Ben Code],0),6),"")</f>
        <v/>
      </c>
      <c r="F614" s="113" t="str">
        <f>IF(tbl_Assessment[[#This Row],[Ben Code]]&lt;&gt;"",INDEX(tbl_Ben_Info[],MATCH(tbl_Assessment[[#This Row],[Ben Code]],tbl_Ben_Info[Ben Code],0),13),"")</f>
        <v/>
      </c>
      <c r="G614" s="49"/>
      <c r="H614" s="37"/>
      <c r="I614" s="37"/>
      <c r="J614" s="37"/>
      <c r="K614" s="37"/>
      <c r="L614" s="37"/>
      <c r="M614" s="59"/>
      <c r="N614" s="37"/>
      <c r="O614" s="37"/>
      <c r="P614" s="37"/>
      <c r="Q614" s="59"/>
      <c r="R614" s="49"/>
      <c r="S614" s="37"/>
      <c r="T614" s="37"/>
      <c r="U614" s="37"/>
      <c r="V614" s="37"/>
      <c r="W614" s="96" t="str">
        <f>tbl_Assessment[[#This Row],[Ben Code]] &amp; "-"&amp;tbl_Assessment[[#This Row],[admin4Pcode]]&amp;"-" &amp; TEXT(COUNTIF(INDEX(tbl_Assessment[Ben Code],1):tbl_Assessment[[#This Row],[Ben Code]], tbl_Assessment[[#This Row],[Ben Code]]), "00")</f>
        <v>--00</v>
      </c>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49"/>
      <c r="AU614" s="41"/>
      <c r="AV614" s="37"/>
      <c r="AW614" s="37"/>
      <c r="AX614" s="37"/>
      <c r="AY614" s="37"/>
      <c r="AZ614" s="37"/>
      <c r="BA614" s="37"/>
      <c r="BB614" s="41"/>
      <c r="BC614" s="37"/>
      <c r="BD614" s="37"/>
      <c r="BE614" s="37"/>
      <c r="BF614" s="41"/>
      <c r="BG614" s="37"/>
      <c r="BH614" s="37"/>
      <c r="BI614" s="37"/>
      <c r="BJ614" s="41"/>
    </row>
    <row r="615" spans="2:62" ht="25.15" customHeight="1" x14ac:dyDescent="0.25">
      <c r="B615" s="49">
        <v>610</v>
      </c>
      <c r="C615" s="37"/>
      <c r="D615" s="87" t="str">
        <f>IF(tbl_Assessment[[#This Row],[Ben Code]]&lt;&gt;"",INDEX(tbl_Ben_Info[],MATCH(tbl_Assessment[[#This Row],[Ben Code]],tbl_Ben_Info[Ben Code],0),48),"")</f>
        <v/>
      </c>
      <c r="E615" s="116" t="str">
        <f>IF(tbl_Assessment[[#This Row],[Ben Code]]&lt;&gt;"",INDEX(tbl_Ben_Info[],MATCH(tbl_Assessment[[#This Row],[Ben Code]],tbl_Ben_Info[Ben Code],0),6),"")</f>
        <v/>
      </c>
      <c r="F615" s="113" t="str">
        <f>IF(tbl_Assessment[[#This Row],[Ben Code]]&lt;&gt;"",INDEX(tbl_Ben_Info[],MATCH(tbl_Assessment[[#This Row],[Ben Code]],tbl_Ben_Info[Ben Code],0),13),"")</f>
        <v/>
      </c>
      <c r="G615" s="49"/>
      <c r="H615" s="37"/>
      <c r="I615" s="37"/>
      <c r="J615" s="37"/>
      <c r="K615" s="37"/>
      <c r="L615" s="37"/>
      <c r="M615" s="59"/>
      <c r="N615" s="37"/>
      <c r="O615" s="37"/>
      <c r="P615" s="37"/>
      <c r="Q615" s="59"/>
      <c r="R615" s="49"/>
      <c r="S615" s="37"/>
      <c r="T615" s="37"/>
      <c r="U615" s="37"/>
      <c r="V615" s="37"/>
      <c r="W615" s="96" t="str">
        <f>tbl_Assessment[[#This Row],[Ben Code]] &amp; "-"&amp;tbl_Assessment[[#This Row],[admin4Pcode]]&amp;"-" &amp; TEXT(COUNTIF(INDEX(tbl_Assessment[Ben Code],1):tbl_Assessment[[#This Row],[Ben Code]], tbl_Assessment[[#This Row],[Ben Code]]), "00")</f>
        <v>--00</v>
      </c>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49"/>
      <c r="AU615" s="41"/>
      <c r="AV615" s="37"/>
      <c r="AW615" s="37"/>
      <c r="AX615" s="37"/>
      <c r="AY615" s="37"/>
      <c r="AZ615" s="37"/>
      <c r="BA615" s="37"/>
      <c r="BB615" s="41"/>
      <c r="BC615" s="37"/>
      <c r="BD615" s="37"/>
      <c r="BE615" s="37"/>
      <c r="BF615" s="41"/>
      <c r="BG615" s="37"/>
      <c r="BH615" s="37"/>
      <c r="BI615" s="37"/>
      <c r="BJ615" s="41"/>
    </row>
    <row r="616" spans="2:62" ht="25.15" customHeight="1" x14ac:dyDescent="0.25">
      <c r="B616" s="49">
        <v>611</v>
      </c>
      <c r="C616" s="37"/>
      <c r="D616" s="87" t="str">
        <f>IF(tbl_Assessment[[#This Row],[Ben Code]]&lt;&gt;"",INDEX(tbl_Ben_Info[],MATCH(tbl_Assessment[[#This Row],[Ben Code]],tbl_Ben_Info[Ben Code],0),48),"")</f>
        <v/>
      </c>
      <c r="E616" s="116" t="str">
        <f>IF(tbl_Assessment[[#This Row],[Ben Code]]&lt;&gt;"",INDEX(tbl_Ben_Info[],MATCH(tbl_Assessment[[#This Row],[Ben Code]],tbl_Ben_Info[Ben Code],0),6),"")</f>
        <v/>
      </c>
      <c r="F616" s="113" t="str">
        <f>IF(tbl_Assessment[[#This Row],[Ben Code]]&lt;&gt;"",INDEX(tbl_Ben_Info[],MATCH(tbl_Assessment[[#This Row],[Ben Code]],tbl_Ben_Info[Ben Code],0),13),"")</f>
        <v/>
      </c>
      <c r="G616" s="49"/>
      <c r="H616" s="37"/>
      <c r="I616" s="37"/>
      <c r="J616" s="37"/>
      <c r="K616" s="37"/>
      <c r="L616" s="37"/>
      <c r="M616" s="59"/>
      <c r="N616" s="37"/>
      <c r="O616" s="37"/>
      <c r="P616" s="37"/>
      <c r="Q616" s="59"/>
      <c r="R616" s="49"/>
      <c r="S616" s="37"/>
      <c r="T616" s="37"/>
      <c r="U616" s="37"/>
      <c r="V616" s="37"/>
      <c r="W616" s="96" t="str">
        <f>tbl_Assessment[[#This Row],[Ben Code]] &amp; "-"&amp;tbl_Assessment[[#This Row],[admin4Pcode]]&amp;"-" &amp; TEXT(COUNTIF(INDEX(tbl_Assessment[Ben Code],1):tbl_Assessment[[#This Row],[Ben Code]], tbl_Assessment[[#This Row],[Ben Code]]), "00")</f>
        <v>--00</v>
      </c>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49"/>
      <c r="AU616" s="41"/>
      <c r="AV616" s="37"/>
      <c r="AW616" s="37"/>
      <c r="AX616" s="37"/>
      <c r="AY616" s="37"/>
      <c r="AZ616" s="37"/>
      <c r="BA616" s="37"/>
      <c r="BB616" s="41"/>
      <c r="BC616" s="37"/>
      <c r="BD616" s="37"/>
      <c r="BE616" s="37"/>
      <c r="BF616" s="41"/>
      <c r="BG616" s="37"/>
      <c r="BH616" s="37"/>
      <c r="BI616" s="37"/>
      <c r="BJ616" s="41"/>
    </row>
    <row r="617" spans="2:62" ht="25.15" customHeight="1" x14ac:dyDescent="0.25">
      <c r="B617" s="49">
        <v>612</v>
      </c>
      <c r="C617" s="37"/>
      <c r="D617" s="87" t="str">
        <f>IF(tbl_Assessment[[#This Row],[Ben Code]]&lt;&gt;"",INDEX(tbl_Ben_Info[],MATCH(tbl_Assessment[[#This Row],[Ben Code]],tbl_Ben_Info[Ben Code],0),48),"")</f>
        <v/>
      </c>
      <c r="E617" s="116" t="str">
        <f>IF(tbl_Assessment[[#This Row],[Ben Code]]&lt;&gt;"",INDEX(tbl_Ben_Info[],MATCH(tbl_Assessment[[#This Row],[Ben Code]],tbl_Ben_Info[Ben Code],0),6),"")</f>
        <v/>
      </c>
      <c r="F617" s="113" t="str">
        <f>IF(tbl_Assessment[[#This Row],[Ben Code]]&lt;&gt;"",INDEX(tbl_Ben_Info[],MATCH(tbl_Assessment[[#This Row],[Ben Code]],tbl_Ben_Info[Ben Code],0),13),"")</f>
        <v/>
      </c>
      <c r="G617" s="49"/>
      <c r="H617" s="37"/>
      <c r="I617" s="37"/>
      <c r="J617" s="37"/>
      <c r="K617" s="37"/>
      <c r="L617" s="37"/>
      <c r="M617" s="59"/>
      <c r="N617" s="37"/>
      <c r="O617" s="37"/>
      <c r="P617" s="37"/>
      <c r="Q617" s="59"/>
      <c r="R617" s="49"/>
      <c r="S617" s="37"/>
      <c r="T617" s="37"/>
      <c r="U617" s="37"/>
      <c r="V617" s="37"/>
      <c r="W617" s="96" t="str">
        <f>tbl_Assessment[[#This Row],[Ben Code]] &amp; "-"&amp;tbl_Assessment[[#This Row],[admin4Pcode]]&amp;"-" &amp; TEXT(COUNTIF(INDEX(tbl_Assessment[Ben Code],1):tbl_Assessment[[#This Row],[Ben Code]], tbl_Assessment[[#This Row],[Ben Code]]), "00")</f>
        <v>--00</v>
      </c>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49"/>
      <c r="AU617" s="41"/>
      <c r="AV617" s="37"/>
      <c r="AW617" s="37"/>
      <c r="AX617" s="37"/>
      <c r="AY617" s="37"/>
      <c r="AZ617" s="37"/>
      <c r="BA617" s="37"/>
      <c r="BB617" s="41"/>
      <c r="BC617" s="37"/>
      <c r="BD617" s="37"/>
      <c r="BE617" s="37"/>
      <c r="BF617" s="41"/>
      <c r="BG617" s="37"/>
      <c r="BH617" s="37"/>
      <c r="BI617" s="37"/>
      <c r="BJ617" s="41"/>
    </row>
    <row r="618" spans="2:62" ht="25.15" customHeight="1" x14ac:dyDescent="0.25">
      <c r="B618" s="49">
        <v>613</v>
      </c>
      <c r="C618" s="37"/>
      <c r="D618" s="87" t="str">
        <f>IF(tbl_Assessment[[#This Row],[Ben Code]]&lt;&gt;"",INDEX(tbl_Ben_Info[],MATCH(tbl_Assessment[[#This Row],[Ben Code]],tbl_Ben_Info[Ben Code],0),48),"")</f>
        <v/>
      </c>
      <c r="E618" s="116" t="str">
        <f>IF(tbl_Assessment[[#This Row],[Ben Code]]&lt;&gt;"",INDEX(tbl_Ben_Info[],MATCH(tbl_Assessment[[#This Row],[Ben Code]],tbl_Ben_Info[Ben Code],0),6),"")</f>
        <v/>
      </c>
      <c r="F618" s="113" t="str">
        <f>IF(tbl_Assessment[[#This Row],[Ben Code]]&lt;&gt;"",INDEX(tbl_Ben_Info[],MATCH(tbl_Assessment[[#This Row],[Ben Code]],tbl_Ben_Info[Ben Code],0),13),"")</f>
        <v/>
      </c>
      <c r="G618" s="49"/>
      <c r="H618" s="37"/>
      <c r="I618" s="37"/>
      <c r="J618" s="37"/>
      <c r="K618" s="37"/>
      <c r="L618" s="37"/>
      <c r="M618" s="59"/>
      <c r="N618" s="37"/>
      <c r="O618" s="37"/>
      <c r="P618" s="37"/>
      <c r="Q618" s="59"/>
      <c r="R618" s="49"/>
      <c r="S618" s="37"/>
      <c r="T618" s="37"/>
      <c r="U618" s="37"/>
      <c r="V618" s="37"/>
      <c r="W618" s="96" t="str">
        <f>tbl_Assessment[[#This Row],[Ben Code]] &amp; "-"&amp;tbl_Assessment[[#This Row],[admin4Pcode]]&amp;"-" &amp; TEXT(COUNTIF(INDEX(tbl_Assessment[Ben Code],1):tbl_Assessment[[#This Row],[Ben Code]], tbl_Assessment[[#This Row],[Ben Code]]), "00")</f>
        <v>--00</v>
      </c>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49"/>
      <c r="AU618" s="41"/>
      <c r="AV618" s="37"/>
      <c r="AW618" s="37"/>
      <c r="AX618" s="37"/>
      <c r="AY618" s="37"/>
      <c r="AZ618" s="37"/>
      <c r="BA618" s="37"/>
      <c r="BB618" s="41"/>
      <c r="BC618" s="37"/>
      <c r="BD618" s="37"/>
      <c r="BE618" s="37"/>
      <c r="BF618" s="41"/>
      <c r="BG618" s="37"/>
      <c r="BH618" s="37"/>
      <c r="BI618" s="37"/>
      <c r="BJ618" s="41"/>
    </row>
    <row r="619" spans="2:62" ht="25.15" customHeight="1" x14ac:dyDescent="0.25">
      <c r="B619" s="49">
        <v>614</v>
      </c>
      <c r="C619" s="37"/>
      <c r="D619" s="87" t="str">
        <f>IF(tbl_Assessment[[#This Row],[Ben Code]]&lt;&gt;"",INDEX(tbl_Ben_Info[],MATCH(tbl_Assessment[[#This Row],[Ben Code]],tbl_Ben_Info[Ben Code],0),48),"")</f>
        <v/>
      </c>
      <c r="E619" s="116" t="str">
        <f>IF(tbl_Assessment[[#This Row],[Ben Code]]&lt;&gt;"",INDEX(tbl_Ben_Info[],MATCH(tbl_Assessment[[#This Row],[Ben Code]],tbl_Ben_Info[Ben Code],0),6),"")</f>
        <v/>
      </c>
      <c r="F619" s="113" t="str">
        <f>IF(tbl_Assessment[[#This Row],[Ben Code]]&lt;&gt;"",INDEX(tbl_Ben_Info[],MATCH(tbl_Assessment[[#This Row],[Ben Code]],tbl_Ben_Info[Ben Code],0),13),"")</f>
        <v/>
      </c>
      <c r="G619" s="49"/>
      <c r="H619" s="37"/>
      <c r="I619" s="37"/>
      <c r="J619" s="37"/>
      <c r="K619" s="37"/>
      <c r="L619" s="37"/>
      <c r="M619" s="59"/>
      <c r="N619" s="37"/>
      <c r="O619" s="37"/>
      <c r="P619" s="37"/>
      <c r="Q619" s="59"/>
      <c r="R619" s="49"/>
      <c r="S619" s="37"/>
      <c r="T619" s="37"/>
      <c r="U619" s="37"/>
      <c r="V619" s="37"/>
      <c r="W619" s="96" t="str">
        <f>tbl_Assessment[[#This Row],[Ben Code]] &amp; "-"&amp;tbl_Assessment[[#This Row],[admin4Pcode]]&amp;"-" &amp; TEXT(COUNTIF(INDEX(tbl_Assessment[Ben Code],1):tbl_Assessment[[#This Row],[Ben Code]], tbl_Assessment[[#This Row],[Ben Code]]), "00")</f>
        <v>--00</v>
      </c>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49"/>
      <c r="AU619" s="41"/>
      <c r="AV619" s="37"/>
      <c r="AW619" s="37"/>
      <c r="AX619" s="37"/>
      <c r="AY619" s="37"/>
      <c r="AZ619" s="37"/>
      <c r="BA619" s="37"/>
      <c r="BB619" s="41"/>
      <c r="BC619" s="37"/>
      <c r="BD619" s="37"/>
      <c r="BE619" s="37"/>
      <c r="BF619" s="41"/>
      <c r="BG619" s="37"/>
      <c r="BH619" s="37"/>
      <c r="BI619" s="37"/>
      <c r="BJ619" s="41"/>
    </row>
    <row r="620" spans="2:62" ht="25.15" customHeight="1" x14ac:dyDescent="0.25">
      <c r="B620" s="49">
        <v>615</v>
      </c>
      <c r="C620" s="37"/>
      <c r="D620" s="87" t="str">
        <f>IF(tbl_Assessment[[#This Row],[Ben Code]]&lt;&gt;"",INDEX(tbl_Ben_Info[],MATCH(tbl_Assessment[[#This Row],[Ben Code]],tbl_Ben_Info[Ben Code],0),48),"")</f>
        <v/>
      </c>
      <c r="E620" s="116" t="str">
        <f>IF(tbl_Assessment[[#This Row],[Ben Code]]&lt;&gt;"",INDEX(tbl_Ben_Info[],MATCH(tbl_Assessment[[#This Row],[Ben Code]],tbl_Ben_Info[Ben Code],0),6),"")</f>
        <v/>
      </c>
      <c r="F620" s="113" t="str">
        <f>IF(tbl_Assessment[[#This Row],[Ben Code]]&lt;&gt;"",INDEX(tbl_Ben_Info[],MATCH(tbl_Assessment[[#This Row],[Ben Code]],tbl_Ben_Info[Ben Code],0),13),"")</f>
        <v/>
      </c>
      <c r="G620" s="49"/>
      <c r="H620" s="37"/>
      <c r="I620" s="37"/>
      <c r="J620" s="37"/>
      <c r="K620" s="37"/>
      <c r="L620" s="37"/>
      <c r="M620" s="59"/>
      <c r="N620" s="37"/>
      <c r="O620" s="37"/>
      <c r="P620" s="37"/>
      <c r="Q620" s="59"/>
      <c r="R620" s="49"/>
      <c r="S620" s="37"/>
      <c r="T620" s="37"/>
      <c r="U620" s="37"/>
      <c r="V620" s="37"/>
      <c r="W620" s="96" t="str">
        <f>tbl_Assessment[[#This Row],[Ben Code]] &amp; "-"&amp;tbl_Assessment[[#This Row],[admin4Pcode]]&amp;"-" &amp; TEXT(COUNTIF(INDEX(tbl_Assessment[Ben Code],1):tbl_Assessment[[#This Row],[Ben Code]], tbl_Assessment[[#This Row],[Ben Code]]), "00")</f>
        <v>--00</v>
      </c>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49"/>
      <c r="AU620" s="41"/>
      <c r="AV620" s="37"/>
      <c r="AW620" s="37"/>
      <c r="AX620" s="37"/>
      <c r="AY620" s="37"/>
      <c r="AZ620" s="37"/>
      <c r="BA620" s="37"/>
      <c r="BB620" s="41"/>
      <c r="BC620" s="37"/>
      <c r="BD620" s="37"/>
      <c r="BE620" s="37"/>
      <c r="BF620" s="41"/>
      <c r="BG620" s="37"/>
      <c r="BH620" s="37"/>
      <c r="BI620" s="37"/>
      <c r="BJ620" s="41"/>
    </row>
    <row r="621" spans="2:62" ht="25.15" customHeight="1" x14ac:dyDescent="0.25">
      <c r="B621" s="49">
        <v>616</v>
      </c>
      <c r="C621" s="37"/>
      <c r="D621" s="87" t="str">
        <f>IF(tbl_Assessment[[#This Row],[Ben Code]]&lt;&gt;"",INDEX(tbl_Ben_Info[],MATCH(tbl_Assessment[[#This Row],[Ben Code]],tbl_Ben_Info[Ben Code],0),48),"")</f>
        <v/>
      </c>
      <c r="E621" s="116" t="str">
        <f>IF(tbl_Assessment[[#This Row],[Ben Code]]&lt;&gt;"",INDEX(tbl_Ben_Info[],MATCH(tbl_Assessment[[#This Row],[Ben Code]],tbl_Ben_Info[Ben Code],0),6),"")</f>
        <v/>
      </c>
      <c r="F621" s="113" t="str">
        <f>IF(tbl_Assessment[[#This Row],[Ben Code]]&lt;&gt;"",INDEX(tbl_Ben_Info[],MATCH(tbl_Assessment[[#This Row],[Ben Code]],tbl_Ben_Info[Ben Code],0),13),"")</f>
        <v/>
      </c>
      <c r="G621" s="49"/>
      <c r="H621" s="37"/>
      <c r="I621" s="37"/>
      <c r="J621" s="37"/>
      <c r="K621" s="37"/>
      <c r="L621" s="37"/>
      <c r="M621" s="59"/>
      <c r="N621" s="37"/>
      <c r="O621" s="37"/>
      <c r="P621" s="37"/>
      <c r="Q621" s="59"/>
      <c r="R621" s="49"/>
      <c r="S621" s="37"/>
      <c r="T621" s="37"/>
      <c r="U621" s="37"/>
      <c r="V621" s="37"/>
      <c r="W621" s="96" t="str">
        <f>tbl_Assessment[[#This Row],[Ben Code]] &amp; "-"&amp;tbl_Assessment[[#This Row],[admin4Pcode]]&amp;"-" &amp; TEXT(COUNTIF(INDEX(tbl_Assessment[Ben Code],1):tbl_Assessment[[#This Row],[Ben Code]], tbl_Assessment[[#This Row],[Ben Code]]), "00")</f>
        <v>--00</v>
      </c>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49"/>
      <c r="AU621" s="41"/>
      <c r="AV621" s="37"/>
      <c r="AW621" s="37"/>
      <c r="AX621" s="37"/>
      <c r="AY621" s="37"/>
      <c r="AZ621" s="37"/>
      <c r="BA621" s="37"/>
      <c r="BB621" s="41"/>
      <c r="BC621" s="37"/>
      <c r="BD621" s="37"/>
      <c r="BE621" s="37"/>
      <c r="BF621" s="41"/>
      <c r="BG621" s="37"/>
      <c r="BH621" s="37"/>
      <c r="BI621" s="37"/>
      <c r="BJ621" s="41"/>
    </row>
    <row r="622" spans="2:62" ht="25.15" customHeight="1" x14ac:dyDescent="0.25">
      <c r="B622" s="49">
        <v>617</v>
      </c>
      <c r="C622" s="37"/>
      <c r="D622" s="87" t="str">
        <f>IF(tbl_Assessment[[#This Row],[Ben Code]]&lt;&gt;"",INDEX(tbl_Ben_Info[],MATCH(tbl_Assessment[[#This Row],[Ben Code]],tbl_Ben_Info[Ben Code],0),48),"")</f>
        <v/>
      </c>
      <c r="E622" s="116" t="str">
        <f>IF(tbl_Assessment[[#This Row],[Ben Code]]&lt;&gt;"",INDEX(tbl_Ben_Info[],MATCH(tbl_Assessment[[#This Row],[Ben Code]],tbl_Ben_Info[Ben Code],0),6),"")</f>
        <v/>
      </c>
      <c r="F622" s="113" t="str">
        <f>IF(tbl_Assessment[[#This Row],[Ben Code]]&lt;&gt;"",INDEX(tbl_Ben_Info[],MATCH(tbl_Assessment[[#This Row],[Ben Code]],tbl_Ben_Info[Ben Code],0),13),"")</f>
        <v/>
      </c>
      <c r="G622" s="49"/>
      <c r="H622" s="37"/>
      <c r="I622" s="37"/>
      <c r="J622" s="37"/>
      <c r="K622" s="37"/>
      <c r="L622" s="37"/>
      <c r="M622" s="59"/>
      <c r="N622" s="37"/>
      <c r="O622" s="37"/>
      <c r="P622" s="37"/>
      <c r="Q622" s="59"/>
      <c r="R622" s="49"/>
      <c r="S622" s="37"/>
      <c r="T622" s="37"/>
      <c r="U622" s="37"/>
      <c r="V622" s="37"/>
      <c r="W622" s="96" t="str">
        <f>tbl_Assessment[[#This Row],[Ben Code]] &amp; "-"&amp;tbl_Assessment[[#This Row],[admin4Pcode]]&amp;"-" &amp; TEXT(COUNTIF(INDEX(tbl_Assessment[Ben Code],1):tbl_Assessment[[#This Row],[Ben Code]], tbl_Assessment[[#This Row],[Ben Code]]), "00")</f>
        <v>--00</v>
      </c>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49"/>
      <c r="AU622" s="41"/>
      <c r="AV622" s="37"/>
      <c r="AW622" s="37"/>
      <c r="AX622" s="37"/>
      <c r="AY622" s="37"/>
      <c r="AZ622" s="37"/>
      <c r="BA622" s="37"/>
      <c r="BB622" s="41"/>
      <c r="BC622" s="37"/>
      <c r="BD622" s="37"/>
      <c r="BE622" s="37"/>
      <c r="BF622" s="41"/>
      <c r="BG622" s="37"/>
      <c r="BH622" s="37"/>
      <c r="BI622" s="37"/>
      <c r="BJ622" s="41"/>
    </row>
    <row r="623" spans="2:62" ht="25.15" customHeight="1" x14ac:dyDescent="0.25">
      <c r="B623" s="49">
        <v>618</v>
      </c>
      <c r="C623" s="37"/>
      <c r="D623" s="87" t="str">
        <f>IF(tbl_Assessment[[#This Row],[Ben Code]]&lt;&gt;"",INDEX(tbl_Ben_Info[],MATCH(tbl_Assessment[[#This Row],[Ben Code]],tbl_Ben_Info[Ben Code],0),48),"")</f>
        <v/>
      </c>
      <c r="E623" s="116" t="str">
        <f>IF(tbl_Assessment[[#This Row],[Ben Code]]&lt;&gt;"",INDEX(tbl_Ben_Info[],MATCH(tbl_Assessment[[#This Row],[Ben Code]],tbl_Ben_Info[Ben Code],0),6),"")</f>
        <v/>
      </c>
      <c r="F623" s="113" t="str">
        <f>IF(tbl_Assessment[[#This Row],[Ben Code]]&lt;&gt;"",INDEX(tbl_Ben_Info[],MATCH(tbl_Assessment[[#This Row],[Ben Code]],tbl_Ben_Info[Ben Code],0),13),"")</f>
        <v/>
      </c>
      <c r="G623" s="49"/>
      <c r="H623" s="37"/>
      <c r="I623" s="37"/>
      <c r="J623" s="37"/>
      <c r="K623" s="37"/>
      <c r="L623" s="37"/>
      <c r="M623" s="59"/>
      <c r="N623" s="37"/>
      <c r="O623" s="37"/>
      <c r="P623" s="37"/>
      <c r="Q623" s="59"/>
      <c r="R623" s="49"/>
      <c r="S623" s="37"/>
      <c r="T623" s="37"/>
      <c r="U623" s="37"/>
      <c r="V623" s="37"/>
      <c r="W623" s="96" t="str">
        <f>tbl_Assessment[[#This Row],[Ben Code]] &amp; "-"&amp;tbl_Assessment[[#This Row],[admin4Pcode]]&amp;"-" &amp; TEXT(COUNTIF(INDEX(tbl_Assessment[Ben Code],1):tbl_Assessment[[#This Row],[Ben Code]], tbl_Assessment[[#This Row],[Ben Code]]), "00")</f>
        <v>--00</v>
      </c>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49"/>
      <c r="AU623" s="41"/>
      <c r="AV623" s="37"/>
      <c r="AW623" s="37"/>
      <c r="AX623" s="37"/>
      <c r="AY623" s="37"/>
      <c r="AZ623" s="37"/>
      <c r="BA623" s="37"/>
      <c r="BB623" s="41"/>
      <c r="BC623" s="37"/>
      <c r="BD623" s="37"/>
      <c r="BE623" s="37"/>
      <c r="BF623" s="41"/>
      <c r="BG623" s="37"/>
      <c r="BH623" s="37"/>
      <c r="BI623" s="37"/>
      <c r="BJ623" s="41"/>
    </row>
    <row r="624" spans="2:62" ht="25.15" customHeight="1" x14ac:dyDescent="0.25">
      <c r="B624" s="49">
        <v>619</v>
      </c>
      <c r="C624" s="37"/>
      <c r="D624" s="87" t="str">
        <f>IF(tbl_Assessment[[#This Row],[Ben Code]]&lt;&gt;"",INDEX(tbl_Ben_Info[],MATCH(tbl_Assessment[[#This Row],[Ben Code]],tbl_Ben_Info[Ben Code],0),48),"")</f>
        <v/>
      </c>
      <c r="E624" s="116" t="str">
        <f>IF(tbl_Assessment[[#This Row],[Ben Code]]&lt;&gt;"",INDEX(tbl_Ben_Info[],MATCH(tbl_Assessment[[#This Row],[Ben Code]],tbl_Ben_Info[Ben Code],0),6),"")</f>
        <v/>
      </c>
      <c r="F624" s="113" t="str">
        <f>IF(tbl_Assessment[[#This Row],[Ben Code]]&lt;&gt;"",INDEX(tbl_Ben_Info[],MATCH(tbl_Assessment[[#This Row],[Ben Code]],tbl_Ben_Info[Ben Code],0),13),"")</f>
        <v/>
      </c>
      <c r="G624" s="49"/>
      <c r="H624" s="37"/>
      <c r="I624" s="37"/>
      <c r="J624" s="37"/>
      <c r="K624" s="37"/>
      <c r="L624" s="37"/>
      <c r="M624" s="59"/>
      <c r="N624" s="37"/>
      <c r="O624" s="37"/>
      <c r="P624" s="37"/>
      <c r="Q624" s="59"/>
      <c r="R624" s="49"/>
      <c r="S624" s="37"/>
      <c r="T624" s="37"/>
      <c r="U624" s="37"/>
      <c r="V624" s="37"/>
      <c r="W624" s="96" t="str">
        <f>tbl_Assessment[[#This Row],[Ben Code]] &amp; "-"&amp;tbl_Assessment[[#This Row],[admin4Pcode]]&amp;"-" &amp; TEXT(COUNTIF(INDEX(tbl_Assessment[Ben Code],1):tbl_Assessment[[#This Row],[Ben Code]], tbl_Assessment[[#This Row],[Ben Code]]), "00")</f>
        <v>--00</v>
      </c>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49"/>
      <c r="AU624" s="41"/>
      <c r="AV624" s="37"/>
      <c r="AW624" s="37"/>
      <c r="AX624" s="37"/>
      <c r="AY624" s="37"/>
      <c r="AZ624" s="37"/>
      <c r="BA624" s="37"/>
      <c r="BB624" s="41"/>
      <c r="BC624" s="37"/>
      <c r="BD624" s="37"/>
      <c r="BE624" s="37"/>
      <c r="BF624" s="41"/>
      <c r="BG624" s="37"/>
      <c r="BH624" s="37"/>
      <c r="BI624" s="37"/>
      <c r="BJ624" s="41"/>
    </row>
    <row r="625" spans="2:62" ht="25.15" customHeight="1" x14ac:dyDescent="0.25">
      <c r="B625" s="49">
        <v>620</v>
      </c>
      <c r="C625" s="37"/>
      <c r="D625" s="87" t="str">
        <f>IF(tbl_Assessment[[#This Row],[Ben Code]]&lt;&gt;"",INDEX(tbl_Ben_Info[],MATCH(tbl_Assessment[[#This Row],[Ben Code]],tbl_Ben_Info[Ben Code],0),48),"")</f>
        <v/>
      </c>
      <c r="E625" s="116" t="str">
        <f>IF(tbl_Assessment[[#This Row],[Ben Code]]&lt;&gt;"",INDEX(tbl_Ben_Info[],MATCH(tbl_Assessment[[#This Row],[Ben Code]],tbl_Ben_Info[Ben Code],0),6),"")</f>
        <v/>
      </c>
      <c r="F625" s="113" t="str">
        <f>IF(tbl_Assessment[[#This Row],[Ben Code]]&lt;&gt;"",INDEX(tbl_Ben_Info[],MATCH(tbl_Assessment[[#This Row],[Ben Code]],tbl_Ben_Info[Ben Code],0),13),"")</f>
        <v/>
      </c>
      <c r="G625" s="49"/>
      <c r="H625" s="37"/>
      <c r="I625" s="37"/>
      <c r="J625" s="37"/>
      <c r="K625" s="37"/>
      <c r="L625" s="37"/>
      <c r="M625" s="59"/>
      <c r="N625" s="37"/>
      <c r="O625" s="37"/>
      <c r="P625" s="37"/>
      <c r="Q625" s="59"/>
      <c r="R625" s="49"/>
      <c r="S625" s="37"/>
      <c r="T625" s="37"/>
      <c r="U625" s="37"/>
      <c r="V625" s="37"/>
      <c r="W625" s="96" t="str">
        <f>tbl_Assessment[[#This Row],[Ben Code]] &amp; "-"&amp;tbl_Assessment[[#This Row],[admin4Pcode]]&amp;"-" &amp; TEXT(COUNTIF(INDEX(tbl_Assessment[Ben Code],1):tbl_Assessment[[#This Row],[Ben Code]], tbl_Assessment[[#This Row],[Ben Code]]), "00")</f>
        <v>--00</v>
      </c>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49"/>
      <c r="AU625" s="41"/>
      <c r="AV625" s="37"/>
      <c r="AW625" s="37"/>
      <c r="AX625" s="37"/>
      <c r="AY625" s="37"/>
      <c r="AZ625" s="37"/>
      <c r="BA625" s="37"/>
      <c r="BB625" s="41"/>
      <c r="BC625" s="37"/>
      <c r="BD625" s="37"/>
      <c r="BE625" s="37"/>
      <c r="BF625" s="41"/>
      <c r="BG625" s="37"/>
      <c r="BH625" s="37"/>
      <c r="BI625" s="37"/>
      <c r="BJ625" s="41"/>
    </row>
    <row r="626" spans="2:62" ht="25.15" customHeight="1" x14ac:dyDescent="0.25">
      <c r="B626" s="49">
        <v>621</v>
      </c>
      <c r="C626" s="37"/>
      <c r="D626" s="87" t="str">
        <f>IF(tbl_Assessment[[#This Row],[Ben Code]]&lt;&gt;"",INDEX(tbl_Ben_Info[],MATCH(tbl_Assessment[[#This Row],[Ben Code]],tbl_Ben_Info[Ben Code],0),48),"")</f>
        <v/>
      </c>
      <c r="E626" s="116" t="str">
        <f>IF(tbl_Assessment[[#This Row],[Ben Code]]&lt;&gt;"",INDEX(tbl_Ben_Info[],MATCH(tbl_Assessment[[#This Row],[Ben Code]],tbl_Ben_Info[Ben Code],0),6),"")</f>
        <v/>
      </c>
      <c r="F626" s="113" t="str">
        <f>IF(tbl_Assessment[[#This Row],[Ben Code]]&lt;&gt;"",INDEX(tbl_Ben_Info[],MATCH(tbl_Assessment[[#This Row],[Ben Code]],tbl_Ben_Info[Ben Code],0),13),"")</f>
        <v/>
      </c>
      <c r="G626" s="49"/>
      <c r="H626" s="37"/>
      <c r="I626" s="37"/>
      <c r="J626" s="37"/>
      <c r="K626" s="37"/>
      <c r="L626" s="37"/>
      <c r="M626" s="59"/>
      <c r="N626" s="37"/>
      <c r="O626" s="37"/>
      <c r="P626" s="37"/>
      <c r="Q626" s="59"/>
      <c r="R626" s="49"/>
      <c r="S626" s="37"/>
      <c r="T626" s="37"/>
      <c r="U626" s="37"/>
      <c r="V626" s="37"/>
      <c r="W626" s="96" t="str">
        <f>tbl_Assessment[[#This Row],[Ben Code]] &amp; "-"&amp;tbl_Assessment[[#This Row],[admin4Pcode]]&amp;"-" &amp; TEXT(COUNTIF(INDEX(tbl_Assessment[Ben Code],1):tbl_Assessment[[#This Row],[Ben Code]], tbl_Assessment[[#This Row],[Ben Code]]), "00")</f>
        <v>--00</v>
      </c>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49"/>
      <c r="AU626" s="41"/>
      <c r="AV626" s="37"/>
      <c r="AW626" s="37"/>
      <c r="AX626" s="37"/>
      <c r="AY626" s="37"/>
      <c r="AZ626" s="37"/>
      <c r="BA626" s="37"/>
      <c r="BB626" s="41"/>
      <c r="BC626" s="37"/>
      <c r="BD626" s="37"/>
      <c r="BE626" s="37"/>
      <c r="BF626" s="41"/>
      <c r="BG626" s="37"/>
      <c r="BH626" s="37"/>
      <c r="BI626" s="37"/>
      <c r="BJ626" s="41"/>
    </row>
    <row r="627" spans="2:62" ht="25.15" customHeight="1" x14ac:dyDescent="0.25">
      <c r="B627" s="49">
        <v>622</v>
      </c>
      <c r="C627" s="37"/>
      <c r="D627" s="87" t="str">
        <f>IF(tbl_Assessment[[#This Row],[Ben Code]]&lt;&gt;"",INDEX(tbl_Ben_Info[],MATCH(tbl_Assessment[[#This Row],[Ben Code]],tbl_Ben_Info[Ben Code],0),48),"")</f>
        <v/>
      </c>
      <c r="E627" s="116" t="str">
        <f>IF(tbl_Assessment[[#This Row],[Ben Code]]&lt;&gt;"",INDEX(tbl_Ben_Info[],MATCH(tbl_Assessment[[#This Row],[Ben Code]],tbl_Ben_Info[Ben Code],0),6),"")</f>
        <v/>
      </c>
      <c r="F627" s="113" t="str">
        <f>IF(tbl_Assessment[[#This Row],[Ben Code]]&lt;&gt;"",INDEX(tbl_Ben_Info[],MATCH(tbl_Assessment[[#This Row],[Ben Code]],tbl_Ben_Info[Ben Code],0),13),"")</f>
        <v/>
      </c>
      <c r="G627" s="49"/>
      <c r="H627" s="37"/>
      <c r="I627" s="37"/>
      <c r="J627" s="37"/>
      <c r="K627" s="37"/>
      <c r="L627" s="37"/>
      <c r="M627" s="59"/>
      <c r="N627" s="37"/>
      <c r="O627" s="37"/>
      <c r="P627" s="37"/>
      <c r="Q627" s="59"/>
      <c r="R627" s="49"/>
      <c r="S627" s="37"/>
      <c r="T627" s="37"/>
      <c r="U627" s="37"/>
      <c r="V627" s="37"/>
      <c r="W627" s="96" t="str">
        <f>tbl_Assessment[[#This Row],[Ben Code]] &amp; "-"&amp;tbl_Assessment[[#This Row],[admin4Pcode]]&amp;"-" &amp; TEXT(COUNTIF(INDEX(tbl_Assessment[Ben Code],1):tbl_Assessment[[#This Row],[Ben Code]], tbl_Assessment[[#This Row],[Ben Code]]), "00")</f>
        <v>--00</v>
      </c>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49"/>
      <c r="AU627" s="41"/>
      <c r="AV627" s="37"/>
      <c r="AW627" s="37"/>
      <c r="AX627" s="37"/>
      <c r="AY627" s="37"/>
      <c r="AZ627" s="37"/>
      <c r="BA627" s="37"/>
      <c r="BB627" s="41"/>
      <c r="BC627" s="37"/>
      <c r="BD627" s="37"/>
      <c r="BE627" s="37"/>
      <c r="BF627" s="41"/>
      <c r="BG627" s="37"/>
      <c r="BH627" s="37"/>
      <c r="BI627" s="37"/>
      <c r="BJ627" s="41"/>
    </row>
    <row r="628" spans="2:62" ht="25.15" customHeight="1" x14ac:dyDescent="0.25">
      <c r="B628" s="49">
        <v>623</v>
      </c>
      <c r="C628" s="37"/>
      <c r="D628" s="87" t="str">
        <f>IF(tbl_Assessment[[#This Row],[Ben Code]]&lt;&gt;"",INDEX(tbl_Ben_Info[],MATCH(tbl_Assessment[[#This Row],[Ben Code]],tbl_Ben_Info[Ben Code],0),48),"")</f>
        <v/>
      </c>
      <c r="E628" s="116" t="str">
        <f>IF(tbl_Assessment[[#This Row],[Ben Code]]&lt;&gt;"",INDEX(tbl_Ben_Info[],MATCH(tbl_Assessment[[#This Row],[Ben Code]],tbl_Ben_Info[Ben Code],0),6),"")</f>
        <v/>
      </c>
      <c r="F628" s="113" t="str">
        <f>IF(tbl_Assessment[[#This Row],[Ben Code]]&lt;&gt;"",INDEX(tbl_Ben_Info[],MATCH(tbl_Assessment[[#This Row],[Ben Code]],tbl_Ben_Info[Ben Code],0),13),"")</f>
        <v/>
      </c>
      <c r="G628" s="49"/>
      <c r="H628" s="37"/>
      <c r="I628" s="37"/>
      <c r="J628" s="37"/>
      <c r="K628" s="37"/>
      <c r="L628" s="37"/>
      <c r="M628" s="59"/>
      <c r="N628" s="37"/>
      <c r="O628" s="37"/>
      <c r="P628" s="37"/>
      <c r="Q628" s="59"/>
      <c r="R628" s="49"/>
      <c r="S628" s="37"/>
      <c r="T628" s="37"/>
      <c r="U628" s="37"/>
      <c r="V628" s="37"/>
      <c r="W628" s="96" t="str">
        <f>tbl_Assessment[[#This Row],[Ben Code]] &amp; "-"&amp;tbl_Assessment[[#This Row],[admin4Pcode]]&amp;"-" &amp; TEXT(COUNTIF(INDEX(tbl_Assessment[Ben Code],1):tbl_Assessment[[#This Row],[Ben Code]], tbl_Assessment[[#This Row],[Ben Code]]), "00")</f>
        <v>--00</v>
      </c>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49"/>
      <c r="AU628" s="41"/>
      <c r="AV628" s="37"/>
      <c r="AW628" s="37"/>
      <c r="AX628" s="37"/>
      <c r="AY628" s="37"/>
      <c r="AZ628" s="37"/>
      <c r="BA628" s="37"/>
      <c r="BB628" s="41"/>
      <c r="BC628" s="37"/>
      <c r="BD628" s="37"/>
      <c r="BE628" s="37"/>
      <c r="BF628" s="41"/>
      <c r="BG628" s="37"/>
      <c r="BH628" s="37"/>
      <c r="BI628" s="37"/>
      <c r="BJ628" s="41"/>
    </row>
    <row r="629" spans="2:62" ht="25.15" customHeight="1" x14ac:dyDescent="0.25">
      <c r="B629" s="49">
        <v>624</v>
      </c>
      <c r="C629" s="37"/>
      <c r="D629" s="87" t="str">
        <f>IF(tbl_Assessment[[#This Row],[Ben Code]]&lt;&gt;"",INDEX(tbl_Ben_Info[],MATCH(tbl_Assessment[[#This Row],[Ben Code]],tbl_Ben_Info[Ben Code],0),48),"")</f>
        <v/>
      </c>
      <c r="E629" s="116" t="str">
        <f>IF(tbl_Assessment[[#This Row],[Ben Code]]&lt;&gt;"",INDEX(tbl_Ben_Info[],MATCH(tbl_Assessment[[#This Row],[Ben Code]],tbl_Ben_Info[Ben Code],0),6),"")</f>
        <v/>
      </c>
      <c r="F629" s="113" t="str">
        <f>IF(tbl_Assessment[[#This Row],[Ben Code]]&lt;&gt;"",INDEX(tbl_Ben_Info[],MATCH(tbl_Assessment[[#This Row],[Ben Code]],tbl_Ben_Info[Ben Code],0),13),"")</f>
        <v/>
      </c>
      <c r="G629" s="49"/>
      <c r="H629" s="37"/>
      <c r="I629" s="37"/>
      <c r="J629" s="37"/>
      <c r="K629" s="37"/>
      <c r="L629" s="37"/>
      <c r="M629" s="59"/>
      <c r="N629" s="37"/>
      <c r="O629" s="37"/>
      <c r="P629" s="37"/>
      <c r="Q629" s="59"/>
      <c r="R629" s="49"/>
      <c r="S629" s="37"/>
      <c r="T629" s="37"/>
      <c r="U629" s="37"/>
      <c r="V629" s="37"/>
      <c r="W629" s="96" t="str">
        <f>tbl_Assessment[[#This Row],[Ben Code]] &amp; "-"&amp;tbl_Assessment[[#This Row],[admin4Pcode]]&amp;"-" &amp; TEXT(COUNTIF(INDEX(tbl_Assessment[Ben Code],1):tbl_Assessment[[#This Row],[Ben Code]], tbl_Assessment[[#This Row],[Ben Code]]), "00")</f>
        <v>--00</v>
      </c>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49"/>
      <c r="AU629" s="41"/>
      <c r="AV629" s="37"/>
      <c r="AW629" s="37"/>
      <c r="AX629" s="37"/>
      <c r="AY629" s="37"/>
      <c r="AZ629" s="37"/>
      <c r="BA629" s="37"/>
      <c r="BB629" s="41"/>
      <c r="BC629" s="37"/>
      <c r="BD629" s="37"/>
      <c r="BE629" s="37"/>
      <c r="BF629" s="41"/>
      <c r="BG629" s="37"/>
      <c r="BH629" s="37"/>
      <c r="BI629" s="37"/>
      <c r="BJ629" s="41"/>
    </row>
    <row r="630" spans="2:62" ht="25.15" customHeight="1" x14ac:dyDescent="0.25">
      <c r="B630" s="49">
        <v>625</v>
      </c>
      <c r="C630" s="37"/>
      <c r="D630" s="87" t="str">
        <f>IF(tbl_Assessment[[#This Row],[Ben Code]]&lt;&gt;"",INDEX(tbl_Ben_Info[],MATCH(tbl_Assessment[[#This Row],[Ben Code]],tbl_Ben_Info[Ben Code],0),48),"")</f>
        <v/>
      </c>
      <c r="E630" s="116" t="str">
        <f>IF(tbl_Assessment[[#This Row],[Ben Code]]&lt;&gt;"",INDEX(tbl_Ben_Info[],MATCH(tbl_Assessment[[#This Row],[Ben Code]],tbl_Ben_Info[Ben Code],0),6),"")</f>
        <v/>
      </c>
      <c r="F630" s="113" t="str">
        <f>IF(tbl_Assessment[[#This Row],[Ben Code]]&lt;&gt;"",INDEX(tbl_Ben_Info[],MATCH(tbl_Assessment[[#This Row],[Ben Code]],tbl_Ben_Info[Ben Code],0),13),"")</f>
        <v/>
      </c>
      <c r="G630" s="49"/>
      <c r="H630" s="37"/>
      <c r="I630" s="37"/>
      <c r="J630" s="37"/>
      <c r="K630" s="37"/>
      <c r="L630" s="37"/>
      <c r="M630" s="59"/>
      <c r="N630" s="37"/>
      <c r="O630" s="37"/>
      <c r="P630" s="37"/>
      <c r="Q630" s="59"/>
      <c r="R630" s="49"/>
      <c r="S630" s="37"/>
      <c r="T630" s="37"/>
      <c r="U630" s="37"/>
      <c r="V630" s="37"/>
      <c r="W630" s="96" t="str">
        <f>tbl_Assessment[[#This Row],[Ben Code]] &amp; "-"&amp;tbl_Assessment[[#This Row],[admin4Pcode]]&amp;"-" &amp; TEXT(COUNTIF(INDEX(tbl_Assessment[Ben Code],1):tbl_Assessment[[#This Row],[Ben Code]], tbl_Assessment[[#This Row],[Ben Code]]), "00")</f>
        <v>--00</v>
      </c>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49"/>
      <c r="AU630" s="41"/>
      <c r="AV630" s="37"/>
      <c r="AW630" s="37"/>
      <c r="AX630" s="37"/>
      <c r="AY630" s="37"/>
      <c r="AZ630" s="37"/>
      <c r="BA630" s="37"/>
      <c r="BB630" s="41"/>
      <c r="BC630" s="37"/>
      <c r="BD630" s="37"/>
      <c r="BE630" s="37"/>
      <c r="BF630" s="41"/>
      <c r="BG630" s="37"/>
      <c r="BH630" s="37"/>
      <c r="BI630" s="37"/>
      <c r="BJ630" s="41"/>
    </row>
    <row r="631" spans="2:62" ht="25.15" customHeight="1" x14ac:dyDescent="0.25">
      <c r="B631" s="49">
        <v>626</v>
      </c>
      <c r="C631" s="37"/>
      <c r="D631" s="87" t="str">
        <f>IF(tbl_Assessment[[#This Row],[Ben Code]]&lt;&gt;"",INDEX(tbl_Ben_Info[],MATCH(tbl_Assessment[[#This Row],[Ben Code]],tbl_Ben_Info[Ben Code],0),48),"")</f>
        <v/>
      </c>
      <c r="E631" s="116" t="str">
        <f>IF(tbl_Assessment[[#This Row],[Ben Code]]&lt;&gt;"",INDEX(tbl_Ben_Info[],MATCH(tbl_Assessment[[#This Row],[Ben Code]],tbl_Ben_Info[Ben Code],0),6),"")</f>
        <v/>
      </c>
      <c r="F631" s="113" t="str">
        <f>IF(tbl_Assessment[[#This Row],[Ben Code]]&lt;&gt;"",INDEX(tbl_Ben_Info[],MATCH(tbl_Assessment[[#This Row],[Ben Code]],tbl_Ben_Info[Ben Code],0),13),"")</f>
        <v/>
      </c>
      <c r="G631" s="49"/>
      <c r="H631" s="37"/>
      <c r="I631" s="37"/>
      <c r="J631" s="37"/>
      <c r="K631" s="37"/>
      <c r="L631" s="37"/>
      <c r="M631" s="59"/>
      <c r="N631" s="37"/>
      <c r="O631" s="37"/>
      <c r="P631" s="37"/>
      <c r="Q631" s="59"/>
      <c r="R631" s="49"/>
      <c r="S631" s="37"/>
      <c r="T631" s="37"/>
      <c r="U631" s="37"/>
      <c r="V631" s="37"/>
      <c r="W631" s="96" t="str">
        <f>tbl_Assessment[[#This Row],[Ben Code]] &amp; "-"&amp;tbl_Assessment[[#This Row],[admin4Pcode]]&amp;"-" &amp; TEXT(COUNTIF(INDEX(tbl_Assessment[Ben Code],1):tbl_Assessment[[#This Row],[Ben Code]], tbl_Assessment[[#This Row],[Ben Code]]), "00")</f>
        <v>--00</v>
      </c>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49"/>
      <c r="AU631" s="41"/>
      <c r="AV631" s="37"/>
      <c r="AW631" s="37"/>
      <c r="AX631" s="37"/>
      <c r="AY631" s="37"/>
      <c r="AZ631" s="37"/>
      <c r="BA631" s="37"/>
      <c r="BB631" s="41"/>
      <c r="BC631" s="37"/>
      <c r="BD631" s="37"/>
      <c r="BE631" s="37"/>
      <c r="BF631" s="41"/>
      <c r="BG631" s="37"/>
      <c r="BH631" s="37"/>
      <c r="BI631" s="37"/>
      <c r="BJ631" s="41"/>
    </row>
    <row r="632" spans="2:62" ht="25.15" customHeight="1" x14ac:dyDescent="0.25">
      <c r="B632" s="49">
        <v>627</v>
      </c>
      <c r="C632" s="37"/>
      <c r="D632" s="87" t="str">
        <f>IF(tbl_Assessment[[#This Row],[Ben Code]]&lt;&gt;"",INDEX(tbl_Ben_Info[],MATCH(tbl_Assessment[[#This Row],[Ben Code]],tbl_Ben_Info[Ben Code],0),48),"")</f>
        <v/>
      </c>
      <c r="E632" s="116" t="str">
        <f>IF(tbl_Assessment[[#This Row],[Ben Code]]&lt;&gt;"",INDEX(tbl_Ben_Info[],MATCH(tbl_Assessment[[#This Row],[Ben Code]],tbl_Ben_Info[Ben Code],0),6),"")</f>
        <v/>
      </c>
      <c r="F632" s="113" t="str">
        <f>IF(tbl_Assessment[[#This Row],[Ben Code]]&lt;&gt;"",INDEX(tbl_Ben_Info[],MATCH(tbl_Assessment[[#This Row],[Ben Code]],tbl_Ben_Info[Ben Code],0),13),"")</f>
        <v/>
      </c>
      <c r="G632" s="49"/>
      <c r="H632" s="37"/>
      <c r="I632" s="37"/>
      <c r="J632" s="37"/>
      <c r="K632" s="37"/>
      <c r="L632" s="37"/>
      <c r="M632" s="59"/>
      <c r="N632" s="37"/>
      <c r="O632" s="37"/>
      <c r="P632" s="37"/>
      <c r="Q632" s="59"/>
      <c r="R632" s="49"/>
      <c r="S632" s="37"/>
      <c r="T632" s="37"/>
      <c r="U632" s="37"/>
      <c r="V632" s="37"/>
      <c r="W632" s="96" t="str">
        <f>tbl_Assessment[[#This Row],[Ben Code]] &amp; "-"&amp;tbl_Assessment[[#This Row],[admin4Pcode]]&amp;"-" &amp; TEXT(COUNTIF(INDEX(tbl_Assessment[Ben Code],1):tbl_Assessment[[#This Row],[Ben Code]], tbl_Assessment[[#This Row],[Ben Code]]), "00")</f>
        <v>--00</v>
      </c>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49"/>
      <c r="AU632" s="41"/>
      <c r="AV632" s="37"/>
      <c r="AW632" s="37"/>
      <c r="AX632" s="37"/>
      <c r="AY632" s="37"/>
      <c r="AZ632" s="37"/>
      <c r="BA632" s="37"/>
      <c r="BB632" s="41"/>
      <c r="BC632" s="37"/>
      <c r="BD632" s="37"/>
      <c r="BE632" s="37"/>
      <c r="BF632" s="41"/>
      <c r="BG632" s="37"/>
      <c r="BH632" s="37"/>
      <c r="BI632" s="37"/>
      <c r="BJ632" s="41"/>
    </row>
    <row r="633" spans="2:62" ht="25.15" customHeight="1" x14ac:dyDescent="0.25">
      <c r="B633" s="49">
        <v>628</v>
      </c>
      <c r="C633" s="37"/>
      <c r="D633" s="87" t="str">
        <f>IF(tbl_Assessment[[#This Row],[Ben Code]]&lt;&gt;"",INDEX(tbl_Ben_Info[],MATCH(tbl_Assessment[[#This Row],[Ben Code]],tbl_Ben_Info[Ben Code],0),48),"")</f>
        <v/>
      </c>
      <c r="E633" s="116" t="str">
        <f>IF(tbl_Assessment[[#This Row],[Ben Code]]&lt;&gt;"",INDEX(tbl_Ben_Info[],MATCH(tbl_Assessment[[#This Row],[Ben Code]],tbl_Ben_Info[Ben Code],0),6),"")</f>
        <v/>
      </c>
      <c r="F633" s="113" t="str">
        <f>IF(tbl_Assessment[[#This Row],[Ben Code]]&lt;&gt;"",INDEX(tbl_Ben_Info[],MATCH(tbl_Assessment[[#This Row],[Ben Code]],tbl_Ben_Info[Ben Code],0),13),"")</f>
        <v/>
      </c>
      <c r="G633" s="49"/>
      <c r="H633" s="37"/>
      <c r="I633" s="37"/>
      <c r="J633" s="37"/>
      <c r="K633" s="37"/>
      <c r="L633" s="37"/>
      <c r="M633" s="59"/>
      <c r="N633" s="37"/>
      <c r="O633" s="37"/>
      <c r="P633" s="37"/>
      <c r="Q633" s="59"/>
      <c r="R633" s="49"/>
      <c r="S633" s="37"/>
      <c r="T633" s="37"/>
      <c r="U633" s="37"/>
      <c r="V633" s="37"/>
      <c r="W633" s="96" t="str">
        <f>tbl_Assessment[[#This Row],[Ben Code]] &amp; "-"&amp;tbl_Assessment[[#This Row],[admin4Pcode]]&amp;"-" &amp; TEXT(COUNTIF(INDEX(tbl_Assessment[Ben Code],1):tbl_Assessment[[#This Row],[Ben Code]], tbl_Assessment[[#This Row],[Ben Code]]), "00")</f>
        <v>--00</v>
      </c>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49"/>
      <c r="AU633" s="41"/>
      <c r="AV633" s="37"/>
      <c r="AW633" s="37"/>
      <c r="AX633" s="37"/>
      <c r="AY633" s="37"/>
      <c r="AZ633" s="37"/>
      <c r="BA633" s="37"/>
      <c r="BB633" s="41"/>
      <c r="BC633" s="37"/>
      <c r="BD633" s="37"/>
      <c r="BE633" s="37"/>
      <c r="BF633" s="41"/>
      <c r="BG633" s="37"/>
      <c r="BH633" s="37"/>
      <c r="BI633" s="37"/>
      <c r="BJ633" s="41"/>
    </row>
    <row r="634" spans="2:62" ht="25.15" customHeight="1" x14ac:dyDescent="0.25">
      <c r="B634" s="49">
        <v>629</v>
      </c>
      <c r="C634" s="37"/>
      <c r="D634" s="87" t="str">
        <f>IF(tbl_Assessment[[#This Row],[Ben Code]]&lt;&gt;"",INDEX(tbl_Ben_Info[],MATCH(tbl_Assessment[[#This Row],[Ben Code]],tbl_Ben_Info[Ben Code],0),48),"")</f>
        <v/>
      </c>
      <c r="E634" s="116" t="str">
        <f>IF(tbl_Assessment[[#This Row],[Ben Code]]&lt;&gt;"",INDEX(tbl_Ben_Info[],MATCH(tbl_Assessment[[#This Row],[Ben Code]],tbl_Ben_Info[Ben Code],0),6),"")</f>
        <v/>
      </c>
      <c r="F634" s="113" t="str">
        <f>IF(tbl_Assessment[[#This Row],[Ben Code]]&lt;&gt;"",INDEX(tbl_Ben_Info[],MATCH(tbl_Assessment[[#This Row],[Ben Code]],tbl_Ben_Info[Ben Code],0),13),"")</f>
        <v/>
      </c>
      <c r="G634" s="49"/>
      <c r="H634" s="37"/>
      <c r="I634" s="37"/>
      <c r="J634" s="37"/>
      <c r="K634" s="37"/>
      <c r="L634" s="37"/>
      <c r="M634" s="59"/>
      <c r="N634" s="37"/>
      <c r="O634" s="37"/>
      <c r="P634" s="37"/>
      <c r="Q634" s="59"/>
      <c r="R634" s="49"/>
      <c r="S634" s="37"/>
      <c r="T634" s="37"/>
      <c r="U634" s="37"/>
      <c r="V634" s="37"/>
      <c r="W634" s="96" t="str">
        <f>tbl_Assessment[[#This Row],[Ben Code]] &amp; "-"&amp;tbl_Assessment[[#This Row],[admin4Pcode]]&amp;"-" &amp; TEXT(COUNTIF(INDEX(tbl_Assessment[Ben Code],1):tbl_Assessment[[#This Row],[Ben Code]], tbl_Assessment[[#This Row],[Ben Code]]), "00")</f>
        <v>--00</v>
      </c>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49"/>
      <c r="AU634" s="41"/>
      <c r="AV634" s="37"/>
      <c r="AW634" s="37"/>
      <c r="AX634" s="37"/>
      <c r="AY634" s="37"/>
      <c r="AZ634" s="37"/>
      <c r="BA634" s="37"/>
      <c r="BB634" s="41"/>
      <c r="BC634" s="37"/>
      <c r="BD634" s="37"/>
      <c r="BE634" s="37"/>
      <c r="BF634" s="41"/>
      <c r="BG634" s="37"/>
      <c r="BH634" s="37"/>
      <c r="BI634" s="37"/>
      <c r="BJ634" s="41"/>
    </row>
    <row r="635" spans="2:62" ht="25.15" customHeight="1" x14ac:dyDescent="0.25">
      <c r="B635" s="49">
        <v>630</v>
      </c>
      <c r="C635" s="37"/>
      <c r="D635" s="87" t="str">
        <f>IF(tbl_Assessment[[#This Row],[Ben Code]]&lt;&gt;"",INDEX(tbl_Ben_Info[],MATCH(tbl_Assessment[[#This Row],[Ben Code]],tbl_Ben_Info[Ben Code],0),48),"")</f>
        <v/>
      </c>
      <c r="E635" s="116" t="str">
        <f>IF(tbl_Assessment[[#This Row],[Ben Code]]&lt;&gt;"",INDEX(tbl_Ben_Info[],MATCH(tbl_Assessment[[#This Row],[Ben Code]],tbl_Ben_Info[Ben Code],0),6),"")</f>
        <v/>
      </c>
      <c r="F635" s="113" t="str">
        <f>IF(tbl_Assessment[[#This Row],[Ben Code]]&lt;&gt;"",INDEX(tbl_Ben_Info[],MATCH(tbl_Assessment[[#This Row],[Ben Code]],tbl_Ben_Info[Ben Code],0),13),"")</f>
        <v/>
      </c>
      <c r="G635" s="49"/>
      <c r="H635" s="37"/>
      <c r="I635" s="37"/>
      <c r="J635" s="37"/>
      <c r="K635" s="37"/>
      <c r="L635" s="37"/>
      <c r="M635" s="59"/>
      <c r="N635" s="37"/>
      <c r="O635" s="37"/>
      <c r="P635" s="37"/>
      <c r="Q635" s="59"/>
      <c r="R635" s="49"/>
      <c r="S635" s="37"/>
      <c r="T635" s="37"/>
      <c r="U635" s="37"/>
      <c r="V635" s="37"/>
      <c r="W635" s="96" t="str">
        <f>tbl_Assessment[[#This Row],[Ben Code]] &amp; "-"&amp;tbl_Assessment[[#This Row],[admin4Pcode]]&amp;"-" &amp; TEXT(COUNTIF(INDEX(tbl_Assessment[Ben Code],1):tbl_Assessment[[#This Row],[Ben Code]], tbl_Assessment[[#This Row],[Ben Code]]), "00")</f>
        <v>--00</v>
      </c>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49"/>
      <c r="AU635" s="41"/>
      <c r="AV635" s="37"/>
      <c r="AW635" s="37"/>
      <c r="AX635" s="37"/>
      <c r="AY635" s="37"/>
      <c r="AZ635" s="37"/>
      <c r="BA635" s="37"/>
      <c r="BB635" s="41"/>
      <c r="BC635" s="37"/>
      <c r="BD635" s="37"/>
      <c r="BE635" s="37"/>
      <c r="BF635" s="41"/>
      <c r="BG635" s="37"/>
      <c r="BH635" s="37"/>
      <c r="BI635" s="37"/>
      <c r="BJ635" s="41"/>
    </row>
    <row r="636" spans="2:62" ht="25.15" customHeight="1" x14ac:dyDescent="0.25">
      <c r="B636" s="49">
        <v>631</v>
      </c>
      <c r="C636" s="37"/>
      <c r="D636" s="87" t="str">
        <f>IF(tbl_Assessment[[#This Row],[Ben Code]]&lt;&gt;"",INDEX(tbl_Ben_Info[],MATCH(tbl_Assessment[[#This Row],[Ben Code]],tbl_Ben_Info[Ben Code],0),48),"")</f>
        <v/>
      </c>
      <c r="E636" s="116" t="str">
        <f>IF(tbl_Assessment[[#This Row],[Ben Code]]&lt;&gt;"",INDEX(tbl_Ben_Info[],MATCH(tbl_Assessment[[#This Row],[Ben Code]],tbl_Ben_Info[Ben Code],0),6),"")</f>
        <v/>
      </c>
      <c r="F636" s="113" t="str">
        <f>IF(tbl_Assessment[[#This Row],[Ben Code]]&lt;&gt;"",INDEX(tbl_Ben_Info[],MATCH(tbl_Assessment[[#This Row],[Ben Code]],tbl_Ben_Info[Ben Code],0),13),"")</f>
        <v/>
      </c>
      <c r="G636" s="49"/>
      <c r="H636" s="37"/>
      <c r="I636" s="37"/>
      <c r="J636" s="37"/>
      <c r="K636" s="37"/>
      <c r="L636" s="37"/>
      <c r="M636" s="59"/>
      <c r="N636" s="37"/>
      <c r="O636" s="37"/>
      <c r="P636" s="37"/>
      <c r="Q636" s="59"/>
      <c r="R636" s="49"/>
      <c r="S636" s="37"/>
      <c r="T636" s="37"/>
      <c r="U636" s="37"/>
      <c r="V636" s="37"/>
      <c r="W636" s="96" t="str">
        <f>tbl_Assessment[[#This Row],[Ben Code]] &amp; "-"&amp;tbl_Assessment[[#This Row],[admin4Pcode]]&amp;"-" &amp; TEXT(COUNTIF(INDEX(tbl_Assessment[Ben Code],1):tbl_Assessment[[#This Row],[Ben Code]], tbl_Assessment[[#This Row],[Ben Code]]), "00")</f>
        <v>--00</v>
      </c>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49"/>
      <c r="AU636" s="41"/>
      <c r="AV636" s="37"/>
      <c r="AW636" s="37"/>
      <c r="AX636" s="37"/>
      <c r="AY636" s="37"/>
      <c r="AZ636" s="37"/>
      <c r="BA636" s="37"/>
      <c r="BB636" s="41"/>
      <c r="BC636" s="37"/>
      <c r="BD636" s="37"/>
      <c r="BE636" s="37"/>
      <c r="BF636" s="41"/>
      <c r="BG636" s="37"/>
      <c r="BH636" s="37"/>
      <c r="BI636" s="37"/>
      <c r="BJ636" s="41"/>
    </row>
    <row r="637" spans="2:62" ht="25.15" customHeight="1" x14ac:dyDescent="0.25">
      <c r="B637" s="49">
        <v>632</v>
      </c>
      <c r="C637" s="37"/>
      <c r="D637" s="87" t="str">
        <f>IF(tbl_Assessment[[#This Row],[Ben Code]]&lt;&gt;"",INDEX(tbl_Ben_Info[],MATCH(tbl_Assessment[[#This Row],[Ben Code]],tbl_Ben_Info[Ben Code],0),48),"")</f>
        <v/>
      </c>
      <c r="E637" s="116" t="str">
        <f>IF(tbl_Assessment[[#This Row],[Ben Code]]&lt;&gt;"",INDEX(tbl_Ben_Info[],MATCH(tbl_Assessment[[#This Row],[Ben Code]],tbl_Ben_Info[Ben Code],0),6),"")</f>
        <v/>
      </c>
      <c r="F637" s="113" t="str">
        <f>IF(tbl_Assessment[[#This Row],[Ben Code]]&lt;&gt;"",INDEX(tbl_Ben_Info[],MATCH(tbl_Assessment[[#This Row],[Ben Code]],tbl_Ben_Info[Ben Code],0),13),"")</f>
        <v/>
      </c>
      <c r="G637" s="49"/>
      <c r="H637" s="37"/>
      <c r="I637" s="37"/>
      <c r="J637" s="37"/>
      <c r="K637" s="37"/>
      <c r="L637" s="37"/>
      <c r="M637" s="59"/>
      <c r="N637" s="37"/>
      <c r="O637" s="37"/>
      <c r="P637" s="37"/>
      <c r="Q637" s="59"/>
      <c r="R637" s="49"/>
      <c r="S637" s="37"/>
      <c r="T637" s="37"/>
      <c r="U637" s="37"/>
      <c r="V637" s="37"/>
      <c r="W637" s="96" t="str">
        <f>tbl_Assessment[[#This Row],[Ben Code]] &amp; "-"&amp;tbl_Assessment[[#This Row],[admin4Pcode]]&amp;"-" &amp; TEXT(COUNTIF(INDEX(tbl_Assessment[Ben Code],1):tbl_Assessment[[#This Row],[Ben Code]], tbl_Assessment[[#This Row],[Ben Code]]), "00")</f>
        <v>--00</v>
      </c>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49"/>
      <c r="AU637" s="41"/>
      <c r="AV637" s="37"/>
      <c r="AW637" s="37"/>
      <c r="AX637" s="37"/>
      <c r="AY637" s="37"/>
      <c r="AZ637" s="37"/>
      <c r="BA637" s="37"/>
      <c r="BB637" s="41"/>
      <c r="BC637" s="37"/>
      <c r="BD637" s="37"/>
      <c r="BE637" s="37"/>
      <c r="BF637" s="41"/>
      <c r="BG637" s="37"/>
      <c r="BH637" s="37"/>
      <c r="BI637" s="37"/>
      <c r="BJ637" s="41"/>
    </row>
    <row r="638" spans="2:62" ht="25.15" customHeight="1" x14ac:dyDescent="0.25">
      <c r="B638" s="49">
        <v>633</v>
      </c>
      <c r="C638" s="37"/>
      <c r="D638" s="87" t="str">
        <f>IF(tbl_Assessment[[#This Row],[Ben Code]]&lt;&gt;"",INDEX(tbl_Ben_Info[],MATCH(tbl_Assessment[[#This Row],[Ben Code]],tbl_Ben_Info[Ben Code],0),48),"")</f>
        <v/>
      </c>
      <c r="E638" s="116" t="str">
        <f>IF(tbl_Assessment[[#This Row],[Ben Code]]&lt;&gt;"",INDEX(tbl_Ben_Info[],MATCH(tbl_Assessment[[#This Row],[Ben Code]],tbl_Ben_Info[Ben Code],0),6),"")</f>
        <v/>
      </c>
      <c r="F638" s="113" t="str">
        <f>IF(tbl_Assessment[[#This Row],[Ben Code]]&lt;&gt;"",INDEX(tbl_Ben_Info[],MATCH(tbl_Assessment[[#This Row],[Ben Code]],tbl_Ben_Info[Ben Code],0),13),"")</f>
        <v/>
      </c>
      <c r="G638" s="49"/>
      <c r="H638" s="37"/>
      <c r="I638" s="37"/>
      <c r="J638" s="37"/>
      <c r="K638" s="37"/>
      <c r="L638" s="37"/>
      <c r="M638" s="59"/>
      <c r="N638" s="37"/>
      <c r="O638" s="37"/>
      <c r="P638" s="37"/>
      <c r="Q638" s="59"/>
      <c r="R638" s="49"/>
      <c r="S638" s="37"/>
      <c r="T638" s="37"/>
      <c r="U638" s="37"/>
      <c r="V638" s="37"/>
      <c r="W638" s="96" t="str">
        <f>tbl_Assessment[[#This Row],[Ben Code]] &amp; "-"&amp;tbl_Assessment[[#This Row],[admin4Pcode]]&amp;"-" &amp; TEXT(COUNTIF(INDEX(tbl_Assessment[Ben Code],1):tbl_Assessment[[#This Row],[Ben Code]], tbl_Assessment[[#This Row],[Ben Code]]), "00")</f>
        <v>--00</v>
      </c>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49"/>
      <c r="AU638" s="41"/>
      <c r="AV638" s="37"/>
      <c r="AW638" s="37"/>
      <c r="AX638" s="37"/>
      <c r="AY638" s="37"/>
      <c r="AZ638" s="37"/>
      <c r="BA638" s="37"/>
      <c r="BB638" s="41"/>
      <c r="BC638" s="37"/>
      <c r="BD638" s="37"/>
      <c r="BE638" s="37"/>
      <c r="BF638" s="41"/>
      <c r="BG638" s="37"/>
      <c r="BH638" s="37"/>
      <c r="BI638" s="37"/>
      <c r="BJ638" s="41"/>
    </row>
    <row r="639" spans="2:62" ht="25.15" customHeight="1" x14ac:dyDescent="0.25">
      <c r="B639" s="49">
        <v>634</v>
      </c>
      <c r="C639" s="37"/>
      <c r="D639" s="87" t="str">
        <f>IF(tbl_Assessment[[#This Row],[Ben Code]]&lt;&gt;"",INDEX(tbl_Ben_Info[],MATCH(tbl_Assessment[[#This Row],[Ben Code]],tbl_Ben_Info[Ben Code],0),48),"")</f>
        <v/>
      </c>
      <c r="E639" s="116" t="str">
        <f>IF(tbl_Assessment[[#This Row],[Ben Code]]&lt;&gt;"",INDEX(tbl_Ben_Info[],MATCH(tbl_Assessment[[#This Row],[Ben Code]],tbl_Ben_Info[Ben Code],0),6),"")</f>
        <v/>
      </c>
      <c r="F639" s="113" t="str">
        <f>IF(tbl_Assessment[[#This Row],[Ben Code]]&lt;&gt;"",INDEX(tbl_Ben_Info[],MATCH(tbl_Assessment[[#This Row],[Ben Code]],tbl_Ben_Info[Ben Code],0),13),"")</f>
        <v/>
      </c>
      <c r="G639" s="49"/>
      <c r="H639" s="37"/>
      <c r="I639" s="37"/>
      <c r="J639" s="37"/>
      <c r="K639" s="37"/>
      <c r="L639" s="37"/>
      <c r="M639" s="59"/>
      <c r="N639" s="37"/>
      <c r="O639" s="37"/>
      <c r="P639" s="37"/>
      <c r="Q639" s="59"/>
      <c r="R639" s="49"/>
      <c r="S639" s="37"/>
      <c r="T639" s="37"/>
      <c r="U639" s="37"/>
      <c r="V639" s="37"/>
      <c r="W639" s="96" t="str">
        <f>tbl_Assessment[[#This Row],[Ben Code]] &amp; "-"&amp;tbl_Assessment[[#This Row],[admin4Pcode]]&amp;"-" &amp; TEXT(COUNTIF(INDEX(tbl_Assessment[Ben Code],1):tbl_Assessment[[#This Row],[Ben Code]], tbl_Assessment[[#This Row],[Ben Code]]), "00")</f>
        <v>--00</v>
      </c>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49"/>
      <c r="AU639" s="41"/>
      <c r="AV639" s="37"/>
      <c r="AW639" s="37"/>
      <c r="AX639" s="37"/>
      <c r="AY639" s="37"/>
      <c r="AZ639" s="37"/>
      <c r="BA639" s="37"/>
      <c r="BB639" s="41"/>
      <c r="BC639" s="37"/>
      <c r="BD639" s="37"/>
      <c r="BE639" s="37"/>
      <c r="BF639" s="41"/>
      <c r="BG639" s="37"/>
      <c r="BH639" s="37"/>
      <c r="BI639" s="37"/>
      <c r="BJ639" s="41"/>
    </row>
    <row r="640" spans="2:62" ht="25.15" customHeight="1" x14ac:dyDescent="0.25">
      <c r="B640" s="49">
        <v>635</v>
      </c>
      <c r="C640" s="37"/>
      <c r="D640" s="87" t="str">
        <f>IF(tbl_Assessment[[#This Row],[Ben Code]]&lt;&gt;"",INDEX(tbl_Ben_Info[],MATCH(tbl_Assessment[[#This Row],[Ben Code]],tbl_Ben_Info[Ben Code],0),48),"")</f>
        <v/>
      </c>
      <c r="E640" s="116" t="str">
        <f>IF(tbl_Assessment[[#This Row],[Ben Code]]&lt;&gt;"",INDEX(tbl_Ben_Info[],MATCH(tbl_Assessment[[#This Row],[Ben Code]],tbl_Ben_Info[Ben Code],0),6),"")</f>
        <v/>
      </c>
      <c r="F640" s="113" t="str">
        <f>IF(tbl_Assessment[[#This Row],[Ben Code]]&lt;&gt;"",INDEX(tbl_Ben_Info[],MATCH(tbl_Assessment[[#This Row],[Ben Code]],tbl_Ben_Info[Ben Code],0),13),"")</f>
        <v/>
      </c>
      <c r="G640" s="49"/>
      <c r="H640" s="37"/>
      <c r="I640" s="37"/>
      <c r="J640" s="37"/>
      <c r="K640" s="37"/>
      <c r="L640" s="37"/>
      <c r="M640" s="59"/>
      <c r="N640" s="37"/>
      <c r="O640" s="37"/>
      <c r="P640" s="37"/>
      <c r="Q640" s="59"/>
      <c r="R640" s="49"/>
      <c r="S640" s="37"/>
      <c r="T640" s="37"/>
      <c r="U640" s="37"/>
      <c r="V640" s="37"/>
      <c r="W640" s="96" t="str">
        <f>tbl_Assessment[[#This Row],[Ben Code]] &amp; "-"&amp;tbl_Assessment[[#This Row],[admin4Pcode]]&amp;"-" &amp; TEXT(COUNTIF(INDEX(tbl_Assessment[Ben Code],1):tbl_Assessment[[#This Row],[Ben Code]], tbl_Assessment[[#This Row],[Ben Code]]), "00")</f>
        <v>--00</v>
      </c>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49"/>
      <c r="AU640" s="41"/>
      <c r="AV640" s="37"/>
      <c r="AW640" s="37"/>
      <c r="AX640" s="37"/>
      <c r="AY640" s="37"/>
      <c r="AZ640" s="37"/>
      <c r="BA640" s="37"/>
      <c r="BB640" s="41"/>
      <c r="BC640" s="37"/>
      <c r="BD640" s="37"/>
      <c r="BE640" s="37"/>
      <c r="BF640" s="41"/>
      <c r="BG640" s="37"/>
      <c r="BH640" s="37"/>
      <c r="BI640" s="37"/>
      <c r="BJ640" s="41"/>
    </row>
    <row r="641" spans="2:62" ht="25.15" customHeight="1" x14ac:dyDescent="0.25">
      <c r="B641" s="49">
        <v>636</v>
      </c>
      <c r="C641" s="37"/>
      <c r="D641" s="87" t="str">
        <f>IF(tbl_Assessment[[#This Row],[Ben Code]]&lt;&gt;"",INDEX(tbl_Ben_Info[],MATCH(tbl_Assessment[[#This Row],[Ben Code]],tbl_Ben_Info[Ben Code],0),48),"")</f>
        <v/>
      </c>
      <c r="E641" s="116" t="str">
        <f>IF(tbl_Assessment[[#This Row],[Ben Code]]&lt;&gt;"",INDEX(tbl_Ben_Info[],MATCH(tbl_Assessment[[#This Row],[Ben Code]],tbl_Ben_Info[Ben Code],0),6),"")</f>
        <v/>
      </c>
      <c r="F641" s="113" t="str">
        <f>IF(tbl_Assessment[[#This Row],[Ben Code]]&lt;&gt;"",INDEX(tbl_Ben_Info[],MATCH(tbl_Assessment[[#This Row],[Ben Code]],tbl_Ben_Info[Ben Code],0),13),"")</f>
        <v/>
      </c>
      <c r="G641" s="49"/>
      <c r="H641" s="37"/>
      <c r="I641" s="37"/>
      <c r="J641" s="37"/>
      <c r="K641" s="37"/>
      <c r="L641" s="37"/>
      <c r="M641" s="59"/>
      <c r="N641" s="37"/>
      <c r="O641" s="37"/>
      <c r="P641" s="37"/>
      <c r="Q641" s="59"/>
      <c r="R641" s="49"/>
      <c r="S641" s="37"/>
      <c r="T641" s="37"/>
      <c r="U641" s="37"/>
      <c r="V641" s="37"/>
      <c r="W641" s="96" t="str">
        <f>tbl_Assessment[[#This Row],[Ben Code]] &amp; "-"&amp;tbl_Assessment[[#This Row],[admin4Pcode]]&amp;"-" &amp; TEXT(COUNTIF(INDEX(tbl_Assessment[Ben Code],1):tbl_Assessment[[#This Row],[Ben Code]], tbl_Assessment[[#This Row],[Ben Code]]), "00")</f>
        <v>--00</v>
      </c>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49"/>
      <c r="AU641" s="41"/>
      <c r="AV641" s="37"/>
      <c r="AW641" s="37"/>
      <c r="AX641" s="37"/>
      <c r="AY641" s="37"/>
      <c r="AZ641" s="37"/>
      <c r="BA641" s="37"/>
      <c r="BB641" s="41"/>
      <c r="BC641" s="37"/>
      <c r="BD641" s="37"/>
      <c r="BE641" s="37"/>
      <c r="BF641" s="41"/>
      <c r="BG641" s="37"/>
      <c r="BH641" s="37"/>
      <c r="BI641" s="37"/>
      <c r="BJ641" s="41"/>
    </row>
    <row r="642" spans="2:62" ht="25.15" customHeight="1" x14ac:dyDescent="0.25">
      <c r="B642" s="49">
        <v>637</v>
      </c>
      <c r="C642" s="37"/>
      <c r="D642" s="87" t="str">
        <f>IF(tbl_Assessment[[#This Row],[Ben Code]]&lt;&gt;"",INDEX(tbl_Ben_Info[],MATCH(tbl_Assessment[[#This Row],[Ben Code]],tbl_Ben_Info[Ben Code],0),48),"")</f>
        <v/>
      </c>
      <c r="E642" s="116" t="str">
        <f>IF(tbl_Assessment[[#This Row],[Ben Code]]&lt;&gt;"",INDEX(tbl_Ben_Info[],MATCH(tbl_Assessment[[#This Row],[Ben Code]],tbl_Ben_Info[Ben Code],0),6),"")</f>
        <v/>
      </c>
      <c r="F642" s="113" t="str">
        <f>IF(tbl_Assessment[[#This Row],[Ben Code]]&lt;&gt;"",INDEX(tbl_Ben_Info[],MATCH(tbl_Assessment[[#This Row],[Ben Code]],tbl_Ben_Info[Ben Code],0),13),"")</f>
        <v/>
      </c>
      <c r="G642" s="49"/>
      <c r="H642" s="37"/>
      <c r="I642" s="37"/>
      <c r="J642" s="37"/>
      <c r="K642" s="37"/>
      <c r="L642" s="37"/>
      <c r="M642" s="59"/>
      <c r="N642" s="37"/>
      <c r="O642" s="37"/>
      <c r="P642" s="37"/>
      <c r="Q642" s="59"/>
      <c r="R642" s="49"/>
      <c r="S642" s="37"/>
      <c r="T642" s="37"/>
      <c r="U642" s="37"/>
      <c r="V642" s="37"/>
      <c r="W642" s="96" t="str">
        <f>tbl_Assessment[[#This Row],[Ben Code]] &amp; "-"&amp;tbl_Assessment[[#This Row],[admin4Pcode]]&amp;"-" &amp; TEXT(COUNTIF(INDEX(tbl_Assessment[Ben Code],1):tbl_Assessment[[#This Row],[Ben Code]], tbl_Assessment[[#This Row],[Ben Code]]), "00")</f>
        <v>--00</v>
      </c>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49"/>
      <c r="AU642" s="41"/>
      <c r="AV642" s="37"/>
      <c r="AW642" s="37"/>
      <c r="AX642" s="37"/>
      <c r="AY642" s="37"/>
      <c r="AZ642" s="37"/>
      <c r="BA642" s="37"/>
      <c r="BB642" s="41"/>
      <c r="BC642" s="37"/>
      <c r="BD642" s="37"/>
      <c r="BE642" s="37"/>
      <c r="BF642" s="41"/>
      <c r="BG642" s="37"/>
      <c r="BH642" s="37"/>
      <c r="BI642" s="37"/>
      <c r="BJ642" s="41"/>
    </row>
    <row r="643" spans="2:62" ht="25.15" customHeight="1" x14ac:dyDescent="0.25">
      <c r="B643" s="49">
        <v>638</v>
      </c>
      <c r="C643" s="37"/>
      <c r="D643" s="87" t="str">
        <f>IF(tbl_Assessment[[#This Row],[Ben Code]]&lt;&gt;"",INDEX(tbl_Ben_Info[],MATCH(tbl_Assessment[[#This Row],[Ben Code]],tbl_Ben_Info[Ben Code],0),48),"")</f>
        <v/>
      </c>
      <c r="E643" s="116" t="str">
        <f>IF(tbl_Assessment[[#This Row],[Ben Code]]&lt;&gt;"",INDEX(tbl_Ben_Info[],MATCH(tbl_Assessment[[#This Row],[Ben Code]],tbl_Ben_Info[Ben Code],0),6),"")</f>
        <v/>
      </c>
      <c r="F643" s="113" t="str">
        <f>IF(tbl_Assessment[[#This Row],[Ben Code]]&lt;&gt;"",INDEX(tbl_Ben_Info[],MATCH(tbl_Assessment[[#This Row],[Ben Code]],tbl_Ben_Info[Ben Code],0),13),"")</f>
        <v/>
      </c>
      <c r="G643" s="49"/>
      <c r="H643" s="37"/>
      <c r="I643" s="37"/>
      <c r="J643" s="37"/>
      <c r="K643" s="37"/>
      <c r="L643" s="37"/>
      <c r="M643" s="59"/>
      <c r="N643" s="37"/>
      <c r="O643" s="37"/>
      <c r="P643" s="37"/>
      <c r="Q643" s="59"/>
      <c r="R643" s="49"/>
      <c r="S643" s="37"/>
      <c r="T643" s="37"/>
      <c r="U643" s="37"/>
      <c r="V643" s="37"/>
      <c r="W643" s="96" t="str">
        <f>tbl_Assessment[[#This Row],[Ben Code]] &amp; "-"&amp;tbl_Assessment[[#This Row],[admin4Pcode]]&amp;"-" &amp; TEXT(COUNTIF(INDEX(tbl_Assessment[Ben Code],1):tbl_Assessment[[#This Row],[Ben Code]], tbl_Assessment[[#This Row],[Ben Code]]), "00")</f>
        <v>--00</v>
      </c>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49"/>
      <c r="AU643" s="41"/>
      <c r="AV643" s="37"/>
      <c r="AW643" s="37"/>
      <c r="AX643" s="37"/>
      <c r="AY643" s="37"/>
      <c r="AZ643" s="37"/>
      <c r="BA643" s="37"/>
      <c r="BB643" s="41"/>
      <c r="BC643" s="37"/>
      <c r="BD643" s="37"/>
      <c r="BE643" s="37"/>
      <c r="BF643" s="41"/>
      <c r="BG643" s="37"/>
      <c r="BH643" s="37"/>
      <c r="BI643" s="37"/>
      <c r="BJ643" s="41"/>
    </row>
    <row r="644" spans="2:62" ht="25.15" customHeight="1" x14ac:dyDescent="0.25">
      <c r="B644" s="49">
        <v>639</v>
      </c>
      <c r="C644" s="37"/>
      <c r="D644" s="87" t="str">
        <f>IF(tbl_Assessment[[#This Row],[Ben Code]]&lt;&gt;"",INDEX(tbl_Ben_Info[],MATCH(tbl_Assessment[[#This Row],[Ben Code]],tbl_Ben_Info[Ben Code],0),48),"")</f>
        <v/>
      </c>
      <c r="E644" s="116" t="str">
        <f>IF(tbl_Assessment[[#This Row],[Ben Code]]&lt;&gt;"",INDEX(tbl_Ben_Info[],MATCH(tbl_Assessment[[#This Row],[Ben Code]],tbl_Ben_Info[Ben Code],0),6),"")</f>
        <v/>
      </c>
      <c r="F644" s="113" t="str">
        <f>IF(tbl_Assessment[[#This Row],[Ben Code]]&lt;&gt;"",INDEX(tbl_Ben_Info[],MATCH(tbl_Assessment[[#This Row],[Ben Code]],tbl_Ben_Info[Ben Code],0),13),"")</f>
        <v/>
      </c>
      <c r="G644" s="49"/>
      <c r="H644" s="37"/>
      <c r="I644" s="37"/>
      <c r="J644" s="37"/>
      <c r="K644" s="37"/>
      <c r="L644" s="37"/>
      <c r="M644" s="59"/>
      <c r="N644" s="37"/>
      <c r="O644" s="37"/>
      <c r="P644" s="37"/>
      <c r="Q644" s="59"/>
      <c r="R644" s="49"/>
      <c r="S644" s="37"/>
      <c r="T644" s="37"/>
      <c r="U644" s="37"/>
      <c r="V644" s="37"/>
      <c r="W644" s="96" t="str">
        <f>tbl_Assessment[[#This Row],[Ben Code]] &amp; "-"&amp;tbl_Assessment[[#This Row],[admin4Pcode]]&amp;"-" &amp; TEXT(COUNTIF(INDEX(tbl_Assessment[Ben Code],1):tbl_Assessment[[#This Row],[Ben Code]], tbl_Assessment[[#This Row],[Ben Code]]), "00")</f>
        <v>--00</v>
      </c>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49"/>
      <c r="AU644" s="41"/>
      <c r="AV644" s="37"/>
      <c r="AW644" s="37"/>
      <c r="AX644" s="37"/>
      <c r="AY644" s="37"/>
      <c r="AZ644" s="37"/>
      <c r="BA644" s="37"/>
      <c r="BB644" s="41"/>
      <c r="BC644" s="37"/>
      <c r="BD644" s="37"/>
      <c r="BE644" s="37"/>
      <c r="BF644" s="41"/>
      <c r="BG644" s="37"/>
      <c r="BH644" s="37"/>
      <c r="BI644" s="37"/>
      <c r="BJ644" s="41"/>
    </row>
    <row r="645" spans="2:62" ht="25.15" customHeight="1" x14ac:dyDescent="0.25">
      <c r="B645" s="49">
        <v>640</v>
      </c>
      <c r="C645" s="37"/>
      <c r="D645" s="87" t="str">
        <f>IF(tbl_Assessment[[#This Row],[Ben Code]]&lt;&gt;"",INDEX(tbl_Ben_Info[],MATCH(tbl_Assessment[[#This Row],[Ben Code]],tbl_Ben_Info[Ben Code],0),48),"")</f>
        <v/>
      </c>
      <c r="E645" s="116" t="str">
        <f>IF(tbl_Assessment[[#This Row],[Ben Code]]&lt;&gt;"",INDEX(tbl_Ben_Info[],MATCH(tbl_Assessment[[#This Row],[Ben Code]],tbl_Ben_Info[Ben Code],0),6),"")</f>
        <v/>
      </c>
      <c r="F645" s="113" t="str">
        <f>IF(tbl_Assessment[[#This Row],[Ben Code]]&lt;&gt;"",INDEX(tbl_Ben_Info[],MATCH(tbl_Assessment[[#This Row],[Ben Code]],tbl_Ben_Info[Ben Code],0),13),"")</f>
        <v/>
      </c>
      <c r="G645" s="49"/>
      <c r="H645" s="37"/>
      <c r="I645" s="37"/>
      <c r="J645" s="37"/>
      <c r="K645" s="37"/>
      <c r="L645" s="37"/>
      <c r="M645" s="59"/>
      <c r="N645" s="37"/>
      <c r="O645" s="37"/>
      <c r="P645" s="37"/>
      <c r="Q645" s="59"/>
      <c r="R645" s="49"/>
      <c r="S645" s="37"/>
      <c r="T645" s="37"/>
      <c r="U645" s="37"/>
      <c r="V645" s="37"/>
      <c r="W645" s="96" t="str">
        <f>tbl_Assessment[[#This Row],[Ben Code]] &amp; "-"&amp;tbl_Assessment[[#This Row],[admin4Pcode]]&amp;"-" &amp; TEXT(COUNTIF(INDEX(tbl_Assessment[Ben Code],1):tbl_Assessment[[#This Row],[Ben Code]], tbl_Assessment[[#This Row],[Ben Code]]), "00")</f>
        <v>--00</v>
      </c>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49"/>
      <c r="AU645" s="41"/>
      <c r="AV645" s="37"/>
      <c r="AW645" s="37"/>
      <c r="AX645" s="37"/>
      <c r="AY645" s="37"/>
      <c r="AZ645" s="37"/>
      <c r="BA645" s="37"/>
      <c r="BB645" s="41"/>
      <c r="BC645" s="37"/>
      <c r="BD645" s="37"/>
      <c r="BE645" s="37"/>
      <c r="BF645" s="41"/>
      <c r="BG645" s="37"/>
      <c r="BH645" s="37"/>
      <c r="BI645" s="37"/>
      <c r="BJ645" s="41"/>
    </row>
    <row r="646" spans="2:62" ht="25.15" customHeight="1" x14ac:dyDescent="0.25">
      <c r="B646" s="49">
        <v>641</v>
      </c>
      <c r="C646" s="37"/>
      <c r="D646" s="87" t="str">
        <f>IF(tbl_Assessment[[#This Row],[Ben Code]]&lt;&gt;"",INDEX(tbl_Ben_Info[],MATCH(tbl_Assessment[[#This Row],[Ben Code]],tbl_Ben_Info[Ben Code],0),48),"")</f>
        <v/>
      </c>
      <c r="E646" s="116" t="str">
        <f>IF(tbl_Assessment[[#This Row],[Ben Code]]&lt;&gt;"",INDEX(tbl_Ben_Info[],MATCH(tbl_Assessment[[#This Row],[Ben Code]],tbl_Ben_Info[Ben Code],0),6),"")</f>
        <v/>
      </c>
      <c r="F646" s="113" t="str">
        <f>IF(tbl_Assessment[[#This Row],[Ben Code]]&lt;&gt;"",INDEX(tbl_Ben_Info[],MATCH(tbl_Assessment[[#This Row],[Ben Code]],tbl_Ben_Info[Ben Code],0),13),"")</f>
        <v/>
      </c>
      <c r="G646" s="49"/>
      <c r="H646" s="37"/>
      <c r="I646" s="37"/>
      <c r="J646" s="37"/>
      <c r="K646" s="37"/>
      <c r="L646" s="37"/>
      <c r="M646" s="59"/>
      <c r="N646" s="37"/>
      <c r="O646" s="37"/>
      <c r="P646" s="37"/>
      <c r="Q646" s="59"/>
      <c r="R646" s="49"/>
      <c r="S646" s="37"/>
      <c r="T646" s="37"/>
      <c r="U646" s="37"/>
      <c r="V646" s="37"/>
      <c r="W646" s="96" t="str">
        <f>tbl_Assessment[[#This Row],[Ben Code]] &amp; "-"&amp;tbl_Assessment[[#This Row],[admin4Pcode]]&amp;"-" &amp; TEXT(COUNTIF(INDEX(tbl_Assessment[Ben Code],1):tbl_Assessment[[#This Row],[Ben Code]], tbl_Assessment[[#This Row],[Ben Code]]), "00")</f>
        <v>--00</v>
      </c>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49"/>
      <c r="AU646" s="41"/>
      <c r="AV646" s="37"/>
      <c r="AW646" s="37"/>
      <c r="AX646" s="37"/>
      <c r="AY646" s="37"/>
      <c r="AZ646" s="37"/>
      <c r="BA646" s="37"/>
      <c r="BB646" s="41"/>
      <c r="BC646" s="37"/>
      <c r="BD646" s="37"/>
      <c r="BE646" s="37"/>
      <c r="BF646" s="41"/>
      <c r="BG646" s="37"/>
      <c r="BH646" s="37"/>
      <c r="BI646" s="37"/>
      <c r="BJ646" s="41"/>
    </row>
    <row r="647" spans="2:62" ht="25.15" customHeight="1" x14ac:dyDescent="0.25">
      <c r="B647" s="49">
        <v>642</v>
      </c>
      <c r="C647" s="37"/>
      <c r="D647" s="87" t="str">
        <f>IF(tbl_Assessment[[#This Row],[Ben Code]]&lt;&gt;"",INDEX(tbl_Ben_Info[],MATCH(tbl_Assessment[[#This Row],[Ben Code]],tbl_Ben_Info[Ben Code],0),48),"")</f>
        <v/>
      </c>
      <c r="E647" s="116" t="str">
        <f>IF(tbl_Assessment[[#This Row],[Ben Code]]&lt;&gt;"",INDEX(tbl_Ben_Info[],MATCH(tbl_Assessment[[#This Row],[Ben Code]],tbl_Ben_Info[Ben Code],0),6),"")</f>
        <v/>
      </c>
      <c r="F647" s="113" t="str">
        <f>IF(tbl_Assessment[[#This Row],[Ben Code]]&lt;&gt;"",INDEX(tbl_Ben_Info[],MATCH(tbl_Assessment[[#This Row],[Ben Code]],tbl_Ben_Info[Ben Code],0),13),"")</f>
        <v/>
      </c>
      <c r="G647" s="49"/>
      <c r="H647" s="37"/>
      <c r="I647" s="37"/>
      <c r="J647" s="37"/>
      <c r="K647" s="37"/>
      <c r="L647" s="37"/>
      <c r="M647" s="59"/>
      <c r="N647" s="37"/>
      <c r="O647" s="37"/>
      <c r="P647" s="37"/>
      <c r="Q647" s="59"/>
      <c r="R647" s="49"/>
      <c r="S647" s="37"/>
      <c r="T647" s="37"/>
      <c r="U647" s="37"/>
      <c r="V647" s="37"/>
      <c r="W647" s="96" t="str">
        <f>tbl_Assessment[[#This Row],[Ben Code]] &amp; "-"&amp;tbl_Assessment[[#This Row],[admin4Pcode]]&amp;"-" &amp; TEXT(COUNTIF(INDEX(tbl_Assessment[Ben Code],1):tbl_Assessment[[#This Row],[Ben Code]], tbl_Assessment[[#This Row],[Ben Code]]), "00")</f>
        <v>--00</v>
      </c>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49"/>
      <c r="AU647" s="41"/>
      <c r="AV647" s="37"/>
      <c r="AW647" s="37"/>
      <c r="AX647" s="37"/>
      <c r="AY647" s="37"/>
      <c r="AZ647" s="37"/>
      <c r="BA647" s="37"/>
      <c r="BB647" s="41"/>
      <c r="BC647" s="37"/>
      <c r="BD647" s="37"/>
      <c r="BE647" s="37"/>
      <c r="BF647" s="41"/>
      <c r="BG647" s="37"/>
      <c r="BH647" s="37"/>
      <c r="BI647" s="37"/>
      <c r="BJ647" s="41"/>
    </row>
    <row r="648" spans="2:62" ht="25.15" customHeight="1" x14ac:dyDescent="0.25">
      <c r="B648" s="49">
        <v>643</v>
      </c>
      <c r="C648" s="37"/>
      <c r="D648" s="87" t="str">
        <f>IF(tbl_Assessment[[#This Row],[Ben Code]]&lt;&gt;"",INDEX(tbl_Ben_Info[],MATCH(tbl_Assessment[[#This Row],[Ben Code]],tbl_Ben_Info[Ben Code],0),48),"")</f>
        <v/>
      </c>
      <c r="E648" s="116" t="str">
        <f>IF(tbl_Assessment[[#This Row],[Ben Code]]&lt;&gt;"",INDEX(tbl_Ben_Info[],MATCH(tbl_Assessment[[#This Row],[Ben Code]],tbl_Ben_Info[Ben Code],0),6),"")</f>
        <v/>
      </c>
      <c r="F648" s="113" t="str">
        <f>IF(tbl_Assessment[[#This Row],[Ben Code]]&lt;&gt;"",INDEX(tbl_Ben_Info[],MATCH(tbl_Assessment[[#This Row],[Ben Code]],tbl_Ben_Info[Ben Code],0),13),"")</f>
        <v/>
      </c>
      <c r="G648" s="49"/>
      <c r="H648" s="37"/>
      <c r="I648" s="37"/>
      <c r="J648" s="37"/>
      <c r="K648" s="37"/>
      <c r="L648" s="37"/>
      <c r="M648" s="59"/>
      <c r="N648" s="37"/>
      <c r="O648" s="37"/>
      <c r="P648" s="37"/>
      <c r="Q648" s="59"/>
      <c r="R648" s="49"/>
      <c r="S648" s="37"/>
      <c r="T648" s="37"/>
      <c r="U648" s="37"/>
      <c r="V648" s="37"/>
      <c r="W648" s="96" t="str">
        <f>tbl_Assessment[[#This Row],[Ben Code]] &amp; "-"&amp;tbl_Assessment[[#This Row],[admin4Pcode]]&amp;"-" &amp; TEXT(COUNTIF(INDEX(tbl_Assessment[Ben Code],1):tbl_Assessment[[#This Row],[Ben Code]], tbl_Assessment[[#This Row],[Ben Code]]), "00")</f>
        <v>--00</v>
      </c>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49"/>
      <c r="AU648" s="41"/>
      <c r="AV648" s="37"/>
      <c r="AW648" s="37"/>
      <c r="AX648" s="37"/>
      <c r="AY648" s="37"/>
      <c r="AZ648" s="37"/>
      <c r="BA648" s="37"/>
      <c r="BB648" s="41"/>
      <c r="BC648" s="37"/>
      <c r="BD648" s="37"/>
      <c r="BE648" s="37"/>
      <c r="BF648" s="41"/>
      <c r="BG648" s="37"/>
      <c r="BH648" s="37"/>
      <c r="BI648" s="37"/>
      <c r="BJ648" s="41"/>
    </row>
    <row r="649" spans="2:62" ht="25.15" customHeight="1" x14ac:dyDescent="0.25">
      <c r="B649" s="49">
        <v>644</v>
      </c>
      <c r="C649" s="37"/>
      <c r="D649" s="87" t="str">
        <f>IF(tbl_Assessment[[#This Row],[Ben Code]]&lt;&gt;"",INDEX(tbl_Ben_Info[],MATCH(tbl_Assessment[[#This Row],[Ben Code]],tbl_Ben_Info[Ben Code],0),48),"")</f>
        <v/>
      </c>
      <c r="E649" s="116" t="str">
        <f>IF(tbl_Assessment[[#This Row],[Ben Code]]&lt;&gt;"",INDEX(tbl_Ben_Info[],MATCH(tbl_Assessment[[#This Row],[Ben Code]],tbl_Ben_Info[Ben Code],0),6),"")</f>
        <v/>
      </c>
      <c r="F649" s="113" t="str">
        <f>IF(tbl_Assessment[[#This Row],[Ben Code]]&lt;&gt;"",INDEX(tbl_Ben_Info[],MATCH(tbl_Assessment[[#This Row],[Ben Code]],tbl_Ben_Info[Ben Code],0),13),"")</f>
        <v/>
      </c>
      <c r="G649" s="49"/>
      <c r="H649" s="37"/>
      <c r="I649" s="37"/>
      <c r="J649" s="37"/>
      <c r="K649" s="37"/>
      <c r="L649" s="37"/>
      <c r="M649" s="59"/>
      <c r="N649" s="37"/>
      <c r="O649" s="37"/>
      <c r="P649" s="37"/>
      <c r="Q649" s="59"/>
      <c r="R649" s="49"/>
      <c r="S649" s="37"/>
      <c r="T649" s="37"/>
      <c r="U649" s="37"/>
      <c r="V649" s="37"/>
      <c r="W649" s="96" t="str">
        <f>tbl_Assessment[[#This Row],[Ben Code]] &amp; "-"&amp;tbl_Assessment[[#This Row],[admin4Pcode]]&amp;"-" &amp; TEXT(COUNTIF(INDEX(tbl_Assessment[Ben Code],1):tbl_Assessment[[#This Row],[Ben Code]], tbl_Assessment[[#This Row],[Ben Code]]), "00")</f>
        <v>--00</v>
      </c>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49"/>
      <c r="AU649" s="41"/>
      <c r="AV649" s="37"/>
      <c r="AW649" s="37"/>
      <c r="AX649" s="37"/>
      <c r="AY649" s="37"/>
      <c r="AZ649" s="37"/>
      <c r="BA649" s="37"/>
      <c r="BB649" s="41"/>
      <c r="BC649" s="37"/>
      <c r="BD649" s="37"/>
      <c r="BE649" s="37"/>
      <c r="BF649" s="41"/>
      <c r="BG649" s="37"/>
      <c r="BH649" s="37"/>
      <c r="BI649" s="37"/>
      <c r="BJ649" s="41"/>
    </row>
    <row r="650" spans="2:62" ht="25.15" customHeight="1" x14ac:dyDescent="0.25">
      <c r="B650" s="49">
        <v>645</v>
      </c>
      <c r="C650" s="37"/>
      <c r="D650" s="87" t="str">
        <f>IF(tbl_Assessment[[#This Row],[Ben Code]]&lt;&gt;"",INDEX(tbl_Ben_Info[],MATCH(tbl_Assessment[[#This Row],[Ben Code]],tbl_Ben_Info[Ben Code],0),48),"")</f>
        <v/>
      </c>
      <c r="E650" s="116" t="str">
        <f>IF(tbl_Assessment[[#This Row],[Ben Code]]&lt;&gt;"",INDEX(tbl_Ben_Info[],MATCH(tbl_Assessment[[#This Row],[Ben Code]],tbl_Ben_Info[Ben Code],0),6),"")</f>
        <v/>
      </c>
      <c r="F650" s="113" t="str">
        <f>IF(tbl_Assessment[[#This Row],[Ben Code]]&lt;&gt;"",INDEX(tbl_Ben_Info[],MATCH(tbl_Assessment[[#This Row],[Ben Code]],tbl_Ben_Info[Ben Code],0),13),"")</f>
        <v/>
      </c>
      <c r="G650" s="49"/>
      <c r="H650" s="37"/>
      <c r="I650" s="37"/>
      <c r="J650" s="37"/>
      <c r="K650" s="37"/>
      <c r="L650" s="37"/>
      <c r="M650" s="59"/>
      <c r="N650" s="37"/>
      <c r="O650" s="37"/>
      <c r="P650" s="37"/>
      <c r="Q650" s="59"/>
      <c r="R650" s="49"/>
      <c r="S650" s="37"/>
      <c r="T650" s="37"/>
      <c r="U650" s="37"/>
      <c r="V650" s="37"/>
      <c r="W650" s="96" t="str">
        <f>tbl_Assessment[[#This Row],[Ben Code]] &amp; "-"&amp;tbl_Assessment[[#This Row],[admin4Pcode]]&amp;"-" &amp; TEXT(COUNTIF(INDEX(tbl_Assessment[Ben Code],1):tbl_Assessment[[#This Row],[Ben Code]], tbl_Assessment[[#This Row],[Ben Code]]), "00")</f>
        <v>--00</v>
      </c>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49"/>
      <c r="AU650" s="41"/>
      <c r="AV650" s="37"/>
      <c r="AW650" s="37"/>
      <c r="AX650" s="37"/>
      <c r="AY650" s="37"/>
      <c r="AZ650" s="37"/>
      <c r="BA650" s="37"/>
      <c r="BB650" s="41"/>
      <c r="BC650" s="37"/>
      <c r="BD650" s="37"/>
      <c r="BE650" s="37"/>
      <c r="BF650" s="41"/>
      <c r="BG650" s="37"/>
      <c r="BH650" s="37"/>
      <c r="BI650" s="37"/>
      <c r="BJ650" s="41"/>
    </row>
    <row r="651" spans="2:62" ht="25.15" customHeight="1" x14ac:dyDescent="0.25">
      <c r="B651" s="49">
        <v>646</v>
      </c>
      <c r="C651" s="37"/>
      <c r="D651" s="87" t="str">
        <f>IF(tbl_Assessment[[#This Row],[Ben Code]]&lt;&gt;"",INDEX(tbl_Ben_Info[],MATCH(tbl_Assessment[[#This Row],[Ben Code]],tbl_Ben_Info[Ben Code],0),48),"")</f>
        <v/>
      </c>
      <c r="E651" s="116" t="str">
        <f>IF(tbl_Assessment[[#This Row],[Ben Code]]&lt;&gt;"",INDEX(tbl_Ben_Info[],MATCH(tbl_Assessment[[#This Row],[Ben Code]],tbl_Ben_Info[Ben Code],0),6),"")</f>
        <v/>
      </c>
      <c r="F651" s="113" t="str">
        <f>IF(tbl_Assessment[[#This Row],[Ben Code]]&lt;&gt;"",INDEX(tbl_Ben_Info[],MATCH(tbl_Assessment[[#This Row],[Ben Code]],tbl_Ben_Info[Ben Code],0),13),"")</f>
        <v/>
      </c>
      <c r="G651" s="49"/>
      <c r="H651" s="37"/>
      <c r="I651" s="37"/>
      <c r="J651" s="37"/>
      <c r="K651" s="37"/>
      <c r="L651" s="37"/>
      <c r="M651" s="59"/>
      <c r="N651" s="37"/>
      <c r="O651" s="37"/>
      <c r="P651" s="37"/>
      <c r="Q651" s="59"/>
      <c r="R651" s="49"/>
      <c r="S651" s="37"/>
      <c r="T651" s="37"/>
      <c r="U651" s="37"/>
      <c r="V651" s="37"/>
      <c r="W651" s="96" t="str">
        <f>tbl_Assessment[[#This Row],[Ben Code]] &amp; "-"&amp;tbl_Assessment[[#This Row],[admin4Pcode]]&amp;"-" &amp; TEXT(COUNTIF(INDEX(tbl_Assessment[Ben Code],1):tbl_Assessment[[#This Row],[Ben Code]], tbl_Assessment[[#This Row],[Ben Code]]), "00")</f>
        <v>--00</v>
      </c>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49"/>
      <c r="AU651" s="41"/>
      <c r="AV651" s="37"/>
      <c r="AW651" s="37"/>
      <c r="AX651" s="37"/>
      <c r="AY651" s="37"/>
      <c r="AZ651" s="37"/>
      <c r="BA651" s="37"/>
      <c r="BB651" s="41"/>
      <c r="BC651" s="37"/>
      <c r="BD651" s="37"/>
      <c r="BE651" s="37"/>
      <c r="BF651" s="41"/>
      <c r="BG651" s="37"/>
      <c r="BH651" s="37"/>
      <c r="BI651" s="37"/>
      <c r="BJ651" s="41"/>
    </row>
    <row r="652" spans="2:62" ht="25.15" customHeight="1" x14ac:dyDescent="0.25">
      <c r="B652" s="49">
        <v>647</v>
      </c>
      <c r="C652" s="37"/>
      <c r="D652" s="87" t="str">
        <f>IF(tbl_Assessment[[#This Row],[Ben Code]]&lt;&gt;"",INDEX(tbl_Ben_Info[],MATCH(tbl_Assessment[[#This Row],[Ben Code]],tbl_Ben_Info[Ben Code],0),48),"")</f>
        <v/>
      </c>
      <c r="E652" s="116" t="str">
        <f>IF(tbl_Assessment[[#This Row],[Ben Code]]&lt;&gt;"",INDEX(tbl_Ben_Info[],MATCH(tbl_Assessment[[#This Row],[Ben Code]],tbl_Ben_Info[Ben Code],0),6),"")</f>
        <v/>
      </c>
      <c r="F652" s="113" t="str">
        <f>IF(tbl_Assessment[[#This Row],[Ben Code]]&lt;&gt;"",INDEX(tbl_Ben_Info[],MATCH(tbl_Assessment[[#This Row],[Ben Code]],tbl_Ben_Info[Ben Code],0),13),"")</f>
        <v/>
      </c>
      <c r="G652" s="49"/>
      <c r="H652" s="37"/>
      <c r="I652" s="37"/>
      <c r="J652" s="37"/>
      <c r="K652" s="37"/>
      <c r="L652" s="37"/>
      <c r="M652" s="59"/>
      <c r="N652" s="37"/>
      <c r="O652" s="37"/>
      <c r="P652" s="37"/>
      <c r="Q652" s="59"/>
      <c r="R652" s="49"/>
      <c r="S652" s="37"/>
      <c r="T652" s="37"/>
      <c r="U652" s="37"/>
      <c r="V652" s="37"/>
      <c r="W652" s="96" t="str">
        <f>tbl_Assessment[[#This Row],[Ben Code]] &amp; "-"&amp;tbl_Assessment[[#This Row],[admin4Pcode]]&amp;"-" &amp; TEXT(COUNTIF(INDEX(tbl_Assessment[Ben Code],1):tbl_Assessment[[#This Row],[Ben Code]], tbl_Assessment[[#This Row],[Ben Code]]), "00")</f>
        <v>--00</v>
      </c>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49"/>
      <c r="AU652" s="41"/>
      <c r="AV652" s="37"/>
      <c r="AW652" s="37"/>
      <c r="AX652" s="37"/>
      <c r="AY652" s="37"/>
      <c r="AZ652" s="37"/>
      <c r="BA652" s="37"/>
      <c r="BB652" s="41"/>
      <c r="BC652" s="37"/>
      <c r="BD652" s="37"/>
      <c r="BE652" s="37"/>
      <c r="BF652" s="41"/>
      <c r="BG652" s="37"/>
      <c r="BH652" s="37"/>
      <c r="BI652" s="37"/>
      <c r="BJ652" s="41"/>
    </row>
    <row r="653" spans="2:62" ht="25.15" customHeight="1" x14ac:dyDescent="0.25">
      <c r="B653" s="49">
        <v>648</v>
      </c>
      <c r="C653" s="37"/>
      <c r="D653" s="87" t="str">
        <f>IF(tbl_Assessment[[#This Row],[Ben Code]]&lt;&gt;"",INDEX(tbl_Ben_Info[],MATCH(tbl_Assessment[[#This Row],[Ben Code]],tbl_Ben_Info[Ben Code],0),48),"")</f>
        <v/>
      </c>
      <c r="E653" s="116" t="str">
        <f>IF(tbl_Assessment[[#This Row],[Ben Code]]&lt;&gt;"",INDEX(tbl_Ben_Info[],MATCH(tbl_Assessment[[#This Row],[Ben Code]],tbl_Ben_Info[Ben Code],0),6),"")</f>
        <v/>
      </c>
      <c r="F653" s="113" t="str">
        <f>IF(tbl_Assessment[[#This Row],[Ben Code]]&lt;&gt;"",INDEX(tbl_Ben_Info[],MATCH(tbl_Assessment[[#This Row],[Ben Code]],tbl_Ben_Info[Ben Code],0),13),"")</f>
        <v/>
      </c>
      <c r="G653" s="49"/>
      <c r="H653" s="37"/>
      <c r="I653" s="37"/>
      <c r="J653" s="37"/>
      <c r="K653" s="37"/>
      <c r="L653" s="37"/>
      <c r="M653" s="59"/>
      <c r="N653" s="37"/>
      <c r="O653" s="37"/>
      <c r="P653" s="37"/>
      <c r="Q653" s="59"/>
      <c r="R653" s="49"/>
      <c r="S653" s="37"/>
      <c r="T653" s="37"/>
      <c r="U653" s="37"/>
      <c r="V653" s="37"/>
      <c r="W653" s="96" t="str">
        <f>tbl_Assessment[[#This Row],[Ben Code]] &amp; "-"&amp;tbl_Assessment[[#This Row],[admin4Pcode]]&amp;"-" &amp; TEXT(COUNTIF(INDEX(tbl_Assessment[Ben Code],1):tbl_Assessment[[#This Row],[Ben Code]], tbl_Assessment[[#This Row],[Ben Code]]), "00")</f>
        <v>--00</v>
      </c>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49"/>
      <c r="AU653" s="41"/>
      <c r="AV653" s="37"/>
      <c r="AW653" s="37"/>
      <c r="AX653" s="37"/>
      <c r="AY653" s="37"/>
      <c r="AZ653" s="37"/>
      <c r="BA653" s="37"/>
      <c r="BB653" s="41"/>
      <c r="BC653" s="37"/>
      <c r="BD653" s="37"/>
      <c r="BE653" s="37"/>
      <c r="BF653" s="41"/>
      <c r="BG653" s="37"/>
      <c r="BH653" s="37"/>
      <c r="BI653" s="37"/>
      <c r="BJ653" s="41"/>
    </row>
    <row r="654" spans="2:62" ht="25.15" customHeight="1" x14ac:dyDescent="0.25">
      <c r="B654" s="49">
        <v>649</v>
      </c>
      <c r="C654" s="37"/>
      <c r="D654" s="87" t="str">
        <f>IF(tbl_Assessment[[#This Row],[Ben Code]]&lt;&gt;"",INDEX(tbl_Ben_Info[],MATCH(tbl_Assessment[[#This Row],[Ben Code]],tbl_Ben_Info[Ben Code],0),48),"")</f>
        <v/>
      </c>
      <c r="E654" s="116" t="str">
        <f>IF(tbl_Assessment[[#This Row],[Ben Code]]&lt;&gt;"",INDEX(tbl_Ben_Info[],MATCH(tbl_Assessment[[#This Row],[Ben Code]],tbl_Ben_Info[Ben Code],0),6),"")</f>
        <v/>
      </c>
      <c r="F654" s="113" t="str">
        <f>IF(tbl_Assessment[[#This Row],[Ben Code]]&lt;&gt;"",INDEX(tbl_Ben_Info[],MATCH(tbl_Assessment[[#This Row],[Ben Code]],tbl_Ben_Info[Ben Code],0),13),"")</f>
        <v/>
      </c>
      <c r="G654" s="49"/>
      <c r="H654" s="37"/>
      <c r="I654" s="37"/>
      <c r="J654" s="37"/>
      <c r="K654" s="37"/>
      <c r="L654" s="37"/>
      <c r="M654" s="59"/>
      <c r="N654" s="37"/>
      <c r="O654" s="37"/>
      <c r="P654" s="37"/>
      <c r="Q654" s="59"/>
      <c r="R654" s="49"/>
      <c r="S654" s="37"/>
      <c r="T654" s="37"/>
      <c r="U654" s="37"/>
      <c r="V654" s="37"/>
      <c r="W654" s="96" t="str">
        <f>tbl_Assessment[[#This Row],[Ben Code]] &amp; "-"&amp;tbl_Assessment[[#This Row],[admin4Pcode]]&amp;"-" &amp; TEXT(COUNTIF(INDEX(tbl_Assessment[Ben Code],1):tbl_Assessment[[#This Row],[Ben Code]], tbl_Assessment[[#This Row],[Ben Code]]), "00")</f>
        <v>--00</v>
      </c>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49"/>
      <c r="AU654" s="41"/>
      <c r="AV654" s="37"/>
      <c r="AW654" s="37"/>
      <c r="AX654" s="37"/>
      <c r="AY654" s="37"/>
      <c r="AZ654" s="37"/>
      <c r="BA654" s="37"/>
      <c r="BB654" s="41"/>
      <c r="BC654" s="37"/>
      <c r="BD654" s="37"/>
      <c r="BE654" s="37"/>
      <c r="BF654" s="41"/>
      <c r="BG654" s="37"/>
      <c r="BH654" s="37"/>
      <c r="BI654" s="37"/>
      <c r="BJ654" s="41"/>
    </row>
    <row r="655" spans="2:62" ht="25.15" customHeight="1" x14ac:dyDescent="0.25">
      <c r="B655" s="49">
        <v>650</v>
      </c>
      <c r="C655" s="37"/>
      <c r="D655" s="87" t="str">
        <f>IF(tbl_Assessment[[#This Row],[Ben Code]]&lt;&gt;"",INDEX(tbl_Ben_Info[],MATCH(tbl_Assessment[[#This Row],[Ben Code]],tbl_Ben_Info[Ben Code],0),48),"")</f>
        <v/>
      </c>
      <c r="E655" s="116" t="str">
        <f>IF(tbl_Assessment[[#This Row],[Ben Code]]&lt;&gt;"",INDEX(tbl_Ben_Info[],MATCH(tbl_Assessment[[#This Row],[Ben Code]],tbl_Ben_Info[Ben Code],0),6),"")</f>
        <v/>
      </c>
      <c r="F655" s="113" t="str">
        <f>IF(tbl_Assessment[[#This Row],[Ben Code]]&lt;&gt;"",INDEX(tbl_Ben_Info[],MATCH(tbl_Assessment[[#This Row],[Ben Code]],tbl_Ben_Info[Ben Code],0),13),"")</f>
        <v/>
      </c>
      <c r="G655" s="49"/>
      <c r="H655" s="37"/>
      <c r="I655" s="37"/>
      <c r="J655" s="37"/>
      <c r="K655" s="37"/>
      <c r="L655" s="37"/>
      <c r="M655" s="59"/>
      <c r="N655" s="37"/>
      <c r="O655" s="37"/>
      <c r="P655" s="37"/>
      <c r="Q655" s="59"/>
      <c r="R655" s="49"/>
      <c r="S655" s="37"/>
      <c r="T655" s="37"/>
      <c r="U655" s="37"/>
      <c r="V655" s="37"/>
      <c r="W655" s="96" t="str">
        <f>tbl_Assessment[[#This Row],[Ben Code]] &amp; "-"&amp;tbl_Assessment[[#This Row],[admin4Pcode]]&amp;"-" &amp; TEXT(COUNTIF(INDEX(tbl_Assessment[Ben Code],1):tbl_Assessment[[#This Row],[Ben Code]], tbl_Assessment[[#This Row],[Ben Code]]), "00")</f>
        <v>--00</v>
      </c>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49"/>
      <c r="AU655" s="41"/>
      <c r="AV655" s="37"/>
      <c r="AW655" s="37"/>
      <c r="AX655" s="37"/>
      <c r="AY655" s="37"/>
      <c r="AZ655" s="37"/>
      <c r="BA655" s="37"/>
      <c r="BB655" s="41"/>
      <c r="BC655" s="37"/>
      <c r="BD655" s="37"/>
      <c r="BE655" s="37"/>
      <c r="BF655" s="41"/>
      <c r="BG655" s="37"/>
      <c r="BH655" s="37"/>
      <c r="BI655" s="37"/>
      <c r="BJ655" s="41"/>
    </row>
    <row r="656" spans="2:62" ht="25.15" customHeight="1" x14ac:dyDescent="0.25">
      <c r="B656" s="49">
        <v>651</v>
      </c>
      <c r="C656" s="37"/>
      <c r="D656" s="87" t="str">
        <f>IF(tbl_Assessment[[#This Row],[Ben Code]]&lt;&gt;"",INDEX(tbl_Ben_Info[],MATCH(tbl_Assessment[[#This Row],[Ben Code]],tbl_Ben_Info[Ben Code],0),48),"")</f>
        <v/>
      </c>
      <c r="E656" s="116" t="str">
        <f>IF(tbl_Assessment[[#This Row],[Ben Code]]&lt;&gt;"",INDEX(tbl_Ben_Info[],MATCH(tbl_Assessment[[#This Row],[Ben Code]],tbl_Ben_Info[Ben Code],0),6),"")</f>
        <v/>
      </c>
      <c r="F656" s="113" t="str">
        <f>IF(tbl_Assessment[[#This Row],[Ben Code]]&lt;&gt;"",INDEX(tbl_Ben_Info[],MATCH(tbl_Assessment[[#This Row],[Ben Code]],tbl_Ben_Info[Ben Code],0),13),"")</f>
        <v/>
      </c>
      <c r="G656" s="49"/>
      <c r="H656" s="37"/>
      <c r="I656" s="37"/>
      <c r="J656" s="37"/>
      <c r="K656" s="37"/>
      <c r="L656" s="37"/>
      <c r="M656" s="59"/>
      <c r="N656" s="37"/>
      <c r="O656" s="37"/>
      <c r="P656" s="37"/>
      <c r="Q656" s="59"/>
      <c r="R656" s="49"/>
      <c r="S656" s="37"/>
      <c r="T656" s="37"/>
      <c r="U656" s="37"/>
      <c r="V656" s="37"/>
      <c r="W656" s="96" t="str">
        <f>tbl_Assessment[[#This Row],[Ben Code]] &amp; "-"&amp;tbl_Assessment[[#This Row],[admin4Pcode]]&amp;"-" &amp; TEXT(COUNTIF(INDEX(tbl_Assessment[Ben Code],1):tbl_Assessment[[#This Row],[Ben Code]], tbl_Assessment[[#This Row],[Ben Code]]), "00")</f>
        <v>--00</v>
      </c>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49"/>
      <c r="AU656" s="41"/>
      <c r="AV656" s="37"/>
      <c r="AW656" s="37"/>
      <c r="AX656" s="37"/>
      <c r="AY656" s="37"/>
      <c r="AZ656" s="37"/>
      <c r="BA656" s="37"/>
      <c r="BB656" s="41"/>
      <c r="BC656" s="37"/>
      <c r="BD656" s="37"/>
      <c r="BE656" s="37"/>
      <c r="BF656" s="41"/>
      <c r="BG656" s="37"/>
      <c r="BH656" s="37"/>
      <c r="BI656" s="37"/>
      <c r="BJ656" s="41"/>
    </row>
    <row r="657" spans="2:62" ht="25.15" customHeight="1" x14ac:dyDescent="0.25">
      <c r="B657" s="49">
        <v>652</v>
      </c>
      <c r="C657" s="37"/>
      <c r="D657" s="87" t="str">
        <f>IF(tbl_Assessment[[#This Row],[Ben Code]]&lt;&gt;"",INDEX(tbl_Ben_Info[],MATCH(tbl_Assessment[[#This Row],[Ben Code]],tbl_Ben_Info[Ben Code],0),48),"")</f>
        <v/>
      </c>
      <c r="E657" s="116" t="str">
        <f>IF(tbl_Assessment[[#This Row],[Ben Code]]&lt;&gt;"",INDEX(tbl_Ben_Info[],MATCH(tbl_Assessment[[#This Row],[Ben Code]],tbl_Ben_Info[Ben Code],0),6),"")</f>
        <v/>
      </c>
      <c r="F657" s="113" t="str">
        <f>IF(tbl_Assessment[[#This Row],[Ben Code]]&lt;&gt;"",INDEX(tbl_Ben_Info[],MATCH(tbl_Assessment[[#This Row],[Ben Code]],tbl_Ben_Info[Ben Code],0),13),"")</f>
        <v/>
      </c>
      <c r="G657" s="49"/>
      <c r="H657" s="37"/>
      <c r="I657" s="37"/>
      <c r="J657" s="37"/>
      <c r="K657" s="37"/>
      <c r="L657" s="37"/>
      <c r="M657" s="59"/>
      <c r="N657" s="37"/>
      <c r="O657" s="37"/>
      <c r="P657" s="37"/>
      <c r="Q657" s="59"/>
      <c r="R657" s="49"/>
      <c r="S657" s="37"/>
      <c r="T657" s="37"/>
      <c r="U657" s="37"/>
      <c r="V657" s="37"/>
      <c r="W657" s="96" t="str">
        <f>tbl_Assessment[[#This Row],[Ben Code]] &amp; "-"&amp;tbl_Assessment[[#This Row],[admin4Pcode]]&amp;"-" &amp; TEXT(COUNTIF(INDEX(tbl_Assessment[Ben Code],1):tbl_Assessment[[#This Row],[Ben Code]], tbl_Assessment[[#This Row],[Ben Code]]), "00")</f>
        <v>--00</v>
      </c>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49"/>
      <c r="AU657" s="41"/>
      <c r="AV657" s="37"/>
      <c r="AW657" s="37"/>
      <c r="AX657" s="37"/>
      <c r="AY657" s="37"/>
      <c r="AZ657" s="37"/>
      <c r="BA657" s="37"/>
      <c r="BB657" s="41"/>
      <c r="BC657" s="37"/>
      <c r="BD657" s="37"/>
      <c r="BE657" s="37"/>
      <c r="BF657" s="41"/>
      <c r="BG657" s="37"/>
      <c r="BH657" s="37"/>
      <c r="BI657" s="37"/>
      <c r="BJ657" s="41"/>
    </row>
    <row r="658" spans="2:62" ht="25.15" customHeight="1" x14ac:dyDescent="0.25">
      <c r="B658" s="49">
        <v>653</v>
      </c>
      <c r="C658" s="37"/>
      <c r="D658" s="87" t="str">
        <f>IF(tbl_Assessment[[#This Row],[Ben Code]]&lt;&gt;"",INDEX(tbl_Ben_Info[],MATCH(tbl_Assessment[[#This Row],[Ben Code]],tbl_Ben_Info[Ben Code],0),48),"")</f>
        <v/>
      </c>
      <c r="E658" s="116" t="str">
        <f>IF(tbl_Assessment[[#This Row],[Ben Code]]&lt;&gt;"",INDEX(tbl_Ben_Info[],MATCH(tbl_Assessment[[#This Row],[Ben Code]],tbl_Ben_Info[Ben Code],0),6),"")</f>
        <v/>
      </c>
      <c r="F658" s="113" t="str">
        <f>IF(tbl_Assessment[[#This Row],[Ben Code]]&lt;&gt;"",INDEX(tbl_Ben_Info[],MATCH(tbl_Assessment[[#This Row],[Ben Code]],tbl_Ben_Info[Ben Code],0),13),"")</f>
        <v/>
      </c>
      <c r="G658" s="49"/>
      <c r="H658" s="37"/>
      <c r="I658" s="37"/>
      <c r="J658" s="37"/>
      <c r="K658" s="37"/>
      <c r="L658" s="37"/>
      <c r="M658" s="59"/>
      <c r="N658" s="37"/>
      <c r="O658" s="37"/>
      <c r="P658" s="37"/>
      <c r="Q658" s="59"/>
      <c r="R658" s="49"/>
      <c r="S658" s="37"/>
      <c r="T658" s="37"/>
      <c r="U658" s="37"/>
      <c r="V658" s="37"/>
      <c r="W658" s="96" t="str">
        <f>tbl_Assessment[[#This Row],[Ben Code]] &amp; "-"&amp;tbl_Assessment[[#This Row],[admin4Pcode]]&amp;"-" &amp; TEXT(COUNTIF(INDEX(tbl_Assessment[Ben Code],1):tbl_Assessment[[#This Row],[Ben Code]], tbl_Assessment[[#This Row],[Ben Code]]), "00")</f>
        <v>--00</v>
      </c>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49"/>
      <c r="AU658" s="41"/>
      <c r="AV658" s="37"/>
      <c r="AW658" s="37"/>
      <c r="AX658" s="37"/>
      <c r="AY658" s="37"/>
      <c r="AZ658" s="37"/>
      <c r="BA658" s="37"/>
      <c r="BB658" s="41"/>
      <c r="BC658" s="37"/>
      <c r="BD658" s="37"/>
      <c r="BE658" s="37"/>
      <c r="BF658" s="41"/>
      <c r="BG658" s="37"/>
      <c r="BH658" s="37"/>
      <c r="BI658" s="37"/>
      <c r="BJ658" s="41"/>
    </row>
    <row r="659" spans="2:62" ht="25.15" customHeight="1" x14ac:dyDescent="0.25">
      <c r="B659" s="49">
        <v>654</v>
      </c>
      <c r="C659" s="37"/>
      <c r="D659" s="87" t="str">
        <f>IF(tbl_Assessment[[#This Row],[Ben Code]]&lt;&gt;"",INDEX(tbl_Ben_Info[],MATCH(tbl_Assessment[[#This Row],[Ben Code]],tbl_Ben_Info[Ben Code],0),48),"")</f>
        <v/>
      </c>
      <c r="E659" s="116" t="str">
        <f>IF(tbl_Assessment[[#This Row],[Ben Code]]&lt;&gt;"",INDEX(tbl_Ben_Info[],MATCH(tbl_Assessment[[#This Row],[Ben Code]],tbl_Ben_Info[Ben Code],0),6),"")</f>
        <v/>
      </c>
      <c r="F659" s="113" t="str">
        <f>IF(tbl_Assessment[[#This Row],[Ben Code]]&lt;&gt;"",INDEX(tbl_Ben_Info[],MATCH(tbl_Assessment[[#This Row],[Ben Code]],tbl_Ben_Info[Ben Code],0),13),"")</f>
        <v/>
      </c>
      <c r="G659" s="49"/>
      <c r="H659" s="37"/>
      <c r="I659" s="37"/>
      <c r="J659" s="37"/>
      <c r="K659" s="37"/>
      <c r="L659" s="37"/>
      <c r="M659" s="59"/>
      <c r="N659" s="37"/>
      <c r="O659" s="37"/>
      <c r="P659" s="37"/>
      <c r="Q659" s="59"/>
      <c r="R659" s="49"/>
      <c r="S659" s="37"/>
      <c r="T659" s="37"/>
      <c r="U659" s="37"/>
      <c r="V659" s="37"/>
      <c r="W659" s="96" t="str">
        <f>tbl_Assessment[[#This Row],[Ben Code]] &amp; "-"&amp;tbl_Assessment[[#This Row],[admin4Pcode]]&amp;"-" &amp; TEXT(COUNTIF(INDEX(tbl_Assessment[Ben Code],1):tbl_Assessment[[#This Row],[Ben Code]], tbl_Assessment[[#This Row],[Ben Code]]), "00")</f>
        <v>--00</v>
      </c>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49"/>
      <c r="AU659" s="41"/>
      <c r="AV659" s="37"/>
      <c r="AW659" s="37"/>
      <c r="AX659" s="37"/>
      <c r="AY659" s="37"/>
      <c r="AZ659" s="37"/>
      <c r="BA659" s="37"/>
      <c r="BB659" s="41"/>
      <c r="BC659" s="37"/>
      <c r="BD659" s="37"/>
      <c r="BE659" s="37"/>
      <c r="BF659" s="41"/>
      <c r="BG659" s="37"/>
      <c r="BH659" s="37"/>
      <c r="BI659" s="37"/>
      <c r="BJ659" s="41"/>
    </row>
    <row r="660" spans="2:62" ht="25.15" customHeight="1" x14ac:dyDescent="0.25">
      <c r="B660" s="49">
        <v>655</v>
      </c>
      <c r="C660" s="37"/>
      <c r="D660" s="87" t="str">
        <f>IF(tbl_Assessment[[#This Row],[Ben Code]]&lt;&gt;"",INDEX(tbl_Ben_Info[],MATCH(tbl_Assessment[[#This Row],[Ben Code]],tbl_Ben_Info[Ben Code],0),48),"")</f>
        <v/>
      </c>
      <c r="E660" s="116" t="str">
        <f>IF(tbl_Assessment[[#This Row],[Ben Code]]&lt;&gt;"",INDEX(tbl_Ben_Info[],MATCH(tbl_Assessment[[#This Row],[Ben Code]],tbl_Ben_Info[Ben Code],0),6),"")</f>
        <v/>
      </c>
      <c r="F660" s="113" t="str">
        <f>IF(tbl_Assessment[[#This Row],[Ben Code]]&lt;&gt;"",INDEX(tbl_Ben_Info[],MATCH(tbl_Assessment[[#This Row],[Ben Code]],tbl_Ben_Info[Ben Code],0),13),"")</f>
        <v/>
      </c>
      <c r="G660" s="49"/>
      <c r="H660" s="37"/>
      <c r="I660" s="37"/>
      <c r="J660" s="37"/>
      <c r="K660" s="37"/>
      <c r="L660" s="37"/>
      <c r="M660" s="59"/>
      <c r="N660" s="37"/>
      <c r="O660" s="37"/>
      <c r="P660" s="37"/>
      <c r="Q660" s="59"/>
      <c r="R660" s="49"/>
      <c r="S660" s="37"/>
      <c r="T660" s="37"/>
      <c r="U660" s="37"/>
      <c r="V660" s="37"/>
      <c r="W660" s="96" t="str">
        <f>tbl_Assessment[[#This Row],[Ben Code]] &amp; "-"&amp;tbl_Assessment[[#This Row],[admin4Pcode]]&amp;"-" &amp; TEXT(COUNTIF(INDEX(tbl_Assessment[Ben Code],1):tbl_Assessment[[#This Row],[Ben Code]], tbl_Assessment[[#This Row],[Ben Code]]), "00")</f>
        <v>--00</v>
      </c>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49"/>
      <c r="AU660" s="41"/>
      <c r="AV660" s="37"/>
      <c r="AW660" s="37"/>
      <c r="AX660" s="37"/>
      <c r="AY660" s="37"/>
      <c r="AZ660" s="37"/>
      <c r="BA660" s="37"/>
      <c r="BB660" s="41"/>
      <c r="BC660" s="37"/>
      <c r="BD660" s="37"/>
      <c r="BE660" s="37"/>
      <c r="BF660" s="41"/>
      <c r="BG660" s="37"/>
      <c r="BH660" s="37"/>
      <c r="BI660" s="37"/>
      <c r="BJ660" s="41"/>
    </row>
    <row r="661" spans="2:62" ht="25.15" customHeight="1" x14ac:dyDescent="0.25">
      <c r="B661" s="49">
        <v>656</v>
      </c>
      <c r="C661" s="37"/>
      <c r="D661" s="87" t="str">
        <f>IF(tbl_Assessment[[#This Row],[Ben Code]]&lt;&gt;"",INDEX(tbl_Ben_Info[],MATCH(tbl_Assessment[[#This Row],[Ben Code]],tbl_Ben_Info[Ben Code],0),48),"")</f>
        <v/>
      </c>
      <c r="E661" s="116" t="str">
        <f>IF(tbl_Assessment[[#This Row],[Ben Code]]&lt;&gt;"",INDEX(tbl_Ben_Info[],MATCH(tbl_Assessment[[#This Row],[Ben Code]],tbl_Ben_Info[Ben Code],0),6),"")</f>
        <v/>
      </c>
      <c r="F661" s="113" t="str">
        <f>IF(tbl_Assessment[[#This Row],[Ben Code]]&lt;&gt;"",INDEX(tbl_Ben_Info[],MATCH(tbl_Assessment[[#This Row],[Ben Code]],tbl_Ben_Info[Ben Code],0),13),"")</f>
        <v/>
      </c>
      <c r="G661" s="49"/>
      <c r="H661" s="37"/>
      <c r="I661" s="37"/>
      <c r="J661" s="37"/>
      <c r="K661" s="37"/>
      <c r="L661" s="37"/>
      <c r="M661" s="59"/>
      <c r="N661" s="37"/>
      <c r="O661" s="37"/>
      <c r="P661" s="37"/>
      <c r="Q661" s="59"/>
      <c r="R661" s="49"/>
      <c r="S661" s="37"/>
      <c r="T661" s="37"/>
      <c r="U661" s="37"/>
      <c r="V661" s="37"/>
      <c r="W661" s="96" t="str">
        <f>tbl_Assessment[[#This Row],[Ben Code]] &amp; "-"&amp;tbl_Assessment[[#This Row],[admin4Pcode]]&amp;"-" &amp; TEXT(COUNTIF(INDEX(tbl_Assessment[Ben Code],1):tbl_Assessment[[#This Row],[Ben Code]], tbl_Assessment[[#This Row],[Ben Code]]), "00")</f>
        <v>--00</v>
      </c>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49"/>
      <c r="AU661" s="41"/>
      <c r="AV661" s="37"/>
      <c r="AW661" s="37"/>
      <c r="AX661" s="37"/>
      <c r="AY661" s="37"/>
      <c r="AZ661" s="37"/>
      <c r="BA661" s="37"/>
      <c r="BB661" s="41"/>
      <c r="BC661" s="37"/>
      <c r="BD661" s="37"/>
      <c r="BE661" s="37"/>
      <c r="BF661" s="41"/>
      <c r="BG661" s="37"/>
      <c r="BH661" s="37"/>
      <c r="BI661" s="37"/>
      <c r="BJ661" s="41"/>
    </row>
    <row r="662" spans="2:62" ht="25.15" customHeight="1" x14ac:dyDescent="0.25">
      <c r="B662" s="49">
        <v>657</v>
      </c>
      <c r="C662" s="37"/>
      <c r="D662" s="87" t="str">
        <f>IF(tbl_Assessment[[#This Row],[Ben Code]]&lt;&gt;"",INDEX(tbl_Ben_Info[],MATCH(tbl_Assessment[[#This Row],[Ben Code]],tbl_Ben_Info[Ben Code],0),48),"")</f>
        <v/>
      </c>
      <c r="E662" s="116" t="str">
        <f>IF(tbl_Assessment[[#This Row],[Ben Code]]&lt;&gt;"",INDEX(tbl_Ben_Info[],MATCH(tbl_Assessment[[#This Row],[Ben Code]],tbl_Ben_Info[Ben Code],0),6),"")</f>
        <v/>
      </c>
      <c r="F662" s="113" t="str">
        <f>IF(tbl_Assessment[[#This Row],[Ben Code]]&lt;&gt;"",INDEX(tbl_Ben_Info[],MATCH(tbl_Assessment[[#This Row],[Ben Code]],tbl_Ben_Info[Ben Code],0),13),"")</f>
        <v/>
      </c>
      <c r="G662" s="49"/>
      <c r="H662" s="37"/>
      <c r="I662" s="37"/>
      <c r="J662" s="37"/>
      <c r="K662" s="37"/>
      <c r="L662" s="37"/>
      <c r="M662" s="59"/>
      <c r="N662" s="37"/>
      <c r="O662" s="37"/>
      <c r="P662" s="37"/>
      <c r="Q662" s="59"/>
      <c r="R662" s="49"/>
      <c r="S662" s="37"/>
      <c r="T662" s="37"/>
      <c r="U662" s="37"/>
      <c r="V662" s="37"/>
      <c r="W662" s="96" t="str">
        <f>tbl_Assessment[[#This Row],[Ben Code]] &amp; "-"&amp;tbl_Assessment[[#This Row],[admin4Pcode]]&amp;"-" &amp; TEXT(COUNTIF(INDEX(tbl_Assessment[Ben Code],1):tbl_Assessment[[#This Row],[Ben Code]], tbl_Assessment[[#This Row],[Ben Code]]), "00")</f>
        <v>--00</v>
      </c>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49"/>
      <c r="AU662" s="41"/>
      <c r="AV662" s="37"/>
      <c r="AW662" s="37"/>
      <c r="AX662" s="37"/>
      <c r="AY662" s="37"/>
      <c r="AZ662" s="37"/>
      <c r="BA662" s="37"/>
      <c r="BB662" s="41"/>
      <c r="BC662" s="37"/>
      <c r="BD662" s="37"/>
      <c r="BE662" s="37"/>
      <c r="BF662" s="41"/>
      <c r="BG662" s="37"/>
      <c r="BH662" s="37"/>
      <c r="BI662" s="37"/>
      <c r="BJ662" s="41"/>
    </row>
    <row r="663" spans="2:62" ht="25.15" customHeight="1" x14ac:dyDescent="0.25">
      <c r="B663" s="49">
        <v>658</v>
      </c>
      <c r="C663" s="37"/>
      <c r="D663" s="87" t="str">
        <f>IF(tbl_Assessment[[#This Row],[Ben Code]]&lt;&gt;"",INDEX(tbl_Ben_Info[],MATCH(tbl_Assessment[[#This Row],[Ben Code]],tbl_Ben_Info[Ben Code],0),48),"")</f>
        <v/>
      </c>
      <c r="E663" s="116" t="str">
        <f>IF(tbl_Assessment[[#This Row],[Ben Code]]&lt;&gt;"",INDEX(tbl_Ben_Info[],MATCH(tbl_Assessment[[#This Row],[Ben Code]],tbl_Ben_Info[Ben Code],0),6),"")</f>
        <v/>
      </c>
      <c r="F663" s="113" t="str">
        <f>IF(tbl_Assessment[[#This Row],[Ben Code]]&lt;&gt;"",INDEX(tbl_Ben_Info[],MATCH(tbl_Assessment[[#This Row],[Ben Code]],tbl_Ben_Info[Ben Code],0),13),"")</f>
        <v/>
      </c>
      <c r="G663" s="49"/>
      <c r="H663" s="37"/>
      <c r="I663" s="37"/>
      <c r="J663" s="37"/>
      <c r="K663" s="37"/>
      <c r="L663" s="37"/>
      <c r="M663" s="59"/>
      <c r="N663" s="37"/>
      <c r="O663" s="37"/>
      <c r="P663" s="37"/>
      <c r="Q663" s="59"/>
      <c r="R663" s="49"/>
      <c r="S663" s="37"/>
      <c r="T663" s="37"/>
      <c r="U663" s="37"/>
      <c r="V663" s="37"/>
      <c r="W663" s="96" t="str">
        <f>tbl_Assessment[[#This Row],[Ben Code]] &amp; "-"&amp;tbl_Assessment[[#This Row],[admin4Pcode]]&amp;"-" &amp; TEXT(COUNTIF(INDEX(tbl_Assessment[Ben Code],1):tbl_Assessment[[#This Row],[Ben Code]], tbl_Assessment[[#This Row],[Ben Code]]), "00")</f>
        <v>--00</v>
      </c>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49"/>
      <c r="AU663" s="41"/>
      <c r="AV663" s="37"/>
      <c r="AW663" s="37"/>
      <c r="AX663" s="37"/>
      <c r="AY663" s="37"/>
      <c r="AZ663" s="37"/>
      <c r="BA663" s="37"/>
      <c r="BB663" s="41"/>
      <c r="BC663" s="37"/>
      <c r="BD663" s="37"/>
      <c r="BE663" s="37"/>
      <c r="BF663" s="41"/>
      <c r="BG663" s="37"/>
      <c r="BH663" s="37"/>
      <c r="BI663" s="37"/>
      <c r="BJ663" s="41"/>
    </row>
    <row r="664" spans="2:62" ht="25.15" customHeight="1" x14ac:dyDescent="0.25">
      <c r="B664" s="49">
        <v>659</v>
      </c>
      <c r="C664" s="37"/>
      <c r="D664" s="87" t="str">
        <f>IF(tbl_Assessment[[#This Row],[Ben Code]]&lt;&gt;"",INDEX(tbl_Ben_Info[],MATCH(tbl_Assessment[[#This Row],[Ben Code]],tbl_Ben_Info[Ben Code],0),48),"")</f>
        <v/>
      </c>
      <c r="E664" s="116" t="str">
        <f>IF(tbl_Assessment[[#This Row],[Ben Code]]&lt;&gt;"",INDEX(tbl_Ben_Info[],MATCH(tbl_Assessment[[#This Row],[Ben Code]],tbl_Ben_Info[Ben Code],0),6),"")</f>
        <v/>
      </c>
      <c r="F664" s="113" t="str">
        <f>IF(tbl_Assessment[[#This Row],[Ben Code]]&lt;&gt;"",INDEX(tbl_Ben_Info[],MATCH(tbl_Assessment[[#This Row],[Ben Code]],tbl_Ben_Info[Ben Code],0),13),"")</f>
        <v/>
      </c>
      <c r="G664" s="49"/>
      <c r="H664" s="37"/>
      <c r="I664" s="37"/>
      <c r="J664" s="37"/>
      <c r="K664" s="37"/>
      <c r="L664" s="37"/>
      <c r="M664" s="59"/>
      <c r="N664" s="37"/>
      <c r="O664" s="37"/>
      <c r="P664" s="37"/>
      <c r="Q664" s="59"/>
      <c r="R664" s="49"/>
      <c r="S664" s="37"/>
      <c r="T664" s="37"/>
      <c r="U664" s="37"/>
      <c r="V664" s="37"/>
      <c r="W664" s="96" t="str">
        <f>tbl_Assessment[[#This Row],[Ben Code]] &amp; "-"&amp;tbl_Assessment[[#This Row],[admin4Pcode]]&amp;"-" &amp; TEXT(COUNTIF(INDEX(tbl_Assessment[Ben Code],1):tbl_Assessment[[#This Row],[Ben Code]], tbl_Assessment[[#This Row],[Ben Code]]), "00")</f>
        <v>--00</v>
      </c>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49"/>
      <c r="AU664" s="41"/>
      <c r="AV664" s="37"/>
      <c r="AW664" s="37"/>
      <c r="AX664" s="37"/>
      <c r="AY664" s="37"/>
      <c r="AZ664" s="37"/>
      <c r="BA664" s="37"/>
      <c r="BB664" s="41"/>
      <c r="BC664" s="37"/>
      <c r="BD664" s="37"/>
      <c r="BE664" s="37"/>
      <c r="BF664" s="41"/>
      <c r="BG664" s="37"/>
      <c r="BH664" s="37"/>
      <c r="BI664" s="37"/>
      <c r="BJ664" s="41"/>
    </row>
    <row r="665" spans="2:62" ht="25.15" customHeight="1" x14ac:dyDescent="0.25">
      <c r="B665" s="49">
        <v>660</v>
      </c>
      <c r="C665" s="37"/>
      <c r="D665" s="87" t="str">
        <f>IF(tbl_Assessment[[#This Row],[Ben Code]]&lt;&gt;"",INDEX(tbl_Ben_Info[],MATCH(tbl_Assessment[[#This Row],[Ben Code]],tbl_Ben_Info[Ben Code],0),48),"")</f>
        <v/>
      </c>
      <c r="E665" s="116" t="str">
        <f>IF(tbl_Assessment[[#This Row],[Ben Code]]&lt;&gt;"",INDEX(tbl_Ben_Info[],MATCH(tbl_Assessment[[#This Row],[Ben Code]],tbl_Ben_Info[Ben Code],0),6),"")</f>
        <v/>
      </c>
      <c r="F665" s="113" t="str">
        <f>IF(tbl_Assessment[[#This Row],[Ben Code]]&lt;&gt;"",INDEX(tbl_Ben_Info[],MATCH(tbl_Assessment[[#This Row],[Ben Code]],tbl_Ben_Info[Ben Code],0),13),"")</f>
        <v/>
      </c>
      <c r="G665" s="49"/>
      <c r="H665" s="37"/>
      <c r="I665" s="37"/>
      <c r="J665" s="37"/>
      <c r="K665" s="37"/>
      <c r="L665" s="37"/>
      <c r="M665" s="59"/>
      <c r="N665" s="37"/>
      <c r="O665" s="37"/>
      <c r="P665" s="37"/>
      <c r="Q665" s="59"/>
      <c r="R665" s="49"/>
      <c r="S665" s="37"/>
      <c r="T665" s="37"/>
      <c r="U665" s="37"/>
      <c r="V665" s="37"/>
      <c r="W665" s="96" t="str">
        <f>tbl_Assessment[[#This Row],[Ben Code]] &amp; "-"&amp;tbl_Assessment[[#This Row],[admin4Pcode]]&amp;"-" &amp; TEXT(COUNTIF(INDEX(tbl_Assessment[Ben Code],1):tbl_Assessment[[#This Row],[Ben Code]], tbl_Assessment[[#This Row],[Ben Code]]), "00")</f>
        <v>--00</v>
      </c>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49"/>
      <c r="AU665" s="41"/>
      <c r="AV665" s="37"/>
      <c r="AW665" s="37"/>
      <c r="AX665" s="37"/>
      <c r="AY665" s="37"/>
      <c r="AZ665" s="37"/>
      <c r="BA665" s="37"/>
      <c r="BB665" s="41"/>
      <c r="BC665" s="37"/>
      <c r="BD665" s="37"/>
      <c r="BE665" s="37"/>
      <c r="BF665" s="41"/>
      <c r="BG665" s="37"/>
      <c r="BH665" s="37"/>
      <c r="BI665" s="37"/>
      <c r="BJ665" s="41"/>
    </row>
    <row r="666" spans="2:62" ht="25.15" customHeight="1" x14ac:dyDescent="0.25">
      <c r="B666" s="49">
        <v>661</v>
      </c>
      <c r="C666" s="37"/>
      <c r="D666" s="87" t="str">
        <f>IF(tbl_Assessment[[#This Row],[Ben Code]]&lt;&gt;"",INDEX(tbl_Ben_Info[],MATCH(tbl_Assessment[[#This Row],[Ben Code]],tbl_Ben_Info[Ben Code],0),48),"")</f>
        <v/>
      </c>
      <c r="E666" s="116" t="str">
        <f>IF(tbl_Assessment[[#This Row],[Ben Code]]&lt;&gt;"",INDEX(tbl_Ben_Info[],MATCH(tbl_Assessment[[#This Row],[Ben Code]],tbl_Ben_Info[Ben Code],0),6),"")</f>
        <v/>
      </c>
      <c r="F666" s="113" t="str">
        <f>IF(tbl_Assessment[[#This Row],[Ben Code]]&lt;&gt;"",INDEX(tbl_Ben_Info[],MATCH(tbl_Assessment[[#This Row],[Ben Code]],tbl_Ben_Info[Ben Code],0),13),"")</f>
        <v/>
      </c>
      <c r="G666" s="49"/>
      <c r="H666" s="37"/>
      <c r="I666" s="37"/>
      <c r="J666" s="37"/>
      <c r="K666" s="37"/>
      <c r="L666" s="37"/>
      <c r="M666" s="59"/>
      <c r="N666" s="37"/>
      <c r="O666" s="37"/>
      <c r="P666" s="37"/>
      <c r="Q666" s="59"/>
      <c r="R666" s="49"/>
      <c r="S666" s="37"/>
      <c r="T666" s="37"/>
      <c r="U666" s="37"/>
      <c r="V666" s="37"/>
      <c r="W666" s="96" t="str">
        <f>tbl_Assessment[[#This Row],[Ben Code]] &amp; "-"&amp;tbl_Assessment[[#This Row],[admin4Pcode]]&amp;"-" &amp; TEXT(COUNTIF(INDEX(tbl_Assessment[Ben Code],1):tbl_Assessment[[#This Row],[Ben Code]], tbl_Assessment[[#This Row],[Ben Code]]), "00")</f>
        <v>--00</v>
      </c>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49"/>
      <c r="AU666" s="41"/>
      <c r="AV666" s="37"/>
      <c r="AW666" s="37"/>
      <c r="AX666" s="37"/>
      <c r="AY666" s="37"/>
      <c r="AZ666" s="37"/>
      <c r="BA666" s="37"/>
      <c r="BB666" s="41"/>
      <c r="BC666" s="37"/>
      <c r="BD666" s="37"/>
      <c r="BE666" s="37"/>
      <c r="BF666" s="41"/>
      <c r="BG666" s="37"/>
      <c r="BH666" s="37"/>
      <c r="BI666" s="37"/>
      <c r="BJ666" s="41"/>
    </row>
    <row r="667" spans="2:62" ht="25.15" customHeight="1" x14ac:dyDescent="0.25">
      <c r="B667" s="49">
        <v>662</v>
      </c>
      <c r="C667" s="37"/>
      <c r="D667" s="87" t="str">
        <f>IF(tbl_Assessment[[#This Row],[Ben Code]]&lt;&gt;"",INDEX(tbl_Ben_Info[],MATCH(tbl_Assessment[[#This Row],[Ben Code]],tbl_Ben_Info[Ben Code],0),48),"")</f>
        <v/>
      </c>
      <c r="E667" s="116" t="str">
        <f>IF(tbl_Assessment[[#This Row],[Ben Code]]&lt;&gt;"",INDEX(tbl_Ben_Info[],MATCH(tbl_Assessment[[#This Row],[Ben Code]],tbl_Ben_Info[Ben Code],0),6),"")</f>
        <v/>
      </c>
      <c r="F667" s="113" t="str">
        <f>IF(tbl_Assessment[[#This Row],[Ben Code]]&lt;&gt;"",INDEX(tbl_Ben_Info[],MATCH(tbl_Assessment[[#This Row],[Ben Code]],tbl_Ben_Info[Ben Code],0),13),"")</f>
        <v/>
      </c>
      <c r="G667" s="49"/>
      <c r="H667" s="37"/>
      <c r="I667" s="37"/>
      <c r="J667" s="37"/>
      <c r="K667" s="37"/>
      <c r="L667" s="37"/>
      <c r="M667" s="59"/>
      <c r="N667" s="37"/>
      <c r="O667" s="37"/>
      <c r="P667" s="37"/>
      <c r="Q667" s="59"/>
      <c r="R667" s="49"/>
      <c r="S667" s="37"/>
      <c r="T667" s="37"/>
      <c r="U667" s="37"/>
      <c r="V667" s="37"/>
      <c r="W667" s="96" t="str">
        <f>tbl_Assessment[[#This Row],[Ben Code]] &amp; "-"&amp;tbl_Assessment[[#This Row],[admin4Pcode]]&amp;"-" &amp; TEXT(COUNTIF(INDEX(tbl_Assessment[Ben Code],1):tbl_Assessment[[#This Row],[Ben Code]], tbl_Assessment[[#This Row],[Ben Code]]), "00")</f>
        <v>--00</v>
      </c>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49"/>
      <c r="AU667" s="41"/>
      <c r="AV667" s="37"/>
      <c r="AW667" s="37"/>
      <c r="AX667" s="37"/>
      <c r="AY667" s="37"/>
      <c r="AZ667" s="37"/>
      <c r="BA667" s="37"/>
      <c r="BB667" s="41"/>
      <c r="BC667" s="37"/>
      <c r="BD667" s="37"/>
      <c r="BE667" s="37"/>
      <c r="BF667" s="41"/>
      <c r="BG667" s="37"/>
      <c r="BH667" s="37"/>
      <c r="BI667" s="37"/>
      <c r="BJ667" s="41"/>
    </row>
    <row r="668" spans="2:62" ht="25.15" customHeight="1" x14ac:dyDescent="0.25">
      <c r="B668" s="49">
        <v>663</v>
      </c>
      <c r="C668" s="37"/>
      <c r="D668" s="87" t="str">
        <f>IF(tbl_Assessment[[#This Row],[Ben Code]]&lt;&gt;"",INDEX(tbl_Ben_Info[],MATCH(tbl_Assessment[[#This Row],[Ben Code]],tbl_Ben_Info[Ben Code],0),48),"")</f>
        <v/>
      </c>
      <c r="E668" s="116" t="str">
        <f>IF(tbl_Assessment[[#This Row],[Ben Code]]&lt;&gt;"",INDEX(tbl_Ben_Info[],MATCH(tbl_Assessment[[#This Row],[Ben Code]],tbl_Ben_Info[Ben Code],0),6),"")</f>
        <v/>
      </c>
      <c r="F668" s="113" t="str">
        <f>IF(tbl_Assessment[[#This Row],[Ben Code]]&lt;&gt;"",INDEX(tbl_Ben_Info[],MATCH(tbl_Assessment[[#This Row],[Ben Code]],tbl_Ben_Info[Ben Code],0),13),"")</f>
        <v/>
      </c>
      <c r="G668" s="49"/>
      <c r="H668" s="37"/>
      <c r="I668" s="37"/>
      <c r="J668" s="37"/>
      <c r="K668" s="37"/>
      <c r="L668" s="37"/>
      <c r="M668" s="59"/>
      <c r="N668" s="37"/>
      <c r="O668" s="37"/>
      <c r="P668" s="37"/>
      <c r="Q668" s="59"/>
      <c r="R668" s="49"/>
      <c r="S668" s="37"/>
      <c r="T668" s="37"/>
      <c r="U668" s="37"/>
      <c r="V668" s="37"/>
      <c r="W668" s="96" t="str">
        <f>tbl_Assessment[[#This Row],[Ben Code]] &amp; "-"&amp;tbl_Assessment[[#This Row],[admin4Pcode]]&amp;"-" &amp; TEXT(COUNTIF(INDEX(tbl_Assessment[Ben Code],1):tbl_Assessment[[#This Row],[Ben Code]], tbl_Assessment[[#This Row],[Ben Code]]), "00")</f>
        <v>--00</v>
      </c>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49"/>
      <c r="AU668" s="41"/>
      <c r="AV668" s="37"/>
      <c r="AW668" s="37"/>
      <c r="AX668" s="37"/>
      <c r="AY668" s="37"/>
      <c r="AZ668" s="37"/>
      <c r="BA668" s="37"/>
      <c r="BB668" s="41"/>
      <c r="BC668" s="37"/>
      <c r="BD668" s="37"/>
      <c r="BE668" s="37"/>
      <c r="BF668" s="41"/>
      <c r="BG668" s="37"/>
      <c r="BH668" s="37"/>
      <c r="BI668" s="37"/>
      <c r="BJ668" s="41"/>
    </row>
    <row r="669" spans="2:62" ht="25.15" customHeight="1" x14ac:dyDescent="0.25">
      <c r="B669" s="49">
        <v>664</v>
      </c>
      <c r="C669" s="37"/>
      <c r="D669" s="87" t="str">
        <f>IF(tbl_Assessment[[#This Row],[Ben Code]]&lt;&gt;"",INDEX(tbl_Ben_Info[],MATCH(tbl_Assessment[[#This Row],[Ben Code]],tbl_Ben_Info[Ben Code],0),48),"")</f>
        <v/>
      </c>
      <c r="E669" s="116" t="str">
        <f>IF(tbl_Assessment[[#This Row],[Ben Code]]&lt;&gt;"",INDEX(tbl_Ben_Info[],MATCH(tbl_Assessment[[#This Row],[Ben Code]],tbl_Ben_Info[Ben Code],0),6),"")</f>
        <v/>
      </c>
      <c r="F669" s="113" t="str">
        <f>IF(tbl_Assessment[[#This Row],[Ben Code]]&lt;&gt;"",INDEX(tbl_Ben_Info[],MATCH(tbl_Assessment[[#This Row],[Ben Code]],tbl_Ben_Info[Ben Code],0),13),"")</f>
        <v/>
      </c>
      <c r="G669" s="49"/>
      <c r="H669" s="37"/>
      <c r="I669" s="37"/>
      <c r="J669" s="37"/>
      <c r="K669" s="37"/>
      <c r="L669" s="37"/>
      <c r="M669" s="59"/>
      <c r="N669" s="37"/>
      <c r="O669" s="37"/>
      <c r="P669" s="37"/>
      <c r="Q669" s="59"/>
      <c r="R669" s="49"/>
      <c r="S669" s="37"/>
      <c r="T669" s="37"/>
      <c r="U669" s="37"/>
      <c r="V669" s="37"/>
      <c r="W669" s="96" t="str">
        <f>tbl_Assessment[[#This Row],[Ben Code]] &amp; "-"&amp;tbl_Assessment[[#This Row],[admin4Pcode]]&amp;"-" &amp; TEXT(COUNTIF(INDEX(tbl_Assessment[Ben Code],1):tbl_Assessment[[#This Row],[Ben Code]], tbl_Assessment[[#This Row],[Ben Code]]), "00")</f>
        <v>--00</v>
      </c>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49"/>
      <c r="AU669" s="41"/>
      <c r="AV669" s="37"/>
      <c r="AW669" s="37"/>
      <c r="AX669" s="37"/>
      <c r="AY669" s="37"/>
      <c r="AZ669" s="37"/>
      <c r="BA669" s="37"/>
      <c r="BB669" s="41"/>
      <c r="BC669" s="37"/>
      <c r="BD669" s="37"/>
      <c r="BE669" s="37"/>
      <c r="BF669" s="41"/>
      <c r="BG669" s="37"/>
      <c r="BH669" s="37"/>
      <c r="BI669" s="37"/>
      <c r="BJ669" s="41"/>
    </row>
    <row r="670" spans="2:62" ht="25.15" customHeight="1" x14ac:dyDescent="0.25">
      <c r="B670" s="49">
        <v>665</v>
      </c>
      <c r="C670" s="37"/>
      <c r="D670" s="87" t="str">
        <f>IF(tbl_Assessment[[#This Row],[Ben Code]]&lt;&gt;"",INDEX(tbl_Ben_Info[],MATCH(tbl_Assessment[[#This Row],[Ben Code]],tbl_Ben_Info[Ben Code],0),48),"")</f>
        <v/>
      </c>
      <c r="E670" s="116" t="str">
        <f>IF(tbl_Assessment[[#This Row],[Ben Code]]&lt;&gt;"",INDEX(tbl_Ben_Info[],MATCH(tbl_Assessment[[#This Row],[Ben Code]],tbl_Ben_Info[Ben Code],0),6),"")</f>
        <v/>
      </c>
      <c r="F670" s="113" t="str">
        <f>IF(tbl_Assessment[[#This Row],[Ben Code]]&lt;&gt;"",INDEX(tbl_Ben_Info[],MATCH(tbl_Assessment[[#This Row],[Ben Code]],tbl_Ben_Info[Ben Code],0),13),"")</f>
        <v/>
      </c>
      <c r="G670" s="49"/>
      <c r="H670" s="37"/>
      <c r="I670" s="37"/>
      <c r="J670" s="37"/>
      <c r="K670" s="37"/>
      <c r="L670" s="37"/>
      <c r="M670" s="59"/>
      <c r="N670" s="37"/>
      <c r="O670" s="37"/>
      <c r="P670" s="37"/>
      <c r="Q670" s="59"/>
      <c r="R670" s="49"/>
      <c r="S670" s="37"/>
      <c r="T670" s="37"/>
      <c r="U670" s="37"/>
      <c r="V670" s="37"/>
      <c r="W670" s="96" t="str">
        <f>tbl_Assessment[[#This Row],[Ben Code]] &amp; "-"&amp;tbl_Assessment[[#This Row],[admin4Pcode]]&amp;"-" &amp; TEXT(COUNTIF(INDEX(tbl_Assessment[Ben Code],1):tbl_Assessment[[#This Row],[Ben Code]], tbl_Assessment[[#This Row],[Ben Code]]), "00")</f>
        <v>--00</v>
      </c>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49"/>
      <c r="AU670" s="41"/>
      <c r="AV670" s="37"/>
      <c r="AW670" s="37"/>
      <c r="AX670" s="37"/>
      <c r="AY670" s="37"/>
      <c r="AZ670" s="37"/>
      <c r="BA670" s="37"/>
      <c r="BB670" s="41"/>
      <c r="BC670" s="37"/>
      <c r="BD670" s="37"/>
      <c r="BE670" s="37"/>
      <c r="BF670" s="41"/>
      <c r="BG670" s="37"/>
      <c r="BH670" s="37"/>
      <c r="BI670" s="37"/>
      <c r="BJ670" s="41"/>
    </row>
    <row r="671" spans="2:62" ht="25.15" customHeight="1" x14ac:dyDescent="0.25">
      <c r="B671" s="49">
        <v>666</v>
      </c>
      <c r="C671" s="37"/>
      <c r="D671" s="87" t="str">
        <f>IF(tbl_Assessment[[#This Row],[Ben Code]]&lt;&gt;"",INDEX(tbl_Ben_Info[],MATCH(tbl_Assessment[[#This Row],[Ben Code]],tbl_Ben_Info[Ben Code],0),48),"")</f>
        <v/>
      </c>
      <c r="E671" s="116" t="str">
        <f>IF(tbl_Assessment[[#This Row],[Ben Code]]&lt;&gt;"",INDEX(tbl_Ben_Info[],MATCH(tbl_Assessment[[#This Row],[Ben Code]],tbl_Ben_Info[Ben Code],0),6),"")</f>
        <v/>
      </c>
      <c r="F671" s="113" t="str">
        <f>IF(tbl_Assessment[[#This Row],[Ben Code]]&lt;&gt;"",INDEX(tbl_Ben_Info[],MATCH(tbl_Assessment[[#This Row],[Ben Code]],tbl_Ben_Info[Ben Code],0),13),"")</f>
        <v/>
      </c>
      <c r="G671" s="49"/>
      <c r="H671" s="37"/>
      <c r="I671" s="37"/>
      <c r="J671" s="37"/>
      <c r="K671" s="37"/>
      <c r="L671" s="37"/>
      <c r="M671" s="59"/>
      <c r="N671" s="37"/>
      <c r="O671" s="37"/>
      <c r="P671" s="37"/>
      <c r="Q671" s="59"/>
      <c r="R671" s="49"/>
      <c r="S671" s="37"/>
      <c r="T671" s="37"/>
      <c r="U671" s="37"/>
      <c r="V671" s="37"/>
      <c r="W671" s="96" t="str">
        <f>tbl_Assessment[[#This Row],[Ben Code]] &amp; "-"&amp;tbl_Assessment[[#This Row],[admin4Pcode]]&amp;"-" &amp; TEXT(COUNTIF(INDEX(tbl_Assessment[Ben Code],1):tbl_Assessment[[#This Row],[Ben Code]], tbl_Assessment[[#This Row],[Ben Code]]), "00")</f>
        <v>--00</v>
      </c>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49"/>
      <c r="AU671" s="41"/>
      <c r="AV671" s="37"/>
      <c r="AW671" s="37"/>
      <c r="AX671" s="37"/>
      <c r="AY671" s="37"/>
      <c r="AZ671" s="37"/>
      <c r="BA671" s="37"/>
      <c r="BB671" s="41"/>
      <c r="BC671" s="37"/>
      <c r="BD671" s="37"/>
      <c r="BE671" s="37"/>
      <c r="BF671" s="41"/>
      <c r="BG671" s="37"/>
      <c r="BH671" s="37"/>
      <c r="BI671" s="37"/>
      <c r="BJ671" s="41"/>
    </row>
    <row r="672" spans="2:62" ht="25.15" customHeight="1" x14ac:dyDescent="0.25">
      <c r="B672" s="49">
        <v>667</v>
      </c>
      <c r="C672" s="37"/>
      <c r="D672" s="87" t="str">
        <f>IF(tbl_Assessment[[#This Row],[Ben Code]]&lt;&gt;"",INDEX(tbl_Ben_Info[],MATCH(tbl_Assessment[[#This Row],[Ben Code]],tbl_Ben_Info[Ben Code],0),48),"")</f>
        <v/>
      </c>
      <c r="E672" s="116" t="str">
        <f>IF(tbl_Assessment[[#This Row],[Ben Code]]&lt;&gt;"",INDEX(tbl_Ben_Info[],MATCH(tbl_Assessment[[#This Row],[Ben Code]],tbl_Ben_Info[Ben Code],0),6),"")</f>
        <v/>
      </c>
      <c r="F672" s="113" t="str">
        <f>IF(tbl_Assessment[[#This Row],[Ben Code]]&lt;&gt;"",INDEX(tbl_Ben_Info[],MATCH(tbl_Assessment[[#This Row],[Ben Code]],tbl_Ben_Info[Ben Code],0),13),"")</f>
        <v/>
      </c>
      <c r="G672" s="49"/>
      <c r="H672" s="37"/>
      <c r="I672" s="37"/>
      <c r="J672" s="37"/>
      <c r="K672" s="37"/>
      <c r="L672" s="37"/>
      <c r="M672" s="59"/>
      <c r="N672" s="37"/>
      <c r="O672" s="37"/>
      <c r="P672" s="37"/>
      <c r="Q672" s="59"/>
      <c r="R672" s="49"/>
      <c r="S672" s="37"/>
      <c r="T672" s="37"/>
      <c r="U672" s="37"/>
      <c r="V672" s="37"/>
      <c r="W672" s="96" t="str">
        <f>tbl_Assessment[[#This Row],[Ben Code]] &amp; "-"&amp;tbl_Assessment[[#This Row],[admin4Pcode]]&amp;"-" &amp; TEXT(COUNTIF(INDEX(tbl_Assessment[Ben Code],1):tbl_Assessment[[#This Row],[Ben Code]], tbl_Assessment[[#This Row],[Ben Code]]), "00")</f>
        <v>--00</v>
      </c>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49"/>
      <c r="AU672" s="41"/>
      <c r="AV672" s="37"/>
      <c r="AW672" s="37"/>
      <c r="AX672" s="37"/>
      <c r="AY672" s="37"/>
      <c r="AZ672" s="37"/>
      <c r="BA672" s="37"/>
      <c r="BB672" s="41"/>
      <c r="BC672" s="37"/>
      <c r="BD672" s="37"/>
      <c r="BE672" s="37"/>
      <c r="BF672" s="41"/>
      <c r="BG672" s="37"/>
      <c r="BH672" s="37"/>
      <c r="BI672" s="37"/>
      <c r="BJ672" s="41"/>
    </row>
    <row r="673" spans="2:62" ht="25.15" customHeight="1" x14ac:dyDescent="0.25">
      <c r="B673" s="49">
        <v>668</v>
      </c>
      <c r="C673" s="37"/>
      <c r="D673" s="87" t="str">
        <f>IF(tbl_Assessment[[#This Row],[Ben Code]]&lt;&gt;"",INDEX(tbl_Ben_Info[],MATCH(tbl_Assessment[[#This Row],[Ben Code]],tbl_Ben_Info[Ben Code],0),48),"")</f>
        <v/>
      </c>
      <c r="E673" s="116" t="str">
        <f>IF(tbl_Assessment[[#This Row],[Ben Code]]&lt;&gt;"",INDEX(tbl_Ben_Info[],MATCH(tbl_Assessment[[#This Row],[Ben Code]],tbl_Ben_Info[Ben Code],0),6),"")</f>
        <v/>
      </c>
      <c r="F673" s="113" t="str">
        <f>IF(tbl_Assessment[[#This Row],[Ben Code]]&lt;&gt;"",INDEX(tbl_Ben_Info[],MATCH(tbl_Assessment[[#This Row],[Ben Code]],tbl_Ben_Info[Ben Code],0),13),"")</f>
        <v/>
      </c>
      <c r="G673" s="49"/>
      <c r="H673" s="37"/>
      <c r="I673" s="37"/>
      <c r="J673" s="37"/>
      <c r="K673" s="37"/>
      <c r="L673" s="37"/>
      <c r="M673" s="59"/>
      <c r="N673" s="37"/>
      <c r="O673" s="37"/>
      <c r="P673" s="37"/>
      <c r="Q673" s="59"/>
      <c r="R673" s="49"/>
      <c r="S673" s="37"/>
      <c r="T673" s="37"/>
      <c r="U673" s="37"/>
      <c r="V673" s="37"/>
      <c r="W673" s="96" t="str">
        <f>tbl_Assessment[[#This Row],[Ben Code]] &amp; "-"&amp;tbl_Assessment[[#This Row],[admin4Pcode]]&amp;"-" &amp; TEXT(COUNTIF(INDEX(tbl_Assessment[Ben Code],1):tbl_Assessment[[#This Row],[Ben Code]], tbl_Assessment[[#This Row],[Ben Code]]), "00")</f>
        <v>--00</v>
      </c>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49"/>
      <c r="AU673" s="41"/>
      <c r="AV673" s="37"/>
      <c r="AW673" s="37"/>
      <c r="AX673" s="37"/>
      <c r="AY673" s="37"/>
      <c r="AZ673" s="37"/>
      <c r="BA673" s="37"/>
      <c r="BB673" s="41"/>
      <c r="BC673" s="37"/>
      <c r="BD673" s="37"/>
      <c r="BE673" s="37"/>
      <c r="BF673" s="41"/>
      <c r="BG673" s="37"/>
      <c r="BH673" s="37"/>
      <c r="BI673" s="37"/>
      <c r="BJ673" s="41"/>
    </row>
    <row r="674" spans="2:62" ht="25.15" customHeight="1" x14ac:dyDescent="0.25">
      <c r="B674" s="49">
        <v>669</v>
      </c>
      <c r="C674" s="37"/>
      <c r="D674" s="87" t="str">
        <f>IF(tbl_Assessment[[#This Row],[Ben Code]]&lt;&gt;"",INDEX(tbl_Ben_Info[],MATCH(tbl_Assessment[[#This Row],[Ben Code]],tbl_Ben_Info[Ben Code],0),48),"")</f>
        <v/>
      </c>
      <c r="E674" s="116" t="str">
        <f>IF(tbl_Assessment[[#This Row],[Ben Code]]&lt;&gt;"",INDEX(tbl_Ben_Info[],MATCH(tbl_Assessment[[#This Row],[Ben Code]],tbl_Ben_Info[Ben Code],0),6),"")</f>
        <v/>
      </c>
      <c r="F674" s="113" t="str">
        <f>IF(tbl_Assessment[[#This Row],[Ben Code]]&lt;&gt;"",INDEX(tbl_Ben_Info[],MATCH(tbl_Assessment[[#This Row],[Ben Code]],tbl_Ben_Info[Ben Code],0),13),"")</f>
        <v/>
      </c>
      <c r="G674" s="49"/>
      <c r="H674" s="37"/>
      <c r="I674" s="37"/>
      <c r="J674" s="37"/>
      <c r="K674" s="37"/>
      <c r="L674" s="37"/>
      <c r="M674" s="59"/>
      <c r="N674" s="37"/>
      <c r="O674" s="37"/>
      <c r="P674" s="37"/>
      <c r="Q674" s="59"/>
      <c r="R674" s="49"/>
      <c r="S674" s="37"/>
      <c r="T674" s="37"/>
      <c r="U674" s="37"/>
      <c r="V674" s="37"/>
      <c r="W674" s="96" t="str">
        <f>tbl_Assessment[[#This Row],[Ben Code]] &amp; "-"&amp;tbl_Assessment[[#This Row],[admin4Pcode]]&amp;"-" &amp; TEXT(COUNTIF(INDEX(tbl_Assessment[Ben Code],1):tbl_Assessment[[#This Row],[Ben Code]], tbl_Assessment[[#This Row],[Ben Code]]), "00")</f>
        <v>--00</v>
      </c>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49"/>
      <c r="AU674" s="41"/>
      <c r="AV674" s="37"/>
      <c r="AW674" s="37"/>
      <c r="AX674" s="37"/>
      <c r="AY674" s="37"/>
      <c r="AZ674" s="37"/>
      <c r="BA674" s="37"/>
      <c r="BB674" s="41"/>
      <c r="BC674" s="37"/>
      <c r="BD674" s="37"/>
      <c r="BE674" s="37"/>
      <c r="BF674" s="41"/>
      <c r="BG674" s="37"/>
      <c r="BH674" s="37"/>
      <c r="BI674" s="37"/>
      <c r="BJ674" s="41"/>
    </row>
    <row r="675" spans="2:62" ht="25.15" customHeight="1" x14ac:dyDescent="0.25">
      <c r="B675" s="49">
        <v>670</v>
      </c>
      <c r="C675" s="37"/>
      <c r="D675" s="87" t="str">
        <f>IF(tbl_Assessment[[#This Row],[Ben Code]]&lt;&gt;"",INDEX(tbl_Ben_Info[],MATCH(tbl_Assessment[[#This Row],[Ben Code]],tbl_Ben_Info[Ben Code],0),48),"")</f>
        <v/>
      </c>
      <c r="E675" s="116" t="str">
        <f>IF(tbl_Assessment[[#This Row],[Ben Code]]&lt;&gt;"",INDEX(tbl_Ben_Info[],MATCH(tbl_Assessment[[#This Row],[Ben Code]],tbl_Ben_Info[Ben Code],0),6),"")</f>
        <v/>
      </c>
      <c r="F675" s="113" t="str">
        <f>IF(tbl_Assessment[[#This Row],[Ben Code]]&lt;&gt;"",INDEX(tbl_Ben_Info[],MATCH(tbl_Assessment[[#This Row],[Ben Code]],tbl_Ben_Info[Ben Code],0),13),"")</f>
        <v/>
      </c>
      <c r="G675" s="49"/>
      <c r="H675" s="37"/>
      <c r="I675" s="37"/>
      <c r="J675" s="37"/>
      <c r="K675" s="37"/>
      <c r="L675" s="37"/>
      <c r="M675" s="59"/>
      <c r="N675" s="37"/>
      <c r="O675" s="37"/>
      <c r="P675" s="37"/>
      <c r="Q675" s="59"/>
      <c r="R675" s="49"/>
      <c r="S675" s="37"/>
      <c r="T675" s="37"/>
      <c r="U675" s="37"/>
      <c r="V675" s="37"/>
      <c r="W675" s="96" t="str">
        <f>tbl_Assessment[[#This Row],[Ben Code]] &amp; "-"&amp;tbl_Assessment[[#This Row],[admin4Pcode]]&amp;"-" &amp; TEXT(COUNTIF(INDEX(tbl_Assessment[Ben Code],1):tbl_Assessment[[#This Row],[Ben Code]], tbl_Assessment[[#This Row],[Ben Code]]), "00")</f>
        <v>--00</v>
      </c>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49"/>
      <c r="AU675" s="41"/>
      <c r="AV675" s="37"/>
      <c r="AW675" s="37"/>
      <c r="AX675" s="37"/>
      <c r="AY675" s="37"/>
      <c r="AZ675" s="37"/>
      <c r="BA675" s="37"/>
      <c r="BB675" s="41"/>
      <c r="BC675" s="37"/>
      <c r="BD675" s="37"/>
      <c r="BE675" s="37"/>
      <c r="BF675" s="41"/>
      <c r="BG675" s="37"/>
      <c r="BH675" s="37"/>
      <c r="BI675" s="37"/>
      <c r="BJ675" s="41"/>
    </row>
    <row r="676" spans="2:62" ht="25.15" customHeight="1" x14ac:dyDescent="0.25">
      <c r="B676" s="49">
        <v>671</v>
      </c>
      <c r="C676" s="37"/>
      <c r="D676" s="87" t="str">
        <f>IF(tbl_Assessment[[#This Row],[Ben Code]]&lt;&gt;"",INDEX(tbl_Ben_Info[],MATCH(tbl_Assessment[[#This Row],[Ben Code]],tbl_Ben_Info[Ben Code],0),48),"")</f>
        <v/>
      </c>
      <c r="E676" s="116" t="str">
        <f>IF(tbl_Assessment[[#This Row],[Ben Code]]&lt;&gt;"",INDEX(tbl_Ben_Info[],MATCH(tbl_Assessment[[#This Row],[Ben Code]],tbl_Ben_Info[Ben Code],0),6),"")</f>
        <v/>
      </c>
      <c r="F676" s="113" t="str">
        <f>IF(tbl_Assessment[[#This Row],[Ben Code]]&lt;&gt;"",INDEX(tbl_Ben_Info[],MATCH(tbl_Assessment[[#This Row],[Ben Code]],tbl_Ben_Info[Ben Code],0),13),"")</f>
        <v/>
      </c>
      <c r="G676" s="49"/>
      <c r="H676" s="37"/>
      <c r="I676" s="37"/>
      <c r="J676" s="37"/>
      <c r="K676" s="37"/>
      <c r="L676" s="37"/>
      <c r="M676" s="59"/>
      <c r="N676" s="37"/>
      <c r="O676" s="37"/>
      <c r="P676" s="37"/>
      <c r="Q676" s="59"/>
      <c r="R676" s="49"/>
      <c r="S676" s="37"/>
      <c r="T676" s="37"/>
      <c r="U676" s="37"/>
      <c r="V676" s="37"/>
      <c r="W676" s="96" t="str">
        <f>tbl_Assessment[[#This Row],[Ben Code]] &amp; "-"&amp;tbl_Assessment[[#This Row],[admin4Pcode]]&amp;"-" &amp; TEXT(COUNTIF(INDEX(tbl_Assessment[Ben Code],1):tbl_Assessment[[#This Row],[Ben Code]], tbl_Assessment[[#This Row],[Ben Code]]), "00")</f>
        <v>--00</v>
      </c>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49"/>
      <c r="AU676" s="41"/>
      <c r="AV676" s="37"/>
      <c r="AW676" s="37"/>
      <c r="AX676" s="37"/>
      <c r="AY676" s="37"/>
      <c r="AZ676" s="37"/>
      <c r="BA676" s="37"/>
      <c r="BB676" s="41"/>
      <c r="BC676" s="37"/>
      <c r="BD676" s="37"/>
      <c r="BE676" s="37"/>
      <c r="BF676" s="41"/>
      <c r="BG676" s="37"/>
      <c r="BH676" s="37"/>
      <c r="BI676" s="37"/>
      <c r="BJ676" s="41"/>
    </row>
    <row r="677" spans="2:62" ht="25.15" customHeight="1" x14ac:dyDescent="0.25">
      <c r="B677" s="49">
        <v>672</v>
      </c>
      <c r="C677" s="37"/>
      <c r="D677" s="87" t="str">
        <f>IF(tbl_Assessment[[#This Row],[Ben Code]]&lt;&gt;"",INDEX(tbl_Ben_Info[],MATCH(tbl_Assessment[[#This Row],[Ben Code]],tbl_Ben_Info[Ben Code],0),48),"")</f>
        <v/>
      </c>
      <c r="E677" s="116" t="str">
        <f>IF(tbl_Assessment[[#This Row],[Ben Code]]&lt;&gt;"",INDEX(tbl_Ben_Info[],MATCH(tbl_Assessment[[#This Row],[Ben Code]],tbl_Ben_Info[Ben Code],0),6),"")</f>
        <v/>
      </c>
      <c r="F677" s="113" t="str">
        <f>IF(tbl_Assessment[[#This Row],[Ben Code]]&lt;&gt;"",INDEX(tbl_Ben_Info[],MATCH(tbl_Assessment[[#This Row],[Ben Code]],tbl_Ben_Info[Ben Code],0),13),"")</f>
        <v/>
      </c>
      <c r="G677" s="49"/>
      <c r="H677" s="37"/>
      <c r="I677" s="37"/>
      <c r="J677" s="37"/>
      <c r="K677" s="37"/>
      <c r="L677" s="37"/>
      <c r="M677" s="59"/>
      <c r="N677" s="37"/>
      <c r="O677" s="37"/>
      <c r="P677" s="37"/>
      <c r="Q677" s="59"/>
      <c r="R677" s="49"/>
      <c r="S677" s="37"/>
      <c r="T677" s="37"/>
      <c r="U677" s="37"/>
      <c r="V677" s="37"/>
      <c r="W677" s="96" t="str">
        <f>tbl_Assessment[[#This Row],[Ben Code]] &amp; "-"&amp;tbl_Assessment[[#This Row],[admin4Pcode]]&amp;"-" &amp; TEXT(COUNTIF(INDEX(tbl_Assessment[Ben Code],1):tbl_Assessment[[#This Row],[Ben Code]], tbl_Assessment[[#This Row],[Ben Code]]), "00")</f>
        <v>--00</v>
      </c>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49"/>
      <c r="AU677" s="41"/>
      <c r="AV677" s="37"/>
      <c r="AW677" s="37"/>
      <c r="AX677" s="37"/>
      <c r="AY677" s="37"/>
      <c r="AZ677" s="37"/>
      <c r="BA677" s="37"/>
      <c r="BB677" s="41"/>
      <c r="BC677" s="37"/>
      <c r="BD677" s="37"/>
      <c r="BE677" s="37"/>
      <c r="BF677" s="41"/>
      <c r="BG677" s="37"/>
      <c r="BH677" s="37"/>
      <c r="BI677" s="37"/>
      <c r="BJ677" s="41"/>
    </row>
    <row r="678" spans="2:62" ht="25.15" customHeight="1" x14ac:dyDescent="0.25">
      <c r="B678" s="49">
        <v>673</v>
      </c>
      <c r="C678" s="37"/>
      <c r="D678" s="87" t="str">
        <f>IF(tbl_Assessment[[#This Row],[Ben Code]]&lt;&gt;"",INDEX(tbl_Ben_Info[],MATCH(tbl_Assessment[[#This Row],[Ben Code]],tbl_Ben_Info[Ben Code],0),48),"")</f>
        <v/>
      </c>
      <c r="E678" s="116" t="str">
        <f>IF(tbl_Assessment[[#This Row],[Ben Code]]&lt;&gt;"",INDEX(tbl_Ben_Info[],MATCH(tbl_Assessment[[#This Row],[Ben Code]],tbl_Ben_Info[Ben Code],0),6),"")</f>
        <v/>
      </c>
      <c r="F678" s="113" t="str">
        <f>IF(tbl_Assessment[[#This Row],[Ben Code]]&lt;&gt;"",INDEX(tbl_Ben_Info[],MATCH(tbl_Assessment[[#This Row],[Ben Code]],tbl_Ben_Info[Ben Code],0),13),"")</f>
        <v/>
      </c>
      <c r="G678" s="49"/>
      <c r="H678" s="37"/>
      <c r="I678" s="37"/>
      <c r="J678" s="37"/>
      <c r="K678" s="37"/>
      <c r="L678" s="37"/>
      <c r="M678" s="59"/>
      <c r="N678" s="37"/>
      <c r="O678" s="37"/>
      <c r="P678" s="37"/>
      <c r="Q678" s="59"/>
      <c r="R678" s="49"/>
      <c r="S678" s="37"/>
      <c r="T678" s="37"/>
      <c r="U678" s="37"/>
      <c r="V678" s="37"/>
      <c r="W678" s="96" t="str">
        <f>tbl_Assessment[[#This Row],[Ben Code]] &amp; "-"&amp;tbl_Assessment[[#This Row],[admin4Pcode]]&amp;"-" &amp; TEXT(COUNTIF(INDEX(tbl_Assessment[Ben Code],1):tbl_Assessment[[#This Row],[Ben Code]], tbl_Assessment[[#This Row],[Ben Code]]), "00")</f>
        <v>--00</v>
      </c>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49"/>
      <c r="AU678" s="41"/>
      <c r="AV678" s="37"/>
      <c r="AW678" s="37"/>
      <c r="AX678" s="37"/>
      <c r="AY678" s="37"/>
      <c r="AZ678" s="37"/>
      <c r="BA678" s="37"/>
      <c r="BB678" s="41"/>
      <c r="BC678" s="37"/>
      <c r="BD678" s="37"/>
      <c r="BE678" s="37"/>
      <c r="BF678" s="41"/>
      <c r="BG678" s="37"/>
      <c r="BH678" s="37"/>
      <c r="BI678" s="37"/>
      <c r="BJ678" s="41"/>
    </row>
    <row r="679" spans="2:62" ht="25.15" customHeight="1" x14ac:dyDescent="0.25">
      <c r="B679" s="49">
        <v>674</v>
      </c>
      <c r="C679" s="37"/>
      <c r="D679" s="87" t="str">
        <f>IF(tbl_Assessment[[#This Row],[Ben Code]]&lt;&gt;"",INDEX(tbl_Ben_Info[],MATCH(tbl_Assessment[[#This Row],[Ben Code]],tbl_Ben_Info[Ben Code],0),48),"")</f>
        <v/>
      </c>
      <c r="E679" s="116" t="str">
        <f>IF(tbl_Assessment[[#This Row],[Ben Code]]&lt;&gt;"",INDEX(tbl_Ben_Info[],MATCH(tbl_Assessment[[#This Row],[Ben Code]],tbl_Ben_Info[Ben Code],0),6),"")</f>
        <v/>
      </c>
      <c r="F679" s="113" t="str">
        <f>IF(tbl_Assessment[[#This Row],[Ben Code]]&lt;&gt;"",INDEX(tbl_Ben_Info[],MATCH(tbl_Assessment[[#This Row],[Ben Code]],tbl_Ben_Info[Ben Code],0),13),"")</f>
        <v/>
      </c>
      <c r="G679" s="49"/>
      <c r="H679" s="37"/>
      <c r="I679" s="37"/>
      <c r="J679" s="37"/>
      <c r="K679" s="37"/>
      <c r="L679" s="37"/>
      <c r="M679" s="59"/>
      <c r="N679" s="37"/>
      <c r="O679" s="37"/>
      <c r="P679" s="37"/>
      <c r="Q679" s="59"/>
      <c r="R679" s="49"/>
      <c r="S679" s="37"/>
      <c r="T679" s="37"/>
      <c r="U679" s="37"/>
      <c r="V679" s="37"/>
      <c r="W679" s="96" t="str">
        <f>tbl_Assessment[[#This Row],[Ben Code]] &amp; "-"&amp;tbl_Assessment[[#This Row],[admin4Pcode]]&amp;"-" &amp; TEXT(COUNTIF(INDEX(tbl_Assessment[Ben Code],1):tbl_Assessment[[#This Row],[Ben Code]], tbl_Assessment[[#This Row],[Ben Code]]), "00")</f>
        <v>--00</v>
      </c>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49"/>
      <c r="AU679" s="41"/>
      <c r="AV679" s="37"/>
      <c r="AW679" s="37"/>
      <c r="AX679" s="37"/>
      <c r="AY679" s="37"/>
      <c r="AZ679" s="37"/>
      <c r="BA679" s="37"/>
      <c r="BB679" s="41"/>
      <c r="BC679" s="37"/>
      <c r="BD679" s="37"/>
      <c r="BE679" s="37"/>
      <c r="BF679" s="41"/>
      <c r="BG679" s="37"/>
      <c r="BH679" s="37"/>
      <c r="BI679" s="37"/>
      <c r="BJ679" s="41"/>
    </row>
    <row r="680" spans="2:62" ht="25.15" customHeight="1" x14ac:dyDescent="0.25">
      <c r="B680" s="49">
        <v>675</v>
      </c>
      <c r="C680" s="37"/>
      <c r="D680" s="87" t="str">
        <f>IF(tbl_Assessment[[#This Row],[Ben Code]]&lt;&gt;"",INDEX(tbl_Ben_Info[],MATCH(tbl_Assessment[[#This Row],[Ben Code]],tbl_Ben_Info[Ben Code],0),48),"")</f>
        <v/>
      </c>
      <c r="E680" s="116" t="str">
        <f>IF(tbl_Assessment[[#This Row],[Ben Code]]&lt;&gt;"",INDEX(tbl_Ben_Info[],MATCH(tbl_Assessment[[#This Row],[Ben Code]],tbl_Ben_Info[Ben Code],0),6),"")</f>
        <v/>
      </c>
      <c r="F680" s="113" t="str">
        <f>IF(tbl_Assessment[[#This Row],[Ben Code]]&lt;&gt;"",INDEX(tbl_Ben_Info[],MATCH(tbl_Assessment[[#This Row],[Ben Code]],tbl_Ben_Info[Ben Code],0),13),"")</f>
        <v/>
      </c>
      <c r="G680" s="49"/>
      <c r="H680" s="37"/>
      <c r="I680" s="37"/>
      <c r="J680" s="37"/>
      <c r="K680" s="37"/>
      <c r="L680" s="37"/>
      <c r="M680" s="59"/>
      <c r="N680" s="37"/>
      <c r="O680" s="37"/>
      <c r="P680" s="37"/>
      <c r="Q680" s="59"/>
      <c r="R680" s="49"/>
      <c r="S680" s="37"/>
      <c r="T680" s="37"/>
      <c r="U680" s="37"/>
      <c r="V680" s="37"/>
      <c r="W680" s="96" t="str">
        <f>tbl_Assessment[[#This Row],[Ben Code]] &amp; "-"&amp;tbl_Assessment[[#This Row],[admin4Pcode]]&amp;"-" &amp; TEXT(COUNTIF(INDEX(tbl_Assessment[Ben Code],1):tbl_Assessment[[#This Row],[Ben Code]], tbl_Assessment[[#This Row],[Ben Code]]), "00")</f>
        <v>--00</v>
      </c>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49"/>
      <c r="AU680" s="41"/>
      <c r="AV680" s="37"/>
      <c r="AW680" s="37"/>
      <c r="AX680" s="37"/>
      <c r="AY680" s="37"/>
      <c r="AZ680" s="37"/>
      <c r="BA680" s="37"/>
      <c r="BB680" s="41"/>
      <c r="BC680" s="37"/>
      <c r="BD680" s="37"/>
      <c r="BE680" s="37"/>
      <c r="BF680" s="41"/>
      <c r="BG680" s="37"/>
      <c r="BH680" s="37"/>
      <c r="BI680" s="37"/>
      <c r="BJ680" s="41"/>
    </row>
    <row r="681" spans="2:62" ht="25.15" customHeight="1" x14ac:dyDescent="0.25">
      <c r="B681" s="49">
        <v>676</v>
      </c>
      <c r="C681" s="37"/>
      <c r="D681" s="87" t="str">
        <f>IF(tbl_Assessment[[#This Row],[Ben Code]]&lt;&gt;"",INDEX(tbl_Ben_Info[],MATCH(tbl_Assessment[[#This Row],[Ben Code]],tbl_Ben_Info[Ben Code],0),48),"")</f>
        <v/>
      </c>
      <c r="E681" s="116" t="str">
        <f>IF(tbl_Assessment[[#This Row],[Ben Code]]&lt;&gt;"",INDEX(tbl_Ben_Info[],MATCH(tbl_Assessment[[#This Row],[Ben Code]],tbl_Ben_Info[Ben Code],0),6),"")</f>
        <v/>
      </c>
      <c r="F681" s="113" t="str">
        <f>IF(tbl_Assessment[[#This Row],[Ben Code]]&lt;&gt;"",INDEX(tbl_Ben_Info[],MATCH(tbl_Assessment[[#This Row],[Ben Code]],tbl_Ben_Info[Ben Code],0),13),"")</f>
        <v/>
      </c>
      <c r="G681" s="49"/>
      <c r="H681" s="37"/>
      <c r="I681" s="37"/>
      <c r="J681" s="37"/>
      <c r="K681" s="37"/>
      <c r="L681" s="37"/>
      <c r="M681" s="59"/>
      <c r="N681" s="37"/>
      <c r="O681" s="37"/>
      <c r="P681" s="37"/>
      <c r="Q681" s="59"/>
      <c r="R681" s="49"/>
      <c r="S681" s="37"/>
      <c r="T681" s="37"/>
      <c r="U681" s="37"/>
      <c r="V681" s="37"/>
      <c r="W681" s="96" t="str">
        <f>tbl_Assessment[[#This Row],[Ben Code]] &amp; "-"&amp;tbl_Assessment[[#This Row],[admin4Pcode]]&amp;"-" &amp; TEXT(COUNTIF(INDEX(tbl_Assessment[Ben Code],1):tbl_Assessment[[#This Row],[Ben Code]], tbl_Assessment[[#This Row],[Ben Code]]), "00")</f>
        <v>--00</v>
      </c>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49"/>
      <c r="AU681" s="41"/>
      <c r="AV681" s="37"/>
      <c r="AW681" s="37"/>
      <c r="AX681" s="37"/>
      <c r="AY681" s="37"/>
      <c r="AZ681" s="37"/>
      <c r="BA681" s="37"/>
      <c r="BB681" s="41"/>
      <c r="BC681" s="37"/>
      <c r="BD681" s="37"/>
      <c r="BE681" s="37"/>
      <c r="BF681" s="41"/>
      <c r="BG681" s="37"/>
      <c r="BH681" s="37"/>
      <c r="BI681" s="37"/>
      <c r="BJ681" s="41"/>
    </row>
    <row r="682" spans="2:62" ht="25.15" customHeight="1" x14ac:dyDescent="0.25">
      <c r="B682" s="49">
        <v>677</v>
      </c>
      <c r="C682" s="37"/>
      <c r="D682" s="87" t="str">
        <f>IF(tbl_Assessment[[#This Row],[Ben Code]]&lt;&gt;"",INDEX(tbl_Ben_Info[],MATCH(tbl_Assessment[[#This Row],[Ben Code]],tbl_Ben_Info[Ben Code],0),48),"")</f>
        <v/>
      </c>
      <c r="E682" s="116" t="str">
        <f>IF(tbl_Assessment[[#This Row],[Ben Code]]&lt;&gt;"",INDEX(tbl_Ben_Info[],MATCH(tbl_Assessment[[#This Row],[Ben Code]],tbl_Ben_Info[Ben Code],0),6),"")</f>
        <v/>
      </c>
      <c r="F682" s="113" t="str">
        <f>IF(tbl_Assessment[[#This Row],[Ben Code]]&lt;&gt;"",INDEX(tbl_Ben_Info[],MATCH(tbl_Assessment[[#This Row],[Ben Code]],tbl_Ben_Info[Ben Code],0),13),"")</f>
        <v/>
      </c>
      <c r="G682" s="49"/>
      <c r="H682" s="37"/>
      <c r="I682" s="37"/>
      <c r="J682" s="37"/>
      <c r="K682" s="37"/>
      <c r="L682" s="37"/>
      <c r="M682" s="59"/>
      <c r="N682" s="37"/>
      <c r="O682" s="37"/>
      <c r="P682" s="37"/>
      <c r="Q682" s="59"/>
      <c r="R682" s="49"/>
      <c r="S682" s="37"/>
      <c r="T682" s="37"/>
      <c r="U682" s="37"/>
      <c r="V682" s="37"/>
      <c r="W682" s="96" t="str">
        <f>tbl_Assessment[[#This Row],[Ben Code]] &amp; "-"&amp;tbl_Assessment[[#This Row],[admin4Pcode]]&amp;"-" &amp; TEXT(COUNTIF(INDEX(tbl_Assessment[Ben Code],1):tbl_Assessment[[#This Row],[Ben Code]], tbl_Assessment[[#This Row],[Ben Code]]), "00")</f>
        <v>--00</v>
      </c>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49"/>
      <c r="AU682" s="41"/>
      <c r="AV682" s="37"/>
      <c r="AW682" s="37"/>
      <c r="AX682" s="37"/>
      <c r="AY682" s="37"/>
      <c r="AZ682" s="37"/>
      <c r="BA682" s="37"/>
      <c r="BB682" s="41"/>
      <c r="BC682" s="37"/>
      <c r="BD682" s="37"/>
      <c r="BE682" s="37"/>
      <c r="BF682" s="41"/>
      <c r="BG682" s="37"/>
      <c r="BH682" s="37"/>
      <c r="BI682" s="37"/>
      <c r="BJ682" s="41"/>
    </row>
    <row r="683" spans="2:62" ht="25.15" customHeight="1" x14ac:dyDescent="0.25">
      <c r="B683" s="49">
        <v>678</v>
      </c>
      <c r="C683" s="37"/>
      <c r="D683" s="87" t="str">
        <f>IF(tbl_Assessment[[#This Row],[Ben Code]]&lt;&gt;"",INDEX(tbl_Ben_Info[],MATCH(tbl_Assessment[[#This Row],[Ben Code]],tbl_Ben_Info[Ben Code],0),48),"")</f>
        <v/>
      </c>
      <c r="E683" s="116" t="str">
        <f>IF(tbl_Assessment[[#This Row],[Ben Code]]&lt;&gt;"",INDEX(tbl_Ben_Info[],MATCH(tbl_Assessment[[#This Row],[Ben Code]],tbl_Ben_Info[Ben Code],0),6),"")</f>
        <v/>
      </c>
      <c r="F683" s="113" t="str">
        <f>IF(tbl_Assessment[[#This Row],[Ben Code]]&lt;&gt;"",INDEX(tbl_Ben_Info[],MATCH(tbl_Assessment[[#This Row],[Ben Code]],tbl_Ben_Info[Ben Code],0),13),"")</f>
        <v/>
      </c>
      <c r="G683" s="49"/>
      <c r="H683" s="37"/>
      <c r="I683" s="37"/>
      <c r="J683" s="37"/>
      <c r="K683" s="37"/>
      <c r="L683" s="37"/>
      <c r="M683" s="59"/>
      <c r="N683" s="37"/>
      <c r="O683" s="37"/>
      <c r="P683" s="37"/>
      <c r="Q683" s="59"/>
      <c r="R683" s="49"/>
      <c r="S683" s="37"/>
      <c r="T683" s="37"/>
      <c r="U683" s="37"/>
      <c r="V683" s="37"/>
      <c r="W683" s="96" t="str">
        <f>tbl_Assessment[[#This Row],[Ben Code]] &amp; "-"&amp;tbl_Assessment[[#This Row],[admin4Pcode]]&amp;"-" &amp; TEXT(COUNTIF(INDEX(tbl_Assessment[Ben Code],1):tbl_Assessment[[#This Row],[Ben Code]], tbl_Assessment[[#This Row],[Ben Code]]), "00")</f>
        <v>--00</v>
      </c>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49"/>
      <c r="AU683" s="41"/>
      <c r="AV683" s="37"/>
      <c r="AW683" s="37"/>
      <c r="AX683" s="37"/>
      <c r="AY683" s="37"/>
      <c r="AZ683" s="37"/>
      <c r="BA683" s="37"/>
      <c r="BB683" s="41"/>
      <c r="BC683" s="37"/>
      <c r="BD683" s="37"/>
      <c r="BE683" s="37"/>
      <c r="BF683" s="41"/>
      <c r="BG683" s="37"/>
      <c r="BH683" s="37"/>
      <c r="BI683" s="37"/>
      <c r="BJ683" s="41"/>
    </row>
    <row r="684" spans="2:62" ht="25.15" customHeight="1" x14ac:dyDescent="0.25">
      <c r="B684" s="49">
        <v>679</v>
      </c>
      <c r="C684" s="37"/>
      <c r="D684" s="87" t="str">
        <f>IF(tbl_Assessment[[#This Row],[Ben Code]]&lt;&gt;"",INDEX(tbl_Ben_Info[],MATCH(tbl_Assessment[[#This Row],[Ben Code]],tbl_Ben_Info[Ben Code],0),48),"")</f>
        <v/>
      </c>
      <c r="E684" s="116" t="str">
        <f>IF(tbl_Assessment[[#This Row],[Ben Code]]&lt;&gt;"",INDEX(tbl_Ben_Info[],MATCH(tbl_Assessment[[#This Row],[Ben Code]],tbl_Ben_Info[Ben Code],0),6),"")</f>
        <v/>
      </c>
      <c r="F684" s="113" t="str">
        <f>IF(tbl_Assessment[[#This Row],[Ben Code]]&lt;&gt;"",INDEX(tbl_Ben_Info[],MATCH(tbl_Assessment[[#This Row],[Ben Code]],tbl_Ben_Info[Ben Code],0),13),"")</f>
        <v/>
      </c>
      <c r="G684" s="49"/>
      <c r="H684" s="37"/>
      <c r="I684" s="37"/>
      <c r="J684" s="37"/>
      <c r="K684" s="37"/>
      <c r="L684" s="37"/>
      <c r="M684" s="59"/>
      <c r="N684" s="37"/>
      <c r="O684" s="37"/>
      <c r="P684" s="37"/>
      <c r="Q684" s="59"/>
      <c r="R684" s="49"/>
      <c r="S684" s="37"/>
      <c r="T684" s="37"/>
      <c r="U684" s="37"/>
      <c r="V684" s="37"/>
      <c r="W684" s="96" t="str">
        <f>tbl_Assessment[[#This Row],[Ben Code]] &amp; "-"&amp;tbl_Assessment[[#This Row],[admin4Pcode]]&amp;"-" &amp; TEXT(COUNTIF(INDEX(tbl_Assessment[Ben Code],1):tbl_Assessment[[#This Row],[Ben Code]], tbl_Assessment[[#This Row],[Ben Code]]), "00")</f>
        <v>--00</v>
      </c>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49"/>
      <c r="AU684" s="41"/>
      <c r="AV684" s="37"/>
      <c r="AW684" s="37"/>
      <c r="AX684" s="37"/>
      <c r="AY684" s="37"/>
      <c r="AZ684" s="37"/>
      <c r="BA684" s="37"/>
      <c r="BB684" s="41"/>
      <c r="BC684" s="37"/>
      <c r="BD684" s="37"/>
      <c r="BE684" s="37"/>
      <c r="BF684" s="41"/>
      <c r="BG684" s="37"/>
      <c r="BH684" s="37"/>
      <c r="BI684" s="37"/>
      <c r="BJ684" s="41"/>
    </row>
    <row r="685" spans="2:62" ht="25.15" customHeight="1" x14ac:dyDescent="0.25">
      <c r="B685" s="49">
        <v>680</v>
      </c>
      <c r="C685" s="37"/>
      <c r="D685" s="87" t="str">
        <f>IF(tbl_Assessment[[#This Row],[Ben Code]]&lt;&gt;"",INDEX(tbl_Ben_Info[],MATCH(tbl_Assessment[[#This Row],[Ben Code]],tbl_Ben_Info[Ben Code],0),48),"")</f>
        <v/>
      </c>
      <c r="E685" s="116" t="str">
        <f>IF(tbl_Assessment[[#This Row],[Ben Code]]&lt;&gt;"",INDEX(tbl_Ben_Info[],MATCH(tbl_Assessment[[#This Row],[Ben Code]],tbl_Ben_Info[Ben Code],0),6),"")</f>
        <v/>
      </c>
      <c r="F685" s="113" t="str">
        <f>IF(tbl_Assessment[[#This Row],[Ben Code]]&lt;&gt;"",INDEX(tbl_Ben_Info[],MATCH(tbl_Assessment[[#This Row],[Ben Code]],tbl_Ben_Info[Ben Code],0),13),"")</f>
        <v/>
      </c>
      <c r="G685" s="49"/>
      <c r="H685" s="37"/>
      <c r="I685" s="37"/>
      <c r="J685" s="37"/>
      <c r="K685" s="37"/>
      <c r="L685" s="37"/>
      <c r="M685" s="59"/>
      <c r="N685" s="37"/>
      <c r="O685" s="37"/>
      <c r="P685" s="37"/>
      <c r="Q685" s="59"/>
      <c r="R685" s="49"/>
      <c r="S685" s="37"/>
      <c r="T685" s="37"/>
      <c r="U685" s="37"/>
      <c r="V685" s="37"/>
      <c r="W685" s="96" t="str">
        <f>tbl_Assessment[[#This Row],[Ben Code]] &amp; "-"&amp;tbl_Assessment[[#This Row],[admin4Pcode]]&amp;"-" &amp; TEXT(COUNTIF(INDEX(tbl_Assessment[Ben Code],1):tbl_Assessment[[#This Row],[Ben Code]], tbl_Assessment[[#This Row],[Ben Code]]), "00")</f>
        <v>--00</v>
      </c>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49"/>
      <c r="AU685" s="41"/>
      <c r="AV685" s="37"/>
      <c r="AW685" s="37"/>
      <c r="AX685" s="37"/>
      <c r="AY685" s="37"/>
      <c r="AZ685" s="37"/>
      <c r="BA685" s="37"/>
      <c r="BB685" s="41"/>
      <c r="BC685" s="37"/>
      <c r="BD685" s="37"/>
      <c r="BE685" s="37"/>
      <c r="BF685" s="41"/>
      <c r="BG685" s="37"/>
      <c r="BH685" s="37"/>
      <c r="BI685" s="37"/>
      <c r="BJ685" s="41"/>
    </row>
    <row r="686" spans="2:62" ht="25.15" customHeight="1" x14ac:dyDescent="0.25">
      <c r="B686" s="49">
        <v>681</v>
      </c>
      <c r="C686" s="37"/>
      <c r="D686" s="87" t="str">
        <f>IF(tbl_Assessment[[#This Row],[Ben Code]]&lt;&gt;"",INDEX(tbl_Ben_Info[],MATCH(tbl_Assessment[[#This Row],[Ben Code]],tbl_Ben_Info[Ben Code],0),48),"")</f>
        <v/>
      </c>
      <c r="E686" s="116" t="str">
        <f>IF(tbl_Assessment[[#This Row],[Ben Code]]&lt;&gt;"",INDEX(tbl_Ben_Info[],MATCH(tbl_Assessment[[#This Row],[Ben Code]],tbl_Ben_Info[Ben Code],0),6),"")</f>
        <v/>
      </c>
      <c r="F686" s="113" t="str">
        <f>IF(tbl_Assessment[[#This Row],[Ben Code]]&lt;&gt;"",INDEX(tbl_Ben_Info[],MATCH(tbl_Assessment[[#This Row],[Ben Code]],tbl_Ben_Info[Ben Code],0),13),"")</f>
        <v/>
      </c>
      <c r="G686" s="49"/>
      <c r="H686" s="37"/>
      <c r="I686" s="37"/>
      <c r="J686" s="37"/>
      <c r="K686" s="37"/>
      <c r="L686" s="37"/>
      <c r="M686" s="59"/>
      <c r="N686" s="37"/>
      <c r="O686" s="37"/>
      <c r="P686" s="37"/>
      <c r="Q686" s="59"/>
      <c r="R686" s="49"/>
      <c r="S686" s="37"/>
      <c r="T686" s="37"/>
      <c r="U686" s="37"/>
      <c r="V686" s="37"/>
      <c r="W686" s="96" t="str">
        <f>tbl_Assessment[[#This Row],[Ben Code]] &amp; "-"&amp;tbl_Assessment[[#This Row],[admin4Pcode]]&amp;"-" &amp; TEXT(COUNTIF(INDEX(tbl_Assessment[Ben Code],1):tbl_Assessment[[#This Row],[Ben Code]], tbl_Assessment[[#This Row],[Ben Code]]), "00")</f>
        <v>--00</v>
      </c>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49"/>
      <c r="AU686" s="41"/>
      <c r="AV686" s="37"/>
      <c r="AW686" s="37"/>
      <c r="AX686" s="37"/>
      <c r="AY686" s="37"/>
      <c r="AZ686" s="37"/>
      <c r="BA686" s="37"/>
      <c r="BB686" s="41"/>
      <c r="BC686" s="37"/>
      <c r="BD686" s="37"/>
      <c r="BE686" s="37"/>
      <c r="BF686" s="41"/>
      <c r="BG686" s="37"/>
      <c r="BH686" s="37"/>
      <c r="BI686" s="37"/>
      <c r="BJ686" s="41"/>
    </row>
    <row r="687" spans="2:62" ht="25.15" customHeight="1" x14ac:dyDescent="0.25">
      <c r="B687" s="49">
        <v>682</v>
      </c>
      <c r="C687" s="37"/>
      <c r="D687" s="87" t="str">
        <f>IF(tbl_Assessment[[#This Row],[Ben Code]]&lt;&gt;"",INDEX(tbl_Ben_Info[],MATCH(tbl_Assessment[[#This Row],[Ben Code]],tbl_Ben_Info[Ben Code],0),48),"")</f>
        <v/>
      </c>
      <c r="E687" s="116" t="str">
        <f>IF(tbl_Assessment[[#This Row],[Ben Code]]&lt;&gt;"",INDEX(tbl_Ben_Info[],MATCH(tbl_Assessment[[#This Row],[Ben Code]],tbl_Ben_Info[Ben Code],0),6),"")</f>
        <v/>
      </c>
      <c r="F687" s="113" t="str">
        <f>IF(tbl_Assessment[[#This Row],[Ben Code]]&lt;&gt;"",INDEX(tbl_Ben_Info[],MATCH(tbl_Assessment[[#This Row],[Ben Code]],tbl_Ben_Info[Ben Code],0),13),"")</f>
        <v/>
      </c>
      <c r="G687" s="49"/>
      <c r="H687" s="37"/>
      <c r="I687" s="37"/>
      <c r="J687" s="37"/>
      <c r="K687" s="37"/>
      <c r="L687" s="37"/>
      <c r="M687" s="59"/>
      <c r="N687" s="37"/>
      <c r="O687" s="37"/>
      <c r="P687" s="37"/>
      <c r="Q687" s="59"/>
      <c r="R687" s="49"/>
      <c r="S687" s="37"/>
      <c r="T687" s="37"/>
      <c r="U687" s="37"/>
      <c r="V687" s="37"/>
      <c r="W687" s="96" t="str">
        <f>tbl_Assessment[[#This Row],[Ben Code]] &amp; "-"&amp;tbl_Assessment[[#This Row],[admin4Pcode]]&amp;"-" &amp; TEXT(COUNTIF(INDEX(tbl_Assessment[Ben Code],1):tbl_Assessment[[#This Row],[Ben Code]], tbl_Assessment[[#This Row],[Ben Code]]), "00")</f>
        <v>--00</v>
      </c>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49"/>
      <c r="AU687" s="41"/>
      <c r="AV687" s="37"/>
      <c r="AW687" s="37"/>
      <c r="AX687" s="37"/>
      <c r="AY687" s="37"/>
      <c r="AZ687" s="37"/>
      <c r="BA687" s="37"/>
      <c r="BB687" s="41"/>
      <c r="BC687" s="37"/>
      <c r="BD687" s="37"/>
      <c r="BE687" s="37"/>
      <c r="BF687" s="41"/>
      <c r="BG687" s="37"/>
      <c r="BH687" s="37"/>
      <c r="BI687" s="37"/>
      <c r="BJ687" s="41"/>
    </row>
    <row r="688" spans="2:62" ht="25.15" customHeight="1" x14ac:dyDescent="0.25">
      <c r="B688" s="49">
        <v>683</v>
      </c>
      <c r="C688" s="37"/>
      <c r="D688" s="87" t="str">
        <f>IF(tbl_Assessment[[#This Row],[Ben Code]]&lt;&gt;"",INDEX(tbl_Ben_Info[],MATCH(tbl_Assessment[[#This Row],[Ben Code]],tbl_Ben_Info[Ben Code],0),48),"")</f>
        <v/>
      </c>
      <c r="E688" s="116" t="str">
        <f>IF(tbl_Assessment[[#This Row],[Ben Code]]&lt;&gt;"",INDEX(tbl_Ben_Info[],MATCH(tbl_Assessment[[#This Row],[Ben Code]],tbl_Ben_Info[Ben Code],0),6),"")</f>
        <v/>
      </c>
      <c r="F688" s="113" t="str">
        <f>IF(tbl_Assessment[[#This Row],[Ben Code]]&lt;&gt;"",INDEX(tbl_Ben_Info[],MATCH(tbl_Assessment[[#This Row],[Ben Code]],tbl_Ben_Info[Ben Code],0),13),"")</f>
        <v/>
      </c>
      <c r="G688" s="49"/>
      <c r="H688" s="37"/>
      <c r="I688" s="37"/>
      <c r="J688" s="37"/>
      <c r="K688" s="37"/>
      <c r="L688" s="37"/>
      <c r="M688" s="59"/>
      <c r="N688" s="37"/>
      <c r="O688" s="37"/>
      <c r="P688" s="37"/>
      <c r="Q688" s="59"/>
      <c r="R688" s="49"/>
      <c r="S688" s="37"/>
      <c r="T688" s="37"/>
      <c r="U688" s="37"/>
      <c r="V688" s="37"/>
      <c r="W688" s="96" t="str">
        <f>tbl_Assessment[[#This Row],[Ben Code]] &amp; "-"&amp;tbl_Assessment[[#This Row],[admin4Pcode]]&amp;"-" &amp; TEXT(COUNTIF(INDEX(tbl_Assessment[Ben Code],1):tbl_Assessment[[#This Row],[Ben Code]], tbl_Assessment[[#This Row],[Ben Code]]), "00")</f>
        <v>--00</v>
      </c>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49"/>
      <c r="AU688" s="41"/>
      <c r="AV688" s="37"/>
      <c r="AW688" s="37"/>
      <c r="AX688" s="37"/>
      <c r="AY688" s="37"/>
      <c r="AZ688" s="37"/>
      <c r="BA688" s="37"/>
      <c r="BB688" s="41"/>
      <c r="BC688" s="37"/>
      <c r="BD688" s="37"/>
      <c r="BE688" s="37"/>
      <c r="BF688" s="41"/>
      <c r="BG688" s="37"/>
      <c r="BH688" s="37"/>
      <c r="BI688" s="37"/>
      <c r="BJ688" s="41"/>
    </row>
    <row r="689" spans="2:62" ht="25.15" customHeight="1" x14ac:dyDescent="0.25">
      <c r="B689" s="49">
        <v>684</v>
      </c>
      <c r="C689" s="37"/>
      <c r="D689" s="87" t="str">
        <f>IF(tbl_Assessment[[#This Row],[Ben Code]]&lt;&gt;"",INDEX(tbl_Ben_Info[],MATCH(tbl_Assessment[[#This Row],[Ben Code]],tbl_Ben_Info[Ben Code],0),48),"")</f>
        <v/>
      </c>
      <c r="E689" s="116" t="str">
        <f>IF(tbl_Assessment[[#This Row],[Ben Code]]&lt;&gt;"",INDEX(tbl_Ben_Info[],MATCH(tbl_Assessment[[#This Row],[Ben Code]],tbl_Ben_Info[Ben Code],0),6),"")</f>
        <v/>
      </c>
      <c r="F689" s="113" t="str">
        <f>IF(tbl_Assessment[[#This Row],[Ben Code]]&lt;&gt;"",INDEX(tbl_Ben_Info[],MATCH(tbl_Assessment[[#This Row],[Ben Code]],tbl_Ben_Info[Ben Code],0),13),"")</f>
        <v/>
      </c>
      <c r="G689" s="49"/>
      <c r="H689" s="37"/>
      <c r="I689" s="37"/>
      <c r="J689" s="37"/>
      <c r="K689" s="37"/>
      <c r="L689" s="37"/>
      <c r="M689" s="59"/>
      <c r="N689" s="37"/>
      <c r="O689" s="37"/>
      <c r="P689" s="37"/>
      <c r="Q689" s="59"/>
      <c r="R689" s="49"/>
      <c r="S689" s="37"/>
      <c r="T689" s="37"/>
      <c r="U689" s="37"/>
      <c r="V689" s="37"/>
      <c r="W689" s="96" t="str">
        <f>tbl_Assessment[[#This Row],[Ben Code]] &amp; "-"&amp;tbl_Assessment[[#This Row],[admin4Pcode]]&amp;"-" &amp; TEXT(COUNTIF(INDEX(tbl_Assessment[Ben Code],1):tbl_Assessment[[#This Row],[Ben Code]], tbl_Assessment[[#This Row],[Ben Code]]), "00")</f>
        <v>--00</v>
      </c>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49"/>
      <c r="AU689" s="41"/>
      <c r="AV689" s="37"/>
      <c r="AW689" s="37"/>
      <c r="AX689" s="37"/>
      <c r="AY689" s="37"/>
      <c r="AZ689" s="37"/>
      <c r="BA689" s="37"/>
      <c r="BB689" s="41"/>
      <c r="BC689" s="37"/>
      <c r="BD689" s="37"/>
      <c r="BE689" s="37"/>
      <c r="BF689" s="41"/>
      <c r="BG689" s="37"/>
      <c r="BH689" s="37"/>
      <c r="BI689" s="37"/>
      <c r="BJ689" s="41"/>
    </row>
    <row r="690" spans="2:62" ht="25.15" customHeight="1" x14ac:dyDescent="0.25">
      <c r="B690" s="49">
        <v>685</v>
      </c>
      <c r="C690" s="37"/>
      <c r="D690" s="87" t="str">
        <f>IF(tbl_Assessment[[#This Row],[Ben Code]]&lt;&gt;"",INDEX(tbl_Ben_Info[],MATCH(tbl_Assessment[[#This Row],[Ben Code]],tbl_Ben_Info[Ben Code],0),48),"")</f>
        <v/>
      </c>
      <c r="E690" s="116" t="str">
        <f>IF(tbl_Assessment[[#This Row],[Ben Code]]&lt;&gt;"",INDEX(tbl_Ben_Info[],MATCH(tbl_Assessment[[#This Row],[Ben Code]],tbl_Ben_Info[Ben Code],0),6),"")</f>
        <v/>
      </c>
      <c r="F690" s="113" t="str">
        <f>IF(tbl_Assessment[[#This Row],[Ben Code]]&lt;&gt;"",INDEX(tbl_Ben_Info[],MATCH(tbl_Assessment[[#This Row],[Ben Code]],tbl_Ben_Info[Ben Code],0),13),"")</f>
        <v/>
      </c>
      <c r="G690" s="49"/>
      <c r="H690" s="37"/>
      <c r="I690" s="37"/>
      <c r="J690" s="37"/>
      <c r="K690" s="37"/>
      <c r="L690" s="37"/>
      <c r="M690" s="59"/>
      <c r="N690" s="37"/>
      <c r="O690" s="37"/>
      <c r="P690" s="37"/>
      <c r="Q690" s="59"/>
      <c r="R690" s="49"/>
      <c r="S690" s="37"/>
      <c r="T690" s="37"/>
      <c r="U690" s="37"/>
      <c r="V690" s="37"/>
      <c r="W690" s="96" t="str">
        <f>tbl_Assessment[[#This Row],[Ben Code]] &amp; "-"&amp;tbl_Assessment[[#This Row],[admin4Pcode]]&amp;"-" &amp; TEXT(COUNTIF(INDEX(tbl_Assessment[Ben Code],1):tbl_Assessment[[#This Row],[Ben Code]], tbl_Assessment[[#This Row],[Ben Code]]), "00")</f>
        <v>--00</v>
      </c>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49"/>
      <c r="AU690" s="41"/>
      <c r="AV690" s="37"/>
      <c r="AW690" s="37"/>
      <c r="AX690" s="37"/>
      <c r="AY690" s="37"/>
      <c r="AZ690" s="37"/>
      <c r="BA690" s="37"/>
      <c r="BB690" s="41"/>
      <c r="BC690" s="37"/>
      <c r="BD690" s="37"/>
      <c r="BE690" s="37"/>
      <c r="BF690" s="41"/>
      <c r="BG690" s="37"/>
      <c r="BH690" s="37"/>
      <c r="BI690" s="37"/>
      <c r="BJ690" s="41"/>
    </row>
    <row r="691" spans="2:62" ht="25.15" customHeight="1" x14ac:dyDescent="0.25">
      <c r="B691" s="49">
        <v>686</v>
      </c>
      <c r="C691" s="37"/>
      <c r="D691" s="87" t="str">
        <f>IF(tbl_Assessment[[#This Row],[Ben Code]]&lt;&gt;"",INDEX(tbl_Ben_Info[],MATCH(tbl_Assessment[[#This Row],[Ben Code]],tbl_Ben_Info[Ben Code],0),48),"")</f>
        <v/>
      </c>
      <c r="E691" s="116" t="str">
        <f>IF(tbl_Assessment[[#This Row],[Ben Code]]&lt;&gt;"",INDEX(tbl_Ben_Info[],MATCH(tbl_Assessment[[#This Row],[Ben Code]],tbl_Ben_Info[Ben Code],0),6),"")</f>
        <v/>
      </c>
      <c r="F691" s="113" t="str">
        <f>IF(tbl_Assessment[[#This Row],[Ben Code]]&lt;&gt;"",INDEX(tbl_Ben_Info[],MATCH(tbl_Assessment[[#This Row],[Ben Code]],tbl_Ben_Info[Ben Code],0),13),"")</f>
        <v/>
      </c>
      <c r="G691" s="49"/>
      <c r="H691" s="37"/>
      <c r="I691" s="37"/>
      <c r="J691" s="37"/>
      <c r="K691" s="37"/>
      <c r="L691" s="37"/>
      <c r="M691" s="59"/>
      <c r="N691" s="37"/>
      <c r="O691" s="37"/>
      <c r="P691" s="37"/>
      <c r="Q691" s="59"/>
      <c r="R691" s="49"/>
      <c r="S691" s="37"/>
      <c r="T691" s="37"/>
      <c r="U691" s="37"/>
      <c r="V691" s="37"/>
      <c r="W691" s="96" t="str">
        <f>tbl_Assessment[[#This Row],[Ben Code]] &amp; "-"&amp;tbl_Assessment[[#This Row],[admin4Pcode]]&amp;"-" &amp; TEXT(COUNTIF(INDEX(tbl_Assessment[Ben Code],1):tbl_Assessment[[#This Row],[Ben Code]], tbl_Assessment[[#This Row],[Ben Code]]), "00")</f>
        <v>--00</v>
      </c>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49"/>
      <c r="AU691" s="41"/>
      <c r="AV691" s="37"/>
      <c r="AW691" s="37"/>
      <c r="AX691" s="37"/>
      <c r="AY691" s="37"/>
      <c r="AZ691" s="37"/>
      <c r="BA691" s="37"/>
      <c r="BB691" s="41"/>
      <c r="BC691" s="37"/>
      <c r="BD691" s="37"/>
      <c r="BE691" s="37"/>
      <c r="BF691" s="41"/>
      <c r="BG691" s="37"/>
      <c r="BH691" s="37"/>
      <c r="BI691" s="37"/>
      <c r="BJ691" s="41"/>
    </row>
    <row r="692" spans="2:62" ht="25.15" customHeight="1" x14ac:dyDescent="0.25">
      <c r="B692" s="49">
        <v>687</v>
      </c>
      <c r="C692" s="37"/>
      <c r="D692" s="87" t="str">
        <f>IF(tbl_Assessment[[#This Row],[Ben Code]]&lt;&gt;"",INDEX(tbl_Ben_Info[],MATCH(tbl_Assessment[[#This Row],[Ben Code]],tbl_Ben_Info[Ben Code],0),48),"")</f>
        <v/>
      </c>
      <c r="E692" s="116" t="str">
        <f>IF(tbl_Assessment[[#This Row],[Ben Code]]&lt;&gt;"",INDEX(tbl_Ben_Info[],MATCH(tbl_Assessment[[#This Row],[Ben Code]],tbl_Ben_Info[Ben Code],0),6),"")</f>
        <v/>
      </c>
      <c r="F692" s="113" t="str">
        <f>IF(tbl_Assessment[[#This Row],[Ben Code]]&lt;&gt;"",INDEX(tbl_Ben_Info[],MATCH(tbl_Assessment[[#This Row],[Ben Code]],tbl_Ben_Info[Ben Code],0),13),"")</f>
        <v/>
      </c>
      <c r="G692" s="49"/>
      <c r="H692" s="37"/>
      <c r="I692" s="37"/>
      <c r="J692" s="37"/>
      <c r="K692" s="37"/>
      <c r="L692" s="37"/>
      <c r="M692" s="59"/>
      <c r="N692" s="37"/>
      <c r="O692" s="37"/>
      <c r="P692" s="37"/>
      <c r="Q692" s="59"/>
      <c r="R692" s="49"/>
      <c r="S692" s="37"/>
      <c r="T692" s="37"/>
      <c r="U692" s="37"/>
      <c r="V692" s="37"/>
      <c r="W692" s="96" t="str">
        <f>tbl_Assessment[[#This Row],[Ben Code]] &amp; "-"&amp;tbl_Assessment[[#This Row],[admin4Pcode]]&amp;"-" &amp; TEXT(COUNTIF(INDEX(tbl_Assessment[Ben Code],1):tbl_Assessment[[#This Row],[Ben Code]], tbl_Assessment[[#This Row],[Ben Code]]), "00")</f>
        <v>--00</v>
      </c>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49"/>
      <c r="AU692" s="41"/>
      <c r="AV692" s="37"/>
      <c r="AW692" s="37"/>
      <c r="AX692" s="37"/>
      <c r="AY692" s="37"/>
      <c r="AZ692" s="37"/>
      <c r="BA692" s="37"/>
      <c r="BB692" s="41"/>
      <c r="BC692" s="37"/>
      <c r="BD692" s="37"/>
      <c r="BE692" s="37"/>
      <c r="BF692" s="41"/>
      <c r="BG692" s="37"/>
      <c r="BH692" s="37"/>
      <c r="BI692" s="37"/>
      <c r="BJ692" s="41"/>
    </row>
    <row r="693" spans="2:62" ht="25.15" customHeight="1" x14ac:dyDescent="0.25">
      <c r="B693" s="49">
        <v>688</v>
      </c>
      <c r="C693" s="37"/>
      <c r="D693" s="87" t="str">
        <f>IF(tbl_Assessment[[#This Row],[Ben Code]]&lt;&gt;"",INDEX(tbl_Ben_Info[],MATCH(tbl_Assessment[[#This Row],[Ben Code]],tbl_Ben_Info[Ben Code],0),48),"")</f>
        <v/>
      </c>
      <c r="E693" s="116" t="str">
        <f>IF(tbl_Assessment[[#This Row],[Ben Code]]&lt;&gt;"",INDEX(tbl_Ben_Info[],MATCH(tbl_Assessment[[#This Row],[Ben Code]],tbl_Ben_Info[Ben Code],0),6),"")</f>
        <v/>
      </c>
      <c r="F693" s="113" t="str">
        <f>IF(tbl_Assessment[[#This Row],[Ben Code]]&lt;&gt;"",INDEX(tbl_Ben_Info[],MATCH(tbl_Assessment[[#This Row],[Ben Code]],tbl_Ben_Info[Ben Code],0),13),"")</f>
        <v/>
      </c>
      <c r="G693" s="49"/>
      <c r="H693" s="37"/>
      <c r="I693" s="37"/>
      <c r="J693" s="37"/>
      <c r="K693" s="37"/>
      <c r="L693" s="37"/>
      <c r="M693" s="59"/>
      <c r="N693" s="37"/>
      <c r="O693" s="37"/>
      <c r="P693" s="37"/>
      <c r="Q693" s="59"/>
      <c r="R693" s="49"/>
      <c r="S693" s="37"/>
      <c r="T693" s="37"/>
      <c r="U693" s="37"/>
      <c r="V693" s="37"/>
      <c r="W693" s="96" t="str">
        <f>tbl_Assessment[[#This Row],[Ben Code]] &amp; "-"&amp;tbl_Assessment[[#This Row],[admin4Pcode]]&amp;"-" &amp; TEXT(COUNTIF(INDEX(tbl_Assessment[Ben Code],1):tbl_Assessment[[#This Row],[Ben Code]], tbl_Assessment[[#This Row],[Ben Code]]), "00")</f>
        <v>--00</v>
      </c>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49"/>
      <c r="AU693" s="41"/>
      <c r="AV693" s="37"/>
      <c r="AW693" s="37"/>
      <c r="AX693" s="37"/>
      <c r="AY693" s="37"/>
      <c r="AZ693" s="37"/>
      <c r="BA693" s="37"/>
      <c r="BB693" s="41"/>
      <c r="BC693" s="37"/>
      <c r="BD693" s="37"/>
      <c r="BE693" s="37"/>
      <c r="BF693" s="41"/>
      <c r="BG693" s="37"/>
      <c r="BH693" s="37"/>
      <c r="BI693" s="37"/>
      <c r="BJ693" s="41"/>
    </row>
    <row r="694" spans="2:62" ht="25.15" customHeight="1" x14ac:dyDescent="0.25">
      <c r="B694" s="49">
        <v>689</v>
      </c>
      <c r="C694" s="37"/>
      <c r="D694" s="87" t="str">
        <f>IF(tbl_Assessment[[#This Row],[Ben Code]]&lt;&gt;"",INDEX(tbl_Ben_Info[],MATCH(tbl_Assessment[[#This Row],[Ben Code]],tbl_Ben_Info[Ben Code],0),48),"")</f>
        <v/>
      </c>
      <c r="E694" s="116" t="str">
        <f>IF(tbl_Assessment[[#This Row],[Ben Code]]&lt;&gt;"",INDEX(tbl_Ben_Info[],MATCH(tbl_Assessment[[#This Row],[Ben Code]],tbl_Ben_Info[Ben Code],0),6),"")</f>
        <v/>
      </c>
      <c r="F694" s="113" t="str">
        <f>IF(tbl_Assessment[[#This Row],[Ben Code]]&lt;&gt;"",INDEX(tbl_Ben_Info[],MATCH(tbl_Assessment[[#This Row],[Ben Code]],tbl_Ben_Info[Ben Code],0),13),"")</f>
        <v/>
      </c>
      <c r="G694" s="49"/>
      <c r="H694" s="37"/>
      <c r="I694" s="37"/>
      <c r="J694" s="37"/>
      <c r="K694" s="37"/>
      <c r="L694" s="37"/>
      <c r="M694" s="59"/>
      <c r="N694" s="37"/>
      <c r="O694" s="37"/>
      <c r="P694" s="37"/>
      <c r="Q694" s="59"/>
      <c r="R694" s="49"/>
      <c r="S694" s="37"/>
      <c r="T694" s="37"/>
      <c r="U694" s="37"/>
      <c r="V694" s="37"/>
      <c r="W694" s="96" t="str">
        <f>tbl_Assessment[[#This Row],[Ben Code]] &amp; "-"&amp;tbl_Assessment[[#This Row],[admin4Pcode]]&amp;"-" &amp; TEXT(COUNTIF(INDEX(tbl_Assessment[Ben Code],1):tbl_Assessment[[#This Row],[Ben Code]], tbl_Assessment[[#This Row],[Ben Code]]), "00")</f>
        <v>--00</v>
      </c>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49"/>
      <c r="AU694" s="41"/>
      <c r="AV694" s="37"/>
      <c r="AW694" s="37"/>
      <c r="AX694" s="37"/>
      <c r="AY694" s="37"/>
      <c r="AZ694" s="37"/>
      <c r="BA694" s="37"/>
      <c r="BB694" s="41"/>
      <c r="BC694" s="37"/>
      <c r="BD694" s="37"/>
      <c r="BE694" s="37"/>
      <c r="BF694" s="41"/>
      <c r="BG694" s="37"/>
      <c r="BH694" s="37"/>
      <c r="BI694" s="37"/>
      <c r="BJ694" s="41"/>
    </row>
    <row r="695" spans="2:62" ht="25.15" customHeight="1" x14ac:dyDescent="0.25">
      <c r="B695" s="49">
        <v>690</v>
      </c>
      <c r="C695" s="37"/>
      <c r="D695" s="87" t="str">
        <f>IF(tbl_Assessment[[#This Row],[Ben Code]]&lt;&gt;"",INDEX(tbl_Ben_Info[],MATCH(tbl_Assessment[[#This Row],[Ben Code]],tbl_Ben_Info[Ben Code],0),48),"")</f>
        <v/>
      </c>
      <c r="E695" s="116" t="str">
        <f>IF(tbl_Assessment[[#This Row],[Ben Code]]&lt;&gt;"",INDEX(tbl_Ben_Info[],MATCH(tbl_Assessment[[#This Row],[Ben Code]],tbl_Ben_Info[Ben Code],0),6),"")</f>
        <v/>
      </c>
      <c r="F695" s="113" t="str">
        <f>IF(tbl_Assessment[[#This Row],[Ben Code]]&lt;&gt;"",INDEX(tbl_Ben_Info[],MATCH(tbl_Assessment[[#This Row],[Ben Code]],tbl_Ben_Info[Ben Code],0),13),"")</f>
        <v/>
      </c>
      <c r="G695" s="49"/>
      <c r="H695" s="37"/>
      <c r="I695" s="37"/>
      <c r="J695" s="37"/>
      <c r="K695" s="37"/>
      <c r="L695" s="37"/>
      <c r="M695" s="59"/>
      <c r="N695" s="37"/>
      <c r="O695" s="37"/>
      <c r="P695" s="37"/>
      <c r="Q695" s="59"/>
      <c r="R695" s="49"/>
      <c r="S695" s="37"/>
      <c r="T695" s="37"/>
      <c r="U695" s="37"/>
      <c r="V695" s="37"/>
      <c r="W695" s="96" t="str">
        <f>tbl_Assessment[[#This Row],[Ben Code]] &amp; "-"&amp;tbl_Assessment[[#This Row],[admin4Pcode]]&amp;"-" &amp; TEXT(COUNTIF(INDEX(tbl_Assessment[Ben Code],1):tbl_Assessment[[#This Row],[Ben Code]], tbl_Assessment[[#This Row],[Ben Code]]), "00")</f>
        <v>--00</v>
      </c>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49"/>
      <c r="AU695" s="41"/>
      <c r="AV695" s="37"/>
      <c r="AW695" s="37"/>
      <c r="AX695" s="37"/>
      <c r="AY695" s="37"/>
      <c r="AZ695" s="37"/>
      <c r="BA695" s="37"/>
      <c r="BB695" s="41"/>
      <c r="BC695" s="37"/>
      <c r="BD695" s="37"/>
      <c r="BE695" s="37"/>
      <c r="BF695" s="41"/>
      <c r="BG695" s="37"/>
      <c r="BH695" s="37"/>
      <c r="BI695" s="37"/>
      <c r="BJ695" s="41"/>
    </row>
    <row r="696" spans="2:62" ht="25.15" customHeight="1" x14ac:dyDescent="0.25">
      <c r="B696" s="49">
        <v>691</v>
      </c>
      <c r="C696" s="37"/>
      <c r="D696" s="87" t="str">
        <f>IF(tbl_Assessment[[#This Row],[Ben Code]]&lt;&gt;"",INDEX(tbl_Ben_Info[],MATCH(tbl_Assessment[[#This Row],[Ben Code]],tbl_Ben_Info[Ben Code],0),48),"")</f>
        <v/>
      </c>
      <c r="E696" s="116" t="str">
        <f>IF(tbl_Assessment[[#This Row],[Ben Code]]&lt;&gt;"",INDEX(tbl_Ben_Info[],MATCH(tbl_Assessment[[#This Row],[Ben Code]],tbl_Ben_Info[Ben Code],0),6),"")</f>
        <v/>
      </c>
      <c r="F696" s="113" t="str">
        <f>IF(tbl_Assessment[[#This Row],[Ben Code]]&lt;&gt;"",INDEX(tbl_Ben_Info[],MATCH(tbl_Assessment[[#This Row],[Ben Code]],tbl_Ben_Info[Ben Code],0),13),"")</f>
        <v/>
      </c>
      <c r="G696" s="49"/>
      <c r="H696" s="37"/>
      <c r="I696" s="37"/>
      <c r="J696" s="37"/>
      <c r="K696" s="37"/>
      <c r="L696" s="37"/>
      <c r="M696" s="59"/>
      <c r="N696" s="37"/>
      <c r="O696" s="37"/>
      <c r="P696" s="37"/>
      <c r="Q696" s="59"/>
      <c r="R696" s="49"/>
      <c r="S696" s="37"/>
      <c r="T696" s="37"/>
      <c r="U696" s="37"/>
      <c r="V696" s="37"/>
      <c r="W696" s="96" t="str">
        <f>tbl_Assessment[[#This Row],[Ben Code]] &amp; "-"&amp;tbl_Assessment[[#This Row],[admin4Pcode]]&amp;"-" &amp; TEXT(COUNTIF(INDEX(tbl_Assessment[Ben Code],1):tbl_Assessment[[#This Row],[Ben Code]], tbl_Assessment[[#This Row],[Ben Code]]), "00")</f>
        <v>--00</v>
      </c>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49"/>
      <c r="AU696" s="41"/>
      <c r="AV696" s="37"/>
      <c r="AW696" s="37"/>
      <c r="AX696" s="37"/>
      <c r="AY696" s="37"/>
      <c r="AZ696" s="37"/>
      <c r="BA696" s="37"/>
      <c r="BB696" s="41"/>
      <c r="BC696" s="37"/>
      <c r="BD696" s="37"/>
      <c r="BE696" s="37"/>
      <c r="BF696" s="41"/>
      <c r="BG696" s="37"/>
      <c r="BH696" s="37"/>
      <c r="BI696" s="37"/>
      <c r="BJ696" s="41"/>
    </row>
    <row r="697" spans="2:62" ht="25.15" customHeight="1" x14ac:dyDescent="0.25">
      <c r="B697" s="49">
        <v>692</v>
      </c>
      <c r="C697" s="37"/>
      <c r="D697" s="87" t="str">
        <f>IF(tbl_Assessment[[#This Row],[Ben Code]]&lt;&gt;"",INDEX(tbl_Ben_Info[],MATCH(tbl_Assessment[[#This Row],[Ben Code]],tbl_Ben_Info[Ben Code],0),48),"")</f>
        <v/>
      </c>
      <c r="E697" s="116" t="str">
        <f>IF(tbl_Assessment[[#This Row],[Ben Code]]&lt;&gt;"",INDEX(tbl_Ben_Info[],MATCH(tbl_Assessment[[#This Row],[Ben Code]],tbl_Ben_Info[Ben Code],0),6),"")</f>
        <v/>
      </c>
      <c r="F697" s="113" t="str">
        <f>IF(tbl_Assessment[[#This Row],[Ben Code]]&lt;&gt;"",INDEX(tbl_Ben_Info[],MATCH(tbl_Assessment[[#This Row],[Ben Code]],tbl_Ben_Info[Ben Code],0),13),"")</f>
        <v/>
      </c>
      <c r="G697" s="49"/>
      <c r="H697" s="37"/>
      <c r="I697" s="37"/>
      <c r="J697" s="37"/>
      <c r="K697" s="37"/>
      <c r="L697" s="37"/>
      <c r="M697" s="59"/>
      <c r="N697" s="37"/>
      <c r="O697" s="37"/>
      <c r="P697" s="37"/>
      <c r="Q697" s="59"/>
      <c r="R697" s="49"/>
      <c r="S697" s="37"/>
      <c r="T697" s="37"/>
      <c r="U697" s="37"/>
      <c r="V697" s="37"/>
      <c r="W697" s="96" t="str">
        <f>tbl_Assessment[[#This Row],[Ben Code]] &amp; "-"&amp;tbl_Assessment[[#This Row],[admin4Pcode]]&amp;"-" &amp; TEXT(COUNTIF(INDEX(tbl_Assessment[Ben Code],1):tbl_Assessment[[#This Row],[Ben Code]], tbl_Assessment[[#This Row],[Ben Code]]), "00")</f>
        <v>--00</v>
      </c>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49"/>
      <c r="AU697" s="41"/>
      <c r="AV697" s="37"/>
      <c r="AW697" s="37"/>
      <c r="AX697" s="37"/>
      <c r="AY697" s="37"/>
      <c r="AZ697" s="37"/>
      <c r="BA697" s="37"/>
      <c r="BB697" s="41"/>
      <c r="BC697" s="37"/>
      <c r="BD697" s="37"/>
      <c r="BE697" s="37"/>
      <c r="BF697" s="41"/>
      <c r="BG697" s="37"/>
      <c r="BH697" s="37"/>
      <c r="BI697" s="37"/>
      <c r="BJ697" s="41"/>
    </row>
    <row r="698" spans="2:62" ht="25.15" customHeight="1" x14ac:dyDescent="0.25">
      <c r="B698" s="49">
        <v>693</v>
      </c>
      <c r="C698" s="37"/>
      <c r="D698" s="87" t="str">
        <f>IF(tbl_Assessment[[#This Row],[Ben Code]]&lt;&gt;"",INDEX(tbl_Ben_Info[],MATCH(tbl_Assessment[[#This Row],[Ben Code]],tbl_Ben_Info[Ben Code],0),48),"")</f>
        <v/>
      </c>
      <c r="E698" s="116" t="str">
        <f>IF(tbl_Assessment[[#This Row],[Ben Code]]&lt;&gt;"",INDEX(tbl_Ben_Info[],MATCH(tbl_Assessment[[#This Row],[Ben Code]],tbl_Ben_Info[Ben Code],0),6),"")</f>
        <v/>
      </c>
      <c r="F698" s="113" t="str">
        <f>IF(tbl_Assessment[[#This Row],[Ben Code]]&lt;&gt;"",INDEX(tbl_Ben_Info[],MATCH(tbl_Assessment[[#This Row],[Ben Code]],tbl_Ben_Info[Ben Code],0),13),"")</f>
        <v/>
      </c>
      <c r="G698" s="49"/>
      <c r="H698" s="37"/>
      <c r="I698" s="37"/>
      <c r="J698" s="37"/>
      <c r="K698" s="37"/>
      <c r="L698" s="37"/>
      <c r="M698" s="59"/>
      <c r="N698" s="37"/>
      <c r="O698" s="37"/>
      <c r="P698" s="37"/>
      <c r="Q698" s="59"/>
      <c r="R698" s="49"/>
      <c r="S698" s="37"/>
      <c r="T698" s="37"/>
      <c r="U698" s="37"/>
      <c r="V698" s="37"/>
      <c r="W698" s="96" t="str">
        <f>tbl_Assessment[[#This Row],[Ben Code]] &amp; "-"&amp;tbl_Assessment[[#This Row],[admin4Pcode]]&amp;"-" &amp; TEXT(COUNTIF(INDEX(tbl_Assessment[Ben Code],1):tbl_Assessment[[#This Row],[Ben Code]], tbl_Assessment[[#This Row],[Ben Code]]), "00")</f>
        <v>--00</v>
      </c>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49"/>
      <c r="AU698" s="41"/>
      <c r="AV698" s="37"/>
      <c r="AW698" s="37"/>
      <c r="AX698" s="37"/>
      <c r="AY698" s="37"/>
      <c r="AZ698" s="37"/>
      <c r="BA698" s="37"/>
      <c r="BB698" s="41"/>
      <c r="BC698" s="37"/>
      <c r="BD698" s="37"/>
      <c r="BE698" s="37"/>
      <c r="BF698" s="41"/>
      <c r="BG698" s="37"/>
      <c r="BH698" s="37"/>
      <c r="BI698" s="37"/>
      <c r="BJ698" s="41"/>
    </row>
    <row r="699" spans="2:62" ht="25.15" customHeight="1" x14ac:dyDescent="0.25">
      <c r="B699" s="49">
        <v>694</v>
      </c>
      <c r="C699" s="37"/>
      <c r="D699" s="87" t="str">
        <f>IF(tbl_Assessment[[#This Row],[Ben Code]]&lt;&gt;"",INDEX(tbl_Ben_Info[],MATCH(tbl_Assessment[[#This Row],[Ben Code]],tbl_Ben_Info[Ben Code],0),48),"")</f>
        <v/>
      </c>
      <c r="E699" s="116" t="str">
        <f>IF(tbl_Assessment[[#This Row],[Ben Code]]&lt;&gt;"",INDEX(tbl_Ben_Info[],MATCH(tbl_Assessment[[#This Row],[Ben Code]],tbl_Ben_Info[Ben Code],0),6),"")</f>
        <v/>
      </c>
      <c r="F699" s="113" t="str">
        <f>IF(tbl_Assessment[[#This Row],[Ben Code]]&lt;&gt;"",INDEX(tbl_Ben_Info[],MATCH(tbl_Assessment[[#This Row],[Ben Code]],tbl_Ben_Info[Ben Code],0),13),"")</f>
        <v/>
      </c>
      <c r="G699" s="49"/>
      <c r="H699" s="37"/>
      <c r="I699" s="37"/>
      <c r="J699" s="37"/>
      <c r="K699" s="37"/>
      <c r="L699" s="37"/>
      <c r="M699" s="59"/>
      <c r="N699" s="37"/>
      <c r="O699" s="37"/>
      <c r="P699" s="37"/>
      <c r="Q699" s="59"/>
      <c r="R699" s="49"/>
      <c r="S699" s="37"/>
      <c r="T699" s="37"/>
      <c r="U699" s="37"/>
      <c r="V699" s="37"/>
      <c r="W699" s="96" t="str">
        <f>tbl_Assessment[[#This Row],[Ben Code]] &amp; "-"&amp;tbl_Assessment[[#This Row],[admin4Pcode]]&amp;"-" &amp; TEXT(COUNTIF(INDEX(tbl_Assessment[Ben Code],1):tbl_Assessment[[#This Row],[Ben Code]], tbl_Assessment[[#This Row],[Ben Code]]), "00")</f>
        <v>--00</v>
      </c>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49"/>
      <c r="AU699" s="41"/>
      <c r="AV699" s="37"/>
      <c r="AW699" s="37"/>
      <c r="AX699" s="37"/>
      <c r="AY699" s="37"/>
      <c r="AZ699" s="37"/>
      <c r="BA699" s="37"/>
      <c r="BB699" s="41"/>
      <c r="BC699" s="37"/>
      <c r="BD699" s="37"/>
      <c r="BE699" s="37"/>
      <c r="BF699" s="41"/>
      <c r="BG699" s="37"/>
      <c r="BH699" s="37"/>
      <c r="BI699" s="37"/>
      <c r="BJ699" s="41"/>
    </row>
    <row r="700" spans="2:62" ht="25.15" customHeight="1" x14ac:dyDescent="0.25">
      <c r="B700" s="49">
        <v>695</v>
      </c>
      <c r="C700" s="37"/>
      <c r="D700" s="87" t="str">
        <f>IF(tbl_Assessment[[#This Row],[Ben Code]]&lt;&gt;"",INDEX(tbl_Ben_Info[],MATCH(tbl_Assessment[[#This Row],[Ben Code]],tbl_Ben_Info[Ben Code],0),48),"")</f>
        <v/>
      </c>
      <c r="E700" s="116" t="str">
        <f>IF(tbl_Assessment[[#This Row],[Ben Code]]&lt;&gt;"",INDEX(tbl_Ben_Info[],MATCH(tbl_Assessment[[#This Row],[Ben Code]],tbl_Ben_Info[Ben Code],0),6),"")</f>
        <v/>
      </c>
      <c r="F700" s="113" t="str">
        <f>IF(tbl_Assessment[[#This Row],[Ben Code]]&lt;&gt;"",INDEX(tbl_Ben_Info[],MATCH(tbl_Assessment[[#This Row],[Ben Code]],tbl_Ben_Info[Ben Code],0),13),"")</f>
        <v/>
      </c>
      <c r="G700" s="49"/>
      <c r="H700" s="37"/>
      <c r="I700" s="37"/>
      <c r="J700" s="37"/>
      <c r="K700" s="37"/>
      <c r="L700" s="37"/>
      <c r="M700" s="59"/>
      <c r="N700" s="37"/>
      <c r="O700" s="37"/>
      <c r="P700" s="37"/>
      <c r="Q700" s="59"/>
      <c r="R700" s="49"/>
      <c r="S700" s="37"/>
      <c r="T700" s="37"/>
      <c r="U700" s="37"/>
      <c r="V700" s="37"/>
      <c r="W700" s="96" t="str">
        <f>tbl_Assessment[[#This Row],[Ben Code]] &amp; "-"&amp;tbl_Assessment[[#This Row],[admin4Pcode]]&amp;"-" &amp; TEXT(COUNTIF(INDEX(tbl_Assessment[Ben Code],1):tbl_Assessment[[#This Row],[Ben Code]], tbl_Assessment[[#This Row],[Ben Code]]), "00")</f>
        <v>--00</v>
      </c>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49"/>
      <c r="AU700" s="41"/>
      <c r="AV700" s="37"/>
      <c r="AW700" s="37"/>
      <c r="AX700" s="37"/>
      <c r="AY700" s="37"/>
      <c r="AZ700" s="37"/>
      <c r="BA700" s="37"/>
      <c r="BB700" s="41"/>
      <c r="BC700" s="37"/>
      <c r="BD700" s="37"/>
      <c r="BE700" s="37"/>
      <c r="BF700" s="41"/>
      <c r="BG700" s="37"/>
      <c r="BH700" s="37"/>
      <c r="BI700" s="37"/>
      <c r="BJ700" s="41"/>
    </row>
    <row r="701" spans="2:62" ht="25.15" customHeight="1" x14ac:dyDescent="0.25">
      <c r="B701" s="49">
        <v>696</v>
      </c>
      <c r="C701" s="37"/>
      <c r="D701" s="87" t="str">
        <f>IF(tbl_Assessment[[#This Row],[Ben Code]]&lt;&gt;"",INDEX(tbl_Ben_Info[],MATCH(tbl_Assessment[[#This Row],[Ben Code]],tbl_Ben_Info[Ben Code],0),48),"")</f>
        <v/>
      </c>
      <c r="E701" s="116" t="str">
        <f>IF(tbl_Assessment[[#This Row],[Ben Code]]&lt;&gt;"",INDEX(tbl_Ben_Info[],MATCH(tbl_Assessment[[#This Row],[Ben Code]],tbl_Ben_Info[Ben Code],0),6),"")</f>
        <v/>
      </c>
      <c r="F701" s="113" t="str">
        <f>IF(tbl_Assessment[[#This Row],[Ben Code]]&lt;&gt;"",INDEX(tbl_Ben_Info[],MATCH(tbl_Assessment[[#This Row],[Ben Code]],tbl_Ben_Info[Ben Code],0),13),"")</f>
        <v/>
      </c>
      <c r="G701" s="49"/>
      <c r="H701" s="37"/>
      <c r="I701" s="37"/>
      <c r="J701" s="37"/>
      <c r="K701" s="37"/>
      <c r="L701" s="37"/>
      <c r="M701" s="59"/>
      <c r="N701" s="37"/>
      <c r="O701" s="37"/>
      <c r="P701" s="37"/>
      <c r="Q701" s="59"/>
      <c r="R701" s="49"/>
      <c r="S701" s="37"/>
      <c r="T701" s="37"/>
      <c r="U701" s="37"/>
      <c r="V701" s="37"/>
      <c r="W701" s="96" t="str">
        <f>tbl_Assessment[[#This Row],[Ben Code]] &amp; "-"&amp;tbl_Assessment[[#This Row],[admin4Pcode]]&amp;"-" &amp; TEXT(COUNTIF(INDEX(tbl_Assessment[Ben Code],1):tbl_Assessment[[#This Row],[Ben Code]], tbl_Assessment[[#This Row],[Ben Code]]), "00")</f>
        <v>--00</v>
      </c>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49"/>
      <c r="AU701" s="41"/>
      <c r="AV701" s="37"/>
      <c r="AW701" s="37"/>
      <c r="AX701" s="37"/>
      <c r="AY701" s="37"/>
      <c r="AZ701" s="37"/>
      <c r="BA701" s="37"/>
      <c r="BB701" s="41"/>
      <c r="BC701" s="37"/>
      <c r="BD701" s="37"/>
      <c r="BE701" s="37"/>
      <c r="BF701" s="41"/>
      <c r="BG701" s="37"/>
      <c r="BH701" s="37"/>
      <c r="BI701" s="37"/>
      <c r="BJ701" s="41"/>
    </row>
    <row r="702" spans="2:62" ht="25.15" customHeight="1" x14ac:dyDescent="0.25">
      <c r="B702" s="49">
        <v>697</v>
      </c>
      <c r="C702" s="37"/>
      <c r="D702" s="87" t="str">
        <f>IF(tbl_Assessment[[#This Row],[Ben Code]]&lt;&gt;"",INDEX(tbl_Ben_Info[],MATCH(tbl_Assessment[[#This Row],[Ben Code]],tbl_Ben_Info[Ben Code],0),48),"")</f>
        <v/>
      </c>
      <c r="E702" s="116" t="str">
        <f>IF(tbl_Assessment[[#This Row],[Ben Code]]&lt;&gt;"",INDEX(tbl_Ben_Info[],MATCH(tbl_Assessment[[#This Row],[Ben Code]],tbl_Ben_Info[Ben Code],0),6),"")</f>
        <v/>
      </c>
      <c r="F702" s="113" t="str">
        <f>IF(tbl_Assessment[[#This Row],[Ben Code]]&lt;&gt;"",INDEX(tbl_Ben_Info[],MATCH(tbl_Assessment[[#This Row],[Ben Code]],tbl_Ben_Info[Ben Code],0),13),"")</f>
        <v/>
      </c>
      <c r="G702" s="49"/>
      <c r="H702" s="37"/>
      <c r="I702" s="37"/>
      <c r="J702" s="37"/>
      <c r="K702" s="37"/>
      <c r="L702" s="37"/>
      <c r="M702" s="59"/>
      <c r="N702" s="37"/>
      <c r="O702" s="37"/>
      <c r="P702" s="37"/>
      <c r="Q702" s="59"/>
      <c r="R702" s="49"/>
      <c r="S702" s="37"/>
      <c r="T702" s="37"/>
      <c r="U702" s="37"/>
      <c r="V702" s="37"/>
      <c r="W702" s="96" t="str">
        <f>tbl_Assessment[[#This Row],[Ben Code]] &amp; "-"&amp;tbl_Assessment[[#This Row],[admin4Pcode]]&amp;"-" &amp; TEXT(COUNTIF(INDEX(tbl_Assessment[Ben Code],1):tbl_Assessment[[#This Row],[Ben Code]], tbl_Assessment[[#This Row],[Ben Code]]), "00")</f>
        <v>--00</v>
      </c>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49"/>
      <c r="AU702" s="41"/>
      <c r="AV702" s="37"/>
      <c r="AW702" s="37"/>
      <c r="AX702" s="37"/>
      <c r="AY702" s="37"/>
      <c r="AZ702" s="37"/>
      <c r="BA702" s="37"/>
      <c r="BB702" s="41"/>
      <c r="BC702" s="37"/>
      <c r="BD702" s="37"/>
      <c r="BE702" s="37"/>
      <c r="BF702" s="41"/>
      <c r="BG702" s="37"/>
      <c r="BH702" s="37"/>
      <c r="BI702" s="37"/>
      <c r="BJ702" s="41"/>
    </row>
    <row r="703" spans="2:62" ht="25.15" customHeight="1" x14ac:dyDescent="0.25">
      <c r="B703" s="49">
        <v>698</v>
      </c>
      <c r="C703" s="37"/>
      <c r="D703" s="87" t="str">
        <f>IF(tbl_Assessment[[#This Row],[Ben Code]]&lt;&gt;"",INDEX(tbl_Ben_Info[],MATCH(tbl_Assessment[[#This Row],[Ben Code]],tbl_Ben_Info[Ben Code],0),48),"")</f>
        <v/>
      </c>
      <c r="E703" s="116" t="str">
        <f>IF(tbl_Assessment[[#This Row],[Ben Code]]&lt;&gt;"",INDEX(tbl_Ben_Info[],MATCH(tbl_Assessment[[#This Row],[Ben Code]],tbl_Ben_Info[Ben Code],0),6),"")</f>
        <v/>
      </c>
      <c r="F703" s="113" t="str">
        <f>IF(tbl_Assessment[[#This Row],[Ben Code]]&lt;&gt;"",INDEX(tbl_Ben_Info[],MATCH(tbl_Assessment[[#This Row],[Ben Code]],tbl_Ben_Info[Ben Code],0),13),"")</f>
        <v/>
      </c>
      <c r="G703" s="49"/>
      <c r="H703" s="37"/>
      <c r="I703" s="37"/>
      <c r="J703" s="37"/>
      <c r="K703" s="37"/>
      <c r="L703" s="37"/>
      <c r="M703" s="59"/>
      <c r="N703" s="37"/>
      <c r="O703" s="37"/>
      <c r="P703" s="37"/>
      <c r="Q703" s="59"/>
      <c r="R703" s="49"/>
      <c r="S703" s="37"/>
      <c r="T703" s="37"/>
      <c r="U703" s="37"/>
      <c r="V703" s="37"/>
      <c r="W703" s="96" t="str">
        <f>tbl_Assessment[[#This Row],[Ben Code]] &amp; "-"&amp;tbl_Assessment[[#This Row],[admin4Pcode]]&amp;"-" &amp; TEXT(COUNTIF(INDEX(tbl_Assessment[Ben Code],1):tbl_Assessment[[#This Row],[Ben Code]], tbl_Assessment[[#This Row],[Ben Code]]), "00")</f>
        <v>--00</v>
      </c>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49"/>
      <c r="AU703" s="41"/>
      <c r="AV703" s="37"/>
      <c r="AW703" s="37"/>
      <c r="AX703" s="37"/>
      <c r="AY703" s="37"/>
      <c r="AZ703" s="37"/>
      <c r="BA703" s="37"/>
      <c r="BB703" s="41"/>
      <c r="BC703" s="37"/>
      <c r="BD703" s="37"/>
      <c r="BE703" s="37"/>
      <c r="BF703" s="41"/>
      <c r="BG703" s="37"/>
      <c r="BH703" s="37"/>
      <c r="BI703" s="37"/>
      <c r="BJ703" s="41"/>
    </row>
    <row r="704" spans="2:62" ht="25.15" customHeight="1" x14ac:dyDescent="0.25">
      <c r="B704" s="49">
        <v>699</v>
      </c>
      <c r="C704" s="37"/>
      <c r="D704" s="87" t="str">
        <f>IF(tbl_Assessment[[#This Row],[Ben Code]]&lt;&gt;"",INDEX(tbl_Ben_Info[],MATCH(tbl_Assessment[[#This Row],[Ben Code]],tbl_Ben_Info[Ben Code],0),48),"")</f>
        <v/>
      </c>
      <c r="E704" s="116" t="str">
        <f>IF(tbl_Assessment[[#This Row],[Ben Code]]&lt;&gt;"",INDEX(tbl_Ben_Info[],MATCH(tbl_Assessment[[#This Row],[Ben Code]],tbl_Ben_Info[Ben Code],0),6),"")</f>
        <v/>
      </c>
      <c r="F704" s="113" t="str">
        <f>IF(tbl_Assessment[[#This Row],[Ben Code]]&lt;&gt;"",INDEX(tbl_Ben_Info[],MATCH(tbl_Assessment[[#This Row],[Ben Code]],tbl_Ben_Info[Ben Code],0),13),"")</f>
        <v/>
      </c>
      <c r="G704" s="49"/>
      <c r="H704" s="37"/>
      <c r="I704" s="37"/>
      <c r="J704" s="37"/>
      <c r="K704" s="37"/>
      <c r="L704" s="37"/>
      <c r="M704" s="59"/>
      <c r="N704" s="37"/>
      <c r="O704" s="37"/>
      <c r="P704" s="37"/>
      <c r="Q704" s="59"/>
      <c r="R704" s="49"/>
      <c r="S704" s="37"/>
      <c r="T704" s="37"/>
      <c r="U704" s="37"/>
      <c r="V704" s="37"/>
      <c r="W704" s="96" t="str">
        <f>tbl_Assessment[[#This Row],[Ben Code]] &amp; "-"&amp;tbl_Assessment[[#This Row],[admin4Pcode]]&amp;"-" &amp; TEXT(COUNTIF(INDEX(tbl_Assessment[Ben Code],1):tbl_Assessment[[#This Row],[Ben Code]], tbl_Assessment[[#This Row],[Ben Code]]), "00")</f>
        <v>--00</v>
      </c>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49"/>
      <c r="AU704" s="41"/>
      <c r="AV704" s="37"/>
      <c r="AW704" s="37"/>
      <c r="AX704" s="37"/>
      <c r="AY704" s="37"/>
      <c r="AZ704" s="37"/>
      <c r="BA704" s="37"/>
      <c r="BB704" s="41"/>
      <c r="BC704" s="37"/>
      <c r="BD704" s="37"/>
      <c r="BE704" s="37"/>
      <c r="BF704" s="41"/>
      <c r="BG704" s="37"/>
      <c r="BH704" s="37"/>
      <c r="BI704" s="37"/>
      <c r="BJ704" s="41"/>
    </row>
    <row r="705" spans="2:62" ht="25.15" customHeight="1" thickBot="1" x14ac:dyDescent="0.3">
      <c r="B705" s="49">
        <v>700</v>
      </c>
      <c r="C705" s="51"/>
      <c r="D705" s="88" t="str">
        <f>IF(tbl_Assessment[[#This Row],[Ben Code]]&lt;&gt;"",INDEX(tbl_Ben_Info[],MATCH(tbl_Assessment[[#This Row],[Ben Code]],tbl_Ben_Info[Ben Code],0),48),"")</f>
        <v/>
      </c>
      <c r="E705" s="118" t="str">
        <f>IF(tbl_Assessment[[#This Row],[Ben Code]]&lt;&gt;"",INDEX(tbl_Ben_Info[],MATCH(tbl_Assessment[[#This Row],[Ben Code]],tbl_Ben_Info[Ben Code],0),6),"")</f>
        <v/>
      </c>
      <c r="F705" s="114" t="str">
        <f>IF(tbl_Assessment[[#This Row],[Ben Code]]&lt;&gt;"",INDEX(tbl_Ben_Info[],MATCH(tbl_Assessment[[#This Row],[Ben Code]],tbl_Ben_Info[Ben Code],0),13),"")</f>
        <v/>
      </c>
      <c r="G705" s="50"/>
      <c r="H705" s="51"/>
      <c r="I705" s="51"/>
      <c r="J705" s="51"/>
      <c r="K705" s="51"/>
      <c r="L705" s="51"/>
      <c r="M705" s="60"/>
      <c r="N705" s="51"/>
      <c r="O705" s="51"/>
      <c r="P705" s="51"/>
      <c r="Q705" s="60"/>
      <c r="R705" s="50"/>
      <c r="S705" s="51"/>
      <c r="T705" s="51"/>
      <c r="U705" s="51"/>
      <c r="V705" s="51"/>
      <c r="W705" s="97" t="str">
        <f>tbl_Assessment[[#This Row],[Ben Code]] &amp; "-"&amp;tbl_Assessment[[#This Row],[admin4Pcode]]&amp;"-" &amp; TEXT(COUNTIF(INDEX(tbl_Assessment[Ben Code],1):tbl_Assessment[[#This Row],[Ben Code]], tbl_Assessment[[#This Row],[Ben Code]]), "00")</f>
        <v>--00</v>
      </c>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50"/>
      <c r="AU705" s="51"/>
      <c r="AV705" s="51"/>
      <c r="AW705" s="51"/>
      <c r="AX705" s="51"/>
      <c r="AY705" s="51"/>
      <c r="AZ705" s="51"/>
      <c r="BA705" s="51"/>
      <c r="BB705" s="51"/>
      <c r="BC705" s="51"/>
      <c r="BD705" s="51"/>
      <c r="BE705" s="51"/>
      <c r="BF705" s="51"/>
      <c r="BG705" s="51"/>
      <c r="BH705" s="51"/>
      <c r="BI705" s="51"/>
      <c r="BJ705" s="60"/>
    </row>
    <row r="706" spans="2:62" x14ac:dyDescent="0.25">
      <c r="B706" s="21"/>
      <c r="C706" s="21"/>
      <c r="D706" s="21"/>
      <c r="E706" s="21"/>
      <c r="F706" s="21"/>
    </row>
    <row r="707" spans="2:62" ht="15" customHeight="1" x14ac:dyDescent="0.25">
      <c r="B707" s="21"/>
      <c r="C707" s="21"/>
      <c r="D707" s="21"/>
      <c r="E707" s="21"/>
      <c r="F707" s="21"/>
    </row>
    <row r="708" spans="2:62" ht="15" customHeight="1" x14ac:dyDescent="0.25">
      <c r="B708" s="21"/>
      <c r="C708" s="21"/>
      <c r="D708" s="21"/>
      <c r="E708" s="21"/>
      <c r="F708" s="21"/>
    </row>
    <row r="709" spans="2:62" ht="15" customHeight="1" x14ac:dyDescent="0.25">
      <c r="B709" s="21"/>
      <c r="C709" s="21"/>
      <c r="D709" s="21"/>
      <c r="E709" s="21"/>
      <c r="F709" s="21"/>
    </row>
    <row r="710" spans="2:62" ht="15" customHeight="1" x14ac:dyDescent="0.25">
      <c r="B710" s="21"/>
      <c r="C710" s="21"/>
      <c r="D710" s="21"/>
      <c r="E710" s="21"/>
      <c r="F710" s="21"/>
    </row>
    <row r="711" spans="2:62" ht="15" customHeight="1" x14ac:dyDescent="0.25">
      <c r="B711" s="21"/>
      <c r="C711" s="21"/>
      <c r="D711" s="21"/>
      <c r="E711" s="21"/>
      <c r="F711" s="21"/>
    </row>
    <row r="712" spans="2:62" ht="15" customHeight="1" x14ac:dyDescent="0.25">
      <c r="B712" s="21"/>
      <c r="C712" s="21"/>
      <c r="D712" s="21"/>
      <c r="E712" s="21"/>
      <c r="F712" s="21"/>
    </row>
    <row r="713" spans="2:62" ht="15" customHeight="1" x14ac:dyDescent="0.25">
      <c r="B713" s="21"/>
      <c r="C713" s="21"/>
      <c r="D713" s="21"/>
      <c r="E713" s="21"/>
      <c r="F713" s="21"/>
    </row>
    <row r="714" spans="2:62" ht="15" customHeight="1" x14ac:dyDescent="0.25">
      <c r="B714" s="21"/>
      <c r="C714" s="21"/>
      <c r="D714" s="21"/>
      <c r="E714" s="21"/>
      <c r="F714" s="21"/>
    </row>
    <row r="715" spans="2:62" ht="15" customHeight="1" x14ac:dyDescent="0.25">
      <c r="B715" s="21"/>
      <c r="C715" s="21"/>
      <c r="D715" s="21"/>
      <c r="E715" s="21"/>
      <c r="F715" s="21"/>
    </row>
    <row r="716" spans="2:62" ht="15" customHeight="1" x14ac:dyDescent="0.25">
      <c r="B716" s="21"/>
      <c r="C716" s="21"/>
      <c r="D716" s="21"/>
      <c r="E716" s="21"/>
      <c r="F716" s="21"/>
    </row>
    <row r="717" spans="2:62" ht="15" customHeight="1" x14ac:dyDescent="0.25">
      <c r="B717" s="21"/>
      <c r="C717" s="21"/>
      <c r="D717" s="21"/>
      <c r="E717" s="21"/>
      <c r="F717" s="21"/>
    </row>
    <row r="718" spans="2:62" ht="15" customHeight="1" x14ac:dyDescent="0.25">
      <c r="B718" s="21"/>
      <c r="C718" s="21"/>
      <c r="D718" s="21"/>
      <c r="E718" s="21"/>
      <c r="F718" s="21"/>
    </row>
    <row r="719" spans="2:62" ht="15" customHeight="1" x14ac:dyDescent="0.25">
      <c r="B719" s="21"/>
      <c r="C719" s="21"/>
      <c r="D719" s="21"/>
      <c r="E719" s="21"/>
      <c r="F719" s="21"/>
    </row>
    <row r="720" spans="2:62" ht="15" customHeight="1" x14ac:dyDescent="0.25">
      <c r="B720" s="21"/>
      <c r="C720" s="21"/>
      <c r="D720" s="21"/>
      <c r="E720" s="21"/>
      <c r="F720" s="21"/>
    </row>
    <row r="721" s="21" customFormat="1" ht="15" customHeight="1" x14ac:dyDescent="0.25"/>
    <row r="722" s="21" customFormat="1" ht="15" customHeight="1" x14ac:dyDescent="0.25"/>
    <row r="723" s="21" customFormat="1" ht="15" customHeight="1" x14ac:dyDescent="0.25"/>
    <row r="724" s="21" customFormat="1" ht="15" customHeight="1" x14ac:dyDescent="0.25"/>
    <row r="725" s="21" customFormat="1" ht="15" customHeight="1" x14ac:dyDescent="0.25"/>
    <row r="726" s="21" customFormat="1" ht="15" customHeight="1" x14ac:dyDescent="0.25"/>
    <row r="727" s="21" customFormat="1" ht="15" customHeight="1" x14ac:dyDescent="0.25"/>
    <row r="728" s="21" customFormat="1" ht="15" customHeight="1" x14ac:dyDescent="0.25"/>
    <row r="729" s="21" customFormat="1" ht="15" customHeight="1" x14ac:dyDescent="0.25"/>
    <row r="730" s="21" customFormat="1" ht="15" customHeight="1" x14ac:dyDescent="0.25"/>
    <row r="731" s="21" customFormat="1" ht="15" customHeight="1" x14ac:dyDescent="0.25"/>
    <row r="732" s="21" customFormat="1" ht="15" customHeight="1" x14ac:dyDescent="0.25"/>
    <row r="733" s="21" customFormat="1" ht="15" customHeight="1" x14ac:dyDescent="0.25"/>
    <row r="734" s="21" customFormat="1" ht="15" customHeight="1" x14ac:dyDescent="0.25"/>
    <row r="735" s="21" customFormat="1" ht="15" customHeight="1" x14ac:dyDescent="0.25"/>
    <row r="736" s="21" customFormat="1" ht="15" customHeight="1" x14ac:dyDescent="0.25"/>
    <row r="737" s="21" customFormat="1" ht="15" customHeight="1" x14ac:dyDescent="0.25"/>
    <row r="738" s="21" customFormat="1" ht="15" customHeight="1" x14ac:dyDescent="0.25"/>
    <row r="739" s="21" customFormat="1" ht="15" customHeight="1" x14ac:dyDescent="0.25"/>
    <row r="740" s="21" customFormat="1" ht="15" customHeight="1" x14ac:dyDescent="0.25"/>
    <row r="741" s="21" customFormat="1" ht="15" customHeight="1" x14ac:dyDescent="0.25"/>
    <row r="742" s="21" customFormat="1" ht="15" customHeight="1" x14ac:dyDescent="0.25"/>
    <row r="743" s="21" customFormat="1" ht="15" customHeight="1" x14ac:dyDescent="0.25"/>
    <row r="744" s="21" customFormat="1" ht="15" customHeight="1" x14ac:dyDescent="0.25"/>
    <row r="745" s="21" customFormat="1" ht="15" customHeight="1" x14ac:dyDescent="0.25"/>
    <row r="746" s="21" customFormat="1" ht="15" customHeight="1" x14ac:dyDescent="0.25"/>
    <row r="747" s="21" customFormat="1" ht="15" customHeight="1" x14ac:dyDescent="0.25"/>
    <row r="748" s="21" customFormat="1" ht="15" customHeight="1" x14ac:dyDescent="0.25"/>
    <row r="749" s="21" customFormat="1" ht="15" customHeight="1" x14ac:dyDescent="0.25"/>
    <row r="750" s="21" customFormat="1" ht="15" customHeight="1" x14ac:dyDescent="0.25"/>
    <row r="751" s="21" customFormat="1" ht="15" customHeight="1" x14ac:dyDescent="0.25"/>
    <row r="752" s="21" customFormat="1" ht="15" customHeight="1" x14ac:dyDescent="0.25"/>
    <row r="753" s="21" customFormat="1" ht="15" customHeight="1" x14ac:dyDescent="0.25"/>
    <row r="754" s="21" customFormat="1" ht="15" customHeight="1" x14ac:dyDescent="0.25"/>
    <row r="755" s="21" customFormat="1" ht="15" customHeight="1" x14ac:dyDescent="0.25"/>
    <row r="756" s="21" customFormat="1" ht="15" customHeight="1" x14ac:dyDescent="0.25"/>
    <row r="757" s="21" customFormat="1" ht="15" customHeight="1" x14ac:dyDescent="0.25"/>
    <row r="758" s="21" customFormat="1" ht="15" customHeight="1" x14ac:dyDescent="0.25"/>
    <row r="759" s="21" customFormat="1" ht="15" customHeight="1" x14ac:dyDescent="0.25"/>
    <row r="760" s="21" customFormat="1" ht="15" customHeight="1" x14ac:dyDescent="0.25"/>
    <row r="761" s="21" customFormat="1" ht="15" customHeight="1" x14ac:dyDescent="0.25"/>
    <row r="762" s="21" customFormat="1" ht="15" customHeight="1" x14ac:dyDescent="0.25"/>
    <row r="763" s="21" customFormat="1" ht="15" customHeight="1" x14ac:dyDescent="0.25"/>
    <row r="764" s="21" customFormat="1" ht="15" customHeight="1" x14ac:dyDescent="0.25"/>
    <row r="765" s="21" customFormat="1" ht="15" customHeight="1" x14ac:dyDescent="0.25"/>
    <row r="766" s="21" customFormat="1" ht="15" customHeight="1" x14ac:dyDescent="0.25"/>
    <row r="767" s="21" customFormat="1" ht="15" customHeight="1" x14ac:dyDescent="0.25"/>
    <row r="768" s="21" customFormat="1" ht="15" customHeight="1" x14ac:dyDescent="0.25"/>
    <row r="769" s="21" customFormat="1" ht="15" customHeight="1" x14ac:dyDescent="0.25"/>
    <row r="770" s="21" customFormat="1" ht="15" customHeight="1" x14ac:dyDescent="0.25"/>
    <row r="771" s="21" customFormat="1" ht="15" customHeight="1" x14ac:dyDescent="0.25"/>
    <row r="772" s="21" customFormat="1" ht="15" customHeight="1" x14ac:dyDescent="0.25"/>
    <row r="773" s="21" customFormat="1" ht="15" customHeight="1" x14ac:dyDescent="0.25"/>
    <row r="774" s="21" customFormat="1" ht="15" customHeight="1" x14ac:dyDescent="0.25"/>
    <row r="775" s="21" customFormat="1" ht="15" customHeight="1" x14ac:dyDescent="0.25"/>
    <row r="776" s="21" customFormat="1" ht="15" customHeight="1" x14ac:dyDescent="0.25"/>
    <row r="777" s="21" customFormat="1" ht="15" customHeight="1" x14ac:dyDescent="0.25"/>
    <row r="778" s="21" customFormat="1" ht="15" customHeight="1" x14ac:dyDescent="0.25"/>
    <row r="779" s="21" customFormat="1" ht="15" customHeight="1" x14ac:dyDescent="0.25"/>
    <row r="780" s="21" customFormat="1" ht="15" customHeight="1" x14ac:dyDescent="0.25"/>
    <row r="781" s="21" customFormat="1" ht="15" customHeight="1" x14ac:dyDescent="0.25"/>
    <row r="782" s="21" customFormat="1" ht="15" customHeight="1" x14ac:dyDescent="0.25"/>
    <row r="783" s="21" customFormat="1" ht="15" customHeight="1" x14ac:dyDescent="0.25"/>
    <row r="784" s="21" customFormat="1" ht="15" customHeight="1" x14ac:dyDescent="0.25"/>
    <row r="785" s="21" customFormat="1" ht="15" customHeight="1" x14ac:dyDescent="0.25"/>
    <row r="786" s="21" customFormat="1" ht="15" customHeight="1" x14ac:dyDescent="0.25"/>
    <row r="787" s="21" customFormat="1" ht="15" customHeight="1" x14ac:dyDescent="0.25"/>
    <row r="788" s="21" customFormat="1" ht="15" customHeight="1" x14ac:dyDescent="0.25"/>
    <row r="789" s="21" customFormat="1" ht="15" customHeight="1" x14ac:dyDescent="0.25"/>
    <row r="790" s="21" customFormat="1" ht="15" customHeight="1" x14ac:dyDescent="0.25"/>
    <row r="791" s="21" customFormat="1" ht="15" customHeight="1" x14ac:dyDescent="0.25"/>
    <row r="792" s="21" customFormat="1" ht="15" customHeight="1" x14ac:dyDescent="0.25"/>
    <row r="793" s="21" customFormat="1" ht="15" customHeight="1" x14ac:dyDescent="0.25"/>
    <row r="794" s="21" customFormat="1" ht="15" customHeight="1" x14ac:dyDescent="0.25"/>
    <row r="795" s="21" customFormat="1" ht="15" customHeight="1" x14ac:dyDescent="0.25"/>
    <row r="796" s="21" customFormat="1" ht="15" customHeight="1" x14ac:dyDescent="0.25"/>
    <row r="797" s="21" customFormat="1" ht="15" customHeight="1" x14ac:dyDescent="0.25"/>
    <row r="798" s="21" customFormat="1" ht="15" customHeight="1" x14ac:dyDescent="0.25"/>
    <row r="799" s="21" customFormat="1" ht="15" customHeight="1" x14ac:dyDescent="0.25"/>
    <row r="800" s="21" customFormat="1" ht="15" customHeight="1" x14ac:dyDescent="0.25"/>
    <row r="801" s="21" customFormat="1" ht="15" customHeight="1" x14ac:dyDescent="0.25"/>
    <row r="802" s="21" customFormat="1" ht="15" customHeight="1" x14ac:dyDescent="0.25"/>
    <row r="803" s="21" customFormat="1" ht="15" customHeight="1" x14ac:dyDescent="0.25"/>
    <row r="804" s="21" customFormat="1" ht="15" customHeight="1" x14ac:dyDescent="0.25"/>
    <row r="805" s="21" customFormat="1" ht="15" customHeight="1" x14ac:dyDescent="0.25"/>
    <row r="806" s="21" customFormat="1" ht="15" customHeight="1" x14ac:dyDescent="0.25"/>
    <row r="807" s="21" customFormat="1" ht="15" customHeight="1" x14ac:dyDescent="0.25"/>
    <row r="808" s="21" customFormat="1" ht="15" customHeight="1" x14ac:dyDescent="0.25"/>
    <row r="809" s="21" customFormat="1" ht="15" customHeight="1" x14ac:dyDescent="0.25"/>
    <row r="810" s="21" customFormat="1" ht="15" customHeight="1" x14ac:dyDescent="0.25"/>
    <row r="811" s="21" customFormat="1" ht="15" customHeight="1" x14ac:dyDescent="0.25"/>
    <row r="812" s="21" customFormat="1" ht="15" customHeight="1" x14ac:dyDescent="0.25"/>
    <row r="813" s="21" customFormat="1" ht="15" customHeight="1" x14ac:dyDescent="0.25"/>
    <row r="814" s="21" customFormat="1" ht="15" customHeight="1" x14ac:dyDescent="0.25"/>
    <row r="815" s="21" customFormat="1" ht="15" customHeight="1" x14ac:dyDescent="0.25"/>
    <row r="816" s="21" customFormat="1" ht="15" customHeight="1" x14ac:dyDescent="0.25"/>
    <row r="817" s="21" customFormat="1" ht="15" customHeight="1" x14ac:dyDescent="0.25"/>
    <row r="818" s="21" customFormat="1" ht="15" customHeight="1" x14ac:dyDescent="0.25"/>
    <row r="819" s="21" customFormat="1" ht="15" customHeight="1" x14ac:dyDescent="0.25"/>
    <row r="820" s="21" customFormat="1" ht="15" customHeight="1" x14ac:dyDescent="0.25"/>
    <row r="821" s="21" customFormat="1" ht="15" customHeight="1" x14ac:dyDescent="0.25"/>
    <row r="822" s="21" customFormat="1" ht="15" customHeight="1" x14ac:dyDescent="0.25"/>
    <row r="823" s="21" customFormat="1" ht="15" customHeight="1" x14ac:dyDescent="0.25"/>
    <row r="824" s="21" customFormat="1" ht="15" customHeight="1" x14ac:dyDescent="0.25"/>
    <row r="825" s="21" customFormat="1" ht="15" customHeight="1" x14ac:dyDescent="0.25"/>
    <row r="826" s="21" customFormat="1" ht="15" customHeight="1" x14ac:dyDescent="0.25"/>
    <row r="827" s="21" customFormat="1" ht="15" customHeight="1" x14ac:dyDescent="0.25"/>
    <row r="828" s="21" customFormat="1" ht="15" customHeight="1" x14ac:dyDescent="0.25"/>
    <row r="829" s="21" customFormat="1" ht="15" customHeight="1" x14ac:dyDescent="0.25"/>
    <row r="830" s="21" customFormat="1" ht="15" customHeight="1" x14ac:dyDescent="0.25"/>
    <row r="831" s="21" customFormat="1" ht="15" customHeight="1" x14ac:dyDescent="0.25"/>
    <row r="832" s="21" customFormat="1" ht="15" customHeight="1" x14ac:dyDescent="0.25"/>
    <row r="833" s="21" customFormat="1" ht="15" customHeight="1" x14ac:dyDescent="0.25"/>
    <row r="834" s="21" customFormat="1" ht="15" customHeight="1" x14ac:dyDescent="0.25"/>
    <row r="835" s="21" customFormat="1" ht="15" customHeight="1" x14ac:dyDescent="0.25"/>
    <row r="836" s="21" customFormat="1" ht="15" customHeight="1" x14ac:dyDescent="0.25"/>
    <row r="837" s="21" customFormat="1" ht="15" customHeight="1" x14ac:dyDescent="0.25"/>
    <row r="838" s="21" customFormat="1" ht="15" customHeight="1" x14ac:dyDescent="0.25"/>
    <row r="839" s="21" customFormat="1" ht="15" customHeight="1" x14ac:dyDescent="0.25"/>
    <row r="840" s="21" customFormat="1" ht="15" customHeight="1" x14ac:dyDescent="0.25"/>
    <row r="841" s="21" customFormat="1" ht="15" customHeight="1" x14ac:dyDescent="0.25"/>
    <row r="842" s="21" customFormat="1" ht="15" customHeight="1" x14ac:dyDescent="0.25"/>
    <row r="843" s="21" customFormat="1" ht="15" customHeight="1" x14ac:dyDescent="0.25"/>
    <row r="844" s="21" customFormat="1" ht="15" customHeight="1" x14ac:dyDescent="0.25"/>
    <row r="845" s="21" customFormat="1" ht="15" customHeight="1" x14ac:dyDescent="0.25"/>
    <row r="846" s="21" customFormat="1" ht="15" customHeight="1" x14ac:dyDescent="0.25"/>
    <row r="847" s="21" customFormat="1" ht="15" customHeight="1" x14ac:dyDescent="0.25"/>
    <row r="848" s="21" customFormat="1" ht="15" customHeight="1" x14ac:dyDescent="0.25"/>
    <row r="849" s="21" customFormat="1" ht="15" customHeight="1" x14ac:dyDescent="0.25"/>
    <row r="850" s="21" customFormat="1" ht="15" customHeight="1" x14ac:dyDescent="0.25"/>
    <row r="851" s="21" customFormat="1" ht="15" customHeight="1" x14ac:dyDescent="0.25"/>
    <row r="852" s="21" customFormat="1" ht="15" customHeight="1" x14ac:dyDescent="0.25"/>
    <row r="853" s="21" customFormat="1" ht="15" customHeight="1" x14ac:dyDescent="0.25"/>
    <row r="854" s="21" customFormat="1" ht="15" customHeight="1" x14ac:dyDescent="0.25"/>
    <row r="855" s="21" customFormat="1" ht="15" customHeight="1" x14ac:dyDescent="0.25"/>
    <row r="856" s="21" customFormat="1" ht="15" customHeight="1" x14ac:dyDescent="0.25"/>
    <row r="857" s="21" customFormat="1" ht="15" customHeight="1" x14ac:dyDescent="0.25"/>
    <row r="858" s="21" customFormat="1" ht="15" customHeight="1" x14ac:dyDescent="0.25"/>
    <row r="859" s="21" customFormat="1" ht="15" customHeight="1" x14ac:dyDescent="0.25"/>
    <row r="860" s="21" customFormat="1" ht="15" customHeight="1" x14ac:dyDescent="0.25"/>
    <row r="861" s="21" customFormat="1" ht="15" customHeight="1" x14ac:dyDescent="0.25"/>
    <row r="862" s="21" customFormat="1" ht="15" customHeight="1" x14ac:dyDescent="0.25"/>
    <row r="863" s="21" customFormat="1" ht="15" customHeight="1" x14ac:dyDescent="0.25"/>
    <row r="864" s="21" customFormat="1" ht="15" customHeight="1" x14ac:dyDescent="0.25"/>
    <row r="865" s="21" customFormat="1" ht="15" customHeight="1" x14ac:dyDescent="0.25"/>
    <row r="866" s="21" customFormat="1" ht="15" customHeight="1" x14ac:dyDescent="0.25"/>
    <row r="867" s="21" customFormat="1" ht="15" customHeight="1" x14ac:dyDescent="0.25"/>
    <row r="868" s="21" customFormat="1" ht="15" customHeight="1" x14ac:dyDescent="0.25"/>
    <row r="869" s="21" customFormat="1" ht="15" customHeight="1" x14ac:dyDescent="0.25"/>
    <row r="870" s="21" customFormat="1" ht="15" customHeight="1" x14ac:dyDescent="0.25"/>
    <row r="871" s="21" customFormat="1" ht="15" customHeight="1" x14ac:dyDescent="0.25"/>
    <row r="872" s="21" customFormat="1" ht="15" customHeight="1" x14ac:dyDescent="0.25"/>
    <row r="873" s="21" customFormat="1" ht="15" customHeight="1" x14ac:dyDescent="0.25"/>
    <row r="874" s="21" customFormat="1" ht="15" customHeight="1" x14ac:dyDescent="0.25"/>
    <row r="875" s="21" customFormat="1" ht="15" customHeight="1" x14ac:dyDescent="0.25"/>
    <row r="876" s="21" customFormat="1" ht="15" customHeight="1" x14ac:dyDescent="0.25"/>
    <row r="877" s="21" customFormat="1" ht="15" customHeight="1" x14ac:dyDescent="0.25"/>
    <row r="878" s="21" customFormat="1" ht="15" customHeight="1" x14ac:dyDescent="0.25"/>
    <row r="879" s="21" customFormat="1" ht="15" customHeight="1" x14ac:dyDescent="0.25"/>
    <row r="880" s="21" customFormat="1" ht="15" customHeight="1" x14ac:dyDescent="0.25"/>
    <row r="881" s="21" customFormat="1" ht="15" customHeight="1" x14ac:dyDescent="0.25"/>
    <row r="882" s="21" customFormat="1" ht="15" customHeight="1" x14ac:dyDescent="0.25"/>
    <row r="883" s="21" customFormat="1" ht="15" customHeight="1" x14ac:dyDescent="0.25"/>
    <row r="884" s="21" customFormat="1" ht="15" customHeight="1" x14ac:dyDescent="0.25"/>
    <row r="885" s="21" customFormat="1" ht="15" customHeight="1" x14ac:dyDescent="0.25"/>
    <row r="886" s="21" customFormat="1" ht="15" customHeight="1" x14ac:dyDescent="0.25"/>
    <row r="887" s="21" customFormat="1" ht="15" customHeight="1" x14ac:dyDescent="0.25"/>
    <row r="888" s="21" customFormat="1" ht="15" customHeight="1" x14ac:dyDescent="0.25"/>
    <row r="889" s="21" customFormat="1" ht="15" customHeight="1" x14ac:dyDescent="0.25"/>
    <row r="890" s="21" customFormat="1" ht="15" customHeight="1" x14ac:dyDescent="0.25"/>
    <row r="891" s="21" customFormat="1" ht="15" customHeight="1" x14ac:dyDescent="0.25"/>
    <row r="892" s="21" customFormat="1" ht="15" customHeight="1" x14ac:dyDescent="0.25"/>
    <row r="893" s="21" customFormat="1" ht="15" customHeight="1" x14ac:dyDescent="0.25"/>
    <row r="894" s="21" customFormat="1" ht="15" customHeight="1" x14ac:dyDescent="0.25"/>
    <row r="895" s="21" customFormat="1" ht="15" customHeight="1" x14ac:dyDescent="0.25"/>
    <row r="896" s="21" customFormat="1" ht="15" customHeight="1" x14ac:dyDescent="0.25"/>
    <row r="897" s="21" customFormat="1" ht="15" customHeight="1" x14ac:dyDescent="0.25"/>
    <row r="898" s="21" customFormat="1" ht="15" customHeight="1" x14ac:dyDescent="0.25"/>
    <row r="899" s="21" customFormat="1" ht="15" customHeight="1" x14ac:dyDescent="0.25"/>
    <row r="900" s="21" customFormat="1" ht="15" customHeight="1" x14ac:dyDescent="0.25"/>
    <row r="901" s="21" customFormat="1" ht="15" customHeight="1" x14ac:dyDescent="0.25"/>
    <row r="902" s="21" customFormat="1" ht="15" customHeight="1" x14ac:dyDescent="0.25"/>
    <row r="903" s="21" customFormat="1" ht="15" customHeight="1" x14ac:dyDescent="0.25"/>
    <row r="904" s="21" customFormat="1" ht="15" customHeight="1" x14ac:dyDescent="0.25"/>
    <row r="905" s="21" customFormat="1" ht="15" customHeight="1" x14ac:dyDescent="0.25"/>
    <row r="906" s="21" customFormat="1" ht="15" customHeight="1" x14ac:dyDescent="0.25"/>
    <row r="907" s="21" customFormat="1" ht="15" customHeight="1" x14ac:dyDescent="0.25"/>
    <row r="908" s="21" customFormat="1" ht="15" customHeight="1" x14ac:dyDescent="0.25"/>
    <row r="909" s="21" customFormat="1" ht="15" customHeight="1" x14ac:dyDescent="0.25"/>
    <row r="910" s="21" customFormat="1" ht="15" customHeight="1" x14ac:dyDescent="0.25"/>
    <row r="911" s="21" customFormat="1" ht="15" customHeight="1" x14ac:dyDescent="0.25"/>
    <row r="912" s="21" customFormat="1" ht="15" customHeight="1" x14ac:dyDescent="0.25"/>
    <row r="913" s="21" customFormat="1" ht="15" customHeight="1" x14ac:dyDescent="0.25"/>
    <row r="914" s="21" customFormat="1" ht="15" customHeight="1" x14ac:dyDescent="0.25"/>
    <row r="915" s="21" customFormat="1" ht="15" customHeight="1" x14ac:dyDescent="0.25"/>
    <row r="916" s="21" customFormat="1" ht="15" customHeight="1" x14ac:dyDescent="0.25"/>
    <row r="917" s="21" customFormat="1" ht="15" customHeight="1" x14ac:dyDescent="0.25"/>
    <row r="918" s="21" customFormat="1" ht="15" customHeight="1" x14ac:dyDescent="0.25"/>
    <row r="919" s="21" customFormat="1" ht="15" customHeight="1" x14ac:dyDescent="0.25"/>
    <row r="920" s="21" customFormat="1" ht="15" customHeight="1" x14ac:dyDescent="0.25"/>
    <row r="921" s="21" customFormat="1" ht="15" customHeight="1" x14ac:dyDescent="0.25"/>
    <row r="922" s="21" customFormat="1" ht="15" customHeight="1" x14ac:dyDescent="0.25"/>
    <row r="923" s="21" customFormat="1" ht="15" customHeight="1" x14ac:dyDescent="0.25"/>
    <row r="924" s="21" customFormat="1" ht="15" customHeight="1" x14ac:dyDescent="0.25"/>
    <row r="925" s="21" customFormat="1" ht="15" customHeight="1" x14ac:dyDescent="0.25"/>
    <row r="926" s="21" customFormat="1" ht="15" customHeight="1" x14ac:dyDescent="0.25"/>
    <row r="927" s="21" customFormat="1" ht="15" customHeight="1" x14ac:dyDescent="0.25"/>
    <row r="928" s="21" customFormat="1" ht="15" customHeight="1" x14ac:dyDescent="0.25"/>
    <row r="929" s="21" customFormat="1" ht="15" customHeight="1" x14ac:dyDescent="0.25"/>
    <row r="930" s="21" customFormat="1" ht="15" customHeight="1" x14ac:dyDescent="0.25"/>
    <row r="931" s="21" customFormat="1" ht="15" customHeight="1" x14ac:dyDescent="0.25"/>
    <row r="932" s="21" customFormat="1" ht="15" customHeight="1" x14ac:dyDescent="0.25"/>
    <row r="933" s="21" customFormat="1" ht="15" customHeight="1" x14ac:dyDescent="0.25"/>
    <row r="934" s="21" customFormat="1" ht="15" customHeight="1" x14ac:dyDescent="0.25"/>
    <row r="935" s="21" customFormat="1" ht="15" customHeight="1" x14ac:dyDescent="0.25"/>
    <row r="936" s="21" customFormat="1" ht="15" customHeight="1" x14ac:dyDescent="0.25"/>
    <row r="937" s="21" customFormat="1" ht="15" customHeight="1" x14ac:dyDescent="0.25"/>
    <row r="938" s="21" customFormat="1" ht="15" customHeight="1" x14ac:dyDescent="0.25"/>
    <row r="939" s="21" customFormat="1" ht="15" customHeight="1" x14ac:dyDescent="0.25"/>
    <row r="940" s="21" customFormat="1" ht="15" customHeight="1" x14ac:dyDescent="0.25"/>
    <row r="941" s="21" customFormat="1" ht="15" customHeight="1" x14ac:dyDescent="0.25"/>
    <row r="942" s="21" customFormat="1" ht="15" customHeight="1" x14ac:dyDescent="0.25"/>
    <row r="943" s="21" customFormat="1" ht="15" customHeight="1" x14ac:dyDescent="0.25"/>
    <row r="944" s="21" customFormat="1" ht="15" customHeight="1" x14ac:dyDescent="0.25"/>
    <row r="945" s="21" customFormat="1" ht="15" customHeight="1" x14ac:dyDescent="0.25"/>
    <row r="946" s="21" customFormat="1" ht="15" customHeight="1" x14ac:dyDescent="0.25"/>
    <row r="947" s="21" customFormat="1" ht="15" customHeight="1" x14ac:dyDescent="0.25"/>
    <row r="948" s="21" customFormat="1" ht="15" customHeight="1" x14ac:dyDescent="0.25"/>
    <row r="949" s="21" customFormat="1" ht="15" customHeight="1" x14ac:dyDescent="0.25"/>
    <row r="950" s="21" customFormat="1" ht="15" customHeight="1" x14ac:dyDescent="0.25"/>
    <row r="951" s="21" customFormat="1" ht="15" customHeight="1" x14ac:dyDescent="0.25"/>
    <row r="952" s="21" customFormat="1" ht="15" customHeight="1" x14ac:dyDescent="0.25"/>
    <row r="953" s="21" customFormat="1" ht="15" customHeight="1" x14ac:dyDescent="0.25"/>
    <row r="954" s="21" customFormat="1" ht="15" customHeight="1" x14ac:dyDescent="0.25"/>
    <row r="955" s="21" customFormat="1" ht="15" customHeight="1" x14ac:dyDescent="0.25"/>
    <row r="956" s="21" customFormat="1" ht="15" customHeight="1" x14ac:dyDescent="0.25"/>
    <row r="957" s="21" customFormat="1" ht="15" customHeight="1" x14ac:dyDescent="0.25"/>
    <row r="958" s="21" customFormat="1" ht="15" customHeight="1" x14ac:dyDescent="0.25"/>
    <row r="959" s="21" customFormat="1" ht="15" customHeight="1" x14ac:dyDescent="0.25"/>
    <row r="960" s="21" customFormat="1" ht="15" customHeight="1" x14ac:dyDescent="0.25"/>
    <row r="961" s="21" customFormat="1" ht="15" customHeight="1" x14ac:dyDescent="0.25"/>
    <row r="962" s="21" customFormat="1" ht="15" customHeight="1" x14ac:dyDescent="0.25"/>
    <row r="963" s="21" customFormat="1" ht="15" customHeight="1" x14ac:dyDescent="0.25"/>
    <row r="964" s="21" customFormat="1" ht="15" customHeight="1" x14ac:dyDescent="0.25"/>
    <row r="965" s="21" customFormat="1" ht="15" customHeight="1" x14ac:dyDescent="0.25"/>
    <row r="966" s="21" customFormat="1" ht="15" customHeight="1" x14ac:dyDescent="0.25"/>
    <row r="967" s="21" customFormat="1" ht="15" customHeight="1" x14ac:dyDescent="0.25"/>
    <row r="968" s="21" customFormat="1" ht="15" customHeight="1" x14ac:dyDescent="0.25"/>
    <row r="969" s="21" customFormat="1" ht="15" customHeight="1" x14ac:dyDescent="0.25"/>
    <row r="970" s="21" customFormat="1" ht="15" customHeight="1" x14ac:dyDescent="0.25"/>
    <row r="971" s="21" customFormat="1" ht="15" customHeight="1" x14ac:dyDescent="0.25"/>
    <row r="972" s="21" customFormat="1" ht="15" customHeight="1" x14ac:dyDescent="0.25"/>
    <row r="973" s="21" customFormat="1" ht="15" customHeight="1" x14ac:dyDescent="0.25"/>
    <row r="974" s="21" customFormat="1" ht="15" customHeight="1" x14ac:dyDescent="0.25"/>
    <row r="975" s="21" customFormat="1" ht="15" customHeight="1" x14ac:dyDescent="0.25"/>
    <row r="976" s="21" customFormat="1" ht="15" customHeight="1" x14ac:dyDescent="0.25"/>
    <row r="977" s="21" customFormat="1" ht="15" customHeight="1" x14ac:dyDescent="0.25"/>
    <row r="978" s="21" customFormat="1" ht="15" customHeight="1" x14ac:dyDescent="0.25"/>
    <row r="979" s="21" customFormat="1" ht="15" customHeight="1" x14ac:dyDescent="0.25"/>
    <row r="980" s="21" customFormat="1" ht="15" customHeight="1" x14ac:dyDescent="0.25"/>
    <row r="981" s="21" customFormat="1" ht="15" customHeight="1" x14ac:dyDescent="0.25"/>
    <row r="982" s="21" customFormat="1" ht="15" customHeight="1" x14ac:dyDescent="0.25"/>
    <row r="983" s="21" customFormat="1" ht="15" customHeight="1" x14ac:dyDescent="0.25"/>
    <row r="984" s="21" customFormat="1" ht="15" customHeight="1" x14ac:dyDescent="0.25"/>
    <row r="985" s="21" customFormat="1" ht="15" customHeight="1" x14ac:dyDescent="0.25"/>
    <row r="986" s="21" customFormat="1" ht="15" customHeight="1" x14ac:dyDescent="0.25"/>
    <row r="987" s="21" customFormat="1" ht="15" customHeight="1" x14ac:dyDescent="0.25"/>
    <row r="988" s="21" customFormat="1" ht="15" customHeight="1" x14ac:dyDescent="0.25"/>
    <row r="989" s="21" customFormat="1" ht="15" customHeight="1" x14ac:dyDescent="0.25"/>
    <row r="990" s="21" customFormat="1" ht="15" customHeight="1" x14ac:dyDescent="0.25"/>
    <row r="991" s="21" customFormat="1" ht="15" customHeight="1" x14ac:dyDescent="0.25"/>
    <row r="992" s="21" customFormat="1" ht="15" customHeight="1" x14ac:dyDescent="0.25"/>
    <row r="993" s="21" customFormat="1" ht="15" customHeight="1" x14ac:dyDescent="0.25"/>
    <row r="994" s="21" customFormat="1" ht="15" customHeight="1" x14ac:dyDescent="0.25"/>
    <row r="995" s="21" customFormat="1" ht="15" customHeight="1" x14ac:dyDescent="0.25"/>
    <row r="996" s="21" customFormat="1" ht="15" customHeight="1" x14ac:dyDescent="0.25"/>
    <row r="997" s="21" customFormat="1" ht="15" customHeight="1" x14ac:dyDescent="0.25"/>
    <row r="998" s="21" customFormat="1" ht="15" customHeight="1" x14ac:dyDescent="0.25"/>
    <row r="999" s="21" customFormat="1" ht="15" customHeight="1" x14ac:dyDescent="0.25"/>
    <row r="1000" s="21" customFormat="1" ht="15" customHeight="1" x14ac:dyDescent="0.25"/>
    <row r="1001" s="21" customFormat="1" ht="15" customHeight="1" x14ac:dyDescent="0.25"/>
    <row r="1002" s="21" customFormat="1" ht="15" customHeight="1" x14ac:dyDescent="0.25"/>
    <row r="1003" s="21" customFormat="1" ht="15" customHeight="1" x14ac:dyDescent="0.25"/>
    <row r="1004" s="21" customFormat="1" ht="15" customHeight="1" x14ac:dyDescent="0.25"/>
    <row r="1005" s="21" customFormat="1" ht="15" customHeight="1" x14ac:dyDescent="0.25"/>
    <row r="1006" s="21" customFormat="1" ht="15" customHeight="1" x14ac:dyDescent="0.25"/>
    <row r="1007" s="21" customFormat="1" ht="15" customHeight="1" x14ac:dyDescent="0.25"/>
    <row r="1008" s="21" customFormat="1" ht="15" customHeight="1" x14ac:dyDescent="0.25"/>
    <row r="1009" s="21" customFormat="1" ht="15" customHeight="1" x14ac:dyDescent="0.25"/>
    <row r="1010" s="21" customFormat="1" ht="15" customHeight="1" x14ac:dyDescent="0.25"/>
    <row r="1011" s="21" customFormat="1" ht="15" customHeight="1" x14ac:dyDescent="0.25"/>
    <row r="1012" s="21" customFormat="1" ht="15" customHeight="1" x14ac:dyDescent="0.25"/>
    <row r="1013" s="21" customFormat="1" ht="15" customHeight="1" x14ac:dyDescent="0.25"/>
    <row r="1014" s="21" customFormat="1" ht="15" customHeight="1" x14ac:dyDescent="0.25"/>
    <row r="1015" s="21" customFormat="1" ht="15" customHeight="1" x14ac:dyDescent="0.25"/>
    <row r="1016" s="21" customFormat="1" ht="15" customHeight="1" x14ac:dyDescent="0.25"/>
    <row r="1017" s="21" customFormat="1" ht="15" customHeight="1" x14ac:dyDescent="0.25"/>
    <row r="1018" s="21" customFormat="1" ht="15" customHeight="1" x14ac:dyDescent="0.25"/>
    <row r="1019" s="21" customFormat="1" ht="15" customHeight="1" x14ac:dyDescent="0.25"/>
    <row r="1020" s="21" customFormat="1" ht="15" customHeight="1" x14ac:dyDescent="0.25"/>
    <row r="1021" s="21" customFormat="1" ht="15" customHeight="1" x14ac:dyDescent="0.25"/>
    <row r="1022" s="21" customFormat="1" ht="15" customHeight="1" x14ac:dyDescent="0.25"/>
    <row r="1023" s="21" customFormat="1" ht="15" customHeight="1" x14ac:dyDescent="0.25"/>
    <row r="1024" s="21" customFormat="1" ht="15" customHeight="1" x14ac:dyDescent="0.25"/>
    <row r="1025" s="21" customFormat="1" ht="15" customHeight="1" x14ac:dyDescent="0.25"/>
    <row r="1026" s="21" customFormat="1" ht="15" customHeight="1" x14ac:dyDescent="0.25"/>
    <row r="1027" s="21" customFormat="1" ht="15" customHeight="1" x14ac:dyDescent="0.25"/>
    <row r="1028" s="21" customFormat="1" ht="15" customHeight="1" x14ac:dyDescent="0.25"/>
    <row r="1029" s="21" customFormat="1" ht="15" customHeight="1" x14ac:dyDescent="0.25"/>
    <row r="1030" s="21" customFormat="1" ht="15" customHeight="1" x14ac:dyDescent="0.25"/>
    <row r="1031" s="21" customFormat="1" ht="15" customHeight="1" x14ac:dyDescent="0.25"/>
    <row r="1032" s="21" customFormat="1" ht="15" customHeight="1" x14ac:dyDescent="0.25"/>
    <row r="1033" s="21" customFormat="1" ht="15" customHeight="1" x14ac:dyDescent="0.25"/>
    <row r="1034" s="21" customFormat="1" ht="15" customHeight="1" x14ac:dyDescent="0.25"/>
    <row r="1035" s="21" customFormat="1" ht="15" customHeight="1" x14ac:dyDescent="0.25"/>
    <row r="1036" s="21" customFormat="1" ht="15" customHeight="1" x14ac:dyDescent="0.25"/>
    <row r="1037" s="21" customFormat="1" ht="15" customHeight="1" x14ac:dyDescent="0.25"/>
    <row r="1038" s="21" customFormat="1" ht="15" customHeight="1" x14ac:dyDescent="0.25"/>
    <row r="1039" s="21" customFormat="1" ht="15" customHeight="1" x14ac:dyDescent="0.25"/>
    <row r="1040" s="21" customFormat="1" ht="15" customHeight="1" x14ac:dyDescent="0.25"/>
    <row r="1041" s="21" customFormat="1" ht="15" customHeight="1" x14ac:dyDescent="0.25"/>
    <row r="1042" s="21" customFormat="1" ht="15" customHeight="1" x14ac:dyDescent="0.25"/>
    <row r="1043" s="21" customFormat="1" ht="15" customHeight="1" x14ac:dyDescent="0.25"/>
    <row r="1044" s="21" customFormat="1" ht="15" customHeight="1" x14ac:dyDescent="0.25"/>
    <row r="1045" s="21" customFormat="1" ht="15" customHeight="1" x14ac:dyDescent="0.25"/>
    <row r="1046" s="21" customFormat="1" ht="15" customHeight="1" x14ac:dyDescent="0.25"/>
    <row r="1047" s="21" customFormat="1" ht="15" customHeight="1" x14ac:dyDescent="0.25"/>
    <row r="1048" s="21" customFormat="1" ht="15" customHeight="1" x14ac:dyDescent="0.25"/>
    <row r="1049" s="21" customFormat="1" ht="15" customHeight="1" x14ac:dyDescent="0.25"/>
    <row r="1050" s="21" customFormat="1" ht="15" customHeight="1" x14ac:dyDescent="0.25"/>
    <row r="1051" s="21" customFormat="1" ht="15" customHeight="1" x14ac:dyDescent="0.25"/>
    <row r="1052" s="21" customFormat="1" ht="15" customHeight="1" x14ac:dyDescent="0.25"/>
    <row r="1053" s="21" customFormat="1" ht="15" customHeight="1" x14ac:dyDescent="0.25"/>
    <row r="1054" s="21" customFormat="1" ht="15" customHeight="1" x14ac:dyDescent="0.25"/>
    <row r="1055" s="21" customFormat="1" ht="15" customHeight="1" x14ac:dyDescent="0.25"/>
    <row r="1056" s="21" customFormat="1" ht="15" customHeight="1" x14ac:dyDescent="0.25"/>
    <row r="1057" s="21" customFormat="1" ht="15" customHeight="1" x14ac:dyDescent="0.25"/>
    <row r="1058" s="21" customFormat="1" ht="15" customHeight="1" x14ac:dyDescent="0.25"/>
    <row r="1059" s="21" customFormat="1" ht="15" customHeight="1" x14ac:dyDescent="0.25"/>
    <row r="1060" s="21" customFormat="1" ht="15" customHeight="1" x14ac:dyDescent="0.25"/>
    <row r="1061" s="21" customFormat="1" ht="15" customHeight="1" x14ac:dyDescent="0.25"/>
    <row r="1062" s="21" customFormat="1" ht="15" customHeight="1" x14ac:dyDescent="0.25"/>
    <row r="1063" s="21" customFormat="1" ht="15" customHeight="1" x14ac:dyDescent="0.25"/>
    <row r="1064" s="21" customFormat="1" ht="15" customHeight="1" x14ac:dyDescent="0.25"/>
    <row r="1065" s="21" customFormat="1" ht="15" customHeight="1" x14ac:dyDescent="0.25"/>
    <row r="1066" s="21" customFormat="1" ht="15" customHeight="1" x14ac:dyDescent="0.25"/>
    <row r="1067" s="21" customFormat="1" ht="15" customHeight="1" x14ac:dyDescent="0.25"/>
    <row r="1068" s="21" customFormat="1" ht="15" customHeight="1" x14ac:dyDescent="0.25"/>
    <row r="1069" s="21" customFormat="1" ht="15" customHeight="1" x14ac:dyDescent="0.25"/>
    <row r="1070" s="21" customFormat="1" ht="15" customHeight="1" x14ac:dyDescent="0.25"/>
    <row r="1071" s="21" customFormat="1" ht="15" customHeight="1" x14ac:dyDescent="0.25"/>
    <row r="1072" s="21" customFormat="1" ht="15" customHeight="1" x14ac:dyDescent="0.25"/>
    <row r="1073" s="21" customFormat="1" ht="15" customHeight="1" x14ac:dyDescent="0.25"/>
    <row r="1074" s="21" customFormat="1" ht="15" customHeight="1" x14ac:dyDescent="0.25"/>
    <row r="1075" s="21" customFormat="1" ht="15" customHeight="1" x14ac:dyDescent="0.25"/>
    <row r="1076" s="21" customFormat="1" ht="15" customHeight="1" x14ac:dyDescent="0.25"/>
    <row r="1077" s="21" customFormat="1" ht="15" customHeight="1" x14ac:dyDescent="0.25"/>
    <row r="1078" s="21" customFormat="1" ht="15" customHeight="1" x14ac:dyDescent="0.25"/>
    <row r="1079" s="21" customFormat="1" ht="15" customHeight="1" x14ac:dyDescent="0.25"/>
    <row r="1080" s="21" customFormat="1" ht="15" customHeight="1" x14ac:dyDescent="0.25"/>
    <row r="1081" s="21" customFormat="1" ht="15" customHeight="1" x14ac:dyDescent="0.25"/>
    <row r="1082" s="21" customFormat="1" ht="15" customHeight="1" x14ac:dyDescent="0.25"/>
    <row r="1083" s="21" customFormat="1" ht="15" customHeight="1" x14ac:dyDescent="0.25"/>
    <row r="1084" s="21" customFormat="1" ht="15" customHeight="1" x14ac:dyDescent="0.25"/>
    <row r="1085" s="21" customFormat="1" ht="15" customHeight="1" x14ac:dyDescent="0.25"/>
    <row r="1086" s="21" customFormat="1" ht="15" customHeight="1" x14ac:dyDescent="0.25"/>
    <row r="1087" s="21" customFormat="1" ht="15" customHeight="1" x14ac:dyDescent="0.25"/>
    <row r="1088" s="21" customFormat="1" ht="15" customHeight="1" x14ac:dyDescent="0.25"/>
    <row r="1089" s="21" customFormat="1" ht="15" customHeight="1" x14ac:dyDescent="0.25"/>
    <row r="1090" s="21" customFormat="1" ht="15" customHeight="1" x14ac:dyDescent="0.25"/>
    <row r="1091" s="21" customFormat="1" ht="15" customHeight="1" x14ac:dyDescent="0.25"/>
    <row r="1092" s="21" customFormat="1" ht="15" customHeight="1" x14ac:dyDescent="0.25"/>
    <row r="1093" s="21" customFormat="1" ht="15" customHeight="1" x14ac:dyDescent="0.25"/>
    <row r="1094" s="21" customFormat="1" ht="15" customHeight="1" x14ac:dyDescent="0.25"/>
    <row r="1095" s="21" customFormat="1" ht="15" customHeight="1" x14ac:dyDescent="0.25"/>
    <row r="1096" s="21" customFormat="1" ht="15" customHeight="1" x14ac:dyDescent="0.25"/>
    <row r="1097" s="21" customFormat="1" ht="15" customHeight="1" x14ac:dyDescent="0.25"/>
    <row r="1098" s="21" customFormat="1" ht="15" customHeight="1" x14ac:dyDescent="0.25"/>
    <row r="1099" s="21" customFormat="1" ht="15" customHeight="1" x14ac:dyDescent="0.25"/>
    <row r="1100" s="21" customFormat="1" ht="15" customHeight="1" x14ac:dyDescent="0.25"/>
    <row r="1101" s="21" customFormat="1" ht="15" customHeight="1" x14ac:dyDescent="0.25"/>
    <row r="1102" s="21" customFormat="1" ht="15" customHeight="1" x14ac:dyDescent="0.25"/>
    <row r="1103" s="21" customFormat="1" ht="15" customHeight="1" x14ac:dyDescent="0.25"/>
    <row r="1104" s="21" customFormat="1" ht="15" customHeight="1" x14ac:dyDescent="0.25"/>
    <row r="1105" s="21" customFormat="1" ht="15" customHeight="1" x14ac:dyDescent="0.25"/>
    <row r="1106" s="21" customFormat="1" ht="15" customHeight="1" x14ac:dyDescent="0.25"/>
    <row r="1107" s="21" customFormat="1" ht="15" customHeight="1" x14ac:dyDescent="0.25"/>
    <row r="1108" s="21" customFormat="1" ht="15" customHeight="1" x14ac:dyDescent="0.25"/>
    <row r="1109" s="21" customFormat="1" ht="15" customHeight="1" x14ac:dyDescent="0.25"/>
    <row r="1110" s="21" customFormat="1" ht="15" customHeight="1" x14ac:dyDescent="0.25"/>
    <row r="1111" s="21" customFormat="1" ht="15" customHeight="1" x14ac:dyDescent="0.25"/>
    <row r="1112" s="21" customFormat="1" ht="15" customHeight="1" x14ac:dyDescent="0.25"/>
    <row r="1113" s="21" customFormat="1" ht="15" customHeight="1" x14ac:dyDescent="0.25"/>
    <row r="1114" s="21" customFormat="1" ht="15" customHeight="1" x14ac:dyDescent="0.25"/>
    <row r="1115" s="21" customFormat="1" ht="15" customHeight="1" x14ac:dyDescent="0.25"/>
    <row r="1116" s="21" customFormat="1" ht="15" customHeight="1" x14ac:dyDescent="0.25"/>
    <row r="1117" s="21" customFormat="1" ht="15" customHeight="1" x14ac:dyDescent="0.25"/>
    <row r="1118" s="21" customFormat="1" ht="15" customHeight="1" x14ac:dyDescent="0.25"/>
    <row r="1119" s="21" customFormat="1" ht="15" customHeight="1" x14ac:dyDescent="0.25"/>
    <row r="1120" s="21" customFormat="1" ht="15" customHeight="1" x14ac:dyDescent="0.25"/>
    <row r="1121" s="21" customFormat="1" ht="15" customHeight="1" x14ac:dyDescent="0.25"/>
    <row r="1122" s="21" customFormat="1" ht="15" customHeight="1" x14ac:dyDescent="0.25"/>
    <row r="1123" s="21" customFormat="1" ht="15" customHeight="1" x14ac:dyDescent="0.25"/>
    <row r="1124" s="21" customFormat="1" ht="15" customHeight="1" x14ac:dyDescent="0.25"/>
    <row r="1125" s="21" customFormat="1" ht="15" customHeight="1" x14ac:dyDescent="0.25"/>
    <row r="1126" s="21" customFormat="1" ht="15" customHeight="1" x14ac:dyDescent="0.25"/>
    <row r="1127" s="21" customFormat="1" ht="15" customHeight="1" x14ac:dyDescent="0.25"/>
    <row r="1128" s="21" customFormat="1" ht="15" customHeight="1" x14ac:dyDescent="0.25"/>
    <row r="1129" s="21" customFormat="1" ht="15" customHeight="1" x14ac:dyDescent="0.25"/>
    <row r="1130" s="21" customFormat="1" ht="15" customHeight="1" x14ac:dyDescent="0.25"/>
    <row r="1131" s="21" customFormat="1" ht="15" customHeight="1" x14ac:dyDescent="0.25"/>
    <row r="1132" s="21" customFormat="1" ht="15" customHeight="1" x14ac:dyDescent="0.25"/>
    <row r="1133" s="21" customFormat="1" ht="15" customHeight="1" x14ac:dyDescent="0.25"/>
    <row r="1134" s="21" customFormat="1" ht="15" customHeight="1" x14ac:dyDescent="0.25"/>
    <row r="1135" s="21" customFormat="1" ht="15" customHeight="1" x14ac:dyDescent="0.25"/>
    <row r="1136" s="21" customFormat="1" ht="15" customHeight="1" x14ac:dyDescent="0.25"/>
    <row r="1137" s="21" customFormat="1" ht="15" customHeight="1" x14ac:dyDescent="0.25"/>
    <row r="1138" s="21" customFormat="1" ht="15" customHeight="1" x14ac:dyDescent="0.25"/>
    <row r="1139" s="21" customFormat="1" ht="15" customHeight="1" x14ac:dyDescent="0.25"/>
    <row r="1140" s="21" customFormat="1" ht="15" customHeight="1" x14ac:dyDescent="0.25"/>
    <row r="1141" s="21" customFormat="1" ht="15" customHeight="1" x14ac:dyDescent="0.25"/>
    <row r="1142" s="21" customFormat="1" ht="15" customHeight="1" x14ac:dyDescent="0.25"/>
    <row r="1143" s="21" customFormat="1" ht="15" customHeight="1" x14ac:dyDescent="0.25"/>
    <row r="1144" s="21" customFormat="1" ht="15" customHeight="1" x14ac:dyDescent="0.25"/>
    <row r="1145" s="21" customFormat="1" ht="15" customHeight="1" x14ac:dyDescent="0.25"/>
    <row r="1146" s="21" customFormat="1" ht="15" customHeight="1" x14ac:dyDescent="0.25"/>
    <row r="1147" s="21" customFormat="1" ht="15" customHeight="1" x14ac:dyDescent="0.25"/>
    <row r="1148" s="21" customFormat="1" ht="15" customHeight="1" x14ac:dyDescent="0.25"/>
    <row r="1149" s="21" customFormat="1" ht="15" customHeight="1" x14ac:dyDescent="0.25"/>
    <row r="1150" s="21" customFormat="1" ht="15" customHeight="1" x14ac:dyDescent="0.25"/>
    <row r="1151" s="21" customFormat="1" ht="15" customHeight="1" x14ac:dyDescent="0.25"/>
    <row r="1152" s="21" customFormat="1" ht="15" customHeight="1" x14ac:dyDescent="0.25"/>
    <row r="1153" s="21" customFormat="1" ht="15" customHeight="1" x14ac:dyDescent="0.25"/>
    <row r="1154" s="21" customFormat="1" ht="15" customHeight="1" x14ac:dyDescent="0.25"/>
    <row r="1155" s="21" customFormat="1" ht="15" customHeight="1" x14ac:dyDescent="0.25"/>
    <row r="1156" s="21" customFormat="1" ht="15" customHeight="1" x14ac:dyDescent="0.25"/>
    <row r="1157" s="21" customFormat="1" ht="15" customHeight="1" x14ac:dyDescent="0.25"/>
    <row r="1158" s="21" customFormat="1" ht="15" customHeight="1" x14ac:dyDescent="0.25"/>
    <row r="1159" s="21" customFormat="1" ht="15" customHeight="1" x14ac:dyDescent="0.25"/>
    <row r="1160" s="21" customFormat="1" ht="15" customHeight="1" x14ac:dyDescent="0.25"/>
    <row r="1161" s="21" customFormat="1" ht="15" customHeight="1" x14ac:dyDescent="0.25"/>
    <row r="1162" s="21" customFormat="1" ht="15" customHeight="1" x14ac:dyDescent="0.25"/>
    <row r="1163" s="21" customFormat="1" ht="15" customHeight="1" x14ac:dyDescent="0.25"/>
    <row r="1164" s="21" customFormat="1" ht="15" customHeight="1" x14ac:dyDescent="0.25"/>
    <row r="1165" s="21" customFormat="1" ht="15" customHeight="1" x14ac:dyDescent="0.25"/>
    <row r="1166" s="21" customFormat="1" ht="15" customHeight="1" x14ac:dyDescent="0.25"/>
    <row r="1167" s="21" customFormat="1" ht="15" customHeight="1" x14ac:dyDescent="0.25"/>
    <row r="1168" s="21" customFormat="1" ht="15" customHeight="1" x14ac:dyDescent="0.25"/>
    <row r="1169" s="21" customFormat="1" ht="15" customHeight="1" x14ac:dyDescent="0.25"/>
    <row r="1170" s="21" customFormat="1" ht="15" customHeight="1" x14ac:dyDescent="0.25"/>
    <row r="1171" s="21" customFormat="1" ht="15" customHeight="1" x14ac:dyDescent="0.25"/>
    <row r="1172" s="21" customFormat="1" ht="15" customHeight="1" x14ac:dyDescent="0.25"/>
    <row r="1173" s="21" customFormat="1" ht="15" customHeight="1" x14ac:dyDescent="0.25"/>
    <row r="1174" s="21" customFormat="1" ht="15" customHeight="1" x14ac:dyDescent="0.25"/>
    <row r="1175" s="21" customFormat="1" ht="15" customHeight="1" x14ac:dyDescent="0.25"/>
    <row r="1176" s="21" customFormat="1" ht="15" customHeight="1" x14ac:dyDescent="0.25"/>
    <row r="1177" s="21" customFormat="1" ht="15" customHeight="1" x14ac:dyDescent="0.25"/>
    <row r="1178" s="21" customFormat="1" ht="15" customHeight="1" x14ac:dyDescent="0.25"/>
    <row r="1179" s="21" customFormat="1" ht="15" customHeight="1" x14ac:dyDescent="0.25"/>
    <row r="1180" s="21" customFormat="1" ht="15" customHeight="1" x14ac:dyDescent="0.25"/>
    <row r="1181" s="21" customFormat="1" ht="15" customHeight="1" x14ac:dyDescent="0.25"/>
    <row r="1182" s="21" customFormat="1" ht="15" customHeight="1" x14ac:dyDescent="0.25"/>
    <row r="1183" s="21" customFormat="1" ht="15" customHeight="1" x14ac:dyDescent="0.25"/>
    <row r="1184" s="21" customFormat="1" ht="15" customHeight="1" x14ac:dyDescent="0.25"/>
    <row r="1185" s="21" customFormat="1" ht="15" customHeight="1" x14ac:dyDescent="0.25"/>
    <row r="1186" s="21" customFormat="1" ht="15" customHeight="1" x14ac:dyDescent="0.25"/>
    <row r="1187" s="21" customFormat="1" ht="15" customHeight="1" x14ac:dyDescent="0.25"/>
    <row r="1188" s="21" customFormat="1" ht="15" customHeight="1" x14ac:dyDescent="0.25"/>
    <row r="1189" s="21" customFormat="1" ht="15" customHeight="1" x14ac:dyDescent="0.25"/>
    <row r="1190" s="21" customFormat="1" ht="15" customHeight="1" x14ac:dyDescent="0.25"/>
    <row r="1191" s="21" customFormat="1" ht="15" customHeight="1" x14ac:dyDescent="0.25"/>
    <row r="1192" s="21" customFormat="1" ht="15" customHeight="1" x14ac:dyDescent="0.25"/>
    <row r="1193" s="21" customFormat="1" ht="15" customHeight="1" x14ac:dyDescent="0.25"/>
    <row r="1194" s="21" customFormat="1" ht="15" customHeight="1" x14ac:dyDescent="0.25"/>
    <row r="1195" s="21" customFormat="1" ht="15" customHeight="1" x14ac:dyDescent="0.25"/>
    <row r="1196" s="21" customFormat="1" ht="15" customHeight="1" x14ac:dyDescent="0.25"/>
    <row r="1197" s="21" customFormat="1" ht="15" customHeight="1" x14ac:dyDescent="0.25"/>
    <row r="1198" s="21" customFormat="1" ht="15" customHeight="1" x14ac:dyDescent="0.25"/>
    <row r="1199" s="21" customFormat="1" ht="15" customHeight="1" x14ac:dyDescent="0.25"/>
    <row r="1200" s="21" customFormat="1" ht="15" customHeight="1" x14ac:dyDescent="0.25"/>
    <row r="1201" s="21" customFormat="1" ht="15" customHeight="1" x14ac:dyDescent="0.25"/>
    <row r="1202" s="21" customFormat="1" ht="15" customHeight="1" x14ac:dyDescent="0.25"/>
    <row r="1203" s="21" customFormat="1" ht="15" customHeight="1" x14ac:dyDescent="0.25"/>
    <row r="1204" s="21" customFormat="1" ht="15" customHeight="1" x14ac:dyDescent="0.25"/>
    <row r="1205" s="21" customFormat="1" ht="15" customHeight="1" x14ac:dyDescent="0.25"/>
    <row r="1206" s="21" customFormat="1" ht="15" customHeight="1" x14ac:dyDescent="0.25"/>
    <row r="1207" s="21" customFormat="1" ht="15" customHeight="1" x14ac:dyDescent="0.25"/>
    <row r="1208" s="21" customFormat="1" ht="15" customHeight="1" x14ac:dyDescent="0.25"/>
    <row r="1209" s="21" customFormat="1" ht="15" customHeight="1" x14ac:dyDescent="0.25"/>
    <row r="1210" s="21" customFormat="1" ht="15" customHeight="1" x14ac:dyDescent="0.25"/>
    <row r="1211" s="21" customFormat="1" ht="15" customHeight="1" x14ac:dyDescent="0.25"/>
    <row r="1212" s="21" customFormat="1" ht="15" customHeight="1" x14ac:dyDescent="0.25"/>
    <row r="1213" s="21" customFormat="1" ht="15" customHeight="1" x14ac:dyDescent="0.25"/>
    <row r="1214" s="21" customFormat="1" ht="15" customHeight="1" x14ac:dyDescent="0.25"/>
    <row r="1215" s="21" customFormat="1" ht="15" customHeight="1" x14ac:dyDescent="0.25"/>
    <row r="1216" s="21" customFormat="1" ht="15" customHeight="1" x14ac:dyDescent="0.25"/>
    <row r="1217" s="21" customFormat="1" ht="15" customHeight="1" x14ac:dyDescent="0.25"/>
    <row r="1218" s="21" customFormat="1" ht="15" customHeight="1" x14ac:dyDescent="0.25"/>
    <row r="1219" s="21" customFormat="1" ht="15" customHeight="1" x14ac:dyDescent="0.25"/>
    <row r="1220" s="21" customFormat="1" ht="15" customHeight="1" x14ac:dyDescent="0.25"/>
    <row r="1221" s="21" customFormat="1" ht="15" customHeight="1" x14ac:dyDescent="0.25"/>
    <row r="1222" s="21" customFormat="1" ht="15" customHeight="1" x14ac:dyDescent="0.25"/>
    <row r="1223" s="21" customFormat="1" ht="15" customHeight="1" x14ac:dyDescent="0.25"/>
    <row r="1224" s="21" customFormat="1" ht="15" customHeight="1" x14ac:dyDescent="0.25"/>
    <row r="1225" s="21" customFormat="1" ht="15" customHeight="1" x14ac:dyDescent="0.25"/>
    <row r="1226" s="21" customFormat="1" ht="15" customHeight="1" x14ac:dyDescent="0.25"/>
    <row r="1227" s="21" customFormat="1" ht="15" customHeight="1" x14ac:dyDescent="0.25"/>
    <row r="1228" s="21" customFormat="1" ht="15" customHeight="1" x14ac:dyDescent="0.25"/>
    <row r="1229" s="21" customFormat="1" ht="15" customHeight="1" x14ac:dyDescent="0.25"/>
    <row r="1230" s="21" customFormat="1" ht="15" customHeight="1" x14ac:dyDescent="0.25"/>
    <row r="1231" s="21" customFormat="1" ht="15" customHeight="1" x14ac:dyDescent="0.25"/>
    <row r="1232" s="21" customFormat="1" ht="15" customHeight="1" x14ac:dyDescent="0.25"/>
    <row r="1233" s="21" customFormat="1" ht="15" customHeight="1" x14ac:dyDescent="0.25"/>
    <row r="1234" s="21" customFormat="1" ht="15" customHeight="1" x14ac:dyDescent="0.25"/>
    <row r="1235" s="21" customFormat="1" ht="15" customHeight="1" x14ac:dyDescent="0.25"/>
    <row r="1236" s="21" customFormat="1" ht="15" customHeight="1" x14ac:dyDescent="0.25"/>
    <row r="1237" s="21" customFormat="1" ht="15" customHeight="1" x14ac:dyDescent="0.25"/>
    <row r="1238" s="21" customFormat="1" ht="15" customHeight="1" x14ac:dyDescent="0.25"/>
    <row r="1239" s="21" customFormat="1" ht="15" customHeight="1" x14ac:dyDescent="0.25"/>
    <row r="1240" s="21" customFormat="1" ht="15" customHeight="1" x14ac:dyDescent="0.25"/>
    <row r="1241" s="21" customFormat="1" ht="15" customHeight="1" x14ac:dyDescent="0.25"/>
    <row r="1242" s="21" customFormat="1" ht="15" customHeight="1" x14ac:dyDescent="0.25"/>
    <row r="1243" s="21" customFormat="1" ht="15" customHeight="1" x14ac:dyDescent="0.25"/>
    <row r="1244" s="21" customFormat="1" ht="15" customHeight="1" x14ac:dyDescent="0.25"/>
    <row r="1245" s="21" customFormat="1" ht="15" customHeight="1" x14ac:dyDescent="0.25"/>
    <row r="1246" s="21" customFormat="1" ht="15" customHeight="1" x14ac:dyDescent="0.25"/>
    <row r="1247" s="21" customFormat="1" ht="15" customHeight="1" x14ac:dyDescent="0.25"/>
    <row r="1248" s="21" customFormat="1" ht="15" customHeight="1" x14ac:dyDescent="0.25"/>
    <row r="1249" s="21" customFormat="1" ht="15" customHeight="1" x14ac:dyDescent="0.25"/>
    <row r="1250" s="21" customFormat="1" ht="15" customHeight="1" x14ac:dyDescent="0.25"/>
    <row r="1251" s="21" customFormat="1" ht="15" customHeight="1" x14ac:dyDescent="0.25"/>
    <row r="1252" s="21" customFormat="1" ht="15" customHeight="1" x14ac:dyDescent="0.25"/>
    <row r="1253" s="21" customFormat="1" ht="15" customHeight="1" x14ac:dyDescent="0.25"/>
    <row r="1254" s="21" customFormat="1" ht="15" customHeight="1" x14ac:dyDescent="0.25"/>
    <row r="1255" s="21" customFormat="1" ht="15" customHeight="1" x14ac:dyDescent="0.25"/>
    <row r="1256" s="21" customFormat="1" ht="15" customHeight="1" x14ac:dyDescent="0.25"/>
    <row r="1257" s="21" customFormat="1" ht="15" customHeight="1" x14ac:dyDescent="0.25"/>
    <row r="1258" s="21" customFormat="1" ht="15" customHeight="1" x14ac:dyDescent="0.25"/>
    <row r="1259" s="21" customFormat="1" ht="15" customHeight="1" x14ac:dyDescent="0.25"/>
    <row r="1260" s="21" customFormat="1" ht="15" customHeight="1" x14ac:dyDescent="0.25"/>
    <row r="1261" s="21" customFormat="1" ht="15" customHeight="1" x14ac:dyDescent="0.25"/>
    <row r="1262" s="21" customFormat="1" ht="15" customHeight="1" x14ac:dyDescent="0.25"/>
    <row r="1263" s="21" customFormat="1" ht="15" customHeight="1" x14ac:dyDescent="0.25"/>
    <row r="1264" s="21" customFormat="1" ht="15" customHeight="1" x14ac:dyDescent="0.25"/>
    <row r="1265" s="21" customFormat="1" ht="15" customHeight="1" x14ac:dyDescent="0.25"/>
    <row r="1266" s="21" customFormat="1" ht="15" customHeight="1" x14ac:dyDescent="0.25"/>
    <row r="1267" s="21" customFormat="1" ht="15" customHeight="1" x14ac:dyDescent="0.25"/>
    <row r="1268" s="21" customFormat="1" ht="15" customHeight="1" x14ac:dyDescent="0.25"/>
    <row r="1269" s="21" customFormat="1" ht="15" customHeight="1" x14ac:dyDescent="0.25"/>
    <row r="1270" s="21" customFormat="1" ht="15" customHeight="1" x14ac:dyDescent="0.25"/>
    <row r="1271" s="21" customFormat="1" ht="15" customHeight="1" x14ac:dyDescent="0.25"/>
    <row r="1272" s="21" customFormat="1" ht="15" customHeight="1" x14ac:dyDescent="0.25"/>
    <row r="1273" s="21" customFormat="1" ht="15" customHeight="1" x14ac:dyDescent="0.25"/>
    <row r="1274" s="21" customFormat="1" ht="15" customHeight="1" x14ac:dyDescent="0.25"/>
    <row r="1275" s="21" customFormat="1" ht="15" customHeight="1" x14ac:dyDescent="0.25"/>
    <row r="1276" s="21" customFormat="1" ht="15" customHeight="1" x14ac:dyDescent="0.25"/>
    <row r="1277" s="21" customFormat="1" ht="15" customHeight="1" x14ac:dyDescent="0.25"/>
    <row r="1278" s="21" customFormat="1" ht="15" customHeight="1" x14ac:dyDescent="0.25"/>
    <row r="1279" s="21" customFormat="1" ht="15" customHeight="1" x14ac:dyDescent="0.25"/>
    <row r="1280" s="21" customFormat="1" ht="15" customHeight="1" x14ac:dyDescent="0.25"/>
    <row r="1281" s="21" customFormat="1" ht="15" customHeight="1" x14ac:dyDescent="0.25"/>
    <row r="1282" s="21" customFormat="1" ht="15" customHeight="1" x14ac:dyDescent="0.25"/>
    <row r="1283" s="21" customFormat="1" ht="15" customHeight="1" x14ac:dyDescent="0.25"/>
    <row r="1284" s="21" customFormat="1" ht="15" customHeight="1" x14ac:dyDescent="0.25"/>
    <row r="1285" s="21" customFormat="1" ht="15" customHeight="1" x14ac:dyDescent="0.25"/>
    <row r="1286" s="21" customFormat="1" ht="15" customHeight="1" x14ac:dyDescent="0.25"/>
    <row r="1287" s="21" customFormat="1" ht="15" customHeight="1" x14ac:dyDescent="0.25"/>
    <row r="1288" s="21" customFormat="1" ht="15" customHeight="1" x14ac:dyDescent="0.25"/>
    <row r="1289" s="21" customFormat="1" ht="15" customHeight="1" x14ac:dyDescent="0.25"/>
    <row r="1290" s="21" customFormat="1" ht="15" customHeight="1" x14ac:dyDescent="0.25"/>
    <row r="1291" s="21" customFormat="1" ht="15" customHeight="1" x14ac:dyDescent="0.25"/>
    <row r="1292" s="21" customFormat="1" ht="15" customHeight="1" x14ac:dyDescent="0.25"/>
    <row r="1293" s="21" customFormat="1" ht="15" customHeight="1" x14ac:dyDescent="0.25"/>
    <row r="1294" s="21" customFormat="1" ht="15" customHeight="1" x14ac:dyDescent="0.25"/>
    <row r="1295" s="21" customFormat="1" ht="15" customHeight="1" x14ac:dyDescent="0.25"/>
    <row r="1296" s="21" customFormat="1" ht="15" customHeight="1" x14ac:dyDescent="0.25"/>
    <row r="1297" s="21" customFormat="1" ht="15" customHeight="1" x14ac:dyDescent="0.25"/>
    <row r="1298" s="21" customFormat="1" ht="15" customHeight="1" x14ac:dyDescent="0.25"/>
    <row r="1299" s="21" customFormat="1" ht="15" customHeight="1" x14ac:dyDescent="0.25"/>
    <row r="1300" s="21" customFormat="1" ht="15" customHeight="1" x14ac:dyDescent="0.25"/>
    <row r="1301" s="21" customFormat="1" ht="15" customHeight="1" x14ac:dyDescent="0.25"/>
    <row r="1302" s="21" customFormat="1" ht="15" customHeight="1" x14ac:dyDescent="0.25"/>
    <row r="1303" s="21" customFormat="1" ht="15" customHeight="1" x14ac:dyDescent="0.25"/>
    <row r="1304" s="21" customFormat="1" ht="15" customHeight="1" x14ac:dyDescent="0.25"/>
    <row r="1305" s="21" customFormat="1" ht="15" customHeight="1" x14ac:dyDescent="0.25"/>
    <row r="1306" s="21" customFormat="1" ht="15" customHeight="1" x14ac:dyDescent="0.25"/>
    <row r="1307" s="21" customFormat="1" ht="15" customHeight="1" x14ac:dyDescent="0.25"/>
    <row r="1308" s="21" customFormat="1" ht="15" customHeight="1" x14ac:dyDescent="0.25"/>
    <row r="1309" s="21" customFormat="1" ht="15" customHeight="1" x14ac:dyDescent="0.25"/>
    <row r="1310" s="21" customFormat="1" ht="15" customHeight="1" x14ac:dyDescent="0.25"/>
    <row r="1311" s="21" customFormat="1" ht="15" customHeight="1" x14ac:dyDescent="0.25"/>
    <row r="1312" s="21" customFormat="1" ht="15" customHeight="1" x14ac:dyDescent="0.25"/>
    <row r="1313" s="21" customFormat="1" ht="15" customHeight="1" x14ac:dyDescent="0.25"/>
    <row r="1314" s="21" customFormat="1" ht="15" customHeight="1" x14ac:dyDescent="0.25"/>
    <row r="1315" s="21" customFormat="1" ht="15" customHeight="1" x14ac:dyDescent="0.25"/>
    <row r="1316" s="21" customFormat="1" ht="15" customHeight="1" x14ac:dyDescent="0.25"/>
    <row r="1317" s="21" customFormat="1" ht="15" customHeight="1" x14ac:dyDescent="0.25"/>
    <row r="1318" s="21" customFormat="1" ht="15" customHeight="1" x14ac:dyDescent="0.25"/>
    <row r="1319" s="21" customFormat="1" ht="15" customHeight="1" x14ac:dyDescent="0.25"/>
    <row r="1320" s="21" customFormat="1" ht="15" customHeight="1" x14ac:dyDescent="0.25"/>
    <row r="1321" s="21" customFormat="1" ht="15" customHeight="1" x14ac:dyDescent="0.25"/>
    <row r="1322" s="21" customFormat="1" ht="15" customHeight="1" x14ac:dyDescent="0.25"/>
    <row r="1323" s="21" customFormat="1" ht="15" customHeight="1" x14ac:dyDescent="0.25"/>
    <row r="1324" s="21" customFormat="1" ht="15" customHeight="1" x14ac:dyDescent="0.25"/>
    <row r="1325" s="21" customFormat="1" ht="15" customHeight="1" x14ac:dyDescent="0.25"/>
    <row r="1326" s="21" customFormat="1" ht="15" customHeight="1" x14ac:dyDescent="0.25"/>
    <row r="1327" s="21" customFormat="1" ht="15" customHeight="1" x14ac:dyDescent="0.25"/>
    <row r="1328" s="21" customFormat="1" ht="15" customHeight="1" x14ac:dyDescent="0.25"/>
    <row r="1329" s="21" customFormat="1" ht="15" customHeight="1" x14ac:dyDescent="0.25"/>
    <row r="1330" s="21" customFormat="1" ht="15" customHeight="1" x14ac:dyDescent="0.25"/>
    <row r="1331" s="21" customFormat="1" ht="15" customHeight="1" x14ac:dyDescent="0.25"/>
    <row r="1332" s="21" customFormat="1" ht="15" customHeight="1" x14ac:dyDescent="0.25"/>
    <row r="1333" s="21" customFormat="1" ht="15" customHeight="1" x14ac:dyDescent="0.25"/>
    <row r="1334" s="21" customFormat="1" ht="15" customHeight="1" x14ac:dyDescent="0.25"/>
    <row r="1335" s="21" customFormat="1" ht="15" customHeight="1" x14ac:dyDescent="0.25"/>
    <row r="1336" s="21" customFormat="1" ht="15" customHeight="1" x14ac:dyDescent="0.25"/>
    <row r="1337" s="21" customFormat="1" ht="15" customHeight="1" x14ac:dyDescent="0.25"/>
    <row r="1338" s="21" customFormat="1" ht="15" customHeight="1" x14ac:dyDescent="0.25"/>
    <row r="1339" s="21" customFormat="1" ht="15" customHeight="1" x14ac:dyDescent="0.25"/>
    <row r="1340" s="21" customFormat="1" ht="15" customHeight="1" x14ac:dyDescent="0.25"/>
    <row r="1341" s="21" customFormat="1" ht="15" customHeight="1" x14ac:dyDescent="0.25"/>
    <row r="1342" s="21" customFormat="1" ht="15" customHeight="1" x14ac:dyDescent="0.25"/>
    <row r="1343" s="21" customFormat="1" ht="15" customHeight="1" x14ac:dyDescent="0.25"/>
    <row r="1344" s="21" customFormat="1" ht="15" customHeight="1" x14ac:dyDescent="0.25"/>
    <row r="1345" s="21" customFormat="1" ht="15" customHeight="1" x14ac:dyDescent="0.25"/>
    <row r="1346" s="21" customFormat="1" ht="15" customHeight="1" x14ac:dyDescent="0.25"/>
    <row r="1347" s="21" customFormat="1" ht="15" customHeight="1" x14ac:dyDescent="0.25"/>
    <row r="1348" s="21" customFormat="1" ht="15" customHeight="1" x14ac:dyDescent="0.25"/>
    <row r="1349" s="21" customFormat="1" ht="15" customHeight="1" x14ac:dyDescent="0.25"/>
    <row r="1350" s="21" customFormat="1" ht="15" customHeight="1" x14ac:dyDescent="0.25"/>
    <row r="1351" s="21" customFormat="1" ht="15" customHeight="1" x14ac:dyDescent="0.25"/>
    <row r="1352" s="21" customFormat="1" ht="15" customHeight="1" x14ac:dyDescent="0.25"/>
    <row r="1353" s="21" customFormat="1" ht="15" customHeight="1" x14ac:dyDescent="0.25"/>
    <row r="1354" s="21" customFormat="1" ht="15" customHeight="1" x14ac:dyDescent="0.25"/>
    <row r="1355" s="21" customFormat="1" ht="15" customHeight="1" x14ac:dyDescent="0.25"/>
    <row r="1356" s="21" customFormat="1" ht="15" customHeight="1" x14ac:dyDescent="0.25"/>
    <row r="1357" s="21" customFormat="1" ht="15" customHeight="1" x14ac:dyDescent="0.25"/>
    <row r="1358" s="21" customFormat="1" ht="15" customHeight="1" x14ac:dyDescent="0.25"/>
    <row r="1359" s="21" customFormat="1" ht="15" customHeight="1" x14ac:dyDescent="0.25"/>
    <row r="1360" s="21" customFormat="1" ht="15" customHeight="1" x14ac:dyDescent="0.25"/>
    <row r="1361" s="21" customFormat="1" ht="15" customHeight="1" x14ac:dyDescent="0.25"/>
    <row r="1362" s="21" customFormat="1" ht="15" customHeight="1" x14ac:dyDescent="0.25"/>
    <row r="1363" s="21" customFormat="1" ht="15" customHeight="1" x14ac:dyDescent="0.25"/>
    <row r="1364" s="21" customFormat="1" ht="15" customHeight="1" x14ac:dyDescent="0.25"/>
    <row r="1365" s="21" customFormat="1" ht="15" customHeight="1" x14ac:dyDescent="0.25"/>
    <row r="1366" s="21" customFormat="1" ht="15" customHeight="1" x14ac:dyDescent="0.25"/>
    <row r="1367" s="21" customFormat="1" ht="15" customHeight="1" x14ac:dyDescent="0.25"/>
    <row r="1368" s="21" customFormat="1" ht="15" customHeight="1" x14ac:dyDescent="0.25"/>
    <row r="1369" s="21" customFormat="1" ht="15" customHeight="1" x14ac:dyDescent="0.25"/>
    <row r="1370" s="21" customFormat="1" ht="15" customHeight="1" x14ac:dyDescent="0.25"/>
    <row r="1371" s="21" customFormat="1" ht="15" customHeight="1" x14ac:dyDescent="0.25"/>
    <row r="1372" s="21" customFormat="1" ht="15" customHeight="1" x14ac:dyDescent="0.25"/>
    <row r="1373" s="21" customFormat="1" ht="15" customHeight="1" x14ac:dyDescent="0.25"/>
    <row r="1374" s="21" customFormat="1" ht="15" customHeight="1" x14ac:dyDescent="0.25"/>
    <row r="1375" s="21" customFormat="1" ht="15" customHeight="1" x14ac:dyDescent="0.25"/>
    <row r="1376" s="21" customFormat="1" ht="15" customHeight="1" x14ac:dyDescent="0.25"/>
    <row r="1377" s="21" customFormat="1" ht="15" customHeight="1" x14ac:dyDescent="0.25"/>
    <row r="1378" s="21" customFormat="1" ht="15" customHeight="1" x14ac:dyDescent="0.25"/>
    <row r="1379" s="21" customFormat="1" ht="15" customHeight="1" x14ac:dyDescent="0.25"/>
    <row r="1380" s="21" customFormat="1" ht="15" customHeight="1" x14ac:dyDescent="0.25"/>
    <row r="1381" s="21" customFormat="1" ht="15" customHeight="1" x14ac:dyDescent="0.25"/>
    <row r="1382" s="21" customFormat="1" ht="15" customHeight="1" x14ac:dyDescent="0.25"/>
    <row r="1383" s="21" customFormat="1" ht="15" customHeight="1" x14ac:dyDescent="0.25"/>
    <row r="1384" s="21" customFormat="1" ht="15" customHeight="1" x14ac:dyDescent="0.25"/>
    <row r="1385" s="21" customFormat="1" ht="15" customHeight="1" x14ac:dyDescent="0.25"/>
    <row r="1386" s="21" customFormat="1" ht="15" customHeight="1" x14ac:dyDescent="0.25"/>
    <row r="1387" s="21" customFormat="1" ht="15" customHeight="1" x14ac:dyDescent="0.25"/>
    <row r="1388" s="21" customFormat="1" ht="15" customHeight="1" x14ac:dyDescent="0.25"/>
    <row r="1389" s="21" customFormat="1" ht="15" customHeight="1" x14ac:dyDescent="0.25"/>
    <row r="1390" s="21" customFormat="1" ht="15" customHeight="1" x14ac:dyDescent="0.25"/>
    <row r="1391" s="21" customFormat="1" ht="15" customHeight="1" x14ac:dyDescent="0.25"/>
    <row r="1392" s="21" customFormat="1" ht="15" customHeight="1" x14ac:dyDescent="0.25"/>
    <row r="1393" s="21" customFormat="1" ht="15" customHeight="1" x14ac:dyDescent="0.25"/>
    <row r="1394" s="21" customFormat="1" ht="15" customHeight="1" x14ac:dyDescent="0.25"/>
    <row r="1395" s="21" customFormat="1" ht="15" customHeight="1" x14ac:dyDescent="0.25"/>
    <row r="1396" s="21" customFormat="1" ht="15" customHeight="1" x14ac:dyDescent="0.25"/>
    <row r="1397" s="21" customFormat="1" ht="15" customHeight="1" x14ac:dyDescent="0.25"/>
    <row r="1398" s="21" customFormat="1" ht="15" customHeight="1" x14ac:dyDescent="0.25"/>
    <row r="1399" s="21" customFormat="1" ht="15" customHeight="1" x14ac:dyDescent="0.25"/>
    <row r="1400" s="21" customFormat="1" ht="15" customHeight="1" x14ac:dyDescent="0.25"/>
    <row r="1401" s="21" customFormat="1" ht="15" customHeight="1" x14ac:dyDescent="0.25"/>
    <row r="1402" s="21" customFormat="1" ht="15" customHeight="1" x14ac:dyDescent="0.25"/>
    <row r="1403" s="21" customFormat="1" ht="15" customHeight="1" x14ac:dyDescent="0.25"/>
    <row r="1404" s="21" customFormat="1" ht="15" customHeight="1" x14ac:dyDescent="0.25"/>
    <row r="1405" s="21" customFormat="1" ht="15" customHeight="1" x14ac:dyDescent="0.25"/>
    <row r="1406" s="21" customFormat="1" ht="15" customHeight="1" x14ac:dyDescent="0.25"/>
    <row r="1407" s="21" customFormat="1" ht="15" customHeight="1" x14ac:dyDescent="0.25"/>
    <row r="1408" s="21" customFormat="1" ht="15" customHeight="1" x14ac:dyDescent="0.25"/>
    <row r="1409" s="21" customFormat="1" ht="15" customHeight="1" x14ac:dyDescent="0.25"/>
    <row r="1410" s="21" customFormat="1" ht="15" customHeight="1" x14ac:dyDescent="0.25"/>
    <row r="1411" s="21" customFormat="1" ht="15" customHeight="1" x14ac:dyDescent="0.25"/>
    <row r="1412" s="21" customFormat="1" ht="15" customHeight="1" x14ac:dyDescent="0.25"/>
    <row r="1413" s="21" customFormat="1" ht="15" customHeight="1" x14ac:dyDescent="0.25"/>
    <row r="1414" s="21" customFormat="1" ht="15" customHeight="1" x14ac:dyDescent="0.25"/>
    <row r="1415" s="21" customFormat="1" ht="15" customHeight="1" x14ac:dyDescent="0.25"/>
    <row r="1416" s="21" customFormat="1" ht="15" customHeight="1" x14ac:dyDescent="0.25"/>
    <row r="1417" s="21" customFormat="1" ht="15" customHeight="1" x14ac:dyDescent="0.25"/>
    <row r="1418" s="21" customFormat="1" ht="15" customHeight="1" x14ac:dyDescent="0.25"/>
    <row r="1419" s="21" customFormat="1" ht="15" customHeight="1" x14ac:dyDescent="0.25"/>
    <row r="1420" s="21" customFormat="1" ht="15" customHeight="1" x14ac:dyDescent="0.25"/>
    <row r="1421" s="21" customFormat="1" ht="15" customHeight="1" x14ac:dyDescent="0.25"/>
    <row r="1422" s="21" customFormat="1" ht="15" customHeight="1" x14ac:dyDescent="0.25"/>
    <row r="1423" s="21" customFormat="1" ht="15" customHeight="1" x14ac:dyDescent="0.25"/>
    <row r="1424" s="21" customFormat="1" ht="15" customHeight="1" x14ac:dyDescent="0.25"/>
    <row r="1425" s="21" customFormat="1" ht="15" customHeight="1" x14ac:dyDescent="0.25"/>
    <row r="1426" s="21" customFormat="1" ht="15" customHeight="1" x14ac:dyDescent="0.25"/>
    <row r="1427" s="21" customFormat="1" ht="15" customHeight="1" x14ac:dyDescent="0.25"/>
    <row r="1428" s="21" customFormat="1" ht="15" customHeight="1" x14ac:dyDescent="0.25"/>
    <row r="1429" s="21" customFormat="1" ht="15" customHeight="1" x14ac:dyDescent="0.25"/>
    <row r="1430" s="21" customFormat="1" ht="15" customHeight="1" x14ac:dyDescent="0.25"/>
    <row r="1431" s="21" customFormat="1" ht="15" customHeight="1" x14ac:dyDescent="0.25"/>
    <row r="1432" s="21" customFormat="1" ht="15" customHeight="1" x14ac:dyDescent="0.25"/>
    <row r="1433" s="21" customFormat="1" ht="15" customHeight="1" x14ac:dyDescent="0.25"/>
    <row r="1434" s="21" customFormat="1" ht="15" customHeight="1" x14ac:dyDescent="0.25"/>
    <row r="1435" s="21" customFormat="1" ht="15" customHeight="1" x14ac:dyDescent="0.25"/>
    <row r="1436" s="21" customFormat="1" ht="15" customHeight="1" x14ac:dyDescent="0.25"/>
    <row r="1437" s="21" customFormat="1" ht="15" customHeight="1" x14ac:dyDescent="0.25"/>
    <row r="1438" s="21" customFormat="1" ht="15" customHeight="1" x14ac:dyDescent="0.25"/>
    <row r="1439" s="21" customFormat="1" ht="15" customHeight="1" x14ac:dyDescent="0.25"/>
    <row r="1440" s="21" customFormat="1" ht="15" customHeight="1" x14ac:dyDescent="0.25"/>
    <row r="1441" s="21" customFormat="1" ht="15" customHeight="1" x14ac:dyDescent="0.25"/>
    <row r="1442" s="21" customFormat="1" ht="15" customHeight="1" x14ac:dyDescent="0.25"/>
    <row r="1443" s="21" customFormat="1" ht="15" customHeight="1" x14ac:dyDescent="0.25"/>
    <row r="1444" s="21" customFormat="1" ht="15" customHeight="1" x14ac:dyDescent="0.25"/>
    <row r="1445" s="21" customFormat="1" ht="15" customHeight="1" x14ac:dyDescent="0.25"/>
    <row r="1446" s="21" customFormat="1" ht="15" customHeight="1" x14ac:dyDescent="0.25"/>
    <row r="1447" s="21" customFormat="1" ht="15" customHeight="1" x14ac:dyDescent="0.25"/>
    <row r="1448" s="21" customFormat="1" ht="15" customHeight="1" x14ac:dyDescent="0.25"/>
    <row r="1449" s="21" customFormat="1" ht="15" customHeight="1" x14ac:dyDescent="0.25"/>
    <row r="1450" s="21" customFormat="1" ht="15" customHeight="1" x14ac:dyDescent="0.25"/>
    <row r="1451" s="21" customFormat="1" ht="15" customHeight="1" x14ac:dyDescent="0.25"/>
    <row r="1452" s="21" customFormat="1" ht="15" customHeight="1" x14ac:dyDescent="0.25"/>
    <row r="1453" s="21" customFormat="1" ht="15" customHeight="1" x14ac:dyDescent="0.25"/>
    <row r="1454" s="21" customFormat="1" ht="15" customHeight="1" x14ac:dyDescent="0.25"/>
    <row r="1455" s="21" customFormat="1" ht="15" customHeight="1" x14ac:dyDescent="0.25"/>
    <row r="1456" s="21" customFormat="1" ht="15" customHeight="1" x14ac:dyDescent="0.25"/>
    <row r="1457" s="21" customFormat="1" ht="15" customHeight="1" x14ac:dyDescent="0.25"/>
    <row r="1458" s="21" customFormat="1" ht="15" customHeight="1" x14ac:dyDescent="0.25"/>
    <row r="1459" s="21" customFormat="1" ht="15" customHeight="1" x14ac:dyDescent="0.25"/>
    <row r="1460" s="21" customFormat="1" ht="15" customHeight="1" x14ac:dyDescent="0.25"/>
    <row r="1461" s="21" customFormat="1" ht="15" customHeight="1" x14ac:dyDescent="0.25"/>
    <row r="1462" s="21" customFormat="1" ht="15" customHeight="1" x14ac:dyDescent="0.25"/>
    <row r="1463" s="21" customFormat="1" ht="15" customHeight="1" x14ac:dyDescent="0.25"/>
    <row r="1464" s="21" customFormat="1" ht="15" customHeight="1" x14ac:dyDescent="0.25"/>
    <row r="1465" s="21" customFormat="1" ht="15" customHeight="1" x14ac:dyDescent="0.25"/>
    <row r="1466" s="21" customFormat="1" ht="15" customHeight="1" x14ac:dyDescent="0.25"/>
    <row r="1467" s="21" customFormat="1" ht="15" customHeight="1" x14ac:dyDescent="0.25"/>
    <row r="1468" s="21" customFormat="1" ht="15" customHeight="1" x14ac:dyDescent="0.25"/>
    <row r="1469" s="21" customFormat="1" ht="15" customHeight="1" x14ac:dyDescent="0.25"/>
    <row r="1470" s="21" customFormat="1" ht="15" customHeight="1" x14ac:dyDescent="0.25"/>
    <row r="1471" s="21" customFormat="1" ht="15" customHeight="1" x14ac:dyDescent="0.25"/>
    <row r="1472" s="21" customFormat="1" ht="15" customHeight="1" x14ac:dyDescent="0.25"/>
    <row r="1473" s="21" customFormat="1" ht="15" customHeight="1" x14ac:dyDescent="0.25"/>
    <row r="1474" s="21" customFormat="1" ht="15" customHeight="1" x14ac:dyDescent="0.25"/>
    <row r="1475" s="21" customFormat="1" ht="15" customHeight="1" x14ac:dyDescent="0.25"/>
    <row r="1476" s="21" customFormat="1" ht="15" customHeight="1" x14ac:dyDescent="0.25"/>
    <row r="1477" s="21" customFormat="1" ht="15" customHeight="1" x14ac:dyDescent="0.25"/>
    <row r="1478" s="21" customFormat="1" ht="15" customHeight="1" x14ac:dyDescent="0.25"/>
    <row r="1479" s="21" customFormat="1" ht="15" customHeight="1" x14ac:dyDescent="0.25"/>
    <row r="1480" s="21" customFormat="1" ht="15" customHeight="1" x14ac:dyDescent="0.25"/>
    <row r="1481" s="21" customFormat="1" ht="15" customHeight="1" x14ac:dyDescent="0.25"/>
    <row r="1482" s="21" customFormat="1" ht="15" customHeight="1" x14ac:dyDescent="0.25"/>
    <row r="1483" s="21" customFormat="1" ht="15" customHeight="1" x14ac:dyDescent="0.25"/>
    <row r="1484" s="21" customFormat="1" ht="15" customHeight="1" x14ac:dyDescent="0.25"/>
    <row r="1485" s="21" customFormat="1" ht="15" customHeight="1" x14ac:dyDescent="0.25"/>
    <row r="1486" s="21" customFormat="1" ht="15" customHeight="1" x14ac:dyDescent="0.25"/>
    <row r="1487" s="21" customFormat="1" ht="15" customHeight="1" x14ac:dyDescent="0.25"/>
    <row r="1488" s="21" customFormat="1" ht="15" customHeight="1" x14ac:dyDescent="0.25"/>
    <row r="1489" s="21" customFormat="1" ht="15" customHeight="1" x14ac:dyDescent="0.25"/>
    <row r="1490" s="21" customFormat="1" ht="15" customHeight="1" x14ac:dyDescent="0.25"/>
    <row r="1491" s="21" customFormat="1" ht="15" customHeight="1" x14ac:dyDescent="0.25"/>
    <row r="1492" s="21" customFormat="1" ht="15" customHeight="1" x14ac:dyDescent="0.25"/>
    <row r="1493" s="21" customFormat="1" ht="15" customHeight="1" x14ac:dyDescent="0.25"/>
    <row r="1494" s="21" customFormat="1" ht="15" customHeight="1" x14ac:dyDescent="0.25"/>
    <row r="1495" s="21" customFormat="1" ht="15" customHeight="1" x14ac:dyDescent="0.25"/>
    <row r="1496" s="21" customFormat="1" ht="15" customHeight="1" x14ac:dyDescent="0.25"/>
    <row r="1497" s="21" customFormat="1" ht="15" customHeight="1" x14ac:dyDescent="0.25"/>
    <row r="1498" s="21" customFormat="1" ht="15" customHeight="1" x14ac:dyDescent="0.25"/>
    <row r="1499" s="21" customFormat="1" ht="15" customHeight="1" x14ac:dyDescent="0.25"/>
    <row r="1500" s="21" customFormat="1" ht="15" customHeight="1" x14ac:dyDescent="0.25"/>
    <row r="1501" s="21" customFormat="1" ht="15" customHeight="1" x14ac:dyDescent="0.25"/>
    <row r="1502" s="21" customFormat="1" ht="15" customHeight="1" x14ac:dyDescent="0.25"/>
    <row r="1503" s="21" customFormat="1" ht="15" customHeight="1" x14ac:dyDescent="0.25"/>
    <row r="1504" s="21" customFormat="1" ht="15" customHeight="1" x14ac:dyDescent="0.25"/>
    <row r="1505" s="21" customFormat="1" ht="15" customHeight="1" x14ac:dyDescent="0.25"/>
    <row r="1506" s="21" customFormat="1" ht="15" customHeight="1" x14ac:dyDescent="0.25"/>
    <row r="1507" s="21" customFormat="1" ht="15" customHeight="1" x14ac:dyDescent="0.25"/>
    <row r="1508" s="21" customFormat="1" ht="15" customHeight="1" x14ac:dyDescent="0.25"/>
    <row r="1509" s="21" customFormat="1" ht="15" customHeight="1" x14ac:dyDescent="0.25"/>
    <row r="1510" s="21" customFormat="1" ht="15" customHeight="1" x14ac:dyDescent="0.25"/>
    <row r="1511" s="21" customFormat="1" ht="15" customHeight="1" x14ac:dyDescent="0.25"/>
    <row r="1512" s="21" customFormat="1" ht="15" customHeight="1" x14ac:dyDescent="0.25"/>
    <row r="1513" s="21" customFormat="1" ht="15" customHeight="1" x14ac:dyDescent="0.25"/>
    <row r="1514" s="21" customFormat="1" ht="15" customHeight="1" x14ac:dyDescent="0.25"/>
    <row r="1515" s="21" customFormat="1" ht="15" customHeight="1" x14ac:dyDescent="0.25"/>
    <row r="1516" s="21" customFormat="1" ht="15" customHeight="1" x14ac:dyDescent="0.25"/>
    <row r="1517" s="21" customFormat="1" ht="15" customHeight="1" x14ac:dyDescent="0.25"/>
    <row r="1518" s="21" customFormat="1" ht="15" customHeight="1" x14ac:dyDescent="0.25"/>
    <row r="1519" s="21" customFormat="1" ht="15" customHeight="1" x14ac:dyDescent="0.25"/>
    <row r="1520" s="21" customFormat="1" ht="15" customHeight="1" x14ac:dyDescent="0.25"/>
    <row r="1521" s="21" customFormat="1" ht="15" customHeight="1" x14ac:dyDescent="0.25"/>
    <row r="1522" s="21" customFormat="1" ht="15" customHeight="1" x14ac:dyDescent="0.25"/>
    <row r="1523" s="21" customFormat="1" ht="15" customHeight="1" x14ac:dyDescent="0.25"/>
    <row r="1524" s="21" customFormat="1" ht="15" customHeight="1" x14ac:dyDescent="0.25"/>
    <row r="1525" s="21" customFormat="1" ht="15" customHeight="1" x14ac:dyDescent="0.25"/>
    <row r="1526" s="21" customFormat="1" ht="15" customHeight="1" x14ac:dyDescent="0.25"/>
    <row r="1527" s="21" customFormat="1" ht="15" customHeight="1" x14ac:dyDescent="0.25"/>
    <row r="1528" s="21" customFormat="1" ht="15" customHeight="1" x14ac:dyDescent="0.25"/>
    <row r="1529" s="21" customFormat="1" ht="15" customHeight="1" x14ac:dyDescent="0.25"/>
    <row r="1530" s="21" customFormat="1" ht="15" customHeight="1" x14ac:dyDescent="0.25"/>
    <row r="1531" s="21" customFormat="1" ht="15" customHeight="1" x14ac:dyDescent="0.25"/>
    <row r="1532" s="21" customFormat="1" ht="15" customHeight="1" x14ac:dyDescent="0.25"/>
    <row r="1533" s="21" customFormat="1" ht="15" customHeight="1" x14ac:dyDescent="0.25"/>
    <row r="1534" s="21" customFormat="1" ht="15" customHeight="1" x14ac:dyDescent="0.25"/>
    <row r="1535" s="21" customFormat="1" ht="15" customHeight="1" x14ac:dyDescent="0.25"/>
    <row r="1536" s="21" customFormat="1" ht="15" customHeight="1" x14ac:dyDescent="0.25"/>
    <row r="1537" s="21" customFormat="1" ht="15" customHeight="1" x14ac:dyDescent="0.25"/>
    <row r="1538" s="21" customFormat="1" ht="15" customHeight="1" x14ac:dyDescent="0.25"/>
    <row r="1539" s="21" customFormat="1" ht="15" customHeight="1" x14ac:dyDescent="0.25"/>
    <row r="1540" s="21" customFormat="1" ht="15" customHeight="1" x14ac:dyDescent="0.25"/>
    <row r="1541" s="21" customFormat="1" ht="15" customHeight="1" x14ac:dyDescent="0.25"/>
    <row r="1542" s="21" customFormat="1" ht="15" customHeight="1" x14ac:dyDescent="0.25"/>
    <row r="1543" s="21" customFormat="1" ht="15" customHeight="1" x14ac:dyDescent="0.25"/>
    <row r="1544" s="21" customFormat="1" ht="15" customHeight="1" x14ac:dyDescent="0.25"/>
    <row r="1545" s="21" customFormat="1" ht="15" customHeight="1" x14ac:dyDescent="0.25"/>
    <row r="1546" s="21" customFormat="1" ht="15" customHeight="1" x14ac:dyDescent="0.25"/>
    <row r="1547" s="21" customFormat="1" ht="15" customHeight="1" x14ac:dyDescent="0.25"/>
    <row r="1548" s="21" customFormat="1" ht="15" customHeight="1" x14ac:dyDescent="0.25"/>
    <row r="1549" s="21" customFormat="1" ht="15" customHeight="1" x14ac:dyDescent="0.25"/>
    <row r="1550" s="21" customFormat="1" ht="15" customHeight="1" x14ac:dyDescent="0.25"/>
    <row r="1551" s="21" customFormat="1" ht="15" customHeight="1" x14ac:dyDescent="0.25"/>
    <row r="1552" s="21" customFormat="1" ht="15" customHeight="1" x14ac:dyDescent="0.25"/>
    <row r="1553" s="21" customFormat="1" ht="15" customHeight="1" x14ac:dyDescent="0.25"/>
    <row r="1554" s="21" customFormat="1" ht="15" customHeight="1" x14ac:dyDescent="0.25"/>
    <row r="1555" s="21" customFormat="1" ht="15" customHeight="1" x14ac:dyDescent="0.25"/>
    <row r="1556" s="21" customFormat="1" ht="15" customHeight="1" x14ac:dyDescent="0.25"/>
    <row r="1557" s="21" customFormat="1" ht="15" customHeight="1" x14ac:dyDescent="0.25"/>
    <row r="1558" s="21" customFormat="1" ht="15" customHeight="1" x14ac:dyDescent="0.25"/>
    <row r="1559" s="21" customFormat="1" ht="15" customHeight="1" x14ac:dyDescent="0.25"/>
    <row r="1560" s="21" customFormat="1" ht="15" customHeight="1" x14ac:dyDescent="0.25"/>
    <row r="1561" s="21" customFormat="1" ht="15" customHeight="1" x14ac:dyDescent="0.25"/>
    <row r="1562" s="21" customFormat="1" ht="15" customHeight="1" x14ac:dyDescent="0.25"/>
    <row r="1563" s="21" customFormat="1" ht="15" customHeight="1" x14ac:dyDescent="0.25"/>
    <row r="1564" s="21" customFormat="1" ht="15" customHeight="1" x14ac:dyDescent="0.25"/>
    <row r="1565" s="21" customFormat="1" ht="15" customHeight="1" x14ac:dyDescent="0.25"/>
    <row r="1566" s="21" customFormat="1" ht="15" customHeight="1" x14ac:dyDescent="0.25"/>
    <row r="1567" s="21" customFormat="1" ht="15" customHeight="1" x14ac:dyDescent="0.25"/>
    <row r="1568" s="21" customFormat="1" ht="15" customHeight="1" x14ac:dyDescent="0.25"/>
    <row r="1569" s="21" customFormat="1" ht="15" customHeight="1" x14ac:dyDescent="0.25"/>
    <row r="1570" s="21" customFormat="1" ht="15" customHeight="1" x14ac:dyDescent="0.25"/>
    <row r="1571" s="21" customFormat="1" ht="15" customHeight="1" x14ac:dyDescent="0.25"/>
    <row r="1572" s="21" customFormat="1" ht="15" customHeight="1" x14ac:dyDescent="0.25"/>
    <row r="1573" s="21" customFormat="1" ht="15" customHeight="1" x14ac:dyDescent="0.25"/>
    <row r="1574" s="21" customFormat="1" ht="15" customHeight="1" x14ac:dyDescent="0.25"/>
    <row r="1575" s="21" customFormat="1" ht="15" customHeight="1" x14ac:dyDescent="0.25"/>
    <row r="1576" s="21" customFormat="1" ht="15" customHeight="1" x14ac:dyDescent="0.25"/>
    <row r="1577" s="21" customFormat="1" ht="15" customHeight="1" x14ac:dyDescent="0.25"/>
    <row r="1578" s="21" customFormat="1" ht="15" customHeight="1" x14ac:dyDescent="0.25"/>
    <row r="1579" s="21" customFormat="1" ht="15" customHeight="1" x14ac:dyDescent="0.25"/>
    <row r="1580" s="21" customFormat="1" ht="15" customHeight="1" x14ac:dyDescent="0.25"/>
    <row r="1581" s="21" customFormat="1" ht="15" customHeight="1" x14ac:dyDescent="0.25"/>
    <row r="1582" s="21" customFormat="1" ht="15" customHeight="1" x14ac:dyDescent="0.25"/>
    <row r="1583" s="21" customFormat="1" ht="15" customHeight="1" x14ac:dyDescent="0.25"/>
    <row r="1584" s="21" customFormat="1" ht="15" customHeight="1" x14ac:dyDescent="0.25"/>
    <row r="1585" s="21" customFormat="1" ht="15" customHeight="1" x14ac:dyDescent="0.25"/>
    <row r="1586" s="21" customFormat="1" ht="15" customHeight="1" x14ac:dyDescent="0.25"/>
    <row r="1587" s="21" customFormat="1" ht="15" customHeight="1" x14ac:dyDescent="0.25"/>
    <row r="1588" s="21" customFormat="1" ht="15" customHeight="1" x14ac:dyDescent="0.25"/>
    <row r="1589" s="21" customFormat="1" ht="15" customHeight="1" x14ac:dyDescent="0.25"/>
    <row r="1590" s="21" customFormat="1" ht="15" customHeight="1" x14ac:dyDescent="0.25"/>
    <row r="1591" s="21" customFormat="1" ht="15" customHeight="1" x14ac:dyDescent="0.25"/>
    <row r="1592" s="21" customFormat="1" ht="15" customHeight="1" x14ac:dyDescent="0.25"/>
    <row r="1593" s="21" customFormat="1" ht="15" customHeight="1" x14ac:dyDescent="0.25"/>
    <row r="1594" s="21" customFormat="1" ht="15" customHeight="1" x14ac:dyDescent="0.25"/>
    <row r="1595" s="21" customFormat="1" ht="15" customHeight="1" x14ac:dyDescent="0.25"/>
    <row r="1596" s="21" customFormat="1" ht="15" customHeight="1" x14ac:dyDescent="0.25"/>
    <row r="1597" s="21" customFormat="1" ht="15" customHeight="1" x14ac:dyDescent="0.25"/>
    <row r="1598" s="21" customFormat="1" ht="15" customHeight="1" x14ac:dyDescent="0.25"/>
    <row r="1599" s="21" customFormat="1" ht="15" customHeight="1" x14ac:dyDescent="0.25"/>
    <row r="1600" s="21" customFormat="1" ht="15" customHeight="1" x14ac:dyDescent="0.25"/>
    <row r="1601" s="21" customFormat="1" ht="15" customHeight="1" x14ac:dyDescent="0.25"/>
    <row r="1602" s="21" customFormat="1" ht="15" customHeight="1" x14ac:dyDescent="0.25"/>
    <row r="1603" s="21" customFormat="1" ht="15" customHeight="1" x14ac:dyDescent="0.25"/>
    <row r="1604" s="21" customFormat="1" ht="15" customHeight="1" x14ac:dyDescent="0.25"/>
    <row r="1605" s="21" customFormat="1" ht="15" customHeight="1" x14ac:dyDescent="0.25"/>
    <row r="1606" s="21" customFormat="1" ht="15" customHeight="1" x14ac:dyDescent="0.25"/>
    <row r="1607" s="21" customFormat="1" ht="15" customHeight="1" x14ac:dyDescent="0.25"/>
    <row r="1608" s="21" customFormat="1" ht="15" customHeight="1" x14ac:dyDescent="0.25"/>
    <row r="1609" s="21" customFormat="1" ht="15" customHeight="1" x14ac:dyDescent="0.25"/>
    <row r="1610" s="21" customFormat="1" ht="15" customHeight="1" x14ac:dyDescent="0.25"/>
    <row r="1611" s="21" customFormat="1" ht="15" customHeight="1" x14ac:dyDescent="0.25"/>
    <row r="1612" s="21" customFormat="1" ht="15" customHeight="1" x14ac:dyDescent="0.25"/>
    <row r="1613" s="21" customFormat="1" ht="15" customHeight="1" x14ac:dyDescent="0.25"/>
    <row r="1614" s="21" customFormat="1" ht="15" customHeight="1" x14ac:dyDescent="0.25"/>
    <row r="1615" s="21" customFormat="1" ht="15" customHeight="1" x14ac:dyDescent="0.25"/>
    <row r="1616" s="21" customFormat="1" ht="15" customHeight="1" x14ac:dyDescent="0.25"/>
    <row r="1617" s="21" customFormat="1" ht="15" customHeight="1" x14ac:dyDescent="0.25"/>
    <row r="1618" s="21" customFormat="1" ht="15" customHeight="1" x14ac:dyDescent="0.25"/>
    <row r="1619" s="21" customFormat="1" ht="15" customHeight="1" x14ac:dyDescent="0.25"/>
    <row r="1620" s="21" customFormat="1" ht="15" customHeight="1" x14ac:dyDescent="0.25"/>
    <row r="1621" s="21" customFormat="1" ht="15" customHeight="1" x14ac:dyDescent="0.25"/>
    <row r="1622" s="21" customFormat="1" ht="15" customHeight="1" x14ac:dyDescent="0.25"/>
    <row r="1623" s="21" customFormat="1" ht="15" customHeight="1" x14ac:dyDescent="0.25"/>
    <row r="1624" s="21" customFormat="1" ht="15" customHeight="1" x14ac:dyDescent="0.25"/>
    <row r="1625" s="21" customFormat="1" ht="15" customHeight="1" x14ac:dyDescent="0.25"/>
    <row r="1626" s="21" customFormat="1" ht="15" customHeight="1" x14ac:dyDescent="0.25"/>
    <row r="1627" s="21" customFormat="1" ht="15" customHeight="1" x14ac:dyDescent="0.25"/>
    <row r="1628" s="21" customFormat="1" ht="15" customHeight="1" x14ac:dyDescent="0.25"/>
    <row r="1629" s="21" customFormat="1" ht="15" customHeight="1" x14ac:dyDescent="0.25"/>
    <row r="1630" s="21" customFormat="1" ht="15" customHeight="1" x14ac:dyDescent="0.25"/>
    <row r="1631" s="21" customFormat="1" ht="15" customHeight="1" x14ac:dyDescent="0.25"/>
    <row r="1632" s="21" customFormat="1" ht="15" customHeight="1" x14ac:dyDescent="0.25"/>
    <row r="1633" s="21" customFormat="1" ht="15" customHeight="1" x14ac:dyDescent="0.25"/>
    <row r="1634" s="21" customFormat="1" ht="15" customHeight="1" x14ac:dyDescent="0.25"/>
    <row r="1635" s="21" customFormat="1" ht="15" customHeight="1" x14ac:dyDescent="0.25"/>
    <row r="1636" s="21" customFormat="1" ht="15" customHeight="1" x14ac:dyDescent="0.25"/>
    <row r="1637" s="21" customFormat="1" ht="15" customHeight="1" x14ac:dyDescent="0.25"/>
    <row r="1638" s="21" customFormat="1" ht="15" customHeight="1" x14ac:dyDescent="0.25"/>
    <row r="1639" s="21" customFormat="1" ht="15" customHeight="1" x14ac:dyDescent="0.25"/>
    <row r="1640" s="21" customFormat="1" ht="15" customHeight="1" x14ac:dyDescent="0.25"/>
    <row r="1641" s="21" customFormat="1" ht="15" customHeight="1" x14ac:dyDescent="0.25"/>
    <row r="1642" s="21" customFormat="1" ht="15" customHeight="1" x14ac:dyDescent="0.25"/>
    <row r="1643" s="21" customFormat="1" ht="15" customHeight="1" x14ac:dyDescent="0.25"/>
    <row r="1644" s="21" customFormat="1" ht="15" customHeight="1" x14ac:dyDescent="0.25"/>
    <row r="1645" s="21" customFormat="1" ht="15" customHeight="1" x14ac:dyDescent="0.25"/>
    <row r="1646" s="21" customFormat="1" ht="15" customHeight="1" x14ac:dyDescent="0.25"/>
    <row r="1647" s="21" customFormat="1" ht="15" customHeight="1" x14ac:dyDescent="0.25"/>
    <row r="1648" s="21" customFormat="1" ht="15" customHeight="1" x14ac:dyDescent="0.25"/>
    <row r="1649" s="21" customFormat="1" ht="15" customHeight="1" x14ac:dyDescent="0.25"/>
    <row r="1650" s="21" customFormat="1" ht="15" customHeight="1" x14ac:dyDescent="0.25"/>
    <row r="1651" s="21" customFormat="1" ht="15" customHeight="1" x14ac:dyDescent="0.25"/>
    <row r="1652" s="21" customFormat="1" ht="15" customHeight="1" x14ac:dyDescent="0.25"/>
    <row r="1653" s="21" customFormat="1" ht="15" customHeight="1" x14ac:dyDescent="0.25"/>
    <row r="1654" s="21" customFormat="1" ht="15" customHeight="1" x14ac:dyDescent="0.25"/>
    <row r="1655" s="21" customFormat="1" ht="15" customHeight="1" x14ac:dyDescent="0.25"/>
    <row r="1656" s="21" customFormat="1" ht="15" customHeight="1" x14ac:dyDescent="0.25"/>
    <row r="1657" s="21" customFormat="1" ht="15" customHeight="1" x14ac:dyDescent="0.25"/>
    <row r="1658" s="21" customFormat="1" ht="15" customHeight="1" x14ac:dyDescent="0.25"/>
    <row r="1659" s="21" customFormat="1" ht="15" customHeight="1" x14ac:dyDescent="0.25"/>
    <row r="1660" s="21" customFormat="1" ht="15" customHeight="1" x14ac:dyDescent="0.25"/>
    <row r="1661" s="21" customFormat="1" ht="15" customHeight="1" x14ac:dyDescent="0.25"/>
    <row r="1662" s="21" customFormat="1" ht="15" customHeight="1" x14ac:dyDescent="0.25"/>
    <row r="1663" s="21" customFormat="1" ht="15" customHeight="1" x14ac:dyDescent="0.25"/>
    <row r="1664" s="21" customFormat="1" ht="15" customHeight="1" x14ac:dyDescent="0.25"/>
    <row r="1665" s="21" customFormat="1" ht="15" customHeight="1" x14ac:dyDescent="0.25"/>
    <row r="1666" s="21" customFormat="1" ht="15" customHeight="1" x14ac:dyDescent="0.25"/>
    <row r="1667" s="21" customFormat="1" ht="15" customHeight="1" x14ac:dyDescent="0.25"/>
    <row r="1668" s="21" customFormat="1" ht="15" customHeight="1" x14ac:dyDescent="0.25"/>
    <row r="1669" s="21" customFormat="1" ht="15" customHeight="1" x14ac:dyDescent="0.25"/>
    <row r="1670" s="21" customFormat="1" ht="15" customHeight="1" x14ac:dyDescent="0.25"/>
    <row r="1671" s="21" customFormat="1" ht="15" customHeight="1" x14ac:dyDescent="0.25"/>
    <row r="1672" s="21" customFormat="1" ht="15" customHeight="1" x14ac:dyDescent="0.25"/>
    <row r="1673" s="21" customFormat="1" ht="15" customHeight="1" x14ac:dyDescent="0.25"/>
    <row r="1674" s="21" customFormat="1" ht="15" customHeight="1" x14ac:dyDescent="0.25"/>
    <row r="1675" s="21" customFormat="1" ht="15" customHeight="1" x14ac:dyDescent="0.25"/>
    <row r="1676" s="21" customFormat="1" ht="15" customHeight="1" x14ac:dyDescent="0.25"/>
    <row r="1677" s="21" customFormat="1" ht="15" customHeight="1" x14ac:dyDescent="0.25"/>
    <row r="1678" s="21" customFormat="1" ht="15" customHeight="1" x14ac:dyDescent="0.25"/>
    <row r="1679" s="21" customFormat="1" ht="15" customHeight="1" x14ac:dyDescent="0.25"/>
    <row r="1680" s="21" customFormat="1" ht="15" customHeight="1" x14ac:dyDescent="0.25"/>
    <row r="1681" s="21" customFormat="1" ht="15" customHeight="1" x14ac:dyDescent="0.25"/>
    <row r="1682" s="21" customFormat="1" ht="15" customHeight="1" x14ac:dyDescent="0.25"/>
    <row r="1683" s="21" customFormat="1" ht="15" customHeight="1" x14ac:dyDescent="0.25"/>
    <row r="1684" s="21" customFormat="1" ht="15" customHeight="1" x14ac:dyDescent="0.25"/>
    <row r="1685" s="21" customFormat="1" ht="15" customHeight="1" x14ac:dyDescent="0.25"/>
    <row r="1686" s="21" customFormat="1" ht="15" customHeight="1" x14ac:dyDescent="0.25"/>
    <row r="1687" s="21" customFormat="1" ht="15" customHeight="1" x14ac:dyDescent="0.25"/>
    <row r="1688" s="21" customFormat="1" ht="15" customHeight="1" x14ac:dyDescent="0.25"/>
    <row r="1689" s="21" customFormat="1" ht="15" customHeight="1" x14ac:dyDescent="0.25"/>
    <row r="1690" s="21" customFormat="1" ht="15" customHeight="1" x14ac:dyDescent="0.25"/>
    <row r="1691" s="21" customFormat="1" ht="15" customHeight="1" x14ac:dyDescent="0.25"/>
    <row r="1692" s="21" customFormat="1" ht="15" customHeight="1" x14ac:dyDescent="0.25"/>
    <row r="1693" s="21" customFormat="1" ht="15" customHeight="1" x14ac:dyDescent="0.25"/>
    <row r="1694" s="21" customFormat="1" ht="15" customHeight="1" x14ac:dyDescent="0.25"/>
    <row r="1695" s="21" customFormat="1" ht="15" customHeight="1" x14ac:dyDescent="0.25"/>
    <row r="1696" s="21" customFormat="1" ht="15" customHeight="1" x14ac:dyDescent="0.25"/>
    <row r="1697" s="21" customFormat="1" ht="15" customHeight="1" x14ac:dyDescent="0.25"/>
    <row r="1698" s="21" customFormat="1" ht="15" customHeight="1" x14ac:dyDescent="0.25"/>
    <row r="1699" s="21" customFormat="1" ht="15" customHeight="1" x14ac:dyDescent="0.25"/>
    <row r="1700" s="21" customFormat="1" ht="15" customHeight="1" x14ac:dyDescent="0.25"/>
    <row r="1701" s="21" customFormat="1" ht="15" customHeight="1" x14ac:dyDescent="0.25"/>
    <row r="1702" s="21" customFormat="1" ht="15" customHeight="1" x14ac:dyDescent="0.25"/>
    <row r="1703" s="21" customFormat="1" ht="15" customHeight="1" x14ac:dyDescent="0.25"/>
    <row r="1704" s="21" customFormat="1" ht="15" customHeight="1" x14ac:dyDescent="0.25"/>
    <row r="1705" s="21" customFormat="1" ht="15" customHeight="1" x14ac:dyDescent="0.25"/>
    <row r="1706" s="21" customFormat="1" ht="15" customHeight="1" x14ac:dyDescent="0.25"/>
    <row r="1707" s="21" customFormat="1" ht="15" customHeight="1" x14ac:dyDescent="0.25"/>
    <row r="1708" s="21" customFormat="1" ht="15" customHeight="1" x14ac:dyDescent="0.25"/>
    <row r="1709" s="21" customFormat="1" ht="15" customHeight="1" x14ac:dyDescent="0.25"/>
    <row r="1710" s="21" customFormat="1" ht="15" customHeight="1" x14ac:dyDescent="0.25"/>
    <row r="1711" s="21" customFormat="1" ht="15" customHeight="1" x14ac:dyDescent="0.25"/>
    <row r="1712" s="21" customFormat="1" ht="15" customHeight="1" x14ac:dyDescent="0.25"/>
    <row r="1713" s="21" customFormat="1" ht="15" customHeight="1" x14ac:dyDescent="0.25"/>
    <row r="1714" s="21" customFormat="1" ht="15" customHeight="1" x14ac:dyDescent="0.25"/>
    <row r="1715" s="21" customFormat="1" ht="15" customHeight="1" x14ac:dyDescent="0.25"/>
    <row r="1716" s="21" customFormat="1" ht="15" customHeight="1" x14ac:dyDescent="0.25"/>
    <row r="1717" s="21" customFormat="1" ht="15" customHeight="1" x14ac:dyDescent="0.25"/>
    <row r="1718" s="21" customFormat="1" ht="15" customHeight="1" x14ac:dyDescent="0.25"/>
    <row r="1719" s="21" customFormat="1" ht="15" customHeight="1" x14ac:dyDescent="0.25"/>
    <row r="1720" s="21" customFormat="1" ht="15" customHeight="1" x14ac:dyDescent="0.25"/>
    <row r="1721" s="21" customFormat="1" ht="15" customHeight="1" x14ac:dyDescent="0.25"/>
    <row r="1722" s="21" customFormat="1" ht="15" customHeight="1" x14ac:dyDescent="0.25"/>
    <row r="1723" s="21" customFormat="1" ht="15" customHeight="1" x14ac:dyDescent="0.25"/>
    <row r="1724" s="21" customFormat="1" ht="15" customHeight="1" x14ac:dyDescent="0.25"/>
    <row r="1725" s="21" customFormat="1" ht="15" customHeight="1" x14ac:dyDescent="0.25"/>
    <row r="1726" s="21" customFormat="1" ht="15" customHeight="1" x14ac:dyDescent="0.25"/>
    <row r="1727" s="21" customFormat="1" ht="15" customHeight="1" x14ac:dyDescent="0.25"/>
    <row r="1728" s="21" customFormat="1" ht="15" customHeight="1" x14ac:dyDescent="0.25"/>
    <row r="1729" s="21" customFormat="1" ht="15" customHeight="1" x14ac:dyDescent="0.25"/>
    <row r="1730" s="21" customFormat="1" ht="15" customHeight="1" x14ac:dyDescent="0.25"/>
    <row r="1731" s="21" customFormat="1" ht="15" customHeight="1" x14ac:dyDescent="0.25"/>
    <row r="1732" s="21" customFormat="1" ht="15" customHeight="1" x14ac:dyDescent="0.25"/>
    <row r="1733" s="21" customFormat="1" ht="15" customHeight="1" x14ac:dyDescent="0.25"/>
    <row r="1734" s="21" customFormat="1" ht="15" customHeight="1" x14ac:dyDescent="0.25"/>
    <row r="1735" s="21" customFormat="1" ht="15" customHeight="1" x14ac:dyDescent="0.25"/>
    <row r="1736" s="21" customFormat="1" ht="15" customHeight="1" x14ac:dyDescent="0.25"/>
    <row r="1737" s="21" customFormat="1" ht="15" customHeight="1" x14ac:dyDescent="0.25"/>
    <row r="1738" s="21" customFormat="1" ht="15" customHeight="1" x14ac:dyDescent="0.25"/>
    <row r="1739" s="21" customFormat="1" ht="15" customHeight="1" x14ac:dyDescent="0.25"/>
    <row r="1740" s="21" customFormat="1" ht="15" customHeight="1" x14ac:dyDescent="0.25"/>
    <row r="1741" s="21" customFormat="1" ht="15" customHeight="1" x14ac:dyDescent="0.25"/>
    <row r="1742" s="21" customFormat="1" ht="15" customHeight="1" x14ac:dyDescent="0.25"/>
    <row r="1743" s="21" customFormat="1" ht="15" customHeight="1" x14ac:dyDescent="0.25"/>
    <row r="1744" s="21" customFormat="1" ht="15" customHeight="1" x14ac:dyDescent="0.25"/>
    <row r="1745" s="21" customFormat="1" ht="15" customHeight="1" x14ac:dyDescent="0.25"/>
    <row r="1746" s="21" customFormat="1" ht="15" customHeight="1" x14ac:dyDescent="0.25"/>
    <row r="1747" s="21" customFormat="1" ht="15" customHeight="1" x14ac:dyDescent="0.25"/>
    <row r="1748" s="21" customFormat="1" ht="15" customHeight="1" x14ac:dyDescent="0.25"/>
    <row r="1749" s="21" customFormat="1" ht="15" customHeight="1" x14ac:dyDescent="0.25"/>
    <row r="1750" s="21" customFormat="1" ht="15" customHeight="1" x14ac:dyDescent="0.25"/>
    <row r="1751" s="21" customFormat="1" ht="15" customHeight="1" x14ac:dyDescent="0.25"/>
    <row r="1752" s="21" customFormat="1" ht="15" customHeight="1" x14ac:dyDescent="0.25"/>
    <row r="1753" s="21" customFormat="1" ht="15" customHeight="1" x14ac:dyDescent="0.25"/>
    <row r="1754" s="21" customFormat="1" ht="15" customHeight="1" x14ac:dyDescent="0.25"/>
    <row r="1755" s="21" customFormat="1" ht="15" customHeight="1" x14ac:dyDescent="0.25"/>
    <row r="1756" s="21" customFormat="1" ht="15" customHeight="1" x14ac:dyDescent="0.25"/>
    <row r="1757" s="21" customFormat="1" ht="15" customHeight="1" x14ac:dyDescent="0.25"/>
    <row r="1758" s="21" customFormat="1" ht="15" customHeight="1" x14ac:dyDescent="0.25"/>
    <row r="1759" s="21" customFormat="1" ht="15" customHeight="1" x14ac:dyDescent="0.25"/>
    <row r="1760" s="21" customFormat="1" ht="15" customHeight="1" x14ac:dyDescent="0.25"/>
    <row r="1761" s="21" customFormat="1" ht="15" customHeight="1" x14ac:dyDescent="0.25"/>
    <row r="1762" s="21" customFormat="1" ht="15" customHeight="1" x14ac:dyDescent="0.25"/>
    <row r="1763" s="21" customFormat="1" ht="15" customHeight="1" x14ac:dyDescent="0.25"/>
    <row r="1764" s="21" customFormat="1" ht="15" customHeight="1" x14ac:dyDescent="0.25"/>
    <row r="1765" s="21" customFormat="1" ht="15" customHeight="1" x14ac:dyDescent="0.25"/>
    <row r="1766" s="21" customFormat="1" ht="15" customHeight="1" x14ac:dyDescent="0.25"/>
    <row r="1767" s="21" customFormat="1" ht="15" customHeight="1" x14ac:dyDescent="0.25"/>
    <row r="1768" s="21" customFormat="1" ht="15" customHeight="1" x14ac:dyDescent="0.25"/>
    <row r="1769" s="21" customFormat="1" ht="15" customHeight="1" x14ac:dyDescent="0.25"/>
    <row r="1770" s="21" customFormat="1" ht="15" customHeight="1" x14ac:dyDescent="0.25"/>
    <row r="1771" s="21" customFormat="1" ht="15" customHeight="1" x14ac:dyDescent="0.25"/>
    <row r="1772" s="21" customFormat="1" ht="15" customHeight="1" x14ac:dyDescent="0.25"/>
    <row r="1773" s="21" customFormat="1" ht="15" customHeight="1" x14ac:dyDescent="0.25"/>
    <row r="1774" s="21" customFormat="1" ht="15" customHeight="1" x14ac:dyDescent="0.25"/>
    <row r="1775" s="21" customFormat="1" ht="15" customHeight="1" x14ac:dyDescent="0.25"/>
    <row r="1776" s="21" customFormat="1" ht="15" customHeight="1" x14ac:dyDescent="0.25"/>
    <row r="1777" s="21" customFormat="1" ht="15" customHeight="1" x14ac:dyDescent="0.25"/>
    <row r="1778" s="21" customFormat="1" ht="15" customHeight="1" x14ac:dyDescent="0.25"/>
    <row r="1779" s="21" customFormat="1" ht="15" customHeight="1" x14ac:dyDescent="0.25"/>
    <row r="1780" s="21" customFormat="1" ht="15" customHeight="1" x14ac:dyDescent="0.25"/>
    <row r="1781" s="21" customFormat="1" ht="15" customHeight="1" x14ac:dyDescent="0.25"/>
    <row r="1782" s="21" customFormat="1" ht="15" customHeight="1" x14ac:dyDescent="0.25"/>
    <row r="1783" s="21" customFormat="1" ht="15" customHeight="1" x14ac:dyDescent="0.25"/>
    <row r="1784" s="21" customFormat="1" ht="15" customHeight="1" x14ac:dyDescent="0.25"/>
    <row r="1785" s="21" customFormat="1" ht="15" customHeight="1" x14ac:dyDescent="0.25"/>
    <row r="1786" s="21" customFormat="1" ht="15" customHeight="1" x14ac:dyDescent="0.25"/>
    <row r="1787" s="21" customFormat="1" ht="15" customHeight="1" x14ac:dyDescent="0.25"/>
    <row r="1788" s="21" customFormat="1" ht="15" customHeight="1" x14ac:dyDescent="0.25"/>
    <row r="1789" s="21" customFormat="1" ht="15" customHeight="1" x14ac:dyDescent="0.25"/>
    <row r="1790" s="21" customFormat="1" ht="15" customHeight="1" x14ac:dyDescent="0.25"/>
    <row r="1791" s="21" customFormat="1" ht="15" customHeight="1" x14ac:dyDescent="0.25"/>
    <row r="1792" s="21" customFormat="1" ht="15" customHeight="1" x14ac:dyDescent="0.25"/>
    <row r="1793" s="21" customFormat="1" ht="15" customHeight="1" x14ac:dyDescent="0.25"/>
    <row r="1794" s="21" customFormat="1" ht="15" customHeight="1" x14ac:dyDescent="0.25"/>
    <row r="1795" s="21" customFormat="1" ht="15" customHeight="1" x14ac:dyDescent="0.25"/>
    <row r="1796" s="21" customFormat="1" ht="15" customHeight="1" x14ac:dyDescent="0.25"/>
    <row r="1797" s="21" customFormat="1" ht="15" customHeight="1" x14ac:dyDescent="0.25"/>
    <row r="1798" s="21" customFormat="1" ht="15" customHeight="1" x14ac:dyDescent="0.25"/>
    <row r="1799" s="21" customFormat="1" ht="15" customHeight="1" x14ac:dyDescent="0.25"/>
    <row r="1800" s="21" customFormat="1" ht="15" customHeight="1" x14ac:dyDescent="0.25"/>
    <row r="1801" s="21" customFormat="1" ht="15" customHeight="1" x14ac:dyDescent="0.25"/>
    <row r="1802" s="21" customFormat="1" ht="15" customHeight="1" x14ac:dyDescent="0.25"/>
    <row r="1803" s="21" customFormat="1" ht="15" customHeight="1" x14ac:dyDescent="0.25"/>
    <row r="1804" s="21" customFormat="1" ht="15" customHeight="1" x14ac:dyDescent="0.25"/>
    <row r="1805" s="21" customFormat="1" ht="15" customHeight="1" x14ac:dyDescent="0.25"/>
    <row r="1806" s="21" customFormat="1" ht="15" customHeight="1" x14ac:dyDescent="0.25"/>
    <row r="1807" s="21" customFormat="1" ht="15" customHeight="1" x14ac:dyDescent="0.25"/>
    <row r="1808" s="21" customFormat="1" ht="15" customHeight="1" x14ac:dyDescent="0.25"/>
    <row r="1809" s="21" customFormat="1" ht="15" customHeight="1" x14ac:dyDescent="0.25"/>
    <row r="1810" s="21" customFormat="1" ht="15" customHeight="1" x14ac:dyDescent="0.25"/>
    <row r="1811" s="21" customFormat="1" ht="15" customHeight="1" x14ac:dyDescent="0.25"/>
    <row r="1812" s="21" customFormat="1" ht="15" customHeight="1" x14ac:dyDescent="0.25"/>
    <row r="1813" s="21" customFormat="1" ht="15" customHeight="1" x14ac:dyDescent="0.25"/>
    <row r="1814" s="21" customFormat="1" ht="15" customHeight="1" x14ac:dyDescent="0.25"/>
    <row r="1815" s="21" customFormat="1" ht="15" customHeight="1" x14ac:dyDescent="0.25"/>
    <row r="1816" s="21" customFormat="1" ht="15" customHeight="1" x14ac:dyDescent="0.25"/>
    <row r="1817" s="21" customFormat="1" ht="15" customHeight="1" x14ac:dyDescent="0.25"/>
    <row r="1818" s="21" customFormat="1" ht="15" customHeight="1" x14ac:dyDescent="0.25"/>
    <row r="1819" s="21" customFormat="1" ht="15" customHeight="1" x14ac:dyDescent="0.25"/>
    <row r="1820" s="21" customFormat="1" ht="15" customHeight="1" x14ac:dyDescent="0.25"/>
    <row r="1821" s="21" customFormat="1" ht="15" customHeight="1" x14ac:dyDescent="0.25"/>
    <row r="1822" s="21" customFormat="1" ht="15" customHeight="1" x14ac:dyDescent="0.25"/>
    <row r="1823" s="21" customFormat="1" ht="15" customHeight="1" x14ac:dyDescent="0.25"/>
    <row r="1824" s="21" customFormat="1" ht="15" customHeight="1" x14ac:dyDescent="0.25"/>
    <row r="1825" s="21" customFormat="1" ht="15" customHeight="1" x14ac:dyDescent="0.25"/>
    <row r="1826" s="21" customFormat="1" ht="15" customHeight="1" x14ac:dyDescent="0.25"/>
    <row r="1827" s="21" customFormat="1" ht="15" customHeight="1" x14ac:dyDescent="0.25"/>
    <row r="1828" s="21" customFormat="1" ht="15" customHeight="1" x14ac:dyDescent="0.25"/>
    <row r="1829" s="21" customFormat="1" ht="15" customHeight="1" x14ac:dyDescent="0.25"/>
    <row r="1830" s="21" customFormat="1" ht="15" customHeight="1" x14ac:dyDescent="0.25"/>
    <row r="1831" s="21" customFormat="1" ht="15" customHeight="1" x14ac:dyDescent="0.25"/>
    <row r="1832" s="21" customFormat="1" ht="15" customHeight="1" x14ac:dyDescent="0.25"/>
    <row r="1833" s="21" customFormat="1" ht="15" customHeight="1" x14ac:dyDescent="0.25"/>
    <row r="1834" s="21" customFormat="1" ht="15" customHeight="1" x14ac:dyDescent="0.25"/>
    <row r="1835" s="21" customFormat="1" ht="15" customHeight="1" x14ac:dyDescent="0.25"/>
    <row r="1836" s="21" customFormat="1" ht="15" customHeight="1" x14ac:dyDescent="0.25"/>
    <row r="1837" s="21" customFormat="1" ht="15" customHeight="1" x14ac:dyDescent="0.25"/>
    <row r="1838" s="21" customFormat="1" ht="15" customHeight="1" x14ac:dyDescent="0.25"/>
    <row r="1839" s="21" customFormat="1" ht="15" customHeight="1" x14ac:dyDescent="0.25"/>
    <row r="1840" s="21" customFormat="1" ht="15" customHeight="1" x14ac:dyDescent="0.25"/>
    <row r="1841" s="21" customFormat="1" ht="15" customHeight="1" x14ac:dyDescent="0.25"/>
    <row r="1842" s="21" customFormat="1" ht="15" customHeight="1" x14ac:dyDescent="0.25"/>
    <row r="1843" s="21" customFormat="1" ht="15" customHeight="1" x14ac:dyDescent="0.25"/>
    <row r="1844" s="21" customFormat="1" ht="15" customHeight="1" x14ac:dyDescent="0.25"/>
    <row r="1845" s="21" customFormat="1" ht="15" customHeight="1" x14ac:dyDescent="0.25"/>
    <row r="1846" s="21" customFormat="1" ht="15" customHeight="1" x14ac:dyDescent="0.25"/>
    <row r="1847" s="21" customFormat="1" ht="15" customHeight="1" x14ac:dyDescent="0.25"/>
    <row r="1848" s="21" customFormat="1" ht="15" customHeight="1" x14ac:dyDescent="0.25"/>
    <row r="1849" s="21" customFormat="1" ht="15" customHeight="1" x14ac:dyDescent="0.25"/>
    <row r="1850" s="21" customFormat="1" ht="15" customHeight="1" x14ac:dyDescent="0.25"/>
    <row r="1851" s="21" customFormat="1" ht="15" customHeight="1" x14ac:dyDescent="0.25"/>
    <row r="1852" s="21" customFormat="1" ht="15" customHeight="1" x14ac:dyDescent="0.25"/>
    <row r="1853" s="21" customFormat="1" ht="15" customHeight="1" x14ac:dyDescent="0.25"/>
    <row r="1854" s="21" customFormat="1" ht="15" customHeight="1" x14ac:dyDescent="0.25"/>
    <row r="1855" s="21" customFormat="1" ht="15" customHeight="1" x14ac:dyDescent="0.25"/>
    <row r="1856" s="21" customFormat="1" ht="15" customHeight="1" x14ac:dyDescent="0.25"/>
    <row r="1857" s="21" customFormat="1" ht="15" customHeight="1" x14ac:dyDescent="0.25"/>
    <row r="1858" s="21" customFormat="1" ht="15" customHeight="1" x14ac:dyDescent="0.25"/>
    <row r="1859" s="21" customFormat="1" ht="15" customHeight="1" x14ac:dyDescent="0.25"/>
    <row r="1860" s="21" customFormat="1" ht="15" customHeight="1" x14ac:dyDescent="0.25"/>
    <row r="1861" s="21" customFormat="1" ht="15" customHeight="1" x14ac:dyDescent="0.25"/>
    <row r="1862" s="21" customFormat="1" ht="15" customHeight="1" x14ac:dyDescent="0.25"/>
    <row r="1863" s="21" customFormat="1" ht="15" customHeight="1" x14ac:dyDescent="0.25"/>
    <row r="1864" s="21" customFormat="1" ht="15" customHeight="1" x14ac:dyDescent="0.25"/>
    <row r="1865" s="21" customFormat="1" ht="15" customHeight="1" x14ac:dyDescent="0.25"/>
    <row r="1866" s="21" customFormat="1" ht="15" customHeight="1" x14ac:dyDescent="0.25"/>
    <row r="1867" s="21" customFormat="1" ht="15" customHeight="1" x14ac:dyDescent="0.25"/>
    <row r="1868" s="21" customFormat="1" ht="15" customHeight="1" x14ac:dyDescent="0.25"/>
    <row r="1869" s="21" customFormat="1" ht="15" customHeight="1" x14ac:dyDescent="0.25"/>
    <row r="1870" s="21" customFormat="1" ht="15" customHeight="1" x14ac:dyDescent="0.25"/>
    <row r="1871" s="21" customFormat="1" ht="15" customHeight="1" x14ac:dyDescent="0.25"/>
    <row r="1872" s="21" customFormat="1" ht="15" customHeight="1" x14ac:dyDescent="0.25"/>
    <row r="1873" s="21" customFormat="1" ht="15" customHeight="1" x14ac:dyDescent="0.25"/>
    <row r="1874" s="21" customFormat="1" ht="15" customHeight="1" x14ac:dyDescent="0.25"/>
    <row r="1875" s="21" customFormat="1" ht="15" customHeight="1" x14ac:dyDescent="0.25"/>
    <row r="1876" s="21" customFormat="1" ht="15" customHeight="1" x14ac:dyDescent="0.25"/>
    <row r="1877" s="21" customFormat="1" ht="15" customHeight="1" x14ac:dyDescent="0.25"/>
    <row r="1878" s="21" customFormat="1" ht="15" customHeight="1" x14ac:dyDescent="0.25"/>
    <row r="1879" s="21" customFormat="1" ht="15" customHeight="1" x14ac:dyDescent="0.25"/>
    <row r="1880" s="21" customFormat="1" ht="15" customHeight="1" x14ac:dyDescent="0.25"/>
    <row r="1881" s="21" customFormat="1" ht="15" customHeight="1" x14ac:dyDescent="0.25"/>
    <row r="1882" s="21" customFormat="1" ht="15" customHeight="1" x14ac:dyDescent="0.25"/>
    <row r="1883" s="21" customFormat="1" ht="15" customHeight="1" x14ac:dyDescent="0.25"/>
    <row r="1884" s="21" customFormat="1" ht="15" customHeight="1" x14ac:dyDescent="0.25"/>
    <row r="1885" s="21" customFormat="1" ht="15" customHeight="1" x14ac:dyDescent="0.25"/>
    <row r="1886" s="21" customFormat="1" ht="15" customHeight="1" x14ac:dyDescent="0.25"/>
    <row r="1887" s="21" customFormat="1" ht="15" customHeight="1" x14ac:dyDescent="0.25"/>
    <row r="1888" s="21" customFormat="1" ht="15" customHeight="1" x14ac:dyDescent="0.25"/>
    <row r="1889" s="21" customFormat="1" ht="15" customHeight="1" x14ac:dyDescent="0.25"/>
    <row r="1890" s="21" customFormat="1" ht="15" customHeight="1" x14ac:dyDescent="0.25"/>
    <row r="1891" s="21" customFormat="1" ht="15" customHeight="1" x14ac:dyDescent="0.25"/>
    <row r="1892" s="21" customFormat="1" ht="15" customHeight="1" x14ac:dyDescent="0.25"/>
    <row r="1893" s="21" customFormat="1" ht="15" customHeight="1" x14ac:dyDescent="0.25"/>
    <row r="1894" s="21" customFormat="1" ht="15" customHeight="1" x14ac:dyDescent="0.25"/>
    <row r="1895" s="21" customFormat="1" ht="15" customHeight="1" x14ac:dyDescent="0.25"/>
    <row r="1896" s="21" customFormat="1" ht="15" customHeight="1" x14ac:dyDescent="0.25"/>
    <row r="1897" s="21" customFormat="1" ht="15" customHeight="1" x14ac:dyDescent="0.25"/>
    <row r="1898" s="21" customFormat="1" ht="15" customHeight="1" x14ac:dyDescent="0.25"/>
    <row r="1899" s="21" customFormat="1" ht="15" customHeight="1" x14ac:dyDescent="0.25"/>
    <row r="1900" s="21" customFormat="1" ht="15" customHeight="1" x14ac:dyDescent="0.25"/>
    <row r="1901" s="21" customFormat="1" ht="15" customHeight="1" x14ac:dyDescent="0.25"/>
    <row r="1902" s="21" customFormat="1" ht="15" customHeight="1" x14ac:dyDescent="0.25"/>
    <row r="1903" s="21" customFormat="1" ht="15" customHeight="1" x14ac:dyDescent="0.25"/>
    <row r="1904" s="21" customFormat="1" ht="15" customHeight="1" x14ac:dyDescent="0.25"/>
    <row r="1905" s="21" customFormat="1" ht="15" customHeight="1" x14ac:dyDescent="0.25"/>
    <row r="1906" s="21" customFormat="1" ht="15" customHeight="1" x14ac:dyDescent="0.25"/>
    <row r="1907" s="21" customFormat="1" ht="15" customHeight="1" x14ac:dyDescent="0.25"/>
    <row r="1908" s="21" customFormat="1" ht="15" customHeight="1" x14ac:dyDescent="0.25"/>
    <row r="1909" s="21" customFormat="1" ht="15" customHeight="1" x14ac:dyDescent="0.25"/>
    <row r="1910" s="21" customFormat="1" ht="15" customHeight="1" x14ac:dyDescent="0.25"/>
    <row r="1911" s="21" customFormat="1" ht="15" customHeight="1" x14ac:dyDescent="0.25"/>
    <row r="1912" s="21" customFormat="1" ht="15" customHeight="1" x14ac:dyDescent="0.25"/>
    <row r="1913" s="21" customFormat="1" ht="15" customHeight="1" x14ac:dyDescent="0.25"/>
    <row r="1914" s="21" customFormat="1" ht="15" customHeight="1" x14ac:dyDescent="0.25"/>
    <row r="1915" s="21" customFormat="1" ht="15" customHeight="1" x14ac:dyDescent="0.25"/>
    <row r="1916" s="21" customFormat="1" ht="15" customHeight="1" x14ac:dyDescent="0.25"/>
    <row r="1917" s="21" customFormat="1" ht="15" customHeight="1" x14ac:dyDescent="0.25"/>
    <row r="1918" s="21" customFormat="1" ht="15" customHeight="1" x14ac:dyDescent="0.25"/>
    <row r="1919" s="21" customFormat="1" ht="15" customHeight="1" x14ac:dyDescent="0.25"/>
    <row r="1920" s="21" customFormat="1" ht="15" customHeight="1" x14ac:dyDescent="0.25"/>
    <row r="1921" s="21" customFormat="1" ht="15" customHeight="1" x14ac:dyDescent="0.25"/>
    <row r="1922" s="21" customFormat="1" ht="15" customHeight="1" x14ac:dyDescent="0.25"/>
    <row r="1923" s="21" customFormat="1" ht="15" customHeight="1" x14ac:dyDescent="0.25"/>
    <row r="1924" s="21" customFormat="1" ht="15" customHeight="1" x14ac:dyDescent="0.25"/>
    <row r="1925" s="21" customFormat="1" ht="15" customHeight="1" x14ac:dyDescent="0.25"/>
    <row r="1926" s="21" customFormat="1" ht="15" customHeight="1" x14ac:dyDescent="0.25"/>
    <row r="1927" s="21" customFormat="1" ht="15" customHeight="1" x14ac:dyDescent="0.25"/>
    <row r="1928" s="21" customFormat="1" ht="15" customHeight="1" x14ac:dyDescent="0.25"/>
    <row r="1929" s="21" customFormat="1" ht="15" customHeight="1" x14ac:dyDescent="0.25"/>
    <row r="1930" s="21" customFormat="1" ht="15" customHeight="1" x14ac:dyDescent="0.25"/>
    <row r="1931" s="21" customFormat="1" ht="15" customHeight="1" x14ac:dyDescent="0.25"/>
    <row r="1932" s="21" customFormat="1" ht="15" customHeight="1" x14ac:dyDescent="0.25"/>
    <row r="1933" s="21" customFormat="1" ht="15" customHeight="1" x14ac:dyDescent="0.25"/>
    <row r="1934" s="21" customFormat="1" ht="15" customHeight="1" x14ac:dyDescent="0.25"/>
    <row r="1935" s="21" customFormat="1" ht="15" customHeight="1" x14ac:dyDescent="0.25"/>
    <row r="1936" s="21" customFormat="1" ht="15" customHeight="1" x14ac:dyDescent="0.25"/>
    <row r="1937" s="21" customFormat="1" ht="15" customHeight="1" x14ac:dyDescent="0.25"/>
    <row r="1938" s="21" customFormat="1" ht="15" customHeight="1" x14ac:dyDescent="0.25"/>
    <row r="1939" s="21" customFormat="1" ht="15" customHeight="1" x14ac:dyDescent="0.25"/>
    <row r="1940" s="21" customFormat="1" ht="15" customHeight="1" x14ac:dyDescent="0.25"/>
    <row r="1941" s="21" customFormat="1" ht="15" customHeight="1" x14ac:dyDescent="0.25"/>
    <row r="1942" s="21" customFormat="1" ht="15" customHeight="1" x14ac:dyDescent="0.25"/>
    <row r="1943" s="21" customFormat="1" ht="15" customHeight="1" x14ac:dyDescent="0.25"/>
    <row r="1944" s="21" customFormat="1" ht="15" customHeight="1" x14ac:dyDescent="0.25"/>
    <row r="1945" s="21" customFormat="1" ht="15" customHeight="1" x14ac:dyDescent="0.25"/>
    <row r="1946" s="21" customFormat="1" ht="15" customHeight="1" x14ac:dyDescent="0.25"/>
    <row r="1947" s="21" customFormat="1" ht="15" customHeight="1" x14ac:dyDescent="0.25"/>
    <row r="1948" s="21" customFormat="1" ht="15" customHeight="1" x14ac:dyDescent="0.25"/>
    <row r="1949" s="21" customFormat="1" ht="15" customHeight="1" x14ac:dyDescent="0.25"/>
    <row r="1950" s="21" customFormat="1" ht="15" customHeight="1" x14ac:dyDescent="0.25"/>
    <row r="1951" s="21" customFormat="1" ht="15" customHeight="1" x14ac:dyDescent="0.25"/>
    <row r="1952" s="21" customFormat="1" ht="15" customHeight="1" x14ac:dyDescent="0.25"/>
    <row r="1953" s="21" customFormat="1" ht="15" customHeight="1" x14ac:dyDescent="0.25"/>
    <row r="1954" s="21" customFormat="1" ht="15" customHeight="1" x14ac:dyDescent="0.25"/>
    <row r="1955" s="21" customFormat="1" ht="15" customHeight="1" x14ac:dyDescent="0.25"/>
    <row r="1956" s="21" customFormat="1" ht="15" customHeight="1" x14ac:dyDescent="0.25"/>
    <row r="1957" s="21" customFormat="1" ht="15" customHeight="1" x14ac:dyDescent="0.25"/>
    <row r="1958" s="21" customFormat="1" ht="15" customHeight="1" x14ac:dyDescent="0.25"/>
    <row r="1959" s="21" customFormat="1" ht="15" customHeight="1" x14ac:dyDescent="0.25"/>
    <row r="1960" s="21" customFormat="1" ht="15" customHeight="1" x14ac:dyDescent="0.25"/>
    <row r="1961" s="21" customFormat="1" ht="15" customHeight="1" x14ac:dyDescent="0.25"/>
    <row r="1962" s="21" customFormat="1" ht="15" customHeight="1" x14ac:dyDescent="0.25"/>
    <row r="1963" s="21" customFormat="1" ht="15" customHeight="1" x14ac:dyDescent="0.25"/>
    <row r="1964" s="21" customFormat="1" ht="15" customHeight="1" x14ac:dyDescent="0.25"/>
    <row r="1965" s="21" customFormat="1" ht="15" customHeight="1" x14ac:dyDescent="0.25"/>
    <row r="1966" s="21" customFormat="1" ht="15" customHeight="1" x14ac:dyDescent="0.25"/>
    <row r="1967" s="21" customFormat="1" ht="15" customHeight="1" x14ac:dyDescent="0.25"/>
    <row r="1968" s="21" customFormat="1" ht="15" customHeight="1" x14ac:dyDescent="0.25"/>
    <row r="1969" s="21" customFormat="1" ht="15" customHeight="1" x14ac:dyDescent="0.25"/>
    <row r="1970" s="21" customFormat="1" ht="15" customHeight="1" x14ac:dyDescent="0.25"/>
    <row r="1971" s="21" customFormat="1" ht="15" customHeight="1" x14ac:dyDescent="0.25"/>
    <row r="1972" s="21" customFormat="1" ht="15" customHeight="1" x14ac:dyDescent="0.25"/>
    <row r="1973" s="21" customFormat="1" ht="15" customHeight="1" x14ac:dyDescent="0.25"/>
    <row r="1974" s="21" customFormat="1" ht="15" customHeight="1" x14ac:dyDescent="0.25"/>
    <row r="1975" s="21" customFormat="1" ht="15" customHeight="1" x14ac:dyDescent="0.25"/>
    <row r="1976" s="21" customFormat="1" ht="15" customHeight="1" x14ac:dyDescent="0.25"/>
    <row r="1977" s="21" customFormat="1" ht="15" customHeight="1" x14ac:dyDescent="0.25"/>
    <row r="1978" s="21" customFormat="1" ht="15" customHeight="1" x14ac:dyDescent="0.25"/>
    <row r="1979" s="21" customFormat="1" ht="15" customHeight="1" x14ac:dyDescent="0.25"/>
    <row r="1980" s="21" customFormat="1" ht="15" customHeight="1" x14ac:dyDescent="0.25"/>
    <row r="1981" s="21" customFormat="1" ht="15" customHeight="1" x14ac:dyDescent="0.25"/>
    <row r="1982" s="21" customFormat="1" ht="15" customHeight="1" x14ac:dyDescent="0.25"/>
    <row r="1983" s="21" customFormat="1" ht="15" customHeight="1" x14ac:dyDescent="0.25"/>
    <row r="1984" s="21" customFormat="1" ht="15" customHeight="1" x14ac:dyDescent="0.25"/>
    <row r="1985" s="21" customFormat="1" ht="15" customHeight="1" x14ac:dyDescent="0.25"/>
    <row r="1986" s="21" customFormat="1" ht="15" customHeight="1" x14ac:dyDescent="0.25"/>
    <row r="1987" s="21" customFormat="1" ht="15" customHeight="1" x14ac:dyDescent="0.25"/>
    <row r="1988" s="21" customFormat="1" ht="15" customHeight="1" x14ac:dyDescent="0.25"/>
    <row r="1989" s="21" customFormat="1" ht="15" customHeight="1" x14ac:dyDescent="0.25"/>
    <row r="1990" s="21" customFormat="1" ht="15" customHeight="1" x14ac:dyDescent="0.25"/>
    <row r="1991" s="21" customFormat="1" ht="15" customHeight="1" x14ac:dyDescent="0.25"/>
    <row r="1992" s="21" customFormat="1" ht="15" customHeight="1" x14ac:dyDescent="0.25"/>
    <row r="1993" s="21" customFormat="1" ht="15" customHeight="1" x14ac:dyDescent="0.25"/>
    <row r="1994" s="21" customFormat="1" ht="15" customHeight="1" x14ac:dyDescent="0.25"/>
    <row r="1995" s="21" customFormat="1" ht="15" customHeight="1" x14ac:dyDescent="0.25"/>
    <row r="1996" s="21" customFormat="1" ht="15" customHeight="1" x14ac:dyDescent="0.25"/>
    <row r="1997" s="21" customFormat="1" ht="15" customHeight="1" x14ac:dyDescent="0.25"/>
    <row r="1998" s="21" customFormat="1" ht="15" customHeight="1" x14ac:dyDescent="0.25"/>
    <row r="1999" s="21" customFormat="1" ht="15" customHeight="1" x14ac:dyDescent="0.25"/>
    <row r="2000" s="21" customFormat="1" ht="15" customHeight="1" x14ac:dyDescent="0.25"/>
    <row r="2001" s="21" customFormat="1" ht="15" customHeight="1" x14ac:dyDescent="0.25"/>
    <row r="2002" s="21" customFormat="1" ht="15" customHeight="1" x14ac:dyDescent="0.25"/>
    <row r="2003" s="21" customFormat="1" ht="15" customHeight="1" x14ac:dyDescent="0.25"/>
    <row r="2004" s="21" customFormat="1" ht="15" customHeight="1" x14ac:dyDescent="0.25"/>
    <row r="2005" s="21" customFormat="1" ht="15" customHeight="1" x14ac:dyDescent="0.25"/>
    <row r="2006" s="21" customFormat="1" ht="15" customHeight="1" x14ac:dyDescent="0.25"/>
    <row r="2007" s="21" customFormat="1" ht="15" customHeight="1" x14ac:dyDescent="0.25"/>
    <row r="2008" s="21" customFormat="1" ht="15" customHeight="1" x14ac:dyDescent="0.25"/>
    <row r="2009" s="21" customFormat="1" ht="15" customHeight="1" x14ac:dyDescent="0.25"/>
    <row r="2010" s="21" customFormat="1" ht="15" customHeight="1" x14ac:dyDescent="0.25"/>
    <row r="2011" s="21" customFormat="1" ht="15" customHeight="1" x14ac:dyDescent="0.25"/>
    <row r="2012" s="21" customFormat="1" ht="15" customHeight="1" x14ac:dyDescent="0.25"/>
    <row r="2013" s="21" customFormat="1" ht="15" customHeight="1" x14ac:dyDescent="0.25"/>
    <row r="2014" s="21" customFormat="1" ht="15" customHeight="1" x14ac:dyDescent="0.25"/>
    <row r="2015" s="21" customFormat="1" ht="15" customHeight="1" x14ac:dyDescent="0.25"/>
    <row r="2016" s="21" customFormat="1" ht="15" customHeight="1" x14ac:dyDescent="0.25"/>
    <row r="2017" s="21" customFormat="1" ht="15" customHeight="1" x14ac:dyDescent="0.25"/>
    <row r="2018" s="21" customFormat="1" ht="15" customHeight="1" x14ac:dyDescent="0.25"/>
    <row r="2019" s="21" customFormat="1" ht="15" customHeight="1" x14ac:dyDescent="0.25"/>
    <row r="2020" s="21" customFormat="1" ht="15" customHeight="1" x14ac:dyDescent="0.25"/>
    <row r="2021" s="21" customFormat="1" ht="15" customHeight="1" x14ac:dyDescent="0.25"/>
    <row r="2022" s="21" customFormat="1" ht="15" customHeight="1" x14ac:dyDescent="0.25"/>
    <row r="2023" s="21" customFormat="1" ht="15" customHeight="1" x14ac:dyDescent="0.25"/>
    <row r="2024" s="21" customFormat="1" ht="15" customHeight="1" x14ac:dyDescent="0.25"/>
    <row r="2025" s="21" customFormat="1" ht="15" customHeight="1" x14ac:dyDescent="0.25"/>
    <row r="2026" s="21" customFormat="1" ht="15" customHeight="1" x14ac:dyDescent="0.25"/>
    <row r="2027" s="21" customFormat="1" ht="15" customHeight="1" x14ac:dyDescent="0.25"/>
    <row r="2028" s="21" customFormat="1" ht="15" customHeight="1" x14ac:dyDescent="0.25"/>
    <row r="2029" s="21" customFormat="1" ht="15" customHeight="1" x14ac:dyDescent="0.25"/>
    <row r="2030" s="21" customFormat="1" ht="15" customHeight="1" x14ac:dyDescent="0.25"/>
    <row r="2031" s="21" customFormat="1" ht="15" customHeight="1" x14ac:dyDescent="0.25"/>
    <row r="2032" s="21" customFormat="1" ht="15" customHeight="1" x14ac:dyDescent="0.25"/>
    <row r="2033" s="21" customFormat="1" ht="15" customHeight="1" x14ac:dyDescent="0.25"/>
    <row r="2034" s="21" customFormat="1" ht="15" customHeight="1" x14ac:dyDescent="0.25"/>
    <row r="2035" s="21" customFormat="1" ht="15" customHeight="1" x14ac:dyDescent="0.25"/>
    <row r="2036" s="21" customFormat="1" ht="15" customHeight="1" x14ac:dyDescent="0.25"/>
    <row r="2037" s="21" customFormat="1" ht="15" customHeight="1" x14ac:dyDescent="0.25"/>
    <row r="2038" s="21" customFormat="1" ht="15" customHeight="1" x14ac:dyDescent="0.25"/>
    <row r="2039" s="21" customFormat="1" ht="15" customHeight="1" x14ac:dyDescent="0.25"/>
    <row r="2040" s="21" customFormat="1" ht="15" customHeight="1" x14ac:dyDescent="0.25"/>
    <row r="2041" s="21" customFormat="1" ht="15" customHeight="1" x14ac:dyDescent="0.25"/>
    <row r="2042" s="21" customFormat="1" ht="15" customHeight="1" x14ac:dyDescent="0.25"/>
    <row r="2043" s="21" customFormat="1" ht="15" customHeight="1" x14ac:dyDescent="0.25"/>
    <row r="2044" s="21" customFormat="1" ht="15" customHeight="1" x14ac:dyDescent="0.25"/>
    <row r="2045" s="21" customFormat="1" ht="15" customHeight="1" x14ac:dyDescent="0.25"/>
    <row r="2046" s="21" customFormat="1" ht="15" customHeight="1" x14ac:dyDescent="0.25"/>
    <row r="2047" s="21" customFormat="1" ht="15" customHeight="1" x14ac:dyDescent="0.25"/>
    <row r="2048" s="21" customFormat="1" ht="15" customHeight="1" x14ac:dyDescent="0.25"/>
    <row r="2049" s="21" customFormat="1" ht="15" customHeight="1" x14ac:dyDescent="0.25"/>
    <row r="2050" s="21" customFormat="1" ht="15" customHeight="1" x14ac:dyDescent="0.25"/>
    <row r="2051" s="21" customFormat="1" ht="15" customHeight="1" x14ac:dyDescent="0.25"/>
    <row r="2052" s="21" customFormat="1" ht="15" customHeight="1" x14ac:dyDescent="0.25"/>
    <row r="2053" s="21" customFormat="1" ht="15" customHeight="1" x14ac:dyDescent="0.25"/>
    <row r="2054" s="21" customFormat="1" ht="15" customHeight="1" x14ac:dyDescent="0.25"/>
    <row r="2055" s="21" customFormat="1" ht="15" customHeight="1" x14ac:dyDescent="0.25"/>
    <row r="2056" s="21" customFormat="1" ht="15" customHeight="1" x14ac:dyDescent="0.25"/>
    <row r="2057" s="21" customFormat="1" ht="15" customHeight="1" x14ac:dyDescent="0.25"/>
    <row r="2058" s="21" customFormat="1" ht="15" customHeight="1" x14ac:dyDescent="0.25"/>
    <row r="2059" s="21" customFormat="1" ht="15" customHeight="1" x14ac:dyDescent="0.25"/>
    <row r="2060" s="21" customFormat="1" ht="15" customHeight="1" x14ac:dyDescent="0.25"/>
    <row r="2061" s="21" customFormat="1" ht="15" customHeight="1" x14ac:dyDescent="0.25"/>
    <row r="2062" s="21" customFormat="1" ht="15" customHeight="1" x14ac:dyDescent="0.25"/>
    <row r="2063" s="21" customFormat="1" ht="15" customHeight="1" x14ac:dyDescent="0.25"/>
    <row r="2064" s="21" customFormat="1" ht="15" customHeight="1" x14ac:dyDescent="0.25"/>
    <row r="2065" s="21" customFormat="1" ht="15" customHeight="1" x14ac:dyDescent="0.25"/>
    <row r="2066" s="21" customFormat="1" ht="15" customHeight="1" x14ac:dyDescent="0.25"/>
    <row r="2067" s="21" customFormat="1" ht="15" customHeight="1" x14ac:dyDescent="0.25"/>
    <row r="2068" s="21" customFormat="1" ht="15" customHeight="1" x14ac:dyDescent="0.25"/>
    <row r="2069" s="21" customFormat="1" ht="15" customHeight="1" x14ac:dyDescent="0.25"/>
    <row r="2070" s="21" customFormat="1" ht="15" customHeight="1" x14ac:dyDescent="0.25"/>
    <row r="2071" s="21" customFormat="1" ht="15" customHeight="1" x14ac:dyDescent="0.25"/>
    <row r="2072" s="21" customFormat="1" ht="15" customHeight="1" x14ac:dyDescent="0.25"/>
    <row r="2073" s="21" customFormat="1" ht="15" customHeight="1" x14ac:dyDescent="0.25"/>
    <row r="2074" s="21" customFormat="1" ht="15" customHeight="1" x14ac:dyDescent="0.25"/>
    <row r="2075" s="21" customFormat="1" ht="15" customHeight="1" x14ac:dyDescent="0.25"/>
    <row r="2076" s="21" customFormat="1" ht="15" customHeight="1" x14ac:dyDescent="0.25"/>
    <row r="2077" s="21" customFormat="1" ht="15" customHeight="1" x14ac:dyDescent="0.25"/>
    <row r="2078" s="21" customFormat="1" ht="15" customHeight="1" x14ac:dyDescent="0.25"/>
    <row r="2079" s="21" customFormat="1" ht="15" customHeight="1" x14ac:dyDescent="0.25"/>
    <row r="2080" s="21" customFormat="1" ht="15" customHeight="1" x14ac:dyDescent="0.25"/>
    <row r="2081" s="21" customFormat="1" ht="15" customHeight="1" x14ac:dyDescent="0.25"/>
    <row r="2082" s="21" customFormat="1" ht="15" customHeight="1" x14ac:dyDescent="0.25"/>
    <row r="2083" s="21" customFormat="1" ht="15" customHeight="1" x14ac:dyDescent="0.25"/>
    <row r="2084" s="21" customFormat="1" ht="15" customHeight="1" x14ac:dyDescent="0.25"/>
    <row r="2085" s="21" customFormat="1" ht="15" customHeight="1" x14ac:dyDescent="0.25"/>
    <row r="2086" s="21" customFormat="1" ht="15" customHeight="1" x14ac:dyDescent="0.25"/>
    <row r="2087" s="21" customFormat="1" ht="15" customHeight="1" x14ac:dyDescent="0.25"/>
    <row r="2088" s="21" customFormat="1" ht="15" customHeight="1" x14ac:dyDescent="0.25"/>
    <row r="2089" s="21" customFormat="1" ht="15" customHeight="1" x14ac:dyDescent="0.25"/>
    <row r="2090" s="21" customFormat="1" ht="15" customHeight="1" x14ac:dyDescent="0.25"/>
    <row r="2091" s="21" customFormat="1" ht="15" customHeight="1" x14ac:dyDescent="0.25"/>
    <row r="2092" s="21" customFormat="1" ht="15" customHeight="1" x14ac:dyDescent="0.25"/>
    <row r="2093" s="21" customFormat="1" ht="15" customHeight="1" x14ac:dyDescent="0.25"/>
    <row r="2094" s="21" customFormat="1" ht="15" customHeight="1" x14ac:dyDescent="0.25"/>
    <row r="2095" s="21" customFormat="1" ht="15" customHeight="1" x14ac:dyDescent="0.25"/>
    <row r="2096" s="21" customFormat="1" ht="15" customHeight="1" x14ac:dyDescent="0.25"/>
    <row r="2097" s="21" customFormat="1" ht="15" customHeight="1" x14ac:dyDescent="0.25"/>
    <row r="2098" s="21" customFormat="1" ht="15" customHeight="1" x14ac:dyDescent="0.25"/>
    <row r="2099" s="21" customFormat="1" ht="15" customHeight="1" x14ac:dyDescent="0.25"/>
    <row r="2100" s="21" customFormat="1" ht="15" customHeight="1" x14ac:dyDescent="0.25"/>
    <row r="2101" s="21" customFormat="1" ht="15" customHeight="1" x14ac:dyDescent="0.25"/>
    <row r="2102" s="21" customFormat="1" ht="15" customHeight="1" x14ac:dyDescent="0.25"/>
    <row r="2103" s="21" customFormat="1" ht="15" customHeight="1" x14ac:dyDescent="0.25"/>
    <row r="2104" s="21" customFormat="1" ht="15" customHeight="1" x14ac:dyDescent="0.25"/>
    <row r="2105" s="21" customFormat="1" ht="15" customHeight="1" x14ac:dyDescent="0.25"/>
    <row r="2106" s="21" customFormat="1" ht="15" customHeight="1" x14ac:dyDescent="0.25"/>
    <row r="2107" s="21" customFormat="1" ht="15" customHeight="1" x14ac:dyDescent="0.25"/>
    <row r="2108" s="21" customFormat="1" ht="15" customHeight="1" x14ac:dyDescent="0.25"/>
    <row r="2109" s="21" customFormat="1" ht="15" customHeight="1" x14ac:dyDescent="0.25"/>
    <row r="2110" s="21" customFormat="1" ht="15" customHeight="1" x14ac:dyDescent="0.25"/>
    <row r="2111" s="21" customFormat="1" ht="15" customHeight="1" x14ac:dyDescent="0.25"/>
    <row r="2112" s="21" customFormat="1" ht="15" customHeight="1" x14ac:dyDescent="0.25"/>
    <row r="2113" s="21" customFormat="1" ht="15" customHeight="1" x14ac:dyDescent="0.25"/>
    <row r="2114" s="21" customFormat="1" ht="15" customHeight="1" x14ac:dyDescent="0.25"/>
    <row r="2115" s="21" customFormat="1" ht="15" customHeight="1" x14ac:dyDescent="0.25"/>
    <row r="2116" s="21" customFormat="1" ht="15" customHeight="1" x14ac:dyDescent="0.25"/>
    <row r="2117" s="21" customFormat="1" ht="15" customHeight="1" x14ac:dyDescent="0.25"/>
    <row r="2118" s="21" customFormat="1" ht="15" customHeight="1" x14ac:dyDescent="0.25"/>
    <row r="2119" s="21" customFormat="1" ht="15" customHeight="1" x14ac:dyDescent="0.25"/>
    <row r="2120" s="21" customFormat="1" ht="15" customHeight="1" x14ac:dyDescent="0.25"/>
    <row r="2121" s="21" customFormat="1" ht="15" customHeight="1" x14ac:dyDescent="0.25"/>
    <row r="2122" s="21" customFormat="1" ht="15" customHeight="1" x14ac:dyDescent="0.25"/>
    <row r="2123" s="21" customFormat="1" ht="15" customHeight="1" x14ac:dyDescent="0.25"/>
    <row r="2124" s="21" customFormat="1" ht="15" customHeight="1" x14ac:dyDescent="0.25"/>
    <row r="2125" s="21" customFormat="1" ht="15" customHeight="1" x14ac:dyDescent="0.25"/>
    <row r="2126" s="21" customFormat="1" ht="15" customHeight="1" x14ac:dyDescent="0.25"/>
    <row r="2127" s="21" customFormat="1" ht="15" customHeight="1" x14ac:dyDescent="0.25"/>
    <row r="2128" s="21" customFormat="1" ht="15" customHeight="1" x14ac:dyDescent="0.25"/>
    <row r="2129" s="21" customFormat="1" ht="15" customHeight="1" x14ac:dyDescent="0.25"/>
    <row r="2130" s="21" customFormat="1" ht="15" customHeight="1" x14ac:dyDescent="0.25"/>
    <row r="2131" s="21" customFormat="1" ht="15" customHeight="1" x14ac:dyDescent="0.25"/>
    <row r="2132" s="21" customFormat="1" ht="15" customHeight="1" x14ac:dyDescent="0.25"/>
    <row r="2133" s="21" customFormat="1" ht="15" customHeight="1" x14ac:dyDescent="0.25"/>
    <row r="2134" s="21" customFormat="1" ht="15" customHeight="1" x14ac:dyDescent="0.25"/>
    <row r="2135" s="21" customFormat="1" ht="15" customHeight="1" x14ac:dyDescent="0.25"/>
    <row r="2136" s="21" customFormat="1" ht="15" customHeight="1" x14ac:dyDescent="0.25"/>
    <row r="2137" s="21" customFormat="1" ht="15" customHeight="1" x14ac:dyDescent="0.25"/>
    <row r="2138" s="21" customFormat="1" ht="15" customHeight="1" x14ac:dyDescent="0.25"/>
    <row r="2139" s="21" customFormat="1" ht="15" customHeight="1" x14ac:dyDescent="0.25"/>
    <row r="2140" s="21" customFormat="1" ht="15" customHeight="1" x14ac:dyDescent="0.25"/>
    <row r="2141" s="21" customFormat="1" ht="15" customHeight="1" x14ac:dyDescent="0.25"/>
    <row r="2142" s="21" customFormat="1" ht="15" customHeight="1" x14ac:dyDescent="0.25"/>
    <row r="2143" s="21" customFormat="1" ht="15" customHeight="1" x14ac:dyDescent="0.25"/>
    <row r="2144" s="21" customFormat="1" ht="15" customHeight="1" x14ac:dyDescent="0.25"/>
    <row r="2145" s="21" customFormat="1" ht="15" customHeight="1" x14ac:dyDescent="0.25"/>
    <row r="2146" s="21" customFormat="1" ht="15" customHeight="1" x14ac:dyDescent="0.25"/>
    <row r="2147" s="21" customFormat="1" ht="15" customHeight="1" x14ac:dyDescent="0.25"/>
    <row r="2148" s="21" customFormat="1" ht="15" customHeight="1" x14ac:dyDescent="0.25"/>
    <row r="2149" s="21" customFormat="1" ht="15" customHeight="1" x14ac:dyDescent="0.25"/>
    <row r="2150" s="21" customFormat="1" ht="15" customHeight="1" x14ac:dyDescent="0.25"/>
    <row r="2151" s="21" customFormat="1" ht="15" customHeight="1" x14ac:dyDescent="0.25"/>
    <row r="2152" s="21" customFormat="1" ht="15" customHeight="1" x14ac:dyDescent="0.25"/>
    <row r="2153" s="21" customFormat="1" ht="15" customHeight="1" x14ac:dyDescent="0.25"/>
    <row r="2154" s="21" customFormat="1" ht="15" customHeight="1" x14ac:dyDescent="0.25"/>
    <row r="2155" s="21" customFormat="1" ht="15" customHeight="1" x14ac:dyDescent="0.25"/>
    <row r="2156" s="21" customFormat="1" ht="15" customHeight="1" x14ac:dyDescent="0.25"/>
    <row r="2157" s="21" customFormat="1" ht="15" customHeight="1" x14ac:dyDescent="0.25"/>
    <row r="2158" s="21" customFormat="1" ht="15" customHeight="1" x14ac:dyDescent="0.25"/>
    <row r="2159" s="21" customFormat="1" ht="15" customHeight="1" x14ac:dyDescent="0.25"/>
    <row r="2160" s="21" customFormat="1" ht="15" customHeight="1" x14ac:dyDescent="0.25"/>
    <row r="2161" s="21" customFormat="1" ht="15" customHeight="1" x14ac:dyDescent="0.25"/>
    <row r="2162" s="21" customFormat="1" ht="15" customHeight="1" x14ac:dyDescent="0.25"/>
    <row r="2163" s="21" customFormat="1" ht="15" customHeight="1" x14ac:dyDescent="0.25"/>
    <row r="2164" s="21" customFormat="1" ht="15" customHeight="1" x14ac:dyDescent="0.25"/>
    <row r="2165" s="21" customFormat="1" ht="15" customHeight="1" x14ac:dyDescent="0.25"/>
    <row r="2166" s="21" customFormat="1" ht="15" customHeight="1" x14ac:dyDescent="0.25"/>
    <row r="2167" s="21" customFormat="1" ht="15" customHeight="1" x14ac:dyDescent="0.25"/>
    <row r="2168" s="21" customFormat="1" ht="15" customHeight="1" x14ac:dyDescent="0.25"/>
    <row r="2169" s="21" customFormat="1" ht="15" customHeight="1" x14ac:dyDescent="0.25"/>
    <row r="2170" s="21" customFormat="1" ht="15" customHeight="1" x14ac:dyDescent="0.25"/>
    <row r="2171" s="21" customFormat="1" ht="15" customHeight="1" x14ac:dyDescent="0.25"/>
    <row r="2172" s="21" customFormat="1" ht="15" customHeight="1" x14ac:dyDescent="0.25"/>
    <row r="2173" s="21" customFormat="1" ht="15" customHeight="1" x14ac:dyDescent="0.25"/>
    <row r="2174" s="21" customFormat="1" ht="15" customHeight="1" x14ac:dyDescent="0.25"/>
    <row r="2175" s="21" customFormat="1" ht="15" customHeight="1" x14ac:dyDescent="0.25"/>
    <row r="2176" s="21" customFormat="1" ht="15" customHeight="1" x14ac:dyDescent="0.25"/>
    <row r="2177" s="21" customFormat="1" ht="15" customHeight="1" x14ac:dyDescent="0.25"/>
    <row r="2178" s="21" customFormat="1" ht="15" customHeight="1" x14ac:dyDescent="0.25"/>
    <row r="2179" s="21" customFormat="1" ht="15" customHeight="1" x14ac:dyDescent="0.25"/>
    <row r="2180" s="21" customFormat="1" ht="15" customHeight="1" x14ac:dyDescent="0.25"/>
    <row r="2181" s="21" customFormat="1" ht="15" customHeight="1" x14ac:dyDescent="0.25"/>
    <row r="2182" s="21" customFormat="1" ht="15" customHeight="1" x14ac:dyDescent="0.25"/>
    <row r="2183" s="21" customFormat="1" ht="15" customHeight="1" x14ac:dyDescent="0.25"/>
    <row r="2184" s="21" customFormat="1" ht="15" customHeight="1" x14ac:dyDescent="0.25"/>
    <row r="2185" s="21" customFormat="1" ht="15" customHeight="1" x14ac:dyDescent="0.25"/>
    <row r="2186" s="21" customFormat="1" ht="15" customHeight="1" x14ac:dyDescent="0.25"/>
    <row r="2187" s="21" customFormat="1" ht="15" customHeight="1" x14ac:dyDescent="0.25"/>
    <row r="2188" s="21" customFormat="1" ht="15" customHeight="1" x14ac:dyDescent="0.25"/>
    <row r="2189" s="21" customFormat="1" ht="15" customHeight="1" x14ac:dyDescent="0.25"/>
    <row r="2190" s="21" customFormat="1" ht="15" customHeight="1" x14ac:dyDescent="0.25"/>
    <row r="2191" s="21" customFormat="1" ht="15" customHeight="1" x14ac:dyDescent="0.25"/>
    <row r="2192" s="21" customFormat="1" ht="15" customHeight="1" x14ac:dyDescent="0.25"/>
    <row r="2193" s="21" customFormat="1" ht="15" customHeight="1" x14ac:dyDescent="0.25"/>
    <row r="2194" s="21" customFormat="1" ht="15" customHeight="1" x14ac:dyDescent="0.25"/>
    <row r="2195" s="21" customFormat="1" ht="15" customHeight="1" x14ac:dyDescent="0.25"/>
    <row r="2196" s="21" customFormat="1" ht="15" customHeight="1" x14ac:dyDescent="0.25"/>
    <row r="2197" s="21" customFormat="1" ht="15" customHeight="1" x14ac:dyDescent="0.25"/>
    <row r="2198" s="21" customFormat="1" ht="15" customHeight="1" x14ac:dyDescent="0.25"/>
    <row r="2199" s="21" customFormat="1" ht="15" customHeight="1" x14ac:dyDescent="0.25"/>
    <row r="2200" s="21" customFormat="1" ht="15" customHeight="1" x14ac:dyDescent="0.25"/>
    <row r="2201" s="21" customFormat="1" ht="15" customHeight="1" x14ac:dyDescent="0.25"/>
    <row r="2202" s="21" customFormat="1" ht="15" customHeight="1" x14ac:dyDescent="0.25"/>
    <row r="2203" s="21" customFormat="1" ht="15" customHeight="1" x14ac:dyDescent="0.25"/>
    <row r="2204" s="21" customFormat="1" ht="15" customHeight="1" x14ac:dyDescent="0.25"/>
    <row r="2205" s="21" customFormat="1" ht="15" customHeight="1" x14ac:dyDescent="0.25"/>
    <row r="2206" s="21" customFormat="1" ht="15" customHeight="1" x14ac:dyDescent="0.25"/>
    <row r="2207" s="21" customFormat="1" ht="15" customHeight="1" x14ac:dyDescent="0.25"/>
    <row r="2208" s="21" customFormat="1" ht="15" customHeight="1" x14ac:dyDescent="0.25"/>
    <row r="2209" s="21" customFormat="1" ht="15" customHeight="1" x14ac:dyDescent="0.25"/>
    <row r="2210" s="21" customFormat="1" ht="15" customHeight="1" x14ac:dyDescent="0.25"/>
    <row r="2211" s="21" customFormat="1" ht="15" customHeight="1" x14ac:dyDescent="0.25"/>
    <row r="2212" s="21" customFormat="1" ht="15" customHeight="1" x14ac:dyDescent="0.25"/>
    <row r="2213" s="21" customFormat="1" ht="15" customHeight="1" x14ac:dyDescent="0.25"/>
    <row r="2214" s="21" customFormat="1" ht="15" customHeight="1" x14ac:dyDescent="0.25"/>
    <row r="2215" s="21" customFormat="1" ht="15" customHeight="1" x14ac:dyDescent="0.25"/>
    <row r="2216" s="21" customFormat="1" ht="15" customHeight="1" x14ac:dyDescent="0.25"/>
    <row r="2217" s="21" customFormat="1" ht="15" customHeight="1" x14ac:dyDescent="0.25"/>
    <row r="2218" s="21" customFormat="1" ht="15" customHeight="1" x14ac:dyDescent="0.25"/>
    <row r="2219" s="21" customFormat="1" ht="15" customHeight="1" x14ac:dyDescent="0.25"/>
    <row r="2220" s="21" customFormat="1" ht="15" customHeight="1" x14ac:dyDescent="0.25"/>
    <row r="2221" s="21" customFormat="1" ht="15" customHeight="1" x14ac:dyDescent="0.25"/>
    <row r="2222" s="21" customFormat="1" ht="15" customHeight="1" x14ac:dyDescent="0.25"/>
    <row r="2223" s="21" customFormat="1" ht="15" customHeight="1" x14ac:dyDescent="0.25"/>
    <row r="2224" s="21" customFormat="1" ht="15" customHeight="1" x14ac:dyDescent="0.25"/>
    <row r="2225" s="21" customFormat="1" ht="15" customHeight="1" x14ac:dyDescent="0.25"/>
    <row r="2226" s="21" customFormat="1" ht="15" customHeight="1" x14ac:dyDescent="0.25"/>
    <row r="2227" s="21" customFormat="1" ht="15" customHeight="1" x14ac:dyDescent="0.25"/>
    <row r="2228" s="21" customFormat="1" ht="15" customHeight="1" x14ac:dyDescent="0.25"/>
    <row r="2229" s="21" customFormat="1" ht="15" customHeight="1" x14ac:dyDescent="0.25"/>
    <row r="2230" s="21" customFormat="1" ht="15" customHeight="1" x14ac:dyDescent="0.25"/>
    <row r="2231" s="21" customFormat="1" ht="15" customHeight="1" x14ac:dyDescent="0.25"/>
    <row r="2232" s="21" customFormat="1" ht="15" customHeight="1" x14ac:dyDescent="0.25"/>
    <row r="2233" s="21" customFormat="1" ht="15" customHeight="1" x14ac:dyDescent="0.25"/>
    <row r="2234" s="21" customFormat="1" ht="15" customHeight="1" x14ac:dyDescent="0.25"/>
    <row r="2235" s="21" customFormat="1" ht="15" customHeight="1" x14ac:dyDescent="0.25"/>
    <row r="2236" s="21" customFormat="1" ht="15" customHeight="1" x14ac:dyDescent="0.25"/>
    <row r="2237" s="21" customFormat="1" ht="15" customHeight="1" x14ac:dyDescent="0.25"/>
    <row r="2238" s="21" customFormat="1" ht="15" customHeight="1" x14ac:dyDescent="0.25"/>
    <row r="2239" s="21" customFormat="1" ht="15" customHeight="1" x14ac:dyDescent="0.25"/>
    <row r="2240" s="21" customFormat="1" ht="15" customHeight="1" x14ac:dyDescent="0.25"/>
    <row r="2241" s="21" customFormat="1" ht="15" customHeight="1" x14ac:dyDescent="0.25"/>
    <row r="2242" s="21" customFormat="1" ht="15" customHeight="1" x14ac:dyDescent="0.25"/>
    <row r="2243" s="21" customFormat="1" ht="15" customHeight="1" x14ac:dyDescent="0.25"/>
    <row r="2244" s="21" customFormat="1" ht="15" customHeight="1" x14ac:dyDescent="0.25"/>
    <row r="2245" s="21" customFormat="1" ht="15" customHeight="1" x14ac:dyDescent="0.25"/>
    <row r="2246" s="21" customFormat="1" ht="15" customHeight="1" x14ac:dyDescent="0.25"/>
    <row r="2247" s="21" customFormat="1" ht="15" customHeight="1" x14ac:dyDescent="0.25"/>
    <row r="2248" s="21" customFormat="1" ht="15" customHeight="1" x14ac:dyDescent="0.25"/>
    <row r="2249" s="21" customFormat="1" ht="15" customHeight="1" x14ac:dyDescent="0.25"/>
    <row r="2250" s="21" customFormat="1" ht="15" customHeight="1" x14ac:dyDescent="0.25"/>
    <row r="2251" s="21" customFormat="1" ht="15" customHeight="1" x14ac:dyDescent="0.25"/>
    <row r="2252" s="21" customFormat="1" ht="15" customHeight="1" x14ac:dyDescent="0.25"/>
    <row r="2253" s="21" customFormat="1" ht="15" customHeight="1" x14ac:dyDescent="0.25"/>
    <row r="2254" s="21" customFormat="1" ht="15" customHeight="1" x14ac:dyDescent="0.25"/>
    <row r="2255" s="21" customFormat="1" ht="15" customHeight="1" x14ac:dyDescent="0.25"/>
    <row r="2256" s="21" customFormat="1" ht="15" customHeight="1" x14ac:dyDescent="0.25"/>
    <row r="2257" s="21" customFormat="1" ht="15" customHeight="1" x14ac:dyDescent="0.25"/>
    <row r="2258" s="21" customFormat="1" ht="15" customHeight="1" x14ac:dyDescent="0.25"/>
    <row r="2259" s="21" customFormat="1" ht="15" customHeight="1" x14ac:dyDescent="0.25"/>
    <row r="2260" s="21" customFormat="1" ht="15" customHeight="1" x14ac:dyDescent="0.25"/>
    <row r="2261" s="21" customFormat="1" ht="15" customHeight="1" x14ac:dyDescent="0.25"/>
    <row r="2262" s="21" customFormat="1" ht="15" customHeight="1" x14ac:dyDescent="0.25"/>
    <row r="2263" s="21" customFormat="1" ht="15" customHeight="1" x14ac:dyDescent="0.25"/>
    <row r="2264" s="21" customFormat="1" ht="15" customHeight="1" x14ac:dyDescent="0.25"/>
    <row r="2265" s="21" customFormat="1" ht="15" customHeight="1" x14ac:dyDescent="0.25"/>
    <row r="2266" s="21" customFormat="1" ht="15" customHeight="1" x14ac:dyDescent="0.25"/>
    <row r="2267" s="21" customFormat="1" ht="15" customHeight="1" x14ac:dyDescent="0.25"/>
    <row r="2268" s="21" customFormat="1" ht="15" customHeight="1" x14ac:dyDescent="0.25"/>
    <row r="2269" s="21" customFormat="1" ht="15" customHeight="1" x14ac:dyDescent="0.25"/>
    <row r="2270" s="21" customFormat="1" ht="15" customHeight="1" x14ac:dyDescent="0.25"/>
    <row r="2271" s="21" customFormat="1" ht="15" customHeight="1" x14ac:dyDescent="0.25"/>
    <row r="2272" s="21" customFormat="1" ht="15" customHeight="1" x14ac:dyDescent="0.25"/>
    <row r="2273" s="21" customFormat="1" ht="15" customHeight="1" x14ac:dyDescent="0.25"/>
    <row r="2274" s="21" customFormat="1" ht="15" customHeight="1" x14ac:dyDescent="0.25"/>
    <row r="2275" s="21" customFormat="1" ht="15" customHeight="1" x14ac:dyDescent="0.25"/>
    <row r="2276" s="21" customFormat="1" ht="15" customHeight="1" x14ac:dyDescent="0.25"/>
    <row r="2277" s="21" customFormat="1" ht="15" customHeight="1" x14ac:dyDescent="0.25"/>
    <row r="2278" s="21" customFormat="1" ht="15" customHeight="1" x14ac:dyDescent="0.25"/>
    <row r="2279" s="21" customFormat="1" ht="15" customHeight="1" x14ac:dyDescent="0.25"/>
    <row r="2280" s="21" customFormat="1" ht="15" customHeight="1" x14ac:dyDescent="0.25"/>
    <row r="2281" s="21" customFormat="1" ht="15" customHeight="1" x14ac:dyDescent="0.25"/>
    <row r="2282" s="21" customFormat="1" ht="15" customHeight="1" x14ac:dyDescent="0.25"/>
    <row r="2283" s="21" customFormat="1" ht="15" customHeight="1" x14ac:dyDescent="0.25"/>
    <row r="2284" s="21" customFormat="1" ht="15" customHeight="1" x14ac:dyDescent="0.25"/>
    <row r="2285" s="21" customFormat="1" ht="15" customHeight="1" x14ac:dyDescent="0.25"/>
    <row r="2286" s="21" customFormat="1" ht="15" customHeight="1" x14ac:dyDescent="0.25"/>
    <row r="2287" s="21" customFormat="1" ht="15" customHeight="1" x14ac:dyDescent="0.25"/>
    <row r="2288" s="21" customFormat="1" ht="15" customHeight="1" x14ac:dyDescent="0.25"/>
    <row r="2289" s="21" customFormat="1" ht="15" customHeight="1" x14ac:dyDescent="0.25"/>
    <row r="2290" s="21" customFormat="1" ht="15" customHeight="1" x14ac:dyDescent="0.25"/>
    <row r="2291" s="21" customFormat="1" ht="15" customHeight="1" x14ac:dyDescent="0.25"/>
    <row r="2292" s="21" customFormat="1" ht="15" customHeight="1" x14ac:dyDescent="0.25"/>
    <row r="2293" s="21" customFormat="1" ht="15" customHeight="1" x14ac:dyDescent="0.25"/>
    <row r="2294" s="21" customFormat="1" ht="15" customHeight="1" x14ac:dyDescent="0.25"/>
    <row r="2295" s="21" customFormat="1" ht="15" customHeight="1" x14ac:dyDescent="0.25"/>
    <row r="2296" s="21" customFormat="1" ht="15" customHeight="1" x14ac:dyDescent="0.25"/>
    <row r="2297" s="21" customFormat="1" ht="15" customHeight="1" x14ac:dyDescent="0.25"/>
    <row r="2298" s="21" customFormat="1" ht="15" customHeight="1" x14ac:dyDescent="0.25"/>
    <row r="2299" s="21" customFormat="1" ht="15" customHeight="1" x14ac:dyDescent="0.25"/>
    <row r="2300" s="21" customFormat="1" ht="15" customHeight="1" x14ac:dyDescent="0.25"/>
    <row r="2301" s="21" customFormat="1" ht="15" customHeight="1" x14ac:dyDescent="0.25"/>
    <row r="2302" s="21" customFormat="1" ht="15" customHeight="1" x14ac:dyDescent="0.25"/>
    <row r="2303" s="21" customFormat="1" ht="15" customHeight="1" x14ac:dyDescent="0.25"/>
    <row r="2304" s="21" customFormat="1" ht="15" customHeight="1" x14ac:dyDescent="0.25"/>
    <row r="2305" s="21" customFormat="1" ht="15" customHeight="1" x14ac:dyDescent="0.25"/>
    <row r="2306" s="21" customFormat="1" ht="15" customHeight="1" x14ac:dyDescent="0.25"/>
    <row r="2307" s="21" customFormat="1" ht="15" customHeight="1" x14ac:dyDescent="0.25"/>
    <row r="2308" s="21" customFormat="1" ht="15" customHeight="1" x14ac:dyDescent="0.25"/>
    <row r="2309" s="21" customFormat="1" ht="15" customHeight="1" x14ac:dyDescent="0.25"/>
    <row r="2310" s="21" customFormat="1" ht="15" customHeight="1" x14ac:dyDescent="0.25"/>
    <row r="2311" s="21" customFormat="1" ht="15" customHeight="1" x14ac:dyDescent="0.25"/>
    <row r="2312" s="21" customFormat="1" ht="15" customHeight="1" x14ac:dyDescent="0.25"/>
    <row r="2313" s="21" customFormat="1" ht="15" customHeight="1" x14ac:dyDescent="0.25"/>
    <row r="2314" s="21" customFormat="1" ht="15" customHeight="1" x14ac:dyDescent="0.25"/>
    <row r="2315" s="21" customFormat="1" ht="15" customHeight="1" x14ac:dyDescent="0.25"/>
    <row r="2316" s="21" customFormat="1" ht="15" customHeight="1" x14ac:dyDescent="0.25"/>
    <row r="2317" s="21" customFormat="1" ht="15" customHeight="1" x14ac:dyDescent="0.25"/>
    <row r="2318" s="21" customFormat="1" ht="15" customHeight="1" x14ac:dyDescent="0.25"/>
    <row r="2319" s="21" customFormat="1" ht="15" customHeight="1" x14ac:dyDescent="0.25"/>
    <row r="2320" s="21" customFormat="1" ht="15" customHeight="1" x14ac:dyDescent="0.25"/>
    <row r="2321" s="21" customFormat="1" ht="15" customHeight="1" x14ac:dyDescent="0.25"/>
    <row r="2322" s="21" customFormat="1" ht="15" customHeight="1" x14ac:dyDescent="0.25"/>
    <row r="2323" s="21" customFormat="1" ht="15" customHeight="1" x14ac:dyDescent="0.25"/>
    <row r="2324" s="21" customFormat="1" ht="15" customHeight="1" x14ac:dyDescent="0.25"/>
    <row r="2325" s="21" customFormat="1" ht="15" customHeight="1" x14ac:dyDescent="0.25"/>
    <row r="2326" s="21" customFormat="1" ht="15" customHeight="1" x14ac:dyDescent="0.25"/>
    <row r="2327" s="21" customFormat="1" ht="15" customHeight="1" x14ac:dyDescent="0.25"/>
    <row r="2328" s="21" customFormat="1" ht="15" customHeight="1" x14ac:dyDescent="0.25"/>
    <row r="2329" s="21" customFormat="1" ht="15" customHeight="1" x14ac:dyDescent="0.25"/>
    <row r="2330" s="21" customFormat="1" ht="15" customHeight="1" x14ac:dyDescent="0.25"/>
    <row r="2331" s="21" customFormat="1" ht="15" customHeight="1" x14ac:dyDescent="0.25"/>
    <row r="2332" s="21" customFormat="1" ht="15" customHeight="1" x14ac:dyDescent="0.25"/>
    <row r="2333" s="21" customFormat="1" ht="15" customHeight="1" x14ac:dyDescent="0.25"/>
    <row r="2334" s="21" customFormat="1" ht="15" customHeight="1" x14ac:dyDescent="0.25"/>
    <row r="2335" s="21" customFormat="1" ht="15" customHeight="1" x14ac:dyDescent="0.25"/>
    <row r="2336" s="21" customFormat="1" ht="15" customHeight="1" x14ac:dyDescent="0.25"/>
    <row r="2337" s="21" customFormat="1" ht="15" customHeight="1" x14ac:dyDescent="0.25"/>
    <row r="2338" s="21" customFormat="1" ht="15" customHeight="1" x14ac:dyDescent="0.25"/>
    <row r="2339" s="21" customFormat="1" ht="15" customHeight="1" x14ac:dyDescent="0.25"/>
    <row r="2340" s="21" customFormat="1" ht="15" customHeight="1" x14ac:dyDescent="0.25"/>
    <row r="2341" s="21" customFormat="1" ht="15" customHeight="1" x14ac:dyDescent="0.25"/>
    <row r="2342" s="21" customFormat="1" ht="15" customHeight="1" x14ac:dyDescent="0.25"/>
    <row r="2343" s="21" customFormat="1" ht="15" customHeight="1" x14ac:dyDescent="0.25"/>
    <row r="2344" s="21" customFormat="1" ht="15" customHeight="1" x14ac:dyDescent="0.25"/>
    <row r="2345" s="21" customFormat="1" ht="15" customHeight="1" x14ac:dyDescent="0.25"/>
    <row r="2346" s="21" customFormat="1" ht="15" customHeight="1" x14ac:dyDescent="0.25"/>
    <row r="2347" s="21" customFormat="1" ht="15" customHeight="1" x14ac:dyDescent="0.25"/>
    <row r="2348" s="21" customFormat="1" ht="15" customHeight="1" x14ac:dyDescent="0.25"/>
    <row r="2349" s="21" customFormat="1" ht="15" customHeight="1" x14ac:dyDescent="0.25"/>
    <row r="2350" s="21" customFormat="1" ht="15" customHeight="1" x14ac:dyDescent="0.25"/>
    <row r="2351" s="21" customFormat="1" ht="15" customHeight="1" x14ac:dyDescent="0.25"/>
    <row r="2352" s="21" customFormat="1" ht="15" customHeight="1" x14ac:dyDescent="0.25"/>
    <row r="2353" s="21" customFormat="1" ht="15" customHeight="1" x14ac:dyDescent="0.25"/>
    <row r="2354" s="21" customFormat="1" ht="15" customHeight="1" x14ac:dyDescent="0.25"/>
    <row r="2355" s="21" customFormat="1" ht="15" customHeight="1" x14ac:dyDescent="0.25"/>
    <row r="2356" s="21" customFormat="1" ht="15" customHeight="1" x14ac:dyDescent="0.25"/>
    <row r="2357" s="21" customFormat="1" ht="15" customHeight="1" x14ac:dyDescent="0.25"/>
    <row r="2358" s="21" customFormat="1" ht="15" customHeight="1" x14ac:dyDescent="0.25"/>
    <row r="2359" s="21" customFormat="1" ht="15" customHeight="1" x14ac:dyDescent="0.25"/>
    <row r="2360" s="21" customFormat="1" ht="15" customHeight="1" x14ac:dyDescent="0.25"/>
    <row r="2361" s="21" customFormat="1" ht="15" customHeight="1" x14ac:dyDescent="0.25"/>
    <row r="2362" s="21" customFormat="1" ht="15" customHeight="1" x14ac:dyDescent="0.25"/>
    <row r="2363" s="21" customFormat="1" ht="15" customHeight="1" x14ac:dyDescent="0.25"/>
    <row r="2364" s="21" customFormat="1" ht="15" customHeight="1" x14ac:dyDescent="0.25"/>
    <row r="2365" s="21" customFormat="1" ht="15" customHeight="1" x14ac:dyDescent="0.25"/>
    <row r="2366" s="21" customFormat="1" ht="15" customHeight="1" x14ac:dyDescent="0.25"/>
    <row r="2367" s="21" customFormat="1" ht="15" customHeight="1" x14ac:dyDescent="0.25"/>
    <row r="2368" s="21" customFormat="1" ht="15" customHeight="1" x14ac:dyDescent="0.25"/>
    <row r="2369" s="21" customFormat="1" ht="15" customHeight="1" x14ac:dyDescent="0.25"/>
    <row r="2370" s="21" customFormat="1" ht="15" customHeight="1" x14ac:dyDescent="0.25"/>
    <row r="2371" s="21" customFormat="1" ht="15" customHeight="1" x14ac:dyDescent="0.25"/>
    <row r="2372" s="21" customFormat="1" ht="15" customHeight="1" x14ac:dyDescent="0.25"/>
    <row r="2373" s="21" customFormat="1" ht="15" customHeight="1" x14ac:dyDescent="0.25"/>
    <row r="2374" s="21" customFormat="1" ht="15" customHeight="1" x14ac:dyDescent="0.25"/>
    <row r="2375" s="21" customFormat="1" ht="15" customHeight="1" x14ac:dyDescent="0.25"/>
    <row r="2376" s="21" customFormat="1" ht="15" customHeight="1" x14ac:dyDescent="0.25"/>
    <row r="2377" s="21" customFormat="1" ht="15" customHeight="1" x14ac:dyDescent="0.25"/>
    <row r="2378" s="21" customFormat="1" ht="15" customHeight="1" x14ac:dyDescent="0.25"/>
    <row r="2379" s="21" customFormat="1" ht="15" customHeight="1" x14ac:dyDescent="0.25"/>
    <row r="2380" s="21" customFormat="1" ht="15" customHeight="1" x14ac:dyDescent="0.25"/>
    <row r="2381" s="21" customFormat="1" ht="15" customHeight="1" x14ac:dyDescent="0.25"/>
    <row r="2382" s="21" customFormat="1" ht="15" customHeight="1" x14ac:dyDescent="0.25"/>
    <row r="2383" s="21" customFormat="1" ht="15" customHeight="1" x14ac:dyDescent="0.25"/>
    <row r="2384" s="21" customFormat="1" ht="15" customHeight="1" x14ac:dyDescent="0.25"/>
    <row r="2385" s="21" customFormat="1" ht="15" customHeight="1" x14ac:dyDescent="0.25"/>
    <row r="2386" s="21" customFormat="1" ht="15" customHeight="1" x14ac:dyDescent="0.25"/>
    <row r="2387" s="21" customFormat="1" ht="15" customHeight="1" x14ac:dyDescent="0.25"/>
    <row r="2388" s="21" customFormat="1" ht="15" customHeight="1" x14ac:dyDescent="0.25"/>
    <row r="2389" s="21" customFormat="1" ht="15" customHeight="1" x14ac:dyDescent="0.25"/>
    <row r="2390" s="21" customFormat="1" ht="15" customHeight="1" x14ac:dyDescent="0.25"/>
    <row r="2391" s="21" customFormat="1" ht="15" customHeight="1" x14ac:dyDescent="0.25"/>
    <row r="2392" s="21" customFormat="1" ht="15" customHeight="1" x14ac:dyDescent="0.25"/>
    <row r="2393" s="21" customFormat="1" ht="15" customHeight="1" x14ac:dyDescent="0.25"/>
    <row r="2394" s="21" customFormat="1" ht="15" customHeight="1" x14ac:dyDescent="0.25"/>
    <row r="2395" s="21" customFormat="1" ht="15" customHeight="1" x14ac:dyDescent="0.25"/>
    <row r="2396" s="21" customFormat="1" ht="15" customHeight="1" x14ac:dyDescent="0.25"/>
    <row r="2397" s="21" customFormat="1" ht="15" customHeight="1" x14ac:dyDescent="0.25"/>
    <row r="2398" s="21" customFormat="1" ht="15" customHeight="1" x14ac:dyDescent="0.25"/>
    <row r="2399" s="21" customFormat="1" ht="15" customHeight="1" x14ac:dyDescent="0.25"/>
    <row r="2400" s="21" customFormat="1" ht="15" customHeight="1" x14ac:dyDescent="0.25"/>
    <row r="2401" s="21" customFormat="1" ht="15" customHeight="1" x14ac:dyDescent="0.25"/>
    <row r="2402" s="21" customFormat="1" ht="15" customHeight="1" x14ac:dyDescent="0.25"/>
    <row r="2403" s="21" customFormat="1" ht="15" customHeight="1" x14ac:dyDescent="0.25"/>
    <row r="2404" s="21" customFormat="1" ht="15" customHeight="1" x14ac:dyDescent="0.25"/>
    <row r="2405" s="21" customFormat="1" ht="15" customHeight="1" x14ac:dyDescent="0.25"/>
    <row r="2406" s="21" customFormat="1" ht="15" customHeight="1" x14ac:dyDescent="0.25"/>
    <row r="2407" s="21" customFormat="1" ht="15" customHeight="1" x14ac:dyDescent="0.25"/>
    <row r="2408" s="21" customFormat="1" ht="15" customHeight="1" x14ac:dyDescent="0.25"/>
    <row r="2409" s="21" customFormat="1" ht="15" customHeight="1" x14ac:dyDescent="0.25"/>
    <row r="2410" s="21" customFormat="1" ht="15" customHeight="1" x14ac:dyDescent="0.25"/>
    <row r="2411" s="21" customFormat="1" ht="15" customHeight="1" x14ac:dyDescent="0.25"/>
    <row r="2412" s="21" customFormat="1" ht="15" customHeight="1" x14ac:dyDescent="0.25"/>
    <row r="2413" s="21" customFormat="1" ht="15" customHeight="1" x14ac:dyDescent="0.25"/>
    <row r="2414" s="21" customFormat="1" ht="15" customHeight="1" x14ac:dyDescent="0.25"/>
    <row r="2415" s="21" customFormat="1" ht="15" customHeight="1" x14ac:dyDescent="0.25"/>
    <row r="2416" s="21" customFormat="1" ht="15" customHeight="1" x14ac:dyDescent="0.25"/>
    <row r="2417" s="21" customFormat="1" ht="15" customHeight="1" x14ac:dyDescent="0.25"/>
    <row r="2418" s="21" customFormat="1" ht="15" customHeight="1" x14ac:dyDescent="0.25"/>
    <row r="2419" s="21" customFormat="1" ht="15" customHeight="1" x14ac:dyDescent="0.25"/>
    <row r="2420" s="21" customFormat="1" ht="15" customHeight="1" x14ac:dyDescent="0.25"/>
    <row r="2421" s="21" customFormat="1" ht="15" customHeight="1" x14ac:dyDescent="0.25"/>
    <row r="2422" s="21" customFormat="1" ht="15" customHeight="1" x14ac:dyDescent="0.25"/>
    <row r="2423" s="21" customFormat="1" ht="15" customHeight="1" x14ac:dyDescent="0.25"/>
    <row r="2424" s="21" customFormat="1" ht="15" customHeight="1" x14ac:dyDescent="0.25"/>
    <row r="2425" s="21" customFormat="1" ht="15" customHeight="1" x14ac:dyDescent="0.25"/>
    <row r="2426" s="21" customFormat="1" ht="15" customHeight="1" x14ac:dyDescent="0.25"/>
    <row r="2427" s="21" customFormat="1" ht="15" customHeight="1" x14ac:dyDescent="0.25"/>
    <row r="2428" s="21" customFormat="1" ht="15" customHeight="1" x14ac:dyDescent="0.25"/>
    <row r="2429" s="21" customFormat="1" ht="15" customHeight="1" x14ac:dyDescent="0.25"/>
    <row r="2430" s="21" customFormat="1" ht="15" customHeight="1" x14ac:dyDescent="0.25"/>
    <row r="2431" s="21" customFormat="1" ht="15" customHeight="1" x14ac:dyDescent="0.25"/>
    <row r="2432" s="21" customFormat="1" ht="15" customHeight="1" x14ac:dyDescent="0.25"/>
    <row r="2433" s="21" customFormat="1" ht="15" customHeight="1" x14ac:dyDescent="0.25"/>
    <row r="2434" s="21" customFormat="1" ht="15" customHeight="1" x14ac:dyDescent="0.25"/>
    <row r="2435" s="21" customFormat="1" ht="15" customHeight="1" x14ac:dyDescent="0.25"/>
    <row r="2436" s="21" customFormat="1" ht="15" customHeight="1" x14ac:dyDescent="0.25"/>
    <row r="2437" s="21" customFormat="1" ht="15" customHeight="1" x14ac:dyDescent="0.25"/>
    <row r="2438" s="21" customFormat="1" ht="15" customHeight="1" x14ac:dyDescent="0.25"/>
    <row r="2439" s="21" customFormat="1" ht="15" customHeight="1" x14ac:dyDescent="0.25"/>
    <row r="2440" s="21" customFormat="1" ht="15" customHeight="1" x14ac:dyDescent="0.25"/>
    <row r="2441" s="21" customFormat="1" ht="15" customHeight="1" x14ac:dyDescent="0.25"/>
    <row r="2442" s="21" customFormat="1" ht="15" customHeight="1" x14ac:dyDescent="0.25"/>
    <row r="2443" s="21" customFormat="1" ht="15" customHeight="1" x14ac:dyDescent="0.25"/>
    <row r="2444" s="21" customFormat="1" ht="15" customHeight="1" x14ac:dyDescent="0.25"/>
    <row r="2445" s="21" customFormat="1" ht="15" customHeight="1" x14ac:dyDescent="0.25"/>
    <row r="2446" s="21" customFormat="1" ht="15" customHeight="1" x14ac:dyDescent="0.25"/>
    <row r="2447" s="21" customFormat="1" ht="15" customHeight="1" x14ac:dyDescent="0.25"/>
    <row r="2448" s="21" customFormat="1" ht="15" customHeight="1" x14ac:dyDescent="0.25"/>
    <row r="2449" s="21" customFormat="1" ht="15" customHeight="1" x14ac:dyDescent="0.25"/>
    <row r="2450" s="21" customFormat="1" ht="15" customHeight="1" x14ac:dyDescent="0.25"/>
    <row r="2451" s="21" customFormat="1" ht="15" customHeight="1" x14ac:dyDescent="0.25"/>
    <row r="2452" s="21" customFormat="1" ht="15" customHeight="1" x14ac:dyDescent="0.25"/>
    <row r="2453" s="21" customFormat="1" ht="15" customHeight="1" x14ac:dyDescent="0.25"/>
    <row r="2454" s="21" customFormat="1" ht="15" customHeight="1" x14ac:dyDescent="0.25"/>
    <row r="2455" s="21" customFormat="1" ht="15" customHeight="1" x14ac:dyDescent="0.25"/>
    <row r="2456" s="21" customFormat="1" ht="15" customHeight="1" x14ac:dyDescent="0.25"/>
    <row r="2457" s="21" customFormat="1" ht="15" customHeight="1" x14ac:dyDescent="0.25"/>
    <row r="2458" s="21" customFormat="1" ht="15" customHeight="1" x14ac:dyDescent="0.25"/>
    <row r="2459" s="21" customFormat="1" ht="15" customHeight="1" x14ac:dyDescent="0.25"/>
    <row r="2460" s="21" customFormat="1" ht="15" customHeight="1" x14ac:dyDescent="0.25"/>
    <row r="2461" s="21" customFormat="1" ht="15" customHeight="1" x14ac:dyDescent="0.25"/>
    <row r="2462" s="21" customFormat="1" ht="15" customHeight="1" x14ac:dyDescent="0.25"/>
    <row r="2463" s="21" customFormat="1" ht="15" customHeight="1" x14ac:dyDescent="0.25"/>
    <row r="2464" s="21" customFormat="1" ht="15" customHeight="1" x14ac:dyDescent="0.25"/>
    <row r="2465" s="21" customFormat="1" ht="15" customHeight="1" x14ac:dyDescent="0.25"/>
    <row r="2466" s="21" customFormat="1" ht="15" customHeight="1" x14ac:dyDescent="0.25"/>
    <row r="2467" s="21" customFormat="1" ht="15" customHeight="1" x14ac:dyDescent="0.25"/>
    <row r="2468" s="21" customFormat="1" ht="15" customHeight="1" x14ac:dyDescent="0.25"/>
    <row r="2469" s="21" customFormat="1" ht="15" customHeight="1" x14ac:dyDescent="0.25"/>
    <row r="2470" s="21" customFormat="1" ht="15" customHeight="1" x14ac:dyDescent="0.25"/>
    <row r="2471" s="21" customFormat="1" ht="15" customHeight="1" x14ac:dyDescent="0.25"/>
    <row r="2472" s="21" customFormat="1" ht="15" customHeight="1" x14ac:dyDescent="0.25"/>
    <row r="2473" s="21" customFormat="1" ht="15" customHeight="1" x14ac:dyDescent="0.25"/>
    <row r="2474" s="21" customFormat="1" ht="15" customHeight="1" x14ac:dyDescent="0.25"/>
    <row r="2475" s="21" customFormat="1" ht="15" customHeight="1" x14ac:dyDescent="0.25"/>
    <row r="2476" s="21" customFormat="1" ht="15" customHeight="1" x14ac:dyDescent="0.25"/>
    <row r="2477" s="21" customFormat="1" ht="15" customHeight="1" x14ac:dyDescent="0.25"/>
    <row r="2478" s="21" customFormat="1" ht="15" customHeight="1" x14ac:dyDescent="0.25"/>
    <row r="2479" s="21" customFormat="1" ht="15" customHeight="1" x14ac:dyDescent="0.25"/>
    <row r="2480" s="21" customFormat="1" ht="15" customHeight="1" x14ac:dyDescent="0.25"/>
    <row r="2481" s="21" customFormat="1" ht="15" customHeight="1" x14ac:dyDescent="0.25"/>
    <row r="2482" s="21" customFormat="1" ht="15" customHeight="1" x14ac:dyDescent="0.25"/>
    <row r="2483" s="21" customFormat="1" ht="15" customHeight="1" x14ac:dyDescent="0.25"/>
    <row r="2484" s="21" customFormat="1" ht="15" customHeight="1" x14ac:dyDescent="0.25"/>
    <row r="2485" s="21" customFormat="1" ht="15" customHeight="1" x14ac:dyDescent="0.25"/>
    <row r="2486" s="21" customFormat="1" ht="15" customHeight="1" x14ac:dyDescent="0.25"/>
    <row r="2487" s="21" customFormat="1" ht="15" customHeight="1" x14ac:dyDescent="0.25"/>
    <row r="2488" s="21" customFormat="1" ht="15" customHeight="1" x14ac:dyDescent="0.25"/>
    <row r="2489" s="21" customFormat="1" ht="15" customHeight="1" x14ac:dyDescent="0.25"/>
    <row r="2490" s="21" customFormat="1" ht="15" customHeight="1" x14ac:dyDescent="0.25"/>
    <row r="2491" s="21" customFormat="1" ht="15" customHeight="1" x14ac:dyDescent="0.25"/>
    <row r="2492" s="21" customFormat="1" ht="15" customHeight="1" x14ac:dyDescent="0.25"/>
    <row r="2493" s="21" customFormat="1" ht="15" customHeight="1" x14ac:dyDescent="0.25"/>
    <row r="2494" s="21" customFormat="1" ht="15" customHeight="1" x14ac:dyDescent="0.25"/>
    <row r="2495" s="21" customFormat="1" ht="15" customHeight="1" x14ac:dyDescent="0.25"/>
    <row r="2496" s="21" customFormat="1" ht="15" customHeight="1" x14ac:dyDescent="0.25"/>
    <row r="2497" s="21" customFormat="1" ht="15" customHeight="1" x14ac:dyDescent="0.25"/>
    <row r="2498" s="21" customFormat="1" ht="15" customHeight="1" x14ac:dyDescent="0.25"/>
    <row r="2499" s="21" customFormat="1" ht="15" customHeight="1" x14ac:dyDescent="0.25"/>
    <row r="2500" s="21" customFormat="1" ht="15" customHeight="1" x14ac:dyDescent="0.25"/>
    <row r="2501" s="21" customFormat="1" ht="15" customHeight="1" x14ac:dyDescent="0.25"/>
    <row r="2502" s="21" customFormat="1" ht="15" customHeight="1" x14ac:dyDescent="0.25"/>
    <row r="2503" s="21" customFormat="1" ht="15" customHeight="1" x14ac:dyDescent="0.25"/>
    <row r="2504" s="21" customFormat="1" ht="15" customHeight="1" x14ac:dyDescent="0.25"/>
    <row r="2505" s="21" customFormat="1" ht="15" customHeight="1" x14ac:dyDescent="0.25"/>
    <row r="2506" s="21" customFormat="1" ht="15" customHeight="1" x14ac:dyDescent="0.25"/>
    <row r="2507" s="21" customFormat="1" ht="15" customHeight="1" x14ac:dyDescent="0.25"/>
    <row r="2508" s="21" customFormat="1" ht="15" customHeight="1" x14ac:dyDescent="0.25"/>
    <row r="2509" s="21" customFormat="1" ht="15" customHeight="1" x14ac:dyDescent="0.25"/>
    <row r="2510" s="21" customFormat="1" ht="15" customHeight="1" x14ac:dyDescent="0.25"/>
    <row r="2511" s="21" customFormat="1" ht="15" customHeight="1" x14ac:dyDescent="0.25"/>
    <row r="2512" s="21" customFormat="1" ht="15" customHeight="1" x14ac:dyDescent="0.25"/>
    <row r="2513" s="21" customFormat="1" ht="15" customHeight="1" x14ac:dyDescent="0.25"/>
    <row r="2514" s="21" customFormat="1" ht="15" customHeight="1" x14ac:dyDescent="0.25"/>
    <row r="2515" s="21" customFormat="1" ht="15" customHeight="1" x14ac:dyDescent="0.25"/>
    <row r="2516" s="21" customFormat="1" ht="15" customHeight="1" x14ac:dyDescent="0.25"/>
    <row r="2517" s="21" customFormat="1" ht="15" customHeight="1" x14ac:dyDescent="0.25"/>
    <row r="2518" s="21" customFormat="1" ht="15" customHeight="1" x14ac:dyDescent="0.25"/>
    <row r="2519" s="21" customFormat="1" ht="15" customHeight="1" x14ac:dyDescent="0.25"/>
    <row r="2520" s="21" customFormat="1" ht="15" customHeight="1" x14ac:dyDescent="0.25"/>
    <row r="2521" s="21" customFormat="1" ht="15" customHeight="1" x14ac:dyDescent="0.25"/>
    <row r="2522" s="21" customFormat="1" ht="15" customHeight="1" x14ac:dyDescent="0.25"/>
    <row r="2523" s="21" customFormat="1" ht="15" customHeight="1" x14ac:dyDescent="0.25"/>
    <row r="2524" s="21" customFormat="1" ht="15" customHeight="1" x14ac:dyDescent="0.25"/>
    <row r="2525" s="21" customFormat="1" ht="15" customHeight="1" x14ac:dyDescent="0.25"/>
    <row r="2526" s="21" customFormat="1" ht="15" customHeight="1" x14ac:dyDescent="0.25"/>
    <row r="2527" s="21" customFormat="1" ht="15" customHeight="1" x14ac:dyDescent="0.25"/>
    <row r="2528" s="21" customFormat="1" ht="15" customHeight="1" x14ac:dyDescent="0.25"/>
    <row r="2529" s="21" customFormat="1" ht="15" customHeight="1" x14ac:dyDescent="0.25"/>
    <row r="2530" s="21" customFormat="1" ht="15" customHeight="1" x14ac:dyDescent="0.25"/>
    <row r="2531" s="21" customFormat="1" ht="15" customHeight="1" x14ac:dyDescent="0.25"/>
    <row r="2532" s="21" customFormat="1" ht="15" customHeight="1" x14ac:dyDescent="0.25"/>
    <row r="2533" s="21" customFormat="1" ht="15" customHeight="1" x14ac:dyDescent="0.25"/>
    <row r="2534" s="21" customFormat="1" ht="15" customHeight="1" x14ac:dyDescent="0.25"/>
    <row r="2535" s="21" customFormat="1" ht="15" customHeight="1" x14ac:dyDescent="0.25"/>
    <row r="2536" s="21" customFormat="1" ht="15" customHeight="1" x14ac:dyDescent="0.25"/>
    <row r="2537" s="21" customFormat="1" ht="15" customHeight="1" x14ac:dyDescent="0.25"/>
    <row r="2538" s="21" customFormat="1" ht="15" customHeight="1" x14ac:dyDescent="0.25"/>
    <row r="2539" s="21" customFormat="1" ht="15" customHeight="1" x14ac:dyDescent="0.25"/>
    <row r="2540" s="21" customFormat="1" ht="15" customHeight="1" x14ac:dyDescent="0.25"/>
    <row r="2541" s="21" customFormat="1" ht="15" customHeight="1" x14ac:dyDescent="0.25"/>
    <row r="2542" s="21" customFormat="1" ht="15" customHeight="1" x14ac:dyDescent="0.25"/>
    <row r="2543" s="21" customFormat="1" ht="15" customHeight="1" x14ac:dyDescent="0.25"/>
    <row r="2544" s="21" customFormat="1" ht="15" customHeight="1" x14ac:dyDescent="0.25"/>
    <row r="2545" s="21" customFormat="1" ht="15" customHeight="1" x14ac:dyDescent="0.25"/>
    <row r="2546" s="21" customFormat="1" ht="15" customHeight="1" x14ac:dyDescent="0.25"/>
    <row r="2547" s="21" customFormat="1" ht="15" customHeight="1" x14ac:dyDescent="0.25"/>
    <row r="2548" s="21" customFormat="1" ht="15" customHeight="1" x14ac:dyDescent="0.25"/>
    <row r="2549" s="21" customFormat="1" ht="15" customHeight="1" x14ac:dyDescent="0.25"/>
    <row r="2550" s="21" customFormat="1" ht="15" customHeight="1" x14ac:dyDescent="0.25"/>
    <row r="2551" s="21" customFormat="1" ht="15" customHeight="1" x14ac:dyDescent="0.25"/>
    <row r="2552" s="21" customFormat="1" ht="15" customHeight="1" x14ac:dyDescent="0.25"/>
    <row r="2553" s="21" customFormat="1" ht="15" customHeight="1" x14ac:dyDescent="0.25"/>
    <row r="2554" s="21" customFormat="1" ht="15" customHeight="1" x14ac:dyDescent="0.25"/>
    <row r="2555" s="21" customFormat="1" ht="15" customHeight="1" x14ac:dyDescent="0.25"/>
    <row r="2556" s="21" customFormat="1" ht="15" customHeight="1" x14ac:dyDescent="0.25"/>
    <row r="2557" s="21" customFormat="1" ht="15" customHeight="1" x14ac:dyDescent="0.25"/>
    <row r="2558" s="21" customFormat="1" ht="15" customHeight="1" x14ac:dyDescent="0.25"/>
    <row r="2559" s="21" customFormat="1" ht="15" customHeight="1" x14ac:dyDescent="0.25"/>
    <row r="2560" s="21" customFormat="1" ht="15" customHeight="1" x14ac:dyDescent="0.25"/>
    <row r="2561" s="21" customFormat="1" ht="15" customHeight="1" x14ac:dyDescent="0.25"/>
    <row r="2562" s="21" customFormat="1" ht="15" customHeight="1" x14ac:dyDescent="0.25"/>
    <row r="2563" s="21" customFormat="1" ht="15" customHeight="1" x14ac:dyDescent="0.25"/>
    <row r="2564" s="21" customFormat="1" ht="15" customHeight="1" x14ac:dyDescent="0.25"/>
    <row r="2565" s="21" customFormat="1" ht="15" customHeight="1" x14ac:dyDescent="0.25"/>
    <row r="2566" s="21" customFormat="1" ht="15" customHeight="1" x14ac:dyDescent="0.25"/>
    <row r="2567" s="21" customFormat="1" ht="15" customHeight="1" x14ac:dyDescent="0.25"/>
    <row r="2568" s="21" customFormat="1" ht="15" customHeight="1" x14ac:dyDescent="0.25"/>
    <row r="2569" s="21" customFormat="1" ht="15" customHeight="1" x14ac:dyDescent="0.25"/>
    <row r="2570" s="21" customFormat="1" ht="15" customHeight="1" x14ac:dyDescent="0.25"/>
    <row r="2571" s="21" customFormat="1" ht="15" customHeight="1" x14ac:dyDescent="0.25"/>
    <row r="2572" s="21" customFormat="1" ht="15" customHeight="1" x14ac:dyDescent="0.25"/>
    <row r="2573" s="21" customFormat="1" ht="15" customHeight="1" x14ac:dyDescent="0.25"/>
    <row r="2574" s="21" customFormat="1" ht="15" customHeight="1" x14ac:dyDescent="0.25"/>
    <row r="2575" s="21" customFormat="1" ht="15" customHeight="1" x14ac:dyDescent="0.25"/>
    <row r="2576" s="21" customFormat="1" ht="15" customHeight="1" x14ac:dyDescent="0.25"/>
    <row r="2577" s="21" customFormat="1" ht="15" customHeight="1" x14ac:dyDescent="0.25"/>
    <row r="2578" s="21" customFormat="1" ht="15" customHeight="1" x14ac:dyDescent="0.25"/>
    <row r="2579" s="21" customFormat="1" ht="15" customHeight="1" x14ac:dyDescent="0.25"/>
    <row r="2580" s="21" customFormat="1" ht="15" customHeight="1" x14ac:dyDescent="0.25"/>
    <row r="2581" s="21" customFormat="1" ht="15" customHeight="1" x14ac:dyDescent="0.25"/>
    <row r="2582" s="21" customFormat="1" ht="15" customHeight="1" x14ac:dyDescent="0.25"/>
    <row r="2583" s="21" customFormat="1" ht="15" customHeight="1" x14ac:dyDescent="0.25"/>
    <row r="2584" s="21" customFormat="1" ht="15" customHeight="1" x14ac:dyDescent="0.25"/>
    <row r="2585" s="21" customFormat="1" ht="15" customHeight="1" x14ac:dyDescent="0.25"/>
    <row r="2586" s="21" customFormat="1" ht="15" customHeight="1" x14ac:dyDescent="0.25"/>
    <row r="2587" s="21" customFormat="1" ht="15" customHeight="1" x14ac:dyDescent="0.25"/>
    <row r="2588" s="21" customFormat="1" ht="15" customHeight="1" x14ac:dyDescent="0.25"/>
    <row r="2589" s="21" customFormat="1" ht="15" customHeight="1" x14ac:dyDescent="0.25"/>
    <row r="2590" s="21" customFormat="1" ht="15" customHeight="1" x14ac:dyDescent="0.25"/>
    <row r="2591" s="21" customFormat="1" ht="15" customHeight="1" x14ac:dyDescent="0.25"/>
    <row r="2592" s="21" customFormat="1" ht="15" customHeight="1" x14ac:dyDescent="0.25"/>
    <row r="2593" s="21" customFormat="1" ht="15" customHeight="1" x14ac:dyDescent="0.25"/>
    <row r="2594" s="21" customFormat="1" ht="15" customHeight="1" x14ac:dyDescent="0.25"/>
    <row r="2595" s="21" customFormat="1" ht="15" customHeight="1" x14ac:dyDescent="0.25"/>
    <row r="2596" s="21" customFormat="1" ht="15" customHeight="1" x14ac:dyDescent="0.25"/>
    <row r="2597" s="21" customFormat="1" ht="15" customHeight="1" x14ac:dyDescent="0.25"/>
    <row r="2598" s="21" customFormat="1" ht="15" customHeight="1" x14ac:dyDescent="0.25"/>
    <row r="2599" s="21" customFormat="1" ht="15" customHeight="1" x14ac:dyDescent="0.25"/>
    <row r="2600" s="21" customFormat="1" ht="15" customHeight="1" x14ac:dyDescent="0.25"/>
    <row r="2601" s="21" customFormat="1" ht="15" customHeight="1" x14ac:dyDescent="0.25"/>
    <row r="2602" s="21" customFormat="1" ht="15" customHeight="1" x14ac:dyDescent="0.25"/>
    <row r="2603" s="21" customFormat="1" ht="15" customHeight="1" x14ac:dyDescent="0.25"/>
    <row r="2604" s="21" customFormat="1" ht="15" customHeight="1" x14ac:dyDescent="0.25"/>
    <row r="2605" s="21" customFormat="1" ht="15" customHeight="1" x14ac:dyDescent="0.25"/>
    <row r="2606" s="21" customFormat="1" ht="15" customHeight="1" x14ac:dyDescent="0.25"/>
    <row r="2607" s="21" customFormat="1" ht="15" customHeight="1" x14ac:dyDescent="0.25"/>
    <row r="2608" s="21" customFormat="1" ht="15" customHeight="1" x14ac:dyDescent="0.25"/>
    <row r="2609" s="21" customFormat="1" ht="15" customHeight="1" x14ac:dyDescent="0.25"/>
    <row r="2610" s="21" customFormat="1" ht="15" customHeight="1" x14ac:dyDescent="0.25"/>
    <row r="2611" s="21" customFormat="1" ht="15" customHeight="1" x14ac:dyDescent="0.25"/>
    <row r="2612" s="21" customFormat="1" ht="15" customHeight="1" x14ac:dyDescent="0.25"/>
    <row r="2613" s="21" customFormat="1" ht="15" customHeight="1" x14ac:dyDescent="0.25"/>
    <row r="2614" s="21" customFormat="1" ht="15" customHeight="1" x14ac:dyDescent="0.25"/>
    <row r="2615" s="21" customFormat="1" ht="15" customHeight="1" x14ac:dyDescent="0.25"/>
    <row r="2616" s="21" customFormat="1" ht="15" customHeight="1" x14ac:dyDescent="0.25"/>
    <row r="2617" s="21" customFormat="1" ht="15" customHeight="1" x14ac:dyDescent="0.25"/>
    <row r="2618" s="21" customFormat="1" ht="15" customHeight="1" x14ac:dyDescent="0.25"/>
    <row r="2619" s="21" customFormat="1" ht="15" customHeight="1" x14ac:dyDescent="0.25"/>
    <row r="2620" s="21" customFormat="1" ht="15" customHeight="1" x14ac:dyDescent="0.25"/>
    <row r="2621" s="21" customFormat="1" ht="15" customHeight="1" x14ac:dyDescent="0.25"/>
    <row r="2622" s="21" customFormat="1" ht="15" customHeight="1" x14ac:dyDescent="0.25"/>
    <row r="2623" s="21" customFormat="1" ht="15" customHeight="1" x14ac:dyDescent="0.25"/>
    <row r="2624" s="21" customFormat="1" ht="15" customHeight="1" x14ac:dyDescent="0.25"/>
    <row r="2625" s="21" customFormat="1" ht="15" customHeight="1" x14ac:dyDescent="0.25"/>
    <row r="2626" s="21" customFormat="1" ht="15" customHeight="1" x14ac:dyDescent="0.25"/>
    <row r="2627" s="21" customFormat="1" ht="15" customHeight="1" x14ac:dyDescent="0.25"/>
    <row r="2628" s="21" customFormat="1" ht="15" customHeight="1" x14ac:dyDescent="0.25"/>
    <row r="2629" s="21" customFormat="1" ht="15" customHeight="1" x14ac:dyDescent="0.25"/>
    <row r="2630" s="21" customFormat="1" ht="15" customHeight="1" x14ac:dyDescent="0.25"/>
    <row r="2631" s="21" customFormat="1" ht="15" customHeight="1" x14ac:dyDescent="0.25"/>
    <row r="2632" s="21" customFormat="1" ht="15" customHeight="1" x14ac:dyDescent="0.25"/>
    <row r="2633" s="21" customFormat="1" ht="15" customHeight="1" x14ac:dyDescent="0.25"/>
    <row r="2634" s="21" customFormat="1" ht="15" customHeight="1" x14ac:dyDescent="0.25"/>
    <row r="2635" s="21" customFormat="1" ht="15" customHeight="1" x14ac:dyDescent="0.25"/>
    <row r="2636" s="21" customFormat="1" ht="15" customHeight="1" x14ac:dyDescent="0.25"/>
    <row r="2637" s="21" customFormat="1" ht="15" customHeight="1" x14ac:dyDescent="0.25"/>
    <row r="2638" s="21" customFormat="1" ht="15" customHeight="1" x14ac:dyDescent="0.25"/>
    <row r="2639" s="21" customFormat="1" ht="15" customHeight="1" x14ac:dyDescent="0.25"/>
    <row r="2640" s="21" customFormat="1" ht="15" customHeight="1" x14ac:dyDescent="0.25"/>
    <row r="2641" s="21" customFormat="1" ht="15" customHeight="1" x14ac:dyDescent="0.25"/>
    <row r="2642" s="21" customFormat="1" ht="15" customHeight="1" x14ac:dyDescent="0.25"/>
    <row r="2643" s="21" customFormat="1" ht="15" customHeight="1" x14ac:dyDescent="0.25"/>
    <row r="2644" s="21" customFormat="1" ht="15" customHeight="1" x14ac:dyDescent="0.25"/>
    <row r="2645" s="21" customFormat="1" ht="15" customHeight="1" x14ac:dyDescent="0.25"/>
    <row r="2646" s="21" customFormat="1" ht="15" customHeight="1" x14ac:dyDescent="0.25"/>
    <row r="2647" s="21" customFormat="1" ht="15" customHeight="1" x14ac:dyDescent="0.25"/>
    <row r="2648" s="21" customFormat="1" ht="15" customHeight="1" x14ac:dyDescent="0.25"/>
    <row r="2649" s="21" customFormat="1" ht="15" customHeight="1" x14ac:dyDescent="0.25"/>
    <row r="2650" s="21" customFormat="1" ht="15" customHeight="1" x14ac:dyDescent="0.25"/>
    <row r="2651" s="21" customFormat="1" ht="15" customHeight="1" x14ac:dyDescent="0.25"/>
    <row r="2652" s="21" customFormat="1" ht="15" customHeight="1" x14ac:dyDescent="0.25"/>
    <row r="2653" s="21" customFormat="1" ht="15" customHeight="1" x14ac:dyDescent="0.25"/>
    <row r="2654" s="21" customFormat="1" ht="15" customHeight="1" x14ac:dyDescent="0.25"/>
    <row r="2655" s="21" customFormat="1" ht="15" customHeight="1" x14ac:dyDescent="0.25"/>
    <row r="2656" s="21" customFormat="1" ht="15" customHeight="1" x14ac:dyDescent="0.25"/>
    <row r="2657" s="21" customFormat="1" ht="15" customHeight="1" x14ac:dyDescent="0.25"/>
    <row r="2658" s="21" customFormat="1" ht="15" customHeight="1" x14ac:dyDescent="0.25"/>
    <row r="2659" s="21" customFormat="1" ht="15" customHeight="1" x14ac:dyDescent="0.25"/>
    <row r="2660" s="21" customFormat="1" ht="15" customHeight="1" x14ac:dyDescent="0.25"/>
    <row r="2661" s="21" customFormat="1" ht="15" customHeight="1" x14ac:dyDescent="0.25"/>
    <row r="2662" s="21" customFormat="1" ht="15" customHeight="1" x14ac:dyDescent="0.25"/>
    <row r="2663" s="21" customFormat="1" ht="15" customHeight="1" x14ac:dyDescent="0.25"/>
    <row r="2664" s="21" customFormat="1" ht="15" customHeight="1" x14ac:dyDescent="0.25"/>
    <row r="2665" s="21" customFormat="1" ht="15" customHeight="1" x14ac:dyDescent="0.25"/>
    <row r="2666" s="21" customFormat="1" ht="15" customHeight="1" x14ac:dyDescent="0.25"/>
    <row r="2667" s="21" customFormat="1" ht="15" customHeight="1" x14ac:dyDescent="0.25"/>
    <row r="2668" s="21" customFormat="1" ht="15" customHeight="1" x14ac:dyDescent="0.25"/>
    <row r="2669" s="21" customFormat="1" ht="15" customHeight="1" x14ac:dyDescent="0.25"/>
    <row r="2670" s="21" customFormat="1" ht="15" customHeight="1" x14ac:dyDescent="0.25"/>
    <row r="2671" s="21" customFormat="1" ht="15" customHeight="1" x14ac:dyDescent="0.25"/>
    <row r="2672" s="21" customFormat="1" ht="15" customHeight="1" x14ac:dyDescent="0.25"/>
    <row r="2673" s="21" customFormat="1" ht="15" customHeight="1" x14ac:dyDescent="0.25"/>
    <row r="2674" s="21" customFormat="1" ht="15" customHeight="1" x14ac:dyDescent="0.25"/>
    <row r="2675" s="21" customFormat="1" ht="15" customHeight="1" x14ac:dyDescent="0.25"/>
    <row r="2676" s="21" customFormat="1" ht="15" customHeight="1" x14ac:dyDescent="0.25"/>
    <row r="2677" s="21" customFormat="1" ht="15" customHeight="1" x14ac:dyDescent="0.25"/>
    <row r="2678" s="21" customFormat="1" ht="15" customHeight="1" x14ac:dyDescent="0.25"/>
    <row r="2679" s="21" customFormat="1" ht="15" customHeight="1" x14ac:dyDescent="0.25"/>
    <row r="2680" s="21" customFormat="1" ht="15" customHeight="1" x14ac:dyDescent="0.25"/>
    <row r="2681" s="21" customFormat="1" ht="15" customHeight="1" x14ac:dyDescent="0.25"/>
    <row r="2682" s="21" customFormat="1" ht="15" customHeight="1" x14ac:dyDescent="0.25"/>
    <row r="2683" s="21" customFormat="1" ht="15" customHeight="1" x14ac:dyDescent="0.25"/>
    <row r="2684" s="21" customFormat="1" ht="15" customHeight="1" x14ac:dyDescent="0.25"/>
    <row r="2685" s="21" customFormat="1" ht="15" customHeight="1" x14ac:dyDescent="0.25"/>
    <row r="2686" s="21" customFormat="1" ht="15" customHeight="1" x14ac:dyDescent="0.25"/>
    <row r="2687" s="21" customFormat="1" ht="15" customHeight="1" x14ac:dyDescent="0.25"/>
    <row r="2688" s="21" customFormat="1" ht="15" customHeight="1" x14ac:dyDescent="0.25"/>
    <row r="2689" s="21" customFormat="1" ht="15" customHeight="1" x14ac:dyDescent="0.25"/>
    <row r="2690" s="21" customFormat="1" ht="15" customHeight="1" x14ac:dyDescent="0.25"/>
    <row r="2691" s="21" customFormat="1" ht="15" customHeight="1" x14ac:dyDescent="0.25"/>
    <row r="2692" s="21" customFormat="1" ht="15" customHeight="1" x14ac:dyDescent="0.25"/>
    <row r="2693" s="21" customFormat="1" ht="15" customHeight="1" x14ac:dyDescent="0.25"/>
    <row r="2694" s="21" customFormat="1" ht="15" customHeight="1" x14ac:dyDescent="0.25"/>
    <row r="2695" s="21" customFormat="1" ht="15" customHeight="1" x14ac:dyDescent="0.25"/>
    <row r="2696" s="21" customFormat="1" ht="15" customHeight="1" x14ac:dyDescent="0.25"/>
    <row r="2697" s="21" customFormat="1" ht="15" customHeight="1" x14ac:dyDescent="0.25"/>
    <row r="2698" s="21" customFormat="1" ht="15" customHeight="1" x14ac:dyDescent="0.25"/>
    <row r="2699" s="21" customFormat="1" ht="15" customHeight="1" x14ac:dyDescent="0.25"/>
    <row r="2700" s="21" customFormat="1" ht="15" customHeight="1" x14ac:dyDescent="0.25"/>
    <row r="2701" s="21" customFormat="1" ht="15" customHeight="1" x14ac:dyDescent="0.25"/>
    <row r="2702" s="21" customFormat="1" ht="15" customHeight="1" x14ac:dyDescent="0.25"/>
    <row r="2703" s="21" customFormat="1" ht="15" customHeight="1" x14ac:dyDescent="0.25"/>
    <row r="2704" s="21" customFormat="1" ht="15" customHeight="1" x14ac:dyDescent="0.25"/>
    <row r="2705" s="21" customFormat="1" ht="15" customHeight="1" x14ac:dyDescent="0.25"/>
    <row r="2706" s="21" customFormat="1" ht="15" customHeight="1" x14ac:dyDescent="0.25"/>
    <row r="2707" s="21" customFormat="1" ht="15" customHeight="1" x14ac:dyDescent="0.25"/>
    <row r="2708" s="21" customFormat="1" ht="15" customHeight="1" x14ac:dyDescent="0.25"/>
    <row r="2709" s="21" customFormat="1" ht="15" customHeight="1" x14ac:dyDescent="0.25"/>
    <row r="2710" s="21" customFormat="1" ht="15" customHeight="1" x14ac:dyDescent="0.25"/>
    <row r="2711" s="21" customFormat="1" ht="15" customHeight="1" x14ac:dyDescent="0.25"/>
    <row r="2712" s="21" customFormat="1" ht="15" customHeight="1" x14ac:dyDescent="0.25"/>
    <row r="2713" s="21" customFormat="1" ht="15" customHeight="1" x14ac:dyDescent="0.25"/>
    <row r="2714" s="21" customFormat="1" ht="15" customHeight="1" x14ac:dyDescent="0.25"/>
    <row r="2715" s="21" customFormat="1" ht="15" customHeight="1" x14ac:dyDescent="0.25"/>
    <row r="2716" s="21" customFormat="1" ht="15" customHeight="1" x14ac:dyDescent="0.25"/>
    <row r="2717" s="21" customFormat="1" ht="15" customHeight="1" x14ac:dyDescent="0.25"/>
    <row r="2718" s="21" customFormat="1" ht="15" customHeight="1" x14ac:dyDescent="0.25"/>
    <row r="2719" s="21" customFormat="1" ht="15" customHeight="1" x14ac:dyDescent="0.25"/>
    <row r="2720" s="21" customFormat="1" ht="15" customHeight="1" x14ac:dyDescent="0.25"/>
    <row r="2721" s="21" customFormat="1" ht="15" customHeight="1" x14ac:dyDescent="0.25"/>
    <row r="2722" s="21" customFormat="1" ht="15" customHeight="1" x14ac:dyDescent="0.25"/>
    <row r="2723" s="21" customFormat="1" ht="15" customHeight="1" x14ac:dyDescent="0.25"/>
    <row r="2724" s="21" customFormat="1" ht="15" customHeight="1" x14ac:dyDescent="0.25"/>
    <row r="2725" s="21" customFormat="1" ht="15" customHeight="1" x14ac:dyDescent="0.25"/>
    <row r="2726" s="21" customFormat="1" ht="15" customHeight="1" x14ac:dyDescent="0.25"/>
    <row r="2727" s="21" customFormat="1" ht="15" customHeight="1" x14ac:dyDescent="0.25"/>
    <row r="2728" s="21" customFormat="1" ht="15" customHeight="1" x14ac:dyDescent="0.25"/>
    <row r="2729" s="21" customFormat="1" ht="15" customHeight="1" x14ac:dyDescent="0.25"/>
    <row r="2730" s="21" customFormat="1" ht="15" customHeight="1" x14ac:dyDescent="0.25"/>
    <row r="2731" s="21" customFormat="1" ht="15" customHeight="1" x14ac:dyDescent="0.25"/>
    <row r="2732" s="21" customFormat="1" ht="15" customHeight="1" x14ac:dyDescent="0.25"/>
    <row r="2733" s="21" customFormat="1" ht="15" customHeight="1" x14ac:dyDescent="0.25"/>
    <row r="2734" s="21" customFormat="1" ht="15" customHeight="1" x14ac:dyDescent="0.25"/>
    <row r="2735" s="21" customFormat="1" ht="15" customHeight="1" x14ac:dyDescent="0.25"/>
    <row r="2736" s="21" customFormat="1" ht="15" customHeight="1" x14ac:dyDescent="0.25"/>
    <row r="2737" s="21" customFormat="1" ht="15" customHeight="1" x14ac:dyDescent="0.25"/>
    <row r="2738" s="21" customFormat="1" ht="15" customHeight="1" x14ac:dyDescent="0.25"/>
    <row r="2739" s="21" customFormat="1" ht="15" customHeight="1" x14ac:dyDescent="0.25"/>
    <row r="2740" s="21" customFormat="1" ht="15" customHeight="1" x14ac:dyDescent="0.25"/>
    <row r="2741" s="21" customFormat="1" ht="15" customHeight="1" x14ac:dyDescent="0.25"/>
    <row r="2742" s="21" customFormat="1" ht="15" customHeight="1" x14ac:dyDescent="0.25"/>
    <row r="2743" s="21" customFormat="1" ht="15" customHeight="1" x14ac:dyDescent="0.25"/>
    <row r="2744" s="21" customFormat="1" ht="15" customHeight="1" x14ac:dyDescent="0.25"/>
    <row r="2745" s="21" customFormat="1" ht="15" customHeight="1" x14ac:dyDescent="0.25"/>
    <row r="2746" s="21" customFormat="1" ht="15" customHeight="1" x14ac:dyDescent="0.25"/>
    <row r="2747" s="21" customFormat="1" ht="15" customHeight="1" x14ac:dyDescent="0.25"/>
    <row r="2748" s="21" customFormat="1" ht="15" customHeight="1" x14ac:dyDescent="0.25"/>
    <row r="2749" s="21" customFormat="1" ht="15" customHeight="1" x14ac:dyDescent="0.25"/>
    <row r="2750" s="21" customFormat="1" ht="15" customHeight="1" x14ac:dyDescent="0.25"/>
    <row r="2751" s="21" customFormat="1" ht="15" customHeight="1" x14ac:dyDescent="0.25"/>
    <row r="2752" s="21" customFormat="1" ht="15" customHeight="1" x14ac:dyDescent="0.25"/>
    <row r="2753" s="21" customFormat="1" ht="15" customHeight="1" x14ac:dyDescent="0.25"/>
    <row r="2754" s="21" customFormat="1" ht="15" customHeight="1" x14ac:dyDescent="0.25"/>
    <row r="2755" s="21" customFormat="1" ht="15" customHeight="1" x14ac:dyDescent="0.25"/>
    <row r="2756" s="21" customFormat="1" ht="15" customHeight="1" x14ac:dyDescent="0.25"/>
    <row r="2757" s="21" customFormat="1" ht="15" customHeight="1" x14ac:dyDescent="0.25"/>
    <row r="2758" s="21" customFormat="1" ht="15" customHeight="1" x14ac:dyDescent="0.25"/>
    <row r="2759" s="21" customFormat="1" ht="15" customHeight="1" x14ac:dyDescent="0.25"/>
    <row r="2760" s="21" customFormat="1" ht="15" customHeight="1" x14ac:dyDescent="0.25"/>
    <row r="2761" s="21" customFormat="1" ht="15" customHeight="1" x14ac:dyDescent="0.25"/>
    <row r="2762" s="21" customFormat="1" ht="15" customHeight="1" x14ac:dyDescent="0.25"/>
    <row r="2763" s="21" customFormat="1" ht="15" customHeight="1" x14ac:dyDescent="0.25"/>
    <row r="2764" s="21" customFormat="1" ht="15" customHeight="1" x14ac:dyDescent="0.25"/>
    <row r="2765" s="21" customFormat="1" ht="15" customHeight="1" x14ac:dyDescent="0.25"/>
    <row r="2766" s="21" customFormat="1" ht="15" customHeight="1" x14ac:dyDescent="0.25"/>
    <row r="2767" s="21" customFormat="1" ht="15" customHeight="1" x14ac:dyDescent="0.25"/>
    <row r="2768" s="21" customFormat="1" ht="15" customHeight="1" x14ac:dyDescent="0.25"/>
    <row r="2769" s="21" customFormat="1" ht="15" customHeight="1" x14ac:dyDescent="0.25"/>
    <row r="2770" s="21" customFormat="1" ht="15" customHeight="1" x14ac:dyDescent="0.25"/>
    <row r="2771" s="21" customFormat="1" ht="15" customHeight="1" x14ac:dyDescent="0.25"/>
    <row r="2772" s="21" customFormat="1" ht="15" customHeight="1" x14ac:dyDescent="0.25"/>
    <row r="2773" s="21" customFormat="1" ht="15" customHeight="1" x14ac:dyDescent="0.25"/>
    <row r="2774" s="21" customFormat="1" ht="15" customHeight="1" x14ac:dyDescent="0.25"/>
    <row r="2775" s="21" customFormat="1" ht="15" customHeight="1" x14ac:dyDescent="0.25"/>
    <row r="2776" s="21" customFormat="1" ht="15" customHeight="1" x14ac:dyDescent="0.25"/>
    <row r="2777" s="21" customFormat="1" ht="15" customHeight="1" x14ac:dyDescent="0.25"/>
    <row r="2778" s="21" customFormat="1" ht="15" customHeight="1" x14ac:dyDescent="0.25"/>
    <row r="2779" s="21" customFormat="1" ht="15" customHeight="1" x14ac:dyDescent="0.25"/>
    <row r="2780" s="21" customFormat="1" ht="15" customHeight="1" x14ac:dyDescent="0.25"/>
    <row r="2781" s="21" customFormat="1" ht="15" customHeight="1" x14ac:dyDescent="0.25"/>
    <row r="2782" s="21" customFormat="1" ht="15" customHeight="1" x14ac:dyDescent="0.25"/>
    <row r="2783" s="21" customFormat="1" ht="15" customHeight="1" x14ac:dyDescent="0.25"/>
    <row r="2784" s="21" customFormat="1" ht="15" customHeight="1" x14ac:dyDescent="0.25"/>
    <row r="2785" s="21" customFormat="1" ht="15" customHeight="1" x14ac:dyDescent="0.25"/>
    <row r="2786" s="21" customFormat="1" ht="15" customHeight="1" x14ac:dyDescent="0.25"/>
    <row r="2787" s="21" customFormat="1" ht="15" customHeight="1" x14ac:dyDescent="0.25"/>
    <row r="2788" s="21" customFormat="1" ht="15" customHeight="1" x14ac:dyDescent="0.25"/>
    <row r="2789" s="21" customFormat="1" ht="15" customHeight="1" x14ac:dyDescent="0.25"/>
    <row r="2790" s="21" customFormat="1" ht="15" customHeight="1" x14ac:dyDescent="0.25"/>
    <row r="2791" s="21" customFormat="1" ht="15" customHeight="1" x14ac:dyDescent="0.25"/>
    <row r="2792" s="21" customFormat="1" ht="15" customHeight="1" x14ac:dyDescent="0.25"/>
    <row r="2793" s="21" customFormat="1" ht="15" customHeight="1" x14ac:dyDescent="0.25"/>
    <row r="2794" s="21" customFormat="1" ht="15" customHeight="1" x14ac:dyDescent="0.25"/>
    <row r="2795" s="21" customFormat="1" ht="15" customHeight="1" x14ac:dyDescent="0.25"/>
    <row r="2796" s="21" customFormat="1" ht="15" customHeight="1" x14ac:dyDescent="0.25"/>
    <row r="2797" s="21" customFormat="1" ht="15" customHeight="1" x14ac:dyDescent="0.25"/>
    <row r="2798" s="21" customFormat="1" ht="15" customHeight="1" x14ac:dyDescent="0.25"/>
    <row r="2799" s="21" customFormat="1" ht="15" customHeight="1" x14ac:dyDescent="0.25"/>
    <row r="2800" s="21" customFormat="1" ht="15" customHeight="1" x14ac:dyDescent="0.25"/>
    <row r="2801" s="21" customFormat="1" ht="15" customHeight="1" x14ac:dyDescent="0.25"/>
    <row r="2802" s="21" customFormat="1" ht="15" customHeight="1" x14ac:dyDescent="0.25"/>
    <row r="2803" s="21" customFormat="1" ht="15" customHeight="1" x14ac:dyDescent="0.25"/>
    <row r="2804" s="21" customFormat="1" ht="15" customHeight="1" x14ac:dyDescent="0.25"/>
    <row r="2805" s="21" customFormat="1" ht="15" customHeight="1" x14ac:dyDescent="0.25"/>
    <row r="2806" s="21" customFormat="1" ht="15" customHeight="1" x14ac:dyDescent="0.25"/>
    <row r="2807" s="21" customFormat="1" ht="15" customHeight="1" x14ac:dyDescent="0.25"/>
    <row r="2808" s="21" customFormat="1" ht="15" customHeight="1" x14ac:dyDescent="0.25"/>
    <row r="2809" s="21" customFormat="1" ht="15" customHeight="1" x14ac:dyDescent="0.25"/>
    <row r="2810" s="21" customFormat="1" ht="15" customHeight="1" x14ac:dyDescent="0.25"/>
    <row r="2811" s="21" customFormat="1" ht="15" customHeight="1" x14ac:dyDescent="0.25"/>
    <row r="2812" s="21" customFormat="1" ht="15" customHeight="1" x14ac:dyDescent="0.25"/>
    <row r="2813" s="21" customFormat="1" ht="15" customHeight="1" x14ac:dyDescent="0.25"/>
    <row r="2814" s="21" customFormat="1" ht="15" customHeight="1" x14ac:dyDescent="0.25"/>
    <row r="2815" s="21" customFormat="1" ht="15" customHeight="1" x14ac:dyDescent="0.25"/>
    <row r="2816" s="21" customFormat="1" ht="15" customHeight="1" x14ac:dyDescent="0.25"/>
    <row r="2817" s="21" customFormat="1" ht="15" customHeight="1" x14ac:dyDescent="0.25"/>
    <row r="2818" s="21" customFormat="1" ht="15" customHeight="1" x14ac:dyDescent="0.25"/>
    <row r="2819" s="21" customFormat="1" ht="15" customHeight="1" x14ac:dyDescent="0.25"/>
    <row r="2820" s="21" customFormat="1" ht="15" customHeight="1" x14ac:dyDescent="0.25"/>
    <row r="2821" s="21" customFormat="1" ht="15" customHeight="1" x14ac:dyDescent="0.25"/>
    <row r="2822" s="21" customFormat="1" ht="15" customHeight="1" x14ac:dyDescent="0.25"/>
    <row r="2823" s="21" customFormat="1" ht="15" customHeight="1" x14ac:dyDescent="0.25"/>
    <row r="2824" s="21" customFormat="1" ht="15" customHeight="1" x14ac:dyDescent="0.25"/>
    <row r="2825" s="21" customFormat="1" ht="15" customHeight="1" x14ac:dyDescent="0.25"/>
    <row r="2826" s="21" customFormat="1" ht="15" customHeight="1" x14ac:dyDescent="0.25"/>
    <row r="2827" s="21" customFormat="1" ht="15" customHeight="1" x14ac:dyDescent="0.25"/>
    <row r="2828" s="21" customFormat="1" ht="15" customHeight="1" x14ac:dyDescent="0.25"/>
    <row r="2829" s="21" customFormat="1" ht="15" customHeight="1" x14ac:dyDescent="0.25"/>
    <row r="2830" s="21" customFormat="1" ht="15" customHeight="1" x14ac:dyDescent="0.25"/>
    <row r="2831" s="21" customFormat="1" ht="15" customHeight="1" x14ac:dyDescent="0.25"/>
    <row r="2832" s="21" customFormat="1" ht="15" customHeight="1" x14ac:dyDescent="0.25"/>
    <row r="2833" s="21" customFormat="1" ht="15" customHeight="1" x14ac:dyDescent="0.25"/>
    <row r="2834" s="21" customFormat="1" ht="15" customHeight="1" x14ac:dyDescent="0.25"/>
    <row r="2835" s="21" customFormat="1" ht="15" customHeight="1" x14ac:dyDescent="0.25"/>
    <row r="2836" s="21" customFormat="1" ht="15" customHeight="1" x14ac:dyDescent="0.25"/>
    <row r="2837" s="21" customFormat="1" ht="15" customHeight="1" x14ac:dyDescent="0.25"/>
    <row r="2838" s="21" customFormat="1" ht="15" customHeight="1" x14ac:dyDescent="0.25"/>
    <row r="2839" s="21" customFormat="1" ht="15" customHeight="1" x14ac:dyDescent="0.25"/>
    <row r="2840" s="21" customFormat="1" ht="15" customHeight="1" x14ac:dyDescent="0.25"/>
    <row r="2841" s="21" customFormat="1" ht="15" customHeight="1" x14ac:dyDescent="0.25"/>
    <row r="2842" s="21" customFormat="1" ht="15" customHeight="1" x14ac:dyDescent="0.25"/>
    <row r="2843" s="21" customFormat="1" ht="15" customHeight="1" x14ac:dyDescent="0.25"/>
    <row r="2844" s="21" customFormat="1" ht="15" customHeight="1" x14ac:dyDescent="0.25"/>
    <row r="2845" s="21" customFormat="1" ht="15" customHeight="1" x14ac:dyDescent="0.25"/>
    <row r="2846" s="21" customFormat="1" ht="15" customHeight="1" x14ac:dyDescent="0.25"/>
    <row r="2847" s="21" customFormat="1" ht="15" customHeight="1" x14ac:dyDescent="0.25"/>
    <row r="2848" s="21" customFormat="1" ht="15" customHeight="1" x14ac:dyDescent="0.25"/>
    <row r="2849" s="21" customFormat="1" ht="15" customHeight="1" x14ac:dyDescent="0.25"/>
    <row r="2850" s="21" customFormat="1" ht="15" customHeight="1" x14ac:dyDescent="0.25"/>
    <row r="2851" s="21" customFormat="1" ht="15" customHeight="1" x14ac:dyDescent="0.25"/>
    <row r="2852" s="21" customFormat="1" ht="15" customHeight="1" x14ac:dyDescent="0.25"/>
    <row r="2853" s="21" customFormat="1" ht="15" customHeight="1" x14ac:dyDescent="0.25"/>
    <row r="2854" s="21" customFormat="1" ht="15" customHeight="1" x14ac:dyDescent="0.25"/>
    <row r="2855" s="21" customFormat="1" ht="15" customHeight="1" x14ac:dyDescent="0.25"/>
    <row r="2856" s="21" customFormat="1" ht="15" customHeight="1" x14ac:dyDescent="0.25"/>
    <row r="2857" s="21" customFormat="1" ht="15" customHeight="1" x14ac:dyDescent="0.25"/>
    <row r="2858" s="21" customFormat="1" ht="15" customHeight="1" x14ac:dyDescent="0.25"/>
    <row r="2859" s="21" customFormat="1" ht="15" customHeight="1" x14ac:dyDescent="0.25"/>
    <row r="2860" s="21" customFormat="1" ht="15" customHeight="1" x14ac:dyDescent="0.25"/>
    <row r="2861" s="21" customFormat="1" ht="15" customHeight="1" x14ac:dyDescent="0.25"/>
    <row r="2862" s="21" customFormat="1" ht="15" customHeight="1" x14ac:dyDescent="0.25"/>
    <row r="2863" s="21" customFormat="1" ht="15" customHeight="1" x14ac:dyDescent="0.25"/>
    <row r="2864" s="21" customFormat="1" ht="15" customHeight="1" x14ac:dyDescent="0.25"/>
    <row r="2865" s="21" customFormat="1" ht="15" customHeight="1" x14ac:dyDescent="0.25"/>
    <row r="2866" s="21" customFormat="1" ht="15" customHeight="1" x14ac:dyDescent="0.25"/>
    <row r="2867" s="21" customFormat="1" ht="15" customHeight="1" x14ac:dyDescent="0.25"/>
    <row r="2868" s="21" customFormat="1" ht="15" customHeight="1" x14ac:dyDescent="0.25"/>
    <row r="2869" s="21" customFormat="1" ht="15" customHeight="1" x14ac:dyDescent="0.25"/>
    <row r="2870" s="21" customFormat="1" ht="15" customHeight="1" x14ac:dyDescent="0.25"/>
    <row r="2871" s="21" customFormat="1" ht="15" customHeight="1" x14ac:dyDescent="0.25"/>
    <row r="2872" s="21" customFormat="1" ht="15" customHeight="1" x14ac:dyDescent="0.25"/>
    <row r="2873" s="21" customFormat="1" ht="15" customHeight="1" x14ac:dyDescent="0.25"/>
    <row r="2874" s="21" customFormat="1" ht="15" customHeight="1" x14ac:dyDescent="0.25"/>
    <row r="2875" s="21" customFormat="1" ht="15" customHeight="1" x14ac:dyDescent="0.25"/>
    <row r="2876" s="21" customFormat="1" ht="15" customHeight="1" x14ac:dyDescent="0.25"/>
    <row r="2877" s="21" customFormat="1" ht="15" customHeight="1" x14ac:dyDescent="0.25"/>
    <row r="2878" s="21" customFormat="1" ht="15" customHeight="1" x14ac:dyDescent="0.25"/>
    <row r="2879" s="21" customFormat="1" ht="15" customHeight="1" x14ac:dyDescent="0.25"/>
    <row r="2880" s="21" customFormat="1" ht="15" customHeight="1" x14ac:dyDescent="0.25"/>
    <row r="2881" s="21" customFormat="1" ht="15" customHeight="1" x14ac:dyDescent="0.25"/>
    <row r="2882" s="21" customFormat="1" ht="15" customHeight="1" x14ac:dyDescent="0.25"/>
    <row r="2883" s="21" customFormat="1" ht="15" customHeight="1" x14ac:dyDescent="0.25"/>
    <row r="2884" s="21" customFormat="1" ht="15" customHeight="1" x14ac:dyDescent="0.25"/>
    <row r="2885" s="21" customFormat="1" ht="15" customHeight="1" x14ac:dyDescent="0.25"/>
    <row r="2886" s="21" customFormat="1" ht="15" customHeight="1" x14ac:dyDescent="0.25"/>
    <row r="2887" s="21" customFormat="1" ht="15" customHeight="1" x14ac:dyDescent="0.25"/>
    <row r="2888" s="21" customFormat="1" ht="15" customHeight="1" x14ac:dyDescent="0.25"/>
    <row r="2889" s="21" customFormat="1" ht="15" customHeight="1" x14ac:dyDescent="0.25"/>
    <row r="2890" s="21" customFormat="1" ht="15" customHeight="1" x14ac:dyDescent="0.25"/>
    <row r="2891" s="21" customFormat="1" ht="15" customHeight="1" x14ac:dyDescent="0.25"/>
    <row r="2892" s="21" customFormat="1" ht="15" customHeight="1" x14ac:dyDescent="0.25"/>
    <row r="2893" s="21" customFormat="1" ht="15" customHeight="1" x14ac:dyDescent="0.25"/>
    <row r="2894" s="21" customFormat="1" ht="15" customHeight="1" x14ac:dyDescent="0.25"/>
    <row r="2895" s="21" customFormat="1" ht="15" customHeight="1" x14ac:dyDescent="0.25"/>
    <row r="2896" s="21" customFormat="1" ht="15" customHeight="1" x14ac:dyDescent="0.25"/>
    <row r="2897" s="21" customFormat="1" ht="15" customHeight="1" x14ac:dyDescent="0.25"/>
    <row r="2898" s="21" customFormat="1" ht="15" customHeight="1" x14ac:dyDescent="0.25"/>
    <row r="2899" s="21" customFormat="1" ht="15" customHeight="1" x14ac:dyDescent="0.25"/>
    <row r="2900" s="21" customFormat="1" ht="15" customHeight="1" x14ac:dyDescent="0.25"/>
    <row r="2901" s="21" customFormat="1" ht="15" customHeight="1" x14ac:dyDescent="0.25"/>
    <row r="2902" s="21" customFormat="1" ht="15" customHeight="1" x14ac:dyDescent="0.25"/>
    <row r="2903" s="21" customFormat="1" ht="15" customHeight="1" x14ac:dyDescent="0.25"/>
    <row r="2904" s="21" customFormat="1" ht="15" customHeight="1" x14ac:dyDescent="0.25"/>
    <row r="2905" s="21" customFormat="1" ht="15" customHeight="1" x14ac:dyDescent="0.25"/>
    <row r="2906" s="21" customFormat="1" ht="15" customHeight="1" x14ac:dyDescent="0.25"/>
    <row r="2907" s="21" customFormat="1" ht="15" customHeight="1" x14ac:dyDescent="0.25"/>
    <row r="2908" s="21" customFormat="1" ht="15" customHeight="1" x14ac:dyDescent="0.25"/>
    <row r="2909" s="21" customFormat="1" ht="15" customHeight="1" x14ac:dyDescent="0.25"/>
    <row r="2910" s="21" customFormat="1" ht="15" customHeight="1" x14ac:dyDescent="0.25"/>
    <row r="2911" s="21" customFormat="1" ht="15" customHeight="1" x14ac:dyDescent="0.25"/>
    <row r="2912" s="21" customFormat="1" ht="15" customHeight="1" x14ac:dyDescent="0.25"/>
    <row r="2913" s="21" customFormat="1" ht="15" customHeight="1" x14ac:dyDescent="0.25"/>
    <row r="2914" s="21" customFormat="1" ht="15" customHeight="1" x14ac:dyDescent="0.25"/>
    <row r="2915" s="21" customFormat="1" ht="15" customHeight="1" x14ac:dyDescent="0.25"/>
    <row r="2916" s="21" customFormat="1" ht="15" customHeight="1" x14ac:dyDescent="0.25"/>
    <row r="2917" s="21" customFormat="1" ht="15" customHeight="1" x14ac:dyDescent="0.25"/>
    <row r="2918" s="21" customFormat="1" ht="15" customHeight="1" x14ac:dyDescent="0.25"/>
    <row r="2919" s="21" customFormat="1" ht="15" customHeight="1" x14ac:dyDescent="0.25"/>
    <row r="2920" s="21" customFormat="1" ht="15" customHeight="1" x14ac:dyDescent="0.25"/>
    <row r="2921" s="21" customFormat="1" ht="15" customHeight="1" x14ac:dyDescent="0.25"/>
    <row r="2922" s="21" customFormat="1" ht="15" customHeight="1" x14ac:dyDescent="0.25"/>
    <row r="2923" s="21" customFormat="1" ht="15" customHeight="1" x14ac:dyDescent="0.25"/>
    <row r="2924" s="21" customFormat="1" ht="15" customHeight="1" x14ac:dyDescent="0.25"/>
    <row r="2925" s="21" customFormat="1" ht="15" customHeight="1" x14ac:dyDescent="0.25"/>
    <row r="2926" s="21" customFormat="1" ht="15" customHeight="1" x14ac:dyDescent="0.25"/>
    <row r="2927" s="21" customFormat="1" ht="15" customHeight="1" x14ac:dyDescent="0.25"/>
    <row r="2928" s="21" customFormat="1" ht="15" customHeight="1" x14ac:dyDescent="0.25"/>
    <row r="2929" s="21" customFormat="1" ht="15" customHeight="1" x14ac:dyDescent="0.25"/>
    <row r="2930" s="21" customFormat="1" ht="15" customHeight="1" x14ac:dyDescent="0.25"/>
    <row r="2931" s="21" customFormat="1" ht="15" customHeight="1" x14ac:dyDescent="0.25"/>
    <row r="2932" s="21" customFormat="1" ht="15" customHeight="1" x14ac:dyDescent="0.25"/>
    <row r="2933" s="21" customFormat="1" ht="15" customHeight="1" x14ac:dyDescent="0.25"/>
    <row r="2934" s="21" customFormat="1" ht="15" customHeight="1" x14ac:dyDescent="0.25"/>
    <row r="2935" s="21" customFormat="1" ht="15" customHeight="1" x14ac:dyDescent="0.25"/>
    <row r="2936" s="21" customFormat="1" ht="15" customHeight="1" x14ac:dyDescent="0.25"/>
    <row r="2937" s="21" customFormat="1" ht="15" customHeight="1" x14ac:dyDescent="0.25"/>
    <row r="2938" s="21" customFormat="1" ht="15" customHeight="1" x14ac:dyDescent="0.25"/>
    <row r="2939" s="21" customFormat="1" ht="15" customHeight="1" x14ac:dyDescent="0.25"/>
    <row r="2940" s="21" customFormat="1" ht="15" customHeight="1" x14ac:dyDescent="0.25"/>
    <row r="2941" s="21" customFormat="1" ht="15" customHeight="1" x14ac:dyDescent="0.25"/>
    <row r="2942" s="21" customFormat="1" ht="15" customHeight="1" x14ac:dyDescent="0.25"/>
    <row r="2943" s="21" customFormat="1" ht="15" customHeight="1" x14ac:dyDescent="0.25"/>
    <row r="2944" s="21" customFormat="1" ht="15" customHeight="1" x14ac:dyDescent="0.25"/>
    <row r="2945" s="21" customFormat="1" ht="15" customHeight="1" x14ac:dyDescent="0.25"/>
    <row r="2946" s="21" customFormat="1" ht="15" customHeight="1" x14ac:dyDescent="0.25"/>
    <row r="2947" s="21" customFormat="1" ht="15" customHeight="1" x14ac:dyDescent="0.25"/>
    <row r="2948" s="21" customFormat="1" ht="15" customHeight="1" x14ac:dyDescent="0.25"/>
    <row r="2949" s="21" customFormat="1" ht="15" customHeight="1" x14ac:dyDescent="0.25"/>
    <row r="2950" s="21" customFormat="1" ht="15" customHeight="1" x14ac:dyDescent="0.25"/>
    <row r="2951" s="21" customFormat="1" ht="15" customHeight="1" x14ac:dyDescent="0.25"/>
    <row r="2952" s="21" customFormat="1" ht="15" customHeight="1" x14ac:dyDescent="0.25"/>
    <row r="2953" s="21" customFormat="1" ht="15" customHeight="1" x14ac:dyDescent="0.25"/>
    <row r="2954" s="21" customFormat="1" ht="15" customHeight="1" x14ac:dyDescent="0.25"/>
    <row r="2955" s="21" customFormat="1" ht="15" customHeight="1" x14ac:dyDescent="0.25"/>
    <row r="2956" s="21" customFormat="1" ht="15" customHeight="1" x14ac:dyDescent="0.25"/>
    <row r="2957" s="21" customFormat="1" ht="15" customHeight="1" x14ac:dyDescent="0.25"/>
    <row r="2958" s="21" customFormat="1" ht="15" customHeight="1" x14ac:dyDescent="0.25"/>
    <row r="2959" s="21" customFormat="1" ht="15" customHeight="1" x14ac:dyDescent="0.25"/>
    <row r="2960" s="21" customFormat="1" ht="15" customHeight="1" x14ac:dyDescent="0.25"/>
    <row r="2961" s="21" customFormat="1" ht="15" customHeight="1" x14ac:dyDescent="0.25"/>
    <row r="2962" s="21" customFormat="1" ht="15" customHeight="1" x14ac:dyDescent="0.25"/>
    <row r="2963" s="21" customFormat="1" ht="15" customHeight="1" x14ac:dyDescent="0.25"/>
    <row r="2964" s="21" customFormat="1" ht="15" customHeight="1" x14ac:dyDescent="0.25"/>
    <row r="2965" s="21" customFormat="1" ht="15" customHeight="1" x14ac:dyDescent="0.25"/>
    <row r="2966" s="21" customFormat="1" ht="15" customHeight="1" x14ac:dyDescent="0.25"/>
    <row r="2967" s="21" customFormat="1" ht="15" customHeight="1" x14ac:dyDescent="0.25"/>
    <row r="2968" s="21" customFormat="1" ht="15" customHeight="1" x14ac:dyDescent="0.25"/>
    <row r="2969" s="21" customFormat="1" ht="15" customHeight="1" x14ac:dyDescent="0.25"/>
    <row r="2970" s="21" customFormat="1" ht="15" customHeight="1" x14ac:dyDescent="0.25"/>
    <row r="2971" s="21" customFormat="1" ht="15" customHeight="1" x14ac:dyDescent="0.25"/>
    <row r="2972" s="21" customFormat="1" ht="15" customHeight="1" x14ac:dyDescent="0.25"/>
    <row r="2973" s="21" customFormat="1" ht="15" customHeight="1" x14ac:dyDescent="0.25"/>
    <row r="2974" s="21" customFormat="1" ht="15" customHeight="1" x14ac:dyDescent="0.25"/>
    <row r="2975" s="21" customFormat="1" ht="15" customHeight="1" x14ac:dyDescent="0.25"/>
    <row r="2976" s="21" customFormat="1" ht="15" customHeight="1" x14ac:dyDescent="0.25"/>
    <row r="2977" s="21" customFormat="1" ht="15" customHeight="1" x14ac:dyDescent="0.25"/>
    <row r="2978" s="21" customFormat="1" ht="15" customHeight="1" x14ac:dyDescent="0.25"/>
    <row r="2979" s="21" customFormat="1" ht="15" customHeight="1" x14ac:dyDescent="0.25"/>
    <row r="2980" s="21" customFormat="1" ht="15" customHeight="1" x14ac:dyDescent="0.25"/>
    <row r="2981" s="21" customFormat="1" ht="15" customHeight="1" x14ac:dyDescent="0.25"/>
    <row r="2982" s="21" customFormat="1" ht="15" customHeight="1" x14ac:dyDescent="0.25"/>
    <row r="2983" s="21" customFormat="1" ht="15" customHeight="1" x14ac:dyDescent="0.25"/>
    <row r="2984" s="21" customFormat="1" ht="15" customHeight="1" x14ac:dyDescent="0.25"/>
    <row r="2985" s="21" customFormat="1" ht="15" customHeight="1" x14ac:dyDescent="0.25"/>
    <row r="2986" s="21" customFormat="1" ht="15" customHeight="1" x14ac:dyDescent="0.25"/>
    <row r="2987" s="21" customFormat="1" ht="15" customHeight="1" x14ac:dyDescent="0.25"/>
    <row r="2988" s="21" customFormat="1" ht="15" customHeight="1" x14ac:dyDescent="0.25"/>
    <row r="2989" s="21" customFormat="1" ht="15" customHeight="1" x14ac:dyDescent="0.25"/>
    <row r="2990" s="21" customFormat="1" ht="15" customHeight="1" x14ac:dyDescent="0.25"/>
    <row r="2991" s="21" customFormat="1" ht="15" customHeight="1" x14ac:dyDescent="0.25"/>
    <row r="2992" s="21" customFormat="1" ht="15" customHeight="1" x14ac:dyDescent="0.25"/>
    <row r="2993" s="21" customFormat="1" ht="15" customHeight="1" x14ac:dyDescent="0.25"/>
    <row r="2994" s="21" customFormat="1" ht="15" customHeight="1" x14ac:dyDescent="0.25"/>
    <row r="2995" s="21" customFormat="1" ht="15" customHeight="1" x14ac:dyDescent="0.25"/>
    <row r="2996" s="21" customFormat="1" ht="15" customHeight="1" x14ac:dyDescent="0.25"/>
    <row r="2997" s="21" customFormat="1" ht="15" customHeight="1" x14ac:dyDescent="0.25"/>
    <row r="2998" s="21" customFormat="1" ht="15" customHeight="1" x14ac:dyDescent="0.25"/>
    <row r="2999" s="21" customFormat="1" ht="15" customHeight="1" x14ac:dyDescent="0.25"/>
    <row r="3000" s="21" customFormat="1" ht="15" customHeight="1" x14ac:dyDescent="0.25"/>
    <row r="3001" s="21" customFormat="1" ht="15" customHeight="1" x14ac:dyDescent="0.25"/>
    <row r="3002" s="21" customFormat="1" ht="15" customHeight="1" x14ac:dyDescent="0.25"/>
    <row r="3003" s="21" customFormat="1" ht="15" customHeight="1" x14ac:dyDescent="0.25"/>
    <row r="3004" s="21" customFormat="1" ht="15" customHeight="1" x14ac:dyDescent="0.25"/>
    <row r="3005" s="21" customFormat="1" ht="15" customHeight="1" x14ac:dyDescent="0.25"/>
    <row r="3006" s="21" customFormat="1" ht="15" customHeight="1" x14ac:dyDescent="0.25"/>
    <row r="3007" s="21" customFormat="1" ht="15" customHeight="1" x14ac:dyDescent="0.25"/>
    <row r="3008" s="21" customFormat="1" ht="15" customHeight="1" x14ac:dyDescent="0.25"/>
    <row r="3009" s="21" customFormat="1" ht="15" customHeight="1" x14ac:dyDescent="0.25"/>
    <row r="3010" s="21" customFormat="1" ht="15" customHeight="1" x14ac:dyDescent="0.25"/>
    <row r="3011" s="21" customFormat="1" ht="15" customHeight="1" x14ac:dyDescent="0.25"/>
    <row r="3012" s="21" customFormat="1" ht="15" customHeight="1" x14ac:dyDescent="0.25"/>
    <row r="3013" s="21" customFormat="1" ht="15" customHeight="1" x14ac:dyDescent="0.25"/>
    <row r="3014" s="21" customFormat="1" ht="15" customHeight="1" x14ac:dyDescent="0.25"/>
    <row r="3015" s="21" customFormat="1" ht="15" customHeight="1" x14ac:dyDescent="0.25"/>
    <row r="3016" s="21" customFormat="1" ht="15" customHeight="1" x14ac:dyDescent="0.25"/>
    <row r="3017" s="21" customFormat="1" ht="15" customHeight="1" x14ac:dyDescent="0.25"/>
    <row r="3018" s="21" customFormat="1" ht="15" customHeight="1" x14ac:dyDescent="0.25"/>
    <row r="3019" s="21" customFormat="1" ht="15" customHeight="1" x14ac:dyDescent="0.25"/>
    <row r="3020" s="21" customFormat="1" ht="15" customHeight="1" x14ac:dyDescent="0.25"/>
    <row r="3021" s="21" customFormat="1" ht="15" customHeight="1" x14ac:dyDescent="0.25"/>
    <row r="3022" s="21" customFormat="1" ht="15" customHeight="1" x14ac:dyDescent="0.25"/>
    <row r="3023" s="21" customFormat="1" ht="15" customHeight="1" x14ac:dyDescent="0.25"/>
    <row r="3024" s="21" customFormat="1" ht="15" customHeight="1" x14ac:dyDescent="0.25"/>
    <row r="3025" s="21" customFormat="1" ht="15" customHeight="1" x14ac:dyDescent="0.25"/>
    <row r="3026" s="21" customFormat="1" ht="15" customHeight="1" x14ac:dyDescent="0.25"/>
    <row r="3027" s="21" customFormat="1" ht="15" customHeight="1" x14ac:dyDescent="0.25"/>
    <row r="3028" s="21" customFormat="1" ht="15" customHeight="1" x14ac:dyDescent="0.25"/>
    <row r="3029" s="21" customFormat="1" ht="15" customHeight="1" x14ac:dyDescent="0.25"/>
    <row r="3030" s="21" customFormat="1" ht="15" customHeight="1" x14ac:dyDescent="0.25"/>
    <row r="3031" s="21" customFormat="1" ht="15" customHeight="1" x14ac:dyDescent="0.25"/>
    <row r="3032" s="21" customFormat="1" ht="15" customHeight="1" x14ac:dyDescent="0.25"/>
    <row r="3033" s="21" customFormat="1" ht="15" customHeight="1" x14ac:dyDescent="0.25"/>
    <row r="3034" s="21" customFormat="1" ht="15" customHeight="1" x14ac:dyDescent="0.25"/>
    <row r="3035" s="21" customFormat="1" ht="15" customHeight="1" x14ac:dyDescent="0.25"/>
    <row r="3036" s="21" customFormat="1" ht="15" customHeight="1" x14ac:dyDescent="0.25"/>
    <row r="3037" s="21" customFormat="1" ht="15" customHeight="1" x14ac:dyDescent="0.25"/>
    <row r="3038" s="21" customFormat="1" ht="15" customHeight="1" x14ac:dyDescent="0.25"/>
    <row r="3039" s="21" customFormat="1" ht="15" customHeight="1" x14ac:dyDescent="0.25"/>
    <row r="3040" s="21" customFormat="1" ht="15" customHeight="1" x14ac:dyDescent="0.25"/>
    <row r="3041" s="21" customFormat="1" ht="15" customHeight="1" x14ac:dyDescent="0.25"/>
    <row r="3042" s="21" customFormat="1" ht="15" customHeight="1" x14ac:dyDescent="0.25"/>
    <row r="3043" s="21" customFormat="1" ht="15" customHeight="1" x14ac:dyDescent="0.25"/>
    <row r="3044" s="21" customFormat="1" ht="15" customHeight="1" x14ac:dyDescent="0.25"/>
    <row r="3045" s="21" customFormat="1" ht="15" customHeight="1" x14ac:dyDescent="0.25"/>
    <row r="3046" s="21" customFormat="1" ht="15" customHeight="1" x14ac:dyDescent="0.25"/>
    <row r="3047" s="21" customFormat="1" ht="15" customHeight="1" x14ac:dyDescent="0.25"/>
    <row r="3048" s="21" customFormat="1" ht="15" customHeight="1" x14ac:dyDescent="0.25"/>
    <row r="3049" s="21" customFormat="1" ht="15" customHeight="1" x14ac:dyDescent="0.25"/>
    <row r="3050" s="21" customFormat="1" ht="15" customHeight="1" x14ac:dyDescent="0.25"/>
    <row r="3051" s="21" customFormat="1" ht="15" customHeight="1" x14ac:dyDescent="0.25"/>
    <row r="3052" s="21" customFormat="1" ht="15" customHeight="1" x14ac:dyDescent="0.25"/>
    <row r="3053" s="21" customFormat="1" ht="15" customHeight="1" x14ac:dyDescent="0.25"/>
    <row r="3054" s="21" customFormat="1" ht="15" customHeight="1" x14ac:dyDescent="0.25"/>
    <row r="3055" s="21" customFormat="1" ht="15" customHeight="1" x14ac:dyDescent="0.25"/>
    <row r="3056" s="21" customFormat="1" ht="15" customHeight="1" x14ac:dyDescent="0.25"/>
    <row r="3057" s="21" customFormat="1" ht="15" customHeight="1" x14ac:dyDescent="0.25"/>
    <row r="3058" s="21" customFormat="1" ht="15" customHeight="1" x14ac:dyDescent="0.25"/>
    <row r="3059" s="21" customFormat="1" ht="15" customHeight="1" x14ac:dyDescent="0.25"/>
    <row r="3060" s="21" customFormat="1" ht="15" customHeight="1" x14ac:dyDescent="0.25"/>
    <row r="3061" s="21" customFormat="1" ht="15" customHeight="1" x14ac:dyDescent="0.25"/>
    <row r="3062" s="21" customFormat="1" ht="15" customHeight="1" x14ac:dyDescent="0.25"/>
    <row r="3063" s="21" customFormat="1" ht="15" customHeight="1" x14ac:dyDescent="0.25"/>
    <row r="3064" s="21" customFormat="1" ht="15" customHeight="1" x14ac:dyDescent="0.25"/>
    <row r="3065" s="21" customFormat="1" ht="15" customHeight="1" x14ac:dyDescent="0.25"/>
    <row r="3066" s="21" customFormat="1" ht="15" customHeight="1" x14ac:dyDescent="0.25"/>
    <row r="3067" s="21" customFormat="1" ht="15" customHeight="1" x14ac:dyDescent="0.25"/>
    <row r="3068" s="21" customFormat="1" ht="15" customHeight="1" x14ac:dyDescent="0.25"/>
    <row r="3069" s="21" customFormat="1" ht="15" customHeight="1" x14ac:dyDescent="0.25"/>
    <row r="3070" s="21" customFormat="1" ht="15" customHeight="1" x14ac:dyDescent="0.25"/>
    <row r="3071" s="21" customFormat="1" ht="15" customHeight="1" x14ac:dyDescent="0.25"/>
    <row r="3072" s="21" customFormat="1" ht="15" customHeight="1" x14ac:dyDescent="0.25"/>
    <row r="3073" s="21" customFormat="1" ht="15" customHeight="1" x14ac:dyDescent="0.25"/>
    <row r="3074" s="21" customFormat="1" ht="15" customHeight="1" x14ac:dyDescent="0.25"/>
    <row r="3075" s="21" customFormat="1" ht="15" customHeight="1" x14ac:dyDescent="0.25"/>
    <row r="3076" s="21" customFormat="1" ht="15" customHeight="1" x14ac:dyDescent="0.25"/>
    <row r="3077" s="21" customFormat="1" ht="15" customHeight="1" x14ac:dyDescent="0.25"/>
    <row r="3078" s="21" customFormat="1" ht="15" customHeight="1" x14ac:dyDescent="0.25"/>
    <row r="3079" s="21" customFormat="1" ht="15" customHeight="1" x14ac:dyDescent="0.25"/>
    <row r="3080" s="21" customFormat="1" ht="15" customHeight="1" x14ac:dyDescent="0.25"/>
    <row r="3081" s="21" customFormat="1" ht="15" customHeight="1" x14ac:dyDescent="0.25"/>
    <row r="3082" s="21" customFormat="1" ht="15" customHeight="1" x14ac:dyDescent="0.25"/>
    <row r="3083" s="21" customFormat="1" ht="15" customHeight="1" x14ac:dyDescent="0.25"/>
    <row r="3084" s="21" customFormat="1" ht="15" customHeight="1" x14ac:dyDescent="0.25"/>
    <row r="3085" s="21" customFormat="1" ht="15" customHeight="1" x14ac:dyDescent="0.25"/>
    <row r="3086" s="21" customFormat="1" ht="15" customHeight="1" x14ac:dyDescent="0.25"/>
    <row r="3087" s="21" customFormat="1" ht="15" customHeight="1" x14ac:dyDescent="0.25"/>
    <row r="3088" s="21" customFormat="1" ht="15" customHeight="1" x14ac:dyDescent="0.25"/>
    <row r="3089" s="21" customFormat="1" ht="15" customHeight="1" x14ac:dyDescent="0.25"/>
    <row r="3090" s="21" customFormat="1" ht="15" customHeight="1" x14ac:dyDescent="0.25"/>
    <row r="3091" s="21" customFormat="1" ht="15" customHeight="1" x14ac:dyDescent="0.25"/>
    <row r="3092" s="21" customFormat="1" ht="15" customHeight="1" x14ac:dyDescent="0.25"/>
    <row r="3093" s="21" customFormat="1" ht="15" customHeight="1" x14ac:dyDescent="0.25"/>
    <row r="3094" s="21" customFormat="1" ht="15" customHeight="1" x14ac:dyDescent="0.25"/>
    <row r="3095" s="21" customFormat="1" ht="15" customHeight="1" x14ac:dyDescent="0.25"/>
    <row r="3096" s="21" customFormat="1" ht="15" customHeight="1" x14ac:dyDescent="0.25"/>
    <row r="3097" s="21" customFormat="1" ht="15" customHeight="1" x14ac:dyDescent="0.25"/>
    <row r="3098" s="21" customFormat="1" ht="15" customHeight="1" x14ac:dyDescent="0.25"/>
    <row r="3099" s="21" customFormat="1" ht="15" customHeight="1" x14ac:dyDescent="0.25"/>
    <row r="3100" s="21" customFormat="1" ht="15" customHeight="1" x14ac:dyDescent="0.25"/>
    <row r="3101" s="21" customFormat="1" ht="15" customHeight="1" x14ac:dyDescent="0.25"/>
    <row r="3102" s="21" customFormat="1" ht="15" customHeight="1" x14ac:dyDescent="0.25"/>
    <row r="3103" s="21" customFormat="1" ht="15" customHeight="1" x14ac:dyDescent="0.25"/>
    <row r="3104" s="21" customFormat="1" ht="15" customHeight="1" x14ac:dyDescent="0.25"/>
    <row r="3105" s="21" customFormat="1" ht="15" customHeight="1" x14ac:dyDescent="0.25"/>
    <row r="3106" s="21" customFormat="1" ht="15" customHeight="1" x14ac:dyDescent="0.25"/>
    <row r="3107" s="21" customFormat="1" ht="15" customHeight="1" x14ac:dyDescent="0.25"/>
    <row r="3108" s="21" customFormat="1" ht="15" customHeight="1" x14ac:dyDescent="0.25"/>
    <row r="3109" s="21" customFormat="1" ht="15" customHeight="1" x14ac:dyDescent="0.25"/>
    <row r="3110" s="21" customFormat="1" ht="15" customHeight="1" x14ac:dyDescent="0.25"/>
    <row r="3111" s="21" customFormat="1" ht="15" customHeight="1" x14ac:dyDescent="0.25"/>
    <row r="3112" s="21" customFormat="1" ht="15" customHeight="1" x14ac:dyDescent="0.25"/>
    <row r="3113" s="21" customFormat="1" ht="15" customHeight="1" x14ac:dyDescent="0.25"/>
    <row r="3114" s="21" customFormat="1" ht="15" customHeight="1" x14ac:dyDescent="0.25"/>
    <row r="3115" s="21" customFormat="1" ht="15" customHeight="1" x14ac:dyDescent="0.25"/>
    <row r="3116" s="21" customFormat="1" ht="15" customHeight="1" x14ac:dyDescent="0.25"/>
    <row r="3117" s="21" customFormat="1" ht="15" customHeight="1" x14ac:dyDescent="0.25"/>
    <row r="3118" s="21" customFormat="1" ht="15" customHeight="1" x14ac:dyDescent="0.25"/>
    <row r="3119" s="21" customFormat="1" ht="15" customHeight="1" x14ac:dyDescent="0.25"/>
    <row r="3120" s="21" customFormat="1" ht="15" customHeight="1" x14ac:dyDescent="0.25"/>
    <row r="3121" s="21" customFormat="1" ht="15" customHeight="1" x14ac:dyDescent="0.25"/>
    <row r="3122" s="21" customFormat="1" ht="15" customHeight="1" x14ac:dyDescent="0.25"/>
    <row r="3123" s="21" customFormat="1" ht="15" customHeight="1" x14ac:dyDescent="0.25"/>
    <row r="3124" s="21" customFormat="1" ht="15" customHeight="1" x14ac:dyDescent="0.25"/>
    <row r="3125" s="21" customFormat="1" ht="15" customHeight="1" x14ac:dyDescent="0.25"/>
    <row r="3126" s="21" customFormat="1" ht="15" customHeight="1" x14ac:dyDescent="0.25"/>
    <row r="3127" s="21" customFormat="1" ht="15" customHeight="1" x14ac:dyDescent="0.25"/>
    <row r="3128" s="21" customFormat="1" ht="15" customHeight="1" x14ac:dyDescent="0.25"/>
    <row r="3129" s="21" customFormat="1" ht="15" customHeight="1" x14ac:dyDescent="0.25"/>
    <row r="3130" s="21" customFormat="1" ht="15" customHeight="1" x14ac:dyDescent="0.25"/>
    <row r="3131" s="21" customFormat="1" ht="15" customHeight="1" x14ac:dyDescent="0.25"/>
    <row r="3132" s="21" customFormat="1" ht="15" customHeight="1" x14ac:dyDescent="0.25"/>
    <row r="3133" s="21" customFormat="1" ht="15" customHeight="1" x14ac:dyDescent="0.25"/>
    <row r="3134" s="21" customFormat="1" ht="15" customHeight="1" x14ac:dyDescent="0.25"/>
    <row r="3135" s="21" customFormat="1" ht="15" customHeight="1" x14ac:dyDescent="0.25"/>
    <row r="3136" s="21" customFormat="1" ht="15" customHeight="1" x14ac:dyDescent="0.25"/>
    <row r="3137" s="21" customFormat="1" ht="15" customHeight="1" x14ac:dyDescent="0.25"/>
    <row r="3138" s="21" customFormat="1" ht="15" customHeight="1" x14ac:dyDescent="0.25"/>
    <row r="3139" s="21" customFormat="1" ht="15" customHeight="1" x14ac:dyDescent="0.25"/>
    <row r="3140" s="21" customFormat="1" ht="15" customHeight="1" x14ac:dyDescent="0.25"/>
    <row r="3141" s="21" customFormat="1" ht="15" customHeight="1" x14ac:dyDescent="0.25"/>
    <row r="3142" s="21" customFormat="1" ht="15" customHeight="1" x14ac:dyDescent="0.25"/>
    <row r="3143" s="21" customFormat="1" ht="15" customHeight="1" x14ac:dyDescent="0.25"/>
    <row r="3144" s="21" customFormat="1" ht="15" customHeight="1" x14ac:dyDescent="0.25"/>
    <row r="3145" s="21" customFormat="1" ht="15" customHeight="1" x14ac:dyDescent="0.25"/>
    <row r="3146" s="21" customFormat="1" ht="15" customHeight="1" x14ac:dyDescent="0.25"/>
    <row r="3147" s="21" customFormat="1" ht="15" customHeight="1" x14ac:dyDescent="0.25"/>
    <row r="3148" s="21" customFormat="1" ht="15" customHeight="1" x14ac:dyDescent="0.25"/>
    <row r="3149" s="21" customFormat="1" ht="15" customHeight="1" x14ac:dyDescent="0.25"/>
    <row r="3150" s="21" customFormat="1" ht="15" customHeight="1" x14ac:dyDescent="0.25"/>
    <row r="3151" s="21" customFormat="1" ht="15" customHeight="1" x14ac:dyDescent="0.25"/>
    <row r="3152" s="21" customFormat="1" ht="15" customHeight="1" x14ac:dyDescent="0.25"/>
    <row r="3153" s="21" customFormat="1" ht="15" customHeight="1" x14ac:dyDescent="0.25"/>
    <row r="3154" s="21" customFormat="1" ht="15" customHeight="1" x14ac:dyDescent="0.25"/>
    <row r="3155" s="21" customFormat="1" ht="15" customHeight="1" x14ac:dyDescent="0.25"/>
    <row r="3156" s="21" customFormat="1" ht="15" customHeight="1" x14ac:dyDescent="0.25"/>
    <row r="3157" s="21" customFormat="1" ht="15" customHeight="1" x14ac:dyDescent="0.25"/>
    <row r="3158" s="21" customFormat="1" ht="15" customHeight="1" x14ac:dyDescent="0.25"/>
    <row r="3159" s="21" customFormat="1" ht="15" customHeight="1" x14ac:dyDescent="0.25"/>
    <row r="3160" s="21" customFormat="1" ht="15" customHeight="1" x14ac:dyDescent="0.25"/>
    <row r="3161" s="21" customFormat="1" ht="15" customHeight="1" x14ac:dyDescent="0.25"/>
    <row r="3162" s="21" customFormat="1" ht="15" customHeight="1" x14ac:dyDescent="0.25"/>
    <row r="3163" s="21" customFormat="1" ht="15" customHeight="1" x14ac:dyDescent="0.25"/>
    <row r="3164" s="21" customFormat="1" ht="15" customHeight="1" x14ac:dyDescent="0.25"/>
    <row r="3165" s="21" customFormat="1" ht="15" customHeight="1" x14ac:dyDescent="0.25"/>
    <row r="3166" s="21" customFormat="1" ht="15" customHeight="1" x14ac:dyDescent="0.25"/>
    <row r="3167" s="21" customFormat="1" ht="15" customHeight="1" x14ac:dyDescent="0.25"/>
    <row r="3168" s="21" customFormat="1" ht="15" customHeight="1" x14ac:dyDescent="0.25"/>
    <row r="3169" s="21" customFormat="1" ht="15" customHeight="1" x14ac:dyDescent="0.25"/>
    <row r="3170" s="21" customFormat="1" ht="15" customHeight="1" x14ac:dyDescent="0.25"/>
    <row r="3171" s="21" customFormat="1" ht="15" customHeight="1" x14ac:dyDescent="0.25"/>
    <row r="3172" s="21" customFormat="1" ht="15" customHeight="1" x14ac:dyDescent="0.25"/>
    <row r="3173" s="21" customFormat="1" ht="15" customHeight="1" x14ac:dyDescent="0.25"/>
    <row r="3174" s="21" customFormat="1" ht="15" customHeight="1" x14ac:dyDescent="0.25"/>
    <row r="3175" s="21" customFormat="1" ht="15" customHeight="1" x14ac:dyDescent="0.25"/>
    <row r="3176" s="21" customFormat="1" ht="15" customHeight="1" x14ac:dyDescent="0.25"/>
    <row r="3177" s="21" customFormat="1" ht="15" customHeight="1" x14ac:dyDescent="0.25"/>
    <row r="3178" s="21" customFormat="1" ht="15" customHeight="1" x14ac:dyDescent="0.25"/>
    <row r="3179" s="21" customFormat="1" ht="15" customHeight="1" x14ac:dyDescent="0.25"/>
    <row r="3180" s="21" customFormat="1" ht="15" customHeight="1" x14ac:dyDescent="0.25"/>
    <row r="3181" s="21" customFormat="1" ht="15" customHeight="1" x14ac:dyDescent="0.25"/>
    <row r="3182" s="21" customFormat="1" ht="15" customHeight="1" x14ac:dyDescent="0.25"/>
    <row r="3183" s="21" customFormat="1" ht="15" customHeight="1" x14ac:dyDescent="0.25"/>
    <row r="3184" s="21" customFormat="1" ht="15" customHeight="1" x14ac:dyDescent="0.25"/>
    <row r="3185" s="21" customFormat="1" ht="15" customHeight="1" x14ac:dyDescent="0.25"/>
    <row r="3186" s="21" customFormat="1" ht="15" customHeight="1" x14ac:dyDescent="0.25"/>
    <row r="3187" s="21" customFormat="1" ht="15" customHeight="1" x14ac:dyDescent="0.25"/>
    <row r="3188" s="21" customFormat="1" ht="15" customHeight="1" x14ac:dyDescent="0.25"/>
    <row r="3189" s="21" customFormat="1" ht="15" customHeight="1" x14ac:dyDescent="0.25"/>
    <row r="3190" s="21" customFormat="1" ht="15" customHeight="1" x14ac:dyDescent="0.25"/>
    <row r="3191" s="21" customFormat="1" ht="15" customHeight="1" x14ac:dyDescent="0.25"/>
    <row r="3192" s="21" customFormat="1" ht="15" customHeight="1" x14ac:dyDescent="0.25"/>
    <row r="3193" s="21" customFormat="1" ht="15" customHeight="1" x14ac:dyDescent="0.25"/>
    <row r="3194" s="21" customFormat="1" ht="15" customHeight="1" x14ac:dyDescent="0.25"/>
    <row r="3195" s="21" customFormat="1" ht="15" customHeight="1" x14ac:dyDescent="0.25"/>
    <row r="3196" s="21" customFormat="1" ht="15" customHeight="1" x14ac:dyDescent="0.25"/>
    <row r="3197" s="21" customFormat="1" ht="15" customHeight="1" x14ac:dyDescent="0.25"/>
    <row r="3198" s="21" customFormat="1" ht="15" customHeight="1" x14ac:dyDescent="0.25"/>
    <row r="3199" s="21" customFormat="1" ht="15" customHeight="1" x14ac:dyDescent="0.25"/>
    <row r="3200" s="21" customFormat="1" ht="15" customHeight="1" x14ac:dyDescent="0.25"/>
    <row r="3201" s="21" customFormat="1" ht="15" customHeight="1" x14ac:dyDescent="0.25"/>
    <row r="3202" s="21" customFormat="1" ht="15" customHeight="1" x14ac:dyDescent="0.25"/>
    <row r="3203" s="21" customFormat="1" ht="15" customHeight="1" x14ac:dyDescent="0.25"/>
    <row r="3204" s="21" customFormat="1" ht="15" customHeight="1" x14ac:dyDescent="0.25"/>
    <row r="3205" s="21" customFormat="1" ht="15" customHeight="1" x14ac:dyDescent="0.25"/>
    <row r="3206" s="21" customFormat="1" ht="15" customHeight="1" x14ac:dyDescent="0.25"/>
    <row r="3207" s="21" customFormat="1" ht="15" customHeight="1" x14ac:dyDescent="0.25"/>
    <row r="3208" s="21" customFormat="1" ht="15" customHeight="1" x14ac:dyDescent="0.25"/>
    <row r="3209" s="21" customFormat="1" ht="15" customHeight="1" x14ac:dyDescent="0.25"/>
    <row r="3210" s="21" customFormat="1" ht="15" customHeight="1" x14ac:dyDescent="0.25"/>
    <row r="3211" s="21" customFormat="1" ht="15" customHeight="1" x14ac:dyDescent="0.25"/>
    <row r="3212" s="21" customFormat="1" ht="15" customHeight="1" x14ac:dyDescent="0.25"/>
    <row r="3213" s="21" customFormat="1" ht="15" customHeight="1" x14ac:dyDescent="0.25"/>
    <row r="3214" s="21" customFormat="1" ht="15" customHeight="1" x14ac:dyDescent="0.25"/>
    <row r="3215" s="21" customFormat="1" ht="15" customHeight="1" x14ac:dyDescent="0.25"/>
    <row r="3216" s="21" customFormat="1" ht="15" customHeight="1" x14ac:dyDescent="0.25"/>
    <row r="3217" s="21" customFormat="1" ht="15" customHeight="1" x14ac:dyDescent="0.25"/>
    <row r="3218" s="21" customFormat="1" ht="15" customHeight="1" x14ac:dyDescent="0.25"/>
    <row r="3219" s="21" customFormat="1" ht="15" customHeight="1" x14ac:dyDescent="0.25"/>
    <row r="3220" s="21" customFormat="1" ht="15" customHeight="1" x14ac:dyDescent="0.25"/>
    <row r="3221" s="21" customFormat="1" ht="15" customHeight="1" x14ac:dyDescent="0.25"/>
    <row r="3222" s="21" customFormat="1" ht="15" customHeight="1" x14ac:dyDescent="0.25"/>
    <row r="3223" s="21" customFormat="1" ht="15" customHeight="1" x14ac:dyDescent="0.25"/>
    <row r="3224" s="21" customFormat="1" ht="15" customHeight="1" x14ac:dyDescent="0.25"/>
    <row r="3225" s="21" customFormat="1" ht="15" customHeight="1" x14ac:dyDescent="0.25"/>
    <row r="3226" s="21" customFormat="1" ht="15" customHeight="1" x14ac:dyDescent="0.25"/>
    <row r="3227" s="21" customFormat="1" ht="15" customHeight="1" x14ac:dyDescent="0.25"/>
    <row r="3228" s="21" customFormat="1" ht="15" customHeight="1" x14ac:dyDescent="0.25"/>
    <row r="3229" s="21" customFormat="1" ht="15" customHeight="1" x14ac:dyDescent="0.25"/>
    <row r="3230" s="21" customFormat="1" ht="15" customHeight="1" x14ac:dyDescent="0.25"/>
    <row r="3231" s="21" customFormat="1" ht="15" customHeight="1" x14ac:dyDescent="0.25"/>
    <row r="3232" s="21" customFormat="1" ht="15" customHeight="1" x14ac:dyDescent="0.25"/>
    <row r="3233" s="21" customFormat="1" ht="15" customHeight="1" x14ac:dyDescent="0.25"/>
    <row r="3234" s="21" customFormat="1" ht="15" customHeight="1" x14ac:dyDescent="0.25"/>
    <row r="3235" s="21" customFormat="1" ht="15" customHeight="1" x14ac:dyDescent="0.25"/>
    <row r="3236" s="21" customFormat="1" ht="15" customHeight="1" x14ac:dyDescent="0.25"/>
    <row r="3237" s="21" customFormat="1" ht="15" customHeight="1" x14ac:dyDescent="0.25"/>
    <row r="3238" s="21" customFormat="1" ht="15" customHeight="1" x14ac:dyDescent="0.25"/>
    <row r="3239" s="21" customFormat="1" ht="15" customHeight="1" x14ac:dyDescent="0.25"/>
    <row r="3240" s="21" customFormat="1" ht="15" customHeight="1" x14ac:dyDescent="0.25"/>
    <row r="3241" s="21" customFormat="1" ht="15" customHeight="1" x14ac:dyDescent="0.25"/>
    <row r="3242" s="21" customFormat="1" ht="15" customHeight="1" x14ac:dyDescent="0.25"/>
    <row r="3243" s="21" customFormat="1" ht="15" customHeight="1" x14ac:dyDescent="0.25"/>
    <row r="3244" s="21" customFormat="1" ht="15" customHeight="1" x14ac:dyDescent="0.25"/>
    <row r="3245" s="21" customFormat="1" ht="15" customHeight="1" x14ac:dyDescent="0.25"/>
    <row r="3246" s="21" customFormat="1" ht="15" customHeight="1" x14ac:dyDescent="0.25"/>
    <row r="3247" s="21" customFormat="1" ht="15" customHeight="1" x14ac:dyDescent="0.25"/>
    <row r="3248" s="21" customFormat="1" ht="15" customHeight="1" x14ac:dyDescent="0.25"/>
    <row r="3249" s="21" customFormat="1" ht="15" customHeight="1" x14ac:dyDescent="0.25"/>
    <row r="3250" s="21" customFormat="1" ht="15" customHeight="1" x14ac:dyDescent="0.25"/>
    <row r="3251" s="21" customFormat="1" ht="15" customHeight="1" x14ac:dyDescent="0.25"/>
    <row r="3252" s="21" customFormat="1" ht="15" customHeight="1" x14ac:dyDescent="0.25"/>
    <row r="3253" s="21" customFormat="1" ht="15" customHeight="1" x14ac:dyDescent="0.25"/>
    <row r="3254" s="21" customFormat="1" ht="15" customHeight="1" x14ac:dyDescent="0.25"/>
    <row r="3255" s="21" customFormat="1" ht="15" customHeight="1" x14ac:dyDescent="0.25"/>
    <row r="3256" s="21" customFormat="1" ht="15" customHeight="1" x14ac:dyDescent="0.25"/>
    <row r="3257" s="21" customFormat="1" ht="15" customHeight="1" x14ac:dyDescent="0.25"/>
    <row r="3258" s="21" customFormat="1" ht="15" customHeight="1" x14ac:dyDescent="0.25"/>
    <row r="3259" s="21" customFormat="1" ht="15" customHeight="1" x14ac:dyDescent="0.25"/>
    <row r="3260" s="21" customFormat="1" ht="15" customHeight="1" x14ac:dyDescent="0.25"/>
    <row r="3261" s="21" customFormat="1" ht="15" customHeight="1" x14ac:dyDescent="0.25"/>
    <row r="3262" s="21" customFormat="1" ht="15" customHeight="1" x14ac:dyDescent="0.25"/>
    <row r="3263" s="21" customFormat="1" ht="15" customHeight="1" x14ac:dyDescent="0.25"/>
    <row r="3264" s="21" customFormat="1" ht="15" customHeight="1" x14ac:dyDescent="0.25"/>
    <row r="3265" s="21" customFormat="1" ht="15" customHeight="1" x14ac:dyDescent="0.25"/>
    <row r="3266" s="21" customFormat="1" ht="15" customHeight="1" x14ac:dyDescent="0.25"/>
    <row r="3267" s="21" customFormat="1" ht="15" customHeight="1" x14ac:dyDescent="0.25"/>
    <row r="3268" s="21" customFormat="1" ht="15" customHeight="1" x14ac:dyDescent="0.25"/>
    <row r="3269" s="21" customFormat="1" ht="15" customHeight="1" x14ac:dyDescent="0.25"/>
    <row r="3270" s="21" customFormat="1" ht="15" customHeight="1" x14ac:dyDescent="0.25"/>
    <row r="3271" s="21" customFormat="1" ht="15" customHeight="1" x14ac:dyDescent="0.25"/>
    <row r="3272" s="21" customFormat="1" ht="15" customHeight="1" x14ac:dyDescent="0.25"/>
    <row r="3273" s="21" customFormat="1" ht="15" customHeight="1" x14ac:dyDescent="0.25"/>
    <row r="3274" s="21" customFormat="1" ht="15" customHeight="1" x14ac:dyDescent="0.25"/>
    <row r="3275" s="21" customFormat="1" ht="15" customHeight="1" x14ac:dyDescent="0.25"/>
    <row r="3276" s="21" customFormat="1" ht="15" customHeight="1" x14ac:dyDescent="0.25"/>
    <row r="3277" s="21" customFormat="1" ht="15" customHeight="1" x14ac:dyDescent="0.25"/>
    <row r="3278" s="21" customFormat="1" ht="15" customHeight="1" x14ac:dyDescent="0.25"/>
    <row r="3279" s="21" customFormat="1" ht="15" customHeight="1" x14ac:dyDescent="0.25"/>
    <row r="3280" s="21" customFormat="1" ht="15" customHeight="1" x14ac:dyDescent="0.25"/>
    <row r="3281" s="21" customFormat="1" ht="15" customHeight="1" x14ac:dyDescent="0.25"/>
    <row r="3282" s="21" customFormat="1" ht="15" customHeight="1" x14ac:dyDescent="0.25"/>
    <row r="3283" s="21" customFormat="1" ht="15" customHeight="1" x14ac:dyDescent="0.25"/>
    <row r="3284" s="21" customFormat="1" ht="15" customHeight="1" x14ac:dyDescent="0.25"/>
    <row r="3285" s="21" customFormat="1" ht="15" customHeight="1" x14ac:dyDescent="0.25"/>
    <row r="3286" s="21" customFormat="1" ht="15" customHeight="1" x14ac:dyDescent="0.25"/>
    <row r="3287" s="21" customFormat="1" ht="15" customHeight="1" x14ac:dyDescent="0.25"/>
    <row r="3288" s="21" customFormat="1" ht="15" customHeight="1" x14ac:dyDescent="0.25"/>
    <row r="3289" s="21" customFormat="1" ht="15" customHeight="1" x14ac:dyDescent="0.25"/>
    <row r="3290" s="21" customFormat="1" ht="15" customHeight="1" x14ac:dyDescent="0.25"/>
    <row r="3291" s="21" customFormat="1" ht="15" customHeight="1" x14ac:dyDescent="0.25"/>
    <row r="3292" s="21" customFormat="1" ht="15" customHeight="1" x14ac:dyDescent="0.25"/>
    <row r="3293" s="21" customFormat="1" ht="15" customHeight="1" x14ac:dyDescent="0.25"/>
    <row r="3294" s="21" customFormat="1" ht="15" customHeight="1" x14ac:dyDescent="0.25"/>
    <row r="3295" s="21" customFormat="1" ht="15" customHeight="1" x14ac:dyDescent="0.25"/>
    <row r="3296" s="21" customFormat="1" ht="15" customHeight="1" x14ac:dyDescent="0.25"/>
    <row r="3297" s="21" customFormat="1" ht="15" customHeight="1" x14ac:dyDescent="0.25"/>
    <row r="3298" s="21" customFormat="1" ht="15" customHeight="1" x14ac:dyDescent="0.25"/>
    <row r="3299" s="21" customFormat="1" ht="15" customHeight="1" x14ac:dyDescent="0.25"/>
    <row r="3300" s="21" customFormat="1" ht="15" customHeight="1" x14ac:dyDescent="0.25"/>
    <row r="3301" s="21" customFormat="1" ht="15" customHeight="1" x14ac:dyDescent="0.25"/>
    <row r="3302" s="21" customFormat="1" ht="15" customHeight="1" x14ac:dyDescent="0.25"/>
    <row r="3303" s="21" customFormat="1" ht="15" customHeight="1" x14ac:dyDescent="0.25"/>
    <row r="3304" s="21" customFormat="1" ht="15" customHeight="1" x14ac:dyDescent="0.25"/>
    <row r="3305" s="21" customFormat="1" ht="15" customHeight="1" x14ac:dyDescent="0.25"/>
    <row r="3306" s="21" customFormat="1" ht="15" customHeight="1" x14ac:dyDescent="0.25"/>
    <row r="3307" s="21" customFormat="1" ht="15" customHeight="1" x14ac:dyDescent="0.25"/>
    <row r="3308" s="21" customFormat="1" ht="15" customHeight="1" x14ac:dyDescent="0.25"/>
    <row r="3309" s="21" customFormat="1" ht="15" customHeight="1" x14ac:dyDescent="0.25"/>
    <row r="3310" s="21" customFormat="1" ht="15" customHeight="1" x14ac:dyDescent="0.25"/>
    <row r="3311" s="21" customFormat="1" ht="15" customHeight="1" x14ac:dyDescent="0.25"/>
    <row r="3312" s="21" customFormat="1" ht="15" customHeight="1" x14ac:dyDescent="0.25"/>
    <row r="3313" s="21" customFormat="1" ht="15" customHeight="1" x14ac:dyDescent="0.25"/>
    <row r="3314" s="21" customFormat="1" ht="15" customHeight="1" x14ac:dyDescent="0.25"/>
    <row r="3315" s="21" customFormat="1" ht="15" customHeight="1" x14ac:dyDescent="0.25"/>
    <row r="3316" s="21" customFormat="1" ht="15" customHeight="1" x14ac:dyDescent="0.25"/>
    <row r="3317" s="21" customFormat="1" ht="15" customHeight="1" x14ac:dyDescent="0.25"/>
    <row r="3318" s="21" customFormat="1" ht="15" customHeight="1" x14ac:dyDescent="0.25"/>
    <row r="3319" s="21" customFormat="1" ht="15" customHeight="1" x14ac:dyDescent="0.25"/>
    <row r="3320" s="21" customFormat="1" ht="15" customHeight="1" x14ac:dyDescent="0.25"/>
    <row r="3321" s="21" customFormat="1" ht="15" customHeight="1" x14ac:dyDescent="0.25"/>
    <row r="3322" s="21" customFormat="1" ht="15" customHeight="1" x14ac:dyDescent="0.25"/>
    <row r="3323" s="21" customFormat="1" ht="15" customHeight="1" x14ac:dyDescent="0.25"/>
    <row r="3324" s="21" customFormat="1" ht="15" customHeight="1" x14ac:dyDescent="0.25"/>
    <row r="3325" s="21" customFormat="1" ht="15" customHeight="1" x14ac:dyDescent="0.25"/>
    <row r="3326" s="21" customFormat="1" ht="15" customHeight="1" x14ac:dyDescent="0.25"/>
    <row r="3327" s="21" customFormat="1" ht="15" customHeight="1" x14ac:dyDescent="0.25"/>
    <row r="3328" s="21" customFormat="1" ht="15" customHeight="1" x14ac:dyDescent="0.25"/>
    <row r="3329" s="21" customFormat="1" ht="15" customHeight="1" x14ac:dyDescent="0.25"/>
    <row r="3330" s="21" customFormat="1" ht="15" customHeight="1" x14ac:dyDescent="0.25"/>
    <row r="3331" s="21" customFormat="1" ht="15" customHeight="1" x14ac:dyDescent="0.25"/>
    <row r="3332" s="21" customFormat="1" ht="15" customHeight="1" x14ac:dyDescent="0.25"/>
    <row r="3333" s="21" customFormat="1" ht="15" customHeight="1" x14ac:dyDescent="0.25"/>
    <row r="3334" s="21" customFormat="1" ht="15" customHeight="1" x14ac:dyDescent="0.25"/>
    <row r="3335" s="21" customFormat="1" ht="15" customHeight="1" x14ac:dyDescent="0.25"/>
    <row r="3336" s="21" customFormat="1" ht="15" customHeight="1" x14ac:dyDescent="0.25"/>
    <row r="3337" s="21" customFormat="1" ht="15" customHeight="1" x14ac:dyDescent="0.25"/>
    <row r="3338" s="21" customFormat="1" ht="15" customHeight="1" x14ac:dyDescent="0.25"/>
    <row r="3339" s="21" customFormat="1" ht="15" customHeight="1" x14ac:dyDescent="0.25"/>
    <row r="3340" s="21" customFormat="1" ht="15" customHeight="1" x14ac:dyDescent="0.25"/>
    <row r="3341" s="21" customFormat="1" ht="15" customHeight="1" x14ac:dyDescent="0.25"/>
    <row r="3342" s="21" customFormat="1" ht="15" customHeight="1" x14ac:dyDescent="0.25"/>
    <row r="3343" s="21" customFormat="1" ht="15" customHeight="1" x14ac:dyDescent="0.25"/>
    <row r="3344" s="21" customFormat="1" ht="15" customHeight="1" x14ac:dyDescent="0.25"/>
    <row r="3345" s="21" customFormat="1" ht="15" customHeight="1" x14ac:dyDescent="0.25"/>
    <row r="3346" s="21" customFormat="1" ht="15" customHeight="1" x14ac:dyDescent="0.25"/>
    <row r="3347" s="21" customFormat="1" ht="15" customHeight="1" x14ac:dyDescent="0.25"/>
    <row r="3348" s="21" customFormat="1" ht="15" customHeight="1" x14ac:dyDescent="0.25"/>
    <row r="3349" s="21" customFormat="1" ht="15" customHeight="1" x14ac:dyDescent="0.25"/>
    <row r="3350" s="21" customFormat="1" ht="15" customHeight="1" x14ac:dyDescent="0.25"/>
    <row r="3351" s="21" customFormat="1" ht="15" customHeight="1" x14ac:dyDescent="0.25"/>
    <row r="3352" s="21" customFormat="1" ht="15" customHeight="1" x14ac:dyDescent="0.25"/>
    <row r="3353" s="21" customFormat="1" ht="15" customHeight="1" x14ac:dyDescent="0.25"/>
    <row r="3354" s="21" customFormat="1" ht="15" customHeight="1" x14ac:dyDescent="0.25"/>
    <row r="3355" s="21" customFormat="1" ht="15" customHeight="1" x14ac:dyDescent="0.25"/>
    <row r="3356" s="21" customFormat="1" ht="15" customHeight="1" x14ac:dyDescent="0.25"/>
    <row r="3357" s="21" customFormat="1" ht="15" customHeight="1" x14ac:dyDescent="0.25"/>
    <row r="3358" s="21" customFormat="1" ht="15" customHeight="1" x14ac:dyDescent="0.25"/>
    <row r="3359" s="21" customFormat="1" ht="15" customHeight="1" x14ac:dyDescent="0.25"/>
    <row r="3360" s="21" customFormat="1" ht="15" customHeight="1" x14ac:dyDescent="0.25"/>
    <row r="3361" s="21" customFormat="1" ht="15" customHeight="1" x14ac:dyDescent="0.25"/>
    <row r="3362" s="21" customFormat="1" ht="15" customHeight="1" x14ac:dyDescent="0.25"/>
    <row r="3363" s="21" customFormat="1" ht="15" customHeight="1" x14ac:dyDescent="0.25"/>
    <row r="3364" s="21" customFormat="1" ht="15" customHeight="1" x14ac:dyDescent="0.25"/>
    <row r="3365" s="21" customFormat="1" ht="15" customHeight="1" x14ac:dyDescent="0.25"/>
    <row r="3366" s="21" customFormat="1" ht="15" customHeight="1" x14ac:dyDescent="0.25"/>
    <row r="3367" s="21" customFormat="1" ht="15" customHeight="1" x14ac:dyDescent="0.25"/>
    <row r="3368" s="21" customFormat="1" ht="15" customHeight="1" x14ac:dyDescent="0.25"/>
    <row r="3369" s="21" customFormat="1" ht="15" customHeight="1" x14ac:dyDescent="0.25"/>
    <row r="3370" s="21" customFormat="1" ht="15" customHeight="1" x14ac:dyDescent="0.25"/>
    <row r="3371" s="21" customFormat="1" ht="15" customHeight="1" x14ac:dyDescent="0.25"/>
    <row r="3372" s="21" customFormat="1" ht="15" customHeight="1" x14ac:dyDescent="0.25"/>
    <row r="3373" s="21" customFormat="1" ht="15" customHeight="1" x14ac:dyDescent="0.25"/>
    <row r="3374" s="21" customFormat="1" ht="15" customHeight="1" x14ac:dyDescent="0.25"/>
    <row r="3375" s="21" customFormat="1" ht="15" customHeight="1" x14ac:dyDescent="0.25"/>
    <row r="3376" s="21" customFormat="1" ht="15" customHeight="1" x14ac:dyDescent="0.25"/>
    <row r="3377" s="21" customFormat="1" ht="15" customHeight="1" x14ac:dyDescent="0.25"/>
    <row r="3378" s="21" customFormat="1" ht="15" customHeight="1" x14ac:dyDescent="0.25"/>
    <row r="3379" s="21" customFormat="1" ht="15" customHeight="1" x14ac:dyDescent="0.25"/>
    <row r="3380" s="21" customFormat="1" ht="15" customHeight="1" x14ac:dyDescent="0.25"/>
    <row r="3381" s="21" customFormat="1" ht="15" customHeight="1" x14ac:dyDescent="0.25"/>
    <row r="3382" s="21" customFormat="1" ht="15" customHeight="1" x14ac:dyDescent="0.25"/>
    <row r="3383" s="21" customFormat="1" ht="15" customHeight="1" x14ac:dyDescent="0.25"/>
    <row r="3384" s="21" customFormat="1" ht="15" customHeight="1" x14ac:dyDescent="0.25"/>
    <row r="3385" s="21" customFormat="1" ht="15" customHeight="1" x14ac:dyDescent="0.25"/>
    <row r="3386" s="21" customFormat="1" ht="15" customHeight="1" x14ac:dyDescent="0.25"/>
    <row r="3387" s="21" customFormat="1" ht="15" customHeight="1" x14ac:dyDescent="0.25"/>
    <row r="3388" s="21" customFormat="1" ht="15" customHeight="1" x14ac:dyDescent="0.25"/>
    <row r="3389" s="21" customFormat="1" ht="15" customHeight="1" x14ac:dyDescent="0.25"/>
    <row r="3390" s="21" customFormat="1" ht="15" customHeight="1" x14ac:dyDescent="0.25"/>
    <row r="3391" s="21" customFormat="1" ht="15" customHeight="1" x14ac:dyDescent="0.25"/>
    <row r="3392" s="21" customFormat="1" ht="15" customHeight="1" x14ac:dyDescent="0.25"/>
    <row r="3393" s="21" customFormat="1" ht="15" customHeight="1" x14ac:dyDescent="0.25"/>
    <row r="3394" s="21" customFormat="1" ht="15" customHeight="1" x14ac:dyDescent="0.25"/>
    <row r="3395" s="21" customFormat="1" ht="15" customHeight="1" x14ac:dyDescent="0.25"/>
    <row r="3396" s="21" customFormat="1" ht="15" customHeight="1" x14ac:dyDescent="0.25"/>
    <row r="3397" s="21" customFormat="1" ht="15" customHeight="1" x14ac:dyDescent="0.25"/>
    <row r="3398" s="21" customFormat="1" ht="15" customHeight="1" x14ac:dyDescent="0.25"/>
    <row r="3399" s="21" customFormat="1" ht="15" customHeight="1" x14ac:dyDescent="0.25"/>
    <row r="3400" s="21" customFormat="1" ht="15" customHeight="1" x14ac:dyDescent="0.25"/>
    <row r="3401" s="21" customFormat="1" ht="15" customHeight="1" x14ac:dyDescent="0.25"/>
    <row r="3402" s="21" customFormat="1" ht="15" customHeight="1" x14ac:dyDescent="0.25"/>
    <row r="3403" s="21" customFormat="1" ht="15" customHeight="1" x14ac:dyDescent="0.25"/>
    <row r="3404" s="21" customFormat="1" ht="15" customHeight="1" x14ac:dyDescent="0.25"/>
    <row r="3405" s="21" customFormat="1" ht="15" customHeight="1" x14ac:dyDescent="0.25"/>
    <row r="3406" s="21" customFormat="1" ht="15" customHeight="1" x14ac:dyDescent="0.25"/>
    <row r="3407" s="21" customFormat="1" ht="15" customHeight="1" x14ac:dyDescent="0.25"/>
    <row r="3408" s="21" customFormat="1" ht="15" customHeight="1" x14ac:dyDescent="0.25"/>
    <row r="3409" s="21" customFormat="1" ht="15" customHeight="1" x14ac:dyDescent="0.25"/>
    <row r="3410" s="21" customFormat="1" ht="15" customHeight="1" x14ac:dyDescent="0.25"/>
    <row r="3411" s="21" customFormat="1" ht="15" customHeight="1" x14ac:dyDescent="0.25"/>
    <row r="3412" s="21" customFormat="1" ht="15" customHeight="1" x14ac:dyDescent="0.25"/>
    <row r="3413" s="21" customFormat="1" ht="15" customHeight="1" x14ac:dyDescent="0.25"/>
    <row r="3414" s="21" customFormat="1" ht="15" customHeight="1" x14ac:dyDescent="0.25"/>
    <row r="3415" s="21" customFormat="1" ht="15" customHeight="1" x14ac:dyDescent="0.25"/>
    <row r="3416" s="21" customFormat="1" ht="15" customHeight="1" x14ac:dyDescent="0.25"/>
    <row r="3417" s="21" customFormat="1" ht="15" customHeight="1" x14ac:dyDescent="0.25"/>
    <row r="3418" s="21" customFormat="1" ht="15" customHeight="1" x14ac:dyDescent="0.25"/>
    <row r="3419" s="21" customFormat="1" ht="15" customHeight="1" x14ac:dyDescent="0.25"/>
    <row r="3420" s="21" customFormat="1" ht="15" customHeight="1" x14ac:dyDescent="0.25"/>
    <row r="3421" s="21" customFormat="1" ht="15" customHeight="1" x14ac:dyDescent="0.25"/>
    <row r="3422" s="21" customFormat="1" ht="15" customHeight="1" x14ac:dyDescent="0.25"/>
    <row r="3423" s="21" customFormat="1" ht="15" customHeight="1" x14ac:dyDescent="0.25"/>
    <row r="3424" s="21" customFormat="1" ht="15" customHeight="1" x14ac:dyDescent="0.25"/>
    <row r="3425" s="21" customFormat="1" ht="15" customHeight="1" x14ac:dyDescent="0.25"/>
    <row r="3426" s="21" customFormat="1" ht="15" customHeight="1" x14ac:dyDescent="0.25"/>
    <row r="3427" s="21" customFormat="1" ht="15" customHeight="1" x14ac:dyDescent="0.25"/>
    <row r="3428" s="21" customFormat="1" ht="15" customHeight="1" x14ac:dyDescent="0.25"/>
    <row r="3429" s="21" customFormat="1" ht="15" customHeight="1" x14ac:dyDescent="0.25"/>
    <row r="3430" s="21" customFormat="1" ht="15" customHeight="1" x14ac:dyDescent="0.25"/>
    <row r="3431" s="21" customFormat="1" ht="15" customHeight="1" x14ac:dyDescent="0.25"/>
    <row r="3432" s="21" customFormat="1" ht="15" customHeight="1" x14ac:dyDescent="0.25"/>
    <row r="3433" s="21" customFormat="1" ht="15" customHeight="1" x14ac:dyDescent="0.25"/>
    <row r="3434" s="21" customFormat="1" ht="15" customHeight="1" x14ac:dyDescent="0.25"/>
    <row r="3435" s="21" customFormat="1" ht="15" customHeight="1" x14ac:dyDescent="0.25"/>
    <row r="3436" s="21" customFormat="1" ht="15" customHeight="1" x14ac:dyDescent="0.25"/>
    <row r="3437" s="21" customFormat="1" ht="15" customHeight="1" x14ac:dyDescent="0.25"/>
    <row r="3438" s="21" customFormat="1" ht="15" customHeight="1" x14ac:dyDescent="0.25"/>
    <row r="3439" s="21" customFormat="1" ht="15" customHeight="1" x14ac:dyDescent="0.25"/>
    <row r="3440" s="21" customFormat="1" ht="15" customHeight="1" x14ac:dyDescent="0.25"/>
    <row r="3441" s="21" customFormat="1" ht="15" customHeight="1" x14ac:dyDescent="0.25"/>
    <row r="3442" s="21" customFormat="1" ht="15" customHeight="1" x14ac:dyDescent="0.25"/>
    <row r="3443" s="21" customFormat="1" ht="15" customHeight="1" x14ac:dyDescent="0.25"/>
    <row r="3444" s="21" customFormat="1" ht="15" customHeight="1" x14ac:dyDescent="0.25"/>
    <row r="3445" s="21" customFormat="1" ht="15" customHeight="1" x14ac:dyDescent="0.25"/>
    <row r="3446" s="21" customFormat="1" ht="15" customHeight="1" x14ac:dyDescent="0.25"/>
    <row r="3447" s="21" customFormat="1" ht="15" customHeight="1" x14ac:dyDescent="0.25"/>
    <row r="3448" s="21" customFormat="1" ht="15" customHeight="1" x14ac:dyDescent="0.25"/>
    <row r="3449" s="21" customFormat="1" ht="15" customHeight="1" x14ac:dyDescent="0.25"/>
    <row r="3450" s="21" customFormat="1" ht="15" customHeight="1" x14ac:dyDescent="0.25"/>
    <row r="3451" s="21" customFormat="1" ht="15" customHeight="1" x14ac:dyDescent="0.25"/>
    <row r="3452" s="21" customFormat="1" ht="15" customHeight="1" x14ac:dyDescent="0.25"/>
    <row r="3453" s="21" customFormat="1" ht="15" customHeight="1" x14ac:dyDescent="0.25"/>
    <row r="3454" s="21" customFormat="1" ht="15" customHeight="1" x14ac:dyDescent="0.25"/>
    <row r="3455" s="21" customFormat="1" ht="15" customHeight="1" x14ac:dyDescent="0.25"/>
    <row r="3456" s="21" customFormat="1" ht="15" customHeight="1" x14ac:dyDescent="0.25"/>
    <row r="3457" s="21" customFormat="1" ht="15" customHeight="1" x14ac:dyDescent="0.25"/>
    <row r="3458" s="21" customFormat="1" ht="15" customHeight="1" x14ac:dyDescent="0.25"/>
    <row r="3459" s="21" customFormat="1" ht="15" customHeight="1" x14ac:dyDescent="0.25"/>
    <row r="3460" s="21" customFormat="1" ht="15" customHeight="1" x14ac:dyDescent="0.25"/>
    <row r="3461" s="21" customFormat="1" ht="15" customHeight="1" x14ac:dyDescent="0.25"/>
    <row r="3462" s="21" customFormat="1" ht="15" customHeight="1" x14ac:dyDescent="0.25"/>
    <row r="3463" s="21" customFormat="1" ht="15" customHeight="1" x14ac:dyDescent="0.25"/>
    <row r="3464" s="21" customFormat="1" ht="15" customHeight="1" x14ac:dyDescent="0.25"/>
    <row r="3465" s="21" customFormat="1" ht="15" customHeight="1" x14ac:dyDescent="0.25"/>
    <row r="3466" s="21" customFormat="1" ht="15" customHeight="1" x14ac:dyDescent="0.25"/>
    <row r="3467" s="21" customFormat="1" ht="15" customHeight="1" x14ac:dyDescent="0.25"/>
    <row r="3468" s="21" customFormat="1" ht="15" customHeight="1" x14ac:dyDescent="0.25"/>
    <row r="3469" s="21" customFormat="1" ht="15" customHeight="1" x14ac:dyDescent="0.25"/>
    <row r="3470" s="21" customFormat="1" ht="15" customHeight="1" x14ac:dyDescent="0.25"/>
    <row r="3471" s="21" customFormat="1" ht="15" customHeight="1" x14ac:dyDescent="0.25"/>
    <row r="3472" s="21" customFormat="1" ht="15" customHeight="1" x14ac:dyDescent="0.25"/>
    <row r="3473" s="21" customFormat="1" ht="15" customHeight="1" x14ac:dyDescent="0.25"/>
    <row r="3474" s="21" customFormat="1" ht="15" customHeight="1" x14ac:dyDescent="0.25"/>
    <row r="3475" s="21" customFormat="1" ht="15" customHeight="1" x14ac:dyDescent="0.25"/>
    <row r="3476" s="21" customFormat="1" ht="15" customHeight="1" x14ac:dyDescent="0.25"/>
    <row r="3477" s="21" customFormat="1" ht="15" customHeight="1" x14ac:dyDescent="0.25"/>
    <row r="3478" s="21" customFormat="1" ht="15" customHeight="1" x14ac:dyDescent="0.25"/>
    <row r="3479" s="21" customFormat="1" ht="15" customHeight="1" x14ac:dyDescent="0.25"/>
    <row r="3480" s="21" customFormat="1" ht="15" customHeight="1" x14ac:dyDescent="0.25"/>
    <row r="3481" s="21" customFormat="1" ht="15" customHeight="1" x14ac:dyDescent="0.25"/>
    <row r="3482" s="21" customFormat="1" ht="15" customHeight="1" x14ac:dyDescent="0.25"/>
    <row r="3483" s="21" customFormat="1" ht="15" customHeight="1" x14ac:dyDescent="0.25"/>
    <row r="3484" s="21" customFormat="1" ht="15" customHeight="1" x14ac:dyDescent="0.25"/>
    <row r="3485" s="21" customFormat="1" ht="15" customHeight="1" x14ac:dyDescent="0.25"/>
    <row r="3486" s="21" customFormat="1" ht="15" customHeight="1" x14ac:dyDescent="0.25"/>
    <row r="3487" s="21" customFormat="1" ht="15" customHeight="1" x14ac:dyDescent="0.25"/>
    <row r="3488" s="21" customFormat="1" ht="15" customHeight="1" x14ac:dyDescent="0.25"/>
    <row r="3489" s="21" customFormat="1" ht="15" customHeight="1" x14ac:dyDescent="0.25"/>
    <row r="3490" s="21" customFormat="1" ht="15" customHeight="1" x14ac:dyDescent="0.25"/>
    <row r="3491" s="21" customFormat="1" ht="15" customHeight="1" x14ac:dyDescent="0.25"/>
    <row r="3492" s="21" customFormat="1" ht="15" customHeight="1" x14ac:dyDescent="0.25"/>
    <row r="3493" s="21" customFormat="1" ht="15" customHeight="1" x14ac:dyDescent="0.25"/>
    <row r="3494" s="21" customFormat="1" ht="15" customHeight="1" x14ac:dyDescent="0.25"/>
    <row r="3495" s="21" customFormat="1" ht="15" customHeight="1" x14ac:dyDescent="0.25"/>
    <row r="3496" s="21" customFormat="1" ht="15" customHeight="1" x14ac:dyDescent="0.25"/>
    <row r="3497" s="21" customFormat="1" ht="15" customHeight="1" x14ac:dyDescent="0.25"/>
    <row r="3498" s="21" customFormat="1" ht="15" customHeight="1" x14ac:dyDescent="0.25"/>
    <row r="3499" s="21" customFormat="1" ht="15" customHeight="1" x14ac:dyDescent="0.25"/>
    <row r="3500" s="21" customFormat="1" ht="15" customHeight="1" x14ac:dyDescent="0.25"/>
    <row r="3501" s="21" customFormat="1" ht="15" customHeight="1" x14ac:dyDescent="0.25"/>
    <row r="3502" s="21" customFormat="1" ht="15" customHeight="1" x14ac:dyDescent="0.25"/>
    <row r="3503" s="21" customFormat="1" ht="15" customHeight="1" x14ac:dyDescent="0.25"/>
    <row r="3504" s="21" customFormat="1" ht="15" customHeight="1" x14ac:dyDescent="0.25"/>
    <row r="3505" s="21" customFormat="1" ht="15" customHeight="1" x14ac:dyDescent="0.25"/>
    <row r="3506" s="21" customFormat="1" ht="15" customHeight="1" x14ac:dyDescent="0.25"/>
    <row r="3507" s="21" customFormat="1" ht="15" customHeight="1" x14ac:dyDescent="0.25"/>
    <row r="3508" s="21" customFormat="1" ht="15" customHeight="1" x14ac:dyDescent="0.25"/>
    <row r="3509" s="21" customFormat="1" ht="15" customHeight="1" x14ac:dyDescent="0.25"/>
    <row r="3510" s="21" customFormat="1" ht="15" customHeight="1" x14ac:dyDescent="0.25"/>
    <row r="3511" s="21" customFormat="1" ht="15" customHeight="1" x14ac:dyDescent="0.25"/>
    <row r="3512" s="21" customFormat="1" ht="15" customHeight="1" x14ac:dyDescent="0.25"/>
    <row r="3513" s="21" customFormat="1" ht="15" customHeight="1" x14ac:dyDescent="0.25"/>
    <row r="3514" s="21" customFormat="1" ht="15" customHeight="1" x14ac:dyDescent="0.25"/>
    <row r="3515" s="21" customFormat="1" ht="15" customHeight="1" x14ac:dyDescent="0.25"/>
    <row r="3516" s="21" customFormat="1" ht="15" customHeight="1" x14ac:dyDescent="0.25"/>
    <row r="3517" s="21" customFormat="1" ht="15" customHeight="1" x14ac:dyDescent="0.25"/>
    <row r="3518" s="21" customFormat="1" ht="15" customHeight="1" x14ac:dyDescent="0.25"/>
    <row r="3519" s="21" customFormat="1" ht="15" customHeight="1" x14ac:dyDescent="0.25"/>
    <row r="3520" s="21" customFormat="1" ht="15" customHeight="1" x14ac:dyDescent="0.25"/>
    <row r="3521" s="21" customFormat="1" ht="15" customHeight="1" x14ac:dyDescent="0.25"/>
    <row r="3522" s="21" customFormat="1" ht="15" customHeight="1" x14ac:dyDescent="0.25"/>
    <row r="3523" s="21" customFormat="1" ht="15" customHeight="1" x14ac:dyDescent="0.25"/>
    <row r="3524" s="21" customFormat="1" ht="15" customHeight="1" x14ac:dyDescent="0.25"/>
    <row r="3525" s="21" customFormat="1" ht="15" customHeight="1" x14ac:dyDescent="0.25"/>
    <row r="3526" s="21" customFormat="1" ht="15" customHeight="1" x14ac:dyDescent="0.25"/>
    <row r="3527" s="21" customFormat="1" ht="15" customHeight="1" x14ac:dyDescent="0.25"/>
    <row r="3528" s="21" customFormat="1" ht="15" customHeight="1" x14ac:dyDescent="0.25"/>
    <row r="3529" s="21" customFormat="1" ht="15" customHeight="1" x14ac:dyDescent="0.25"/>
    <row r="3530" s="21" customFormat="1" ht="15" customHeight="1" x14ac:dyDescent="0.25"/>
    <row r="3531" s="21" customFormat="1" ht="15" customHeight="1" x14ac:dyDescent="0.25"/>
    <row r="3532" s="21" customFormat="1" ht="15" customHeight="1" x14ac:dyDescent="0.25"/>
    <row r="3533" s="21" customFormat="1" ht="15" customHeight="1" x14ac:dyDescent="0.25"/>
    <row r="3534" s="21" customFormat="1" ht="15" customHeight="1" x14ac:dyDescent="0.25"/>
    <row r="3535" s="21" customFormat="1" ht="15" customHeight="1" x14ac:dyDescent="0.25"/>
    <row r="3536" s="21" customFormat="1" ht="15" customHeight="1" x14ac:dyDescent="0.25"/>
    <row r="3537" s="21" customFormat="1" ht="15" customHeight="1" x14ac:dyDescent="0.25"/>
    <row r="3538" s="21" customFormat="1" ht="15" customHeight="1" x14ac:dyDescent="0.25"/>
    <row r="3539" s="21" customFormat="1" ht="15" customHeight="1" x14ac:dyDescent="0.25"/>
    <row r="3540" s="21" customFormat="1" ht="15" customHeight="1" x14ac:dyDescent="0.25"/>
    <row r="3541" s="21" customFormat="1" ht="15" customHeight="1" x14ac:dyDescent="0.25"/>
    <row r="3542" s="21" customFormat="1" ht="15" customHeight="1" x14ac:dyDescent="0.25"/>
    <row r="3543" s="21" customFormat="1" ht="15" customHeight="1" x14ac:dyDescent="0.25"/>
    <row r="3544" s="21" customFormat="1" ht="15" customHeight="1" x14ac:dyDescent="0.25"/>
    <row r="3545" s="21" customFormat="1" ht="15" customHeight="1" x14ac:dyDescent="0.25"/>
    <row r="3546" s="21" customFormat="1" ht="15" customHeight="1" x14ac:dyDescent="0.25"/>
    <row r="3547" s="21" customFormat="1" ht="15" customHeight="1" x14ac:dyDescent="0.25"/>
    <row r="3548" s="21" customFormat="1" ht="15" customHeight="1" x14ac:dyDescent="0.25"/>
    <row r="3549" s="21" customFormat="1" ht="15" customHeight="1" x14ac:dyDescent="0.25"/>
    <row r="3550" s="21" customFormat="1" ht="15" customHeight="1" x14ac:dyDescent="0.25"/>
    <row r="3551" s="21" customFormat="1" ht="15" customHeight="1" x14ac:dyDescent="0.25"/>
    <row r="3552" s="21" customFormat="1" ht="15" customHeight="1" x14ac:dyDescent="0.25"/>
    <row r="3553" s="21" customFormat="1" ht="15" customHeight="1" x14ac:dyDescent="0.25"/>
    <row r="3554" s="21" customFormat="1" ht="15" customHeight="1" x14ac:dyDescent="0.25"/>
    <row r="3555" s="21" customFormat="1" ht="15" customHeight="1" x14ac:dyDescent="0.25"/>
    <row r="3556" s="21" customFormat="1" ht="15" customHeight="1" x14ac:dyDescent="0.25"/>
    <row r="3557" s="21" customFormat="1" ht="15" customHeight="1" x14ac:dyDescent="0.25"/>
    <row r="3558" s="21" customFormat="1" ht="15" customHeight="1" x14ac:dyDescent="0.25"/>
    <row r="3559" s="21" customFormat="1" ht="15" customHeight="1" x14ac:dyDescent="0.25"/>
    <row r="3560" s="21" customFormat="1" ht="15" customHeight="1" x14ac:dyDescent="0.25"/>
    <row r="3561" s="21" customFormat="1" ht="15" customHeight="1" x14ac:dyDescent="0.25"/>
    <row r="3562" s="21" customFormat="1" ht="15" customHeight="1" x14ac:dyDescent="0.25"/>
    <row r="3563" s="21" customFormat="1" ht="15" customHeight="1" x14ac:dyDescent="0.25"/>
    <row r="3564" s="21" customFormat="1" ht="15" customHeight="1" x14ac:dyDescent="0.25"/>
    <row r="3565" s="21" customFormat="1" ht="15" customHeight="1" x14ac:dyDescent="0.25"/>
    <row r="3566" s="21" customFormat="1" ht="15" customHeight="1" x14ac:dyDescent="0.25"/>
    <row r="3567" s="21" customFormat="1" ht="15" customHeight="1" x14ac:dyDescent="0.25"/>
    <row r="3568" s="21" customFormat="1" ht="15" customHeight="1" x14ac:dyDescent="0.25"/>
    <row r="3569" s="21" customFormat="1" ht="15" customHeight="1" x14ac:dyDescent="0.25"/>
    <row r="3570" s="21" customFormat="1" ht="15" customHeight="1" x14ac:dyDescent="0.25"/>
    <row r="3571" s="21" customFormat="1" ht="15" customHeight="1" x14ac:dyDescent="0.25"/>
    <row r="3572" s="21" customFormat="1" ht="15" customHeight="1" x14ac:dyDescent="0.25"/>
    <row r="3573" s="21" customFormat="1" ht="15" customHeight="1" x14ac:dyDescent="0.25"/>
    <row r="3574" s="21" customFormat="1" ht="15" customHeight="1" x14ac:dyDescent="0.25"/>
    <row r="3575" s="21" customFormat="1" ht="15" customHeight="1" x14ac:dyDescent="0.25"/>
    <row r="3576" s="21" customFormat="1" ht="15" customHeight="1" x14ac:dyDescent="0.25"/>
    <row r="3577" s="21" customFormat="1" ht="15" customHeight="1" x14ac:dyDescent="0.25"/>
    <row r="3578" s="21" customFormat="1" ht="15" customHeight="1" x14ac:dyDescent="0.25"/>
    <row r="3579" s="21" customFormat="1" ht="15" customHeight="1" x14ac:dyDescent="0.25"/>
    <row r="3580" s="21" customFormat="1" ht="15" customHeight="1" x14ac:dyDescent="0.25"/>
    <row r="3581" s="21" customFormat="1" ht="15" customHeight="1" x14ac:dyDescent="0.25"/>
    <row r="3582" s="21" customFormat="1" ht="15" customHeight="1" x14ac:dyDescent="0.25"/>
    <row r="3583" s="21" customFormat="1" ht="15" customHeight="1" x14ac:dyDescent="0.25"/>
    <row r="3584" s="21" customFormat="1" ht="15" customHeight="1" x14ac:dyDescent="0.25"/>
    <row r="3585" s="21" customFormat="1" ht="15" customHeight="1" x14ac:dyDescent="0.25"/>
    <row r="3586" s="21" customFormat="1" ht="15" customHeight="1" x14ac:dyDescent="0.25"/>
    <row r="3587" s="21" customFormat="1" ht="15" customHeight="1" x14ac:dyDescent="0.25"/>
    <row r="3588" s="21" customFormat="1" ht="15" customHeight="1" x14ac:dyDescent="0.25"/>
    <row r="3589" s="21" customFormat="1" ht="15" customHeight="1" x14ac:dyDescent="0.25"/>
    <row r="3590" s="21" customFormat="1" ht="15" customHeight="1" x14ac:dyDescent="0.25"/>
    <row r="3591" s="21" customFormat="1" ht="15" customHeight="1" x14ac:dyDescent="0.25"/>
    <row r="3592" s="21" customFormat="1" ht="15" customHeight="1" x14ac:dyDescent="0.25"/>
    <row r="3593" s="21" customFormat="1" ht="15" customHeight="1" x14ac:dyDescent="0.25"/>
    <row r="3594" s="21" customFormat="1" ht="15" customHeight="1" x14ac:dyDescent="0.25"/>
    <row r="3595" s="21" customFormat="1" ht="15" customHeight="1" x14ac:dyDescent="0.25"/>
    <row r="3596" s="21" customFormat="1" ht="15" customHeight="1" x14ac:dyDescent="0.25"/>
    <row r="3597" s="21" customFormat="1" ht="15" customHeight="1" x14ac:dyDescent="0.25"/>
    <row r="3598" s="21" customFormat="1" ht="15" customHeight="1" x14ac:dyDescent="0.25"/>
    <row r="3599" s="21" customFormat="1" ht="15" customHeight="1" x14ac:dyDescent="0.25"/>
    <row r="3600" s="21" customFormat="1" ht="15" customHeight="1" x14ac:dyDescent="0.25"/>
    <row r="3601" s="21" customFormat="1" ht="15" customHeight="1" x14ac:dyDescent="0.25"/>
    <row r="3602" s="21" customFormat="1" ht="15" customHeight="1" x14ac:dyDescent="0.25"/>
    <row r="3603" s="21" customFormat="1" ht="15" customHeight="1" x14ac:dyDescent="0.25"/>
    <row r="3604" s="21" customFormat="1" ht="15" customHeight="1" x14ac:dyDescent="0.25"/>
    <row r="3605" s="21" customFormat="1" ht="15" customHeight="1" x14ac:dyDescent="0.25"/>
    <row r="3606" s="21" customFormat="1" ht="15" customHeight="1" x14ac:dyDescent="0.25"/>
    <row r="3607" s="21" customFormat="1" ht="15" customHeight="1" x14ac:dyDescent="0.25"/>
    <row r="3608" s="21" customFormat="1" ht="15" customHeight="1" x14ac:dyDescent="0.25"/>
    <row r="3609" s="21" customFormat="1" ht="15" customHeight="1" x14ac:dyDescent="0.25"/>
    <row r="3610" s="21" customFormat="1" ht="15" customHeight="1" x14ac:dyDescent="0.25"/>
    <row r="3611" s="21" customFormat="1" ht="15" customHeight="1" x14ac:dyDescent="0.25"/>
    <row r="3612" s="21" customFormat="1" ht="15" customHeight="1" x14ac:dyDescent="0.25"/>
    <row r="3613" s="21" customFormat="1" ht="15" customHeight="1" x14ac:dyDescent="0.25"/>
    <row r="3614" s="21" customFormat="1" ht="15" customHeight="1" x14ac:dyDescent="0.25"/>
    <row r="3615" s="21" customFormat="1" ht="15" customHeight="1" x14ac:dyDescent="0.25"/>
    <row r="3616" s="21" customFormat="1" ht="15" customHeight="1" x14ac:dyDescent="0.25"/>
    <row r="3617" s="21" customFormat="1" ht="15" customHeight="1" x14ac:dyDescent="0.25"/>
    <row r="3618" s="21" customFormat="1" ht="15" customHeight="1" x14ac:dyDescent="0.25"/>
    <row r="3619" s="21" customFormat="1" ht="15" customHeight="1" x14ac:dyDescent="0.25"/>
    <row r="3620" s="21" customFormat="1" ht="15" customHeight="1" x14ac:dyDescent="0.25"/>
    <row r="3621" s="21" customFormat="1" ht="15" customHeight="1" x14ac:dyDescent="0.25"/>
    <row r="3622" s="21" customFormat="1" ht="15" customHeight="1" x14ac:dyDescent="0.25"/>
    <row r="3623" s="21" customFormat="1" ht="15" customHeight="1" x14ac:dyDescent="0.25"/>
    <row r="3624" s="21" customFormat="1" ht="15" customHeight="1" x14ac:dyDescent="0.25"/>
    <row r="3625" s="21" customFormat="1" ht="15" customHeight="1" x14ac:dyDescent="0.25"/>
    <row r="3626" s="21" customFormat="1" ht="15" customHeight="1" x14ac:dyDescent="0.25"/>
    <row r="3627" s="21" customFormat="1" ht="15" customHeight="1" x14ac:dyDescent="0.25"/>
    <row r="3628" s="21" customFormat="1" ht="15" customHeight="1" x14ac:dyDescent="0.25"/>
    <row r="3629" s="21" customFormat="1" ht="15" customHeight="1" x14ac:dyDescent="0.25"/>
    <row r="3630" s="21" customFormat="1" ht="15" customHeight="1" x14ac:dyDescent="0.25"/>
    <row r="3631" s="21" customFormat="1" ht="15" customHeight="1" x14ac:dyDescent="0.25"/>
    <row r="3632" s="21" customFormat="1" ht="15" customHeight="1" x14ac:dyDescent="0.25"/>
    <row r="3633" s="21" customFormat="1" ht="15" customHeight="1" x14ac:dyDescent="0.25"/>
    <row r="3634" s="21" customFormat="1" ht="15" customHeight="1" x14ac:dyDescent="0.25"/>
    <row r="3635" s="21" customFormat="1" ht="15" customHeight="1" x14ac:dyDescent="0.25"/>
    <row r="3636" s="21" customFormat="1" ht="15" customHeight="1" x14ac:dyDescent="0.25"/>
    <row r="3637" s="21" customFormat="1" ht="15" customHeight="1" x14ac:dyDescent="0.25"/>
    <row r="3638" s="21" customFormat="1" ht="15" customHeight="1" x14ac:dyDescent="0.25"/>
    <row r="3639" s="21" customFormat="1" ht="15" customHeight="1" x14ac:dyDescent="0.25"/>
    <row r="3640" s="21" customFormat="1" ht="15" customHeight="1" x14ac:dyDescent="0.25"/>
    <row r="3641" s="21" customFormat="1" ht="15" customHeight="1" x14ac:dyDescent="0.25"/>
    <row r="3642" s="21" customFormat="1" ht="15" customHeight="1" x14ac:dyDescent="0.25"/>
    <row r="3643" s="21" customFormat="1" ht="15" customHeight="1" x14ac:dyDescent="0.25"/>
    <row r="3644" s="21" customFormat="1" ht="15" customHeight="1" x14ac:dyDescent="0.25"/>
    <row r="3645" s="21" customFormat="1" ht="15" customHeight="1" x14ac:dyDescent="0.25"/>
    <row r="3646" s="21" customFormat="1" ht="15" customHeight="1" x14ac:dyDescent="0.25"/>
    <row r="3647" s="21" customFormat="1" ht="15" customHeight="1" x14ac:dyDescent="0.25"/>
    <row r="3648" s="21" customFormat="1" ht="15" customHeight="1" x14ac:dyDescent="0.25"/>
    <row r="3649" s="21" customFormat="1" ht="15" customHeight="1" x14ac:dyDescent="0.25"/>
    <row r="3650" s="21" customFormat="1" ht="15" customHeight="1" x14ac:dyDescent="0.25"/>
    <row r="3651" s="21" customFormat="1" ht="15" customHeight="1" x14ac:dyDescent="0.25"/>
    <row r="3652" s="21" customFormat="1" ht="15" customHeight="1" x14ac:dyDescent="0.25"/>
    <row r="3653" s="21" customFormat="1" ht="15" customHeight="1" x14ac:dyDescent="0.25"/>
    <row r="3654" s="21" customFormat="1" ht="15" customHeight="1" x14ac:dyDescent="0.25"/>
    <row r="3655" s="21" customFormat="1" ht="15" customHeight="1" x14ac:dyDescent="0.25"/>
    <row r="3656" s="21" customFormat="1" ht="15" customHeight="1" x14ac:dyDescent="0.25"/>
    <row r="3657" s="21" customFormat="1" ht="15" customHeight="1" x14ac:dyDescent="0.25"/>
    <row r="3658" s="21" customFormat="1" ht="15" customHeight="1" x14ac:dyDescent="0.25"/>
    <row r="3659" s="21" customFormat="1" ht="15" customHeight="1" x14ac:dyDescent="0.25"/>
    <row r="3660" s="21" customFormat="1" ht="15" customHeight="1" x14ac:dyDescent="0.25"/>
    <row r="3661" s="21" customFormat="1" ht="15" customHeight="1" x14ac:dyDescent="0.25"/>
    <row r="3662" s="21" customFormat="1" ht="15" customHeight="1" x14ac:dyDescent="0.25"/>
    <row r="3663" s="21" customFormat="1" ht="15" customHeight="1" x14ac:dyDescent="0.25"/>
    <row r="3664" s="21" customFormat="1" ht="15" customHeight="1" x14ac:dyDescent="0.25"/>
    <row r="3665" s="21" customFormat="1" ht="15" customHeight="1" x14ac:dyDescent="0.25"/>
    <row r="3666" s="21" customFormat="1" ht="15" customHeight="1" x14ac:dyDescent="0.25"/>
    <row r="3667" s="21" customFormat="1" ht="15" customHeight="1" x14ac:dyDescent="0.25"/>
    <row r="3668" s="21" customFormat="1" ht="15" customHeight="1" x14ac:dyDescent="0.25"/>
    <row r="3669" s="21" customFormat="1" ht="15" customHeight="1" x14ac:dyDescent="0.25"/>
    <row r="3670" s="21" customFormat="1" ht="15" customHeight="1" x14ac:dyDescent="0.25"/>
    <row r="3671" s="21" customFormat="1" ht="15" customHeight="1" x14ac:dyDescent="0.25"/>
    <row r="3672" s="21" customFormat="1" ht="15" customHeight="1" x14ac:dyDescent="0.25"/>
    <row r="3673" s="21" customFormat="1" ht="15" customHeight="1" x14ac:dyDescent="0.25"/>
    <row r="3674" s="21" customFormat="1" ht="15" customHeight="1" x14ac:dyDescent="0.25"/>
    <row r="3675" s="21" customFormat="1" ht="15" customHeight="1" x14ac:dyDescent="0.25"/>
    <row r="3676" s="21" customFormat="1" ht="15" customHeight="1" x14ac:dyDescent="0.25"/>
    <row r="3677" s="21" customFormat="1" ht="15" customHeight="1" x14ac:dyDescent="0.25"/>
    <row r="3678" s="21" customFormat="1" ht="15" customHeight="1" x14ac:dyDescent="0.25"/>
    <row r="3679" s="21" customFormat="1" ht="15" customHeight="1" x14ac:dyDescent="0.25"/>
    <row r="3680" s="21" customFormat="1" ht="15" customHeight="1" x14ac:dyDescent="0.25"/>
    <row r="3681" s="21" customFormat="1" ht="15" customHeight="1" x14ac:dyDescent="0.25"/>
    <row r="3682" s="21" customFormat="1" ht="15" customHeight="1" x14ac:dyDescent="0.25"/>
    <row r="3683" s="21" customFormat="1" ht="15" customHeight="1" x14ac:dyDescent="0.25"/>
    <row r="3684" s="21" customFormat="1" ht="15" customHeight="1" x14ac:dyDescent="0.25"/>
    <row r="3685" s="21" customFormat="1" ht="15" customHeight="1" x14ac:dyDescent="0.25"/>
    <row r="3686" s="21" customFormat="1" ht="15" customHeight="1" x14ac:dyDescent="0.25"/>
    <row r="3687" s="21" customFormat="1" ht="15" customHeight="1" x14ac:dyDescent="0.25"/>
    <row r="3688" s="21" customFormat="1" ht="15" customHeight="1" x14ac:dyDescent="0.25"/>
    <row r="3689" s="21" customFormat="1" ht="15" customHeight="1" x14ac:dyDescent="0.25"/>
    <row r="3690" s="21" customFormat="1" ht="15" customHeight="1" x14ac:dyDescent="0.25"/>
    <row r="3691" s="21" customFormat="1" ht="15" customHeight="1" x14ac:dyDescent="0.25"/>
    <row r="3692" s="21" customFormat="1" ht="15" customHeight="1" x14ac:dyDescent="0.25"/>
    <row r="3693" s="21" customFormat="1" ht="15" customHeight="1" x14ac:dyDescent="0.25"/>
    <row r="3694" s="21" customFormat="1" ht="15" customHeight="1" x14ac:dyDescent="0.25"/>
    <row r="3695" s="21" customFormat="1" ht="15" customHeight="1" x14ac:dyDescent="0.25"/>
    <row r="3696" s="21" customFormat="1" ht="15" customHeight="1" x14ac:dyDescent="0.25"/>
    <row r="3697" s="21" customFormat="1" ht="15" customHeight="1" x14ac:dyDescent="0.25"/>
    <row r="3698" s="21" customFormat="1" ht="15" customHeight="1" x14ac:dyDescent="0.25"/>
    <row r="3699" s="21" customFormat="1" ht="15" customHeight="1" x14ac:dyDescent="0.25"/>
    <row r="3700" s="21" customFormat="1" ht="15" customHeight="1" x14ac:dyDescent="0.25"/>
    <row r="3701" s="21" customFormat="1" ht="15" customHeight="1" x14ac:dyDescent="0.25"/>
    <row r="3702" s="21" customFormat="1" ht="15" customHeight="1" x14ac:dyDescent="0.25"/>
    <row r="3703" s="21" customFormat="1" ht="15" customHeight="1" x14ac:dyDescent="0.25"/>
    <row r="3704" s="21" customFormat="1" ht="15" customHeight="1" x14ac:dyDescent="0.25"/>
    <row r="3705" s="21" customFormat="1" ht="15" customHeight="1" x14ac:dyDescent="0.25"/>
    <row r="3706" s="21" customFormat="1" ht="15" customHeight="1" x14ac:dyDescent="0.25"/>
    <row r="3707" s="21" customFormat="1" ht="15" customHeight="1" x14ac:dyDescent="0.25"/>
    <row r="3708" s="21" customFormat="1" ht="15" customHeight="1" x14ac:dyDescent="0.25"/>
    <row r="3709" s="21" customFormat="1" ht="15" customHeight="1" x14ac:dyDescent="0.25"/>
    <row r="3710" s="21" customFormat="1" ht="15" customHeight="1" x14ac:dyDescent="0.25"/>
    <row r="3711" s="21" customFormat="1" ht="15" customHeight="1" x14ac:dyDescent="0.25"/>
    <row r="3712" s="21" customFormat="1" ht="15" customHeight="1" x14ac:dyDescent="0.25"/>
    <row r="3713" s="21" customFormat="1" ht="15" customHeight="1" x14ac:dyDescent="0.25"/>
    <row r="3714" s="21" customFormat="1" ht="15" customHeight="1" x14ac:dyDescent="0.25"/>
    <row r="3715" s="21" customFormat="1" ht="15" customHeight="1" x14ac:dyDescent="0.25"/>
    <row r="3716" s="21" customFormat="1" ht="15" customHeight="1" x14ac:dyDescent="0.25"/>
    <row r="3717" s="21" customFormat="1" ht="15" customHeight="1" x14ac:dyDescent="0.25"/>
    <row r="3718" s="21" customFormat="1" ht="15" customHeight="1" x14ac:dyDescent="0.25"/>
    <row r="3719" s="21" customFormat="1" ht="15" customHeight="1" x14ac:dyDescent="0.25"/>
    <row r="3720" s="21" customFormat="1" ht="15" customHeight="1" x14ac:dyDescent="0.25"/>
    <row r="3721" s="21" customFormat="1" ht="15" customHeight="1" x14ac:dyDescent="0.25"/>
    <row r="3722" s="21" customFormat="1" ht="15" customHeight="1" x14ac:dyDescent="0.25"/>
    <row r="3723" s="21" customFormat="1" ht="15" customHeight="1" x14ac:dyDescent="0.25"/>
    <row r="3724" s="21" customFormat="1" ht="15" customHeight="1" x14ac:dyDescent="0.25"/>
    <row r="3725" s="21" customFormat="1" ht="15" customHeight="1" x14ac:dyDescent="0.25"/>
    <row r="3726" s="21" customFormat="1" ht="15" customHeight="1" x14ac:dyDescent="0.25"/>
    <row r="3727" s="21" customFormat="1" ht="15" customHeight="1" x14ac:dyDescent="0.25"/>
    <row r="3728" s="21" customFormat="1" ht="15" customHeight="1" x14ac:dyDescent="0.25"/>
    <row r="3729" s="21" customFormat="1" ht="15" customHeight="1" x14ac:dyDescent="0.25"/>
    <row r="3730" s="21" customFormat="1" ht="15" customHeight="1" x14ac:dyDescent="0.25"/>
    <row r="3731" s="21" customFormat="1" ht="15" customHeight="1" x14ac:dyDescent="0.25"/>
    <row r="3732" s="21" customFormat="1" ht="15" customHeight="1" x14ac:dyDescent="0.25"/>
    <row r="3733" s="21" customFormat="1" ht="15" customHeight="1" x14ac:dyDescent="0.25"/>
    <row r="3734" s="21" customFormat="1" ht="15" customHeight="1" x14ac:dyDescent="0.25"/>
    <row r="3735" s="21" customFormat="1" ht="15" customHeight="1" x14ac:dyDescent="0.25"/>
    <row r="3736" s="21" customFormat="1" ht="15" customHeight="1" x14ac:dyDescent="0.25"/>
    <row r="3737" s="21" customFormat="1" ht="15" customHeight="1" x14ac:dyDescent="0.25"/>
    <row r="3738" s="21" customFormat="1" ht="15" customHeight="1" x14ac:dyDescent="0.25"/>
    <row r="3739" s="21" customFormat="1" ht="15" customHeight="1" x14ac:dyDescent="0.25"/>
    <row r="3740" s="21" customFormat="1" ht="15" customHeight="1" x14ac:dyDescent="0.25"/>
    <row r="3741" s="21" customFormat="1" ht="15" customHeight="1" x14ac:dyDescent="0.25"/>
    <row r="3742" s="21" customFormat="1" ht="15" customHeight="1" x14ac:dyDescent="0.25"/>
    <row r="3743" s="21" customFormat="1" ht="15" customHeight="1" x14ac:dyDescent="0.25"/>
    <row r="3744" s="21" customFormat="1" ht="15" customHeight="1" x14ac:dyDescent="0.25"/>
    <row r="3745" s="21" customFormat="1" ht="15" customHeight="1" x14ac:dyDescent="0.25"/>
    <row r="3746" s="21" customFormat="1" ht="15" customHeight="1" x14ac:dyDescent="0.25"/>
    <row r="3747" s="21" customFormat="1" ht="15" customHeight="1" x14ac:dyDescent="0.25"/>
    <row r="3748" s="21" customFormat="1" ht="15" customHeight="1" x14ac:dyDescent="0.25"/>
    <row r="3749" s="21" customFormat="1" ht="15" customHeight="1" x14ac:dyDescent="0.25"/>
    <row r="3750" s="21" customFormat="1" ht="15" customHeight="1" x14ac:dyDescent="0.25"/>
    <row r="3751" s="21" customFormat="1" ht="15" customHeight="1" x14ac:dyDescent="0.25"/>
    <row r="3752" s="21" customFormat="1" ht="15" customHeight="1" x14ac:dyDescent="0.25"/>
    <row r="3753" s="21" customFormat="1" ht="15" customHeight="1" x14ac:dyDescent="0.25"/>
    <row r="3754" s="21" customFormat="1" ht="15" customHeight="1" x14ac:dyDescent="0.25"/>
    <row r="3755" s="21" customFormat="1" ht="15" customHeight="1" x14ac:dyDescent="0.25"/>
    <row r="3756" s="21" customFormat="1" ht="15" customHeight="1" x14ac:dyDescent="0.25"/>
    <row r="3757" s="21" customFormat="1" ht="15" customHeight="1" x14ac:dyDescent="0.25"/>
    <row r="3758" s="21" customFormat="1" ht="15" customHeight="1" x14ac:dyDescent="0.25"/>
    <row r="3759" s="21" customFormat="1" ht="15" customHeight="1" x14ac:dyDescent="0.25"/>
    <row r="3760" s="21" customFormat="1" ht="15" customHeight="1" x14ac:dyDescent="0.25"/>
    <row r="3761" s="21" customFormat="1" ht="15" customHeight="1" x14ac:dyDescent="0.25"/>
    <row r="3762" s="21" customFormat="1" ht="15" customHeight="1" x14ac:dyDescent="0.25"/>
    <row r="3763" s="21" customFormat="1" ht="15" customHeight="1" x14ac:dyDescent="0.25"/>
    <row r="3764" s="21" customFormat="1" ht="15" customHeight="1" x14ac:dyDescent="0.25"/>
    <row r="3765" s="21" customFormat="1" ht="15" customHeight="1" x14ac:dyDescent="0.25"/>
    <row r="3766" s="21" customFormat="1" ht="15" customHeight="1" x14ac:dyDescent="0.25"/>
    <row r="3767" s="21" customFormat="1" ht="15" customHeight="1" x14ac:dyDescent="0.25"/>
    <row r="3768" s="21" customFormat="1" ht="15" customHeight="1" x14ac:dyDescent="0.25"/>
    <row r="3769" s="21" customFormat="1" ht="15" customHeight="1" x14ac:dyDescent="0.25"/>
    <row r="3770" s="21" customFormat="1" ht="15" customHeight="1" x14ac:dyDescent="0.25"/>
    <row r="3771" s="21" customFormat="1" ht="15" customHeight="1" x14ac:dyDescent="0.25"/>
    <row r="3772" s="21" customFormat="1" ht="15" customHeight="1" x14ac:dyDescent="0.25"/>
    <row r="3773" s="21" customFormat="1" ht="15" customHeight="1" x14ac:dyDescent="0.25"/>
    <row r="3774" s="21" customFormat="1" ht="15" customHeight="1" x14ac:dyDescent="0.25"/>
    <row r="3775" s="21" customFormat="1" ht="15" customHeight="1" x14ac:dyDescent="0.25"/>
    <row r="3776" s="21" customFormat="1" ht="15" customHeight="1" x14ac:dyDescent="0.25"/>
    <row r="3777" s="21" customFormat="1" ht="15" customHeight="1" x14ac:dyDescent="0.25"/>
    <row r="3778" s="21" customFormat="1" ht="15" customHeight="1" x14ac:dyDescent="0.25"/>
    <row r="3779" s="21" customFormat="1" ht="15" customHeight="1" x14ac:dyDescent="0.25"/>
    <row r="3780" s="21" customFormat="1" ht="15" customHeight="1" x14ac:dyDescent="0.25"/>
    <row r="3781" s="21" customFormat="1" ht="15" customHeight="1" x14ac:dyDescent="0.25"/>
    <row r="3782" s="21" customFormat="1" ht="15" customHeight="1" x14ac:dyDescent="0.25"/>
    <row r="3783" s="21" customFormat="1" ht="15" customHeight="1" x14ac:dyDescent="0.25"/>
    <row r="3784" s="21" customFormat="1" ht="15" customHeight="1" x14ac:dyDescent="0.25"/>
    <row r="3785" s="21" customFormat="1" ht="15" customHeight="1" x14ac:dyDescent="0.25"/>
    <row r="3786" s="21" customFormat="1" ht="15" customHeight="1" x14ac:dyDescent="0.25"/>
    <row r="3787" s="21" customFormat="1" ht="15" customHeight="1" x14ac:dyDescent="0.25"/>
    <row r="3788" s="21" customFormat="1" ht="15" customHeight="1" x14ac:dyDescent="0.25"/>
    <row r="3789" s="21" customFormat="1" ht="15" customHeight="1" x14ac:dyDescent="0.25"/>
    <row r="3790" s="21" customFormat="1" ht="15" customHeight="1" x14ac:dyDescent="0.25"/>
    <row r="3791" s="21" customFormat="1" ht="15" customHeight="1" x14ac:dyDescent="0.25"/>
    <row r="3792" s="21" customFormat="1" ht="15" customHeight="1" x14ac:dyDescent="0.25"/>
    <row r="3793" s="21" customFormat="1" ht="15" customHeight="1" x14ac:dyDescent="0.25"/>
    <row r="3794" s="21" customFormat="1" ht="15" customHeight="1" x14ac:dyDescent="0.25"/>
    <row r="3795" s="21" customFormat="1" ht="15" customHeight="1" x14ac:dyDescent="0.25"/>
    <row r="3796" s="21" customFormat="1" ht="15" customHeight="1" x14ac:dyDescent="0.25"/>
    <row r="3797" s="21" customFormat="1" ht="15" customHeight="1" x14ac:dyDescent="0.25"/>
    <row r="3798" s="21" customFormat="1" ht="15" customHeight="1" x14ac:dyDescent="0.25"/>
    <row r="3799" s="21" customFormat="1" ht="15" customHeight="1" x14ac:dyDescent="0.25"/>
    <row r="3800" s="21" customFormat="1" ht="15" customHeight="1" x14ac:dyDescent="0.25"/>
    <row r="3801" s="21" customFormat="1" ht="15" customHeight="1" x14ac:dyDescent="0.25"/>
    <row r="3802" s="21" customFormat="1" ht="15" customHeight="1" x14ac:dyDescent="0.25"/>
    <row r="3803" s="21" customFormat="1" ht="15" customHeight="1" x14ac:dyDescent="0.25"/>
    <row r="3804" s="21" customFormat="1" ht="15" customHeight="1" x14ac:dyDescent="0.25"/>
    <row r="3805" s="21" customFormat="1" ht="15" customHeight="1" x14ac:dyDescent="0.25"/>
    <row r="3806" s="21" customFormat="1" ht="15" customHeight="1" x14ac:dyDescent="0.25"/>
    <row r="3807" s="21" customFormat="1" ht="15" customHeight="1" x14ac:dyDescent="0.25"/>
    <row r="3808" s="21" customFormat="1" ht="15" customHeight="1" x14ac:dyDescent="0.25"/>
    <row r="3809" s="21" customFormat="1" ht="15" customHeight="1" x14ac:dyDescent="0.25"/>
    <row r="3810" s="21" customFormat="1" ht="15" customHeight="1" x14ac:dyDescent="0.25"/>
    <row r="3811" s="21" customFormat="1" ht="15" customHeight="1" x14ac:dyDescent="0.25"/>
    <row r="3812" s="21" customFormat="1" ht="15" customHeight="1" x14ac:dyDescent="0.25"/>
    <row r="3813" s="21" customFormat="1" ht="15" customHeight="1" x14ac:dyDescent="0.25"/>
    <row r="3814" s="21" customFormat="1" ht="15" customHeight="1" x14ac:dyDescent="0.25"/>
    <row r="3815" s="21" customFormat="1" ht="15" customHeight="1" x14ac:dyDescent="0.25"/>
    <row r="3816" s="21" customFormat="1" ht="15" customHeight="1" x14ac:dyDescent="0.25"/>
    <row r="3817" s="21" customFormat="1" ht="15" customHeight="1" x14ac:dyDescent="0.25"/>
    <row r="3818" s="21" customFormat="1" ht="15" customHeight="1" x14ac:dyDescent="0.25"/>
    <row r="3819" s="21" customFormat="1" ht="15" customHeight="1" x14ac:dyDescent="0.25"/>
    <row r="3820" s="21" customFormat="1" ht="15" customHeight="1" x14ac:dyDescent="0.25"/>
    <row r="3821" s="21" customFormat="1" ht="15" customHeight="1" x14ac:dyDescent="0.25"/>
    <row r="3822" s="21" customFormat="1" ht="15" customHeight="1" x14ac:dyDescent="0.25"/>
    <row r="3823" s="21" customFormat="1" ht="15" customHeight="1" x14ac:dyDescent="0.25"/>
    <row r="3824" s="21" customFormat="1" ht="15" customHeight="1" x14ac:dyDescent="0.25"/>
    <row r="3825" s="21" customFormat="1" ht="15" customHeight="1" x14ac:dyDescent="0.25"/>
    <row r="3826" s="21" customFormat="1" ht="15" customHeight="1" x14ac:dyDescent="0.25"/>
    <row r="3827" s="21" customFormat="1" ht="15" customHeight="1" x14ac:dyDescent="0.25"/>
    <row r="3828" s="21" customFormat="1" ht="15" customHeight="1" x14ac:dyDescent="0.25"/>
    <row r="3829" s="21" customFormat="1" ht="15" customHeight="1" x14ac:dyDescent="0.25"/>
    <row r="3830" s="21" customFormat="1" ht="15" customHeight="1" x14ac:dyDescent="0.25"/>
    <row r="3831" s="21" customFormat="1" ht="15" customHeight="1" x14ac:dyDescent="0.25"/>
    <row r="3832" s="21" customFormat="1" ht="15" customHeight="1" x14ac:dyDescent="0.25"/>
    <row r="3833" s="21" customFormat="1" ht="15" customHeight="1" x14ac:dyDescent="0.25"/>
    <row r="3834" s="21" customFormat="1" ht="15" customHeight="1" x14ac:dyDescent="0.25"/>
    <row r="3835" s="21" customFormat="1" ht="15" customHeight="1" x14ac:dyDescent="0.25"/>
    <row r="3836" s="21" customFormat="1" ht="15" customHeight="1" x14ac:dyDescent="0.25"/>
    <row r="3837" s="21" customFormat="1" ht="15" customHeight="1" x14ac:dyDescent="0.25"/>
    <row r="3838" s="21" customFormat="1" ht="15" customHeight="1" x14ac:dyDescent="0.25"/>
    <row r="3839" s="21" customFormat="1" ht="15" customHeight="1" x14ac:dyDescent="0.25"/>
    <row r="3840" s="21" customFormat="1" ht="15" customHeight="1" x14ac:dyDescent="0.25"/>
    <row r="3841" s="21" customFormat="1" ht="15" customHeight="1" x14ac:dyDescent="0.25"/>
    <row r="3842" s="21" customFormat="1" ht="15" customHeight="1" x14ac:dyDescent="0.25"/>
    <row r="3843" s="21" customFormat="1" ht="15" customHeight="1" x14ac:dyDescent="0.25"/>
    <row r="3844" s="21" customFormat="1" ht="15" customHeight="1" x14ac:dyDescent="0.25"/>
    <row r="3845" s="21" customFormat="1" ht="15" customHeight="1" x14ac:dyDescent="0.25"/>
    <row r="3846" s="21" customFormat="1" ht="15" customHeight="1" x14ac:dyDescent="0.25"/>
    <row r="3847" s="21" customFormat="1" ht="15" customHeight="1" x14ac:dyDescent="0.25"/>
    <row r="3848" s="21" customFormat="1" ht="15" customHeight="1" x14ac:dyDescent="0.25"/>
    <row r="3849" s="21" customFormat="1" ht="15" customHeight="1" x14ac:dyDescent="0.25"/>
    <row r="3850" s="21" customFormat="1" ht="15" customHeight="1" x14ac:dyDescent="0.25"/>
    <row r="3851" s="21" customFormat="1" ht="15" customHeight="1" x14ac:dyDescent="0.25"/>
    <row r="3852" s="21" customFormat="1" ht="15" customHeight="1" x14ac:dyDescent="0.25"/>
    <row r="3853" s="21" customFormat="1" ht="15" customHeight="1" x14ac:dyDescent="0.25"/>
    <row r="3854" s="21" customFormat="1" ht="15" customHeight="1" x14ac:dyDescent="0.25"/>
    <row r="3855" s="21" customFormat="1" ht="15" customHeight="1" x14ac:dyDescent="0.25"/>
    <row r="3856" s="21" customFormat="1" ht="15" customHeight="1" x14ac:dyDescent="0.25"/>
    <row r="3857" s="21" customFormat="1" ht="15" customHeight="1" x14ac:dyDescent="0.25"/>
    <row r="3858" s="21" customFormat="1" ht="15" customHeight="1" x14ac:dyDescent="0.25"/>
    <row r="3859" s="21" customFormat="1" ht="15" customHeight="1" x14ac:dyDescent="0.25"/>
    <row r="3860" s="21" customFormat="1" ht="15" customHeight="1" x14ac:dyDescent="0.25"/>
    <row r="3861" s="21" customFormat="1" ht="15" customHeight="1" x14ac:dyDescent="0.25"/>
    <row r="3862" s="21" customFormat="1" ht="15" customHeight="1" x14ac:dyDescent="0.25"/>
    <row r="3863" s="21" customFormat="1" ht="15" customHeight="1" x14ac:dyDescent="0.25"/>
    <row r="3864" s="21" customFormat="1" ht="15" customHeight="1" x14ac:dyDescent="0.25"/>
    <row r="3865" s="21" customFormat="1" ht="15" customHeight="1" x14ac:dyDescent="0.25"/>
    <row r="3866" s="21" customFormat="1" ht="15" customHeight="1" x14ac:dyDescent="0.25"/>
    <row r="3867" s="21" customFormat="1" ht="15" customHeight="1" x14ac:dyDescent="0.25"/>
    <row r="3868" s="21" customFormat="1" ht="15" customHeight="1" x14ac:dyDescent="0.25"/>
    <row r="3869" s="21" customFormat="1" ht="15" customHeight="1" x14ac:dyDescent="0.25"/>
    <row r="3870" s="21" customFormat="1" ht="15" customHeight="1" x14ac:dyDescent="0.25"/>
    <row r="3871" s="21" customFormat="1" ht="15" customHeight="1" x14ac:dyDescent="0.25"/>
    <row r="3872" s="21" customFormat="1" ht="15" customHeight="1" x14ac:dyDescent="0.25"/>
    <row r="3873" s="21" customFormat="1" ht="15" customHeight="1" x14ac:dyDescent="0.25"/>
    <row r="3874" s="21" customFormat="1" ht="15" customHeight="1" x14ac:dyDescent="0.25"/>
    <row r="3875" s="21" customFormat="1" ht="15" customHeight="1" x14ac:dyDescent="0.25"/>
    <row r="3876" s="21" customFormat="1" ht="15" customHeight="1" x14ac:dyDescent="0.25"/>
    <row r="3877" s="21" customFormat="1" ht="15" customHeight="1" x14ac:dyDescent="0.25"/>
    <row r="3878" s="21" customFormat="1" ht="15" customHeight="1" x14ac:dyDescent="0.25"/>
    <row r="3879" s="21" customFormat="1" ht="15" customHeight="1" x14ac:dyDescent="0.25"/>
    <row r="3880" s="21" customFormat="1" ht="15" customHeight="1" x14ac:dyDescent="0.25"/>
    <row r="3881" s="21" customFormat="1" ht="15" customHeight="1" x14ac:dyDescent="0.25"/>
    <row r="3882" s="21" customFormat="1" ht="15" customHeight="1" x14ac:dyDescent="0.25"/>
    <row r="3883" s="21" customFormat="1" ht="15" customHeight="1" x14ac:dyDescent="0.25"/>
    <row r="3884" s="21" customFormat="1" ht="15" customHeight="1" x14ac:dyDescent="0.25"/>
    <row r="3885" s="21" customFormat="1" ht="15" customHeight="1" x14ac:dyDescent="0.25"/>
    <row r="3886" s="21" customFormat="1" ht="15" customHeight="1" x14ac:dyDescent="0.25"/>
    <row r="3887" s="21" customFormat="1" ht="15" customHeight="1" x14ac:dyDescent="0.25"/>
    <row r="3888" s="21" customFormat="1" ht="15" customHeight="1" x14ac:dyDescent="0.25"/>
    <row r="3889" s="21" customFormat="1" ht="15" customHeight="1" x14ac:dyDescent="0.25"/>
    <row r="3890" s="21" customFormat="1" ht="15" customHeight="1" x14ac:dyDescent="0.25"/>
    <row r="3891" s="21" customFormat="1" ht="15" customHeight="1" x14ac:dyDescent="0.25"/>
    <row r="3892" s="21" customFormat="1" ht="15" customHeight="1" x14ac:dyDescent="0.25"/>
    <row r="3893" s="21" customFormat="1" ht="15" customHeight="1" x14ac:dyDescent="0.25"/>
    <row r="3894" s="21" customFormat="1" ht="15" customHeight="1" x14ac:dyDescent="0.25"/>
    <row r="3895" s="21" customFormat="1" ht="15" customHeight="1" x14ac:dyDescent="0.25"/>
    <row r="3896" s="21" customFormat="1" ht="15" customHeight="1" x14ac:dyDescent="0.25"/>
    <row r="3897" s="21" customFormat="1" ht="15" customHeight="1" x14ac:dyDescent="0.25"/>
    <row r="3898" s="21" customFormat="1" ht="15" customHeight="1" x14ac:dyDescent="0.25"/>
    <row r="3899" s="21" customFormat="1" ht="15" customHeight="1" x14ac:dyDescent="0.25"/>
    <row r="3900" s="21" customFormat="1" ht="15" customHeight="1" x14ac:dyDescent="0.25"/>
    <row r="3901" s="21" customFormat="1" ht="15" customHeight="1" x14ac:dyDescent="0.25"/>
    <row r="3902" s="21" customFormat="1" ht="15" customHeight="1" x14ac:dyDescent="0.25"/>
    <row r="3903" s="21" customFormat="1" ht="15" customHeight="1" x14ac:dyDescent="0.25"/>
    <row r="3904" s="21" customFormat="1" ht="15" customHeight="1" x14ac:dyDescent="0.25"/>
    <row r="3905" s="21" customFormat="1" ht="15" customHeight="1" x14ac:dyDescent="0.25"/>
    <row r="3906" s="21" customFormat="1" ht="15" customHeight="1" x14ac:dyDescent="0.25"/>
    <row r="3907" s="21" customFormat="1" ht="15" customHeight="1" x14ac:dyDescent="0.25"/>
    <row r="3908" s="21" customFormat="1" ht="15" customHeight="1" x14ac:dyDescent="0.25"/>
    <row r="3909" s="21" customFormat="1" ht="15" customHeight="1" x14ac:dyDescent="0.25"/>
    <row r="3910" s="21" customFormat="1" ht="15" customHeight="1" x14ac:dyDescent="0.25"/>
    <row r="3911" s="21" customFormat="1" ht="15" customHeight="1" x14ac:dyDescent="0.25"/>
    <row r="3912" s="21" customFormat="1" ht="15" customHeight="1" x14ac:dyDescent="0.25"/>
    <row r="3913" s="21" customFormat="1" ht="15" customHeight="1" x14ac:dyDescent="0.25"/>
    <row r="3914" s="21" customFormat="1" ht="15" customHeight="1" x14ac:dyDescent="0.25"/>
    <row r="3915" s="21" customFormat="1" ht="15" customHeight="1" x14ac:dyDescent="0.25"/>
    <row r="3916" s="21" customFormat="1" ht="15" customHeight="1" x14ac:dyDescent="0.25"/>
    <row r="3917" s="21" customFormat="1" ht="15" customHeight="1" x14ac:dyDescent="0.25"/>
    <row r="3918" s="21" customFormat="1" ht="15" customHeight="1" x14ac:dyDescent="0.25"/>
    <row r="3919" s="21" customFormat="1" ht="15" customHeight="1" x14ac:dyDescent="0.25"/>
    <row r="3920" s="21" customFormat="1" ht="15" customHeight="1" x14ac:dyDescent="0.25"/>
    <row r="3921" s="21" customFormat="1" ht="15" customHeight="1" x14ac:dyDescent="0.25"/>
    <row r="3922" s="21" customFormat="1" ht="15" customHeight="1" x14ac:dyDescent="0.25"/>
    <row r="3923" s="21" customFormat="1" ht="15" customHeight="1" x14ac:dyDescent="0.25"/>
    <row r="3924" s="21" customFormat="1" ht="15" customHeight="1" x14ac:dyDescent="0.25"/>
    <row r="3925" s="21" customFormat="1" ht="15" customHeight="1" x14ac:dyDescent="0.25"/>
    <row r="3926" s="21" customFormat="1" ht="15" customHeight="1" x14ac:dyDescent="0.25"/>
    <row r="3927" s="21" customFormat="1" ht="15" customHeight="1" x14ac:dyDescent="0.25"/>
    <row r="3928" s="21" customFormat="1" ht="15" customHeight="1" x14ac:dyDescent="0.25"/>
    <row r="3929" s="21" customFormat="1" ht="15" customHeight="1" x14ac:dyDescent="0.25"/>
    <row r="3930" s="21" customFormat="1" ht="15" customHeight="1" x14ac:dyDescent="0.25"/>
    <row r="3931" s="21" customFormat="1" ht="15" customHeight="1" x14ac:dyDescent="0.25"/>
    <row r="3932" s="21" customFormat="1" ht="15" customHeight="1" x14ac:dyDescent="0.25"/>
    <row r="3933" s="21" customFormat="1" ht="15" customHeight="1" x14ac:dyDescent="0.25"/>
    <row r="3934" s="21" customFormat="1" ht="15" customHeight="1" x14ac:dyDescent="0.25"/>
    <row r="3935" s="21" customFormat="1" ht="15" customHeight="1" x14ac:dyDescent="0.25"/>
    <row r="3936" s="21" customFormat="1" ht="15" customHeight="1" x14ac:dyDescent="0.25"/>
    <row r="3937" s="21" customFormat="1" ht="15" customHeight="1" x14ac:dyDescent="0.25"/>
    <row r="3938" s="21" customFormat="1" ht="15" customHeight="1" x14ac:dyDescent="0.25"/>
    <row r="3939" s="21" customFormat="1" ht="15" customHeight="1" x14ac:dyDescent="0.25"/>
    <row r="3940" s="21" customFormat="1" ht="15" customHeight="1" x14ac:dyDescent="0.25"/>
    <row r="3941" s="21" customFormat="1" ht="15" customHeight="1" x14ac:dyDescent="0.25"/>
    <row r="3942" s="21" customFormat="1" ht="15" customHeight="1" x14ac:dyDescent="0.25"/>
    <row r="3943" s="21" customFormat="1" ht="15" customHeight="1" x14ac:dyDescent="0.25"/>
    <row r="3944" s="21" customFormat="1" ht="15" customHeight="1" x14ac:dyDescent="0.25"/>
    <row r="3945" s="21" customFormat="1" ht="15" customHeight="1" x14ac:dyDescent="0.25"/>
    <row r="3946" s="21" customFormat="1" ht="15" customHeight="1" x14ac:dyDescent="0.25"/>
    <row r="3947" s="21" customFormat="1" ht="15" customHeight="1" x14ac:dyDescent="0.25"/>
    <row r="3948" s="21" customFormat="1" ht="15" customHeight="1" x14ac:dyDescent="0.25"/>
    <row r="3949" s="21" customFormat="1" ht="15" customHeight="1" x14ac:dyDescent="0.25"/>
    <row r="3950" s="21" customFormat="1" ht="15" customHeight="1" x14ac:dyDescent="0.25"/>
    <row r="3951" s="21" customFormat="1" ht="15" customHeight="1" x14ac:dyDescent="0.25"/>
    <row r="3952" s="21" customFormat="1" ht="15" customHeight="1" x14ac:dyDescent="0.25"/>
    <row r="3953" s="21" customFormat="1" ht="15" customHeight="1" x14ac:dyDescent="0.25"/>
    <row r="3954" s="21" customFormat="1" ht="15" customHeight="1" x14ac:dyDescent="0.25"/>
    <row r="3955" s="21" customFormat="1" ht="15" customHeight="1" x14ac:dyDescent="0.25"/>
    <row r="3956" s="21" customFormat="1" ht="15" customHeight="1" x14ac:dyDescent="0.25"/>
    <row r="3957" s="21" customFormat="1" ht="15" customHeight="1" x14ac:dyDescent="0.25"/>
    <row r="3958" s="21" customFormat="1" ht="15" customHeight="1" x14ac:dyDescent="0.25"/>
    <row r="3959" s="21" customFormat="1" ht="15" customHeight="1" x14ac:dyDescent="0.25"/>
    <row r="3960" s="21" customFormat="1" ht="15" customHeight="1" x14ac:dyDescent="0.25"/>
    <row r="3961" s="21" customFormat="1" ht="15" customHeight="1" x14ac:dyDescent="0.25"/>
    <row r="3962" s="21" customFormat="1" ht="15" customHeight="1" x14ac:dyDescent="0.25"/>
    <row r="3963" s="21" customFormat="1" ht="15" customHeight="1" x14ac:dyDescent="0.25"/>
    <row r="3964" s="21" customFormat="1" ht="15" customHeight="1" x14ac:dyDescent="0.25"/>
    <row r="3965" s="21" customFormat="1" ht="15" customHeight="1" x14ac:dyDescent="0.25"/>
    <row r="3966" s="21" customFormat="1" ht="15" customHeight="1" x14ac:dyDescent="0.25"/>
    <row r="3967" s="21" customFormat="1" ht="15" customHeight="1" x14ac:dyDescent="0.25"/>
    <row r="3968" s="21" customFormat="1" ht="15" customHeight="1" x14ac:dyDescent="0.25"/>
    <row r="3969" s="21" customFormat="1" ht="15" customHeight="1" x14ac:dyDescent="0.25"/>
    <row r="3970" s="21" customFormat="1" ht="15" customHeight="1" x14ac:dyDescent="0.25"/>
    <row r="3971" s="21" customFormat="1" ht="15" customHeight="1" x14ac:dyDescent="0.25"/>
    <row r="3972" s="21" customFormat="1" ht="15" customHeight="1" x14ac:dyDescent="0.25"/>
    <row r="3973" s="21" customFormat="1" ht="15" customHeight="1" x14ac:dyDescent="0.25"/>
    <row r="3974" s="21" customFormat="1" ht="15" customHeight="1" x14ac:dyDescent="0.25"/>
    <row r="3975" s="21" customFormat="1" ht="15" customHeight="1" x14ac:dyDescent="0.25"/>
    <row r="3976" s="21" customFormat="1" ht="15" customHeight="1" x14ac:dyDescent="0.25"/>
    <row r="3977" s="21" customFormat="1" ht="15" customHeight="1" x14ac:dyDescent="0.25"/>
    <row r="3978" s="21" customFormat="1" ht="15" customHeight="1" x14ac:dyDescent="0.25"/>
    <row r="3979" s="21" customFormat="1" ht="15" customHeight="1" x14ac:dyDescent="0.25"/>
    <row r="3980" s="21" customFormat="1" ht="15" customHeight="1" x14ac:dyDescent="0.25"/>
    <row r="3981" s="21" customFormat="1" ht="15" customHeight="1" x14ac:dyDescent="0.25"/>
    <row r="3982" s="21" customFormat="1" ht="15" customHeight="1" x14ac:dyDescent="0.25"/>
    <row r="3983" s="21" customFormat="1" ht="15" customHeight="1" x14ac:dyDescent="0.25"/>
    <row r="3984" s="21" customFormat="1" ht="15" customHeight="1" x14ac:dyDescent="0.25"/>
    <row r="3985" s="21" customFormat="1" ht="15" customHeight="1" x14ac:dyDescent="0.25"/>
    <row r="3986" s="21" customFormat="1" ht="15" customHeight="1" x14ac:dyDescent="0.25"/>
    <row r="3987" s="21" customFormat="1" ht="15" customHeight="1" x14ac:dyDescent="0.25"/>
    <row r="3988" s="21" customFormat="1" ht="15" customHeight="1" x14ac:dyDescent="0.25"/>
    <row r="3989" s="21" customFormat="1" ht="15" customHeight="1" x14ac:dyDescent="0.25"/>
    <row r="3990" s="21" customFormat="1" ht="15" customHeight="1" x14ac:dyDescent="0.25"/>
    <row r="3991" s="21" customFormat="1" ht="15" customHeight="1" x14ac:dyDescent="0.25"/>
    <row r="3992" s="21" customFormat="1" ht="15" customHeight="1" x14ac:dyDescent="0.25"/>
    <row r="3993" s="21" customFormat="1" ht="15" customHeight="1" x14ac:dyDescent="0.25"/>
  </sheetData>
  <sheetProtection sort="0" autoFilter="0"/>
  <mergeCells count="6">
    <mergeCell ref="N1:Q3"/>
    <mergeCell ref="R1:W3"/>
    <mergeCell ref="X1:AS3"/>
    <mergeCell ref="AT1:BJ3"/>
    <mergeCell ref="B1:F3"/>
    <mergeCell ref="G1:M3"/>
  </mergeCells>
  <phoneticPr fontId="1" type="noConversion"/>
  <conditionalFormatting sqref="F6:F705">
    <cfRule type="duplicateValues" dxfId="44" priority="21"/>
  </conditionalFormatting>
  <dataValidations count="5">
    <dataValidation type="list" allowBlank="1" showInputMessage="1" showErrorMessage="1" sqref="C6:C705" xr:uid="{697E77DF-9200-4877-9E47-12318941193E}">
      <formula1>INDIRECT("tbl_Ben_Info[Ben Code]")</formula1>
    </dataValidation>
    <dataValidation type="date" operator="greaterThan" allowBlank="1" showInputMessage="1" showErrorMessage="1" errorTitle="خطأ في إدخال التاريخ" error="من فضلك أدخل التاريخ بالشكل الصحيح ، mm/dd/yyyy" sqref="AU6:AU705" xr:uid="{7A629F6F-469B-4B41-917E-2A7043D893AF}">
      <formula1>45658</formula1>
    </dataValidation>
    <dataValidation type="date" operator="greaterThan" allowBlank="1" showInputMessage="1" showErrorMessage="1" errorTitle="خطأ في إدخال التاريخ" error="من فضلك أدخل التاريخ بالشكل الصحيح ، mm/dd/yyyy" sqref="BB6:BB705 BJ6:BJ705 BF6:BF705" xr:uid="{E779CC2A-FC30-4504-A2BF-B788586E12C2}">
      <formula1>45962</formula1>
    </dataValidation>
    <dataValidation type="list" allowBlank="1" showInputMessage="1" showErrorMessage="1" sqref="AT6:AT705" xr:uid="{348E102A-CCAD-4656-8BCB-D1C891BB9AFA}">
      <formula1>INDIRECT("tbl_Damage[Damage]")</formula1>
    </dataValidation>
    <dataValidation type="list" allowBlank="1" showInputMessage="1" showErrorMessage="1" sqref="AZ6:AZ705 BD6:BD705 BH6:BH705" xr:uid="{4AA272D5-4F38-4C38-9FEC-72F60B7678E2}">
      <formula1>INDIRECT("tbl_Assessment_Status[Assessment_Status]")</formula1>
    </dataValidation>
  </dataValidations>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5" operator="equal" id="{EE7FA19D-3416-4BA2-8A39-2226610B5F87}">
            <xm:f>List!$H$9</xm:f>
            <x14:dxf>
              <font>
                <color theme="0"/>
              </font>
              <fill>
                <patternFill>
                  <bgColor rgb="FF000000"/>
                </patternFill>
              </fill>
            </x14:dxf>
          </x14:cfRule>
          <x14:cfRule type="cellIs" priority="16" operator="equal" id="{45326A90-AA04-4474-9ECF-90352292DB29}">
            <xm:f>List!$H$8</xm:f>
            <x14:dxf>
              <fill>
                <patternFill>
                  <bgColor rgb="FFC00000"/>
                </patternFill>
              </fill>
            </x14:dxf>
          </x14:cfRule>
          <x14:cfRule type="cellIs" priority="17" operator="equal" id="{D5687730-9DDE-4BBF-9941-55F64238BB94}">
            <xm:f>List!$H$7</xm:f>
            <x14:dxf>
              <fill>
                <patternFill>
                  <bgColor rgb="FFED7D31"/>
                </patternFill>
              </fill>
            </x14:dxf>
          </x14:cfRule>
          <x14:cfRule type="cellIs" priority="18" operator="equal" id="{337A1F79-800A-444B-AF03-07D643EC05F5}">
            <xm:f>List!$H$6</xm:f>
            <x14:dxf>
              <fill>
                <patternFill>
                  <bgColor rgb="FFFFC000"/>
                </patternFill>
              </fill>
            </x14:dxf>
          </x14:cfRule>
          <x14:cfRule type="containsText" priority="19" operator="containsText" id="{1259A392-0656-4293-AF38-EA20C05E883F}">
            <xm:f>NOT(ISERROR(SEARCH(List!$H$5,AT6)))</xm:f>
            <xm:f>List!$H$5</xm:f>
            <x14:dxf>
              <fill>
                <patternFill>
                  <bgColor rgb="FF92D050"/>
                </patternFill>
              </fill>
            </x14:dxf>
          </x14:cfRule>
          <x14:cfRule type="cellIs" priority="20" operator="equal" id="{C1B09578-A663-4937-94C9-9CC8E9579B12}">
            <xm:f>List!$H$4</xm:f>
            <x14:dxf>
              <fill>
                <patternFill>
                  <bgColor rgb="FF00B050"/>
                </patternFill>
              </fill>
            </x14:dxf>
          </x14:cfRule>
          <xm:sqref>AT6:AT705</xm:sqref>
        </x14:conditionalFormatting>
        <x14:conditionalFormatting xmlns:xm="http://schemas.microsoft.com/office/excel/2006/main">
          <x14:cfRule type="cellIs" priority="12" operator="equal" id="{0616106A-638B-4F8C-853F-BA70D3822C97}">
            <xm:f>List!$H$16</xm:f>
            <x14:dxf>
              <fill>
                <patternFill>
                  <bgColor rgb="FFFA8697"/>
                </patternFill>
              </fill>
            </x14:dxf>
          </x14:cfRule>
          <x14:cfRule type="cellIs" priority="13" operator="equal" id="{7A966A25-A6D4-43EF-A60A-484D7A75B488}">
            <xm:f>List!$H$15</xm:f>
            <x14:dxf>
              <fill>
                <patternFill>
                  <bgColor rgb="FFFFD966"/>
                </patternFill>
              </fill>
            </x14:dxf>
          </x14:cfRule>
          <x14:cfRule type="cellIs" priority="14" operator="equal" id="{1758A0EF-8F20-482D-8A2C-CB4C0F09A107}">
            <xm:f>List!$H$14</xm:f>
            <x14:dxf>
              <fill>
                <patternFill>
                  <bgColor rgb="FF00B050"/>
                </patternFill>
              </fill>
            </x14:dxf>
          </x14:cfRule>
          <xm:sqref>AZ6:AZ705</xm:sqref>
        </x14:conditionalFormatting>
        <x14:conditionalFormatting xmlns:xm="http://schemas.microsoft.com/office/excel/2006/main">
          <x14:cfRule type="cellIs" priority="9" operator="equal" id="{C7701330-09D8-4437-95D1-8192067A76FC}">
            <xm:f>List!$H$16</xm:f>
            <x14:dxf>
              <fill>
                <patternFill>
                  <bgColor rgb="FFFA8697"/>
                </patternFill>
              </fill>
            </x14:dxf>
          </x14:cfRule>
          <x14:cfRule type="cellIs" priority="10" operator="equal" id="{D0D9653E-4467-41DC-AC0F-4B74B333B850}">
            <xm:f>List!$H$15</xm:f>
            <x14:dxf>
              <fill>
                <patternFill>
                  <bgColor rgb="FFFFD966"/>
                </patternFill>
              </fill>
            </x14:dxf>
          </x14:cfRule>
          <x14:cfRule type="cellIs" priority="11" operator="equal" id="{54291F74-DA4C-4366-B15E-F17B8E9EF33B}">
            <xm:f>List!$H$14</xm:f>
            <x14:dxf>
              <fill>
                <patternFill>
                  <bgColor rgb="FF00B050"/>
                </patternFill>
              </fill>
            </x14:dxf>
          </x14:cfRule>
          <xm:sqref>BD6:BD705</xm:sqref>
        </x14:conditionalFormatting>
        <x14:conditionalFormatting xmlns:xm="http://schemas.microsoft.com/office/excel/2006/main">
          <x14:cfRule type="cellIs" priority="6" operator="equal" id="{CA3A104E-D2DC-405D-9646-CD1521A2AF02}">
            <xm:f>List!$H$16</xm:f>
            <x14:dxf>
              <fill>
                <patternFill>
                  <bgColor rgb="FFFA8697"/>
                </patternFill>
              </fill>
            </x14:dxf>
          </x14:cfRule>
          <x14:cfRule type="cellIs" priority="7" operator="equal" id="{7F22109B-4F29-4E71-AC1D-9AF34ED01B87}">
            <xm:f>List!$H$15</xm:f>
            <x14:dxf>
              <fill>
                <patternFill>
                  <bgColor rgb="FFFFD966"/>
                </patternFill>
              </fill>
            </x14:dxf>
          </x14:cfRule>
          <x14:cfRule type="cellIs" priority="8" operator="equal" id="{AE07D95C-2938-4D95-989D-6D03BE7123E5}">
            <xm:f>List!$H$14</xm:f>
            <x14:dxf>
              <fill>
                <patternFill>
                  <bgColor rgb="FF00B050"/>
                </patternFill>
              </fill>
            </x14:dxf>
          </x14:cfRule>
          <xm:sqref>BH6:BH705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DAD6-7F86-4E1C-B6C8-53938A37264A}">
  <sheetPr>
    <tabColor rgb="FF0070C0"/>
  </sheetPr>
  <dimension ref="B1:AW3993"/>
  <sheetViews>
    <sheetView showGridLines="0" zoomScale="70" zoomScaleNormal="70" workbookViewId="0">
      <pane xSplit="7" ySplit="5" topLeftCell="H6" activePane="bottomRight" state="frozen"/>
      <selection pane="topRight" activeCell="H1" sqref="H1"/>
      <selection pane="bottomLeft" activeCell="A6" sqref="A6"/>
      <selection pane="bottomRight" activeCell="B1" sqref="B1:P3"/>
    </sheetView>
  </sheetViews>
  <sheetFormatPr defaultColWidth="8.7109375" defaultRowHeight="15" customHeight="1" x14ac:dyDescent="0.25"/>
  <cols>
    <col min="1" max="1" width="4.42578125" style="21" customWidth="1"/>
    <col min="2" max="2" width="11.42578125" style="27" bestFit="1" customWidth="1"/>
    <col min="3" max="3" width="17.5703125" style="27" customWidth="1"/>
    <col min="4" max="4" width="18" style="27" bestFit="1" customWidth="1"/>
    <col min="5" max="5" width="20.140625" style="38" bestFit="1" customWidth="1"/>
    <col min="6" max="6" width="19" style="38" customWidth="1"/>
    <col min="7" max="7" width="20.85546875" style="38" bestFit="1" customWidth="1"/>
    <col min="8" max="8" width="14" style="39" customWidth="1"/>
    <col min="9" max="9" width="16" style="39" bestFit="1" customWidth="1"/>
    <col min="10" max="10" width="15.5703125" style="39" customWidth="1"/>
    <col min="11" max="11" width="16.5703125" style="39" bestFit="1" customWidth="1"/>
    <col min="12" max="12" width="14.5703125" style="39" bestFit="1" customWidth="1"/>
    <col min="13" max="13" width="15.5703125" style="39" bestFit="1" customWidth="1"/>
    <col min="14" max="14" width="20" style="39" bestFit="1" customWidth="1"/>
    <col min="15" max="15" width="16.7109375" style="39" bestFit="1" customWidth="1"/>
    <col min="16" max="16" width="21.42578125" style="27" bestFit="1" customWidth="1"/>
    <col min="17" max="17" width="14.28515625" style="27" customWidth="1"/>
    <col min="18" max="18" width="23.28515625" style="27" customWidth="1"/>
    <col min="19" max="19" width="20.5703125" style="21" customWidth="1"/>
    <col min="20" max="20" width="30.28515625" style="21" customWidth="1"/>
    <col min="21" max="21" width="14.5703125" style="21" bestFit="1" customWidth="1"/>
    <col min="22" max="25" width="14.140625" style="21" bestFit="1" customWidth="1"/>
    <col min="26" max="27" width="14.28515625" style="21" bestFit="1" customWidth="1"/>
    <col min="28" max="29" width="14.140625" style="21" bestFit="1" customWidth="1"/>
    <col min="30" max="30" width="14.28515625" style="21" customWidth="1"/>
    <col min="31" max="31" width="14.5703125" style="21" bestFit="1" customWidth="1"/>
    <col min="32" max="33" width="13.7109375" style="21" bestFit="1" customWidth="1"/>
    <col min="34" max="34" width="18" style="21" customWidth="1"/>
    <col min="35" max="48" width="15.140625" style="21" customWidth="1"/>
    <col min="49" max="49" width="18.28515625" style="21" customWidth="1"/>
    <col min="50" max="16384" width="8.7109375" style="21"/>
  </cols>
  <sheetData>
    <row r="1" spans="2:49" ht="21.95" customHeight="1" x14ac:dyDescent="0.25">
      <c r="B1" s="186" t="s">
        <v>95</v>
      </c>
      <c r="C1" s="187"/>
      <c r="D1" s="188"/>
      <c r="E1" s="188"/>
      <c r="F1" s="188"/>
      <c r="G1" s="188"/>
      <c r="H1" s="188"/>
      <c r="I1" s="188"/>
      <c r="J1" s="188"/>
      <c r="K1" s="188"/>
      <c r="L1" s="188"/>
      <c r="M1" s="188"/>
      <c r="N1" s="188"/>
      <c r="O1" s="188"/>
      <c r="P1" s="189"/>
      <c r="Q1" s="158" t="s">
        <v>96</v>
      </c>
      <c r="R1" s="158"/>
      <c r="S1" s="158"/>
      <c r="T1" s="158"/>
      <c r="U1" s="158"/>
      <c r="V1" s="159"/>
      <c r="W1" s="196" t="s">
        <v>97</v>
      </c>
      <c r="X1" s="197"/>
      <c r="Y1" s="197"/>
      <c r="Z1" s="197"/>
      <c r="AA1" s="197"/>
      <c r="AB1" s="197"/>
      <c r="AC1" s="197"/>
      <c r="AD1" s="197"/>
      <c r="AE1" s="197"/>
      <c r="AF1" s="197"/>
      <c r="AG1" s="198"/>
      <c r="AH1" s="205" t="s">
        <v>98</v>
      </c>
      <c r="AI1" s="206"/>
      <c r="AJ1" s="206"/>
      <c r="AK1" s="206"/>
      <c r="AL1" s="206"/>
      <c r="AM1" s="206"/>
      <c r="AN1" s="206"/>
      <c r="AO1" s="206"/>
      <c r="AP1" s="206"/>
      <c r="AQ1" s="206"/>
      <c r="AR1" s="206"/>
      <c r="AS1" s="206"/>
      <c r="AT1" s="206"/>
      <c r="AU1" s="206"/>
      <c r="AV1" s="207"/>
      <c r="AW1" s="214"/>
    </row>
    <row r="2" spans="2:49" ht="21.95" customHeight="1" x14ac:dyDescent="0.25">
      <c r="B2" s="190"/>
      <c r="C2" s="191"/>
      <c r="D2" s="191"/>
      <c r="E2" s="191"/>
      <c r="F2" s="191"/>
      <c r="G2" s="191"/>
      <c r="H2" s="191"/>
      <c r="I2" s="191"/>
      <c r="J2" s="191"/>
      <c r="K2" s="191"/>
      <c r="L2" s="191"/>
      <c r="M2" s="191"/>
      <c r="N2" s="191"/>
      <c r="O2" s="191"/>
      <c r="P2" s="192"/>
      <c r="Q2" s="161"/>
      <c r="R2" s="161"/>
      <c r="S2" s="161"/>
      <c r="T2" s="161"/>
      <c r="U2" s="161"/>
      <c r="V2" s="162"/>
      <c r="W2" s="199"/>
      <c r="X2" s="200"/>
      <c r="Y2" s="200"/>
      <c r="Z2" s="200"/>
      <c r="AA2" s="200"/>
      <c r="AB2" s="200"/>
      <c r="AC2" s="200"/>
      <c r="AD2" s="200"/>
      <c r="AE2" s="200"/>
      <c r="AF2" s="200"/>
      <c r="AG2" s="201"/>
      <c r="AH2" s="208"/>
      <c r="AI2" s="209"/>
      <c r="AJ2" s="209"/>
      <c r="AK2" s="209"/>
      <c r="AL2" s="209"/>
      <c r="AM2" s="209"/>
      <c r="AN2" s="209"/>
      <c r="AO2" s="209"/>
      <c r="AP2" s="209"/>
      <c r="AQ2" s="209"/>
      <c r="AR2" s="209"/>
      <c r="AS2" s="209"/>
      <c r="AT2" s="209"/>
      <c r="AU2" s="209"/>
      <c r="AV2" s="210"/>
      <c r="AW2" s="214"/>
    </row>
    <row r="3" spans="2:49" ht="21.95" customHeight="1" thickBot="1" x14ac:dyDescent="0.3">
      <c r="B3" s="193"/>
      <c r="C3" s="194"/>
      <c r="D3" s="194"/>
      <c r="E3" s="194"/>
      <c r="F3" s="194"/>
      <c r="G3" s="194"/>
      <c r="H3" s="194"/>
      <c r="I3" s="194"/>
      <c r="J3" s="194"/>
      <c r="K3" s="194"/>
      <c r="L3" s="194"/>
      <c r="M3" s="194"/>
      <c r="N3" s="194"/>
      <c r="O3" s="194"/>
      <c r="P3" s="195"/>
      <c r="Q3" s="164"/>
      <c r="R3" s="164"/>
      <c r="S3" s="164"/>
      <c r="T3" s="164"/>
      <c r="U3" s="164"/>
      <c r="V3" s="165"/>
      <c r="W3" s="202"/>
      <c r="X3" s="203"/>
      <c r="Y3" s="203"/>
      <c r="Z3" s="203"/>
      <c r="AA3" s="203"/>
      <c r="AB3" s="203"/>
      <c r="AC3" s="203"/>
      <c r="AD3" s="203"/>
      <c r="AE3" s="203"/>
      <c r="AF3" s="203"/>
      <c r="AG3" s="204"/>
      <c r="AH3" s="211"/>
      <c r="AI3" s="212"/>
      <c r="AJ3" s="212"/>
      <c r="AK3" s="212"/>
      <c r="AL3" s="212"/>
      <c r="AM3" s="212"/>
      <c r="AN3" s="212"/>
      <c r="AO3" s="212"/>
      <c r="AP3" s="212"/>
      <c r="AQ3" s="212"/>
      <c r="AR3" s="212"/>
      <c r="AS3" s="212"/>
      <c r="AT3" s="212"/>
      <c r="AU3" s="212"/>
      <c r="AV3" s="213"/>
      <c r="AW3" s="215"/>
    </row>
    <row r="4" spans="2:49" s="27" customFormat="1" ht="32.25" customHeight="1" x14ac:dyDescent="0.25">
      <c r="B4" s="64" t="s">
        <v>99</v>
      </c>
      <c r="C4" s="57" t="s">
        <v>100</v>
      </c>
      <c r="D4" s="20" t="s">
        <v>101</v>
      </c>
      <c r="E4" s="20" t="s">
        <v>102</v>
      </c>
      <c r="F4" s="20" t="s">
        <v>103</v>
      </c>
      <c r="G4" s="20" t="s">
        <v>104</v>
      </c>
      <c r="H4" s="20" t="s">
        <v>105</v>
      </c>
      <c r="I4" s="20" t="s">
        <v>106</v>
      </c>
      <c r="J4" s="20" t="s">
        <v>107</v>
      </c>
      <c r="K4" s="20" t="s">
        <v>108</v>
      </c>
      <c r="L4" s="20" t="s">
        <v>109</v>
      </c>
      <c r="M4" s="20" t="s">
        <v>110</v>
      </c>
      <c r="N4" s="20" t="s">
        <v>111</v>
      </c>
      <c r="O4" s="20" t="s">
        <v>112</v>
      </c>
      <c r="P4" s="99" t="s">
        <v>113</v>
      </c>
      <c r="Q4" s="44" t="s">
        <v>114</v>
      </c>
      <c r="R4" s="45" t="s">
        <v>115</v>
      </c>
      <c r="S4" s="45" t="s">
        <v>116</v>
      </c>
      <c r="T4" s="45" t="s">
        <v>117</v>
      </c>
      <c r="U4" s="45" t="s">
        <v>118</v>
      </c>
      <c r="V4" s="46" t="s">
        <v>119</v>
      </c>
      <c r="W4" s="44" t="s">
        <v>120</v>
      </c>
      <c r="X4" s="45" t="s">
        <v>121</v>
      </c>
      <c r="Y4" s="45" t="s">
        <v>122</v>
      </c>
      <c r="Z4" s="45" t="s">
        <v>123</v>
      </c>
      <c r="AA4" s="45" t="s">
        <v>124</v>
      </c>
      <c r="AB4" s="45" t="s">
        <v>125</v>
      </c>
      <c r="AC4" s="45" t="s">
        <v>126</v>
      </c>
      <c r="AD4" s="45" t="s">
        <v>127</v>
      </c>
      <c r="AE4" s="45" t="s">
        <v>128</v>
      </c>
      <c r="AF4" s="45" t="s">
        <v>129</v>
      </c>
      <c r="AG4" s="46" t="s">
        <v>130</v>
      </c>
      <c r="AH4" s="61" t="s">
        <v>131</v>
      </c>
      <c r="AI4" s="62" t="s">
        <v>132</v>
      </c>
      <c r="AJ4" s="62" t="s">
        <v>133</v>
      </c>
      <c r="AK4" s="62" t="s">
        <v>134</v>
      </c>
      <c r="AL4" s="62" t="s">
        <v>135</v>
      </c>
      <c r="AM4" s="62" t="s">
        <v>136</v>
      </c>
      <c r="AN4" s="62" t="s">
        <v>137</v>
      </c>
      <c r="AO4" s="62" t="s">
        <v>138</v>
      </c>
      <c r="AP4" s="62" t="s">
        <v>139</v>
      </c>
      <c r="AQ4" s="62" t="s">
        <v>140</v>
      </c>
      <c r="AR4" s="62" t="s">
        <v>141</v>
      </c>
      <c r="AS4" s="62" t="s">
        <v>142</v>
      </c>
      <c r="AT4" s="62" t="s">
        <v>143</v>
      </c>
      <c r="AU4" s="62" t="s">
        <v>144</v>
      </c>
      <c r="AV4" s="63" t="s">
        <v>145</v>
      </c>
      <c r="AW4" s="62" t="s">
        <v>146</v>
      </c>
    </row>
    <row r="5" spans="2:49" s="39" customFormat="1" ht="32.25" customHeight="1" x14ac:dyDescent="0.25">
      <c r="B5" s="47" t="s">
        <v>147</v>
      </c>
      <c r="C5" s="18" t="s">
        <v>148</v>
      </c>
      <c r="D5" s="18" t="s">
        <v>149</v>
      </c>
      <c r="E5" s="18" t="s">
        <v>150</v>
      </c>
      <c r="F5" s="18" t="s">
        <v>151</v>
      </c>
      <c r="G5" s="18" t="s">
        <v>152</v>
      </c>
      <c r="H5" s="18" t="s">
        <v>153</v>
      </c>
      <c r="I5" s="18" t="s">
        <v>154</v>
      </c>
      <c r="J5" s="18" t="s">
        <v>155</v>
      </c>
      <c r="K5" s="18" t="s">
        <v>156</v>
      </c>
      <c r="L5" s="18" t="s">
        <v>157</v>
      </c>
      <c r="M5" s="18" t="s">
        <v>158</v>
      </c>
      <c r="N5" s="18" t="s">
        <v>159</v>
      </c>
      <c r="O5" s="18" t="s">
        <v>160</v>
      </c>
      <c r="P5" s="48" t="s">
        <v>161</v>
      </c>
      <c r="Q5" s="47" t="s">
        <v>162</v>
      </c>
      <c r="R5" s="18" t="s">
        <v>163</v>
      </c>
      <c r="S5" s="18" t="s">
        <v>164</v>
      </c>
      <c r="T5" s="18" t="s">
        <v>165</v>
      </c>
      <c r="U5" s="18" t="s">
        <v>166</v>
      </c>
      <c r="V5" s="48" t="s">
        <v>167</v>
      </c>
      <c r="W5" s="47" t="s">
        <v>168</v>
      </c>
      <c r="X5" s="18" t="s">
        <v>169</v>
      </c>
      <c r="Y5" s="18" t="s">
        <v>170</v>
      </c>
      <c r="Z5" s="18" t="s">
        <v>171</v>
      </c>
      <c r="AA5" s="18" t="s">
        <v>172</v>
      </c>
      <c r="AB5" s="18" t="s">
        <v>173</v>
      </c>
      <c r="AC5" s="18" t="s">
        <v>174</v>
      </c>
      <c r="AD5" s="18" t="s">
        <v>175</v>
      </c>
      <c r="AE5" s="18" t="s">
        <v>176</v>
      </c>
      <c r="AF5" s="18" t="s">
        <v>177</v>
      </c>
      <c r="AG5" s="48" t="s">
        <v>178</v>
      </c>
      <c r="AH5" s="47" t="s">
        <v>179</v>
      </c>
      <c r="AI5" s="18" t="s">
        <v>180</v>
      </c>
      <c r="AJ5" s="18" t="s">
        <v>181</v>
      </c>
      <c r="AK5" s="18" t="s">
        <v>182</v>
      </c>
      <c r="AL5" s="18" t="s">
        <v>183</v>
      </c>
      <c r="AM5" s="18" t="s">
        <v>184</v>
      </c>
      <c r="AN5" s="18" t="s">
        <v>185</v>
      </c>
      <c r="AO5" s="18" t="s">
        <v>186</v>
      </c>
      <c r="AP5" s="18" t="s">
        <v>187</v>
      </c>
      <c r="AQ5" s="18" t="s">
        <v>188</v>
      </c>
      <c r="AR5" s="18" t="s">
        <v>189</v>
      </c>
      <c r="AS5" s="18" t="s">
        <v>190</v>
      </c>
      <c r="AT5" s="18" t="s">
        <v>191</v>
      </c>
      <c r="AU5" s="18" t="s">
        <v>192</v>
      </c>
      <c r="AV5" s="48" t="s">
        <v>193</v>
      </c>
      <c r="AW5" s="18" t="s">
        <v>194</v>
      </c>
    </row>
    <row r="6" spans="2:49" ht="25.15" customHeight="1" x14ac:dyDescent="0.25">
      <c r="B6" s="49">
        <v>1</v>
      </c>
      <c r="C6" s="1" t="str">
        <f>_xlfn.CONCAT("181-702-",IF(tbl_Ben_Info[[#This Row],[SN]]&lt;10,"00"&amp;tbl_Ben_Info[[#This Row],[SN]],IF(tbl_Ben_Info[[#This Row],[SN]]&lt;100,"0"&amp;tbl_Ben_Info[[#This Row],[SN]],tbl_Ben_Info[[#This Row],[SN]])))</f>
        <v>181-702-001</v>
      </c>
      <c r="D6" s="37"/>
      <c r="E6" s="40"/>
      <c r="F6" s="41"/>
      <c r="G6" s="42"/>
      <c r="H6" s="43"/>
      <c r="I6" s="73"/>
      <c r="J6" s="43"/>
      <c r="K6" s="43"/>
      <c r="L6" s="43"/>
      <c r="M6" s="43"/>
      <c r="N6" s="111"/>
      <c r="O6" s="43"/>
      <c r="P6" s="48"/>
      <c r="Q6" s="49"/>
      <c r="R6" s="58"/>
      <c r="S6" s="37"/>
      <c r="T6" s="37"/>
      <c r="U6" s="37"/>
      <c r="V6" s="59"/>
      <c r="W6" s="49"/>
      <c r="X6" s="37"/>
      <c r="Y6" s="37"/>
      <c r="Z6" s="37"/>
      <c r="AA6" s="37"/>
      <c r="AB6" s="37"/>
      <c r="AC6" s="37"/>
      <c r="AD6" s="37"/>
      <c r="AE6" s="37"/>
      <c r="AF6" s="37"/>
      <c r="AG6" s="59"/>
      <c r="AH6" s="49"/>
      <c r="AI6" s="37"/>
      <c r="AJ6" s="37"/>
      <c r="AK6" s="37"/>
      <c r="AL6" s="37"/>
      <c r="AM6" s="37"/>
      <c r="AN6" s="37"/>
      <c r="AO6" s="37"/>
      <c r="AP6" s="37"/>
      <c r="AQ6" s="37"/>
      <c r="AR6" s="37"/>
      <c r="AS6" s="37"/>
      <c r="AT6" s="37"/>
      <c r="AU6" s="37"/>
      <c r="AV6" s="59"/>
      <c r="AW6" s="1" t="str">
        <f>_xlfn.CONCAT(tbl_Ben_Info[[#This Row],[First Name]]," ",tbl_Ben_Info[[#This Row],[Father Name]]," ",tbl_Ben_Info[[#This Row],[Family Name]])</f>
        <v xml:space="preserve">  </v>
      </c>
    </row>
    <row r="7" spans="2:49" ht="25.15" customHeight="1" x14ac:dyDescent="0.25">
      <c r="B7" s="49">
        <v>2</v>
      </c>
      <c r="C7" s="1" t="str">
        <f>_xlfn.CONCAT("181-702-",IF(tbl_Ben_Info[[#This Row],[SN]]&lt;10,"00"&amp;tbl_Ben_Info[[#This Row],[SN]],IF(tbl_Ben_Info[[#This Row],[SN]]&lt;100,"0"&amp;tbl_Ben_Info[[#This Row],[SN]],tbl_Ben_Info[[#This Row],[SN]])))</f>
        <v>181-702-002</v>
      </c>
      <c r="D7" s="37"/>
      <c r="E7" s="40"/>
      <c r="F7" s="41"/>
      <c r="G7" s="42"/>
      <c r="H7" s="43"/>
      <c r="I7" s="73"/>
      <c r="J7" s="43"/>
      <c r="K7" s="43"/>
      <c r="L7" s="43"/>
      <c r="M7" s="43"/>
      <c r="N7" s="111"/>
      <c r="O7" s="43"/>
      <c r="P7" s="48"/>
      <c r="Q7" s="49"/>
      <c r="R7" s="58"/>
      <c r="S7" s="37"/>
      <c r="T7" s="37"/>
      <c r="U7" s="37"/>
      <c r="V7" s="59"/>
      <c r="W7" s="49"/>
      <c r="X7" s="37"/>
      <c r="Y7" s="37"/>
      <c r="Z7" s="37"/>
      <c r="AA7" s="37"/>
      <c r="AB7" s="37"/>
      <c r="AC7" s="37"/>
      <c r="AD7" s="37"/>
      <c r="AE7" s="37"/>
      <c r="AF7" s="37"/>
      <c r="AG7" s="59"/>
      <c r="AH7" s="49"/>
      <c r="AI7" s="37"/>
      <c r="AJ7" s="37"/>
      <c r="AK7" s="37"/>
      <c r="AL7" s="37"/>
      <c r="AM7" s="37"/>
      <c r="AN7" s="37"/>
      <c r="AO7" s="37"/>
      <c r="AP7" s="37"/>
      <c r="AQ7" s="37"/>
      <c r="AR7" s="37"/>
      <c r="AS7" s="37"/>
      <c r="AT7" s="37"/>
      <c r="AU7" s="37"/>
      <c r="AV7" s="59"/>
      <c r="AW7" s="1" t="str">
        <f>_xlfn.CONCAT(tbl_Ben_Info[[#This Row],[First Name]]," ",tbl_Ben_Info[[#This Row],[Father Name]]," ",tbl_Ben_Info[[#This Row],[Family Name]])</f>
        <v xml:space="preserve">  </v>
      </c>
    </row>
    <row r="8" spans="2:49" ht="25.15" customHeight="1" x14ac:dyDescent="0.25">
      <c r="B8" s="49">
        <v>3</v>
      </c>
      <c r="C8" s="1" t="str">
        <f>_xlfn.CONCAT("181-702-",IF(tbl_Ben_Info[[#This Row],[SN]]&lt;10,"00"&amp;tbl_Ben_Info[[#This Row],[SN]],IF(tbl_Ben_Info[[#This Row],[SN]]&lt;100,"0"&amp;tbl_Ben_Info[[#This Row],[SN]],tbl_Ben_Info[[#This Row],[SN]])))</f>
        <v>181-702-003</v>
      </c>
      <c r="D8" s="37"/>
      <c r="E8" s="40"/>
      <c r="F8" s="41"/>
      <c r="G8" s="42"/>
      <c r="H8" s="43"/>
      <c r="I8" s="73"/>
      <c r="J8" s="43"/>
      <c r="K8" s="43"/>
      <c r="L8" s="43"/>
      <c r="M8" s="43"/>
      <c r="N8" s="111"/>
      <c r="O8" s="43"/>
      <c r="P8" s="48"/>
      <c r="Q8" s="49"/>
      <c r="R8" s="37"/>
      <c r="S8" s="37"/>
      <c r="T8" s="37"/>
      <c r="U8" s="37"/>
      <c r="V8" s="59"/>
      <c r="W8" s="49"/>
      <c r="X8" s="37"/>
      <c r="Y8" s="37"/>
      <c r="Z8" s="37"/>
      <c r="AA8" s="37"/>
      <c r="AB8" s="37"/>
      <c r="AC8" s="37"/>
      <c r="AD8" s="37"/>
      <c r="AE8" s="37"/>
      <c r="AF8" s="37"/>
      <c r="AG8" s="59"/>
      <c r="AH8" s="49"/>
      <c r="AI8" s="37"/>
      <c r="AJ8" s="37"/>
      <c r="AK8" s="37"/>
      <c r="AL8" s="37"/>
      <c r="AM8" s="37"/>
      <c r="AN8" s="37"/>
      <c r="AO8" s="37"/>
      <c r="AP8" s="37"/>
      <c r="AQ8" s="37"/>
      <c r="AR8" s="37"/>
      <c r="AS8" s="37"/>
      <c r="AT8" s="37"/>
      <c r="AU8" s="37"/>
      <c r="AV8" s="59"/>
      <c r="AW8" s="1" t="str">
        <f>_xlfn.CONCAT(tbl_Ben_Info[[#This Row],[First Name]]," ",tbl_Ben_Info[[#This Row],[Father Name]]," ",tbl_Ben_Info[[#This Row],[Family Name]])</f>
        <v xml:space="preserve">  </v>
      </c>
    </row>
    <row r="9" spans="2:49" ht="25.15" customHeight="1" x14ac:dyDescent="0.25">
      <c r="B9" s="49">
        <v>4</v>
      </c>
      <c r="C9" s="1" t="str">
        <f>_xlfn.CONCAT("181-702-",IF(tbl_Ben_Info[[#This Row],[SN]]&lt;10,"00"&amp;tbl_Ben_Info[[#This Row],[SN]],IF(tbl_Ben_Info[[#This Row],[SN]]&lt;100,"0"&amp;tbl_Ben_Info[[#This Row],[SN]],tbl_Ben_Info[[#This Row],[SN]])))</f>
        <v>181-702-004</v>
      </c>
      <c r="D9" s="37"/>
      <c r="E9" s="40"/>
      <c r="F9" s="41"/>
      <c r="G9" s="42"/>
      <c r="H9" s="43"/>
      <c r="I9" s="73"/>
      <c r="J9" s="43"/>
      <c r="K9" s="43"/>
      <c r="L9" s="43"/>
      <c r="M9" s="43"/>
      <c r="N9" s="111"/>
      <c r="O9" s="43"/>
      <c r="P9" s="48"/>
      <c r="Q9" s="49"/>
      <c r="R9" s="37"/>
      <c r="S9" s="37"/>
      <c r="T9" s="37"/>
      <c r="U9" s="37"/>
      <c r="V9" s="59"/>
      <c r="W9" s="49"/>
      <c r="X9" s="37"/>
      <c r="Y9" s="37"/>
      <c r="Z9" s="37"/>
      <c r="AA9" s="37"/>
      <c r="AB9" s="37"/>
      <c r="AC9" s="37"/>
      <c r="AD9" s="37"/>
      <c r="AE9" s="37"/>
      <c r="AF9" s="37"/>
      <c r="AG9" s="59"/>
      <c r="AH9" s="49"/>
      <c r="AI9" s="37"/>
      <c r="AJ9" s="37"/>
      <c r="AK9" s="37"/>
      <c r="AL9" s="37"/>
      <c r="AM9" s="37"/>
      <c r="AN9" s="37"/>
      <c r="AO9" s="37"/>
      <c r="AP9" s="37"/>
      <c r="AQ9" s="37"/>
      <c r="AR9" s="37"/>
      <c r="AS9" s="37"/>
      <c r="AT9" s="37"/>
      <c r="AU9" s="37"/>
      <c r="AV9" s="59"/>
      <c r="AW9" s="1" t="str">
        <f>_xlfn.CONCAT(tbl_Ben_Info[[#This Row],[First Name]]," ",tbl_Ben_Info[[#This Row],[Father Name]]," ",tbl_Ben_Info[[#This Row],[Family Name]])</f>
        <v xml:space="preserve">  </v>
      </c>
    </row>
    <row r="10" spans="2:49" ht="25.15" customHeight="1" x14ac:dyDescent="0.25">
      <c r="B10" s="49">
        <v>5</v>
      </c>
      <c r="C10" s="1" t="str">
        <f>_xlfn.CONCAT("181-702-",IF(tbl_Ben_Info[[#This Row],[SN]]&lt;10,"00"&amp;tbl_Ben_Info[[#This Row],[SN]],IF(tbl_Ben_Info[[#This Row],[SN]]&lt;100,"0"&amp;tbl_Ben_Info[[#This Row],[SN]],tbl_Ben_Info[[#This Row],[SN]])))</f>
        <v>181-702-005</v>
      </c>
      <c r="D10" s="37"/>
      <c r="E10" s="40"/>
      <c r="F10" s="41"/>
      <c r="G10" s="42"/>
      <c r="H10" s="43"/>
      <c r="I10" s="73"/>
      <c r="J10" s="43"/>
      <c r="K10" s="43"/>
      <c r="L10" s="43"/>
      <c r="M10" s="43"/>
      <c r="N10" s="111"/>
      <c r="O10" s="43"/>
      <c r="P10" s="48"/>
      <c r="Q10" s="49"/>
      <c r="R10" s="37"/>
      <c r="S10" s="37"/>
      <c r="T10" s="37"/>
      <c r="U10" s="37"/>
      <c r="V10" s="59"/>
      <c r="W10" s="49"/>
      <c r="X10" s="37"/>
      <c r="Y10" s="37"/>
      <c r="Z10" s="37"/>
      <c r="AA10" s="37"/>
      <c r="AB10" s="37"/>
      <c r="AC10" s="37"/>
      <c r="AD10" s="37"/>
      <c r="AE10" s="37"/>
      <c r="AF10" s="37"/>
      <c r="AG10" s="59"/>
      <c r="AH10" s="49"/>
      <c r="AI10" s="37"/>
      <c r="AJ10" s="37"/>
      <c r="AK10" s="37"/>
      <c r="AL10" s="37"/>
      <c r="AM10" s="37"/>
      <c r="AN10" s="37"/>
      <c r="AO10" s="37"/>
      <c r="AP10" s="37"/>
      <c r="AQ10" s="37"/>
      <c r="AR10" s="37"/>
      <c r="AS10" s="37"/>
      <c r="AT10" s="37"/>
      <c r="AU10" s="37"/>
      <c r="AV10" s="59"/>
      <c r="AW10" s="1" t="str">
        <f>_xlfn.CONCAT(tbl_Ben_Info[[#This Row],[First Name]]," ",tbl_Ben_Info[[#This Row],[Father Name]]," ",tbl_Ben_Info[[#This Row],[Family Name]])</f>
        <v xml:space="preserve">  </v>
      </c>
    </row>
    <row r="11" spans="2:49" ht="25.15" customHeight="1" x14ac:dyDescent="0.25">
      <c r="B11" s="49">
        <v>6</v>
      </c>
      <c r="C11" s="1" t="str">
        <f>_xlfn.CONCAT("181-702-",IF(tbl_Ben_Info[[#This Row],[SN]]&lt;10,"00"&amp;tbl_Ben_Info[[#This Row],[SN]],IF(tbl_Ben_Info[[#This Row],[SN]]&lt;100,"0"&amp;tbl_Ben_Info[[#This Row],[SN]],tbl_Ben_Info[[#This Row],[SN]])))</f>
        <v>181-702-006</v>
      </c>
      <c r="D11" s="37"/>
      <c r="E11" s="40"/>
      <c r="F11" s="41"/>
      <c r="G11" s="42"/>
      <c r="H11" s="43"/>
      <c r="I11" s="73"/>
      <c r="J11" s="43"/>
      <c r="K11" s="43"/>
      <c r="L11" s="43"/>
      <c r="M11" s="43"/>
      <c r="N11" s="111"/>
      <c r="O11" s="43"/>
      <c r="P11" s="48"/>
      <c r="Q11" s="49"/>
      <c r="R11" s="37"/>
      <c r="S11" s="37"/>
      <c r="T11" s="37"/>
      <c r="U11" s="37"/>
      <c r="V11" s="59"/>
      <c r="W11" s="49"/>
      <c r="X11" s="37"/>
      <c r="Y11" s="37"/>
      <c r="Z11" s="37"/>
      <c r="AA11" s="37"/>
      <c r="AB11" s="37"/>
      <c r="AC11" s="37"/>
      <c r="AD11" s="37"/>
      <c r="AE11" s="37"/>
      <c r="AF11" s="37"/>
      <c r="AG11" s="59"/>
      <c r="AH11" s="49"/>
      <c r="AI11" s="37"/>
      <c r="AJ11" s="37"/>
      <c r="AK11" s="37"/>
      <c r="AL11" s="37"/>
      <c r="AM11" s="37"/>
      <c r="AN11" s="37"/>
      <c r="AO11" s="37"/>
      <c r="AP11" s="37"/>
      <c r="AQ11" s="37"/>
      <c r="AR11" s="37"/>
      <c r="AS11" s="37"/>
      <c r="AT11" s="37"/>
      <c r="AU11" s="37"/>
      <c r="AV11" s="59"/>
      <c r="AW11" s="1" t="str">
        <f>_xlfn.CONCAT(tbl_Ben_Info[[#This Row],[First Name]]," ",tbl_Ben_Info[[#This Row],[Father Name]]," ",tbl_Ben_Info[[#This Row],[Family Name]])</f>
        <v xml:space="preserve">  </v>
      </c>
    </row>
    <row r="12" spans="2:49" ht="25.15" customHeight="1" x14ac:dyDescent="0.25">
      <c r="B12" s="49">
        <v>7</v>
      </c>
      <c r="C12" s="1" t="str">
        <f>_xlfn.CONCAT("181-702-",IF(tbl_Ben_Info[[#This Row],[SN]]&lt;10,"00"&amp;tbl_Ben_Info[[#This Row],[SN]],IF(tbl_Ben_Info[[#This Row],[SN]]&lt;100,"0"&amp;tbl_Ben_Info[[#This Row],[SN]],tbl_Ben_Info[[#This Row],[SN]])))</f>
        <v>181-702-007</v>
      </c>
      <c r="D12" s="37"/>
      <c r="E12" s="40"/>
      <c r="F12" s="41"/>
      <c r="G12" s="42"/>
      <c r="H12" s="43"/>
      <c r="I12" s="73"/>
      <c r="J12" s="43"/>
      <c r="K12" s="43"/>
      <c r="L12" s="43"/>
      <c r="M12" s="43"/>
      <c r="N12" s="111"/>
      <c r="O12" s="43"/>
      <c r="P12" s="48"/>
      <c r="Q12" s="49"/>
      <c r="R12" s="37"/>
      <c r="S12" s="37"/>
      <c r="T12" s="37"/>
      <c r="U12" s="37"/>
      <c r="V12" s="59"/>
      <c r="W12" s="49"/>
      <c r="X12" s="37"/>
      <c r="Y12" s="37"/>
      <c r="Z12" s="37"/>
      <c r="AA12" s="37"/>
      <c r="AB12" s="37"/>
      <c r="AC12" s="37"/>
      <c r="AD12" s="37"/>
      <c r="AE12" s="37"/>
      <c r="AF12" s="37"/>
      <c r="AG12" s="59"/>
      <c r="AH12" s="49"/>
      <c r="AI12" s="37"/>
      <c r="AJ12" s="37"/>
      <c r="AK12" s="37"/>
      <c r="AL12" s="37"/>
      <c r="AM12" s="37"/>
      <c r="AN12" s="37"/>
      <c r="AO12" s="37"/>
      <c r="AP12" s="37"/>
      <c r="AQ12" s="37"/>
      <c r="AR12" s="37"/>
      <c r="AS12" s="37"/>
      <c r="AT12" s="37"/>
      <c r="AU12" s="37"/>
      <c r="AV12" s="59"/>
      <c r="AW12" s="1" t="str">
        <f>_xlfn.CONCAT(tbl_Ben_Info[[#This Row],[First Name]]," ",tbl_Ben_Info[[#This Row],[Father Name]]," ",tbl_Ben_Info[[#This Row],[Family Name]])</f>
        <v xml:space="preserve">  </v>
      </c>
    </row>
    <row r="13" spans="2:49" ht="25.15" customHeight="1" x14ac:dyDescent="0.25">
      <c r="B13" s="49">
        <v>8</v>
      </c>
      <c r="C13" s="1" t="str">
        <f>_xlfn.CONCAT("181-702-",IF(tbl_Ben_Info[[#This Row],[SN]]&lt;10,"00"&amp;tbl_Ben_Info[[#This Row],[SN]],IF(tbl_Ben_Info[[#This Row],[SN]]&lt;100,"0"&amp;tbl_Ben_Info[[#This Row],[SN]],tbl_Ben_Info[[#This Row],[SN]])))</f>
        <v>181-702-008</v>
      </c>
      <c r="D13" s="37"/>
      <c r="E13" s="40"/>
      <c r="F13" s="41"/>
      <c r="G13" s="42"/>
      <c r="H13" s="43"/>
      <c r="I13" s="73"/>
      <c r="J13" s="43"/>
      <c r="K13" s="43"/>
      <c r="L13" s="43"/>
      <c r="M13" s="43"/>
      <c r="N13" s="111"/>
      <c r="O13" s="43"/>
      <c r="P13" s="48"/>
      <c r="Q13" s="49"/>
      <c r="R13" s="37"/>
      <c r="S13" s="37"/>
      <c r="T13" s="37"/>
      <c r="U13" s="37"/>
      <c r="V13" s="59"/>
      <c r="W13" s="49"/>
      <c r="X13" s="37"/>
      <c r="Y13" s="37"/>
      <c r="Z13" s="37"/>
      <c r="AA13" s="37"/>
      <c r="AB13" s="37"/>
      <c r="AC13" s="37"/>
      <c r="AD13" s="37"/>
      <c r="AE13" s="37"/>
      <c r="AF13" s="37"/>
      <c r="AG13" s="59"/>
      <c r="AH13" s="49"/>
      <c r="AI13" s="37"/>
      <c r="AJ13" s="37"/>
      <c r="AK13" s="37"/>
      <c r="AL13" s="37"/>
      <c r="AM13" s="37"/>
      <c r="AN13" s="37"/>
      <c r="AO13" s="37"/>
      <c r="AP13" s="37"/>
      <c r="AQ13" s="37"/>
      <c r="AR13" s="37"/>
      <c r="AS13" s="37"/>
      <c r="AT13" s="37"/>
      <c r="AU13" s="37"/>
      <c r="AV13" s="59"/>
      <c r="AW13" s="1" t="str">
        <f>_xlfn.CONCAT(tbl_Ben_Info[[#This Row],[First Name]]," ",tbl_Ben_Info[[#This Row],[Father Name]]," ",tbl_Ben_Info[[#This Row],[Family Name]])</f>
        <v xml:space="preserve">  </v>
      </c>
    </row>
    <row r="14" spans="2:49" ht="25.15" customHeight="1" x14ac:dyDescent="0.25">
      <c r="B14" s="49">
        <v>9</v>
      </c>
      <c r="C14" s="1" t="str">
        <f>_xlfn.CONCAT("181-702-",IF(tbl_Ben_Info[[#This Row],[SN]]&lt;10,"00"&amp;tbl_Ben_Info[[#This Row],[SN]],IF(tbl_Ben_Info[[#This Row],[SN]]&lt;100,"0"&amp;tbl_Ben_Info[[#This Row],[SN]],tbl_Ben_Info[[#This Row],[SN]])))</f>
        <v>181-702-009</v>
      </c>
      <c r="D14" s="37"/>
      <c r="E14" s="40"/>
      <c r="F14" s="41"/>
      <c r="G14" s="42"/>
      <c r="H14" s="43"/>
      <c r="I14" s="73"/>
      <c r="J14" s="43"/>
      <c r="K14" s="43"/>
      <c r="L14" s="43"/>
      <c r="M14" s="43"/>
      <c r="N14" s="111"/>
      <c r="O14" s="43"/>
      <c r="P14" s="48"/>
      <c r="Q14" s="49"/>
      <c r="R14" s="37"/>
      <c r="S14" s="37"/>
      <c r="T14" s="37"/>
      <c r="U14" s="37"/>
      <c r="V14" s="59"/>
      <c r="W14" s="49"/>
      <c r="X14" s="37"/>
      <c r="Y14" s="37"/>
      <c r="Z14" s="37"/>
      <c r="AA14" s="37"/>
      <c r="AB14" s="37"/>
      <c r="AC14" s="37"/>
      <c r="AD14" s="37"/>
      <c r="AE14" s="37"/>
      <c r="AF14" s="37"/>
      <c r="AG14" s="59"/>
      <c r="AH14" s="49"/>
      <c r="AI14" s="37"/>
      <c r="AJ14" s="37"/>
      <c r="AK14" s="37"/>
      <c r="AL14" s="37"/>
      <c r="AM14" s="37"/>
      <c r="AN14" s="37"/>
      <c r="AO14" s="37"/>
      <c r="AP14" s="37"/>
      <c r="AQ14" s="37"/>
      <c r="AR14" s="37"/>
      <c r="AS14" s="37"/>
      <c r="AT14" s="37"/>
      <c r="AU14" s="37"/>
      <c r="AV14" s="59"/>
      <c r="AW14" s="1" t="str">
        <f>_xlfn.CONCAT(tbl_Ben_Info[[#This Row],[First Name]]," ",tbl_Ben_Info[[#This Row],[Father Name]]," ",tbl_Ben_Info[[#This Row],[Family Name]])</f>
        <v xml:space="preserve">  </v>
      </c>
    </row>
    <row r="15" spans="2:49" ht="25.15" customHeight="1" x14ac:dyDescent="0.25">
      <c r="B15" s="49">
        <v>10</v>
      </c>
      <c r="C15" s="1" t="str">
        <f>_xlfn.CONCAT("181-702-",IF(tbl_Ben_Info[[#This Row],[SN]]&lt;10,"00"&amp;tbl_Ben_Info[[#This Row],[SN]],IF(tbl_Ben_Info[[#This Row],[SN]]&lt;100,"0"&amp;tbl_Ben_Info[[#This Row],[SN]],tbl_Ben_Info[[#This Row],[SN]])))</f>
        <v>181-702-010</v>
      </c>
      <c r="D15" s="37"/>
      <c r="E15" s="40"/>
      <c r="F15" s="41"/>
      <c r="G15" s="42"/>
      <c r="H15" s="43"/>
      <c r="I15" s="73"/>
      <c r="J15" s="43"/>
      <c r="K15" s="43"/>
      <c r="L15" s="43"/>
      <c r="M15" s="43"/>
      <c r="N15" s="111"/>
      <c r="O15" s="43"/>
      <c r="P15" s="48"/>
      <c r="Q15" s="49"/>
      <c r="R15" s="37"/>
      <c r="S15" s="37"/>
      <c r="T15" s="37"/>
      <c r="U15" s="37"/>
      <c r="V15" s="59"/>
      <c r="W15" s="49"/>
      <c r="X15" s="37"/>
      <c r="Y15" s="37"/>
      <c r="Z15" s="37"/>
      <c r="AA15" s="37"/>
      <c r="AB15" s="37"/>
      <c r="AC15" s="37"/>
      <c r="AD15" s="37"/>
      <c r="AE15" s="37"/>
      <c r="AF15" s="37"/>
      <c r="AG15" s="59"/>
      <c r="AH15" s="49"/>
      <c r="AI15" s="37"/>
      <c r="AJ15" s="37"/>
      <c r="AK15" s="37"/>
      <c r="AL15" s="37"/>
      <c r="AM15" s="37"/>
      <c r="AN15" s="37"/>
      <c r="AO15" s="37"/>
      <c r="AP15" s="37"/>
      <c r="AQ15" s="37"/>
      <c r="AR15" s="37"/>
      <c r="AS15" s="37"/>
      <c r="AT15" s="37"/>
      <c r="AU15" s="37"/>
      <c r="AV15" s="59"/>
      <c r="AW15" s="1" t="str">
        <f>_xlfn.CONCAT(tbl_Ben_Info[[#This Row],[First Name]]," ",tbl_Ben_Info[[#This Row],[Father Name]]," ",tbl_Ben_Info[[#This Row],[Family Name]])</f>
        <v xml:space="preserve">  </v>
      </c>
    </row>
    <row r="16" spans="2:49" ht="25.15" customHeight="1" x14ac:dyDescent="0.25">
      <c r="B16" s="49">
        <v>11</v>
      </c>
      <c r="C16" s="1" t="str">
        <f>_xlfn.CONCAT("181-702-",IF(tbl_Ben_Info[[#This Row],[SN]]&lt;10,"00"&amp;tbl_Ben_Info[[#This Row],[SN]],IF(tbl_Ben_Info[[#This Row],[SN]]&lt;100,"0"&amp;tbl_Ben_Info[[#This Row],[SN]],tbl_Ben_Info[[#This Row],[SN]])))</f>
        <v>181-702-011</v>
      </c>
      <c r="D16" s="37"/>
      <c r="E16" s="40"/>
      <c r="F16" s="41"/>
      <c r="G16" s="42"/>
      <c r="H16" s="43"/>
      <c r="I16" s="73"/>
      <c r="J16" s="43"/>
      <c r="K16" s="43"/>
      <c r="L16" s="43"/>
      <c r="M16" s="43"/>
      <c r="N16" s="111"/>
      <c r="O16" s="43"/>
      <c r="P16" s="48"/>
      <c r="Q16" s="49"/>
      <c r="R16" s="37"/>
      <c r="S16" s="37"/>
      <c r="T16" s="37"/>
      <c r="U16" s="37"/>
      <c r="V16" s="59"/>
      <c r="W16" s="49"/>
      <c r="X16" s="37"/>
      <c r="Y16" s="37"/>
      <c r="Z16" s="37"/>
      <c r="AA16" s="37"/>
      <c r="AB16" s="37"/>
      <c r="AC16" s="37"/>
      <c r="AD16" s="37"/>
      <c r="AE16" s="37"/>
      <c r="AF16" s="37"/>
      <c r="AG16" s="59"/>
      <c r="AH16" s="49"/>
      <c r="AI16" s="37"/>
      <c r="AJ16" s="37"/>
      <c r="AK16" s="37"/>
      <c r="AL16" s="37"/>
      <c r="AM16" s="37"/>
      <c r="AN16" s="37"/>
      <c r="AO16" s="37"/>
      <c r="AP16" s="37"/>
      <c r="AQ16" s="37"/>
      <c r="AR16" s="37"/>
      <c r="AS16" s="37"/>
      <c r="AT16" s="37"/>
      <c r="AU16" s="37"/>
      <c r="AV16" s="59"/>
      <c r="AW16" s="1" t="str">
        <f>_xlfn.CONCAT(tbl_Ben_Info[[#This Row],[First Name]]," ",tbl_Ben_Info[[#This Row],[Father Name]]," ",tbl_Ben_Info[[#This Row],[Family Name]])</f>
        <v xml:space="preserve">  </v>
      </c>
    </row>
    <row r="17" spans="2:49" ht="25.15" customHeight="1" x14ac:dyDescent="0.25">
      <c r="B17" s="49">
        <v>12</v>
      </c>
      <c r="C17" s="1" t="str">
        <f>_xlfn.CONCAT("181-702-",IF(tbl_Ben_Info[[#This Row],[SN]]&lt;10,"00"&amp;tbl_Ben_Info[[#This Row],[SN]],IF(tbl_Ben_Info[[#This Row],[SN]]&lt;100,"0"&amp;tbl_Ben_Info[[#This Row],[SN]],tbl_Ben_Info[[#This Row],[SN]])))</f>
        <v>181-702-012</v>
      </c>
      <c r="D17" s="37"/>
      <c r="E17" s="40"/>
      <c r="F17" s="41"/>
      <c r="G17" s="42"/>
      <c r="H17" s="43"/>
      <c r="I17" s="73"/>
      <c r="J17" s="43"/>
      <c r="K17" s="43"/>
      <c r="L17" s="43"/>
      <c r="M17" s="43"/>
      <c r="N17" s="111"/>
      <c r="O17" s="43"/>
      <c r="P17" s="48"/>
      <c r="Q17" s="49"/>
      <c r="R17" s="37"/>
      <c r="S17" s="37"/>
      <c r="T17" s="37"/>
      <c r="U17" s="37"/>
      <c r="V17" s="59"/>
      <c r="W17" s="49"/>
      <c r="X17" s="37"/>
      <c r="Y17" s="37"/>
      <c r="Z17" s="37"/>
      <c r="AA17" s="37"/>
      <c r="AB17" s="37"/>
      <c r="AC17" s="37"/>
      <c r="AD17" s="37"/>
      <c r="AE17" s="37"/>
      <c r="AF17" s="37"/>
      <c r="AG17" s="59"/>
      <c r="AH17" s="49"/>
      <c r="AI17" s="37"/>
      <c r="AJ17" s="37"/>
      <c r="AK17" s="37"/>
      <c r="AL17" s="37"/>
      <c r="AM17" s="37"/>
      <c r="AN17" s="37"/>
      <c r="AO17" s="37"/>
      <c r="AP17" s="37"/>
      <c r="AQ17" s="37"/>
      <c r="AR17" s="37"/>
      <c r="AS17" s="37"/>
      <c r="AT17" s="37"/>
      <c r="AU17" s="37"/>
      <c r="AV17" s="59"/>
      <c r="AW17" s="1" t="str">
        <f>_xlfn.CONCAT(tbl_Ben_Info[[#This Row],[First Name]]," ",tbl_Ben_Info[[#This Row],[Father Name]]," ",tbl_Ben_Info[[#This Row],[Family Name]])</f>
        <v xml:space="preserve">  </v>
      </c>
    </row>
    <row r="18" spans="2:49" ht="25.15" customHeight="1" x14ac:dyDescent="0.25">
      <c r="B18" s="49">
        <v>13</v>
      </c>
      <c r="C18" s="1" t="str">
        <f>_xlfn.CONCAT("181-702-",IF(tbl_Ben_Info[[#This Row],[SN]]&lt;10,"00"&amp;tbl_Ben_Info[[#This Row],[SN]],IF(tbl_Ben_Info[[#This Row],[SN]]&lt;100,"0"&amp;tbl_Ben_Info[[#This Row],[SN]],tbl_Ben_Info[[#This Row],[SN]])))</f>
        <v>181-702-013</v>
      </c>
      <c r="D18" s="37"/>
      <c r="E18" s="40"/>
      <c r="F18" s="41"/>
      <c r="G18" s="42"/>
      <c r="H18" s="43"/>
      <c r="I18" s="73"/>
      <c r="J18" s="43"/>
      <c r="K18" s="43"/>
      <c r="L18" s="43"/>
      <c r="M18" s="43"/>
      <c r="N18" s="111"/>
      <c r="O18" s="43"/>
      <c r="P18" s="48"/>
      <c r="Q18" s="49"/>
      <c r="R18" s="37"/>
      <c r="S18" s="37"/>
      <c r="T18" s="37"/>
      <c r="U18" s="37"/>
      <c r="V18" s="59"/>
      <c r="W18" s="49"/>
      <c r="X18" s="37"/>
      <c r="Y18" s="37"/>
      <c r="Z18" s="37"/>
      <c r="AA18" s="37"/>
      <c r="AB18" s="37"/>
      <c r="AC18" s="37"/>
      <c r="AD18" s="37"/>
      <c r="AE18" s="37"/>
      <c r="AF18" s="37"/>
      <c r="AG18" s="59"/>
      <c r="AH18" s="49"/>
      <c r="AI18" s="37"/>
      <c r="AJ18" s="37"/>
      <c r="AK18" s="37"/>
      <c r="AL18" s="37"/>
      <c r="AM18" s="37"/>
      <c r="AN18" s="37"/>
      <c r="AO18" s="37"/>
      <c r="AP18" s="37"/>
      <c r="AQ18" s="37"/>
      <c r="AR18" s="37"/>
      <c r="AS18" s="37"/>
      <c r="AT18" s="37"/>
      <c r="AU18" s="37"/>
      <c r="AV18" s="59"/>
      <c r="AW18" s="1" t="str">
        <f>_xlfn.CONCAT(tbl_Ben_Info[[#This Row],[First Name]]," ",tbl_Ben_Info[[#This Row],[Father Name]]," ",tbl_Ben_Info[[#This Row],[Family Name]])</f>
        <v xml:space="preserve">  </v>
      </c>
    </row>
    <row r="19" spans="2:49" ht="25.15" customHeight="1" x14ac:dyDescent="0.25">
      <c r="B19" s="49">
        <v>14</v>
      </c>
      <c r="C19" s="1" t="str">
        <f>_xlfn.CONCAT("181-702-",IF(tbl_Ben_Info[[#This Row],[SN]]&lt;10,"00"&amp;tbl_Ben_Info[[#This Row],[SN]],IF(tbl_Ben_Info[[#This Row],[SN]]&lt;100,"0"&amp;tbl_Ben_Info[[#This Row],[SN]],tbl_Ben_Info[[#This Row],[SN]])))</f>
        <v>181-702-014</v>
      </c>
      <c r="D19" s="37"/>
      <c r="E19" s="40"/>
      <c r="F19" s="41"/>
      <c r="G19" s="42"/>
      <c r="H19" s="43"/>
      <c r="I19" s="73"/>
      <c r="J19" s="43"/>
      <c r="K19" s="43"/>
      <c r="L19" s="43"/>
      <c r="M19" s="43"/>
      <c r="N19" s="111"/>
      <c r="O19" s="43"/>
      <c r="P19" s="48"/>
      <c r="Q19" s="49"/>
      <c r="R19" s="37"/>
      <c r="S19" s="37"/>
      <c r="T19" s="37"/>
      <c r="U19" s="37"/>
      <c r="V19" s="59"/>
      <c r="W19" s="49"/>
      <c r="X19" s="37"/>
      <c r="Y19" s="37"/>
      <c r="Z19" s="37"/>
      <c r="AA19" s="37"/>
      <c r="AB19" s="37"/>
      <c r="AC19" s="37"/>
      <c r="AD19" s="37"/>
      <c r="AE19" s="37"/>
      <c r="AF19" s="37"/>
      <c r="AG19" s="59"/>
      <c r="AH19" s="49"/>
      <c r="AI19" s="37"/>
      <c r="AJ19" s="37"/>
      <c r="AK19" s="37"/>
      <c r="AL19" s="37"/>
      <c r="AM19" s="37"/>
      <c r="AN19" s="37"/>
      <c r="AO19" s="37"/>
      <c r="AP19" s="37"/>
      <c r="AQ19" s="37"/>
      <c r="AR19" s="37"/>
      <c r="AS19" s="37"/>
      <c r="AT19" s="37"/>
      <c r="AU19" s="37"/>
      <c r="AV19" s="59"/>
      <c r="AW19" s="1" t="str">
        <f>_xlfn.CONCAT(tbl_Ben_Info[[#This Row],[First Name]]," ",tbl_Ben_Info[[#This Row],[Father Name]]," ",tbl_Ben_Info[[#This Row],[Family Name]])</f>
        <v xml:space="preserve">  </v>
      </c>
    </row>
    <row r="20" spans="2:49" ht="25.15" customHeight="1" x14ac:dyDescent="0.25">
      <c r="B20" s="49">
        <v>15</v>
      </c>
      <c r="C20" s="1" t="str">
        <f>_xlfn.CONCAT("181-702-",IF(tbl_Ben_Info[[#This Row],[SN]]&lt;10,"00"&amp;tbl_Ben_Info[[#This Row],[SN]],IF(tbl_Ben_Info[[#This Row],[SN]]&lt;100,"0"&amp;tbl_Ben_Info[[#This Row],[SN]],tbl_Ben_Info[[#This Row],[SN]])))</f>
        <v>181-702-015</v>
      </c>
      <c r="D20" s="37"/>
      <c r="E20" s="40"/>
      <c r="F20" s="41"/>
      <c r="G20" s="42"/>
      <c r="H20" s="43"/>
      <c r="I20" s="73"/>
      <c r="J20" s="43"/>
      <c r="K20" s="43"/>
      <c r="L20" s="43"/>
      <c r="M20" s="43"/>
      <c r="N20" s="111"/>
      <c r="O20" s="43"/>
      <c r="P20" s="48"/>
      <c r="Q20" s="49"/>
      <c r="R20" s="37"/>
      <c r="S20" s="37"/>
      <c r="T20" s="37"/>
      <c r="U20" s="37"/>
      <c r="V20" s="59"/>
      <c r="W20" s="49"/>
      <c r="X20" s="37"/>
      <c r="Y20" s="37"/>
      <c r="Z20" s="37"/>
      <c r="AA20" s="37"/>
      <c r="AB20" s="37"/>
      <c r="AC20" s="37"/>
      <c r="AD20" s="37"/>
      <c r="AE20" s="37"/>
      <c r="AF20" s="37"/>
      <c r="AG20" s="59"/>
      <c r="AH20" s="49"/>
      <c r="AI20" s="37"/>
      <c r="AJ20" s="37"/>
      <c r="AK20" s="37"/>
      <c r="AL20" s="37"/>
      <c r="AM20" s="37"/>
      <c r="AN20" s="37"/>
      <c r="AO20" s="37"/>
      <c r="AP20" s="37"/>
      <c r="AQ20" s="37"/>
      <c r="AR20" s="37"/>
      <c r="AS20" s="37"/>
      <c r="AT20" s="37"/>
      <c r="AU20" s="37"/>
      <c r="AV20" s="59"/>
      <c r="AW20" s="1" t="str">
        <f>_xlfn.CONCAT(tbl_Ben_Info[[#This Row],[First Name]]," ",tbl_Ben_Info[[#This Row],[Father Name]]," ",tbl_Ben_Info[[#This Row],[Family Name]])</f>
        <v xml:space="preserve">  </v>
      </c>
    </row>
    <row r="21" spans="2:49" ht="25.15" customHeight="1" x14ac:dyDescent="0.25">
      <c r="B21" s="49">
        <v>16</v>
      </c>
      <c r="C21" s="1" t="str">
        <f>_xlfn.CONCAT("181-702-",IF(tbl_Ben_Info[[#This Row],[SN]]&lt;10,"00"&amp;tbl_Ben_Info[[#This Row],[SN]],IF(tbl_Ben_Info[[#This Row],[SN]]&lt;100,"0"&amp;tbl_Ben_Info[[#This Row],[SN]],tbl_Ben_Info[[#This Row],[SN]])))</f>
        <v>181-702-016</v>
      </c>
      <c r="D21" s="37"/>
      <c r="E21" s="40"/>
      <c r="F21" s="41"/>
      <c r="G21" s="42"/>
      <c r="H21" s="43"/>
      <c r="I21" s="73"/>
      <c r="J21" s="43"/>
      <c r="K21" s="43"/>
      <c r="L21" s="43"/>
      <c r="M21" s="43"/>
      <c r="N21" s="111"/>
      <c r="O21" s="43"/>
      <c r="P21" s="48"/>
      <c r="Q21" s="49"/>
      <c r="R21" s="37"/>
      <c r="S21" s="37"/>
      <c r="T21" s="37"/>
      <c r="U21" s="37"/>
      <c r="V21" s="59"/>
      <c r="W21" s="49"/>
      <c r="X21" s="37"/>
      <c r="Y21" s="37"/>
      <c r="Z21" s="37"/>
      <c r="AA21" s="37"/>
      <c r="AB21" s="37"/>
      <c r="AC21" s="37"/>
      <c r="AD21" s="37"/>
      <c r="AE21" s="37"/>
      <c r="AF21" s="37"/>
      <c r="AG21" s="59"/>
      <c r="AH21" s="49"/>
      <c r="AI21" s="37"/>
      <c r="AJ21" s="37"/>
      <c r="AK21" s="37"/>
      <c r="AL21" s="37"/>
      <c r="AM21" s="37"/>
      <c r="AN21" s="37"/>
      <c r="AO21" s="37"/>
      <c r="AP21" s="37"/>
      <c r="AQ21" s="37"/>
      <c r="AR21" s="37"/>
      <c r="AS21" s="37"/>
      <c r="AT21" s="37"/>
      <c r="AU21" s="37"/>
      <c r="AV21" s="59"/>
      <c r="AW21" s="1" t="str">
        <f>_xlfn.CONCAT(tbl_Ben_Info[[#This Row],[First Name]]," ",tbl_Ben_Info[[#This Row],[Father Name]]," ",tbl_Ben_Info[[#This Row],[Family Name]])</f>
        <v xml:space="preserve">  </v>
      </c>
    </row>
    <row r="22" spans="2:49" ht="25.15" customHeight="1" x14ac:dyDescent="0.25">
      <c r="B22" s="49">
        <v>17</v>
      </c>
      <c r="C22" s="1" t="str">
        <f>_xlfn.CONCAT("181-702-",IF(tbl_Ben_Info[[#This Row],[SN]]&lt;10,"00"&amp;tbl_Ben_Info[[#This Row],[SN]],IF(tbl_Ben_Info[[#This Row],[SN]]&lt;100,"0"&amp;tbl_Ben_Info[[#This Row],[SN]],tbl_Ben_Info[[#This Row],[SN]])))</f>
        <v>181-702-017</v>
      </c>
      <c r="D22" s="37"/>
      <c r="E22" s="40"/>
      <c r="F22" s="41"/>
      <c r="G22" s="42"/>
      <c r="H22" s="43"/>
      <c r="I22" s="73"/>
      <c r="J22" s="43"/>
      <c r="K22" s="43"/>
      <c r="L22" s="43"/>
      <c r="M22" s="43"/>
      <c r="N22" s="111"/>
      <c r="O22" s="43"/>
      <c r="P22" s="48"/>
      <c r="Q22" s="49"/>
      <c r="R22" s="37"/>
      <c r="S22" s="37"/>
      <c r="T22" s="37"/>
      <c r="U22" s="37"/>
      <c r="V22" s="59"/>
      <c r="W22" s="49"/>
      <c r="X22" s="37"/>
      <c r="Y22" s="37"/>
      <c r="Z22" s="37"/>
      <c r="AA22" s="37"/>
      <c r="AB22" s="37"/>
      <c r="AC22" s="37"/>
      <c r="AD22" s="37"/>
      <c r="AE22" s="37"/>
      <c r="AF22" s="37"/>
      <c r="AG22" s="59"/>
      <c r="AH22" s="49"/>
      <c r="AI22" s="37"/>
      <c r="AJ22" s="37"/>
      <c r="AK22" s="37"/>
      <c r="AL22" s="37"/>
      <c r="AM22" s="37"/>
      <c r="AN22" s="37"/>
      <c r="AO22" s="37"/>
      <c r="AP22" s="37"/>
      <c r="AQ22" s="37"/>
      <c r="AR22" s="37"/>
      <c r="AS22" s="37"/>
      <c r="AT22" s="37"/>
      <c r="AU22" s="37"/>
      <c r="AV22" s="59"/>
      <c r="AW22" s="1" t="str">
        <f>_xlfn.CONCAT(tbl_Ben_Info[[#This Row],[First Name]]," ",tbl_Ben_Info[[#This Row],[Father Name]]," ",tbl_Ben_Info[[#This Row],[Family Name]])</f>
        <v xml:space="preserve">  </v>
      </c>
    </row>
    <row r="23" spans="2:49" ht="25.15" customHeight="1" x14ac:dyDescent="0.25">
      <c r="B23" s="49">
        <v>18</v>
      </c>
      <c r="C23" s="1" t="str">
        <f>_xlfn.CONCAT("181-702-",IF(tbl_Ben_Info[[#This Row],[SN]]&lt;10,"00"&amp;tbl_Ben_Info[[#This Row],[SN]],IF(tbl_Ben_Info[[#This Row],[SN]]&lt;100,"0"&amp;tbl_Ben_Info[[#This Row],[SN]],tbl_Ben_Info[[#This Row],[SN]])))</f>
        <v>181-702-018</v>
      </c>
      <c r="D23" s="37"/>
      <c r="E23" s="40"/>
      <c r="F23" s="41"/>
      <c r="G23" s="42"/>
      <c r="H23" s="43"/>
      <c r="I23" s="73"/>
      <c r="J23" s="43"/>
      <c r="K23" s="43"/>
      <c r="L23" s="43"/>
      <c r="M23" s="43"/>
      <c r="N23" s="111"/>
      <c r="O23" s="43"/>
      <c r="P23" s="48"/>
      <c r="Q23" s="49"/>
      <c r="R23" s="37"/>
      <c r="S23" s="37"/>
      <c r="T23" s="37"/>
      <c r="U23" s="37"/>
      <c r="V23" s="59"/>
      <c r="W23" s="49"/>
      <c r="X23" s="37"/>
      <c r="Y23" s="37"/>
      <c r="Z23" s="37"/>
      <c r="AA23" s="37"/>
      <c r="AB23" s="37"/>
      <c r="AC23" s="37"/>
      <c r="AD23" s="37"/>
      <c r="AE23" s="37"/>
      <c r="AF23" s="37"/>
      <c r="AG23" s="59"/>
      <c r="AH23" s="49"/>
      <c r="AI23" s="37"/>
      <c r="AJ23" s="37"/>
      <c r="AK23" s="37"/>
      <c r="AL23" s="37"/>
      <c r="AM23" s="37"/>
      <c r="AN23" s="37"/>
      <c r="AO23" s="37"/>
      <c r="AP23" s="37"/>
      <c r="AQ23" s="37"/>
      <c r="AR23" s="37"/>
      <c r="AS23" s="37"/>
      <c r="AT23" s="37"/>
      <c r="AU23" s="37"/>
      <c r="AV23" s="59"/>
      <c r="AW23" s="1" t="str">
        <f>_xlfn.CONCAT(tbl_Ben_Info[[#This Row],[First Name]]," ",tbl_Ben_Info[[#This Row],[Father Name]]," ",tbl_Ben_Info[[#This Row],[Family Name]])</f>
        <v xml:space="preserve">  </v>
      </c>
    </row>
    <row r="24" spans="2:49" ht="25.15" customHeight="1" x14ac:dyDescent="0.25">
      <c r="B24" s="49">
        <v>19</v>
      </c>
      <c r="C24" s="1" t="str">
        <f>_xlfn.CONCAT("181-702-",IF(tbl_Ben_Info[[#This Row],[SN]]&lt;10,"00"&amp;tbl_Ben_Info[[#This Row],[SN]],IF(tbl_Ben_Info[[#This Row],[SN]]&lt;100,"0"&amp;tbl_Ben_Info[[#This Row],[SN]],tbl_Ben_Info[[#This Row],[SN]])))</f>
        <v>181-702-019</v>
      </c>
      <c r="D24" s="37"/>
      <c r="E24" s="40"/>
      <c r="F24" s="41"/>
      <c r="G24" s="42"/>
      <c r="H24" s="43"/>
      <c r="I24" s="73"/>
      <c r="J24" s="43"/>
      <c r="K24" s="43"/>
      <c r="L24" s="43"/>
      <c r="M24" s="43"/>
      <c r="N24" s="111"/>
      <c r="O24" s="43"/>
      <c r="P24" s="48"/>
      <c r="Q24" s="49"/>
      <c r="R24" s="37"/>
      <c r="S24" s="37"/>
      <c r="T24" s="37"/>
      <c r="U24" s="37"/>
      <c r="V24" s="59"/>
      <c r="W24" s="49"/>
      <c r="X24" s="37"/>
      <c r="Y24" s="37"/>
      <c r="Z24" s="37"/>
      <c r="AA24" s="37"/>
      <c r="AB24" s="37"/>
      <c r="AC24" s="37"/>
      <c r="AD24" s="37"/>
      <c r="AE24" s="37"/>
      <c r="AF24" s="37"/>
      <c r="AG24" s="59"/>
      <c r="AH24" s="49"/>
      <c r="AI24" s="37"/>
      <c r="AJ24" s="37"/>
      <c r="AK24" s="37"/>
      <c r="AL24" s="37"/>
      <c r="AM24" s="37"/>
      <c r="AN24" s="37"/>
      <c r="AO24" s="37"/>
      <c r="AP24" s="37"/>
      <c r="AQ24" s="37"/>
      <c r="AR24" s="37"/>
      <c r="AS24" s="37"/>
      <c r="AT24" s="37"/>
      <c r="AU24" s="37"/>
      <c r="AV24" s="59"/>
      <c r="AW24" s="1" t="str">
        <f>_xlfn.CONCAT(tbl_Ben_Info[[#This Row],[First Name]]," ",tbl_Ben_Info[[#This Row],[Father Name]]," ",tbl_Ben_Info[[#This Row],[Family Name]])</f>
        <v xml:space="preserve">  </v>
      </c>
    </row>
    <row r="25" spans="2:49" ht="25.15" customHeight="1" x14ac:dyDescent="0.25">
      <c r="B25" s="49">
        <v>20</v>
      </c>
      <c r="C25" s="1" t="str">
        <f>_xlfn.CONCAT("181-702-",IF(tbl_Ben_Info[[#This Row],[SN]]&lt;10,"00"&amp;tbl_Ben_Info[[#This Row],[SN]],IF(tbl_Ben_Info[[#This Row],[SN]]&lt;100,"0"&amp;tbl_Ben_Info[[#This Row],[SN]],tbl_Ben_Info[[#This Row],[SN]])))</f>
        <v>181-702-020</v>
      </c>
      <c r="D25" s="37"/>
      <c r="E25" s="40"/>
      <c r="F25" s="41"/>
      <c r="G25" s="42"/>
      <c r="H25" s="43"/>
      <c r="I25" s="73"/>
      <c r="J25" s="43"/>
      <c r="K25" s="43"/>
      <c r="L25" s="43"/>
      <c r="M25" s="43"/>
      <c r="N25" s="111"/>
      <c r="O25" s="43"/>
      <c r="P25" s="48"/>
      <c r="Q25" s="49"/>
      <c r="R25" s="37"/>
      <c r="S25" s="37"/>
      <c r="T25" s="37"/>
      <c r="U25" s="37"/>
      <c r="V25" s="59"/>
      <c r="W25" s="49"/>
      <c r="X25" s="37"/>
      <c r="Y25" s="37"/>
      <c r="Z25" s="37"/>
      <c r="AA25" s="37"/>
      <c r="AB25" s="37"/>
      <c r="AC25" s="37"/>
      <c r="AD25" s="37"/>
      <c r="AE25" s="37"/>
      <c r="AF25" s="37"/>
      <c r="AG25" s="59"/>
      <c r="AH25" s="49"/>
      <c r="AI25" s="37"/>
      <c r="AJ25" s="37"/>
      <c r="AK25" s="37"/>
      <c r="AL25" s="37"/>
      <c r="AM25" s="37"/>
      <c r="AN25" s="37"/>
      <c r="AO25" s="37"/>
      <c r="AP25" s="37"/>
      <c r="AQ25" s="37"/>
      <c r="AR25" s="37"/>
      <c r="AS25" s="37"/>
      <c r="AT25" s="37"/>
      <c r="AU25" s="37"/>
      <c r="AV25" s="59"/>
      <c r="AW25" s="1" t="str">
        <f>_xlfn.CONCAT(tbl_Ben_Info[[#This Row],[First Name]]," ",tbl_Ben_Info[[#This Row],[Father Name]]," ",tbl_Ben_Info[[#This Row],[Family Name]])</f>
        <v xml:space="preserve">  </v>
      </c>
    </row>
    <row r="26" spans="2:49" ht="25.15" customHeight="1" x14ac:dyDescent="0.25">
      <c r="B26" s="49">
        <v>21</v>
      </c>
      <c r="C26" s="1" t="str">
        <f>_xlfn.CONCAT("181-702-",IF(tbl_Ben_Info[[#This Row],[SN]]&lt;10,"00"&amp;tbl_Ben_Info[[#This Row],[SN]],IF(tbl_Ben_Info[[#This Row],[SN]]&lt;100,"0"&amp;tbl_Ben_Info[[#This Row],[SN]],tbl_Ben_Info[[#This Row],[SN]])))</f>
        <v>181-702-021</v>
      </c>
      <c r="D26" s="37"/>
      <c r="E26" s="40"/>
      <c r="F26" s="41"/>
      <c r="G26" s="42"/>
      <c r="H26" s="43"/>
      <c r="I26" s="73"/>
      <c r="J26" s="43"/>
      <c r="K26" s="43"/>
      <c r="L26" s="43"/>
      <c r="M26" s="43"/>
      <c r="N26" s="111"/>
      <c r="O26" s="43"/>
      <c r="P26" s="48"/>
      <c r="Q26" s="49"/>
      <c r="R26" s="37"/>
      <c r="S26" s="37"/>
      <c r="T26" s="37"/>
      <c r="U26" s="37"/>
      <c r="V26" s="59"/>
      <c r="W26" s="49"/>
      <c r="X26" s="37"/>
      <c r="Y26" s="37"/>
      <c r="Z26" s="37"/>
      <c r="AA26" s="37"/>
      <c r="AB26" s="37"/>
      <c r="AC26" s="37"/>
      <c r="AD26" s="37"/>
      <c r="AE26" s="37"/>
      <c r="AF26" s="37"/>
      <c r="AG26" s="59"/>
      <c r="AH26" s="49"/>
      <c r="AI26" s="37"/>
      <c r="AJ26" s="37"/>
      <c r="AK26" s="37"/>
      <c r="AL26" s="37"/>
      <c r="AM26" s="37"/>
      <c r="AN26" s="37"/>
      <c r="AO26" s="37"/>
      <c r="AP26" s="37"/>
      <c r="AQ26" s="37"/>
      <c r="AR26" s="37"/>
      <c r="AS26" s="37"/>
      <c r="AT26" s="37"/>
      <c r="AU26" s="37"/>
      <c r="AV26" s="59"/>
      <c r="AW26" s="1" t="str">
        <f>_xlfn.CONCAT(tbl_Ben_Info[[#This Row],[First Name]]," ",tbl_Ben_Info[[#This Row],[Father Name]]," ",tbl_Ben_Info[[#This Row],[Family Name]])</f>
        <v xml:space="preserve">  </v>
      </c>
    </row>
    <row r="27" spans="2:49" ht="25.15" customHeight="1" x14ac:dyDescent="0.25">
      <c r="B27" s="49">
        <v>22</v>
      </c>
      <c r="C27" s="1" t="str">
        <f>_xlfn.CONCAT("181-702-",IF(tbl_Ben_Info[[#This Row],[SN]]&lt;10,"00"&amp;tbl_Ben_Info[[#This Row],[SN]],IF(tbl_Ben_Info[[#This Row],[SN]]&lt;100,"0"&amp;tbl_Ben_Info[[#This Row],[SN]],tbl_Ben_Info[[#This Row],[SN]])))</f>
        <v>181-702-022</v>
      </c>
      <c r="D27" s="37"/>
      <c r="E27" s="40"/>
      <c r="F27" s="41"/>
      <c r="G27" s="42"/>
      <c r="H27" s="43"/>
      <c r="I27" s="73"/>
      <c r="J27" s="43"/>
      <c r="K27" s="43"/>
      <c r="L27" s="43"/>
      <c r="M27" s="43"/>
      <c r="N27" s="111"/>
      <c r="O27" s="43"/>
      <c r="P27" s="48"/>
      <c r="Q27" s="49"/>
      <c r="R27" s="37"/>
      <c r="S27" s="37"/>
      <c r="T27" s="37"/>
      <c r="U27" s="37"/>
      <c r="V27" s="59"/>
      <c r="W27" s="49"/>
      <c r="X27" s="37"/>
      <c r="Y27" s="37"/>
      <c r="Z27" s="37"/>
      <c r="AA27" s="37"/>
      <c r="AB27" s="37"/>
      <c r="AC27" s="37"/>
      <c r="AD27" s="37"/>
      <c r="AE27" s="37"/>
      <c r="AF27" s="37"/>
      <c r="AG27" s="59"/>
      <c r="AH27" s="49"/>
      <c r="AI27" s="37"/>
      <c r="AJ27" s="37"/>
      <c r="AK27" s="37"/>
      <c r="AL27" s="37"/>
      <c r="AM27" s="37"/>
      <c r="AN27" s="37"/>
      <c r="AO27" s="37"/>
      <c r="AP27" s="37"/>
      <c r="AQ27" s="37"/>
      <c r="AR27" s="37"/>
      <c r="AS27" s="37"/>
      <c r="AT27" s="37"/>
      <c r="AU27" s="37"/>
      <c r="AV27" s="59"/>
      <c r="AW27" s="1" t="str">
        <f>_xlfn.CONCAT(tbl_Ben_Info[[#This Row],[First Name]]," ",tbl_Ben_Info[[#This Row],[Father Name]]," ",tbl_Ben_Info[[#This Row],[Family Name]])</f>
        <v xml:space="preserve">  </v>
      </c>
    </row>
    <row r="28" spans="2:49" ht="25.15" customHeight="1" x14ac:dyDescent="0.25">
      <c r="B28" s="49">
        <v>23</v>
      </c>
      <c r="C28" s="1" t="str">
        <f>_xlfn.CONCAT("181-702-",IF(tbl_Ben_Info[[#This Row],[SN]]&lt;10,"00"&amp;tbl_Ben_Info[[#This Row],[SN]],IF(tbl_Ben_Info[[#This Row],[SN]]&lt;100,"0"&amp;tbl_Ben_Info[[#This Row],[SN]],tbl_Ben_Info[[#This Row],[SN]])))</f>
        <v>181-702-023</v>
      </c>
      <c r="D28" s="37"/>
      <c r="E28" s="40"/>
      <c r="F28" s="41"/>
      <c r="G28" s="42"/>
      <c r="H28" s="43"/>
      <c r="I28" s="73"/>
      <c r="J28" s="43"/>
      <c r="K28" s="43"/>
      <c r="L28" s="43"/>
      <c r="M28" s="43"/>
      <c r="N28" s="111"/>
      <c r="O28" s="43"/>
      <c r="P28" s="48"/>
      <c r="Q28" s="49"/>
      <c r="R28" s="37"/>
      <c r="S28" s="37"/>
      <c r="T28" s="37"/>
      <c r="U28" s="37"/>
      <c r="V28" s="59"/>
      <c r="W28" s="49"/>
      <c r="X28" s="37"/>
      <c r="Y28" s="37"/>
      <c r="Z28" s="37"/>
      <c r="AA28" s="37"/>
      <c r="AB28" s="37"/>
      <c r="AC28" s="37"/>
      <c r="AD28" s="37"/>
      <c r="AE28" s="37"/>
      <c r="AF28" s="37"/>
      <c r="AG28" s="59"/>
      <c r="AH28" s="49"/>
      <c r="AI28" s="37"/>
      <c r="AJ28" s="37"/>
      <c r="AK28" s="37"/>
      <c r="AL28" s="37"/>
      <c r="AM28" s="37"/>
      <c r="AN28" s="37"/>
      <c r="AO28" s="37"/>
      <c r="AP28" s="37"/>
      <c r="AQ28" s="37"/>
      <c r="AR28" s="37"/>
      <c r="AS28" s="37"/>
      <c r="AT28" s="37"/>
      <c r="AU28" s="37"/>
      <c r="AV28" s="59"/>
      <c r="AW28" s="1" t="str">
        <f>_xlfn.CONCAT(tbl_Ben_Info[[#This Row],[First Name]]," ",tbl_Ben_Info[[#This Row],[Father Name]]," ",tbl_Ben_Info[[#This Row],[Family Name]])</f>
        <v xml:space="preserve">  </v>
      </c>
    </row>
    <row r="29" spans="2:49" ht="25.15" customHeight="1" x14ac:dyDescent="0.25">
      <c r="B29" s="49">
        <v>24</v>
      </c>
      <c r="C29" s="1" t="str">
        <f>_xlfn.CONCAT("181-702-",IF(tbl_Ben_Info[[#This Row],[SN]]&lt;10,"00"&amp;tbl_Ben_Info[[#This Row],[SN]],IF(tbl_Ben_Info[[#This Row],[SN]]&lt;100,"0"&amp;tbl_Ben_Info[[#This Row],[SN]],tbl_Ben_Info[[#This Row],[SN]])))</f>
        <v>181-702-024</v>
      </c>
      <c r="D29" s="37"/>
      <c r="E29" s="40"/>
      <c r="F29" s="41"/>
      <c r="G29" s="42"/>
      <c r="H29" s="43"/>
      <c r="I29" s="73"/>
      <c r="J29" s="43"/>
      <c r="K29" s="43"/>
      <c r="L29" s="43"/>
      <c r="M29" s="43"/>
      <c r="N29" s="111"/>
      <c r="O29" s="43"/>
      <c r="P29" s="48"/>
      <c r="Q29" s="49"/>
      <c r="R29" s="37"/>
      <c r="S29" s="37"/>
      <c r="T29" s="37"/>
      <c r="U29" s="37"/>
      <c r="V29" s="59"/>
      <c r="W29" s="49"/>
      <c r="X29" s="37"/>
      <c r="Y29" s="37"/>
      <c r="Z29" s="37"/>
      <c r="AA29" s="37"/>
      <c r="AB29" s="37"/>
      <c r="AC29" s="37"/>
      <c r="AD29" s="37"/>
      <c r="AE29" s="37"/>
      <c r="AF29" s="37"/>
      <c r="AG29" s="59"/>
      <c r="AH29" s="49"/>
      <c r="AI29" s="37"/>
      <c r="AJ29" s="37"/>
      <c r="AK29" s="37"/>
      <c r="AL29" s="37"/>
      <c r="AM29" s="37"/>
      <c r="AN29" s="37"/>
      <c r="AO29" s="37"/>
      <c r="AP29" s="37"/>
      <c r="AQ29" s="37"/>
      <c r="AR29" s="37"/>
      <c r="AS29" s="37"/>
      <c r="AT29" s="37"/>
      <c r="AU29" s="37"/>
      <c r="AV29" s="59"/>
      <c r="AW29" s="1" t="str">
        <f>_xlfn.CONCAT(tbl_Ben_Info[[#This Row],[First Name]]," ",tbl_Ben_Info[[#This Row],[Father Name]]," ",tbl_Ben_Info[[#This Row],[Family Name]])</f>
        <v xml:space="preserve">  </v>
      </c>
    </row>
    <row r="30" spans="2:49" ht="25.15" customHeight="1" x14ac:dyDescent="0.25">
      <c r="B30" s="49">
        <v>25</v>
      </c>
      <c r="C30" s="1" t="str">
        <f>_xlfn.CONCAT("181-702-",IF(tbl_Ben_Info[[#This Row],[SN]]&lt;10,"00"&amp;tbl_Ben_Info[[#This Row],[SN]],IF(tbl_Ben_Info[[#This Row],[SN]]&lt;100,"0"&amp;tbl_Ben_Info[[#This Row],[SN]],tbl_Ben_Info[[#This Row],[SN]])))</f>
        <v>181-702-025</v>
      </c>
      <c r="D30" s="37"/>
      <c r="E30" s="40"/>
      <c r="F30" s="41"/>
      <c r="G30" s="42"/>
      <c r="H30" s="43"/>
      <c r="I30" s="73"/>
      <c r="J30" s="43"/>
      <c r="K30" s="43"/>
      <c r="L30" s="43"/>
      <c r="M30" s="43"/>
      <c r="N30" s="111"/>
      <c r="O30" s="43"/>
      <c r="P30" s="48"/>
      <c r="Q30" s="49"/>
      <c r="R30" s="37"/>
      <c r="S30" s="37"/>
      <c r="T30" s="37"/>
      <c r="U30" s="37"/>
      <c r="V30" s="59"/>
      <c r="W30" s="49"/>
      <c r="X30" s="37"/>
      <c r="Y30" s="37"/>
      <c r="Z30" s="37"/>
      <c r="AA30" s="37"/>
      <c r="AB30" s="37"/>
      <c r="AC30" s="37"/>
      <c r="AD30" s="37"/>
      <c r="AE30" s="37"/>
      <c r="AF30" s="37"/>
      <c r="AG30" s="59"/>
      <c r="AH30" s="49"/>
      <c r="AI30" s="37"/>
      <c r="AJ30" s="37"/>
      <c r="AK30" s="37"/>
      <c r="AL30" s="37"/>
      <c r="AM30" s="37"/>
      <c r="AN30" s="37"/>
      <c r="AO30" s="37"/>
      <c r="AP30" s="37"/>
      <c r="AQ30" s="37"/>
      <c r="AR30" s="37"/>
      <c r="AS30" s="37"/>
      <c r="AT30" s="37"/>
      <c r="AU30" s="37"/>
      <c r="AV30" s="59"/>
      <c r="AW30" s="1" t="str">
        <f>_xlfn.CONCAT(tbl_Ben_Info[[#This Row],[First Name]]," ",tbl_Ben_Info[[#This Row],[Father Name]]," ",tbl_Ben_Info[[#This Row],[Family Name]])</f>
        <v xml:space="preserve">  </v>
      </c>
    </row>
    <row r="31" spans="2:49" ht="25.15" customHeight="1" x14ac:dyDescent="0.25">
      <c r="B31" s="49">
        <v>26</v>
      </c>
      <c r="C31" s="1" t="str">
        <f>_xlfn.CONCAT("181-702-",IF(tbl_Ben_Info[[#This Row],[SN]]&lt;10,"00"&amp;tbl_Ben_Info[[#This Row],[SN]],IF(tbl_Ben_Info[[#This Row],[SN]]&lt;100,"0"&amp;tbl_Ben_Info[[#This Row],[SN]],tbl_Ben_Info[[#This Row],[SN]])))</f>
        <v>181-702-026</v>
      </c>
      <c r="D31" s="37"/>
      <c r="E31" s="40"/>
      <c r="F31" s="41"/>
      <c r="G31" s="42"/>
      <c r="H31" s="43"/>
      <c r="I31" s="73"/>
      <c r="J31" s="43"/>
      <c r="K31" s="43"/>
      <c r="L31" s="43"/>
      <c r="M31" s="43"/>
      <c r="N31" s="111"/>
      <c r="O31" s="43"/>
      <c r="P31" s="48"/>
      <c r="Q31" s="49"/>
      <c r="R31" s="37"/>
      <c r="S31" s="37"/>
      <c r="T31" s="37"/>
      <c r="U31" s="37"/>
      <c r="V31" s="59"/>
      <c r="W31" s="49"/>
      <c r="X31" s="37"/>
      <c r="Y31" s="37"/>
      <c r="Z31" s="37"/>
      <c r="AA31" s="37"/>
      <c r="AB31" s="37"/>
      <c r="AC31" s="37"/>
      <c r="AD31" s="37"/>
      <c r="AE31" s="37"/>
      <c r="AF31" s="37"/>
      <c r="AG31" s="59"/>
      <c r="AH31" s="49"/>
      <c r="AI31" s="37"/>
      <c r="AJ31" s="37"/>
      <c r="AK31" s="37"/>
      <c r="AL31" s="37"/>
      <c r="AM31" s="37"/>
      <c r="AN31" s="37"/>
      <c r="AO31" s="37"/>
      <c r="AP31" s="37"/>
      <c r="AQ31" s="37"/>
      <c r="AR31" s="37"/>
      <c r="AS31" s="37"/>
      <c r="AT31" s="37"/>
      <c r="AU31" s="37"/>
      <c r="AV31" s="59"/>
      <c r="AW31" s="1" t="str">
        <f>_xlfn.CONCAT(tbl_Ben_Info[[#This Row],[First Name]]," ",tbl_Ben_Info[[#This Row],[Father Name]]," ",tbl_Ben_Info[[#This Row],[Family Name]])</f>
        <v xml:space="preserve">  </v>
      </c>
    </row>
    <row r="32" spans="2:49" ht="25.15" customHeight="1" x14ac:dyDescent="0.25">
      <c r="B32" s="49">
        <v>27</v>
      </c>
      <c r="C32" s="1" t="str">
        <f>_xlfn.CONCAT("181-702-",IF(tbl_Ben_Info[[#This Row],[SN]]&lt;10,"00"&amp;tbl_Ben_Info[[#This Row],[SN]],IF(tbl_Ben_Info[[#This Row],[SN]]&lt;100,"0"&amp;tbl_Ben_Info[[#This Row],[SN]],tbl_Ben_Info[[#This Row],[SN]])))</f>
        <v>181-702-027</v>
      </c>
      <c r="D32" s="37"/>
      <c r="E32" s="40"/>
      <c r="F32" s="41"/>
      <c r="G32" s="42"/>
      <c r="H32" s="43"/>
      <c r="I32" s="73"/>
      <c r="J32" s="43"/>
      <c r="K32" s="43"/>
      <c r="L32" s="43"/>
      <c r="M32" s="43"/>
      <c r="N32" s="111"/>
      <c r="O32" s="43"/>
      <c r="P32" s="48"/>
      <c r="Q32" s="49"/>
      <c r="R32" s="37"/>
      <c r="S32" s="37"/>
      <c r="T32" s="37"/>
      <c r="U32" s="37"/>
      <c r="V32" s="59"/>
      <c r="W32" s="49"/>
      <c r="X32" s="37"/>
      <c r="Y32" s="37"/>
      <c r="Z32" s="37"/>
      <c r="AA32" s="37"/>
      <c r="AB32" s="37"/>
      <c r="AC32" s="37"/>
      <c r="AD32" s="37"/>
      <c r="AE32" s="37"/>
      <c r="AF32" s="37"/>
      <c r="AG32" s="59"/>
      <c r="AH32" s="49"/>
      <c r="AI32" s="37"/>
      <c r="AJ32" s="37"/>
      <c r="AK32" s="37"/>
      <c r="AL32" s="37"/>
      <c r="AM32" s="37"/>
      <c r="AN32" s="37"/>
      <c r="AO32" s="37"/>
      <c r="AP32" s="37"/>
      <c r="AQ32" s="37"/>
      <c r="AR32" s="37"/>
      <c r="AS32" s="37"/>
      <c r="AT32" s="37"/>
      <c r="AU32" s="37"/>
      <c r="AV32" s="59"/>
      <c r="AW32" s="1" t="str">
        <f>_xlfn.CONCAT(tbl_Ben_Info[[#This Row],[First Name]]," ",tbl_Ben_Info[[#This Row],[Father Name]]," ",tbl_Ben_Info[[#This Row],[Family Name]])</f>
        <v xml:space="preserve">  </v>
      </c>
    </row>
    <row r="33" spans="2:49" ht="25.15" customHeight="1" x14ac:dyDescent="0.25">
      <c r="B33" s="49">
        <v>28</v>
      </c>
      <c r="C33" s="1" t="str">
        <f>_xlfn.CONCAT("181-702-",IF(tbl_Ben_Info[[#This Row],[SN]]&lt;10,"00"&amp;tbl_Ben_Info[[#This Row],[SN]],IF(tbl_Ben_Info[[#This Row],[SN]]&lt;100,"0"&amp;tbl_Ben_Info[[#This Row],[SN]],tbl_Ben_Info[[#This Row],[SN]])))</f>
        <v>181-702-028</v>
      </c>
      <c r="D33" s="37"/>
      <c r="E33" s="40"/>
      <c r="F33" s="41"/>
      <c r="G33" s="42"/>
      <c r="H33" s="43"/>
      <c r="I33" s="73"/>
      <c r="J33" s="43"/>
      <c r="K33" s="43"/>
      <c r="L33" s="43"/>
      <c r="M33" s="43"/>
      <c r="N33" s="111"/>
      <c r="O33" s="43"/>
      <c r="P33" s="48"/>
      <c r="Q33" s="49"/>
      <c r="R33" s="37"/>
      <c r="S33" s="37"/>
      <c r="T33" s="37"/>
      <c r="U33" s="37"/>
      <c r="V33" s="59"/>
      <c r="W33" s="49"/>
      <c r="X33" s="37"/>
      <c r="Y33" s="37"/>
      <c r="Z33" s="37"/>
      <c r="AA33" s="37"/>
      <c r="AB33" s="37"/>
      <c r="AC33" s="37"/>
      <c r="AD33" s="37"/>
      <c r="AE33" s="37"/>
      <c r="AF33" s="37"/>
      <c r="AG33" s="59"/>
      <c r="AH33" s="49"/>
      <c r="AI33" s="37"/>
      <c r="AJ33" s="37"/>
      <c r="AK33" s="37"/>
      <c r="AL33" s="37"/>
      <c r="AM33" s="37"/>
      <c r="AN33" s="37"/>
      <c r="AO33" s="37"/>
      <c r="AP33" s="37"/>
      <c r="AQ33" s="37"/>
      <c r="AR33" s="37"/>
      <c r="AS33" s="37"/>
      <c r="AT33" s="37"/>
      <c r="AU33" s="37"/>
      <c r="AV33" s="59"/>
      <c r="AW33" s="1" t="str">
        <f>_xlfn.CONCAT(tbl_Ben_Info[[#This Row],[First Name]]," ",tbl_Ben_Info[[#This Row],[Father Name]]," ",tbl_Ben_Info[[#This Row],[Family Name]])</f>
        <v xml:space="preserve">  </v>
      </c>
    </row>
    <row r="34" spans="2:49" ht="25.15" customHeight="1" x14ac:dyDescent="0.25">
      <c r="B34" s="49">
        <v>29</v>
      </c>
      <c r="C34" s="1" t="str">
        <f>_xlfn.CONCAT("181-702-",IF(tbl_Ben_Info[[#This Row],[SN]]&lt;10,"00"&amp;tbl_Ben_Info[[#This Row],[SN]],IF(tbl_Ben_Info[[#This Row],[SN]]&lt;100,"0"&amp;tbl_Ben_Info[[#This Row],[SN]],tbl_Ben_Info[[#This Row],[SN]])))</f>
        <v>181-702-029</v>
      </c>
      <c r="D34" s="37"/>
      <c r="E34" s="40"/>
      <c r="F34" s="41"/>
      <c r="G34" s="42"/>
      <c r="H34" s="43"/>
      <c r="I34" s="73"/>
      <c r="J34" s="43"/>
      <c r="K34" s="43"/>
      <c r="L34" s="43"/>
      <c r="M34" s="43"/>
      <c r="N34" s="111"/>
      <c r="O34" s="43"/>
      <c r="P34" s="48"/>
      <c r="Q34" s="49"/>
      <c r="R34" s="37"/>
      <c r="S34" s="37"/>
      <c r="T34" s="37"/>
      <c r="U34" s="37"/>
      <c r="V34" s="59"/>
      <c r="W34" s="49"/>
      <c r="X34" s="37"/>
      <c r="Y34" s="37"/>
      <c r="Z34" s="37"/>
      <c r="AA34" s="37"/>
      <c r="AB34" s="37"/>
      <c r="AC34" s="37"/>
      <c r="AD34" s="37"/>
      <c r="AE34" s="37"/>
      <c r="AF34" s="37"/>
      <c r="AG34" s="59"/>
      <c r="AH34" s="49"/>
      <c r="AI34" s="37"/>
      <c r="AJ34" s="37"/>
      <c r="AK34" s="37"/>
      <c r="AL34" s="37"/>
      <c r="AM34" s="37"/>
      <c r="AN34" s="37"/>
      <c r="AO34" s="37"/>
      <c r="AP34" s="37"/>
      <c r="AQ34" s="37"/>
      <c r="AR34" s="37"/>
      <c r="AS34" s="37"/>
      <c r="AT34" s="37"/>
      <c r="AU34" s="37"/>
      <c r="AV34" s="59"/>
      <c r="AW34" s="1" t="str">
        <f>_xlfn.CONCAT(tbl_Ben_Info[[#This Row],[First Name]]," ",tbl_Ben_Info[[#This Row],[Father Name]]," ",tbl_Ben_Info[[#This Row],[Family Name]])</f>
        <v xml:space="preserve">  </v>
      </c>
    </row>
    <row r="35" spans="2:49" ht="25.15" customHeight="1" x14ac:dyDescent="0.25">
      <c r="B35" s="49">
        <v>30</v>
      </c>
      <c r="C35" s="1" t="str">
        <f>_xlfn.CONCAT("181-702-",IF(tbl_Ben_Info[[#This Row],[SN]]&lt;10,"00"&amp;tbl_Ben_Info[[#This Row],[SN]],IF(tbl_Ben_Info[[#This Row],[SN]]&lt;100,"0"&amp;tbl_Ben_Info[[#This Row],[SN]],tbl_Ben_Info[[#This Row],[SN]])))</f>
        <v>181-702-030</v>
      </c>
      <c r="D35" s="37"/>
      <c r="E35" s="40"/>
      <c r="F35" s="41"/>
      <c r="G35" s="42"/>
      <c r="H35" s="43"/>
      <c r="I35" s="73"/>
      <c r="J35" s="43"/>
      <c r="K35" s="43"/>
      <c r="L35" s="43"/>
      <c r="M35" s="43"/>
      <c r="N35" s="111"/>
      <c r="O35" s="43"/>
      <c r="P35" s="48"/>
      <c r="Q35" s="49"/>
      <c r="R35" s="37"/>
      <c r="S35" s="37"/>
      <c r="T35" s="37"/>
      <c r="U35" s="37"/>
      <c r="V35" s="59"/>
      <c r="W35" s="49"/>
      <c r="X35" s="37"/>
      <c r="Y35" s="37"/>
      <c r="Z35" s="37"/>
      <c r="AA35" s="37"/>
      <c r="AB35" s="37"/>
      <c r="AC35" s="37"/>
      <c r="AD35" s="37"/>
      <c r="AE35" s="37"/>
      <c r="AF35" s="37"/>
      <c r="AG35" s="59"/>
      <c r="AH35" s="49"/>
      <c r="AI35" s="37"/>
      <c r="AJ35" s="37"/>
      <c r="AK35" s="37"/>
      <c r="AL35" s="37"/>
      <c r="AM35" s="37"/>
      <c r="AN35" s="37"/>
      <c r="AO35" s="37"/>
      <c r="AP35" s="37"/>
      <c r="AQ35" s="37"/>
      <c r="AR35" s="37"/>
      <c r="AS35" s="37"/>
      <c r="AT35" s="37"/>
      <c r="AU35" s="37"/>
      <c r="AV35" s="59"/>
      <c r="AW35" s="1" t="str">
        <f>_xlfn.CONCAT(tbl_Ben_Info[[#This Row],[First Name]]," ",tbl_Ben_Info[[#This Row],[Father Name]]," ",tbl_Ben_Info[[#This Row],[Family Name]])</f>
        <v xml:space="preserve">  </v>
      </c>
    </row>
    <row r="36" spans="2:49" ht="25.15" customHeight="1" x14ac:dyDescent="0.25">
      <c r="B36" s="49">
        <v>31</v>
      </c>
      <c r="C36" s="1" t="str">
        <f>_xlfn.CONCAT("181-702-",IF(tbl_Ben_Info[[#This Row],[SN]]&lt;10,"00"&amp;tbl_Ben_Info[[#This Row],[SN]],IF(tbl_Ben_Info[[#This Row],[SN]]&lt;100,"0"&amp;tbl_Ben_Info[[#This Row],[SN]],tbl_Ben_Info[[#This Row],[SN]])))</f>
        <v>181-702-031</v>
      </c>
      <c r="D36" s="37"/>
      <c r="E36" s="40"/>
      <c r="F36" s="41"/>
      <c r="G36" s="42"/>
      <c r="H36" s="43"/>
      <c r="I36" s="73"/>
      <c r="J36" s="43"/>
      <c r="K36" s="43"/>
      <c r="L36" s="43"/>
      <c r="M36" s="43"/>
      <c r="N36" s="111"/>
      <c r="O36" s="43"/>
      <c r="P36" s="48"/>
      <c r="Q36" s="49"/>
      <c r="R36" s="37"/>
      <c r="S36" s="37"/>
      <c r="T36" s="37"/>
      <c r="U36" s="37"/>
      <c r="V36" s="59"/>
      <c r="W36" s="49"/>
      <c r="X36" s="37"/>
      <c r="Y36" s="37"/>
      <c r="Z36" s="37"/>
      <c r="AA36" s="37"/>
      <c r="AB36" s="37"/>
      <c r="AC36" s="37"/>
      <c r="AD36" s="37"/>
      <c r="AE36" s="37"/>
      <c r="AF36" s="37"/>
      <c r="AG36" s="59"/>
      <c r="AH36" s="49"/>
      <c r="AI36" s="37"/>
      <c r="AJ36" s="37"/>
      <c r="AK36" s="37"/>
      <c r="AL36" s="37"/>
      <c r="AM36" s="37"/>
      <c r="AN36" s="37"/>
      <c r="AO36" s="37"/>
      <c r="AP36" s="37"/>
      <c r="AQ36" s="37"/>
      <c r="AR36" s="37"/>
      <c r="AS36" s="37"/>
      <c r="AT36" s="37"/>
      <c r="AU36" s="37"/>
      <c r="AV36" s="59"/>
      <c r="AW36" s="1" t="str">
        <f>_xlfn.CONCAT(tbl_Ben_Info[[#This Row],[First Name]]," ",tbl_Ben_Info[[#This Row],[Father Name]]," ",tbl_Ben_Info[[#This Row],[Family Name]])</f>
        <v xml:space="preserve">  </v>
      </c>
    </row>
    <row r="37" spans="2:49" ht="25.15" customHeight="1" x14ac:dyDescent="0.25">
      <c r="B37" s="49">
        <v>32</v>
      </c>
      <c r="C37" s="1" t="str">
        <f>_xlfn.CONCAT("181-702-",IF(tbl_Ben_Info[[#This Row],[SN]]&lt;10,"00"&amp;tbl_Ben_Info[[#This Row],[SN]],IF(tbl_Ben_Info[[#This Row],[SN]]&lt;100,"0"&amp;tbl_Ben_Info[[#This Row],[SN]],tbl_Ben_Info[[#This Row],[SN]])))</f>
        <v>181-702-032</v>
      </c>
      <c r="D37" s="37"/>
      <c r="E37" s="40"/>
      <c r="F37" s="41"/>
      <c r="G37" s="42"/>
      <c r="H37" s="43"/>
      <c r="I37" s="73"/>
      <c r="J37" s="43"/>
      <c r="K37" s="43"/>
      <c r="L37" s="43"/>
      <c r="M37" s="43"/>
      <c r="N37" s="111"/>
      <c r="O37" s="43"/>
      <c r="P37" s="48"/>
      <c r="Q37" s="49"/>
      <c r="R37" s="37"/>
      <c r="S37" s="37"/>
      <c r="T37" s="37"/>
      <c r="U37" s="37"/>
      <c r="V37" s="59"/>
      <c r="W37" s="49"/>
      <c r="X37" s="37"/>
      <c r="Y37" s="37"/>
      <c r="Z37" s="37"/>
      <c r="AA37" s="37"/>
      <c r="AB37" s="37"/>
      <c r="AC37" s="37"/>
      <c r="AD37" s="37"/>
      <c r="AE37" s="37"/>
      <c r="AF37" s="37"/>
      <c r="AG37" s="59"/>
      <c r="AH37" s="49"/>
      <c r="AI37" s="37"/>
      <c r="AJ37" s="37"/>
      <c r="AK37" s="37"/>
      <c r="AL37" s="37"/>
      <c r="AM37" s="37"/>
      <c r="AN37" s="37"/>
      <c r="AO37" s="37"/>
      <c r="AP37" s="37"/>
      <c r="AQ37" s="37"/>
      <c r="AR37" s="37"/>
      <c r="AS37" s="37"/>
      <c r="AT37" s="37"/>
      <c r="AU37" s="37"/>
      <c r="AV37" s="59"/>
      <c r="AW37" s="1" t="str">
        <f>_xlfn.CONCAT(tbl_Ben_Info[[#This Row],[First Name]]," ",tbl_Ben_Info[[#This Row],[Father Name]]," ",tbl_Ben_Info[[#This Row],[Family Name]])</f>
        <v xml:space="preserve">  </v>
      </c>
    </row>
    <row r="38" spans="2:49" ht="25.15" customHeight="1" x14ac:dyDescent="0.25">
      <c r="B38" s="49">
        <v>33</v>
      </c>
      <c r="C38" s="1" t="str">
        <f>_xlfn.CONCAT("181-702-",IF(tbl_Ben_Info[[#This Row],[SN]]&lt;10,"00"&amp;tbl_Ben_Info[[#This Row],[SN]],IF(tbl_Ben_Info[[#This Row],[SN]]&lt;100,"0"&amp;tbl_Ben_Info[[#This Row],[SN]],tbl_Ben_Info[[#This Row],[SN]])))</f>
        <v>181-702-033</v>
      </c>
      <c r="D38" s="37"/>
      <c r="E38" s="40"/>
      <c r="F38" s="41"/>
      <c r="G38" s="42"/>
      <c r="H38" s="43"/>
      <c r="I38" s="73"/>
      <c r="J38" s="43"/>
      <c r="K38" s="43"/>
      <c r="L38" s="43"/>
      <c r="M38" s="43"/>
      <c r="N38" s="111"/>
      <c r="O38" s="43"/>
      <c r="P38" s="48"/>
      <c r="Q38" s="49"/>
      <c r="R38" s="37"/>
      <c r="S38" s="37"/>
      <c r="T38" s="37"/>
      <c r="U38" s="37"/>
      <c r="V38" s="59"/>
      <c r="W38" s="49"/>
      <c r="X38" s="37"/>
      <c r="Y38" s="37"/>
      <c r="Z38" s="37"/>
      <c r="AA38" s="37"/>
      <c r="AB38" s="37"/>
      <c r="AC38" s="37"/>
      <c r="AD38" s="37"/>
      <c r="AE38" s="37"/>
      <c r="AF38" s="37"/>
      <c r="AG38" s="59"/>
      <c r="AH38" s="49"/>
      <c r="AI38" s="37"/>
      <c r="AJ38" s="37"/>
      <c r="AK38" s="37"/>
      <c r="AL38" s="37"/>
      <c r="AM38" s="37"/>
      <c r="AN38" s="37"/>
      <c r="AO38" s="37"/>
      <c r="AP38" s="37"/>
      <c r="AQ38" s="37"/>
      <c r="AR38" s="37"/>
      <c r="AS38" s="37"/>
      <c r="AT38" s="37"/>
      <c r="AU38" s="37"/>
      <c r="AV38" s="59"/>
      <c r="AW38" s="1" t="str">
        <f>_xlfn.CONCAT(tbl_Ben_Info[[#This Row],[First Name]]," ",tbl_Ben_Info[[#This Row],[Father Name]]," ",tbl_Ben_Info[[#This Row],[Family Name]])</f>
        <v xml:space="preserve">  </v>
      </c>
    </row>
    <row r="39" spans="2:49" ht="25.15" customHeight="1" x14ac:dyDescent="0.25">
      <c r="B39" s="49">
        <v>34</v>
      </c>
      <c r="C39" s="1" t="str">
        <f>_xlfn.CONCAT("181-702-",IF(tbl_Ben_Info[[#This Row],[SN]]&lt;10,"00"&amp;tbl_Ben_Info[[#This Row],[SN]],IF(tbl_Ben_Info[[#This Row],[SN]]&lt;100,"0"&amp;tbl_Ben_Info[[#This Row],[SN]],tbl_Ben_Info[[#This Row],[SN]])))</f>
        <v>181-702-034</v>
      </c>
      <c r="D39" s="37"/>
      <c r="E39" s="40"/>
      <c r="F39" s="41"/>
      <c r="G39" s="42"/>
      <c r="H39" s="43"/>
      <c r="I39" s="73"/>
      <c r="J39" s="43"/>
      <c r="K39" s="43"/>
      <c r="L39" s="43"/>
      <c r="M39" s="43"/>
      <c r="N39" s="111"/>
      <c r="O39" s="43"/>
      <c r="P39" s="48"/>
      <c r="Q39" s="49"/>
      <c r="R39" s="37"/>
      <c r="S39" s="37"/>
      <c r="T39" s="37"/>
      <c r="U39" s="37"/>
      <c r="V39" s="59"/>
      <c r="W39" s="49"/>
      <c r="X39" s="37"/>
      <c r="Y39" s="37"/>
      <c r="Z39" s="37"/>
      <c r="AA39" s="37"/>
      <c r="AB39" s="37"/>
      <c r="AC39" s="37"/>
      <c r="AD39" s="37"/>
      <c r="AE39" s="37"/>
      <c r="AF39" s="37"/>
      <c r="AG39" s="59"/>
      <c r="AH39" s="49"/>
      <c r="AI39" s="37"/>
      <c r="AJ39" s="37"/>
      <c r="AK39" s="37"/>
      <c r="AL39" s="37"/>
      <c r="AM39" s="37"/>
      <c r="AN39" s="37"/>
      <c r="AO39" s="37"/>
      <c r="AP39" s="37"/>
      <c r="AQ39" s="37"/>
      <c r="AR39" s="37"/>
      <c r="AS39" s="37"/>
      <c r="AT39" s="37"/>
      <c r="AU39" s="37"/>
      <c r="AV39" s="59"/>
      <c r="AW39" s="1" t="str">
        <f>_xlfn.CONCAT(tbl_Ben_Info[[#This Row],[First Name]]," ",tbl_Ben_Info[[#This Row],[Father Name]]," ",tbl_Ben_Info[[#This Row],[Family Name]])</f>
        <v xml:space="preserve">  </v>
      </c>
    </row>
    <row r="40" spans="2:49" ht="25.15" customHeight="1" x14ac:dyDescent="0.25">
      <c r="B40" s="49">
        <v>35</v>
      </c>
      <c r="C40" s="1" t="str">
        <f>_xlfn.CONCAT("181-702-",IF(tbl_Ben_Info[[#This Row],[SN]]&lt;10,"00"&amp;tbl_Ben_Info[[#This Row],[SN]],IF(tbl_Ben_Info[[#This Row],[SN]]&lt;100,"0"&amp;tbl_Ben_Info[[#This Row],[SN]],tbl_Ben_Info[[#This Row],[SN]])))</f>
        <v>181-702-035</v>
      </c>
      <c r="D40" s="37"/>
      <c r="E40" s="40"/>
      <c r="F40" s="41"/>
      <c r="G40" s="42"/>
      <c r="H40" s="43"/>
      <c r="I40" s="73"/>
      <c r="J40" s="43"/>
      <c r="K40" s="43"/>
      <c r="L40" s="43"/>
      <c r="M40" s="43"/>
      <c r="N40" s="111"/>
      <c r="O40" s="43"/>
      <c r="P40" s="48"/>
      <c r="Q40" s="49"/>
      <c r="R40" s="37"/>
      <c r="S40" s="37"/>
      <c r="T40" s="37"/>
      <c r="U40" s="37"/>
      <c r="V40" s="59"/>
      <c r="W40" s="49"/>
      <c r="X40" s="37"/>
      <c r="Y40" s="37"/>
      <c r="Z40" s="37"/>
      <c r="AA40" s="37"/>
      <c r="AB40" s="37"/>
      <c r="AC40" s="37"/>
      <c r="AD40" s="37"/>
      <c r="AE40" s="37"/>
      <c r="AF40" s="37"/>
      <c r="AG40" s="59"/>
      <c r="AH40" s="49"/>
      <c r="AI40" s="37"/>
      <c r="AJ40" s="37"/>
      <c r="AK40" s="37"/>
      <c r="AL40" s="37"/>
      <c r="AM40" s="37"/>
      <c r="AN40" s="37"/>
      <c r="AO40" s="37"/>
      <c r="AP40" s="37"/>
      <c r="AQ40" s="37"/>
      <c r="AR40" s="37"/>
      <c r="AS40" s="37"/>
      <c r="AT40" s="37"/>
      <c r="AU40" s="37"/>
      <c r="AV40" s="59"/>
      <c r="AW40" s="1" t="str">
        <f>_xlfn.CONCAT(tbl_Ben_Info[[#This Row],[First Name]]," ",tbl_Ben_Info[[#This Row],[Father Name]]," ",tbl_Ben_Info[[#This Row],[Family Name]])</f>
        <v xml:space="preserve">  </v>
      </c>
    </row>
    <row r="41" spans="2:49" ht="25.15" customHeight="1" x14ac:dyDescent="0.25">
      <c r="B41" s="49">
        <v>36</v>
      </c>
      <c r="C41" s="1" t="str">
        <f>_xlfn.CONCAT("181-702-",IF(tbl_Ben_Info[[#This Row],[SN]]&lt;10,"00"&amp;tbl_Ben_Info[[#This Row],[SN]],IF(tbl_Ben_Info[[#This Row],[SN]]&lt;100,"0"&amp;tbl_Ben_Info[[#This Row],[SN]],tbl_Ben_Info[[#This Row],[SN]])))</f>
        <v>181-702-036</v>
      </c>
      <c r="D41" s="37"/>
      <c r="E41" s="40"/>
      <c r="F41" s="41"/>
      <c r="G41" s="42"/>
      <c r="H41" s="43"/>
      <c r="I41" s="73"/>
      <c r="J41" s="43"/>
      <c r="K41" s="43"/>
      <c r="L41" s="43"/>
      <c r="M41" s="43"/>
      <c r="N41" s="111"/>
      <c r="O41" s="43"/>
      <c r="P41" s="48"/>
      <c r="Q41" s="49"/>
      <c r="R41" s="37"/>
      <c r="S41" s="37"/>
      <c r="T41" s="37"/>
      <c r="U41" s="37"/>
      <c r="V41" s="59"/>
      <c r="W41" s="49"/>
      <c r="X41" s="37"/>
      <c r="Y41" s="37"/>
      <c r="Z41" s="37"/>
      <c r="AA41" s="37"/>
      <c r="AB41" s="37"/>
      <c r="AC41" s="37"/>
      <c r="AD41" s="37"/>
      <c r="AE41" s="37"/>
      <c r="AF41" s="37"/>
      <c r="AG41" s="59"/>
      <c r="AH41" s="49"/>
      <c r="AI41" s="37"/>
      <c r="AJ41" s="37"/>
      <c r="AK41" s="37"/>
      <c r="AL41" s="37"/>
      <c r="AM41" s="37"/>
      <c r="AN41" s="37"/>
      <c r="AO41" s="37"/>
      <c r="AP41" s="37"/>
      <c r="AQ41" s="37"/>
      <c r="AR41" s="37"/>
      <c r="AS41" s="37"/>
      <c r="AT41" s="37"/>
      <c r="AU41" s="37"/>
      <c r="AV41" s="59"/>
      <c r="AW41" s="1" t="str">
        <f>_xlfn.CONCAT(tbl_Ben_Info[[#This Row],[First Name]]," ",tbl_Ben_Info[[#This Row],[Father Name]]," ",tbl_Ben_Info[[#This Row],[Family Name]])</f>
        <v xml:space="preserve">  </v>
      </c>
    </row>
    <row r="42" spans="2:49" ht="25.15" customHeight="1" x14ac:dyDescent="0.25">
      <c r="B42" s="49">
        <v>37</v>
      </c>
      <c r="C42" s="1" t="str">
        <f>_xlfn.CONCAT("181-702-",IF(tbl_Ben_Info[[#This Row],[SN]]&lt;10,"00"&amp;tbl_Ben_Info[[#This Row],[SN]],IF(tbl_Ben_Info[[#This Row],[SN]]&lt;100,"0"&amp;tbl_Ben_Info[[#This Row],[SN]],tbl_Ben_Info[[#This Row],[SN]])))</f>
        <v>181-702-037</v>
      </c>
      <c r="D42" s="37"/>
      <c r="E42" s="40"/>
      <c r="F42" s="41"/>
      <c r="G42" s="42"/>
      <c r="H42" s="43"/>
      <c r="I42" s="73"/>
      <c r="J42" s="43"/>
      <c r="K42" s="43"/>
      <c r="L42" s="43"/>
      <c r="M42" s="43"/>
      <c r="N42" s="111"/>
      <c r="O42" s="43"/>
      <c r="P42" s="48"/>
      <c r="Q42" s="49"/>
      <c r="R42" s="37"/>
      <c r="S42" s="37"/>
      <c r="T42" s="37"/>
      <c r="U42" s="37"/>
      <c r="V42" s="59"/>
      <c r="W42" s="49"/>
      <c r="X42" s="37"/>
      <c r="Y42" s="37"/>
      <c r="Z42" s="37"/>
      <c r="AA42" s="37"/>
      <c r="AB42" s="37"/>
      <c r="AC42" s="37"/>
      <c r="AD42" s="37"/>
      <c r="AE42" s="37"/>
      <c r="AF42" s="37"/>
      <c r="AG42" s="59"/>
      <c r="AH42" s="49"/>
      <c r="AI42" s="37"/>
      <c r="AJ42" s="37"/>
      <c r="AK42" s="37"/>
      <c r="AL42" s="37"/>
      <c r="AM42" s="37"/>
      <c r="AN42" s="37"/>
      <c r="AO42" s="37"/>
      <c r="AP42" s="37"/>
      <c r="AQ42" s="37"/>
      <c r="AR42" s="37"/>
      <c r="AS42" s="37"/>
      <c r="AT42" s="37"/>
      <c r="AU42" s="37"/>
      <c r="AV42" s="59"/>
      <c r="AW42" s="1" t="str">
        <f>_xlfn.CONCAT(tbl_Ben_Info[[#This Row],[First Name]]," ",tbl_Ben_Info[[#This Row],[Father Name]]," ",tbl_Ben_Info[[#This Row],[Family Name]])</f>
        <v xml:space="preserve">  </v>
      </c>
    </row>
    <row r="43" spans="2:49" ht="25.15" customHeight="1" x14ac:dyDescent="0.25">
      <c r="B43" s="49">
        <v>38</v>
      </c>
      <c r="C43" s="1" t="str">
        <f>_xlfn.CONCAT("181-702-",IF(tbl_Ben_Info[[#This Row],[SN]]&lt;10,"00"&amp;tbl_Ben_Info[[#This Row],[SN]],IF(tbl_Ben_Info[[#This Row],[SN]]&lt;100,"0"&amp;tbl_Ben_Info[[#This Row],[SN]],tbl_Ben_Info[[#This Row],[SN]])))</f>
        <v>181-702-038</v>
      </c>
      <c r="D43" s="37"/>
      <c r="E43" s="40"/>
      <c r="F43" s="41"/>
      <c r="G43" s="42"/>
      <c r="H43" s="43"/>
      <c r="I43" s="73"/>
      <c r="J43" s="43"/>
      <c r="K43" s="43"/>
      <c r="L43" s="43"/>
      <c r="M43" s="43"/>
      <c r="N43" s="111"/>
      <c r="O43" s="43"/>
      <c r="P43" s="48"/>
      <c r="Q43" s="49"/>
      <c r="R43" s="37"/>
      <c r="S43" s="37"/>
      <c r="T43" s="37"/>
      <c r="U43" s="37"/>
      <c r="V43" s="59"/>
      <c r="W43" s="49"/>
      <c r="X43" s="37"/>
      <c r="Y43" s="37"/>
      <c r="Z43" s="37"/>
      <c r="AA43" s="37"/>
      <c r="AB43" s="37"/>
      <c r="AC43" s="37"/>
      <c r="AD43" s="37"/>
      <c r="AE43" s="37"/>
      <c r="AF43" s="37"/>
      <c r="AG43" s="59"/>
      <c r="AH43" s="49"/>
      <c r="AI43" s="37"/>
      <c r="AJ43" s="37"/>
      <c r="AK43" s="37"/>
      <c r="AL43" s="37"/>
      <c r="AM43" s="37"/>
      <c r="AN43" s="37"/>
      <c r="AO43" s="37"/>
      <c r="AP43" s="37"/>
      <c r="AQ43" s="37"/>
      <c r="AR43" s="37"/>
      <c r="AS43" s="37"/>
      <c r="AT43" s="37"/>
      <c r="AU43" s="37"/>
      <c r="AV43" s="59"/>
      <c r="AW43" s="1" t="str">
        <f>_xlfn.CONCAT(tbl_Ben_Info[[#This Row],[First Name]]," ",tbl_Ben_Info[[#This Row],[Father Name]]," ",tbl_Ben_Info[[#This Row],[Family Name]])</f>
        <v xml:space="preserve">  </v>
      </c>
    </row>
    <row r="44" spans="2:49" ht="25.15" customHeight="1" x14ac:dyDescent="0.25">
      <c r="B44" s="49">
        <v>39</v>
      </c>
      <c r="C44" s="1" t="str">
        <f>_xlfn.CONCAT("181-702-",IF(tbl_Ben_Info[[#This Row],[SN]]&lt;10,"00"&amp;tbl_Ben_Info[[#This Row],[SN]],IF(tbl_Ben_Info[[#This Row],[SN]]&lt;100,"0"&amp;tbl_Ben_Info[[#This Row],[SN]],tbl_Ben_Info[[#This Row],[SN]])))</f>
        <v>181-702-039</v>
      </c>
      <c r="D44" s="37"/>
      <c r="E44" s="40"/>
      <c r="F44" s="41"/>
      <c r="G44" s="42"/>
      <c r="H44" s="43"/>
      <c r="I44" s="73"/>
      <c r="J44" s="43"/>
      <c r="K44" s="43"/>
      <c r="L44" s="43"/>
      <c r="M44" s="43"/>
      <c r="N44" s="111"/>
      <c r="O44" s="43"/>
      <c r="P44" s="48"/>
      <c r="Q44" s="49"/>
      <c r="R44" s="37"/>
      <c r="S44" s="37"/>
      <c r="T44" s="37"/>
      <c r="U44" s="37"/>
      <c r="V44" s="59"/>
      <c r="W44" s="49"/>
      <c r="X44" s="37"/>
      <c r="Y44" s="37"/>
      <c r="Z44" s="37"/>
      <c r="AA44" s="37"/>
      <c r="AB44" s="37"/>
      <c r="AC44" s="37"/>
      <c r="AD44" s="37"/>
      <c r="AE44" s="37"/>
      <c r="AF44" s="37"/>
      <c r="AG44" s="59"/>
      <c r="AH44" s="49"/>
      <c r="AI44" s="37"/>
      <c r="AJ44" s="37"/>
      <c r="AK44" s="37"/>
      <c r="AL44" s="37"/>
      <c r="AM44" s="37"/>
      <c r="AN44" s="37"/>
      <c r="AO44" s="37"/>
      <c r="AP44" s="37"/>
      <c r="AQ44" s="37"/>
      <c r="AR44" s="37"/>
      <c r="AS44" s="37"/>
      <c r="AT44" s="37"/>
      <c r="AU44" s="37"/>
      <c r="AV44" s="59"/>
      <c r="AW44" s="1" t="str">
        <f>_xlfn.CONCAT(tbl_Ben_Info[[#This Row],[First Name]]," ",tbl_Ben_Info[[#This Row],[Father Name]]," ",tbl_Ben_Info[[#This Row],[Family Name]])</f>
        <v xml:space="preserve">  </v>
      </c>
    </row>
    <row r="45" spans="2:49" ht="25.15" customHeight="1" x14ac:dyDescent="0.25">
      <c r="B45" s="49">
        <v>40</v>
      </c>
      <c r="C45" s="1" t="str">
        <f>_xlfn.CONCAT("181-702-",IF(tbl_Ben_Info[[#This Row],[SN]]&lt;10,"00"&amp;tbl_Ben_Info[[#This Row],[SN]],IF(tbl_Ben_Info[[#This Row],[SN]]&lt;100,"0"&amp;tbl_Ben_Info[[#This Row],[SN]],tbl_Ben_Info[[#This Row],[SN]])))</f>
        <v>181-702-040</v>
      </c>
      <c r="D45" s="37"/>
      <c r="E45" s="40"/>
      <c r="F45" s="41"/>
      <c r="G45" s="42"/>
      <c r="H45" s="43"/>
      <c r="I45" s="73"/>
      <c r="J45" s="43"/>
      <c r="K45" s="43"/>
      <c r="L45" s="43"/>
      <c r="M45" s="43"/>
      <c r="N45" s="111"/>
      <c r="O45" s="43"/>
      <c r="P45" s="48"/>
      <c r="Q45" s="49"/>
      <c r="R45" s="37"/>
      <c r="S45" s="37"/>
      <c r="T45" s="37"/>
      <c r="U45" s="37"/>
      <c r="V45" s="59"/>
      <c r="W45" s="49"/>
      <c r="X45" s="37"/>
      <c r="Y45" s="37"/>
      <c r="Z45" s="37"/>
      <c r="AA45" s="37"/>
      <c r="AB45" s="37"/>
      <c r="AC45" s="37"/>
      <c r="AD45" s="37"/>
      <c r="AE45" s="37"/>
      <c r="AF45" s="37"/>
      <c r="AG45" s="59"/>
      <c r="AH45" s="49"/>
      <c r="AI45" s="37"/>
      <c r="AJ45" s="37"/>
      <c r="AK45" s="37"/>
      <c r="AL45" s="37"/>
      <c r="AM45" s="37"/>
      <c r="AN45" s="37"/>
      <c r="AO45" s="37"/>
      <c r="AP45" s="37"/>
      <c r="AQ45" s="37"/>
      <c r="AR45" s="37"/>
      <c r="AS45" s="37"/>
      <c r="AT45" s="37"/>
      <c r="AU45" s="37"/>
      <c r="AV45" s="59"/>
      <c r="AW45" s="1" t="str">
        <f>_xlfn.CONCAT(tbl_Ben_Info[[#This Row],[First Name]]," ",tbl_Ben_Info[[#This Row],[Father Name]]," ",tbl_Ben_Info[[#This Row],[Family Name]])</f>
        <v xml:space="preserve">  </v>
      </c>
    </row>
    <row r="46" spans="2:49" ht="25.15" customHeight="1" x14ac:dyDescent="0.25">
      <c r="B46" s="49">
        <v>41</v>
      </c>
      <c r="C46" s="1" t="str">
        <f>_xlfn.CONCAT("181-702-",IF(tbl_Ben_Info[[#This Row],[SN]]&lt;10,"00"&amp;tbl_Ben_Info[[#This Row],[SN]],IF(tbl_Ben_Info[[#This Row],[SN]]&lt;100,"0"&amp;tbl_Ben_Info[[#This Row],[SN]],tbl_Ben_Info[[#This Row],[SN]])))</f>
        <v>181-702-041</v>
      </c>
      <c r="D46" s="37"/>
      <c r="E46" s="40"/>
      <c r="F46" s="41"/>
      <c r="G46" s="42"/>
      <c r="H46" s="43"/>
      <c r="I46" s="73"/>
      <c r="J46" s="43"/>
      <c r="K46" s="43"/>
      <c r="L46" s="43"/>
      <c r="M46" s="43"/>
      <c r="N46" s="111"/>
      <c r="O46" s="43"/>
      <c r="P46" s="48"/>
      <c r="Q46" s="49"/>
      <c r="R46" s="37"/>
      <c r="S46" s="37"/>
      <c r="T46" s="37"/>
      <c r="U46" s="37"/>
      <c r="V46" s="59"/>
      <c r="W46" s="49"/>
      <c r="X46" s="37"/>
      <c r="Y46" s="37"/>
      <c r="Z46" s="37"/>
      <c r="AA46" s="37"/>
      <c r="AB46" s="37"/>
      <c r="AC46" s="37"/>
      <c r="AD46" s="37"/>
      <c r="AE46" s="37"/>
      <c r="AF46" s="37"/>
      <c r="AG46" s="59"/>
      <c r="AH46" s="49"/>
      <c r="AI46" s="37"/>
      <c r="AJ46" s="37"/>
      <c r="AK46" s="37"/>
      <c r="AL46" s="37"/>
      <c r="AM46" s="37"/>
      <c r="AN46" s="37"/>
      <c r="AO46" s="37"/>
      <c r="AP46" s="37"/>
      <c r="AQ46" s="37"/>
      <c r="AR46" s="37"/>
      <c r="AS46" s="37"/>
      <c r="AT46" s="37"/>
      <c r="AU46" s="37"/>
      <c r="AV46" s="59"/>
      <c r="AW46" s="1" t="str">
        <f>_xlfn.CONCAT(tbl_Ben_Info[[#This Row],[First Name]]," ",tbl_Ben_Info[[#This Row],[Father Name]]," ",tbl_Ben_Info[[#This Row],[Family Name]])</f>
        <v xml:space="preserve">  </v>
      </c>
    </row>
    <row r="47" spans="2:49" ht="25.15" customHeight="1" x14ac:dyDescent="0.25">
      <c r="B47" s="49">
        <v>42</v>
      </c>
      <c r="C47" s="1" t="str">
        <f>_xlfn.CONCAT("181-702-",IF(tbl_Ben_Info[[#This Row],[SN]]&lt;10,"00"&amp;tbl_Ben_Info[[#This Row],[SN]],IF(tbl_Ben_Info[[#This Row],[SN]]&lt;100,"0"&amp;tbl_Ben_Info[[#This Row],[SN]],tbl_Ben_Info[[#This Row],[SN]])))</f>
        <v>181-702-042</v>
      </c>
      <c r="D47" s="37"/>
      <c r="E47" s="40"/>
      <c r="F47" s="41"/>
      <c r="G47" s="42"/>
      <c r="H47" s="43"/>
      <c r="I47" s="73"/>
      <c r="J47" s="43"/>
      <c r="K47" s="43"/>
      <c r="L47" s="43"/>
      <c r="M47" s="43"/>
      <c r="N47" s="111"/>
      <c r="O47" s="43"/>
      <c r="P47" s="48"/>
      <c r="Q47" s="49"/>
      <c r="R47" s="37"/>
      <c r="S47" s="37"/>
      <c r="T47" s="37"/>
      <c r="U47" s="37"/>
      <c r="V47" s="59"/>
      <c r="W47" s="49"/>
      <c r="X47" s="37"/>
      <c r="Y47" s="37"/>
      <c r="Z47" s="37"/>
      <c r="AA47" s="37"/>
      <c r="AB47" s="37"/>
      <c r="AC47" s="37"/>
      <c r="AD47" s="37"/>
      <c r="AE47" s="37"/>
      <c r="AF47" s="37"/>
      <c r="AG47" s="59"/>
      <c r="AH47" s="49"/>
      <c r="AI47" s="37"/>
      <c r="AJ47" s="37"/>
      <c r="AK47" s="37"/>
      <c r="AL47" s="37"/>
      <c r="AM47" s="37"/>
      <c r="AN47" s="37"/>
      <c r="AO47" s="37"/>
      <c r="AP47" s="37"/>
      <c r="AQ47" s="37"/>
      <c r="AR47" s="37"/>
      <c r="AS47" s="37"/>
      <c r="AT47" s="37"/>
      <c r="AU47" s="37"/>
      <c r="AV47" s="59"/>
      <c r="AW47" s="1" t="str">
        <f>_xlfn.CONCAT(tbl_Ben_Info[[#This Row],[First Name]]," ",tbl_Ben_Info[[#This Row],[Father Name]]," ",tbl_Ben_Info[[#This Row],[Family Name]])</f>
        <v xml:space="preserve">  </v>
      </c>
    </row>
    <row r="48" spans="2:49" ht="25.15" customHeight="1" x14ac:dyDescent="0.25">
      <c r="B48" s="49">
        <v>43</v>
      </c>
      <c r="C48" s="1" t="str">
        <f>_xlfn.CONCAT("181-702-",IF(tbl_Ben_Info[[#This Row],[SN]]&lt;10,"00"&amp;tbl_Ben_Info[[#This Row],[SN]],IF(tbl_Ben_Info[[#This Row],[SN]]&lt;100,"0"&amp;tbl_Ben_Info[[#This Row],[SN]],tbl_Ben_Info[[#This Row],[SN]])))</f>
        <v>181-702-043</v>
      </c>
      <c r="D48" s="37"/>
      <c r="E48" s="40"/>
      <c r="F48" s="41"/>
      <c r="G48" s="42"/>
      <c r="H48" s="43"/>
      <c r="I48" s="73"/>
      <c r="J48" s="43"/>
      <c r="K48" s="43"/>
      <c r="L48" s="43"/>
      <c r="M48" s="43"/>
      <c r="N48" s="111"/>
      <c r="O48" s="43"/>
      <c r="P48" s="48"/>
      <c r="Q48" s="49"/>
      <c r="R48" s="37"/>
      <c r="S48" s="37"/>
      <c r="T48" s="37"/>
      <c r="U48" s="37"/>
      <c r="V48" s="59"/>
      <c r="W48" s="49"/>
      <c r="X48" s="37"/>
      <c r="Y48" s="37"/>
      <c r="Z48" s="37"/>
      <c r="AA48" s="37"/>
      <c r="AB48" s="37"/>
      <c r="AC48" s="37"/>
      <c r="AD48" s="37"/>
      <c r="AE48" s="37"/>
      <c r="AF48" s="37"/>
      <c r="AG48" s="59"/>
      <c r="AH48" s="49"/>
      <c r="AI48" s="37"/>
      <c r="AJ48" s="37"/>
      <c r="AK48" s="37"/>
      <c r="AL48" s="37"/>
      <c r="AM48" s="37"/>
      <c r="AN48" s="37"/>
      <c r="AO48" s="37"/>
      <c r="AP48" s="37"/>
      <c r="AQ48" s="37"/>
      <c r="AR48" s="37"/>
      <c r="AS48" s="37"/>
      <c r="AT48" s="37"/>
      <c r="AU48" s="37"/>
      <c r="AV48" s="59"/>
      <c r="AW48" s="1" t="str">
        <f>_xlfn.CONCAT(tbl_Ben_Info[[#This Row],[First Name]]," ",tbl_Ben_Info[[#This Row],[Father Name]]," ",tbl_Ben_Info[[#This Row],[Family Name]])</f>
        <v xml:space="preserve">  </v>
      </c>
    </row>
    <row r="49" spans="2:49" ht="25.15" customHeight="1" x14ac:dyDescent="0.25">
      <c r="B49" s="49">
        <v>44</v>
      </c>
      <c r="C49" s="1" t="str">
        <f>_xlfn.CONCAT("181-702-",IF(tbl_Ben_Info[[#This Row],[SN]]&lt;10,"00"&amp;tbl_Ben_Info[[#This Row],[SN]],IF(tbl_Ben_Info[[#This Row],[SN]]&lt;100,"0"&amp;tbl_Ben_Info[[#This Row],[SN]],tbl_Ben_Info[[#This Row],[SN]])))</f>
        <v>181-702-044</v>
      </c>
      <c r="D49" s="37"/>
      <c r="E49" s="40"/>
      <c r="F49" s="41"/>
      <c r="G49" s="42"/>
      <c r="H49" s="43"/>
      <c r="I49" s="73"/>
      <c r="J49" s="43"/>
      <c r="K49" s="43"/>
      <c r="L49" s="43"/>
      <c r="M49" s="43"/>
      <c r="N49" s="111"/>
      <c r="O49" s="43"/>
      <c r="P49" s="48"/>
      <c r="Q49" s="49"/>
      <c r="R49" s="37"/>
      <c r="S49" s="37"/>
      <c r="T49" s="37"/>
      <c r="U49" s="37"/>
      <c r="V49" s="59"/>
      <c r="W49" s="49"/>
      <c r="X49" s="37"/>
      <c r="Y49" s="37"/>
      <c r="Z49" s="37"/>
      <c r="AA49" s="37"/>
      <c r="AB49" s="37"/>
      <c r="AC49" s="37"/>
      <c r="AD49" s="37"/>
      <c r="AE49" s="37"/>
      <c r="AF49" s="37"/>
      <c r="AG49" s="59"/>
      <c r="AH49" s="49"/>
      <c r="AI49" s="37"/>
      <c r="AJ49" s="37"/>
      <c r="AK49" s="37"/>
      <c r="AL49" s="37"/>
      <c r="AM49" s="37"/>
      <c r="AN49" s="37"/>
      <c r="AO49" s="37"/>
      <c r="AP49" s="37"/>
      <c r="AQ49" s="37"/>
      <c r="AR49" s="37"/>
      <c r="AS49" s="37"/>
      <c r="AT49" s="37"/>
      <c r="AU49" s="37"/>
      <c r="AV49" s="59"/>
      <c r="AW49" s="1" t="str">
        <f>_xlfn.CONCAT(tbl_Ben_Info[[#This Row],[First Name]]," ",tbl_Ben_Info[[#This Row],[Father Name]]," ",tbl_Ben_Info[[#This Row],[Family Name]])</f>
        <v xml:space="preserve">  </v>
      </c>
    </row>
    <row r="50" spans="2:49" ht="25.15" customHeight="1" x14ac:dyDescent="0.25">
      <c r="B50" s="49">
        <v>45</v>
      </c>
      <c r="C50" s="1" t="str">
        <f>_xlfn.CONCAT("181-702-",IF(tbl_Ben_Info[[#This Row],[SN]]&lt;10,"00"&amp;tbl_Ben_Info[[#This Row],[SN]],IF(tbl_Ben_Info[[#This Row],[SN]]&lt;100,"0"&amp;tbl_Ben_Info[[#This Row],[SN]],tbl_Ben_Info[[#This Row],[SN]])))</f>
        <v>181-702-045</v>
      </c>
      <c r="D50" s="37"/>
      <c r="E50" s="40"/>
      <c r="F50" s="41"/>
      <c r="G50" s="42"/>
      <c r="H50" s="43"/>
      <c r="I50" s="73"/>
      <c r="J50" s="43"/>
      <c r="K50" s="43"/>
      <c r="L50" s="43"/>
      <c r="M50" s="43"/>
      <c r="N50" s="111"/>
      <c r="O50" s="43"/>
      <c r="P50" s="48"/>
      <c r="Q50" s="49"/>
      <c r="R50" s="37"/>
      <c r="S50" s="37"/>
      <c r="T50" s="37"/>
      <c r="U50" s="37"/>
      <c r="V50" s="59"/>
      <c r="W50" s="49"/>
      <c r="X50" s="37"/>
      <c r="Y50" s="37"/>
      <c r="Z50" s="37"/>
      <c r="AA50" s="37"/>
      <c r="AB50" s="37"/>
      <c r="AC50" s="37"/>
      <c r="AD50" s="37"/>
      <c r="AE50" s="37"/>
      <c r="AF50" s="37"/>
      <c r="AG50" s="59"/>
      <c r="AH50" s="49"/>
      <c r="AI50" s="37"/>
      <c r="AJ50" s="37"/>
      <c r="AK50" s="37"/>
      <c r="AL50" s="37"/>
      <c r="AM50" s="37"/>
      <c r="AN50" s="37"/>
      <c r="AO50" s="37"/>
      <c r="AP50" s="37"/>
      <c r="AQ50" s="37"/>
      <c r="AR50" s="37"/>
      <c r="AS50" s="37"/>
      <c r="AT50" s="37"/>
      <c r="AU50" s="37"/>
      <c r="AV50" s="59"/>
      <c r="AW50" s="1" t="str">
        <f>_xlfn.CONCAT(tbl_Ben_Info[[#This Row],[First Name]]," ",tbl_Ben_Info[[#This Row],[Father Name]]," ",tbl_Ben_Info[[#This Row],[Family Name]])</f>
        <v xml:space="preserve">  </v>
      </c>
    </row>
    <row r="51" spans="2:49" ht="25.15" customHeight="1" x14ac:dyDescent="0.25">
      <c r="B51" s="49">
        <v>46</v>
      </c>
      <c r="C51" s="1" t="str">
        <f>_xlfn.CONCAT("181-702-",IF(tbl_Ben_Info[[#This Row],[SN]]&lt;10,"00"&amp;tbl_Ben_Info[[#This Row],[SN]],IF(tbl_Ben_Info[[#This Row],[SN]]&lt;100,"0"&amp;tbl_Ben_Info[[#This Row],[SN]],tbl_Ben_Info[[#This Row],[SN]])))</f>
        <v>181-702-046</v>
      </c>
      <c r="D51" s="37"/>
      <c r="E51" s="40"/>
      <c r="F51" s="41"/>
      <c r="G51" s="42"/>
      <c r="H51" s="43"/>
      <c r="I51" s="73"/>
      <c r="J51" s="43"/>
      <c r="K51" s="43"/>
      <c r="L51" s="43"/>
      <c r="M51" s="43"/>
      <c r="N51" s="111"/>
      <c r="O51" s="43"/>
      <c r="P51" s="48"/>
      <c r="Q51" s="49"/>
      <c r="R51" s="37"/>
      <c r="S51" s="37"/>
      <c r="T51" s="37"/>
      <c r="U51" s="37"/>
      <c r="V51" s="59"/>
      <c r="W51" s="49"/>
      <c r="X51" s="37"/>
      <c r="Y51" s="37"/>
      <c r="Z51" s="37"/>
      <c r="AA51" s="37"/>
      <c r="AB51" s="37"/>
      <c r="AC51" s="37"/>
      <c r="AD51" s="37"/>
      <c r="AE51" s="37"/>
      <c r="AF51" s="37"/>
      <c r="AG51" s="59"/>
      <c r="AH51" s="49"/>
      <c r="AI51" s="37"/>
      <c r="AJ51" s="37"/>
      <c r="AK51" s="37"/>
      <c r="AL51" s="37"/>
      <c r="AM51" s="37"/>
      <c r="AN51" s="37"/>
      <c r="AO51" s="37"/>
      <c r="AP51" s="37"/>
      <c r="AQ51" s="37"/>
      <c r="AR51" s="37"/>
      <c r="AS51" s="37"/>
      <c r="AT51" s="37"/>
      <c r="AU51" s="37"/>
      <c r="AV51" s="59"/>
      <c r="AW51" s="1" t="str">
        <f>_xlfn.CONCAT(tbl_Ben_Info[[#This Row],[First Name]]," ",tbl_Ben_Info[[#This Row],[Father Name]]," ",tbl_Ben_Info[[#This Row],[Family Name]])</f>
        <v xml:space="preserve">  </v>
      </c>
    </row>
    <row r="52" spans="2:49" ht="25.15" customHeight="1" x14ac:dyDescent="0.25">
      <c r="B52" s="49">
        <v>47</v>
      </c>
      <c r="C52" s="1" t="str">
        <f>_xlfn.CONCAT("181-702-",IF(tbl_Ben_Info[[#This Row],[SN]]&lt;10,"00"&amp;tbl_Ben_Info[[#This Row],[SN]],IF(tbl_Ben_Info[[#This Row],[SN]]&lt;100,"0"&amp;tbl_Ben_Info[[#This Row],[SN]],tbl_Ben_Info[[#This Row],[SN]])))</f>
        <v>181-702-047</v>
      </c>
      <c r="D52" s="37"/>
      <c r="E52" s="40"/>
      <c r="F52" s="41"/>
      <c r="G52" s="42"/>
      <c r="H52" s="43"/>
      <c r="I52" s="73"/>
      <c r="J52" s="43"/>
      <c r="K52" s="43"/>
      <c r="L52" s="43"/>
      <c r="M52" s="43"/>
      <c r="N52" s="111"/>
      <c r="O52" s="43"/>
      <c r="P52" s="48"/>
      <c r="Q52" s="49"/>
      <c r="R52" s="37"/>
      <c r="S52" s="37"/>
      <c r="T52" s="37"/>
      <c r="U52" s="37"/>
      <c r="V52" s="59"/>
      <c r="W52" s="49"/>
      <c r="X52" s="37"/>
      <c r="Y52" s="37"/>
      <c r="Z52" s="37"/>
      <c r="AA52" s="37"/>
      <c r="AB52" s="37"/>
      <c r="AC52" s="37"/>
      <c r="AD52" s="37"/>
      <c r="AE52" s="37"/>
      <c r="AF52" s="37"/>
      <c r="AG52" s="59"/>
      <c r="AH52" s="49"/>
      <c r="AI52" s="37"/>
      <c r="AJ52" s="37"/>
      <c r="AK52" s="37"/>
      <c r="AL52" s="37"/>
      <c r="AM52" s="37"/>
      <c r="AN52" s="37"/>
      <c r="AO52" s="37"/>
      <c r="AP52" s="37"/>
      <c r="AQ52" s="37"/>
      <c r="AR52" s="37"/>
      <c r="AS52" s="37"/>
      <c r="AT52" s="37"/>
      <c r="AU52" s="37"/>
      <c r="AV52" s="59"/>
      <c r="AW52" s="1" t="str">
        <f>_xlfn.CONCAT(tbl_Ben_Info[[#This Row],[First Name]]," ",tbl_Ben_Info[[#This Row],[Father Name]]," ",tbl_Ben_Info[[#This Row],[Family Name]])</f>
        <v xml:space="preserve">  </v>
      </c>
    </row>
    <row r="53" spans="2:49" ht="25.15" customHeight="1" x14ac:dyDescent="0.25">
      <c r="B53" s="49">
        <v>48</v>
      </c>
      <c r="C53" s="1" t="str">
        <f>_xlfn.CONCAT("181-702-",IF(tbl_Ben_Info[[#This Row],[SN]]&lt;10,"00"&amp;tbl_Ben_Info[[#This Row],[SN]],IF(tbl_Ben_Info[[#This Row],[SN]]&lt;100,"0"&amp;tbl_Ben_Info[[#This Row],[SN]],tbl_Ben_Info[[#This Row],[SN]])))</f>
        <v>181-702-048</v>
      </c>
      <c r="D53" s="37"/>
      <c r="E53" s="40"/>
      <c r="F53" s="41"/>
      <c r="G53" s="42"/>
      <c r="H53" s="43"/>
      <c r="I53" s="73"/>
      <c r="J53" s="43"/>
      <c r="K53" s="43"/>
      <c r="L53" s="43"/>
      <c r="M53" s="43"/>
      <c r="N53" s="111"/>
      <c r="O53" s="43"/>
      <c r="P53" s="48"/>
      <c r="Q53" s="49"/>
      <c r="R53" s="37"/>
      <c r="S53" s="37"/>
      <c r="T53" s="37"/>
      <c r="U53" s="37"/>
      <c r="V53" s="59"/>
      <c r="W53" s="49"/>
      <c r="X53" s="37"/>
      <c r="Y53" s="37"/>
      <c r="Z53" s="37"/>
      <c r="AA53" s="37"/>
      <c r="AB53" s="37"/>
      <c r="AC53" s="37"/>
      <c r="AD53" s="37"/>
      <c r="AE53" s="37"/>
      <c r="AF53" s="37"/>
      <c r="AG53" s="59"/>
      <c r="AH53" s="49"/>
      <c r="AI53" s="37"/>
      <c r="AJ53" s="37"/>
      <c r="AK53" s="37"/>
      <c r="AL53" s="37"/>
      <c r="AM53" s="37"/>
      <c r="AN53" s="37"/>
      <c r="AO53" s="37"/>
      <c r="AP53" s="37"/>
      <c r="AQ53" s="37"/>
      <c r="AR53" s="37"/>
      <c r="AS53" s="37"/>
      <c r="AT53" s="37"/>
      <c r="AU53" s="37"/>
      <c r="AV53" s="59"/>
      <c r="AW53" s="1" t="str">
        <f>_xlfn.CONCAT(tbl_Ben_Info[[#This Row],[First Name]]," ",tbl_Ben_Info[[#This Row],[Father Name]]," ",tbl_Ben_Info[[#This Row],[Family Name]])</f>
        <v xml:space="preserve">  </v>
      </c>
    </row>
    <row r="54" spans="2:49" ht="25.15" customHeight="1" x14ac:dyDescent="0.25">
      <c r="B54" s="49">
        <v>49</v>
      </c>
      <c r="C54" s="1" t="str">
        <f>_xlfn.CONCAT("181-702-",IF(tbl_Ben_Info[[#This Row],[SN]]&lt;10,"00"&amp;tbl_Ben_Info[[#This Row],[SN]],IF(tbl_Ben_Info[[#This Row],[SN]]&lt;100,"0"&amp;tbl_Ben_Info[[#This Row],[SN]],tbl_Ben_Info[[#This Row],[SN]])))</f>
        <v>181-702-049</v>
      </c>
      <c r="D54" s="37"/>
      <c r="E54" s="40"/>
      <c r="F54" s="41"/>
      <c r="G54" s="42"/>
      <c r="H54" s="43"/>
      <c r="I54" s="73"/>
      <c r="J54" s="43"/>
      <c r="K54" s="43"/>
      <c r="L54" s="43"/>
      <c r="M54" s="43"/>
      <c r="N54" s="111"/>
      <c r="O54" s="43"/>
      <c r="P54" s="48"/>
      <c r="Q54" s="49"/>
      <c r="R54" s="37"/>
      <c r="S54" s="37"/>
      <c r="T54" s="37"/>
      <c r="U54" s="37"/>
      <c r="V54" s="59"/>
      <c r="W54" s="49"/>
      <c r="X54" s="37"/>
      <c r="Y54" s="37"/>
      <c r="Z54" s="37"/>
      <c r="AA54" s="37"/>
      <c r="AB54" s="37"/>
      <c r="AC54" s="37"/>
      <c r="AD54" s="37"/>
      <c r="AE54" s="37"/>
      <c r="AF54" s="37"/>
      <c r="AG54" s="59"/>
      <c r="AH54" s="49"/>
      <c r="AI54" s="37"/>
      <c r="AJ54" s="37"/>
      <c r="AK54" s="37"/>
      <c r="AL54" s="37"/>
      <c r="AM54" s="37"/>
      <c r="AN54" s="37"/>
      <c r="AO54" s="37"/>
      <c r="AP54" s="37"/>
      <c r="AQ54" s="37"/>
      <c r="AR54" s="37"/>
      <c r="AS54" s="37"/>
      <c r="AT54" s="37"/>
      <c r="AU54" s="37"/>
      <c r="AV54" s="59"/>
      <c r="AW54" s="1" t="str">
        <f>_xlfn.CONCAT(tbl_Ben_Info[[#This Row],[First Name]]," ",tbl_Ben_Info[[#This Row],[Father Name]]," ",tbl_Ben_Info[[#This Row],[Family Name]])</f>
        <v xml:space="preserve">  </v>
      </c>
    </row>
    <row r="55" spans="2:49" ht="25.15" customHeight="1" x14ac:dyDescent="0.25">
      <c r="B55" s="49">
        <v>50</v>
      </c>
      <c r="C55" s="1" t="str">
        <f>_xlfn.CONCAT("181-702-",IF(tbl_Ben_Info[[#This Row],[SN]]&lt;10,"00"&amp;tbl_Ben_Info[[#This Row],[SN]],IF(tbl_Ben_Info[[#This Row],[SN]]&lt;100,"0"&amp;tbl_Ben_Info[[#This Row],[SN]],tbl_Ben_Info[[#This Row],[SN]])))</f>
        <v>181-702-050</v>
      </c>
      <c r="D55" s="37"/>
      <c r="E55" s="40"/>
      <c r="F55" s="41"/>
      <c r="G55" s="42"/>
      <c r="H55" s="43"/>
      <c r="I55" s="73"/>
      <c r="J55" s="43"/>
      <c r="K55" s="43"/>
      <c r="L55" s="43"/>
      <c r="M55" s="43"/>
      <c r="N55" s="111"/>
      <c r="O55" s="43"/>
      <c r="P55" s="48"/>
      <c r="Q55" s="49"/>
      <c r="R55" s="37"/>
      <c r="S55" s="37"/>
      <c r="T55" s="37"/>
      <c r="U55" s="37"/>
      <c r="V55" s="59"/>
      <c r="W55" s="49"/>
      <c r="X55" s="37"/>
      <c r="Y55" s="37"/>
      <c r="Z55" s="37"/>
      <c r="AA55" s="37"/>
      <c r="AB55" s="37"/>
      <c r="AC55" s="37"/>
      <c r="AD55" s="37"/>
      <c r="AE55" s="37"/>
      <c r="AF55" s="37"/>
      <c r="AG55" s="59"/>
      <c r="AH55" s="49"/>
      <c r="AI55" s="37"/>
      <c r="AJ55" s="37"/>
      <c r="AK55" s="37"/>
      <c r="AL55" s="37"/>
      <c r="AM55" s="37"/>
      <c r="AN55" s="37"/>
      <c r="AO55" s="37"/>
      <c r="AP55" s="37"/>
      <c r="AQ55" s="37"/>
      <c r="AR55" s="37"/>
      <c r="AS55" s="37"/>
      <c r="AT55" s="37"/>
      <c r="AU55" s="37"/>
      <c r="AV55" s="59"/>
      <c r="AW55" s="1" t="str">
        <f>_xlfn.CONCAT(tbl_Ben_Info[[#This Row],[First Name]]," ",tbl_Ben_Info[[#This Row],[Father Name]]," ",tbl_Ben_Info[[#This Row],[Family Name]])</f>
        <v xml:space="preserve">  </v>
      </c>
    </row>
    <row r="56" spans="2:49" ht="25.15" customHeight="1" x14ac:dyDescent="0.25">
      <c r="B56" s="49">
        <v>51</v>
      </c>
      <c r="C56" s="1" t="str">
        <f>_xlfn.CONCAT("181-702-",IF(tbl_Ben_Info[[#This Row],[SN]]&lt;10,"00"&amp;tbl_Ben_Info[[#This Row],[SN]],IF(tbl_Ben_Info[[#This Row],[SN]]&lt;100,"0"&amp;tbl_Ben_Info[[#This Row],[SN]],tbl_Ben_Info[[#This Row],[SN]])))</f>
        <v>181-702-051</v>
      </c>
      <c r="D56" s="37"/>
      <c r="E56" s="40"/>
      <c r="F56" s="41"/>
      <c r="G56" s="42"/>
      <c r="H56" s="43"/>
      <c r="I56" s="73"/>
      <c r="J56" s="43"/>
      <c r="K56" s="43"/>
      <c r="L56" s="43"/>
      <c r="M56" s="43"/>
      <c r="N56" s="111"/>
      <c r="O56" s="43"/>
      <c r="P56" s="48"/>
      <c r="Q56" s="49"/>
      <c r="R56" s="37"/>
      <c r="S56" s="37"/>
      <c r="T56" s="37"/>
      <c r="U56" s="37"/>
      <c r="V56" s="59"/>
      <c r="W56" s="49"/>
      <c r="X56" s="37"/>
      <c r="Y56" s="37"/>
      <c r="Z56" s="37"/>
      <c r="AA56" s="37"/>
      <c r="AB56" s="37"/>
      <c r="AC56" s="37"/>
      <c r="AD56" s="37"/>
      <c r="AE56" s="37"/>
      <c r="AF56" s="37"/>
      <c r="AG56" s="59"/>
      <c r="AH56" s="49"/>
      <c r="AI56" s="37"/>
      <c r="AJ56" s="37"/>
      <c r="AK56" s="37"/>
      <c r="AL56" s="37"/>
      <c r="AM56" s="37"/>
      <c r="AN56" s="37"/>
      <c r="AO56" s="37"/>
      <c r="AP56" s="37"/>
      <c r="AQ56" s="37"/>
      <c r="AR56" s="37"/>
      <c r="AS56" s="37"/>
      <c r="AT56" s="37"/>
      <c r="AU56" s="37"/>
      <c r="AV56" s="59"/>
      <c r="AW56" s="1" t="str">
        <f>_xlfn.CONCAT(tbl_Ben_Info[[#This Row],[First Name]]," ",tbl_Ben_Info[[#This Row],[Father Name]]," ",tbl_Ben_Info[[#This Row],[Family Name]])</f>
        <v xml:space="preserve">  </v>
      </c>
    </row>
    <row r="57" spans="2:49" ht="25.15" customHeight="1" x14ac:dyDescent="0.25">
      <c r="B57" s="49">
        <v>52</v>
      </c>
      <c r="C57" s="1" t="str">
        <f>_xlfn.CONCAT("181-702-",IF(tbl_Ben_Info[[#This Row],[SN]]&lt;10,"00"&amp;tbl_Ben_Info[[#This Row],[SN]],IF(tbl_Ben_Info[[#This Row],[SN]]&lt;100,"0"&amp;tbl_Ben_Info[[#This Row],[SN]],tbl_Ben_Info[[#This Row],[SN]])))</f>
        <v>181-702-052</v>
      </c>
      <c r="D57" s="37"/>
      <c r="E57" s="40"/>
      <c r="F57" s="41"/>
      <c r="G57" s="42"/>
      <c r="H57" s="43"/>
      <c r="I57" s="73"/>
      <c r="J57" s="43"/>
      <c r="K57" s="43"/>
      <c r="L57" s="43"/>
      <c r="M57" s="43"/>
      <c r="N57" s="111"/>
      <c r="O57" s="43"/>
      <c r="P57" s="48"/>
      <c r="Q57" s="49"/>
      <c r="R57" s="37"/>
      <c r="S57" s="37"/>
      <c r="T57" s="37"/>
      <c r="U57" s="37"/>
      <c r="V57" s="59"/>
      <c r="W57" s="49"/>
      <c r="X57" s="37"/>
      <c r="Y57" s="37"/>
      <c r="Z57" s="37"/>
      <c r="AA57" s="37"/>
      <c r="AB57" s="37"/>
      <c r="AC57" s="37"/>
      <c r="AD57" s="37"/>
      <c r="AE57" s="37"/>
      <c r="AF57" s="37"/>
      <c r="AG57" s="59"/>
      <c r="AH57" s="49"/>
      <c r="AI57" s="37"/>
      <c r="AJ57" s="37"/>
      <c r="AK57" s="37"/>
      <c r="AL57" s="37"/>
      <c r="AM57" s="37"/>
      <c r="AN57" s="37"/>
      <c r="AO57" s="37"/>
      <c r="AP57" s="37"/>
      <c r="AQ57" s="37"/>
      <c r="AR57" s="37"/>
      <c r="AS57" s="37"/>
      <c r="AT57" s="37"/>
      <c r="AU57" s="37"/>
      <c r="AV57" s="59"/>
      <c r="AW57" s="1" t="str">
        <f>_xlfn.CONCAT(tbl_Ben_Info[[#This Row],[First Name]]," ",tbl_Ben_Info[[#This Row],[Father Name]]," ",tbl_Ben_Info[[#This Row],[Family Name]])</f>
        <v xml:space="preserve">  </v>
      </c>
    </row>
    <row r="58" spans="2:49" ht="25.15" customHeight="1" x14ac:dyDescent="0.25">
      <c r="B58" s="49">
        <v>53</v>
      </c>
      <c r="C58" s="1" t="str">
        <f>_xlfn.CONCAT("181-702-",IF(tbl_Ben_Info[[#This Row],[SN]]&lt;10,"00"&amp;tbl_Ben_Info[[#This Row],[SN]],IF(tbl_Ben_Info[[#This Row],[SN]]&lt;100,"0"&amp;tbl_Ben_Info[[#This Row],[SN]],tbl_Ben_Info[[#This Row],[SN]])))</f>
        <v>181-702-053</v>
      </c>
      <c r="D58" s="37"/>
      <c r="E58" s="40"/>
      <c r="F58" s="41"/>
      <c r="G58" s="42"/>
      <c r="H58" s="43"/>
      <c r="I58" s="73"/>
      <c r="J58" s="43"/>
      <c r="K58" s="43"/>
      <c r="L58" s="43"/>
      <c r="M58" s="43"/>
      <c r="N58" s="111"/>
      <c r="O58" s="43"/>
      <c r="P58" s="48"/>
      <c r="Q58" s="49"/>
      <c r="R58" s="37"/>
      <c r="S58" s="37"/>
      <c r="T58" s="37"/>
      <c r="U58" s="37"/>
      <c r="V58" s="59"/>
      <c r="W58" s="49"/>
      <c r="X58" s="37"/>
      <c r="Y58" s="37"/>
      <c r="Z58" s="37"/>
      <c r="AA58" s="37"/>
      <c r="AB58" s="37"/>
      <c r="AC58" s="37"/>
      <c r="AD58" s="37"/>
      <c r="AE58" s="37"/>
      <c r="AF58" s="37"/>
      <c r="AG58" s="59"/>
      <c r="AH58" s="49"/>
      <c r="AI58" s="37"/>
      <c r="AJ58" s="37"/>
      <c r="AK58" s="37"/>
      <c r="AL58" s="37"/>
      <c r="AM58" s="37"/>
      <c r="AN58" s="37"/>
      <c r="AO58" s="37"/>
      <c r="AP58" s="37"/>
      <c r="AQ58" s="37"/>
      <c r="AR58" s="37"/>
      <c r="AS58" s="37"/>
      <c r="AT58" s="37"/>
      <c r="AU58" s="37"/>
      <c r="AV58" s="59"/>
      <c r="AW58" s="1" t="str">
        <f>_xlfn.CONCAT(tbl_Ben_Info[[#This Row],[First Name]]," ",tbl_Ben_Info[[#This Row],[Father Name]]," ",tbl_Ben_Info[[#This Row],[Family Name]])</f>
        <v xml:space="preserve">  </v>
      </c>
    </row>
    <row r="59" spans="2:49" ht="25.15" customHeight="1" x14ac:dyDescent="0.25">
      <c r="B59" s="49">
        <v>54</v>
      </c>
      <c r="C59" s="1" t="str">
        <f>_xlfn.CONCAT("181-702-",IF(tbl_Ben_Info[[#This Row],[SN]]&lt;10,"00"&amp;tbl_Ben_Info[[#This Row],[SN]],IF(tbl_Ben_Info[[#This Row],[SN]]&lt;100,"0"&amp;tbl_Ben_Info[[#This Row],[SN]],tbl_Ben_Info[[#This Row],[SN]])))</f>
        <v>181-702-054</v>
      </c>
      <c r="D59" s="37"/>
      <c r="E59" s="40"/>
      <c r="F59" s="41"/>
      <c r="G59" s="42"/>
      <c r="H59" s="43"/>
      <c r="I59" s="73"/>
      <c r="J59" s="43"/>
      <c r="K59" s="43"/>
      <c r="L59" s="43"/>
      <c r="M59" s="43"/>
      <c r="N59" s="111"/>
      <c r="O59" s="43"/>
      <c r="P59" s="48"/>
      <c r="Q59" s="49"/>
      <c r="R59" s="37"/>
      <c r="S59" s="37"/>
      <c r="T59" s="37"/>
      <c r="U59" s="37"/>
      <c r="V59" s="59"/>
      <c r="W59" s="49"/>
      <c r="X59" s="37"/>
      <c r="Y59" s="37"/>
      <c r="Z59" s="37"/>
      <c r="AA59" s="37"/>
      <c r="AB59" s="37"/>
      <c r="AC59" s="37"/>
      <c r="AD59" s="37"/>
      <c r="AE59" s="37"/>
      <c r="AF59" s="37"/>
      <c r="AG59" s="59"/>
      <c r="AH59" s="49"/>
      <c r="AI59" s="37"/>
      <c r="AJ59" s="37"/>
      <c r="AK59" s="37"/>
      <c r="AL59" s="37"/>
      <c r="AM59" s="37"/>
      <c r="AN59" s="37"/>
      <c r="AO59" s="37"/>
      <c r="AP59" s="37"/>
      <c r="AQ59" s="37"/>
      <c r="AR59" s="37"/>
      <c r="AS59" s="37"/>
      <c r="AT59" s="37"/>
      <c r="AU59" s="37"/>
      <c r="AV59" s="59"/>
      <c r="AW59" s="1" t="str">
        <f>_xlfn.CONCAT(tbl_Ben_Info[[#This Row],[First Name]]," ",tbl_Ben_Info[[#This Row],[Father Name]]," ",tbl_Ben_Info[[#This Row],[Family Name]])</f>
        <v xml:space="preserve">  </v>
      </c>
    </row>
    <row r="60" spans="2:49" ht="25.15" customHeight="1" x14ac:dyDescent="0.25">
      <c r="B60" s="49">
        <v>55</v>
      </c>
      <c r="C60" s="1" t="str">
        <f>_xlfn.CONCAT("181-702-",IF(tbl_Ben_Info[[#This Row],[SN]]&lt;10,"00"&amp;tbl_Ben_Info[[#This Row],[SN]],IF(tbl_Ben_Info[[#This Row],[SN]]&lt;100,"0"&amp;tbl_Ben_Info[[#This Row],[SN]],tbl_Ben_Info[[#This Row],[SN]])))</f>
        <v>181-702-055</v>
      </c>
      <c r="D60" s="37"/>
      <c r="E60" s="40"/>
      <c r="F60" s="41"/>
      <c r="G60" s="42"/>
      <c r="H60" s="43"/>
      <c r="I60" s="73"/>
      <c r="J60" s="43"/>
      <c r="K60" s="43"/>
      <c r="L60" s="43"/>
      <c r="M60" s="43"/>
      <c r="N60" s="111"/>
      <c r="O60" s="43"/>
      <c r="P60" s="48"/>
      <c r="Q60" s="49"/>
      <c r="R60" s="37"/>
      <c r="S60" s="37"/>
      <c r="T60" s="37"/>
      <c r="U60" s="37"/>
      <c r="V60" s="59"/>
      <c r="W60" s="49"/>
      <c r="X60" s="37"/>
      <c r="Y60" s="37"/>
      <c r="Z60" s="37"/>
      <c r="AA60" s="37"/>
      <c r="AB60" s="37"/>
      <c r="AC60" s="37"/>
      <c r="AD60" s="37"/>
      <c r="AE60" s="37"/>
      <c r="AF60" s="37"/>
      <c r="AG60" s="59"/>
      <c r="AH60" s="49"/>
      <c r="AI60" s="37"/>
      <c r="AJ60" s="37"/>
      <c r="AK60" s="37"/>
      <c r="AL60" s="37"/>
      <c r="AM60" s="37"/>
      <c r="AN60" s="37"/>
      <c r="AO60" s="37"/>
      <c r="AP60" s="37"/>
      <c r="AQ60" s="37"/>
      <c r="AR60" s="37"/>
      <c r="AS60" s="37"/>
      <c r="AT60" s="37"/>
      <c r="AU60" s="37"/>
      <c r="AV60" s="59"/>
      <c r="AW60" s="1" t="str">
        <f>_xlfn.CONCAT(tbl_Ben_Info[[#This Row],[First Name]]," ",tbl_Ben_Info[[#This Row],[Father Name]]," ",tbl_Ben_Info[[#This Row],[Family Name]])</f>
        <v xml:space="preserve">  </v>
      </c>
    </row>
    <row r="61" spans="2:49" ht="25.15" customHeight="1" x14ac:dyDescent="0.25">
      <c r="B61" s="49">
        <v>56</v>
      </c>
      <c r="C61" s="1" t="str">
        <f>_xlfn.CONCAT("181-702-",IF(tbl_Ben_Info[[#This Row],[SN]]&lt;10,"00"&amp;tbl_Ben_Info[[#This Row],[SN]],IF(tbl_Ben_Info[[#This Row],[SN]]&lt;100,"0"&amp;tbl_Ben_Info[[#This Row],[SN]],tbl_Ben_Info[[#This Row],[SN]])))</f>
        <v>181-702-056</v>
      </c>
      <c r="D61" s="37"/>
      <c r="E61" s="40"/>
      <c r="F61" s="41"/>
      <c r="G61" s="42"/>
      <c r="H61" s="43"/>
      <c r="I61" s="73"/>
      <c r="J61" s="43"/>
      <c r="K61" s="43"/>
      <c r="L61" s="43"/>
      <c r="M61" s="43"/>
      <c r="N61" s="111"/>
      <c r="O61" s="43"/>
      <c r="P61" s="48"/>
      <c r="Q61" s="49"/>
      <c r="R61" s="37"/>
      <c r="S61" s="37"/>
      <c r="T61" s="37"/>
      <c r="U61" s="37"/>
      <c r="V61" s="59"/>
      <c r="W61" s="49"/>
      <c r="X61" s="37"/>
      <c r="Y61" s="37"/>
      <c r="Z61" s="37"/>
      <c r="AA61" s="37"/>
      <c r="AB61" s="37"/>
      <c r="AC61" s="37"/>
      <c r="AD61" s="37"/>
      <c r="AE61" s="37"/>
      <c r="AF61" s="37"/>
      <c r="AG61" s="59"/>
      <c r="AH61" s="49"/>
      <c r="AI61" s="37"/>
      <c r="AJ61" s="37"/>
      <c r="AK61" s="37"/>
      <c r="AL61" s="37"/>
      <c r="AM61" s="37"/>
      <c r="AN61" s="37"/>
      <c r="AO61" s="37"/>
      <c r="AP61" s="37"/>
      <c r="AQ61" s="37"/>
      <c r="AR61" s="37"/>
      <c r="AS61" s="37"/>
      <c r="AT61" s="37"/>
      <c r="AU61" s="37"/>
      <c r="AV61" s="59"/>
      <c r="AW61" s="1" t="str">
        <f>_xlfn.CONCAT(tbl_Ben_Info[[#This Row],[First Name]]," ",tbl_Ben_Info[[#This Row],[Father Name]]," ",tbl_Ben_Info[[#This Row],[Family Name]])</f>
        <v xml:space="preserve">  </v>
      </c>
    </row>
    <row r="62" spans="2:49" ht="25.15" customHeight="1" x14ac:dyDescent="0.25">
      <c r="B62" s="49">
        <v>57</v>
      </c>
      <c r="C62" s="1" t="str">
        <f>_xlfn.CONCAT("181-702-",IF(tbl_Ben_Info[[#This Row],[SN]]&lt;10,"00"&amp;tbl_Ben_Info[[#This Row],[SN]],IF(tbl_Ben_Info[[#This Row],[SN]]&lt;100,"0"&amp;tbl_Ben_Info[[#This Row],[SN]],tbl_Ben_Info[[#This Row],[SN]])))</f>
        <v>181-702-057</v>
      </c>
      <c r="D62" s="37"/>
      <c r="E62" s="40"/>
      <c r="F62" s="41"/>
      <c r="G62" s="42"/>
      <c r="H62" s="43"/>
      <c r="I62" s="73"/>
      <c r="J62" s="43"/>
      <c r="K62" s="43"/>
      <c r="L62" s="43"/>
      <c r="M62" s="43"/>
      <c r="N62" s="111"/>
      <c r="O62" s="43"/>
      <c r="P62" s="48"/>
      <c r="Q62" s="49"/>
      <c r="R62" s="37"/>
      <c r="S62" s="37"/>
      <c r="T62" s="37"/>
      <c r="U62" s="37"/>
      <c r="V62" s="59"/>
      <c r="W62" s="49"/>
      <c r="X62" s="37"/>
      <c r="Y62" s="37"/>
      <c r="Z62" s="37"/>
      <c r="AA62" s="37"/>
      <c r="AB62" s="37"/>
      <c r="AC62" s="37"/>
      <c r="AD62" s="37"/>
      <c r="AE62" s="37"/>
      <c r="AF62" s="37"/>
      <c r="AG62" s="59"/>
      <c r="AH62" s="49"/>
      <c r="AI62" s="37"/>
      <c r="AJ62" s="37"/>
      <c r="AK62" s="37"/>
      <c r="AL62" s="37"/>
      <c r="AM62" s="37"/>
      <c r="AN62" s="37"/>
      <c r="AO62" s="37"/>
      <c r="AP62" s="37"/>
      <c r="AQ62" s="37"/>
      <c r="AR62" s="37"/>
      <c r="AS62" s="37"/>
      <c r="AT62" s="37"/>
      <c r="AU62" s="37"/>
      <c r="AV62" s="59"/>
      <c r="AW62" s="1" t="str">
        <f>_xlfn.CONCAT(tbl_Ben_Info[[#This Row],[First Name]]," ",tbl_Ben_Info[[#This Row],[Father Name]]," ",tbl_Ben_Info[[#This Row],[Family Name]])</f>
        <v xml:space="preserve">  </v>
      </c>
    </row>
    <row r="63" spans="2:49" ht="25.15" customHeight="1" x14ac:dyDescent="0.25">
      <c r="B63" s="49">
        <v>58</v>
      </c>
      <c r="C63" s="1" t="str">
        <f>_xlfn.CONCAT("181-702-",IF(tbl_Ben_Info[[#This Row],[SN]]&lt;10,"00"&amp;tbl_Ben_Info[[#This Row],[SN]],IF(tbl_Ben_Info[[#This Row],[SN]]&lt;100,"0"&amp;tbl_Ben_Info[[#This Row],[SN]],tbl_Ben_Info[[#This Row],[SN]])))</f>
        <v>181-702-058</v>
      </c>
      <c r="D63" s="37"/>
      <c r="E63" s="40"/>
      <c r="F63" s="41"/>
      <c r="G63" s="42"/>
      <c r="H63" s="43"/>
      <c r="I63" s="73"/>
      <c r="J63" s="43"/>
      <c r="K63" s="43"/>
      <c r="L63" s="43"/>
      <c r="M63" s="43"/>
      <c r="N63" s="111"/>
      <c r="O63" s="43"/>
      <c r="P63" s="48"/>
      <c r="Q63" s="49"/>
      <c r="R63" s="37"/>
      <c r="S63" s="37"/>
      <c r="T63" s="37"/>
      <c r="U63" s="37"/>
      <c r="V63" s="59"/>
      <c r="W63" s="49"/>
      <c r="X63" s="37"/>
      <c r="Y63" s="37"/>
      <c r="Z63" s="37"/>
      <c r="AA63" s="37"/>
      <c r="AB63" s="37"/>
      <c r="AC63" s="37"/>
      <c r="AD63" s="37"/>
      <c r="AE63" s="37"/>
      <c r="AF63" s="37"/>
      <c r="AG63" s="59"/>
      <c r="AH63" s="49"/>
      <c r="AI63" s="37"/>
      <c r="AJ63" s="37"/>
      <c r="AK63" s="37"/>
      <c r="AL63" s="37"/>
      <c r="AM63" s="37"/>
      <c r="AN63" s="37"/>
      <c r="AO63" s="37"/>
      <c r="AP63" s="37"/>
      <c r="AQ63" s="37"/>
      <c r="AR63" s="37"/>
      <c r="AS63" s="37"/>
      <c r="AT63" s="37"/>
      <c r="AU63" s="37"/>
      <c r="AV63" s="59"/>
      <c r="AW63" s="1" t="str">
        <f>_xlfn.CONCAT(tbl_Ben_Info[[#This Row],[First Name]]," ",tbl_Ben_Info[[#This Row],[Father Name]]," ",tbl_Ben_Info[[#This Row],[Family Name]])</f>
        <v xml:space="preserve">  </v>
      </c>
    </row>
    <row r="64" spans="2:49" ht="25.15" customHeight="1" x14ac:dyDescent="0.25">
      <c r="B64" s="49">
        <v>59</v>
      </c>
      <c r="C64" s="1" t="str">
        <f>_xlfn.CONCAT("181-702-",IF(tbl_Ben_Info[[#This Row],[SN]]&lt;10,"00"&amp;tbl_Ben_Info[[#This Row],[SN]],IF(tbl_Ben_Info[[#This Row],[SN]]&lt;100,"0"&amp;tbl_Ben_Info[[#This Row],[SN]],tbl_Ben_Info[[#This Row],[SN]])))</f>
        <v>181-702-059</v>
      </c>
      <c r="D64" s="37"/>
      <c r="E64" s="40"/>
      <c r="F64" s="41"/>
      <c r="G64" s="42"/>
      <c r="H64" s="43"/>
      <c r="I64" s="73"/>
      <c r="J64" s="43"/>
      <c r="K64" s="43"/>
      <c r="L64" s="43"/>
      <c r="M64" s="43"/>
      <c r="N64" s="111"/>
      <c r="O64" s="43"/>
      <c r="P64" s="48"/>
      <c r="Q64" s="49"/>
      <c r="R64" s="37"/>
      <c r="S64" s="37"/>
      <c r="T64" s="37"/>
      <c r="U64" s="37"/>
      <c r="V64" s="59"/>
      <c r="W64" s="49"/>
      <c r="X64" s="37"/>
      <c r="Y64" s="37"/>
      <c r="Z64" s="37"/>
      <c r="AA64" s="37"/>
      <c r="AB64" s="37"/>
      <c r="AC64" s="37"/>
      <c r="AD64" s="37"/>
      <c r="AE64" s="37"/>
      <c r="AF64" s="37"/>
      <c r="AG64" s="59"/>
      <c r="AH64" s="49"/>
      <c r="AI64" s="37"/>
      <c r="AJ64" s="37"/>
      <c r="AK64" s="37"/>
      <c r="AL64" s="37"/>
      <c r="AM64" s="37"/>
      <c r="AN64" s="37"/>
      <c r="AO64" s="37"/>
      <c r="AP64" s="37"/>
      <c r="AQ64" s="37"/>
      <c r="AR64" s="37"/>
      <c r="AS64" s="37"/>
      <c r="AT64" s="37"/>
      <c r="AU64" s="37"/>
      <c r="AV64" s="59"/>
      <c r="AW64" s="1" t="str">
        <f>_xlfn.CONCAT(tbl_Ben_Info[[#This Row],[First Name]]," ",tbl_Ben_Info[[#This Row],[Father Name]]," ",tbl_Ben_Info[[#This Row],[Family Name]])</f>
        <v xml:space="preserve">  </v>
      </c>
    </row>
    <row r="65" spans="2:49" ht="25.15" customHeight="1" x14ac:dyDescent="0.25">
      <c r="B65" s="49">
        <v>60</v>
      </c>
      <c r="C65" s="1" t="str">
        <f>_xlfn.CONCAT("181-702-",IF(tbl_Ben_Info[[#This Row],[SN]]&lt;10,"00"&amp;tbl_Ben_Info[[#This Row],[SN]],IF(tbl_Ben_Info[[#This Row],[SN]]&lt;100,"0"&amp;tbl_Ben_Info[[#This Row],[SN]],tbl_Ben_Info[[#This Row],[SN]])))</f>
        <v>181-702-060</v>
      </c>
      <c r="D65" s="37"/>
      <c r="E65" s="40"/>
      <c r="F65" s="41"/>
      <c r="G65" s="42"/>
      <c r="H65" s="43"/>
      <c r="I65" s="73"/>
      <c r="J65" s="43"/>
      <c r="K65" s="43"/>
      <c r="L65" s="43"/>
      <c r="M65" s="43"/>
      <c r="N65" s="111"/>
      <c r="O65" s="43"/>
      <c r="P65" s="48"/>
      <c r="Q65" s="49"/>
      <c r="R65" s="37"/>
      <c r="S65" s="37"/>
      <c r="T65" s="37"/>
      <c r="U65" s="37"/>
      <c r="V65" s="59"/>
      <c r="W65" s="49"/>
      <c r="X65" s="37"/>
      <c r="Y65" s="37"/>
      <c r="Z65" s="37"/>
      <c r="AA65" s="37"/>
      <c r="AB65" s="37"/>
      <c r="AC65" s="37"/>
      <c r="AD65" s="37"/>
      <c r="AE65" s="37"/>
      <c r="AF65" s="37"/>
      <c r="AG65" s="59"/>
      <c r="AH65" s="49"/>
      <c r="AI65" s="37"/>
      <c r="AJ65" s="37"/>
      <c r="AK65" s="37"/>
      <c r="AL65" s="37"/>
      <c r="AM65" s="37"/>
      <c r="AN65" s="37"/>
      <c r="AO65" s="37"/>
      <c r="AP65" s="37"/>
      <c r="AQ65" s="37"/>
      <c r="AR65" s="37"/>
      <c r="AS65" s="37"/>
      <c r="AT65" s="37"/>
      <c r="AU65" s="37"/>
      <c r="AV65" s="59"/>
      <c r="AW65" s="1" t="str">
        <f>_xlfn.CONCAT(tbl_Ben_Info[[#This Row],[First Name]]," ",tbl_Ben_Info[[#This Row],[Father Name]]," ",tbl_Ben_Info[[#This Row],[Family Name]])</f>
        <v xml:space="preserve">  </v>
      </c>
    </row>
    <row r="66" spans="2:49" ht="25.15" customHeight="1" x14ac:dyDescent="0.25">
      <c r="B66" s="49">
        <v>61</v>
      </c>
      <c r="C66" s="1" t="str">
        <f>_xlfn.CONCAT("181-702-",IF(tbl_Ben_Info[[#This Row],[SN]]&lt;10,"00"&amp;tbl_Ben_Info[[#This Row],[SN]],IF(tbl_Ben_Info[[#This Row],[SN]]&lt;100,"0"&amp;tbl_Ben_Info[[#This Row],[SN]],tbl_Ben_Info[[#This Row],[SN]])))</f>
        <v>181-702-061</v>
      </c>
      <c r="D66" s="37"/>
      <c r="E66" s="40"/>
      <c r="F66" s="41"/>
      <c r="G66" s="42"/>
      <c r="H66" s="43"/>
      <c r="I66" s="73"/>
      <c r="J66" s="43"/>
      <c r="K66" s="43"/>
      <c r="L66" s="43"/>
      <c r="M66" s="43"/>
      <c r="N66" s="111"/>
      <c r="O66" s="43"/>
      <c r="P66" s="48"/>
      <c r="Q66" s="49"/>
      <c r="R66" s="37"/>
      <c r="S66" s="37"/>
      <c r="T66" s="37"/>
      <c r="U66" s="37"/>
      <c r="V66" s="59"/>
      <c r="W66" s="49"/>
      <c r="X66" s="37"/>
      <c r="Y66" s="37"/>
      <c r="Z66" s="37"/>
      <c r="AA66" s="37"/>
      <c r="AB66" s="37"/>
      <c r="AC66" s="37"/>
      <c r="AD66" s="37"/>
      <c r="AE66" s="37"/>
      <c r="AF66" s="37"/>
      <c r="AG66" s="59"/>
      <c r="AH66" s="49"/>
      <c r="AI66" s="37"/>
      <c r="AJ66" s="37"/>
      <c r="AK66" s="37"/>
      <c r="AL66" s="37"/>
      <c r="AM66" s="37"/>
      <c r="AN66" s="37"/>
      <c r="AO66" s="37"/>
      <c r="AP66" s="37"/>
      <c r="AQ66" s="37"/>
      <c r="AR66" s="37"/>
      <c r="AS66" s="37"/>
      <c r="AT66" s="37"/>
      <c r="AU66" s="37"/>
      <c r="AV66" s="59"/>
      <c r="AW66" s="1" t="str">
        <f>_xlfn.CONCAT(tbl_Ben_Info[[#This Row],[First Name]]," ",tbl_Ben_Info[[#This Row],[Father Name]]," ",tbl_Ben_Info[[#This Row],[Family Name]])</f>
        <v xml:space="preserve">  </v>
      </c>
    </row>
    <row r="67" spans="2:49" ht="25.15" customHeight="1" x14ac:dyDescent="0.25">
      <c r="B67" s="49">
        <v>62</v>
      </c>
      <c r="C67" s="1" t="str">
        <f>_xlfn.CONCAT("181-702-",IF(tbl_Ben_Info[[#This Row],[SN]]&lt;10,"00"&amp;tbl_Ben_Info[[#This Row],[SN]],IF(tbl_Ben_Info[[#This Row],[SN]]&lt;100,"0"&amp;tbl_Ben_Info[[#This Row],[SN]],tbl_Ben_Info[[#This Row],[SN]])))</f>
        <v>181-702-062</v>
      </c>
      <c r="D67" s="37"/>
      <c r="E67" s="40"/>
      <c r="F67" s="41"/>
      <c r="G67" s="42"/>
      <c r="H67" s="43"/>
      <c r="I67" s="73"/>
      <c r="J67" s="43"/>
      <c r="K67" s="43"/>
      <c r="L67" s="43"/>
      <c r="M67" s="43"/>
      <c r="N67" s="111"/>
      <c r="O67" s="43"/>
      <c r="P67" s="48"/>
      <c r="Q67" s="49"/>
      <c r="R67" s="37"/>
      <c r="S67" s="37"/>
      <c r="T67" s="37"/>
      <c r="U67" s="37"/>
      <c r="V67" s="59"/>
      <c r="W67" s="49"/>
      <c r="X67" s="37"/>
      <c r="Y67" s="37"/>
      <c r="Z67" s="37"/>
      <c r="AA67" s="37"/>
      <c r="AB67" s="37"/>
      <c r="AC67" s="37"/>
      <c r="AD67" s="37"/>
      <c r="AE67" s="37"/>
      <c r="AF67" s="37"/>
      <c r="AG67" s="59"/>
      <c r="AH67" s="49"/>
      <c r="AI67" s="37"/>
      <c r="AJ67" s="37"/>
      <c r="AK67" s="37"/>
      <c r="AL67" s="37"/>
      <c r="AM67" s="37"/>
      <c r="AN67" s="37"/>
      <c r="AO67" s="37"/>
      <c r="AP67" s="37"/>
      <c r="AQ67" s="37"/>
      <c r="AR67" s="37"/>
      <c r="AS67" s="37"/>
      <c r="AT67" s="37"/>
      <c r="AU67" s="37"/>
      <c r="AV67" s="59"/>
      <c r="AW67" s="1" t="str">
        <f>_xlfn.CONCAT(tbl_Ben_Info[[#This Row],[First Name]]," ",tbl_Ben_Info[[#This Row],[Father Name]]," ",tbl_Ben_Info[[#This Row],[Family Name]])</f>
        <v xml:space="preserve">  </v>
      </c>
    </row>
    <row r="68" spans="2:49" ht="25.15" customHeight="1" x14ac:dyDescent="0.25">
      <c r="B68" s="49">
        <v>63</v>
      </c>
      <c r="C68" s="1" t="str">
        <f>_xlfn.CONCAT("181-702-",IF(tbl_Ben_Info[[#This Row],[SN]]&lt;10,"00"&amp;tbl_Ben_Info[[#This Row],[SN]],IF(tbl_Ben_Info[[#This Row],[SN]]&lt;100,"0"&amp;tbl_Ben_Info[[#This Row],[SN]],tbl_Ben_Info[[#This Row],[SN]])))</f>
        <v>181-702-063</v>
      </c>
      <c r="D68" s="37"/>
      <c r="E68" s="40"/>
      <c r="F68" s="41"/>
      <c r="G68" s="42"/>
      <c r="H68" s="43"/>
      <c r="I68" s="73"/>
      <c r="J68" s="43"/>
      <c r="K68" s="43"/>
      <c r="L68" s="43"/>
      <c r="M68" s="43"/>
      <c r="N68" s="111"/>
      <c r="O68" s="43"/>
      <c r="P68" s="48"/>
      <c r="Q68" s="49"/>
      <c r="R68" s="37"/>
      <c r="S68" s="37"/>
      <c r="T68" s="37"/>
      <c r="U68" s="37"/>
      <c r="V68" s="59"/>
      <c r="W68" s="49"/>
      <c r="X68" s="37"/>
      <c r="Y68" s="37"/>
      <c r="Z68" s="37"/>
      <c r="AA68" s="37"/>
      <c r="AB68" s="37"/>
      <c r="AC68" s="37"/>
      <c r="AD68" s="37"/>
      <c r="AE68" s="37"/>
      <c r="AF68" s="37"/>
      <c r="AG68" s="59"/>
      <c r="AH68" s="49"/>
      <c r="AI68" s="37"/>
      <c r="AJ68" s="37"/>
      <c r="AK68" s="37"/>
      <c r="AL68" s="37"/>
      <c r="AM68" s="37"/>
      <c r="AN68" s="37"/>
      <c r="AO68" s="37"/>
      <c r="AP68" s="37"/>
      <c r="AQ68" s="37"/>
      <c r="AR68" s="37"/>
      <c r="AS68" s="37"/>
      <c r="AT68" s="37"/>
      <c r="AU68" s="37"/>
      <c r="AV68" s="59"/>
      <c r="AW68" s="1" t="str">
        <f>_xlfn.CONCAT(tbl_Ben_Info[[#This Row],[First Name]]," ",tbl_Ben_Info[[#This Row],[Father Name]]," ",tbl_Ben_Info[[#This Row],[Family Name]])</f>
        <v xml:space="preserve">  </v>
      </c>
    </row>
    <row r="69" spans="2:49" ht="25.15" customHeight="1" x14ac:dyDescent="0.25">
      <c r="B69" s="49">
        <v>64</v>
      </c>
      <c r="C69" s="1" t="str">
        <f>_xlfn.CONCAT("181-702-",IF(tbl_Ben_Info[[#This Row],[SN]]&lt;10,"00"&amp;tbl_Ben_Info[[#This Row],[SN]],IF(tbl_Ben_Info[[#This Row],[SN]]&lt;100,"0"&amp;tbl_Ben_Info[[#This Row],[SN]],tbl_Ben_Info[[#This Row],[SN]])))</f>
        <v>181-702-064</v>
      </c>
      <c r="D69" s="37"/>
      <c r="E69" s="40"/>
      <c r="F69" s="41"/>
      <c r="G69" s="42"/>
      <c r="H69" s="43"/>
      <c r="I69" s="73"/>
      <c r="J69" s="43"/>
      <c r="K69" s="43"/>
      <c r="L69" s="43"/>
      <c r="M69" s="43"/>
      <c r="N69" s="111"/>
      <c r="O69" s="43"/>
      <c r="P69" s="48"/>
      <c r="Q69" s="49"/>
      <c r="R69" s="37"/>
      <c r="S69" s="37"/>
      <c r="T69" s="37"/>
      <c r="U69" s="37"/>
      <c r="V69" s="59"/>
      <c r="W69" s="49"/>
      <c r="X69" s="37"/>
      <c r="Y69" s="37"/>
      <c r="Z69" s="37"/>
      <c r="AA69" s="37"/>
      <c r="AB69" s="37"/>
      <c r="AC69" s="37"/>
      <c r="AD69" s="37"/>
      <c r="AE69" s="37"/>
      <c r="AF69" s="37"/>
      <c r="AG69" s="59"/>
      <c r="AH69" s="49"/>
      <c r="AI69" s="37"/>
      <c r="AJ69" s="37"/>
      <c r="AK69" s="37"/>
      <c r="AL69" s="37"/>
      <c r="AM69" s="37"/>
      <c r="AN69" s="37"/>
      <c r="AO69" s="37"/>
      <c r="AP69" s="37"/>
      <c r="AQ69" s="37"/>
      <c r="AR69" s="37"/>
      <c r="AS69" s="37"/>
      <c r="AT69" s="37"/>
      <c r="AU69" s="37"/>
      <c r="AV69" s="59"/>
      <c r="AW69" s="1" t="str">
        <f>_xlfn.CONCAT(tbl_Ben_Info[[#This Row],[First Name]]," ",tbl_Ben_Info[[#This Row],[Father Name]]," ",tbl_Ben_Info[[#This Row],[Family Name]])</f>
        <v xml:space="preserve">  </v>
      </c>
    </row>
    <row r="70" spans="2:49" ht="25.15" customHeight="1" x14ac:dyDescent="0.25">
      <c r="B70" s="49">
        <v>65</v>
      </c>
      <c r="C70" s="1" t="str">
        <f>_xlfn.CONCAT("181-702-",IF(tbl_Ben_Info[[#This Row],[SN]]&lt;10,"00"&amp;tbl_Ben_Info[[#This Row],[SN]],IF(tbl_Ben_Info[[#This Row],[SN]]&lt;100,"0"&amp;tbl_Ben_Info[[#This Row],[SN]],tbl_Ben_Info[[#This Row],[SN]])))</f>
        <v>181-702-065</v>
      </c>
      <c r="D70" s="37"/>
      <c r="E70" s="40"/>
      <c r="F70" s="41"/>
      <c r="G70" s="42"/>
      <c r="H70" s="43"/>
      <c r="I70" s="73"/>
      <c r="J70" s="43"/>
      <c r="K70" s="43"/>
      <c r="L70" s="43"/>
      <c r="M70" s="43"/>
      <c r="N70" s="111"/>
      <c r="O70" s="43"/>
      <c r="P70" s="48"/>
      <c r="Q70" s="49"/>
      <c r="R70" s="37"/>
      <c r="S70" s="37"/>
      <c r="T70" s="37"/>
      <c r="U70" s="37"/>
      <c r="V70" s="59"/>
      <c r="W70" s="49"/>
      <c r="X70" s="37"/>
      <c r="Y70" s="37"/>
      <c r="Z70" s="37"/>
      <c r="AA70" s="37"/>
      <c r="AB70" s="37"/>
      <c r="AC70" s="37"/>
      <c r="AD70" s="37"/>
      <c r="AE70" s="37"/>
      <c r="AF70" s="37"/>
      <c r="AG70" s="59"/>
      <c r="AH70" s="49"/>
      <c r="AI70" s="37"/>
      <c r="AJ70" s="37"/>
      <c r="AK70" s="37"/>
      <c r="AL70" s="37"/>
      <c r="AM70" s="37"/>
      <c r="AN70" s="37"/>
      <c r="AO70" s="37"/>
      <c r="AP70" s="37"/>
      <c r="AQ70" s="37"/>
      <c r="AR70" s="37"/>
      <c r="AS70" s="37"/>
      <c r="AT70" s="37"/>
      <c r="AU70" s="37"/>
      <c r="AV70" s="59"/>
      <c r="AW70" s="1" t="str">
        <f>_xlfn.CONCAT(tbl_Ben_Info[[#This Row],[First Name]]," ",tbl_Ben_Info[[#This Row],[Father Name]]," ",tbl_Ben_Info[[#This Row],[Family Name]])</f>
        <v xml:space="preserve">  </v>
      </c>
    </row>
    <row r="71" spans="2:49" ht="25.15" customHeight="1" x14ac:dyDescent="0.25">
      <c r="B71" s="49">
        <v>66</v>
      </c>
      <c r="C71" s="1" t="str">
        <f>_xlfn.CONCAT("181-702-",IF(tbl_Ben_Info[[#This Row],[SN]]&lt;10,"00"&amp;tbl_Ben_Info[[#This Row],[SN]],IF(tbl_Ben_Info[[#This Row],[SN]]&lt;100,"0"&amp;tbl_Ben_Info[[#This Row],[SN]],tbl_Ben_Info[[#This Row],[SN]])))</f>
        <v>181-702-066</v>
      </c>
      <c r="D71" s="37"/>
      <c r="E71" s="40"/>
      <c r="F71" s="41"/>
      <c r="G71" s="42"/>
      <c r="H71" s="43"/>
      <c r="I71" s="73"/>
      <c r="J71" s="43"/>
      <c r="K71" s="43"/>
      <c r="L71" s="43"/>
      <c r="M71" s="43"/>
      <c r="N71" s="111"/>
      <c r="O71" s="43"/>
      <c r="P71" s="48"/>
      <c r="Q71" s="49"/>
      <c r="R71" s="37"/>
      <c r="S71" s="37"/>
      <c r="T71" s="37"/>
      <c r="U71" s="37"/>
      <c r="V71" s="59"/>
      <c r="W71" s="49"/>
      <c r="X71" s="37"/>
      <c r="Y71" s="37"/>
      <c r="Z71" s="37"/>
      <c r="AA71" s="37"/>
      <c r="AB71" s="37"/>
      <c r="AC71" s="37"/>
      <c r="AD71" s="37"/>
      <c r="AE71" s="37"/>
      <c r="AF71" s="37"/>
      <c r="AG71" s="59"/>
      <c r="AH71" s="49"/>
      <c r="AI71" s="37"/>
      <c r="AJ71" s="37"/>
      <c r="AK71" s="37"/>
      <c r="AL71" s="37"/>
      <c r="AM71" s="37"/>
      <c r="AN71" s="37"/>
      <c r="AO71" s="37"/>
      <c r="AP71" s="37"/>
      <c r="AQ71" s="37"/>
      <c r="AR71" s="37"/>
      <c r="AS71" s="37"/>
      <c r="AT71" s="37"/>
      <c r="AU71" s="37"/>
      <c r="AV71" s="59"/>
      <c r="AW71" s="1" t="str">
        <f>_xlfn.CONCAT(tbl_Ben_Info[[#This Row],[First Name]]," ",tbl_Ben_Info[[#This Row],[Father Name]]," ",tbl_Ben_Info[[#This Row],[Family Name]])</f>
        <v xml:space="preserve">  </v>
      </c>
    </row>
    <row r="72" spans="2:49" ht="25.15" customHeight="1" x14ac:dyDescent="0.25">
      <c r="B72" s="49">
        <v>67</v>
      </c>
      <c r="C72" s="1" t="str">
        <f>_xlfn.CONCAT("181-702-",IF(tbl_Ben_Info[[#This Row],[SN]]&lt;10,"00"&amp;tbl_Ben_Info[[#This Row],[SN]],IF(tbl_Ben_Info[[#This Row],[SN]]&lt;100,"0"&amp;tbl_Ben_Info[[#This Row],[SN]],tbl_Ben_Info[[#This Row],[SN]])))</f>
        <v>181-702-067</v>
      </c>
      <c r="D72" s="37"/>
      <c r="E72" s="40"/>
      <c r="F72" s="41"/>
      <c r="G72" s="42"/>
      <c r="H72" s="43"/>
      <c r="I72" s="73"/>
      <c r="J72" s="43"/>
      <c r="K72" s="43"/>
      <c r="L72" s="43"/>
      <c r="M72" s="43"/>
      <c r="N72" s="111"/>
      <c r="O72" s="43"/>
      <c r="P72" s="48"/>
      <c r="Q72" s="49"/>
      <c r="R72" s="37"/>
      <c r="S72" s="37"/>
      <c r="T72" s="37"/>
      <c r="U72" s="37"/>
      <c r="V72" s="59"/>
      <c r="W72" s="49"/>
      <c r="X72" s="37"/>
      <c r="Y72" s="37"/>
      <c r="Z72" s="37"/>
      <c r="AA72" s="37"/>
      <c r="AB72" s="37"/>
      <c r="AC72" s="37"/>
      <c r="AD72" s="37"/>
      <c r="AE72" s="37"/>
      <c r="AF72" s="37"/>
      <c r="AG72" s="59"/>
      <c r="AH72" s="49"/>
      <c r="AI72" s="37"/>
      <c r="AJ72" s="37"/>
      <c r="AK72" s="37"/>
      <c r="AL72" s="37"/>
      <c r="AM72" s="37"/>
      <c r="AN72" s="37"/>
      <c r="AO72" s="37"/>
      <c r="AP72" s="37"/>
      <c r="AQ72" s="37"/>
      <c r="AR72" s="37"/>
      <c r="AS72" s="37"/>
      <c r="AT72" s="37"/>
      <c r="AU72" s="37"/>
      <c r="AV72" s="59"/>
      <c r="AW72" s="1" t="str">
        <f>_xlfn.CONCAT(tbl_Ben_Info[[#This Row],[First Name]]," ",tbl_Ben_Info[[#This Row],[Father Name]]," ",tbl_Ben_Info[[#This Row],[Family Name]])</f>
        <v xml:space="preserve">  </v>
      </c>
    </row>
    <row r="73" spans="2:49" ht="25.15" customHeight="1" x14ac:dyDescent="0.25">
      <c r="B73" s="49">
        <v>68</v>
      </c>
      <c r="C73" s="1" t="str">
        <f>_xlfn.CONCAT("181-702-",IF(tbl_Ben_Info[[#This Row],[SN]]&lt;10,"00"&amp;tbl_Ben_Info[[#This Row],[SN]],IF(tbl_Ben_Info[[#This Row],[SN]]&lt;100,"0"&amp;tbl_Ben_Info[[#This Row],[SN]],tbl_Ben_Info[[#This Row],[SN]])))</f>
        <v>181-702-068</v>
      </c>
      <c r="D73" s="37"/>
      <c r="E73" s="40"/>
      <c r="F73" s="41"/>
      <c r="G73" s="42"/>
      <c r="H73" s="43"/>
      <c r="I73" s="73"/>
      <c r="J73" s="43"/>
      <c r="K73" s="43"/>
      <c r="L73" s="43"/>
      <c r="M73" s="43"/>
      <c r="N73" s="111"/>
      <c r="O73" s="43"/>
      <c r="P73" s="48"/>
      <c r="Q73" s="49"/>
      <c r="R73" s="37"/>
      <c r="S73" s="37"/>
      <c r="T73" s="37"/>
      <c r="U73" s="37"/>
      <c r="V73" s="59"/>
      <c r="W73" s="49"/>
      <c r="X73" s="37"/>
      <c r="Y73" s="37"/>
      <c r="Z73" s="37"/>
      <c r="AA73" s="37"/>
      <c r="AB73" s="37"/>
      <c r="AC73" s="37"/>
      <c r="AD73" s="37"/>
      <c r="AE73" s="37"/>
      <c r="AF73" s="37"/>
      <c r="AG73" s="59"/>
      <c r="AH73" s="49"/>
      <c r="AI73" s="37"/>
      <c r="AJ73" s="37"/>
      <c r="AK73" s="37"/>
      <c r="AL73" s="37"/>
      <c r="AM73" s="37"/>
      <c r="AN73" s="37"/>
      <c r="AO73" s="37"/>
      <c r="AP73" s="37"/>
      <c r="AQ73" s="37"/>
      <c r="AR73" s="37"/>
      <c r="AS73" s="37"/>
      <c r="AT73" s="37"/>
      <c r="AU73" s="37"/>
      <c r="AV73" s="59"/>
      <c r="AW73" s="1" t="str">
        <f>_xlfn.CONCAT(tbl_Ben_Info[[#This Row],[First Name]]," ",tbl_Ben_Info[[#This Row],[Father Name]]," ",tbl_Ben_Info[[#This Row],[Family Name]])</f>
        <v xml:space="preserve">  </v>
      </c>
    </row>
    <row r="74" spans="2:49" ht="25.15" customHeight="1" x14ac:dyDescent="0.25">
      <c r="B74" s="49">
        <v>69</v>
      </c>
      <c r="C74" s="1" t="str">
        <f>_xlfn.CONCAT("181-702-",IF(tbl_Ben_Info[[#This Row],[SN]]&lt;10,"00"&amp;tbl_Ben_Info[[#This Row],[SN]],IF(tbl_Ben_Info[[#This Row],[SN]]&lt;100,"0"&amp;tbl_Ben_Info[[#This Row],[SN]],tbl_Ben_Info[[#This Row],[SN]])))</f>
        <v>181-702-069</v>
      </c>
      <c r="D74" s="37"/>
      <c r="E74" s="40"/>
      <c r="F74" s="41"/>
      <c r="G74" s="42"/>
      <c r="H74" s="43"/>
      <c r="I74" s="73"/>
      <c r="J74" s="43"/>
      <c r="K74" s="43"/>
      <c r="L74" s="43"/>
      <c r="M74" s="43"/>
      <c r="N74" s="111"/>
      <c r="O74" s="43"/>
      <c r="P74" s="48"/>
      <c r="Q74" s="49"/>
      <c r="R74" s="37"/>
      <c r="S74" s="37"/>
      <c r="T74" s="37"/>
      <c r="U74" s="37"/>
      <c r="V74" s="59"/>
      <c r="W74" s="49"/>
      <c r="X74" s="37"/>
      <c r="Y74" s="37"/>
      <c r="Z74" s="37"/>
      <c r="AA74" s="37"/>
      <c r="AB74" s="37"/>
      <c r="AC74" s="37"/>
      <c r="AD74" s="37"/>
      <c r="AE74" s="37"/>
      <c r="AF74" s="37"/>
      <c r="AG74" s="59"/>
      <c r="AH74" s="49"/>
      <c r="AI74" s="37"/>
      <c r="AJ74" s="37"/>
      <c r="AK74" s="37"/>
      <c r="AL74" s="37"/>
      <c r="AM74" s="37"/>
      <c r="AN74" s="37"/>
      <c r="AO74" s="37"/>
      <c r="AP74" s="37"/>
      <c r="AQ74" s="37"/>
      <c r="AR74" s="37"/>
      <c r="AS74" s="37"/>
      <c r="AT74" s="37"/>
      <c r="AU74" s="37"/>
      <c r="AV74" s="59"/>
      <c r="AW74" s="1" t="str">
        <f>_xlfn.CONCAT(tbl_Ben_Info[[#This Row],[First Name]]," ",tbl_Ben_Info[[#This Row],[Father Name]]," ",tbl_Ben_Info[[#This Row],[Family Name]])</f>
        <v xml:space="preserve">  </v>
      </c>
    </row>
    <row r="75" spans="2:49" ht="25.15" customHeight="1" x14ac:dyDescent="0.25">
      <c r="B75" s="49">
        <v>70</v>
      </c>
      <c r="C75" s="1" t="str">
        <f>_xlfn.CONCAT("181-702-",IF(tbl_Ben_Info[[#This Row],[SN]]&lt;10,"00"&amp;tbl_Ben_Info[[#This Row],[SN]],IF(tbl_Ben_Info[[#This Row],[SN]]&lt;100,"0"&amp;tbl_Ben_Info[[#This Row],[SN]],tbl_Ben_Info[[#This Row],[SN]])))</f>
        <v>181-702-070</v>
      </c>
      <c r="D75" s="37"/>
      <c r="E75" s="40"/>
      <c r="F75" s="41"/>
      <c r="G75" s="42"/>
      <c r="H75" s="43"/>
      <c r="I75" s="73"/>
      <c r="J75" s="43"/>
      <c r="K75" s="43"/>
      <c r="L75" s="43"/>
      <c r="M75" s="43"/>
      <c r="N75" s="111"/>
      <c r="O75" s="43"/>
      <c r="P75" s="48"/>
      <c r="Q75" s="49"/>
      <c r="R75" s="37"/>
      <c r="S75" s="37"/>
      <c r="T75" s="37"/>
      <c r="U75" s="37"/>
      <c r="V75" s="59"/>
      <c r="W75" s="49"/>
      <c r="X75" s="37"/>
      <c r="Y75" s="37"/>
      <c r="Z75" s="37"/>
      <c r="AA75" s="37"/>
      <c r="AB75" s="37"/>
      <c r="AC75" s="37"/>
      <c r="AD75" s="37"/>
      <c r="AE75" s="37"/>
      <c r="AF75" s="37"/>
      <c r="AG75" s="59"/>
      <c r="AH75" s="49"/>
      <c r="AI75" s="37"/>
      <c r="AJ75" s="37"/>
      <c r="AK75" s="37"/>
      <c r="AL75" s="37"/>
      <c r="AM75" s="37"/>
      <c r="AN75" s="37"/>
      <c r="AO75" s="37"/>
      <c r="AP75" s="37"/>
      <c r="AQ75" s="37"/>
      <c r="AR75" s="37"/>
      <c r="AS75" s="37"/>
      <c r="AT75" s="37"/>
      <c r="AU75" s="37"/>
      <c r="AV75" s="59"/>
      <c r="AW75" s="1" t="str">
        <f>_xlfn.CONCAT(tbl_Ben_Info[[#This Row],[First Name]]," ",tbl_Ben_Info[[#This Row],[Father Name]]," ",tbl_Ben_Info[[#This Row],[Family Name]])</f>
        <v xml:space="preserve">  </v>
      </c>
    </row>
    <row r="76" spans="2:49" ht="25.15" customHeight="1" x14ac:dyDescent="0.25">
      <c r="B76" s="49">
        <v>71</v>
      </c>
      <c r="C76" s="1" t="str">
        <f>_xlfn.CONCAT("181-702-",IF(tbl_Ben_Info[[#This Row],[SN]]&lt;10,"00"&amp;tbl_Ben_Info[[#This Row],[SN]],IF(tbl_Ben_Info[[#This Row],[SN]]&lt;100,"0"&amp;tbl_Ben_Info[[#This Row],[SN]],tbl_Ben_Info[[#This Row],[SN]])))</f>
        <v>181-702-071</v>
      </c>
      <c r="D76" s="37"/>
      <c r="E76" s="40"/>
      <c r="F76" s="41"/>
      <c r="G76" s="42"/>
      <c r="H76" s="43"/>
      <c r="I76" s="73"/>
      <c r="J76" s="43"/>
      <c r="K76" s="43"/>
      <c r="L76" s="43"/>
      <c r="M76" s="43"/>
      <c r="N76" s="111"/>
      <c r="O76" s="43"/>
      <c r="P76" s="48"/>
      <c r="Q76" s="49"/>
      <c r="R76" s="37"/>
      <c r="S76" s="37"/>
      <c r="T76" s="37"/>
      <c r="U76" s="37"/>
      <c r="V76" s="59"/>
      <c r="W76" s="49"/>
      <c r="X76" s="37"/>
      <c r="Y76" s="37"/>
      <c r="Z76" s="37"/>
      <c r="AA76" s="37"/>
      <c r="AB76" s="37"/>
      <c r="AC76" s="37"/>
      <c r="AD76" s="37"/>
      <c r="AE76" s="37"/>
      <c r="AF76" s="37"/>
      <c r="AG76" s="59"/>
      <c r="AH76" s="49"/>
      <c r="AI76" s="37"/>
      <c r="AJ76" s="37"/>
      <c r="AK76" s="37"/>
      <c r="AL76" s="37"/>
      <c r="AM76" s="37"/>
      <c r="AN76" s="37"/>
      <c r="AO76" s="37"/>
      <c r="AP76" s="37"/>
      <c r="AQ76" s="37"/>
      <c r="AR76" s="37"/>
      <c r="AS76" s="37"/>
      <c r="AT76" s="37"/>
      <c r="AU76" s="37"/>
      <c r="AV76" s="59"/>
      <c r="AW76" s="1" t="str">
        <f>_xlfn.CONCAT(tbl_Ben_Info[[#This Row],[First Name]]," ",tbl_Ben_Info[[#This Row],[Father Name]]," ",tbl_Ben_Info[[#This Row],[Family Name]])</f>
        <v xml:space="preserve">  </v>
      </c>
    </row>
    <row r="77" spans="2:49" ht="25.15" customHeight="1" x14ac:dyDescent="0.25">
      <c r="B77" s="49">
        <v>72</v>
      </c>
      <c r="C77" s="1" t="str">
        <f>_xlfn.CONCAT("181-702-",IF(tbl_Ben_Info[[#This Row],[SN]]&lt;10,"00"&amp;tbl_Ben_Info[[#This Row],[SN]],IF(tbl_Ben_Info[[#This Row],[SN]]&lt;100,"0"&amp;tbl_Ben_Info[[#This Row],[SN]],tbl_Ben_Info[[#This Row],[SN]])))</f>
        <v>181-702-072</v>
      </c>
      <c r="D77" s="37"/>
      <c r="E77" s="40"/>
      <c r="F77" s="41"/>
      <c r="G77" s="42"/>
      <c r="H77" s="43"/>
      <c r="I77" s="73"/>
      <c r="J77" s="43"/>
      <c r="K77" s="43"/>
      <c r="L77" s="43"/>
      <c r="M77" s="43"/>
      <c r="N77" s="111"/>
      <c r="O77" s="43"/>
      <c r="P77" s="48"/>
      <c r="Q77" s="49"/>
      <c r="R77" s="37"/>
      <c r="S77" s="37"/>
      <c r="T77" s="37"/>
      <c r="U77" s="37"/>
      <c r="V77" s="59"/>
      <c r="W77" s="49"/>
      <c r="X77" s="37"/>
      <c r="Y77" s="37"/>
      <c r="Z77" s="37"/>
      <c r="AA77" s="37"/>
      <c r="AB77" s="37"/>
      <c r="AC77" s="37"/>
      <c r="AD77" s="37"/>
      <c r="AE77" s="37"/>
      <c r="AF77" s="37"/>
      <c r="AG77" s="59"/>
      <c r="AH77" s="49"/>
      <c r="AI77" s="37"/>
      <c r="AJ77" s="37"/>
      <c r="AK77" s="37"/>
      <c r="AL77" s="37"/>
      <c r="AM77" s="37"/>
      <c r="AN77" s="37"/>
      <c r="AO77" s="37"/>
      <c r="AP77" s="37"/>
      <c r="AQ77" s="37"/>
      <c r="AR77" s="37"/>
      <c r="AS77" s="37"/>
      <c r="AT77" s="37"/>
      <c r="AU77" s="37"/>
      <c r="AV77" s="59"/>
      <c r="AW77" s="1" t="str">
        <f>_xlfn.CONCAT(tbl_Ben_Info[[#This Row],[First Name]]," ",tbl_Ben_Info[[#This Row],[Father Name]]," ",tbl_Ben_Info[[#This Row],[Family Name]])</f>
        <v xml:space="preserve">  </v>
      </c>
    </row>
    <row r="78" spans="2:49" ht="25.15" customHeight="1" x14ac:dyDescent="0.25">
      <c r="B78" s="49">
        <v>73</v>
      </c>
      <c r="C78" s="1" t="str">
        <f>_xlfn.CONCAT("181-702-",IF(tbl_Ben_Info[[#This Row],[SN]]&lt;10,"00"&amp;tbl_Ben_Info[[#This Row],[SN]],IF(tbl_Ben_Info[[#This Row],[SN]]&lt;100,"0"&amp;tbl_Ben_Info[[#This Row],[SN]],tbl_Ben_Info[[#This Row],[SN]])))</f>
        <v>181-702-073</v>
      </c>
      <c r="D78" s="37"/>
      <c r="E78" s="40"/>
      <c r="F78" s="41"/>
      <c r="G78" s="42"/>
      <c r="H78" s="43"/>
      <c r="I78" s="73"/>
      <c r="J78" s="43"/>
      <c r="K78" s="43"/>
      <c r="L78" s="43"/>
      <c r="M78" s="43"/>
      <c r="N78" s="111"/>
      <c r="O78" s="43"/>
      <c r="P78" s="48"/>
      <c r="Q78" s="49"/>
      <c r="R78" s="37"/>
      <c r="S78" s="37"/>
      <c r="T78" s="37"/>
      <c r="U78" s="37"/>
      <c r="V78" s="59"/>
      <c r="W78" s="49"/>
      <c r="X78" s="37"/>
      <c r="Y78" s="37"/>
      <c r="Z78" s="37"/>
      <c r="AA78" s="37"/>
      <c r="AB78" s="37"/>
      <c r="AC78" s="37"/>
      <c r="AD78" s="37"/>
      <c r="AE78" s="37"/>
      <c r="AF78" s="37"/>
      <c r="AG78" s="59"/>
      <c r="AH78" s="49"/>
      <c r="AI78" s="37"/>
      <c r="AJ78" s="37"/>
      <c r="AK78" s="37"/>
      <c r="AL78" s="37"/>
      <c r="AM78" s="37"/>
      <c r="AN78" s="37"/>
      <c r="AO78" s="37"/>
      <c r="AP78" s="37"/>
      <c r="AQ78" s="37"/>
      <c r="AR78" s="37"/>
      <c r="AS78" s="37"/>
      <c r="AT78" s="37"/>
      <c r="AU78" s="37"/>
      <c r="AV78" s="59"/>
      <c r="AW78" s="1" t="str">
        <f>_xlfn.CONCAT(tbl_Ben_Info[[#This Row],[First Name]]," ",tbl_Ben_Info[[#This Row],[Father Name]]," ",tbl_Ben_Info[[#This Row],[Family Name]])</f>
        <v xml:space="preserve">  </v>
      </c>
    </row>
    <row r="79" spans="2:49" ht="25.15" customHeight="1" x14ac:dyDescent="0.25">
      <c r="B79" s="49">
        <v>74</v>
      </c>
      <c r="C79" s="1" t="str">
        <f>_xlfn.CONCAT("181-702-",IF(tbl_Ben_Info[[#This Row],[SN]]&lt;10,"00"&amp;tbl_Ben_Info[[#This Row],[SN]],IF(tbl_Ben_Info[[#This Row],[SN]]&lt;100,"0"&amp;tbl_Ben_Info[[#This Row],[SN]],tbl_Ben_Info[[#This Row],[SN]])))</f>
        <v>181-702-074</v>
      </c>
      <c r="D79" s="37"/>
      <c r="E79" s="40"/>
      <c r="F79" s="41"/>
      <c r="G79" s="42"/>
      <c r="H79" s="43"/>
      <c r="I79" s="73"/>
      <c r="J79" s="43"/>
      <c r="K79" s="43"/>
      <c r="L79" s="43"/>
      <c r="M79" s="43"/>
      <c r="N79" s="111"/>
      <c r="O79" s="43"/>
      <c r="P79" s="48"/>
      <c r="Q79" s="49"/>
      <c r="R79" s="37"/>
      <c r="S79" s="37"/>
      <c r="T79" s="37"/>
      <c r="U79" s="37"/>
      <c r="V79" s="59"/>
      <c r="W79" s="49"/>
      <c r="X79" s="37"/>
      <c r="Y79" s="37"/>
      <c r="Z79" s="37"/>
      <c r="AA79" s="37"/>
      <c r="AB79" s="37"/>
      <c r="AC79" s="37"/>
      <c r="AD79" s="37"/>
      <c r="AE79" s="37"/>
      <c r="AF79" s="37"/>
      <c r="AG79" s="59"/>
      <c r="AH79" s="49"/>
      <c r="AI79" s="37"/>
      <c r="AJ79" s="37"/>
      <c r="AK79" s="37"/>
      <c r="AL79" s="37"/>
      <c r="AM79" s="37"/>
      <c r="AN79" s="37"/>
      <c r="AO79" s="37"/>
      <c r="AP79" s="37"/>
      <c r="AQ79" s="37"/>
      <c r="AR79" s="37"/>
      <c r="AS79" s="37"/>
      <c r="AT79" s="37"/>
      <c r="AU79" s="37"/>
      <c r="AV79" s="59"/>
      <c r="AW79" s="1" t="str">
        <f>_xlfn.CONCAT(tbl_Ben_Info[[#This Row],[First Name]]," ",tbl_Ben_Info[[#This Row],[Father Name]]," ",tbl_Ben_Info[[#This Row],[Family Name]])</f>
        <v xml:space="preserve">  </v>
      </c>
    </row>
    <row r="80" spans="2:49" ht="25.15" customHeight="1" x14ac:dyDescent="0.25">
      <c r="B80" s="49">
        <v>75</v>
      </c>
      <c r="C80" s="1" t="str">
        <f>_xlfn.CONCAT("181-702-",IF(tbl_Ben_Info[[#This Row],[SN]]&lt;10,"00"&amp;tbl_Ben_Info[[#This Row],[SN]],IF(tbl_Ben_Info[[#This Row],[SN]]&lt;100,"0"&amp;tbl_Ben_Info[[#This Row],[SN]],tbl_Ben_Info[[#This Row],[SN]])))</f>
        <v>181-702-075</v>
      </c>
      <c r="D80" s="37"/>
      <c r="E80" s="40"/>
      <c r="F80" s="41"/>
      <c r="G80" s="42"/>
      <c r="H80" s="43"/>
      <c r="I80" s="73"/>
      <c r="J80" s="43"/>
      <c r="K80" s="43"/>
      <c r="L80" s="43"/>
      <c r="M80" s="43"/>
      <c r="N80" s="111"/>
      <c r="O80" s="43"/>
      <c r="P80" s="48"/>
      <c r="Q80" s="49"/>
      <c r="R80" s="37"/>
      <c r="S80" s="37"/>
      <c r="T80" s="37"/>
      <c r="U80" s="37"/>
      <c r="V80" s="59"/>
      <c r="W80" s="49"/>
      <c r="X80" s="37"/>
      <c r="Y80" s="37"/>
      <c r="Z80" s="37"/>
      <c r="AA80" s="37"/>
      <c r="AB80" s="37"/>
      <c r="AC80" s="37"/>
      <c r="AD80" s="37"/>
      <c r="AE80" s="37"/>
      <c r="AF80" s="37"/>
      <c r="AG80" s="59"/>
      <c r="AH80" s="49"/>
      <c r="AI80" s="37"/>
      <c r="AJ80" s="37"/>
      <c r="AK80" s="37"/>
      <c r="AL80" s="37"/>
      <c r="AM80" s="37"/>
      <c r="AN80" s="37"/>
      <c r="AO80" s="37"/>
      <c r="AP80" s="37"/>
      <c r="AQ80" s="37"/>
      <c r="AR80" s="37"/>
      <c r="AS80" s="37"/>
      <c r="AT80" s="37"/>
      <c r="AU80" s="37"/>
      <c r="AV80" s="59"/>
      <c r="AW80" s="1" t="str">
        <f>_xlfn.CONCAT(tbl_Ben_Info[[#This Row],[First Name]]," ",tbl_Ben_Info[[#This Row],[Father Name]]," ",tbl_Ben_Info[[#This Row],[Family Name]])</f>
        <v xml:space="preserve">  </v>
      </c>
    </row>
    <row r="81" spans="2:49" ht="25.15" customHeight="1" x14ac:dyDescent="0.25">
      <c r="B81" s="49">
        <v>76</v>
      </c>
      <c r="C81" s="1" t="str">
        <f>_xlfn.CONCAT("181-702-",IF(tbl_Ben_Info[[#This Row],[SN]]&lt;10,"00"&amp;tbl_Ben_Info[[#This Row],[SN]],IF(tbl_Ben_Info[[#This Row],[SN]]&lt;100,"0"&amp;tbl_Ben_Info[[#This Row],[SN]],tbl_Ben_Info[[#This Row],[SN]])))</f>
        <v>181-702-076</v>
      </c>
      <c r="D81" s="37"/>
      <c r="E81" s="40"/>
      <c r="F81" s="41"/>
      <c r="G81" s="42"/>
      <c r="H81" s="43"/>
      <c r="I81" s="73"/>
      <c r="J81" s="43"/>
      <c r="K81" s="43"/>
      <c r="L81" s="43"/>
      <c r="M81" s="43"/>
      <c r="N81" s="111"/>
      <c r="O81" s="43"/>
      <c r="P81" s="48"/>
      <c r="Q81" s="49"/>
      <c r="R81" s="37"/>
      <c r="S81" s="37"/>
      <c r="T81" s="37"/>
      <c r="U81" s="37"/>
      <c r="V81" s="59"/>
      <c r="W81" s="49"/>
      <c r="X81" s="37"/>
      <c r="Y81" s="37"/>
      <c r="Z81" s="37"/>
      <c r="AA81" s="37"/>
      <c r="AB81" s="37"/>
      <c r="AC81" s="37"/>
      <c r="AD81" s="37"/>
      <c r="AE81" s="37"/>
      <c r="AF81" s="37"/>
      <c r="AG81" s="59"/>
      <c r="AH81" s="49"/>
      <c r="AI81" s="37"/>
      <c r="AJ81" s="37"/>
      <c r="AK81" s="37"/>
      <c r="AL81" s="37"/>
      <c r="AM81" s="37"/>
      <c r="AN81" s="37"/>
      <c r="AO81" s="37"/>
      <c r="AP81" s="37"/>
      <c r="AQ81" s="37"/>
      <c r="AR81" s="37"/>
      <c r="AS81" s="37"/>
      <c r="AT81" s="37"/>
      <c r="AU81" s="37"/>
      <c r="AV81" s="59"/>
      <c r="AW81" s="1" t="str">
        <f>_xlfn.CONCAT(tbl_Ben_Info[[#This Row],[First Name]]," ",tbl_Ben_Info[[#This Row],[Father Name]]," ",tbl_Ben_Info[[#This Row],[Family Name]])</f>
        <v xml:space="preserve">  </v>
      </c>
    </row>
    <row r="82" spans="2:49" ht="25.15" customHeight="1" x14ac:dyDescent="0.25">
      <c r="B82" s="49">
        <v>77</v>
      </c>
      <c r="C82" s="1" t="str">
        <f>_xlfn.CONCAT("181-702-",IF(tbl_Ben_Info[[#This Row],[SN]]&lt;10,"00"&amp;tbl_Ben_Info[[#This Row],[SN]],IF(tbl_Ben_Info[[#This Row],[SN]]&lt;100,"0"&amp;tbl_Ben_Info[[#This Row],[SN]],tbl_Ben_Info[[#This Row],[SN]])))</f>
        <v>181-702-077</v>
      </c>
      <c r="D82" s="37"/>
      <c r="E82" s="40"/>
      <c r="F82" s="41"/>
      <c r="G82" s="42"/>
      <c r="H82" s="43"/>
      <c r="I82" s="73"/>
      <c r="J82" s="43"/>
      <c r="K82" s="43"/>
      <c r="L82" s="43"/>
      <c r="M82" s="43"/>
      <c r="N82" s="111"/>
      <c r="O82" s="43"/>
      <c r="P82" s="48"/>
      <c r="Q82" s="49"/>
      <c r="R82" s="37"/>
      <c r="S82" s="37"/>
      <c r="T82" s="37"/>
      <c r="U82" s="37"/>
      <c r="V82" s="59"/>
      <c r="W82" s="49"/>
      <c r="X82" s="37"/>
      <c r="Y82" s="37"/>
      <c r="Z82" s="37"/>
      <c r="AA82" s="37"/>
      <c r="AB82" s="37"/>
      <c r="AC82" s="37"/>
      <c r="AD82" s="37"/>
      <c r="AE82" s="37"/>
      <c r="AF82" s="37"/>
      <c r="AG82" s="59"/>
      <c r="AH82" s="49"/>
      <c r="AI82" s="37"/>
      <c r="AJ82" s="37"/>
      <c r="AK82" s="37"/>
      <c r="AL82" s="37"/>
      <c r="AM82" s="37"/>
      <c r="AN82" s="37"/>
      <c r="AO82" s="37"/>
      <c r="AP82" s="37"/>
      <c r="AQ82" s="37"/>
      <c r="AR82" s="37"/>
      <c r="AS82" s="37"/>
      <c r="AT82" s="37"/>
      <c r="AU82" s="37"/>
      <c r="AV82" s="59"/>
      <c r="AW82" s="1" t="str">
        <f>_xlfn.CONCAT(tbl_Ben_Info[[#This Row],[First Name]]," ",tbl_Ben_Info[[#This Row],[Father Name]]," ",tbl_Ben_Info[[#This Row],[Family Name]])</f>
        <v xml:space="preserve">  </v>
      </c>
    </row>
    <row r="83" spans="2:49" ht="25.15" customHeight="1" x14ac:dyDescent="0.25">
      <c r="B83" s="49">
        <v>78</v>
      </c>
      <c r="C83" s="1" t="str">
        <f>_xlfn.CONCAT("181-702-",IF(tbl_Ben_Info[[#This Row],[SN]]&lt;10,"00"&amp;tbl_Ben_Info[[#This Row],[SN]],IF(tbl_Ben_Info[[#This Row],[SN]]&lt;100,"0"&amp;tbl_Ben_Info[[#This Row],[SN]],tbl_Ben_Info[[#This Row],[SN]])))</f>
        <v>181-702-078</v>
      </c>
      <c r="D83" s="37"/>
      <c r="E83" s="40"/>
      <c r="F83" s="41"/>
      <c r="G83" s="42"/>
      <c r="H83" s="43"/>
      <c r="I83" s="73"/>
      <c r="J83" s="43"/>
      <c r="K83" s="43"/>
      <c r="L83" s="43"/>
      <c r="M83" s="43"/>
      <c r="N83" s="111"/>
      <c r="O83" s="43"/>
      <c r="P83" s="48"/>
      <c r="Q83" s="49"/>
      <c r="R83" s="37"/>
      <c r="S83" s="37"/>
      <c r="T83" s="37"/>
      <c r="U83" s="37"/>
      <c r="V83" s="59"/>
      <c r="W83" s="49"/>
      <c r="X83" s="37"/>
      <c r="Y83" s="37"/>
      <c r="Z83" s="37"/>
      <c r="AA83" s="37"/>
      <c r="AB83" s="37"/>
      <c r="AC83" s="37"/>
      <c r="AD83" s="37"/>
      <c r="AE83" s="37"/>
      <c r="AF83" s="37"/>
      <c r="AG83" s="59"/>
      <c r="AH83" s="49"/>
      <c r="AI83" s="37"/>
      <c r="AJ83" s="37"/>
      <c r="AK83" s="37"/>
      <c r="AL83" s="37"/>
      <c r="AM83" s="37"/>
      <c r="AN83" s="37"/>
      <c r="AO83" s="37"/>
      <c r="AP83" s="37"/>
      <c r="AQ83" s="37"/>
      <c r="AR83" s="37"/>
      <c r="AS83" s="37"/>
      <c r="AT83" s="37"/>
      <c r="AU83" s="37"/>
      <c r="AV83" s="59"/>
      <c r="AW83" s="1" t="str">
        <f>_xlfn.CONCAT(tbl_Ben_Info[[#This Row],[First Name]]," ",tbl_Ben_Info[[#This Row],[Father Name]]," ",tbl_Ben_Info[[#This Row],[Family Name]])</f>
        <v xml:space="preserve">  </v>
      </c>
    </row>
    <row r="84" spans="2:49" ht="25.15" customHeight="1" x14ac:dyDescent="0.25">
      <c r="B84" s="49">
        <v>79</v>
      </c>
      <c r="C84" s="1" t="str">
        <f>_xlfn.CONCAT("181-702-",IF(tbl_Ben_Info[[#This Row],[SN]]&lt;10,"00"&amp;tbl_Ben_Info[[#This Row],[SN]],IF(tbl_Ben_Info[[#This Row],[SN]]&lt;100,"0"&amp;tbl_Ben_Info[[#This Row],[SN]],tbl_Ben_Info[[#This Row],[SN]])))</f>
        <v>181-702-079</v>
      </c>
      <c r="D84" s="37"/>
      <c r="E84" s="40"/>
      <c r="F84" s="41"/>
      <c r="G84" s="42"/>
      <c r="H84" s="43"/>
      <c r="I84" s="73"/>
      <c r="J84" s="43"/>
      <c r="K84" s="43"/>
      <c r="L84" s="43"/>
      <c r="M84" s="43"/>
      <c r="N84" s="111"/>
      <c r="O84" s="43"/>
      <c r="P84" s="48"/>
      <c r="Q84" s="49"/>
      <c r="R84" s="37"/>
      <c r="S84" s="37"/>
      <c r="T84" s="37"/>
      <c r="U84" s="37"/>
      <c r="V84" s="59"/>
      <c r="W84" s="49"/>
      <c r="X84" s="37"/>
      <c r="Y84" s="37"/>
      <c r="Z84" s="37"/>
      <c r="AA84" s="37"/>
      <c r="AB84" s="37"/>
      <c r="AC84" s="37"/>
      <c r="AD84" s="37"/>
      <c r="AE84" s="37"/>
      <c r="AF84" s="37"/>
      <c r="AG84" s="59"/>
      <c r="AH84" s="49"/>
      <c r="AI84" s="37"/>
      <c r="AJ84" s="37"/>
      <c r="AK84" s="37"/>
      <c r="AL84" s="37"/>
      <c r="AM84" s="37"/>
      <c r="AN84" s="37"/>
      <c r="AO84" s="37"/>
      <c r="AP84" s="37"/>
      <c r="AQ84" s="37"/>
      <c r="AR84" s="37"/>
      <c r="AS84" s="37"/>
      <c r="AT84" s="37"/>
      <c r="AU84" s="37"/>
      <c r="AV84" s="59"/>
      <c r="AW84" s="1" t="str">
        <f>_xlfn.CONCAT(tbl_Ben_Info[[#This Row],[First Name]]," ",tbl_Ben_Info[[#This Row],[Father Name]]," ",tbl_Ben_Info[[#This Row],[Family Name]])</f>
        <v xml:space="preserve">  </v>
      </c>
    </row>
    <row r="85" spans="2:49" ht="25.15" customHeight="1" x14ac:dyDescent="0.25">
      <c r="B85" s="49">
        <v>80</v>
      </c>
      <c r="C85" s="1" t="str">
        <f>_xlfn.CONCAT("181-702-",IF(tbl_Ben_Info[[#This Row],[SN]]&lt;10,"00"&amp;tbl_Ben_Info[[#This Row],[SN]],IF(tbl_Ben_Info[[#This Row],[SN]]&lt;100,"0"&amp;tbl_Ben_Info[[#This Row],[SN]],tbl_Ben_Info[[#This Row],[SN]])))</f>
        <v>181-702-080</v>
      </c>
      <c r="D85" s="37"/>
      <c r="E85" s="40"/>
      <c r="F85" s="41"/>
      <c r="G85" s="42"/>
      <c r="H85" s="43"/>
      <c r="I85" s="73"/>
      <c r="J85" s="43"/>
      <c r="K85" s="43"/>
      <c r="L85" s="43"/>
      <c r="M85" s="43"/>
      <c r="N85" s="111"/>
      <c r="O85" s="43"/>
      <c r="P85" s="48"/>
      <c r="Q85" s="49"/>
      <c r="R85" s="37"/>
      <c r="S85" s="37"/>
      <c r="T85" s="37"/>
      <c r="U85" s="37"/>
      <c r="V85" s="59"/>
      <c r="W85" s="49"/>
      <c r="X85" s="37"/>
      <c r="Y85" s="37"/>
      <c r="Z85" s="37"/>
      <c r="AA85" s="37"/>
      <c r="AB85" s="37"/>
      <c r="AC85" s="37"/>
      <c r="AD85" s="37"/>
      <c r="AE85" s="37"/>
      <c r="AF85" s="37"/>
      <c r="AG85" s="59"/>
      <c r="AH85" s="49"/>
      <c r="AI85" s="37"/>
      <c r="AJ85" s="37"/>
      <c r="AK85" s="37"/>
      <c r="AL85" s="37"/>
      <c r="AM85" s="37"/>
      <c r="AN85" s="37"/>
      <c r="AO85" s="37"/>
      <c r="AP85" s="37"/>
      <c r="AQ85" s="37"/>
      <c r="AR85" s="37"/>
      <c r="AS85" s="37"/>
      <c r="AT85" s="37"/>
      <c r="AU85" s="37"/>
      <c r="AV85" s="59"/>
      <c r="AW85" s="1" t="str">
        <f>_xlfn.CONCAT(tbl_Ben_Info[[#This Row],[First Name]]," ",tbl_Ben_Info[[#This Row],[Father Name]]," ",tbl_Ben_Info[[#This Row],[Family Name]])</f>
        <v xml:space="preserve">  </v>
      </c>
    </row>
    <row r="86" spans="2:49" ht="25.15" customHeight="1" x14ac:dyDescent="0.25">
      <c r="B86" s="49">
        <v>81</v>
      </c>
      <c r="C86" s="1" t="str">
        <f>_xlfn.CONCAT("181-702-",IF(tbl_Ben_Info[[#This Row],[SN]]&lt;10,"00"&amp;tbl_Ben_Info[[#This Row],[SN]],IF(tbl_Ben_Info[[#This Row],[SN]]&lt;100,"0"&amp;tbl_Ben_Info[[#This Row],[SN]],tbl_Ben_Info[[#This Row],[SN]])))</f>
        <v>181-702-081</v>
      </c>
      <c r="D86" s="37"/>
      <c r="E86" s="40"/>
      <c r="F86" s="41"/>
      <c r="G86" s="42"/>
      <c r="H86" s="43"/>
      <c r="I86" s="73"/>
      <c r="J86" s="43"/>
      <c r="K86" s="43"/>
      <c r="L86" s="43"/>
      <c r="M86" s="43"/>
      <c r="N86" s="111"/>
      <c r="O86" s="43"/>
      <c r="P86" s="48"/>
      <c r="Q86" s="49"/>
      <c r="R86" s="37"/>
      <c r="S86" s="37"/>
      <c r="T86" s="37"/>
      <c r="U86" s="37"/>
      <c r="V86" s="59"/>
      <c r="W86" s="49"/>
      <c r="X86" s="37"/>
      <c r="Y86" s="37"/>
      <c r="Z86" s="37"/>
      <c r="AA86" s="37"/>
      <c r="AB86" s="37"/>
      <c r="AC86" s="37"/>
      <c r="AD86" s="37"/>
      <c r="AE86" s="37"/>
      <c r="AF86" s="37"/>
      <c r="AG86" s="59"/>
      <c r="AH86" s="49"/>
      <c r="AI86" s="37"/>
      <c r="AJ86" s="37"/>
      <c r="AK86" s="37"/>
      <c r="AL86" s="37"/>
      <c r="AM86" s="37"/>
      <c r="AN86" s="37"/>
      <c r="AO86" s="37"/>
      <c r="AP86" s="37"/>
      <c r="AQ86" s="37"/>
      <c r="AR86" s="37"/>
      <c r="AS86" s="37"/>
      <c r="AT86" s="37"/>
      <c r="AU86" s="37"/>
      <c r="AV86" s="59"/>
      <c r="AW86" s="1" t="str">
        <f>_xlfn.CONCAT(tbl_Ben_Info[[#This Row],[First Name]]," ",tbl_Ben_Info[[#This Row],[Father Name]]," ",tbl_Ben_Info[[#This Row],[Family Name]])</f>
        <v xml:space="preserve">  </v>
      </c>
    </row>
    <row r="87" spans="2:49" ht="25.15" customHeight="1" x14ac:dyDescent="0.25">
      <c r="B87" s="49">
        <v>82</v>
      </c>
      <c r="C87" s="1" t="str">
        <f>_xlfn.CONCAT("181-702-",IF(tbl_Ben_Info[[#This Row],[SN]]&lt;10,"00"&amp;tbl_Ben_Info[[#This Row],[SN]],IF(tbl_Ben_Info[[#This Row],[SN]]&lt;100,"0"&amp;tbl_Ben_Info[[#This Row],[SN]],tbl_Ben_Info[[#This Row],[SN]])))</f>
        <v>181-702-082</v>
      </c>
      <c r="D87" s="37"/>
      <c r="E87" s="40"/>
      <c r="F87" s="41"/>
      <c r="G87" s="42"/>
      <c r="H87" s="43"/>
      <c r="I87" s="73"/>
      <c r="J87" s="43"/>
      <c r="K87" s="43"/>
      <c r="L87" s="43"/>
      <c r="M87" s="43"/>
      <c r="N87" s="111"/>
      <c r="O87" s="43"/>
      <c r="P87" s="48"/>
      <c r="Q87" s="49"/>
      <c r="R87" s="37"/>
      <c r="S87" s="37"/>
      <c r="T87" s="37"/>
      <c r="U87" s="37"/>
      <c r="V87" s="59"/>
      <c r="W87" s="49"/>
      <c r="X87" s="37"/>
      <c r="Y87" s="37"/>
      <c r="Z87" s="37"/>
      <c r="AA87" s="37"/>
      <c r="AB87" s="37"/>
      <c r="AC87" s="37"/>
      <c r="AD87" s="37"/>
      <c r="AE87" s="37"/>
      <c r="AF87" s="37"/>
      <c r="AG87" s="59"/>
      <c r="AH87" s="49"/>
      <c r="AI87" s="37"/>
      <c r="AJ87" s="37"/>
      <c r="AK87" s="37"/>
      <c r="AL87" s="37"/>
      <c r="AM87" s="37"/>
      <c r="AN87" s="37"/>
      <c r="AO87" s="37"/>
      <c r="AP87" s="37"/>
      <c r="AQ87" s="37"/>
      <c r="AR87" s="37"/>
      <c r="AS87" s="37"/>
      <c r="AT87" s="37"/>
      <c r="AU87" s="37"/>
      <c r="AV87" s="59"/>
      <c r="AW87" s="1" t="str">
        <f>_xlfn.CONCAT(tbl_Ben_Info[[#This Row],[First Name]]," ",tbl_Ben_Info[[#This Row],[Father Name]]," ",tbl_Ben_Info[[#This Row],[Family Name]])</f>
        <v xml:space="preserve">  </v>
      </c>
    </row>
    <row r="88" spans="2:49" ht="25.15" customHeight="1" x14ac:dyDescent="0.25">
      <c r="B88" s="49">
        <v>83</v>
      </c>
      <c r="C88" s="1" t="str">
        <f>_xlfn.CONCAT("181-702-",IF(tbl_Ben_Info[[#This Row],[SN]]&lt;10,"00"&amp;tbl_Ben_Info[[#This Row],[SN]],IF(tbl_Ben_Info[[#This Row],[SN]]&lt;100,"0"&amp;tbl_Ben_Info[[#This Row],[SN]],tbl_Ben_Info[[#This Row],[SN]])))</f>
        <v>181-702-083</v>
      </c>
      <c r="D88" s="37"/>
      <c r="E88" s="40"/>
      <c r="F88" s="41"/>
      <c r="G88" s="42"/>
      <c r="H88" s="43"/>
      <c r="I88" s="73"/>
      <c r="J88" s="43"/>
      <c r="K88" s="43"/>
      <c r="L88" s="43"/>
      <c r="M88" s="43"/>
      <c r="N88" s="111"/>
      <c r="O88" s="43"/>
      <c r="P88" s="48"/>
      <c r="Q88" s="49"/>
      <c r="R88" s="37"/>
      <c r="S88" s="37"/>
      <c r="T88" s="37"/>
      <c r="U88" s="37"/>
      <c r="V88" s="59"/>
      <c r="W88" s="49"/>
      <c r="X88" s="37"/>
      <c r="Y88" s="37"/>
      <c r="Z88" s="37"/>
      <c r="AA88" s="37"/>
      <c r="AB88" s="37"/>
      <c r="AC88" s="37"/>
      <c r="AD88" s="37"/>
      <c r="AE88" s="37"/>
      <c r="AF88" s="37"/>
      <c r="AG88" s="59"/>
      <c r="AH88" s="49"/>
      <c r="AI88" s="37"/>
      <c r="AJ88" s="37"/>
      <c r="AK88" s="37"/>
      <c r="AL88" s="37"/>
      <c r="AM88" s="37"/>
      <c r="AN88" s="37"/>
      <c r="AO88" s="37"/>
      <c r="AP88" s="37"/>
      <c r="AQ88" s="37"/>
      <c r="AR88" s="37"/>
      <c r="AS88" s="37"/>
      <c r="AT88" s="37"/>
      <c r="AU88" s="37"/>
      <c r="AV88" s="59"/>
      <c r="AW88" s="1" t="str">
        <f>_xlfn.CONCAT(tbl_Ben_Info[[#This Row],[First Name]]," ",tbl_Ben_Info[[#This Row],[Father Name]]," ",tbl_Ben_Info[[#This Row],[Family Name]])</f>
        <v xml:space="preserve">  </v>
      </c>
    </row>
    <row r="89" spans="2:49" ht="25.15" customHeight="1" x14ac:dyDescent="0.25">
      <c r="B89" s="49">
        <v>84</v>
      </c>
      <c r="C89" s="1" t="str">
        <f>_xlfn.CONCAT("181-702-",IF(tbl_Ben_Info[[#This Row],[SN]]&lt;10,"00"&amp;tbl_Ben_Info[[#This Row],[SN]],IF(tbl_Ben_Info[[#This Row],[SN]]&lt;100,"0"&amp;tbl_Ben_Info[[#This Row],[SN]],tbl_Ben_Info[[#This Row],[SN]])))</f>
        <v>181-702-084</v>
      </c>
      <c r="D89" s="37"/>
      <c r="E89" s="40"/>
      <c r="F89" s="41"/>
      <c r="G89" s="42"/>
      <c r="H89" s="43"/>
      <c r="I89" s="73"/>
      <c r="J89" s="43"/>
      <c r="K89" s="43"/>
      <c r="L89" s="43"/>
      <c r="M89" s="43"/>
      <c r="N89" s="111"/>
      <c r="O89" s="43"/>
      <c r="P89" s="48"/>
      <c r="Q89" s="49"/>
      <c r="R89" s="37"/>
      <c r="S89" s="37"/>
      <c r="T89" s="37"/>
      <c r="U89" s="37"/>
      <c r="V89" s="59"/>
      <c r="W89" s="49"/>
      <c r="X89" s="37"/>
      <c r="Y89" s="37"/>
      <c r="Z89" s="37"/>
      <c r="AA89" s="37"/>
      <c r="AB89" s="37"/>
      <c r="AC89" s="37"/>
      <c r="AD89" s="37"/>
      <c r="AE89" s="37"/>
      <c r="AF89" s="37"/>
      <c r="AG89" s="59"/>
      <c r="AH89" s="49"/>
      <c r="AI89" s="37"/>
      <c r="AJ89" s="37"/>
      <c r="AK89" s="37"/>
      <c r="AL89" s="37"/>
      <c r="AM89" s="37"/>
      <c r="AN89" s="37"/>
      <c r="AO89" s="37"/>
      <c r="AP89" s="37"/>
      <c r="AQ89" s="37"/>
      <c r="AR89" s="37"/>
      <c r="AS89" s="37"/>
      <c r="AT89" s="37"/>
      <c r="AU89" s="37"/>
      <c r="AV89" s="59"/>
      <c r="AW89" s="1" t="str">
        <f>_xlfn.CONCAT(tbl_Ben_Info[[#This Row],[First Name]]," ",tbl_Ben_Info[[#This Row],[Father Name]]," ",tbl_Ben_Info[[#This Row],[Family Name]])</f>
        <v xml:space="preserve">  </v>
      </c>
    </row>
    <row r="90" spans="2:49" ht="25.15" customHeight="1" x14ac:dyDescent="0.25">
      <c r="B90" s="49">
        <v>85</v>
      </c>
      <c r="C90" s="1" t="str">
        <f>_xlfn.CONCAT("181-702-",IF(tbl_Ben_Info[[#This Row],[SN]]&lt;10,"00"&amp;tbl_Ben_Info[[#This Row],[SN]],IF(tbl_Ben_Info[[#This Row],[SN]]&lt;100,"0"&amp;tbl_Ben_Info[[#This Row],[SN]],tbl_Ben_Info[[#This Row],[SN]])))</f>
        <v>181-702-085</v>
      </c>
      <c r="D90" s="37"/>
      <c r="E90" s="40"/>
      <c r="F90" s="41"/>
      <c r="G90" s="42"/>
      <c r="H90" s="43"/>
      <c r="I90" s="73"/>
      <c r="J90" s="43"/>
      <c r="K90" s="43"/>
      <c r="L90" s="43"/>
      <c r="M90" s="43"/>
      <c r="N90" s="111"/>
      <c r="O90" s="43"/>
      <c r="P90" s="48"/>
      <c r="Q90" s="49"/>
      <c r="R90" s="37"/>
      <c r="S90" s="37"/>
      <c r="T90" s="37"/>
      <c r="U90" s="37"/>
      <c r="V90" s="59"/>
      <c r="W90" s="49"/>
      <c r="X90" s="37"/>
      <c r="Y90" s="37"/>
      <c r="Z90" s="37"/>
      <c r="AA90" s="37"/>
      <c r="AB90" s="37"/>
      <c r="AC90" s="37"/>
      <c r="AD90" s="37"/>
      <c r="AE90" s="37"/>
      <c r="AF90" s="37"/>
      <c r="AG90" s="59"/>
      <c r="AH90" s="49"/>
      <c r="AI90" s="37"/>
      <c r="AJ90" s="37"/>
      <c r="AK90" s="37"/>
      <c r="AL90" s="37"/>
      <c r="AM90" s="37"/>
      <c r="AN90" s="37"/>
      <c r="AO90" s="37"/>
      <c r="AP90" s="37"/>
      <c r="AQ90" s="37"/>
      <c r="AR90" s="37"/>
      <c r="AS90" s="37"/>
      <c r="AT90" s="37"/>
      <c r="AU90" s="37"/>
      <c r="AV90" s="59"/>
      <c r="AW90" s="1" t="str">
        <f>_xlfn.CONCAT(tbl_Ben_Info[[#This Row],[First Name]]," ",tbl_Ben_Info[[#This Row],[Father Name]]," ",tbl_Ben_Info[[#This Row],[Family Name]])</f>
        <v xml:space="preserve">  </v>
      </c>
    </row>
    <row r="91" spans="2:49" ht="25.15" customHeight="1" x14ac:dyDescent="0.25">
      <c r="B91" s="49">
        <v>86</v>
      </c>
      <c r="C91" s="1" t="str">
        <f>_xlfn.CONCAT("181-702-",IF(tbl_Ben_Info[[#This Row],[SN]]&lt;10,"00"&amp;tbl_Ben_Info[[#This Row],[SN]],IF(tbl_Ben_Info[[#This Row],[SN]]&lt;100,"0"&amp;tbl_Ben_Info[[#This Row],[SN]],tbl_Ben_Info[[#This Row],[SN]])))</f>
        <v>181-702-086</v>
      </c>
      <c r="D91" s="37"/>
      <c r="E91" s="40"/>
      <c r="F91" s="41"/>
      <c r="G91" s="42"/>
      <c r="H91" s="43"/>
      <c r="I91" s="73"/>
      <c r="J91" s="43"/>
      <c r="K91" s="43"/>
      <c r="L91" s="43"/>
      <c r="M91" s="43"/>
      <c r="N91" s="111"/>
      <c r="O91" s="43"/>
      <c r="P91" s="48"/>
      <c r="Q91" s="49"/>
      <c r="R91" s="37"/>
      <c r="S91" s="37"/>
      <c r="T91" s="37"/>
      <c r="U91" s="37"/>
      <c r="V91" s="59"/>
      <c r="W91" s="49"/>
      <c r="X91" s="37"/>
      <c r="Y91" s="37"/>
      <c r="Z91" s="37"/>
      <c r="AA91" s="37"/>
      <c r="AB91" s="37"/>
      <c r="AC91" s="37"/>
      <c r="AD91" s="37"/>
      <c r="AE91" s="37"/>
      <c r="AF91" s="37"/>
      <c r="AG91" s="59"/>
      <c r="AH91" s="49"/>
      <c r="AI91" s="37"/>
      <c r="AJ91" s="37"/>
      <c r="AK91" s="37"/>
      <c r="AL91" s="37"/>
      <c r="AM91" s="37"/>
      <c r="AN91" s="37"/>
      <c r="AO91" s="37"/>
      <c r="AP91" s="37"/>
      <c r="AQ91" s="37"/>
      <c r="AR91" s="37"/>
      <c r="AS91" s="37"/>
      <c r="AT91" s="37"/>
      <c r="AU91" s="37"/>
      <c r="AV91" s="59"/>
      <c r="AW91" s="1" t="str">
        <f>_xlfn.CONCAT(tbl_Ben_Info[[#This Row],[First Name]]," ",tbl_Ben_Info[[#This Row],[Father Name]]," ",tbl_Ben_Info[[#This Row],[Family Name]])</f>
        <v xml:space="preserve">  </v>
      </c>
    </row>
    <row r="92" spans="2:49" ht="25.15" customHeight="1" x14ac:dyDescent="0.25">
      <c r="B92" s="49">
        <v>87</v>
      </c>
      <c r="C92" s="1" t="str">
        <f>_xlfn.CONCAT("181-702-",IF(tbl_Ben_Info[[#This Row],[SN]]&lt;10,"00"&amp;tbl_Ben_Info[[#This Row],[SN]],IF(tbl_Ben_Info[[#This Row],[SN]]&lt;100,"0"&amp;tbl_Ben_Info[[#This Row],[SN]],tbl_Ben_Info[[#This Row],[SN]])))</f>
        <v>181-702-087</v>
      </c>
      <c r="D92" s="37"/>
      <c r="E92" s="40"/>
      <c r="F92" s="41"/>
      <c r="G92" s="42"/>
      <c r="H92" s="43"/>
      <c r="I92" s="73"/>
      <c r="J92" s="43"/>
      <c r="K92" s="43"/>
      <c r="L92" s="43"/>
      <c r="M92" s="43"/>
      <c r="N92" s="111"/>
      <c r="O92" s="43"/>
      <c r="P92" s="48"/>
      <c r="Q92" s="49"/>
      <c r="R92" s="37"/>
      <c r="S92" s="37"/>
      <c r="T92" s="37"/>
      <c r="U92" s="37"/>
      <c r="V92" s="59"/>
      <c r="W92" s="49"/>
      <c r="X92" s="37"/>
      <c r="Y92" s="37"/>
      <c r="Z92" s="37"/>
      <c r="AA92" s="37"/>
      <c r="AB92" s="37"/>
      <c r="AC92" s="37"/>
      <c r="AD92" s="37"/>
      <c r="AE92" s="37"/>
      <c r="AF92" s="37"/>
      <c r="AG92" s="59"/>
      <c r="AH92" s="49"/>
      <c r="AI92" s="37"/>
      <c r="AJ92" s="37"/>
      <c r="AK92" s="37"/>
      <c r="AL92" s="37"/>
      <c r="AM92" s="37"/>
      <c r="AN92" s="37"/>
      <c r="AO92" s="37"/>
      <c r="AP92" s="37"/>
      <c r="AQ92" s="37"/>
      <c r="AR92" s="37"/>
      <c r="AS92" s="37"/>
      <c r="AT92" s="37"/>
      <c r="AU92" s="37"/>
      <c r="AV92" s="59"/>
      <c r="AW92" s="1" t="str">
        <f>_xlfn.CONCAT(tbl_Ben_Info[[#This Row],[First Name]]," ",tbl_Ben_Info[[#This Row],[Father Name]]," ",tbl_Ben_Info[[#This Row],[Family Name]])</f>
        <v xml:space="preserve">  </v>
      </c>
    </row>
    <row r="93" spans="2:49" ht="25.15" customHeight="1" x14ac:dyDescent="0.25">
      <c r="B93" s="49">
        <v>88</v>
      </c>
      <c r="C93" s="1" t="str">
        <f>_xlfn.CONCAT("181-702-",IF(tbl_Ben_Info[[#This Row],[SN]]&lt;10,"00"&amp;tbl_Ben_Info[[#This Row],[SN]],IF(tbl_Ben_Info[[#This Row],[SN]]&lt;100,"0"&amp;tbl_Ben_Info[[#This Row],[SN]],tbl_Ben_Info[[#This Row],[SN]])))</f>
        <v>181-702-088</v>
      </c>
      <c r="D93" s="37"/>
      <c r="E93" s="40"/>
      <c r="F93" s="41"/>
      <c r="G93" s="42"/>
      <c r="H93" s="43"/>
      <c r="I93" s="73"/>
      <c r="J93" s="43"/>
      <c r="K93" s="43"/>
      <c r="L93" s="43"/>
      <c r="M93" s="43"/>
      <c r="N93" s="111"/>
      <c r="O93" s="43"/>
      <c r="P93" s="48"/>
      <c r="Q93" s="49"/>
      <c r="R93" s="37"/>
      <c r="S93" s="37"/>
      <c r="T93" s="37"/>
      <c r="U93" s="37"/>
      <c r="V93" s="59"/>
      <c r="W93" s="49"/>
      <c r="X93" s="37"/>
      <c r="Y93" s="37"/>
      <c r="Z93" s="37"/>
      <c r="AA93" s="37"/>
      <c r="AB93" s="37"/>
      <c r="AC93" s="37"/>
      <c r="AD93" s="37"/>
      <c r="AE93" s="37"/>
      <c r="AF93" s="37"/>
      <c r="AG93" s="59"/>
      <c r="AH93" s="49"/>
      <c r="AI93" s="37"/>
      <c r="AJ93" s="37"/>
      <c r="AK93" s="37"/>
      <c r="AL93" s="37"/>
      <c r="AM93" s="37"/>
      <c r="AN93" s="37"/>
      <c r="AO93" s="37"/>
      <c r="AP93" s="37"/>
      <c r="AQ93" s="37"/>
      <c r="AR93" s="37"/>
      <c r="AS93" s="37"/>
      <c r="AT93" s="37"/>
      <c r="AU93" s="37"/>
      <c r="AV93" s="59"/>
      <c r="AW93" s="1" t="str">
        <f>_xlfn.CONCAT(tbl_Ben_Info[[#This Row],[First Name]]," ",tbl_Ben_Info[[#This Row],[Father Name]]," ",tbl_Ben_Info[[#This Row],[Family Name]])</f>
        <v xml:space="preserve">  </v>
      </c>
    </row>
    <row r="94" spans="2:49" ht="25.15" customHeight="1" x14ac:dyDescent="0.25">
      <c r="B94" s="49">
        <v>89</v>
      </c>
      <c r="C94" s="1" t="str">
        <f>_xlfn.CONCAT("181-702-",IF(tbl_Ben_Info[[#This Row],[SN]]&lt;10,"00"&amp;tbl_Ben_Info[[#This Row],[SN]],IF(tbl_Ben_Info[[#This Row],[SN]]&lt;100,"0"&amp;tbl_Ben_Info[[#This Row],[SN]],tbl_Ben_Info[[#This Row],[SN]])))</f>
        <v>181-702-089</v>
      </c>
      <c r="D94" s="37"/>
      <c r="E94" s="40"/>
      <c r="F94" s="41"/>
      <c r="G94" s="42"/>
      <c r="H94" s="43"/>
      <c r="I94" s="73"/>
      <c r="J94" s="43"/>
      <c r="K94" s="43"/>
      <c r="L94" s="43"/>
      <c r="M94" s="43"/>
      <c r="N94" s="111"/>
      <c r="O94" s="43"/>
      <c r="P94" s="48"/>
      <c r="Q94" s="49"/>
      <c r="R94" s="37"/>
      <c r="S94" s="37"/>
      <c r="T94" s="37"/>
      <c r="U94" s="37"/>
      <c r="V94" s="59"/>
      <c r="W94" s="49"/>
      <c r="X94" s="37"/>
      <c r="Y94" s="37"/>
      <c r="Z94" s="37"/>
      <c r="AA94" s="37"/>
      <c r="AB94" s="37"/>
      <c r="AC94" s="37"/>
      <c r="AD94" s="37"/>
      <c r="AE94" s="37"/>
      <c r="AF94" s="37"/>
      <c r="AG94" s="59"/>
      <c r="AH94" s="49"/>
      <c r="AI94" s="37"/>
      <c r="AJ94" s="37"/>
      <c r="AK94" s="37"/>
      <c r="AL94" s="37"/>
      <c r="AM94" s="37"/>
      <c r="AN94" s="37"/>
      <c r="AO94" s="37"/>
      <c r="AP94" s="37"/>
      <c r="AQ94" s="37"/>
      <c r="AR94" s="37"/>
      <c r="AS94" s="37"/>
      <c r="AT94" s="37"/>
      <c r="AU94" s="37"/>
      <c r="AV94" s="59"/>
      <c r="AW94" s="1" t="str">
        <f>_xlfn.CONCAT(tbl_Ben_Info[[#This Row],[First Name]]," ",tbl_Ben_Info[[#This Row],[Father Name]]," ",tbl_Ben_Info[[#This Row],[Family Name]])</f>
        <v xml:space="preserve">  </v>
      </c>
    </row>
    <row r="95" spans="2:49" ht="25.15" customHeight="1" x14ac:dyDescent="0.25">
      <c r="B95" s="49">
        <v>90</v>
      </c>
      <c r="C95" s="1" t="str">
        <f>_xlfn.CONCAT("181-702-",IF(tbl_Ben_Info[[#This Row],[SN]]&lt;10,"00"&amp;tbl_Ben_Info[[#This Row],[SN]],IF(tbl_Ben_Info[[#This Row],[SN]]&lt;100,"0"&amp;tbl_Ben_Info[[#This Row],[SN]],tbl_Ben_Info[[#This Row],[SN]])))</f>
        <v>181-702-090</v>
      </c>
      <c r="D95" s="37"/>
      <c r="E95" s="40"/>
      <c r="F95" s="41"/>
      <c r="G95" s="42"/>
      <c r="H95" s="43"/>
      <c r="I95" s="73"/>
      <c r="J95" s="43"/>
      <c r="K95" s="43"/>
      <c r="L95" s="43"/>
      <c r="M95" s="43"/>
      <c r="N95" s="111"/>
      <c r="O95" s="43"/>
      <c r="P95" s="48"/>
      <c r="Q95" s="49"/>
      <c r="R95" s="37"/>
      <c r="S95" s="37"/>
      <c r="T95" s="37"/>
      <c r="U95" s="37"/>
      <c r="V95" s="59"/>
      <c r="W95" s="49"/>
      <c r="X95" s="37"/>
      <c r="Y95" s="37"/>
      <c r="Z95" s="37"/>
      <c r="AA95" s="37"/>
      <c r="AB95" s="37"/>
      <c r="AC95" s="37"/>
      <c r="AD95" s="37"/>
      <c r="AE95" s="37"/>
      <c r="AF95" s="37"/>
      <c r="AG95" s="59"/>
      <c r="AH95" s="49"/>
      <c r="AI95" s="37"/>
      <c r="AJ95" s="37"/>
      <c r="AK95" s="37"/>
      <c r="AL95" s="37"/>
      <c r="AM95" s="37"/>
      <c r="AN95" s="37"/>
      <c r="AO95" s="37"/>
      <c r="AP95" s="37"/>
      <c r="AQ95" s="37"/>
      <c r="AR95" s="37"/>
      <c r="AS95" s="37"/>
      <c r="AT95" s="37"/>
      <c r="AU95" s="37"/>
      <c r="AV95" s="59"/>
      <c r="AW95" s="1" t="str">
        <f>_xlfn.CONCAT(tbl_Ben_Info[[#This Row],[First Name]]," ",tbl_Ben_Info[[#This Row],[Father Name]]," ",tbl_Ben_Info[[#This Row],[Family Name]])</f>
        <v xml:space="preserve">  </v>
      </c>
    </row>
    <row r="96" spans="2:49" ht="25.15" customHeight="1" x14ac:dyDescent="0.25">
      <c r="B96" s="49">
        <v>91</v>
      </c>
      <c r="C96" s="1" t="str">
        <f>_xlfn.CONCAT("181-702-",IF(tbl_Ben_Info[[#This Row],[SN]]&lt;10,"00"&amp;tbl_Ben_Info[[#This Row],[SN]],IF(tbl_Ben_Info[[#This Row],[SN]]&lt;100,"0"&amp;tbl_Ben_Info[[#This Row],[SN]],tbl_Ben_Info[[#This Row],[SN]])))</f>
        <v>181-702-091</v>
      </c>
      <c r="D96" s="37"/>
      <c r="E96" s="40"/>
      <c r="F96" s="41"/>
      <c r="G96" s="42"/>
      <c r="H96" s="43"/>
      <c r="I96" s="73"/>
      <c r="J96" s="43"/>
      <c r="K96" s="43"/>
      <c r="L96" s="43"/>
      <c r="M96" s="43"/>
      <c r="N96" s="111"/>
      <c r="O96" s="43"/>
      <c r="P96" s="48"/>
      <c r="Q96" s="49"/>
      <c r="R96" s="37"/>
      <c r="S96" s="37"/>
      <c r="T96" s="37"/>
      <c r="U96" s="37"/>
      <c r="V96" s="59"/>
      <c r="W96" s="49"/>
      <c r="X96" s="37"/>
      <c r="Y96" s="37"/>
      <c r="Z96" s="37"/>
      <c r="AA96" s="37"/>
      <c r="AB96" s="37"/>
      <c r="AC96" s="37"/>
      <c r="AD96" s="37"/>
      <c r="AE96" s="37"/>
      <c r="AF96" s="37"/>
      <c r="AG96" s="59"/>
      <c r="AH96" s="49"/>
      <c r="AI96" s="37"/>
      <c r="AJ96" s="37"/>
      <c r="AK96" s="37"/>
      <c r="AL96" s="37"/>
      <c r="AM96" s="37"/>
      <c r="AN96" s="37"/>
      <c r="AO96" s="37"/>
      <c r="AP96" s="37"/>
      <c r="AQ96" s="37"/>
      <c r="AR96" s="37"/>
      <c r="AS96" s="37"/>
      <c r="AT96" s="37"/>
      <c r="AU96" s="37"/>
      <c r="AV96" s="59"/>
      <c r="AW96" s="1" t="str">
        <f>_xlfn.CONCAT(tbl_Ben_Info[[#This Row],[First Name]]," ",tbl_Ben_Info[[#This Row],[Father Name]]," ",tbl_Ben_Info[[#This Row],[Family Name]])</f>
        <v xml:space="preserve">  </v>
      </c>
    </row>
    <row r="97" spans="2:49" ht="25.15" customHeight="1" x14ac:dyDescent="0.25">
      <c r="B97" s="49">
        <v>92</v>
      </c>
      <c r="C97" s="1" t="str">
        <f>_xlfn.CONCAT("181-702-",IF(tbl_Ben_Info[[#This Row],[SN]]&lt;10,"00"&amp;tbl_Ben_Info[[#This Row],[SN]],IF(tbl_Ben_Info[[#This Row],[SN]]&lt;100,"0"&amp;tbl_Ben_Info[[#This Row],[SN]],tbl_Ben_Info[[#This Row],[SN]])))</f>
        <v>181-702-092</v>
      </c>
      <c r="D97" s="37"/>
      <c r="E97" s="40"/>
      <c r="F97" s="41"/>
      <c r="G97" s="42"/>
      <c r="H97" s="43"/>
      <c r="I97" s="73"/>
      <c r="J97" s="43"/>
      <c r="K97" s="43"/>
      <c r="L97" s="43"/>
      <c r="M97" s="43"/>
      <c r="N97" s="111"/>
      <c r="O97" s="43"/>
      <c r="P97" s="48"/>
      <c r="Q97" s="49"/>
      <c r="R97" s="37"/>
      <c r="S97" s="37"/>
      <c r="T97" s="37"/>
      <c r="U97" s="37"/>
      <c r="V97" s="59"/>
      <c r="W97" s="49"/>
      <c r="X97" s="37"/>
      <c r="Y97" s="37"/>
      <c r="Z97" s="37"/>
      <c r="AA97" s="37"/>
      <c r="AB97" s="37"/>
      <c r="AC97" s="37"/>
      <c r="AD97" s="37"/>
      <c r="AE97" s="37"/>
      <c r="AF97" s="37"/>
      <c r="AG97" s="59"/>
      <c r="AH97" s="49"/>
      <c r="AI97" s="37"/>
      <c r="AJ97" s="37"/>
      <c r="AK97" s="37"/>
      <c r="AL97" s="37"/>
      <c r="AM97" s="37"/>
      <c r="AN97" s="37"/>
      <c r="AO97" s="37"/>
      <c r="AP97" s="37"/>
      <c r="AQ97" s="37"/>
      <c r="AR97" s="37"/>
      <c r="AS97" s="37"/>
      <c r="AT97" s="37"/>
      <c r="AU97" s="37"/>
      <c r="AV97" s="59"/>
      <c r="AW97" s="1" t="str">
        <f>_xlfn.CONCAT(tbl_Ben_Info[[#This Row],[First Name]]," ",tbl_Ben_Info[[#This Row],[Father Name]]," ",tbl_Ben_Info[[#This Row],[Family Name]])</f>
        <v xml:space="preserve">  </v>
      </c>
    </row>
    <row r="98" spans="2:49" ht="25.15" customHeight="1" x14ac:dyDescent="0.25">
      <c r="B98" s="49">
        <v>93</v>
      </c>
      <c r="C98" s="1" t="str">
        <f>_xlfn.CONCAT("181-702-",IF(tbl_Ben_Info[[#This Row],[SN]]&lt;10,"00"&amp;tbl_Ben_Info[[#This Row],[SN]],IF(tbl_Ben_Info[[#This Row],[SN]]&lt;100,"0"&amp;tbl_Ben_Info[[#This Row],[SN]],tbl_Ben_Info[[#This Row],[SN]])))</f>
        <v>181-702-093</v>
      </c>
      <c r="D98" s="37"/>
      <c r="E98" s="40"/>
      <c r="F98" s="41"/>
      <c r="G98" s="42"/>
      <c r="H98" s="43"/>
      <c r="I98" s="73"/>
      <c r="J98" s="43"/>
      <c r="K98" s="43"/>
      <c r="L98" s="43"/>
      <c r="M98" s="43"/>
      <c r="N98" s="111"/>
      <c r="O98" s="43"/>
      <c r="P98" s="48"/>
      <c r="Q98" s="49"/>
      <c r="R98" s="37"/>
      <c r="S98" s="37"/>
      <c r="T98" s="37"/>
      <c r="U98" s="37"/>
      <c r="V98" s="59"/>
      <c r="W98" s="49"/>
      <c r="X98" s="37"/>
      <c r="Y98" s="37"/>
      <c r="Z98" s="37"/>
      <c r="AA98" s="37"/>
      <c r="AB98" s="37"/>
      <c r="AC98" s="37"/>
      <c r="AD98" s="37"/>
      <c r="AE98" s="37"/>
      <c r="AF98" s="37"/>
      <c r="AG98" s="59"/>
      <c r="AH98" s="49"/>
      <c r="AI98" s="37"/>
      <c r="AJ98" s="37"/>
      <c r="AK98" s="37"/>
      <c r="AL98" s="37"/>
      <c r="AM98" s="37"/>
      <c r="AN98" s="37"/>
      <c r="AO98" s="37"/>
      <c r="AP98" s="37"/>
      <c r="AQ98" s="37"/>
      <c r="AR98" s="37"/>
      <c r="AS98" s="37"/>
      <c r="AT98" s="37"/>
      <c r="AU98" s="37"/>
      <c r="AV98" s="59"/>
      <c r="AW98" s="1" t="str">
        <f>_xlfn.CONCAT(tbl_Ben_Info[[#This Row],[First Name]]," ",tbl_Ben_Info[[#This Row],[Father Name]]," ",tbl_Ben_Info[[#This Row],[Family Name]])</f>
        <v xml:space="preserve">  </v>
      </c>
    </row>
    <row r="99" spans="2:49" ht="25.15" customHeight="1" x14ac:dyDescent="0.25">
      <c r="B99" s="49">
        <v>94</v>
      </c>
      <c r="C99" s="1" t="str">
        <f>_xlfn.CONCAT("181-702-",IF(tbl_Ben_Info[[#This Row],[SN]]&lt;10,"00"&amp;tbl_Ben_Info[[#This Row],[SN]],IF(tbl_Ben_Info[[#This Row],[SN]]&lt;100,"0"&amp;tbl_Ben_Info[[#This Row],[SN]],tbl_Ben_Info[[#This Row],[SN]])))</f>
        <v>181-702-094</v>
      </c>
      <c r="D99" s="37"/>
      <c r="E99" s="40"/>
      <c r="F99" s="41"/>
      <c r="G99" s="42"/>
      <c r="H99" s="43"/>
      <c r="I99" s="73"/>
      <c r="J99" s="43"/>
      <c r="K99" s="43"/>
      <c r="L99" s="43"/>
      <c r="M99" s="43"/>
      <c r="N99" s="111"/>
      <c r="O99" s="43"/>
      <c r="P99" s="48"/>
      <c r="Q99" s="49"/>
      <c r="R99" s="37"/>
      <c r="S99" s="37"/>
      <c r="T99" s="37"/>
      <c r="U99" s="37"/>
      <c r="V99" s="59"/>
      <c r="W99" s="49"/>
      <c r="X99" s="37"/>
      <c r="Y99" s="37"/>
      <c r="Z99" s="37"/>
      <c r="AA99" s="37"/>
      <c r="AB99" s="37"/>
      <c r="AC99" s="37"/>
      <c r="AD99" s="37"/>
      <c r="AE99" s="37"/>
      <c r="AF99" s="37"/>
      <c r="AG99" s="59"/>
      <c r="AH99" s="49"/>
      <c r="AI99" s="37"/>
      <c r="AJ99" s="37"/>
      <c r="AK99" s="37"/>
      <c r="AL99" s="37"/>
      <c r="AM99" s="37"/>
      <c r="AN99" s="37"/>
      <c r="AO99" s="37"/>
      <c r="AP99" s="37"/>
      <c r="AQ99" s="37"/>
      <c r="AR99" s="37"/>
      <c r="AS99" s="37"/>
      <c r="AT99" s="37"/>
      <c r="AU99" s="37"/>
      <c r="AV99" s="59"/>
      <c r="AW99" s="1" t="str">
        <f>_xlfn.CONCAT(tbl_Ben_Info[[#This Row],[First Name]]," ",tbl_Ben_Info[[#This Row],[Father Name]]," ",tbl_Ben_Info[[#This Row],[Family Name]])</f>
        <v xml:space="preserve">  </v>
      </c>
    </row>
    <row r="100" spans="2:49" ht="25.15" customHeight="1" x14ac:dyDescent="0.25">
      <c r="B100" s="49">
        <v>95</v>
      </c>
      <c r="C100" s="1" t="str">
        <f>_xlfn.CONCAT("181-702-",IF(tbl_Ben_Info[[#This Row],[SN]]&lt;10,"00"&amp;tbl_Ben_Info[[#This Row],[SN]],IF(tbl_Ben_Info[[#This Row],[SN]]&lt;100,"0"&amp;tbl_Ben_Info[[#This Row],[SN]],tbl_Ben_Info[[#This Row],[SN]])))</f>
        <v>181-702-095</v>
      </c>
      <c r="D100" s="37"/>
      <c r="E100" s="40"/>
      <c r="F100" s="41"/>
      <c r="G100" s="42"/>
      <c r="H100" s="43"/>
      <c r="I100" s="73"/>
      <c r="J100" s="43"/>
      <c r="K100" s="43"/>
      <c r="L100" s="43"/>
      <c r="M100" s="43"/>
      <c r="N100" s="111"/>
      <c r="O100" s="43"/>
      <c r="P100" s="48"/>
      <c r="Q100" s="49"/>
      <c r="R100" s="37"/>
      <c r="S100" s="37"/>
      <c r="T100" s="37"/>
      <c r="U100" s="37"/>
      <c r="V100" s="59"/>
      <c r="W100" s="49"/>
      <c r="X100" s="37"/>
      <c r="Y100" s="37"/>
      <c r="Z100" s="37"/>
      <c r="AA100" s="37"/>
      <c r="AB100" s="37"/>
      <c r="AC100" s="37"/>
      <c r="AD100" s="37"/>
      <c r="AE100" s="37"/>
      <c r="AF100" s="37"/>
      <c r="AG100" s="59"/>
      <c r="AH100" s="49"/>
      <c r="AI100" s="37"/>
      <c r="AJ100" s="37"/>
      <c r="AK100" s="37"/>
      <c r="AL100" s="37"/>
      <c r="AM100" s="37"/>
      <c r="AN100" s="37"/>
      <c r="AO100" s="37"/>
      <c r="AP100" s="37"/>
      <c r="AQ100" s="37"/>
      <c r="AR100" s="37"/>
      <c r="AS100" s="37"/>
      <c r="AT100" s="37"/>
      <c r="AU100" s="37"/>
      <c r="AV100" s="59"/>
      <c r="AW100" s="1" t="str">
        <f>_xlfn.CONCAT(tbl_Ben_Info[[#This Row],[First Name]]," ",tbl_Ben_Info[[#This Row],[Father Name]]," ",tbl_Ben_Info[[#This Row],[Family Name]])</f>
        <v xml:space="preserve">  </v>
      </c>
    </row>
    <row r="101" spans="2:49" ht="25.15" customHeight="1" x14ac:dyDescent="0.25">
      <c r="B101" s="49">
        <v>96</v>
      </c>
      <c r="C101" s="1" t="str">
        <f>_xlfn.CONCAT("181-702-",IF(tbl_Ben_Info[[#This Row],[SN]]&lt;10,"00"&amp;tbl_Ben_Info[[#This Row],[SN]],IF(tbl_Ben_Info[[#This Row],[SN]]&lt;100,"0"&amp;tbl_Ben_Info[[#This Row],[SN]],tbl_Ben_Info[[#This Row],[SN]])))</f>
        <v>181-702-096</v>
      </c>
      <c r="D101" s="37"/>
      <c r="E101" s="40"/>
      <c r="F101" s="41"/>
      <c r="G101" s="42"/>
      <c r="H101" s="43"/>
      <c r="I101" s="73"/>
      <c r="J101" s="43"/>
      <c r="K101" s="43"/>
      <c r="L101" s="43"/>
      <c r="M101" s="43"/>
      <c r="N101" s="111"/>
      <c r="O101" s="43"/>
      <c r="P101" s="48"/>
      <c r="Q101" s="49"/>
      <c r="R101" s="37"/>
      <c r="S101" s="37"/>
      <c r="T101" s="37"/>
      <c r="U101" s="37"/>
      <c r="V101" s="59"/>
      <c r="W101" s="49"/>
      <c r="X101" s="37"/>
      <c r="Y101" s="37"/>
      <c r="Z101" s="37"/>
      <c r="AA101" s="37"/>
      <c r="AB101" s="37"/>
      <c r="AC101" s="37"/>
      <c r="AD101" s="37"/>
      <c r="AE101" s="37"/>
      <c r="AF101" s="37"/>
      <c r="AG101" s="59"/>
      <c r="AH101" s="49"/>
      <c r="AI101" s="37"/>
      <c r="AJ101" s="37"/>
      <c r="AK101" s="37"/>
      <c r="AL101" s="37"/>
      <c r="AM101" s="37"/>
      <c r="AN101" s="37"/>
      <c r="AO101" s="37"/>
      <c r="AP101" s="37"/>
      <c r="AQ101" s="37"/>
      <c r="AR101" s="37"/>
      <c r="AS101" s="37"/>
      <c r="AT101" s="37"/>
      <c r="AU101" s="37"/>
      <c r="AV101" s="59"/>
      <c r="AW101" s="1" t="str">
        <f>_xlfn.CONCAT(tbl_Ben_Info[[#This Row],[First Name]]," ",tbl_Ben_Info[[#This Row],[Father Name]]," ",tbl_Ben_Info[[#This Row],[Family Name]])</f>
        <v xml:space="preserve">  </v>
      </c>
    </row>
    <row r="102" spans="2:49" ht="25.15" customHeight="1" x14ac:dyDescent="0.25">
      <c r="B102" s="49">
        <v>97</v>
      </c>
      <c r="C102" s="1" t="str">
        <f>_xlfn.CONCAT("181-702-",IF(tbl_Ben_Info[[#This Row],[SN]]&lt;10,"00"&amp;tbl_Ben_Info[[#This Row],[SN]],IF(tbl_Ben_Info[[#This Row],[SN]]&lt;100,"0"&amp;tbl_Ben_Info[[#This Row],[SN]],tbl_Ben_Info[[#This Row],[SN]])))</f>
        <v>181-702-097</v>
      </c>
      <c r="D102" s="37"/>
      <c r="E102" s="40"/>
      <c r="F102" s="41"/>
      <c r="G102" s="42"/>
      <c r="H102" s="43"/>
      <c r="I102" s="73"/>
      <c r="J102" s="43"/>
      <c r="K102" s="43"/>
      <c r="L102" s="43"/>
      <c r="M102" s="43"/>
      <c r="N102" s="111"/>
      <c r="O102" s="43"/>
      <c r="P102" s="48"/>
      <c r="Q102" s="49"/>
      <c r="R102" s="37"/>
      <c r="S102" s="37"/>
      <c r="T102" s="37"/>
      <c r="U102" s="37"/>
      <c r="V102" s="59"/>
      <c r="W102" s="49"/>
      <c r="X102" s="37"/>
      <c r="Y102" s="37"/>
      <c r="Z102" s="37"/>
      <c r="AA102" s="37"/>
      <c r="AB102" s="37"/>
      <c r="AC102" s="37"/>
      <c r="AD102" s="37"/>
      <c r="AE102" s="37"/>
      <c r="AF102" s="37"/>
      <c r="AG102" s="59"/>
      <c r="AH102" s="49"/>
      <c r="AI102" s="37"/>
      <c r="AJ102" s="37"/>
      <c r="AK102" s="37"/>
      <c r="AL102" s="37"/>
      <c r="AM102" s="37"/>
      <c r="AN102" s="37"/>
      <c r="AO102" s="37"/>
      <c r="AP102" s="37"/>
      <c r="AQ102" s="37"/>
      <c r="AR102" s="37"/>
      <c r="AS102" s="37"/>
      <c r="AT102" s="37"/>
      <c r="AU102" s="37"/>
      <c r="AV102" s="59"/>
      <c r="AW102" s="1" t="str">
        <f>_xlfn.CONCAT(tbl_Ben_Info[[#This Row],[First Name]]," ",tbl_Ben_Info[[#This Row],[Father Name]]," ",tbl_Ben_Info[[#This Row],[Family Name]])</f>
        <v xml:space="preserve">  </v>
      </c>
    </row>
    <row r="103" spans="2:49" ht="25.15" customHeight="1" x14ac:dyDescent="0.25">
      <c r="B103" s="49">
        <v>98</v>
      </c>
      <c r="C103" s="1" t="str">
        <f>_xlfn.CONCAT("181-702-",IF(tbl_Ben_Info[[#This Row],[SN]]&lt;10,"00"&amp;tbl_Ben_Info[[#This Row],[SN]],IF(tbl_Ben_Info[[#This Row],[SN]]&lt;100,"0"&amp;tbl_Ben_Info[[#This Row],[SN]],tbl_Ben_Info[[#This Row],[SN]])))</f>
        <v>181-702-098</v>
      </c>
      <c r="D103" s="37"/>
      <c r="E103" s="40"/>
      <c r="F103" s="41"/>
      <c r="G103" s="42"/>
      <c r="H103" s="43"/>
      <c r="I103" s="73"/>
      <c r="J103" s="43"/>
      <c r="K103" s="43"/>
      <c r="L103" s="43"/>
      <c r="M103" s="43"/>
      <c r="N103" s="111"/>
      <c r="O103" s="43"/>
      <c r="P103" s="48"/>
      <c r="Q103" s="49"/>
      <c r="R103" s="37"/>
      <c r="S103" s="37"/>
      <c r="T103" s="37"/>
      <c r="U103" s="37"/>
      <c r="V103" s="59"/>
      <c r="W103" s="49"/>
      <c r="X103" s="37"/>
      <c r="Y103" s="37"/>
      <c r="Z103" s="37"/>
      <c r="AA103" s="37"/>
      <c r="AB103" s="37"/>
      <c r="AC103" s="37"/>
      <c r="AD103" s="37"/>
      <c r="AE103" s="37"/>
      <c r="AF103" s="37"/>
      <c r="AG103" s="59"/>
      <c r="AH103" s="49"/>
      <c r="AI103" s="37"/>
      <c r="AJ103" s="37"/>
      <c r="AK103" s="37"/>
      <c r="AL103" s="37"/>
      <c r="AM103" s="37"/>
      <c r="AN103" s="37"/>
      <c r="AO103" s="37"/>
      <c r="AP103" s="37"/>
      <c r="AQ103" s="37"/>
      <c r="AR103" s="37"/>
      <c r="AS103" s="37"/>
      <c r="AT103" s="37"/>
      <c r="AU103" s="37"/>
      <c r="AV103" s="59"/>
      <c r="AW103" s="1" t="str">
        <f>_xlfn.CONCAT(tbl_Ben_Info[[#This Row],[First Name]]," ",tbl_Ben_Info[[#This Row],[Father Name]]," ",tbl_Ben_Info[[#This Row],[Family Name]])</f>
        <v xml:space="preserve">  </v>
      </c>
    </row>
    <row r="104" spans="2:49" ht="25.15" customHeight="1" x14ac:dyDescent="0.25">
      <c r="B104" s="49">
        <v>99</v>
      </c>
      <c r="C104" s="1" t="str">
        <f>_xlfn.CONCAT("181-702-",IF(tbl_Ben_Info[[#This Row],[SN]]&lt;10,"00"&amp;tbl_Ben_Info[[#This Row],[SN]],IF(tbl_Ben_Info[[#This Row],[SN]]&lt;100,"0"&amp;tbl_Ben_Info[[#This Row],[SN]],tbl_Ben_Info[[#This Row],[SN]])))</f>
        <v>181-702-099</v>
      </c>
      <c r="D104" s="37"/>
      <c r="E104" s="40"/>
      <c r="F104" s="41"/>
      <c r="G104" s="42"/>
      <c r="H104" s="43"/>
      <c r="I104" s="73"/>
      <c r="J104" s="43"/>
      <c r="K104" s="43"/>
      <c r="L104" s="43"/>
      <c r="M104" s="43"/>
      <c r="N104" s="111"/>
      <c r="O104" s="43"/>
      <c r="P104" s="48"/>
      <c r="Q104" s="49"/>
      <c r="R104" s="37"/>
      <c r="S104" s="37"/>
      <c r="T104" s="37"/>
      <c r="U104" s="37"/>
      <c r="V104" s="59"/>
      <c r="W104" s="49"/>
      <c r="X104" s="37"/>
      <c r="Y104" s="37"/>
      <c r="Z104" s="37"/>
      <c r="AA104" s="37"/>
      <c r="AB104" s="37"/>
      <c r="AC104" s="37"/>
      <c r="AD104" s="37"/>
      <c r="AE104" s="37"/>
      <c r="AF104" s="37"/>
      <c r="AG104" s="59"/>
      <c r="AH104" s="49"/>
      <c r="AI104" s="37"/>
      <c r="AJ104" s="37"/>
      <c r="AK104" s="37"/>
      <c r="AL104" s="37"/>
      <c r="AM104" s="37"/>
      <c r="AN104" s="37"/>
      <c r="AO104" s="37"/>
      <c r="AP104" s="37"/>
      <c r="AQ104" s="37"/>
      <c r="AR104" s="37"/>
      <c r="AS104" s="37"/>
      <c r="AT104" s="37"/>
      <c r="AU104" s="37"/>
      <c r="AV104" s="59"/>
      <c r="AW104" s="1" t="str">
        <f>_xlfn.CONCAT(tbl_Ben_Info[[#This Row],[First Name]]," ",tbl_Ben_Info[[#This Row],[Father Name]]," ",tbl_Ben_Info[[#This Row],[Family Name]])</f>
        <v xml:space="preserve">  </v>
      </c>
    </row>
    <row r="105" spans="2:49" ht="25.15" customHeight="1" x14ac:dyDescent="0.25">
      <c r="B105" s="49">
        <v>100</v>
      </c>
      <c r="C105" s="1" t="str">
        <f>_xlfn.CONCAT("181-702-",IF(tbl_Ben_Info[[#This Row],[SN]]&lt;10,"00"&amp;tbl_Ben_Info[[#This Row],[SN]],IF(tbl_Ben_Info[[#This Row],[SN]]&lt;100,"0"&amp;tbl_Ben_Info[[#This Row],[SN]],tbl_Ben_Info[[#This Row],[SN]])))</f>
        <v>181-702-100</v>
      </c>
      <c r="D105" s="37"/>
      <c r="E105" s="40"/>
      <c r="F105" s="41"/>
      <c r="G105" s="42"/>
      <c r="H105" s="43"/>
      <c r="I105" s="73"/>
      <c r="J105" s="43"/>
      <c r="K105" s="43"/>
      <c r="L105" s="43"/>
      <c r="M105" s="43"/>
      <c r="N105" s="111"/>
      <c r="O105" s="43"/>
      <c r="P105" s="48"/>
      <c r="Q105" s="49"/>
      <c r="R105" s="37"/>
      <c r="S105" s="37"/>
      <c r="T105" s="37"/>
      <c r="U105" s="37"/>
      <c r="V105" s="59"/>
      <c r="W105" s="49"/>
      <c r="X105" s="37"/>
      <c r="Y105" s="37"/>
      <c r="Z105" s="37"/>
      <c r="AA105" s="37"/>
      <c r="AB105" s="37"/>
      <c r="AC105" s="37"/>
      <c r="AD105" s="37"/>
      <c r="AE105" s="37"/>
      <c r="AF105" s="37"/>
      <c r="AG105" s="59"/>
      <c r="AH105" s="49"/>
      <c r="AI105" s="37"/>
      <c r="AJ105" s="37"/>
      <c r="AK105" s="37"/>
      <c r="AL105" s="37"/>
      <c r="AM105" s="37"/>
      <c r="AN105" s="37"/>
      <c r="AO105" s="37"/>
      <c r="AP105" s="37"/>
      <c r="AQ105" s="37"/>
      <c r="AR105" s="37"/>
      <c r="AS105" s="37"/>
      <c r="AT105" s="37"/>
      <c r="AU105" s="37"/>
      <c r="AV105" s="59"/>
      <c r="AW105" s="1" t="str">
        <f>_xlfn.CONCAT(tbl_Ben_Info[[#This Row],[First Name]]," ",tbl_Ben_Info[[#This Row],[Father Name]]," ",tbl_Ben_Info[[#This Row],[Family Name]])</f>
        <v xml:space="preserve">  </v>
      </c>
    </row>
    <row r="106" spans="2:49" ht="25.15" customHeight="1" x14ac:dyDescent="0.25">
      <c r="B106" s="49">
        <v>101</v>
      </c>
      <c r="C106" s="1" t="str">
        <f>_xlfn.CONCAT("181-702-",IF(tbl_Ben_Info[[#This Row],[SN]]&lt;10,"00"&amp;tbl_Ben_Info[[#This Row],[SN]],IF(tbl_Ben_Info[[#This Row],[SN]]&lt;100,"0"&amp;tbl_Ben_Info[[#This Row],[SN]],tbl_Ben_Info[[#This Row],[SN]])))</f>
        <v>181-702-101</v>
      </c>
      <c r="D106" s="37"/>
      <c r="E106" s="40"/>
      <c r="F106" s="41"/>
      <c r="G106" s="42"/>
      <c r="H106" s="43"/>
      <c r="I106" s="73"/>
      <c r="J106" s="43"/>
      <c r="K106" s="43"/>
      <c r="L106" s="43"/>
      <c r="M106" s="43"/>
      <c r="N106" s="111"/>
      <c r="O106" s="43"/>
      <c r="P106" s="48"/>
      <c r="Q106" s="49"/>
      <c r="R106" s="37"/>
      <c r="S106" s="37"/>
      <c r="T106" s="37"/>
      <c r="U106" s="37"/>
      <c r="V106" s="59"/>
      <c r="W106" s="49"/>
      <c r="X106" s="37"/>
      <c r="Y106" s="37"/>
      <c r="Z106" s="37"/>
      <c r="AA106" s="37"/>
      <c r="AB106" s="37"/>
      <c r="AC106" s="37"/>
      <c r="AD106" s="37"/>
      <c r="AE106" s="37"/>
      <c r="AF106" s="37"/>
      <c r="AG106" s="59"/>
      <c r="AH106" s="49"/>
      <c r="AI106" s="37"/>
      <c r="AJ106" s="37"/>
      <c r="AK106" s="37"/>
      <c r="AL106" s="37"/>
      <c r="AM106" s="37"/>
      <c r="AN106" s="37"/>
      <c r="AO106" s="37"/>
      <c r="AP106" s="37"/>
      <c r="AQ106" s="37"/>
      <c r="AR106" s="37"/>
      <c r="AS106" s="37"/>
      <c r="AT106" s="37"/>
      <c r="AU106" s="37"/>
      <c r="AV106" s="59"/>
      <c r="AW106" s="1" t="str">
        <f>_xlfn.CONCAT(tbl_Ben_Info[[#This Row],[First Name]]," ",tbl_Ben_Info[[#This Row],[Father Name]]," ",tbl_Ben_Info[[#This Row],[Family Name]])</f>
        <v xml:space="preserve">  </v>
      </c>
    </row>
    <row r="107" spans="2:49" ht="25.15" customHeight="1" x14ac:dyDescent="0.25">
      <c r="B107" s="49">
        <v>102</v>
      </c>
      <c r="C107" s="1" t="str">
        <f>_xlfn.CONCAT("181-702-",IF(tbl_Ben_Info[[#This Row],[SN]]&lt;10,"00"&amp;tbl_Ben_Info[[#This Row],[SN]],IF(tbl_Ben_Info[[#This Row],[SN]]&lt;100,"0"&amp;tbl_Ben_Info[[#This Row],[SN]],tbl_Ben_Info[[#This Row],[SN]])))</f>
        <v>181-702-102</v>
      </c>
      <c r="D107" s="37"/>
      <c r="E107" s="40"/>
      <c r="F107" s="41"/>
      <c r="G107" s="42"/>
      <c r="H107" s="43"/>
      <c r="I107" s="73"/>
      <c r="J107" s="43"/>
      <c r="K107" s="43"/>
      <c r="L107" s="43"/>
      <c r="M107" s="43"/>
      <c r="N107" s="111"/>
      <c r="O107" s="43"/>
      <c r="P107" s="48"/>
      <c r="Q107" s="49"/>
      <c r="R107" s="37"/>
      <c r="S107" s="37"/>
      <c r="T107" s="37"/>
      <c r="U107" s="37"/>
      <c r="V107" s="59"/>
      <c r="W107" s="49"/>
      <c r="X107" s="37"/>
      <c r="Y107" s="37"/>
      <c r="Z107" s="37"/>
      <c r="AA107" s="37"/>
      <c r="AB107" s="37"/>
      <c r="AC107" s="37"/>
      <c r="AD107" s="37"/>
      <c r="AE107" s="37"/>
      <c r="AF107" s="37"/>
      <c r="AG107" s="59"/>
      <c r="AH107" s="49"/>
      <c r="AI107" s="37"/>
      <c r="AJ107" s="37"/>
      <c r="AK107" s="37"/>
      <c r="AL107" s="37"/>
      <c r="AM107" s="37"/>
      <c r="AN107" s="37"/>
      <c r="AO107" s="37"/>
      <c r="AP107" s="37"/>
      <c r="AQ107" s="37"/>
      <c r="AR107" s="37"/>
      <c r="AS107" s="37"/>
      <c r="AT107" s="37"/>
      <c r="AU107" s="37"/>
      <c r="AV107" s="59"/>
      <c r="AW107" s="1" t="str">
        <f>_xlfn.CONCAT(tbl_Ben_Info[[#This Row],[First Name]]," ",tbl_Ben_Info[[#This Row],[Father Name]]," ",tbl_Ben_Info[[#This Row],[Family Name]])</f>
        <v xml:space="preserve">  </v>
      </c>
    </row>
    <row r="108" spans="2:49" ht="25.15" customHeight="1" x14ac:dyDescent="0.25">
      <c r="B108" s="49">
        <v>103</v>
      </c>
      <c r="C108" s="1" t="str">
        <f>_xlfn.CONCAT("181-702-",IF(tbl_Ben_Info[[#This Row],[SN]]&lt;10,"00"&amp;tbl_Ben_Info[[#This Row],[SN]],IF(tbl_Ben_Info[[#This Row],[SN]]&lt;100,"0"&amp;tbl_Ben_Info[[#This Row],[SN]],tbl_Ben_Info[[#This Row],[SN]])))</f>
        <v>181-702-103</v>
      </c>
      <c r="D108" s="37"/>
      <c r="E108" s="40"/>
      <c r="F108" s="41"/>
      <c r="G108" s="42"/>
      <c r="H108" s="43"/>
      <c r="I108" s="73"/>
      <c r="J108" s="43"/>
      <c r="K108" s="43"/>
      <c r="L108" s="43"/>
      <c r="M108" s="43"/>
      <c r="N108" s="111"/>
      <c r="O108" s="43"/>
      <c r="P108" s="48"/>
      <c r="Q108" s="49"/>
      <c r="R108" s="37"/>
      <c r="S108" s="37"/>
      <c r="T108" s="37"/>
      <c r="U108" s="37"/>
      <c r="V108" s="59"/>
      <c r="W108" s="49"/>
      <c r="X108" s="37"/>
      <c r="Y108" s="37"/>
      <c r="Z108" s="37"/>
      <c r="AA108" s="37"/>
      <c r="AB108" s="37"/>
      <c r="AC108" s="37"/>
      <c r="AD108" s="37"/>
      <c r="AE108" s="37"/>
      <c r="AF108" s="37"/>
      <c r="AG108" s="59"/>
      <c r="AH108" s="49"/>
      <c r="AI108" s="37"/>
      <c r="AJ108" s="37"/>
      <c r="AK108" s="37"/>
      <c r="AL108" s="37"/>
      <c r="AM108" s="37"/>
      <c r="AN108" s="37"/>
      <c r="AO108" s="37"/>
      <c r="AP108" s="37"/>
      <c r="AQ108" s="37"/>
      <c r="AR108" s="37"/>
      <c r="AS108" s="37"/>
      <c r="AT108" s="37"/>
      <c r="AU108" s="37"/>
      <c r="AV108" s="59"/>
      <c r="AW108" s="1" t="str">
        <f>_xlfn.CONCAT(tbl_Ben_Info[[#This Row],[First Name]]," ",tbl_Ben_Info[[#This Row],[Father Name]]," ",tbl_Ben_Info[[#This Row],[Family Name]])</f>
        <v xml:space="preserve">  </v>
      </c>
    </row>
    <row r="109" spans="2:49" ht="25.15" customHeight="1" x14ac:dyDescent="0.25">
      <c r="B109" s="49">
        <v>104</v>
      </c>
      <c r="C109" s="1" t="str">
        <f>_xlfn.CONCAT("181-702-",IF(tbl_Ben_Info[[#This Row],[SN]]&lt;10,"00"&amp;tbl_Ben_Info[[#This Row],[SN]],IF(tbl_Ben_Info[[#This Row],[SN]]&lt;100,"0"&amp;tbl_Ben_Info[[#This Row],[SN]],tbl_Ben_Info[[#This Row],[SN]])))</f>
        <v>181-702-104</v>
      </c>
      <c r="D109" s="37"/>
      <c r="E109" s="40"/>
      <c r="F109" s="41"/>
      <c r="G109" s="42"/>
      <c r="H109" s="43"/>
      <c r="I109" s="73"/>
      <c r="J109" s="43"/>
      <c r="K109" s="43"/>
      <c r="L109" s="43"/>
      <c r="M109" s="43"/>
      <c r="N109" s="111"/>
      <c r="O109" s="43"/>
      <c r="P109" s="48"/>
      <c r="Q109" s="49"/>
      <c r="R109" s="37"/>
      <c r="S109" s="37"/>
      <c r="T109" s="37"/>
      <c r="U109" s="37"/>
      <c r="V109" s="59"/>
      <c r="W109" s="49"/>
      <c r="X109" s="37"/>
      <c r="Y109" s="37"/>
      <c r="Z109" s="37"/>
      <c r="AA109" s="37"/>
      <c r="AB109" s="37"/>
      <c r="AC109" s="37"/>
      <c r="AD109" s="37"/>
      <c r="AE109" s="37"/>
      <c r="AF109" s="37"/>
      <c r="AG109" s="59"/>
      <c r="AH109" s="49"/>
      <c r="AI109" s="37"/>
      <c r="AJ109" s="37"/>
      <c r="AK109" s="37"/>
      <c r="AL109" s="37"/>
      <c r="AM109" s="37"/>
      <c r="AN109" s="37"/>
      <c r="AO109" s="37"/>
      <c r="AP109" s="37"/>
      <c r="AQ109" s="37"/>
      <c r="AR109" s="37"/>
      <c r="AS109" s="37"/>
      <c r="AT109" s="37"/>
      <c r="AU109" s="37"/>
      <c r="AV109" s="59"/>
      <c r="AW109" s="1" t="str">
        <f>_xlfn.CONCAT(tbl_Ben_Info[[#This Row],[First Name]]," ",tbl_Ben_Info[[#This Row],[Father Name]]," ",tbl_Ben_Info[[#This Row],[Family Name]])</f>
        <v xml:space="preserve">  </v>
      </c>
    </row>
    <row r="110" spans="2:49" ht="25.15" customHeight="1" x14ac:dyDescent="0.25">
      <c r="B110" s="49">
        <v>105</v>
      </c>
      <c r="C110" s="1" t="str">
        <f>_xlfn.CONCAT("181-702-",IF(tbl_Ben_Info[[#This Row],[SN]]&lt;10,"00"&amp;tbl_Ben_Info[[#This Row],[SN]],IF(tbl_Ben_Info[[#This Row],[SN]]&lt;100,"0"&amp;tbl_Ben_Info[[#This Row],[SN]],tbl_Ben_Info[[#This Row],[SN]])))</f>
        <v>181-702-105</v>
      </c>
      <c r="D110" s="37"/>
      <c r="E110" s="40"/>
      <c r="F110" s="41"/>
      <c r="G110" s="42"/>
      <c r="H110" s="43"/>
      <c r="I110" s="73"/>
      <c r="J110" s="43"/>
      <c r="K110" s="43"/>
      <c r="L110" s="43"/>
      <c r="M110" s="43"/>
      <c r="N110" s="111"/>
      <c r="O110" s="43"/>
      <c r="P110" s="48"/>
      <c r="Q110" s="49"/>
      <c r="R110" s="37"/>
      <c r="S110" s="37"/>
      <c r="T110" s="37"/>
      <c r="U110" s="37"/>
      <c r="V110" s="59"/>
      <c r="W110" s="49"/>
      <c r="X110" s="37"/>
      <c r="Y110" s="37"/>
      <c r="Z110" s="37"/>
      <c r="AA110" s="37"/>
      <c r="AB110" s="37"/>
      <c r="AC110" s="37"/>
      <c r="AD110" s="37"/>
      <c r="AE110" s="37"/>
      <c r="AF110" s="37"/>
      <c r="AG110" s="59"/>
      <c r="AH110" s="49"/>
      <c r="AI110" s="37"/>
      <c r="AJ110" s="37"/>
      <c r="AK110" s="37"/>
      <c r="AL110" s="37"/>
      <c r="AM110" s="37"/>
      <c r="AN110" s="37"/>
      <c r="AO110" s="37"/>
      <c r="AP110" s="37"/>
      <c r="AQ110" s="37"/>
      <c r="AR110" s="37"/>
      <c r="AS110" s="37"/>
      <c r="AT110" s="37"/>
      <c r="AU110" s="37"/>
      <c r="AV110" s="59"/>
      <c r="AW110" s="1" t="str">
        <f>_xlfn.CONCAT(tbl_Ben_Info[[#This Row],[First Name]]," ",tbl_Ben_Info[[#This Row],[Father Name]]," ",tbl_Ben_Info[[#This Row],[Family Name]])</f>
        <v xml:space="preserve">  </v>
      </c>
    </row>
    <row r="111" spans="2:49" ht="25.15" customHeight="1" x14ac:dyDescent="0.25">
      <c r="B111" s="49">
        <v>106</v>
      </c>
      <c r="C111" s="1" t="str">
        <f>_xlfn.CONCAT("181-702-",IF(tbl_Ben_Info[[#This Row],[SN]]&lt;10,"00"&amp;tbl_Ben_Info[[#This Row],[SN]],IF(tbl_Ben_Info[[#This Row],[SN]]&lt;100,"0"&amp;tbl_Ben_Info[[#This Row],[SN]],tbl_Ben_Info[[#This Row],[SN]])))</f>
        <v>181-702-106</v>
      </c>
      <c r="D111" s="37"/>
      <c r="E111" s="40"/>
      <c r="F111" s="41"/>
      <c r="G111" s="42"/>
      <c r="H111" s="43"/>
      <c r="I111" s="73"/>
      <c r="J111" s="43"/>
      <c r="K111" s="43"/>
      <c r="L111" s="43"/>
      <c r="M111" s="43"/>
      <c r="N111" s="111"/>
      <c r="O111" s="43"/>
      <c r="P111" s="48"/>
      <c r="Q111" s="49"/>
      <c r="R111" s="37"/>
      <c r="S111" s="37"/>
      <c r="T111" s="37"/>
      <c r="U111" s="37"/>
      <c r="V111" s="59"/>
      <c r="W111" s="49"/>
      <c r="X111" s="37"/>
      <c r="Y111" s="37"/>
      <c r="Z111" s="37"/>
      <c r="AA111" s="37"/>
      <c r="AB111" s="37"/>
      <c r="AC111" s="37"/>
      <c r="AD111" s="37"/>
      <c r="AE111" s="37"/>
      <c r="AF111" s="37"/>
      <c r="AG111" s="59"/>
      <c r="AH111" s="49"/>
      <c r="AI111" s="37"/>
      <c r="AJ111" s="37"/>
      <c r="AK111" s="37"/>
      <c r="AL111" s="37"/>
      <c r="AM111" s="37"/>
      <c r="AN111" s="37"/>
      <c r="AO111" s="37"/>
      <c r="AP111" s="37"/>
      <c r="AQ111" s="37"/>
      <c r="AR111" s="37"/>
      <c r="AS111" s="37"/>
      <c r="AT111" s="37"/>
      <c r="AU111" s="37"/>
      <c r="AV111" s="59"/>
      <c r="AW111" s="1" t="str">
        <f>_xlfn.CONCAT(tbl_Ben_Info[[#This Row],[First Name]]," ",tbl_Ben_Info[[#This Row],[Father Name]]," ",tbl_Ben_Info[[#This Row],[Family Name]])</f>
        <v xml:space="preserve">  </v>
      </c>
    </row>
    <row r="112" spans="2:49" ht="25.15" customHeight="1" x14ac:dyDescent="0.25">
      <c r="B112" s="49">
        <v>107</v>
      </c>
      <c r="C112" s="1" t="str">
        <f>_xlfn.CONCAT("181-702-",IF(tbl_Ben_Info[[#This Row],[SN]]&lt;10,"00"&amp;tbl_Ben_Info[[#This Row],[SN]],IF(tbl_Ben_Info[[#This Row],[SN]]&lt;100,"0"&amp;tbl_Ben_Info[[#This Row],[SN]],tbl_Ben_Info[[#This Row],[SN]])))</f>
        <v>181-702-107</v>
      </c>
      <c r="D112" s="37"/>
      <c r="E112" s="40"/>
      <c r="F112" s="41"/>
      <c r="G112" s="42"/>
      <c r="H112" s="43"/>
      <c r="I112" s="73"/>
      <c r="J112" s="43"/>
      <c r="K112" s="43"/>
      <c r="L112" s="43"/>
      <c r="M112" s="43"/>
      <c r="N112" s="111"/>
      <c r="O112" s="43"/>
      <c r="P112" s="48"/>
      <c r="Q112" s="49"/>
      <c r="R112" s="37"/>
      <c r="S112" s="37"/>
      <c r="T112" s="37"/>
      <c r="U112" s="37"/>
      <c r="V112" s="59"/>
      <c r="W112" s="49"/>
      <c r="X112" s="37"/>
      <c r="Y112" s="37"/>
      <c r="Z112" s="37"/>
      <c r="AA112" s="37"/>
      <c r="AB112" s="37"/>
      <c r="AC112" s="37"/>
      <c r="AD112" s="37"/>
      <c r="AE112" s="37"/>
      <c r="AF112" s="37"/>
      <c r="AG112" s="59"/>
      <c r="AH112" s="49"/>
      <c r="AI112" s="37"/>
      <c r="AJ112" s="37"/>
      <c r="AK112" s="37"/>
      <c r="AL112" s="37"/>
      <c r="AM112" s="37"/>
      <c r="AN112" s="37"/>
      <c r="AO112" s="37"/>
      <c r="AP112" s="37"/>
      <c r="AQ112" s="37"/>
      <c r="AR112" s="37"/>
      <c r="AS112" s="37"/>
      <c r="AT112" s="37"/>
      <c r="AU112" s="37"/>
      <c r="AV112" s="59"/>
      <c r="AW112" s="1" t="str">
        <f>_xlfn.CONCAT(tbl_Ben_Info[[#This Row],[First Name]]," ",tbl_Ben_Info[[#This Row],[Father Name]]," ",tbl_Ben_Info[[#This Row],[Family Name]])</f>
        <v xml:space="preserve">  </v>
      </c>
    </row>
    <row r="113" spans="2:49" ht="25.15" customHeight="1" x14ac:dyDescent="0.25">
      <c r="B113" s="49">
        <v>108</v>
      </c>
      <c r="C113" s="1" t="str">
        <f>_xlfn.CONCAT("181-702-",IF(tbl_Ben_Info[[#This Row],[SN]]&lt;10,"00"&amp;tbl_Ben_Info[[#This Row],[SN]],IF(tbl_Ben_Info[[#This Row],[SN]]&lt;100,"0"&amp;tbl_Ben_Info[[#This Row],[SN]],tbl_Ben_Info[[#This Row],[SN]])))</f>
        <v>181-702-108</v>
      </c>
      <c r="D113" s="37"/>
      <c r="E113" s="40"/>
      <c r="F113" s="41"/>
      <c r="G113" s="42"/>
      <c r="H113" s="43"/>
      <c r="I113" s="73"/>
      <c r="J113" s="43"/>
      <c r="K113" s="43"/>
      <c r="L113" s="43"/>
      <c r="M113" s="43"/>
      <c r="N113" s="111"/>
      <c r="O113" s="43"/>
      <c r="P113" s="48"/>
      <c r="Q113" s="49"/>
      <c r="R113" s="37"/>
      <c r="S113" s="37"/>
      <c r="T113" s="37"/>
      <c r="U113" s="37"/>
      <c r="V113" s="59"/>
      <c r="W113" s="49"/>
      <c r="X113" s="37"/>
      <c r="Y113" s="37"/>
      <c r="Z113" s="37"/>
      <c r="AA113" s="37"/>
      <c r="AB113" s="37"/>
      <c r="AC113" s="37"/>
      <c r="AD113" s="37"/>
      <c r="AE113" s="37"/>
      <c r="AF113" s="37"/>
      <c r="AG113" s="59"/>
      <c r="AH113" s="49"/>
      <c r="AI113" s="37"/>
      <c r="AJ113" s="37"/>
      <c r="AK113" s="37"/>
      <c r="AL113" s="37"/>
      <c r="AM113" s="37"/>
      <c r="AN113" s="37"/>
      <c r="AO113" s="37"/>
      <c r="AP113" s="37"/>
      <c r="AQ113" s="37"/>
      <c r="AR113" s="37"/>
      <c r="AS113" s="37"/>
      <c r="AT113" s="37"/>
      <c r="AU113" s="37"/>
      <c r="AV113" s="59"/>
      <c r="AW113" s="1" t="str">
        <f>_xlfn.CONCAT(tbl_Ben_Info[[#This Row],[First Name]]," ",tbl_Ben_Info[[#This Row],[Father Name]]," ",tbl_Ben_Info[[#This Row],[Family Name]])</f>
        <v xml:space="preserve">  </v>
      </c>
    </row>
    <row r="114" spans="2:49" ht="25.15" customHeight="1" x14ac:dyDescent="0.25">
      <c r="B114" s="49">
        <v>109</v>
      </c>
      <c r="C114" s="1" t="str">
        <f>_xlfn.CONCAT("181-702-",IF(tbl_Ben_Info[[#This Row],[SN]]&lt;10,"00"&amp;tbl_Ben_Info[[#This Row],[SN]],IF(tbl_Ben_Info[[#This Row],[SN]]&lt;100,"0"&amp;tbl_Ben_Info[[#This Row],[SN]],tbl_Ben_Info[[#This Row],[SN]])))</f>
        <v>181-702-109</v>
      </c>
      <c r="D114" s="37"/>
      <c r="E114" s="40"/>
      <c r="F114" s="41"/>
      <c r="G114" s="42"/>
      <c r="H114" s="43"/>
      <c r="I114" s="73"/>
      <c r="J114" s="43"/>
      <c r="K114" s="43"/>
      <c r="L114" s="43"/>
      <c r="M114" s="43"/>
      <c r="N114" s="111"/>
      <c r="O114" s="43"/>
      <c r="P114" s="48"/>
      <c r="Q114" s="49"/>
      <c r="R114" s="37"/>
      <c r="S114" s="37"/>
      <c r="T114" s="37"/>
      <c r="U114" s="37"/>
      <c r="V114" s="59"/>
      <c r="W114" s="49"/>
      <c r="X114" s="37"/>
      <c r="Y114" s="37"/>
      <c r="Z114" s="37"/>
      <c r="AA114" s="37"/>
      <c r="AB114" s="37"/>
      <c r="AC114" s="37"/>
      <c r="AD114" s="37"/>
      <c r="AE114" s="37"/>
      <c r="AF114" s="37"/>
      <c r="AG114" s="59"/>
      <c r="AH114" s="49"/>
      <c r="AI114" s="37"/>
      <c r="AJ114" s="37"/>
      <c r="AK114" s="37"/>
      <c r="AL114" s="37"/>
      <c r="AM114" s="37"/>
      <c r="AN114" s="37"/>
      <c r="AO114" s="37"/>
      <c r="AP114" s="37"/>
      <c r="AQ114" s="37"/>
      <c r="AR114" s="37"/>
      <c r="AS114" s="37"/>
      <c r="AT114" s="37"/>
      <c r="AU114" s="37"/>
      <c r="AV114" s="59"/>
      <c r="AW114" s="1" t="str">
        <f>_xlfn.CONCAT(tbl_Ben_Info[[#This Row],[First Name]]," ",tbl_Ben_Info[[#This Row],[Father Name]]," ",tbl_Ben_Info[[#This Row],[Family Name]])</f>
        <v xml:space="preserve">  </v>
      </c>
    </row>
    <row r="115" spans="2:49" ht="25.15" customHeight="1" x14ac:dyDescent="0.25">
      <c r="B115" s="49">
        <v>110</v>
      </c>
      <c r="C115" s="1" t="str">
        <f>_xlfn.CONCAT("181-702-",IF(tbl_Ben_Info[[#This Row],[SN]]&lt;10,"00"&amp;tbl_Ben_Info[[#This Row],[SN]],IF(tbl_Ben_Info[[#This Row],[SN]]&lt;100,"0"&amp;tbl_Ben_Info[[#This Row],[SN]],tbl_Ben_Info[[#This Row],[SN]])))</f>
        <v>181-702-110</v>
      </c>
      <c r="D115" s="37"/>
      <c r="E115" s="40"/>
      <c r="F115" s="41"/>
      <c r="G115" s="42"/>
      <c r="H115" s="43"/>
      <c r="I115" s="73"/>
      <c r="J115" s="43"/>
      <c r="K115" s="43"/>
      <c r="L115" s="43"/>
      <c r="M115" s="43"/>
      <c r="N115" s="111"/>
      <c r="O115" s="43"/>
      <c r="P115" s="48"/>
      <c r="Q115" s="49"/>
      <c r="R115" s="37"/>
      <c r="S115" s="37"/>
      <c r="T115" s="37"/>
      <c r="U115" s="37"/>
      <c r="V115" s="59"/>
      <c r="W115" s="49"/>
      <c r="X115" s="37"/>
      <c r="Y115" s="37"/>
      <c r="Z115" s="37"/>
      <c r="AA115" s="37"/>
      <c r="AB115" s="37"/>
      <c r="AC115" s="37"/>
      <c r="AD115" s="37"/>
      <c r="AE115" s="37"/>
      <c r="AF115" s="37"/>
      <c r="AG115" s="59"/>
      <c r="AH115" s="49"/>
      <c r="AI115" s="37"/>
      <c r="AJ115" s="37"/>
      <c r="AK115" s="37"/>
      <c r="AL115" s="37"/>
      <c r="AM115" s="37"/>
      <c r="AN115" s="37"/>
      <c r="AO115" s="37"/>
      <c r="AP115" s="37"/>
      <c r="AQ115" s="37"/>
      <c r="AR115" s="37"/>
      <c r="AS115" s="37"/>
      <c r="AT115" s="37"/>
      <c r="AU115" s="37"/>
      <c r="AV115" s="59"/>
      <c r="AW115" s="1" t="str">
        <f>_xlfn.CONCAT(tbl_Ben_Info[[#This Row],[First Name]]," ",tbl_Ben_Info[[#This Row],[Father Name]]," ",tbl_Ben_Info[[#This Row],[Family Name]])</f>
        <v xml:space="preserve">  </v>
      </c>
    </row>
    <row r="116" spans="2:49" ht="25.15" customHeight="1" x14ac:dyDescent="0.25">
      <c r="B116" s="49">
        <v>111</v>
      </c>
      <c r="C116" s="1" t="str">
        <f>_xlfn.CONCAT("181-702-",IF(tbl_Ben_Info[[#This Row],[SN]]&lt;10,"00"&amp;tbl_Ben_Info[[#This Row],[SN]],IF(tbl_Ben_Info[[#This Row],[SN]]&lt;100,"0"&amp;tbl_Ben_Info[[#This Row],[SN]],tbl_Ben_Info[[#This Row],[SN]])))</f>
        <v>181-702-111</v>
      </c>
      <c r="D116" s="37"/>
      <c r="E116" s="40"/>
      <c r="F116" s="41"/>
      <c r="G116" s="42"/>
      <c r="H116" s="43"/>
      <c r="I116" s="73"/>
      <c r="J116" s="43"/>
      <c r="K116" s="43"/>
      <c r="L116" s="43"/>
      <c r="M116" s="43"/>
      <c r="N116" s="111"/>
      <c r="O116" s="43"/>
      <c r="P116" s="48"/>
      <c r="Q116" s="49"/>
      <c r="R116" s="37"/>
      <c r="S116" s="37"/>
      <c r="T116" s="37"/>
      <c r="U116" s="37"/>
      <c r="V116" s="59"/>
      <c r="W116" s="49"/>
      <c r="X116" s="37"/>
      <c r="Y116" s="37"/>
      <c r="Z116" s="37"/>
      <c r="AA116" s="37"/>
      <c r="AB116" s="37"/>
      <c r="AC116" s="37"/>
      <c r="AD116" s="37"/>
      <c r="AE116" s="37"/>
      <c r="AF116" s="37"/>
      <c r="AG116" s="59"/>
      <c r="AH116" s="49"/>
      <c r="AI116" s="37"/>
      <c r="AJ116" s="37"/>
      <c r="AK116" s="37"/>
      <c r="AL116" s="37"/>
      <c r="AM116" s="37"/>
      <c r="AN116" s="37"/>
      <c r="AO116" s="37"/>
      <c r="AP116" s="37"/>
      <c r="AQ116" s="37"/>
      <c r="AR116" s="37"/>
      <c r="AS116" s="37"/>
      <c r="AT116" s="37"/>
      <c r="AU116" s="37"/>
      <c r="AV116" s="59"/>
      <c r="AW116" s="1" t="str">
        <f>_xlfn.CONCAT(tbl_Ben_Info[[#This Row],[First Name]]," ",tbl_Ben_Info[[#This Row],[Father Name]]," ",tbl_Ben_Info[[#This Row],[Family Name]])</f>
        <v xml:space="preserve">  </v>
      </c>
    </row>
    <row r="117" spans="2:49" ht="25.15" customHeight="1" x14ac:dyDescent="0.25">
      <c r="B117" s="49">
        <v>112</v>
      </c>
      <c r="C117" s="1" t="str">
        <f>_xlfn.CONCAT("181-702-",IF(tbl_Ben_Info[[#This Row],[SN]]&lt;10,"00"&amp;tbl_Ben_Info[[#This Row],[SN]],IF(tbl_Ben_Info[[#This Row],[SN]]&lt;100,"0"&amp;tbl_Ben_Info[[#This Row],[SN]],tbl_Ben_Info[[#This Row],[SN]])))</f>
        <v>181-702-112</v>
      </c>
      <c r="D117" s="37"/>
      <c r="E117" s="40"/>
      <c r="F117" s="41"/>
      <c r="G117" s="42"/>
      <c r="H117" s="43"/>
      <c r="I117" s="73"/>
      <c r="J117" s="43"/>
      <c r="K117" s="43"/>
      <c r="L117" s="43"/>
      <c r="M117" s="43"/>
      <c r="N117" s="111"/>
      <c r="O117" s="43"/>
      <c r="P117" s="48"/>
      <c r="Q117" s="49"/>
      <c r="R117" s="37"/>
      <c r="S117" s="37"/>
      <c r="T117" s="37"/>
      <c r="U117" s="37"/>
      <c r="V117" s="59"/>
      <c r="W117" s="49"/>
      <c r="X117" s="37"/>
      <c r="Y117" s="37"/>
      <c r="Z117" s="37"/>
      <c r="AA117" s="37"/>
      <c r="AB117" s="37"/>
      <c r="AC117" s="37"/>
      <c r="AD117" s="37"/>
      <c r="AE117" s="37"/>
      <c r="AF117" s="37"/>
      <c r="AG117" s="59"/>
      <c r="AH117" s="49"/>
      <c r="AI117" s="37"/>
      <c r="AJ117" s="37"/>
      <c r="AK117" s="37"/>
      <c r="AL117" s="37"/>
      <c r="AM117" s="37"/>
      <c r="AN117" s="37"/>
      <c r="AO117" s="37"/>
      <c r="AP117" s="37"/>
      <c r="AQ117" s="37"/>
      <c r="AR117" s="37"/>
      <c r="AS117" s="37"/>
      <c r="AT117" s="37"/>
      <c r="AU117" s="37"/>
      <c r="AV117" s="59"/>
      <c r="AW117" s="1" t="str">
        <f>_xlfn.CONCAT(tbl_Ben_Info[[#This Row],[First Name]]," ",tbl_Ben_Info[[#This Row],[Father Name]]," ",tbl_Ben_Info[[#This Row],[Family Name]])</f>
        <v xml:space="preserve">  </v>
      </c>
    </row>
    <row r="118" spans="2:49" ht="25.15" customHeight="1" x14ac:dyDescent="0.25">
      <c r="B118" s="49">
        <v>113</v>
      </c>
      <c r="C118" s="1" t="str">
        <f>_xlfn.CONCAT("181-702-",IF(tbl_Ben_Info[[#This Row],[SN]]&lt;10,"00"&amp;tbl_Ben_Info[[#This Row],[SN]],IF(tbl_Ben_Info[[#This Row],[SN]]&lt;100,"0"&amp;tbl_Ben_Info[[#This Row],[SN]],tbl_Ben_Info[[#This Row],[SN]])))</f>
        <v>181-702-113</v>
      </c>
      <c r="D118" s="37"/>
      <c r="E118" s="40"/>
      <c r="F118" s="41"/>
      <c r="G118" s="42"/>
      <c r="H118" s="43"/>
      <c r="I118" s="73"/>
      <c r="J118" s="43"/>
      <c r="K118" s="43"/>
      <c r="L118" s="43"/>
      <c r="M118" s="43"/>
      <c r="N118" s="111"/>
      <c r="O118" s="43"/>
      <c r="P118" s="48"/>
      <c r="Q118" s="49"/>
      <c r="R118" s="37"/>
      <c r="S118" s="37"/>
      <c r="T118" s="37"/>
      <c r="U118" s="37"/>
      <c r="V118" s="59"/>
      <c r="W118" s="49"/>
      <c r="X118" s="37"/>
      <c r="Y118" s="37"/>
      <c r="Z118" s="37"/>
      <c r="AA118" s="37"/>
      <c r="AB118" s="37"/>
      <c r="AC118" s="37"/>
      <c r="AD118" s="37"/>
      <c r="AE118" s="37"/>
      <c r="AF118" s="37"/>
      <c r="AG118" s="59"/>
      <c r="AH118" s="49"/>
      <c r="AI118" s="37"/>
      <c r="AJ118" s="37"/>
      <c r="AK118" s="37"/>
      <c r="AL118" s="37"/>
      <c r="AM118" s="37"/>
      <c r="AN118" s="37"/>
      <c r="AO118" s="37"/>
      <c r="AP118" s="37"/>
      <c r="AQ118" s="37"/>
      <c r="AR118" s="37"/>
      <c r="AS118" s="37"/>
      <c r="AT118" s="37"/>
      <c r="AU118" s="37"/>
      <c r="AV118" s="59"/>
      <c r="AW118" s="1" t="str">
        <f>_xlfn.CONCAT(tbl_Ben_Info[[#This Row],[First Name]]," ",tbl_Ben_Info[[#This Row],[Father Name]]," ",tbl_Ben_Info[[#This Row],[Family Name]])</f>
        <v xml:space="preserve">  </v>
      </c>
    </row>
    <row r="119" spans="2:49" ht="25.15" customHeight="1" x14ac:dyDescent="0.25">
      <c r="B119" s="49">
        <v>114</v>
      </c>
      <c r="C119" s="1" t="str">
        <f>_xlfn.CONCAT("181-702-",IF(tbl_Ben_Info[[#This Row],[SN]]&lt;10,"00"&amp;tbl_Ben_Info[[#This Row],[SN]],IF(tbl_Ben_Info[[#This Row],[SN]]&lt;100,"0"&amp;tbl_Ben_Info[[#This Row],[SN]],tbl_Ben_Info[[#This Row],[SN]])))</f>
        <v>181-702-114</v>
      </c>
      <c r="D119" s="37"/>
      <c r="E119" s="40"/>
      <c r="F119" s="41"/>
      <c r="G119" s="42"/>
      <c r="H119" s="43"/>
      <c r="I119" s="73"/>
      <c r="J119" s="43"/>
      <c r="K119" s="43"/>
      <c r="L119" s="43"/>
      <c r="M119" s="43"/>
      <c r="N119" s="111"/>
      <c r="O119" s="43"/>
      <c r="P119" s="48"/>
      <c r="Q119" s="49"/>
      <c r="R119" s="37"/>
      <c r="S119" s="37"/>
      <c r="T119" s="37"/>
      <c r="U119" s="37"/>
      <c r="V119" s="59"/>
      <c r="W119" s="49"/>
      <c r="X119" s="37"/>
      <c r="Y119" s="37"/>
      <c r="Z119" s="37"/>
      <c r="AA119" s="37"/>
      <c r="AB119" s="37"/>
      <c r="AC119" s="37"/>
      <c r="AD119" s="37"/>
      <c r="AE119" s="37"/>
      <c r="AF119" s="37"/>
      <c r="AG119" s="59"/>
      <c r="AH119" s="49"/>
      <c r="AI119" s="37"/>
      <c r="AJ119" s="37"/>
      <c r="AK119" s="37"/>
      <c r="AL119" s="37"/>
      <c r="AM119" s="37"/>
      <c r="AN119" s="37"/>
      <c r="AO119" s="37"/>
      <c r="AP119" s="37"/>
      <c r="AQ119" s="37"/>
      <c r="AR119" s="37"/>
      <c r="AS119" s="37"/>
      <c r="AT119" s="37"/>
      <c r="AU119" s="37"/>
      <c r="AV119" s="59"/>
      <c r="AW119" s="1" t="str">
        <f>_xlfn.CONCAT(tbl_Ben_Info[[#This Row],[First Name]]," ",tbl_Ben_Info[[#This Row],[Father Name]]," ",tbl_Ben_Info[[#This Row],[Family Name]])</f>
        <v xml:space="preserve">  </v>
      </c>
    </row>
    <row r="120" spans="2:49" ht="25.15" customHeight="1" x14ac:dyDescent="0.25">
      <c r="B120" s="49">
        <v>115</v>
      </c>
      <c r="C120" s="1" t="str">
        <f>_xlfn.CONCAT("181-702-",IF(tbl_Ben_Info[[#This Row],[SN]]&lt;10,"00"&amp;tbl_Ben_Info[[#This Row],[SN]],IF(tbl_Ben_Info[[#This Row],[SN]]&lt;100,"0"&amp;tbl_Ben_Info[[#This Row],[SN]],tbl_Ben_Info[[#This Row],[SN]])))</f>
        <v>181-702-115</v>
      </c>
      <c r="D120" s="37"/>
      <c r="E120" s="40"/>
      <c r="F120" s="41"/>
      <c r="G120" s="42"/>
      <c r="H120" s="43"/>
      <c r="I120" s="73"/>
      <c r="J120" s="43"/>
      <c r="K120" s="43"/>
      <c r="L120" s="43"/>
      <c r="M120" s="43"/>
      <c r="N120" s="111"/>
      <c r="O120" s="43"/>
      <c r="P120" s="48"/>
      <c r="Q120" s="49"/>
      <c r="R120" s="37"/>
      <c r="S120" s="37"/>
      <c r="T120" s="37"/>
      <c r="U120" s="37"/>
      <c r="V120" s="59"/>
      <c r="W120" s="49"/>
      <c r="X120" s="37"/>
      <c r="Y120" s="37"/>
      <c r="Z120" s="37"/>
      <c r="AA120" s="37"/>
      <c r="AB120" s="37"/>
      <c r="AC120" s="37"/>
      <c r="AD120" s="37"/>
      <c r="AE120" s="37"/>
      <c r="AF120" s="37"/>
      <c r="AG120" s="59"/>
      <c r="AH120" s="49"/>
      <c r="AI120" s="37"/>
      <c r="AJ120" s="37"/>
      <c r="AK120" s="37"/>
      <c r="AL120" s="37"/>
      <c r="AM120" s="37"/>
      <c r="AN120" s="37"/>
      <c r="AO120" s="37"/>
      <c r="AP120" s="37"/>
      <c r="AQ120" s="37"/>
      <c r="AR120" s="37"/>
      <c r="AS120" s="37"/>
      <c r="AT120" s="37"/>
      <c r="AU120" s="37"/>
      <c r="AV120" s="59"/>
      <c r="AW120" s="1" t="str">
        <f>_xlfn.CONCAT(tbl_Ben_Info[[#This Row],[First Name]]," ",tbl_Ben_Info[[#This Row],[Father Name]]," ",tbl_Ben_Info[[#This Row],[Family Name]])</f>
        <v xml:space="preserve">  </v>
      </c>
    </row>
    <row r="121" spans="2:49" ht="25.15" customHeight="1" x14ac:dyDescent="0.25">
      <c r="B121" s="49">
        <v>116</v>
      </c>
      <c r="C121" s="1" t="str">
        <f>_xlfn.CONCAT("181-702-",IF(tbl_Ben_Info[[#This Row],[SN]]&lt;10,"00"&amp;tbl_Ben_Info[[#This Row],[SN]],IF(tbl_Ben_Info[[#This Row],[SN]]&lt;100,"0"&amp;tbl_Ben_Info[[#This Row],[SN]],tbl_Ben_Info[[#This Row],[SN]])))</f>
        <v>181-702-116</v>
      </c>
      <c r="D121" s="37"/>
      <c r="E121" s="40"/>
      <c r="F121" s="41"/>
      <c r="G121" s="42"/>
      <c r="H121" s="43"/>
      <c r="I121" s="73"/>
      <c r="J121" s="43"/>
      <c r="K121" s="43"/>
      <c r="L121" s="43"/>
      <c r="M121" s="43"/>
      <c r="N121" s="111"/>
      <c r="O121" s="43"/>
      <c r="P121" s="48"/>
      <c r="Q121" s="49"/>
      <c r="R121" s="37"/>
      <c r="S121" s="37"/>
      <c r="T121" s="37"/>
      <c r="U121" s="37"/>
      <c r="V121" s="59"/>
      <c r="W121" s="49"/>
      <c r="X121" s="37"/>
      <c r="Y121" s="37"/>
      <c r="Z121" s="37"/>
      <c r="AA121" s="37"/>
      <c r="AB121" s="37"/>
      <c r="AC121" s="37"/>
      <c r="AD121" s="37"/>
      <c r="AE121" s="37"/>
      <c r="AF121" s="37"/>
      <c r="AG121" s="59"/>
      <c r="AH121" s="49"/>
      <c r="AI121" s="37"/>
      <c r="AJ121" s="37"/>
      <c r="AK121" s="37"/>
      <c r="AL121" s="37"/>
      <c r="AM121" s="37"/>
      <c r="AN121" s="37"/>
      <c r="AO121" s="37"/>
      <c r="AP121" s="37"/>
      <c r="AQ121" s="37"/>
      <c r="AR121" s="37"/>
      <c r="AS121" s="37"/>
      <c r="AT121" s="37"/>
      <c r="AU121" s="37"/>
      <c r="AV121" s="59"/>
      <c r="AW121" s="1" t="str">
        <f>_xlfn.CONCAT(tbl_Ben_Info[[#This Row],[First Name]]," ",tbl_Ben_Info[[#This Row],[Father Name]]," ",tbl_Ben_Info[[#This Row],[Family Name]])</f>
        <v xml:space="preserve">  </v>
      </c>
    </row>
    <row r="122" spans="2:49" ht="25.15" customHeight="1" x14ac:dyDescent="0.25">
      <c r="B122" s="49">
        <v>117</v>
      </c>
      <c r="C122" s="1" t="str">
        <f>_xlfn.CONCAT("181-702-",IF(tbl_Ben_Info[[#This Row],[SN]]&lt;10,"00"&amp;tbl_Ben_Info[[#This Row],[SN]],IF(tbl_Ben_Info[[#This Row],[SN]]&lt;100,"0"&amp;tbl_Ben_Info[[#This Row],[SN]],tbl_Ben_Info[[#This Row],[SN]])))</f>
        <v>181-702-117</v>
      </c>
      <c r="D122" s="37"/>
      <c r="E122" s="40"/>
      <c r="F122" s="41"/>
      <c r="G122" s="42"/>
      <c r="H122" s="43"/>
      <c r="I122" s="73"/>
      <c r="J122" s="43"/>
      <c r="K122" s="43"/>
      <c r="L122" s="43"/>
      <c r="M122" s="43"/>
      <c r="N122" s="111"/>
      <c r="O122" s="43"/>
      <c r="P122" s="48"/>
      <c r="Q122" s="49"/>
      <c r="R122" s="37"/>
      <c r="S122" s="37"/>
      <c r="T122" s="37"/>
      <c r="U122" s="37"/>
      <c r="V122" s="59"/>
      <c r="W122" s="49"/>
      <c r="X122" s="37"/>
      <c r="Y122" s="37"/>
      <c r="Z122" s="37"/>
      <c r="AA122" s="37"/>
      <c r="AB122" s="37"/>
      <c r="AC122" s="37"/>
      <c r="AD122" s="37"/>
      <c r="AE122" s="37"/>
      <c r="AF122" s="37"/>
      <c r="AG122" s="59"/>
      <c r="AH122" s="49"/>
      <c r="AI122" s="37"/>
      <c r="AJ122" s="37"/>
      <c r="AK122" s="37"/>
      <c r="AL122" s="37"/>
      <c r="AM122" s="37"/>
      <c r="AN122" s="37"/>
      <c r="AO122" s="37"/>
      <c r="AP122" s="37"/>
      <c r="AQ122" s="37"/>
      <c r="AR122" s="37"/>
      <c r="AS122" s="37"/>
      <c r="AT122" s="37"/>
      <c r="AU122" s="37"/>
      <c r="AV122" s="59"/>
      <c r="AW122" s="1" t="str">
        <f>_xlfn.CONCAT(tbl_Ben_Info[[#This Row],[First Name]]," ",tbl_Ben_Info[[#This Row],[Father Name]]," ",tbl_Ben_Info[[#This Row],[Family Name]])</f>
        <v xml:space="preserve">  </v>
      </c>
    </row>
    <row r="123" spans="2:49" ht="25.15" customHeight="1" x14ac:dyDescent="0.25">
      <c r="B123" s="49">
        <v>118</v>
      </c>
      <c r="C123" s="1" t="str">
        <f>_xlfn.CONCAT("181-702-",IF(tbl_Ben_Info[[#This Row],[SN]]&lt;10,"00"&amp;tbl_Ben_Info[[#This Row],[SN]],IF(tbl_Ben_Info[[#This Row],[SN]]&lt;100,"0"&amp;tbl_Ben_Info[[#This Row],[SN]],tbl_Ben_Info[[#This Row],[SN]])))</f>
        <v>181-702-118</v>
      </c>
      <c r="D123" s="37"/>
      <c r="E123" s="40"/>
      <c r="F123" s="41"/>
      <c r="G123" s="42"/>
      <c r="H123" s="43"/>
      <c r="I123" s="73"/>
      <c r="J123" s="43"/>
      <c r="K123" s="43"/>
      <c r="L123" s="43"/>
      <c r="M123" s="43"/>
      <c r="N123" s="111"/>
      <c r="O123" s="43"/>
      <c r="P123" s="48"/>
      <c r="Q123" s="49"/>
      <c r="R123" s="37"/>
      <c r="S123" s="37"/>
      <c r="T123" s="37"/>
      <c r="U123" s="37"/>
      <c r="V123" s="59"/>
      <c r="W123" s="49"/>
      <c r="X123" s="37"/>
      <c r="Y123" s="37"/>
      <c r="Z123" s="37"/>
      <c r="AA123" s="37"/>
      <c r="AB123" s="37"/>
      <c r="AC123" s="37"/>
      <c r="AD123" s="37"/>
      <c r="AE123" s="37"/>
      <c r="AF123" s="37"/>
      <c r="AG123" s="59"/>
      <c r="AH123" s="49"/>
      <c r="AI123" s="37"/>
      <c r="AJ123" s="37"/>
      <c r="AK123" s="37"/>
      <c r="AL123" s="37"/>
      <c r="AM123" s="37"/>
      <c r="AN123" s="37"/>
      <c r="AO123" s="37"/>
      <c r="AP123" s="37"/>
      <c r="AQ123" s="37"/>
      <c r="AR123" s="37"/>
      <c r="AS123" s="37"/>
      <c r="AT123" s="37"/>
      <c r="AU123" s="37"/>
      <c r="AV123" s="59"/>
      <c r="AW123" s="1" t="str">
        <f>_xlfn.CONCAT(tbl_Ben_Info[[#This Row],[First Name]]," ",tbl_Ben_Info[[#This Row],[Father Name]]," ",tbl_Ben_Info[[#This Row],[Family Name]])</f>
        <v xml:space="preserve">  </v>
      </c>
    </row>
    <row r="124" spans="2:49" ht="25.15" customHeight="1" x14ac:dyDescent="0.25">
      <c r="B124" s="49">
        <v>119</v>
      </c>
      <c r="C124" s="1" t="str">
        <f>_xlfn.CONCAT("181-702-",IF(tbl_Ben_Info[[#This Row],[SN]]&lt;10,"00"&amp;tbl_Ben_Info[[#This Row],[SN]],IF(tbl_Ben_Info[[#This Row],[SN]]&lt;100,"0"&amp;tbl_Ben_Info[[#This Row],[SN]],tbl_Ben_Info[[#This Row],[SN]])))</f>
        <v>181-702-119</v>
      </c>
      <c r="D124" s="37"/>
      <c r="E124" s="40"/>
      <c r="F124" s="41"/>
      <c r="G124" s="42"/>
      <c r="H124" s="43"/>
      <c r="I124" s="73"/>
      <c r="J124" s="43"/>
      <c r="K124" s="43"/>
      <c r="L124" s="43"/>
      <c r="M124" s="43"/>
      <c r="N124" s="111"/>
      <c r="O124" s="43"/>
      <c r="P124" s="48"/>
      <c r="Q124" s="49"/>
      <c r="R124" s="37"/>
      <c r="S124" s="37"/>
      <c r="T124" s="37"/>
      <c r="U124" s="37"/>
      <c r="V124" s="59"/>
      <c r="W124" s="49"/>
      <c r="X124" s="37"/>
      <c r="Y124" s="37"/>
      <c r="Z124" s="37"/>
      <c r="AA124" s="37"/>
      <c r="AB124" s="37"/>
      <c r="AC124" s="37"/>
      <c r="AD124" s="37"/>
      <c r="AE124" s="37"/>
      <c r="AF124" s="37"/>
      <c r="AG124" s="59"/>
      <c r="AH124" s="49"/>
      <c r="AI124" s="37"/>
      <c r="AJ124" s="37"/>
      <c r="AK124" s="37"/>
      <c r="AL124" s="37"/>
      <c r="AM124" s="37"/>
      <c r="AN124" s="37"/>
      <c r="AO124" s="37"/>
      <c r="AP124" s="37"/>
      <c r="AQ124" s="37"/>
      <c r="AR124" s="37"/>
      <c r="AS124" s="37"/>
      <c r="AT124" s="37"/>
      <c r="AU124" s="37"/>
      <c r="AV124" s="59"/>
      <c r="AW124" s="1" t="str">
        <f>_xlfn.CONCAT(tbl_Ben_Info[[#This Row],[First Name]]," ",tbl_Ben_Info[[#This Row],[Father Name]]," ",tbl_Ben_Info[[#This Row],[Family Name]])</f>
        <v xml:space="preserve">  </v>
      </c>
    </row>
    <row r="125" spans="2:49" ht="25.15" customHeight="1" x14ac:dyDescent="0.25">
      <c r="B125" s="49">
        <v>120</v>
      </c>
      <c r="C125" s="1" t="str">
        <f>_xlfn.CONCAT("181-702-",IF(tbl_Ben_Info[[#This Row],[SN]]&lt;10,"00"&amp;tbl_Ben_Info[[#This Row],[SN]],IF(tbl_Ben_Info[[#This Row],[SN]]&lt;100,"0"&amp;tbl_Ben_Info[[#This Row],[SN]],tbl_Ben_Info[[#This Row],[SN]])))</f>
        <v>181-702-120</v>
      </c>
      <c r="D125" s="37"/>
      <c r="E125" s="40"/>
      <c r="F125" s="41"/>
      <c r="G125" s="42"/>
      <c r="H125" s="43"/>
      <c r="I125" s="73"/>
      <c r="J125" s="43"/>
      <c r="K125" s="43"/>
      <c r="L125" s="43"/>
      <c r="M125" s="43"/>
      <c r="N125" s="111"/>
      <c r="O125" s="43"/>
      <c r="P125" s="48"/>
      <c r="Q125" s="49"/>
      <c r="R125" s="37"/>
      <c r="S125" s="37"/>
      <c r="T125" s="37"/>
      <c r="U125" s="37"/>
      <c r="V125" s="59"/>
      <c r="W125" s="49"/>
      <c r="X125" s="37"/>
      <c r="Y125" s="37"/>
      <c r="Z125" s="37"/>
      <c r="AA125" s="37"/>
      <c r="AB125" s="37"/>
      <c r="AC125" s="37"/>
      <c r="AD125" s="37"/>
      <c r="AE125" s="37"/>
      <c r="AF125" s="37"/>
      <c r="AG125" s="59"/>
      <c r="AH125" s="49"/>
      <c r="AI125" s="37"/>
      <c r="AJ125" s="37"/>
      <c r="AK125" s="37"/>
      <c r="AL125" s="37"/>
      <c r="AM125" s="37"/>
      <c r="AN125" s="37"/>
      <c r="AO125" s="37"/>
      <c r="AP125" s="37"/>
      <c r="AQ125" s="37"/>
      <c r="AR125" s="37"/>
      <c r="AS125" s="37"/>
      <c r="AT125" s="37"/>
      <c r="AU125" s="37"/>
      <c r="AV125" s="59"/>
      <c r="AW125" s="1" t="str">
        <f>_xlfn.CONCAT(tbl_Ben_Info[[#This Row],[First Name]]," ",tbl_Ben_Info[[#This Row],[Father Name]]," ",tbl_Ben_Info[[#This Row],[Family Name]])</f>
        <v xml:space="preserve">  </v>
      </c>
    </row>
    <row r="126" spans="2:49" ht="25.15" customHeight="1" x14ac:dyDescent="0.25">
      <c r="B126" s="49">
        <v>121</v>
      </c>
      <c r="C126" s="1" t="str">
        <f>_xlfn.CONCAT("181-702-",IF(tbl_Ben_Info[[#This Row],[SN]]&lt;10,"00"&amp;tbl_Ben_Info[[#This Row],[SN]],IF(tbl_Ben_Info[[#This Row],[SN]]&lt;100,"0"&amp;tbl_Ben_Info[[#This Row],[SN]],tbl_Ben_Info[[#This Row],[SN]])))</f>
        <v>181-702-121</v>
      </c>
      <c r="D126" s="37"/>
      <c r="E126" s="40"/>
      <c r="F126" s="41"/>
      <c r="G126" s="42"/>
      <c r="H126" s="43"/>
      <c r="I126" s="73"/>
      <c r="J126" s="43"/>
      <c r="K126" s="43"/>
      <c r="L126" s="43"/>
      <c r="M126" s="43"/>
      <c r="N126" s="111"/>
      <c r="O126" s="43"/>
      <c r="P126" s="48"/>
      <c r="Q126" s="49"/>
      <c r="R126" s="37"/>
      <c r="S126" s="37"/>
      <c r="T126" s="37"/>
      <c r="U126" s="37"/>
      <c r="V126" s="59"/>
      <c r="W126" s="49"/>
      <c r="X126" s="37"/>
      <c r="Y126" s="37"/>
      <c r="Z126" s="37"/>
      <c r="AA126" s="37"/>
      <c r="AB126" s="37"/>
      <c r="AC126" s="37"/>
      <c r="AD126" s="37"/>
      <c r="AE126" s="37"/>
      <c r="AF126" s="37"/>
      <c r="AG126" s="59"/>
      <c r="AH126" s="49"/>
      <c r="AI126" s="37"/>
      <c r="AJ126" s="37"/>
      <c r="AK126" s="37"/>
      <c r="AL126" s="37"/>
      <c r="AM126" s="37"/>
      <c r="AN126" s="37"/>
      <c r="AO126" s="37"/>
      <c r="AP126" s="37"/>
      <c r="AQ126" s="37"/>
      <c r="AR126" s="37"/>
      <c r="AS126" s="37"/>
      <c r="AT126" s="37"/>
      <c r="AU126" s="37"/>
      <c r="AV126" s="59"/>
      <c r="AW126" s="1" t="str">
        <f>_xlfn.CONCAT(tbl_Ben_Info[[#This Row],[First Name]]," ",tbl_Ben_Info[[#This Row],[Father Name]]," ",tbl_Ben_Info[[#This Row],[Family Name]])</f>
        <v xml:space="preserve">  </v>
      </c>
    </row>
    <row r="127" spans="2:49" ht="25.15" customHeight="1" x14ac:dyDescent="0.25">
      <c r="B127" s="49">
        <v>122</v>
      </c>
      <c r="C127" s="1" t="str">
        <f>_xlfn.CONCAT("181-702-",IF(tbl_Ben_Info[[#This Row],[SN]]&lt;10,"00"&amp;tbl_Ben_Info[[#This Row],[SN]],IF(tbl_Ben_Info[[#This Row],[SN]]&lt;100,"0"&amp;tbl_Ben_Info[[#This Row],[SN]],tbl_Ben_Info[[#This Row],[SN]])))</f>
        <v>181-702-122</v>
      </c>
      <c r="D127" s="37"/>
      <c r="E127" s="40"/>
      <c r="F127" s="41"/>
      <c r="G127" s="42"/>
      <c r="H127" s="43"/>
      <c r="I127" s="73"/>
      <c r="J127" s="43"/>
      <c r="K127" s="43"/>
      <c r="L127" s="43"/>
      <c r="M127" s="43"/>
      <c r="N127" s="111"/>
      <c r="O127" s="43"/>
      <c r="P127" s="48"/>
      <c r="Q127" s="49"/>
      <c r="R127" s="37"/>
      <c r="S127" s="37"/>
      <c r="T127" s="37"/>
      <c r="U127" s="37"/>
      <c r="V127" s="59"/>
      <c r="W127" s="49"/>
      <c r="X127" s="37"/>
      <c r="Y127" s="37"/>
      <c r="Z127" s="37"/>
      <c r="AA127" s="37"/>
      <c r="AB127" s="37"/>
      <c r="AC127" s="37"/>
      <c r="AD127" s="37"/>
      <c r="AE127" s="37"/>
      <c r="AF127" s="37"/>
      <c r="AG127" s="59"/>
      <c r="AH127" s="49"/>
      <c r="AI127" s="37"/>
      <c r="AJ127" s="37"/>
      <c r="AK127" s="37"/>
      <c r="AL127" s="37"/>
      <c r="AM127" s="37"/>
      <c r="AN127" s="37"/>
      <c r="AO127" s="37"/>
      <c r="AP127" s="37"/>
      <c r="AQ127" s="37"/>
      <c r="AR127" s="37"/>
      <c r="AS127" s="37"/>
      <c r="AT127" s="37"/>
      <c r="AU127" s="37"/>
      <c r="AV127" s="59"/>
      <c r="AW127" s="1" t="str">
        <f>_xlfn.CONCAT(tbl_Ben_Info[[#This Row],[First Name]]," ",tbl_Ben_Info[[#This Row],[Father Name]]," ",tbl_Ben_Info[[#This Row],[Family Name]])</f>
        <v xml:space="preserve">  </v>
      </c>
    </row>
    <row r="128" spans="2:49" ht="25.15" customHeight="1" x14ac:dyDescent="0.25">
      <c r="B128" s="49">
        <v>123</v>
      </c>
      <c r="C128" s="1" t="str">
        <f>_xlfn.CONCAT("181-702-",IF(tbl_Ben_Info[[#This Row],[SN]]&lt;10,"00"&amp;tbl_Ben_Info[[#This Row],[SN]],IF(tbl_Ben_Info[[#This Row],[SN]]&lt;100,"0"&amp;tbl_Ben_Info[[#This Row],[SN]],tbl_Ben_Info[[#This Row],[SN]])))</f>
        <v>181-702-123</v>
      </c>
      <c r="D128" s="37"/>
      <c r="E128" s="40"/>
      <c r="F128" s="41"/>
      <c r="G128" s="42"/>
      <c r="H128" s="43"/>
      <c r="I128" s="73"/>
      <c r="J128" s="43"/>
      <c r="K128" s="43"/>
      <c r="L128" s="43"/>
      <c r="M128" s="43"/>
      <c r="N128" s="111"/>
      <c r="O128" s="43"/>
      <c r="P128" s="48"/>
      <c r="Q128" s="49"/>
      <c r="R128" s="37"/>
      <c r="S128" s="37"/>
      <c r="T128" s="37"/>
      <c r="U128" s="37"/>
      <c r="V128" s="59"/>
      <c r="W128" s="49"/>
      <c r="X128" s="37"/>
      <c r="Y128" s="37"/>
      <c r="Z128" s="37"/>
      <c r="AA128" s="37"/>
      <c r="AB128" s="37"/>
      <c r="AC128" s="37"/>
      <c r="AD128" s="37"/>
      <c r="AE128" s="37"/>
      <c r="AF128" s="37"/>
      <c r="AG128" s="59"/>
      <c r="AH128" s="49"/>
      <c r="AI128" s="37"/>
      <c r="AJ128" s="37"/>
      <c r="AK128" s="37"/>
      <c r="AL128" s="37"/>
      <c r="AM128" s="37"/>
      <c r="AN128" s="37"/>
      <c r="AO128" s="37"/>
      <c r="AP128" s="37"/>
      <c r="AQ128" s="37"/>
      <c r="AR128" s="37"/>
      <c r="AS128" s="37"/>
      <c r="AT128" s="37"/>
      <c r="AU128" s="37"/>
      <c r="AV128" s="59"/>
      <c r="AW128" s="1" t="str">
        <f>_xlfn.CONCAT(tbl_Ben_Info[[#This Row],[First Name]]," ",tbl_Ben_Info[[#This Row],[Father Name]]," ",tbl_Ben_Info[[#This Row],[Family Name]])</f>
        <v xml:space="preserve">  </v>
      </c>
    </row>
    <row r="129" spans="2:49" ht="25.15" customHeight="1" x14ac:dyDescent="0.25">
      <c r="B129" s="49">
        <v>124</v>
      </c>
      <c r="C129" s="1" t="str">
        <f>_xlfn.CONCAT("181-702-",IF(tbl_Ben_Info[[#This Row],[SN]]&lt;10,"00"&amp;tbl_Ben_Info[[#This Row],[SN]],IF(tbl_Ben_Info[[#This Row],[SN]]&lt;100,"0"&amp;tbl_Ben_Info[[#This Row],[SN]],tbl_Ben_Info[[#This Row],[SN]])))</f>
        <v>181-702-124</v>
      </c>
      <c r="D129" s="37"/>
      <c r="E129" s="40"/>
      <c r="F129" s="41"/>
      <c r="G129" s="42"/>
      <c r="H129" s="43"/>
      <c r="I129" s="73"/>
      <c r="J129" s="43"/>
      <c r="K129" s="43"/>
      <c r="L129" s="43"/>
      <c r="M129" s="43"/>
      <c r="N129" s="111"/>
      <c r="O129" s="43"/>
      <c r="P129" s="48"/>
      <c r="Q129" s="49"/>
      <c r="R129" s="37"/>
      <c r="S129" s="37"/>
      <c r="T129" s="37"/>
      <c r="U129" s="37"/>
      <c r="V129" s="59"/>
      <c r="W129" s="49"/>
      <c r="X129" s="37"/>
      <c r="Y129" s="37"/>
      <c r="Z129" s="37"/>
      <c r="AA129" s="37"/>
      <c r="AB129" s="37"/>
      <c r="AC129" s="37"/>
      <c r="AD129" s="37"/>
      <c r="AE129" s="37"/>
      <c r="AF129" s="37"/>
      <c r="AG129" s="59"/>
      <c r="AH129" s="49"/>
      <c r="AI129" s="37"/>
      <c r="AJ129" s="37"/>
      <c r="AK129" s="37"/>
      <c r="AL129" s="37"/>
      <c r="AM129" s="37"/>
      <c r="AN129" s="37"/>
      <c r="AO129" s="37"/>
      <c r="AP129" s="37"/>
      <c r="AQ129" s="37"/>
      <c r="AR129" s="37"/>
      <c r="AS129" s="37"/>
      <c r="AT129" s="37"/>
      <c r="AU129" s="37"/>
      <c r="AV129" s="59"/>
      <c r="AW129" s="1" t="str">
        <f>_xlfn.CONCAT(tbl_Ben_Info[[#This Row],[First Name]]," ",tbl_Ben_Info[[#This Row],[Father Name]]," ",tbl_Ben_Info[[#This Row],[Family Name]])</f>
        <v xml:space="preserve">  </v>
      </c>
    </row>
    <row r="130" spans="2:49" ht="25.15" customHeight="1" x14ac:dyDescent="0.25">
      <c r="B130" s="49">
        <v>125</v>
      </c>
      <c r="C130" s="1" t="str">
        <f>_xlfn.CONCAT("181-702-",IF(tbl_Ben_Info[[#This Row],[SN]]&lt;10,"00"&amp;tbl_Ben_Info[[#This Row],[SN]],IF(tbl_Ben_Info[[#This Row],[SN]]&lt;100,"0"&amp;tbl_Ben_Info[[#This Row],[SN]],tbl_Ben_Info[[#This Row],[SN]])))</f>
        <v>181-702-125</v>
      </c>
      <c r="D130" s="37"/>
      <c r="E130" s="40"/>
      <c r="F130" s="41"/>
      <c r="G130" s="42"/>
      <c r="H130" s="43"/>
      <c r="I130" s="73"/>
      <c r="J130" s="43"/>
      <c r="K130" s="43"/>
      <c r="L130" s="43"/>
      <c r="M130" s="43"/>
      <c r="N130" s="111"/>
      <c r="O130" s="43"/>
      <c r="P130" s="48"/>
      <c r="Q130" s="49"/>
      <c r="R130" s="37"/>
      <c r="S130" s="37"/>
      <c r="T130" s="37"/>
      <c r="U130" s="37"/>
      <c r="V130" s="59"/>
      <c r="W130" s="49"/>
      <c r="X130" s="37"/>
      <c r="Y130" s="37"/>
      <c r="Z130" s="37"/>
      <c r="AA130" s="37"/>
      <c r="AB130" s="37"/>
      <c r="AC130" s="37"/>
      <c r="AD130" s="37"/>
      <c r="AE130" s="37"/>
      <c r="AF130" s="37"/>
      <c r="AG130" s="59"/>
      <c r="AH130" s="49"/>
      <c r="AI130" s="37"/>
      <c r="AJ130" s="37"/>
      <c r="AK130" s="37"/>
      <c r="AL130" s="37"/>
      <c r="AM130" s="37"/>
      <c r="AN130" s="37"/>
      <c r="AO130" s="37"/>
      <c r="AP130" s="37"/>
      <c r="AQ130" s="37"/>
      <c r="AR130" s="37"/>
      <c r="AS130" s="37"/>
      <c r="AT130" s="37"/>
      <c r="AU130" s="37"/>
      <c r="AV130" s="59"/>
      <c r="AW130" s="1" t="str">
        <f>_xlfn.CONCAT(tbl_Ben_Info[[#This Row],[First Name]]," ",tbl_Ben_Info[[#This Row],[Father Name]]," ",tbl_Ben_Info[[#This Row],[Family Name]])</f>
        <v xml:space="preserve">  </v>
      </c>
    </row>
    <row r="131" spans="2:49" ht="25.15" customHeight="1" x14ac:dyDescent="0.25">
      <c r="B131" s="49">
        <v>126</v>
      </c>
      <c r="C131" s="1" t="str">
        <f>_xlfn.CONCAT("181-702-",IF(tbl_Ben_Info[[#This Row],[SN]]&lt;10,"00"&amp;tbl_Ben_Info[[#This Row],[SN]],IF(tbl_Ben_Info[[#This Row],[SN]]&lt;100,"0"&amp;tbl_Ben_Info[[#This Row],[SN]],tbl_Ben_Info[[#This Row],[SN]])))</f>
        <v>181-702-126</v>
      </c>
      <c r="D131" s="37"/>
      <c r="E131" s="40"/>
      <c r="F131" s="41"/>
      <c r="G131" s="42"/>
      <c r="H131" s="43"/>
      <c r="I131" s="73"/>
      <c r="J131" s="43"/>
      <c r="K131" s="43"/>
      <c r="L131" s="43"/>
      <c r="M131" s="43"/>
      <c r="N131" s="111"/>
      <c r="O131" s="43"/>
      <c r="P131" s="48"/>
      <c r="Q131" s="49"/>
      <c r="R131" s="37"/>
      <c r="S131" s="37"/>
      <c r="T131" s="37"/>
      <c r="U131" s="37"/>
      <c r="V131" s="59"/>
      <c r="W131" s="49"/>
      <c r="X131" s="37"/>
      <c r="Y131" s="37"/>
      <c r="Z131" s="37"/>
      <c r="AA131" s="37"/>
      <c r="AB131" s="37"/>
      <c r="AC131" s="37"/>
      <c r="AD131" s="37"/>
      <c r="AE131" s="37"/>
      <c r="AF131" s="37"/>
      <c r="AG131" s="59"/>
      <c r="AH131" s="49"/>
      <c r="AI131" s="37"/>
      <c r="AJ131" s="37"/>
      <c r="AK131" s="37"/>
      <c r="AL131" s="37"/>
      <c r="AM131" s="37"/>
      <c r="AN131" s="37"/>
      <c r="AO131" s="37"/>
      <c r="AP131" s="37"/>
      <c r="AQ131" s="37"/>
      <c r="AR131" s="37"/>
      <c r="AS131" s="37"/>
      <c r="AT131" s="37"/>
      <c r="AU131" s="37"/>
      <c r="AV131" s="59"/>
      <c r="AW131" s="1" t="str">
        <f>_xlfn.CONCAT(tbl_Ben_Info[[#This Row],[First Name]]," ",tbl_Ben_Info[[#This Row],[Father Name]]," ",tbl_Ben_Info[[#This Row],[Family Name]])</f>
        <v xml:space="preserve">  </v>
      </c>
    </row>
    <row r="132" spans="2:49" ht="25.15" customHeight="1" x14ac:dyDescent="0.25">
      <c r="B132" s="49">
        <v>127</v>
      </c>
      <c r="C132" s="1" t="str">
        <f>_xlfn.CONCAT("181-702-",IF(tbl_Ben_Info[[#This Row],[SN]]&lt;10,"00"&amp;tbl_Ben_Info[[#This Row],[SN]],IF(tbl_Ben_Info[[#This Row],[SN]]&lt;100,"0"&amp;tbl_Ben_Info[[#This Row],[SN]],tbl_Ben_Info[[#This Row],[SN]])))</f>
        <v>181-702-127</v>
      </c>
      <c r="D132" s="37"/>
      <c r="E132" s="40"/>
      <c r="F132" s="41"/>
      <c r="G132" s="42"/>
      <c r="H132" s="43"/>
      <c r="I132" s="73"/>
      <c r="J132" s="43"/>
      <c r="K132" s="43"/>
      <c r="L132" s="43"/>
      <c r="M132" s="43"/>
      <c r="N132" s="111"/>
      <c r="O132" s="43"/>
      <c r="P132" s="48"/>
      <c r="Q132" s="49"/>
      <c r="R132" s="37"/>
      <c r="S132" s="37"/>
      <c r="T132" s="37"/>
      <c r="U132" s="37"/>
      <c r="V132" s="59"/>
      <c r="W132" s="49"/>
      <c r="X132" s="37"/>
      <c r="Y132" s="37"/>
      <c r="Z132" s="37"/>
      <c r="AA132" s="37"/>
      <c r="AB132" s="37"/>
      <c r="AC132" s="37"/>
      <c r="AD132" s="37"/>
      <c r="AE132" s="37"/>
      <c r="AF132" s="37"/>
      <c r="AG132" s="59"/>
      <c r="AH132" s="49"/>
      <c r="AI132" s="37"/>
      <c r="AJ132" s="37"/>
      <c r="AK132" s="37"/>
      <c r="AL132" s="37"/>
      <c r="AM132" s="37"/>
      <c r="AN132" s="37"/>
      <c r="AO132" s="37"/>
      <c r="AP132" s="37"/>
      <c r="AQ132" s="37"/>
      <c r="AR132" s="37"/>
      <c r="AS132" s="37"/>
      <c r="AT132" s="37"/>
      <c r="AU132" s="37"/>
      <c r="AV132" s="59"/>
      <c r="AW132" s="1" t="str">
        <f>_xlfn.CONCAT(tbl_Ben_Info[[#This Row],[First Name]]," ",tbl_Ben_Info[[#This Row],[Father Name]]," ",tbl_Ben_Info[[#This Row],[Family Name]])</f>
        <v xml:space="preserve">  </v>
      </c>
    </row>
    <row r="133" spans="2:49" ht="25.15" customHeight="1" x14ac:dyDescent="0.25">
      <c r="B133" s="49">
        <v>128</v>
      </c>
      <c r="C133" s="1" t="str">
        <f>_xlfn.CONCAT("181-702-",IF(tbl_Ben_Info[[#This Row],[SN]]&lt;10,"00"&amp;tbl_Ben_Info[[#This Row],[SN]],IF(tbl_Ben_Info[[#This Row],[SN]]&lt;100,"0"&amp;tbl_Ben_Info[[#This Row],[SN]],tbl_Ben_Info[[#This Row],[SN]])))</f>
        <v>181-702-128</v>
      </c>
      <c r="D133" s="37"/>
      <c r="E133" s="40"/>
      <c r="F133" s="41"/>
      <c r="G133" s="42"/>
      <c r="H133" s="43"/>
      <c r="I133" s="73"/>
      <c r="J133" s="43"/>
      <c r="K133" s="43"/>
      <c r="L133" s="43"/>
      <c r="M133" s="43"/>
      <c r="N133" s="111"/>
      <c r="O133" s="43"/>
      <c r="P133" s="48"/>
      <c r="Q133" s="49"/>
      <c r="R133" s="37"/>
      <c r="S133" s="37"/>
      <c r="T133" s="37"/>
      <c r="U133" s="37"/>
      <c r="V133" s="59"/>
      <c r="W133" s="49"/>
      <c r="X133" s="37"/>
      <c r="Y133" s="37"/>
      <c r="Z133" s="37"/>
      <c r="AA133" s="37"/>
      <c r="AB133" s="37"/>
      <c r="AC133" s="37"/>
      <c r="AD133" s="37"/>
      <c r="AE133" s="37"/>
      <c r="AF133" s="37"/>
      <c r="AG133" s="59"/>
      <c r="AH133" s="49"/>
      <c r="AI133" s="37"/>
      <c r="AJ133" s="37"/>
      <c r="AK133" s="37"/>
      <c r="AL133" s="37"/>
      <c r="AM133" s="37"/>
      <c r="AN133" s="37"/>
      <c r="AO133" s="37"/>
      <c r="AP133" s="37"/>
      <c r="AQ133" s="37"/>
      <c r="AR133" s="37"/>
      <c r="AS133" s="37"/>
      <c r="AT133" s="37"/>
      <c r="AU133" s="37"/>
      <c r="AV133" s="59"/>
      <c r="AW133" s="1" t="str">
        <f>_xlfn.CONCAT(tbl_Ben_Info[[#This Row],[First Name]]," ",tbl_Ben_Info[[#This Row],[Father Name]]," ",tbl_Ben_Info[[#This Row],[Family Name]])</f>
        <v xml:space="preserve">  </v>
      </c>
    </row>
    <row r="134" spans="2:49" ht="25.15" customHeight="1" x14ac:dyDescent="0.25">
      <c r="B134" s="49">
        <v>129</v>
      </c>
      <c r="C134" s="1" t="str">
        <f>_xlfn.CONCAT("181-702-",IF(tbl_Ben_Info[[#This Row],[SN]]&lt;10,"00"&amp;tbl_Ben_Info[[#This Row],[SN]],IF(tbl_Ben_Info[[#This Row],[SN]]&lt;100,"0"&amp;tbl_Ben_Info[[#This Row],[SN]],tbl_Ben_Info[[#This Row],[SN]])))</f>
        <v>181-702-129</v>
      </c>
      <c r="D134" s="37"/>
      <c r="E134" s="40"/>
      <c r="F134" s="41"/>
      <c r="G134" s="42"/>
      <c r="H134" s="43"/>
      <c r="I134" s="73"/>
      <c r="J134" s="43"/>
      <c r="K134" s="43"/>
      <c r="L134" s="43"/>
      <c r="M134" s="43"/>
      <c r="N134" s="111"/>
      <c r="O134" s="43"/>
      <c r="P134" s="48"/>
      <c r="Q134" s="49"/>
      <c r="R134" s="37"/>
      <c r="S134" s="37"/>
      <c r="T134" s="37"/>
      <c r="U134" s="37"/>
      <c r="V134" s="59"/>
      <c r="W134" s="49"/>
      <c r="X134" s="37"/>
      <c r="Y134" s="37"/>
      <c r="Z134" s="37"/>
      <c r="AA134" s="37"/>
      <c r="AB134" s="37"/>
      <c r="AC134" s="37"/>
      <c r="AD134" s="37"/>
      <c r="AE134" s="37"/>
      <c r="AF134" s="37"/>
      <c r="AG134" s="59"/>
      <c r="AH134" s="49"/>
      <c r="AI134" s="37"/>
      <c r="AJ134" s="37"/>
      <c r="AK134" s="37"/>
      <c r="AL134" s="37"/>
      <c r="AM134" s="37"/>
      <c r="AN134" s="37"/>
      <c r="AO134" s="37"/>
      <c r="AP134" s="37"/>
      <c r="AQ134" s="37"/>
      <c r="AR134" s="37"/>
      <c r="AS134" s="37"/>
      <c r="AT134" s="37"/>
      <c r="AU134" s="37"/>
      <c r="AV134" s="59"/>
      <c r="AW134" s="1" t="str">
        <f>_xlfn.CONCAT(tbl_Ben_Info[[#This Row],[First Name]]," ",tbl_Ben_Info[[#This Row],[Father Name]]," ",tbl_Ben_Info[[#This Row],[Family Name]])</f>
        <v xml:space="preserve">  </v>
      </c>
    </row>
    <row r="135" spans="2:49" ht="25.15" customHeight="1" x14ac:dyDescent="0.25">
      <c r="B135" s="49">
        <v>130</v>
      </c>
      <c r="C135" s="1" t="str">
        <f>_xlfn.CONCAT("181-702-",IF(tbl_Ben_Info[[#This Row],[SN]]&lt;10,"00"&amp;tbl_Ben_Info[[#This Row],[SN]],IF(tbl_Ben_Info[[#This Row],[SN]]&lt;100,"0"&amp;tbl_Ben_Info[[#This Row],[SN]],tbl_Ben_Info[[#This Row],[SN]])))</f>
        <v>181-702-130</v>
      </c>
      <c r="D135" s="37"/>
      <c r="E135" s="40"/>
      <c r="F135" s="41"/>
      <c r="G135" s="42"/>
      <c r="H135" s="43"/>
      <c r="I135" s="73"/>
      <c r="J135" s="43"/>
      <c r="K135" s="43"/>
      <c r="L135" s="43"/>
      <c r="M135" s="43"/>
      <c r="N135" s="111"/>
      <c r="O135" s="43"/>
      <c r="P135" s="48"/>
      <c r="Q135" s="49"/>
      <c r="R135" s="37"/>
      <c r="S135" s="37"/>
      <c r="T135" s="37"/>
      <c r="U135" s="37"/>
      <c r="V135" s="59"/>
      <c r="W135" s="49"/>
      <c r="X135" s="37"/>
      <c r="Y135" s="37"/>
      <c r="Z135" s="37"/>
      <c r="AA135" s="37"/>
      <c r="AB135" s="37"/>
      <c r="AC135" s="37"/>
      <c r="AD135" s="37"/>
      <c r="AE135" s="37"/>
      <c r="AF135" s="37"/>
      <c r="AG135" s="59"/>
      <c r="AH135" s="49"/>
      <c r="AI135" s="37"/>
      <c r="AJ135" s="37"/>
      <c r="AK135" s="37"/>
      <c r="AL135" s="37"/>
      <c r="AM135" s="37"/>
      <c r="AN135" s="37"/>
      <c r="AO135" s="37"/>
      <c r="AP135" s="37"/>
      <c r="AQ135" s="37"/>
      <c r="AR135" s="37"/>
      <c r="AS135" s="37"/>
      <c r="AT135" s="37"/>
      <c r="AU135" s="37"/>
      <c r="AV135" s="59"/>
      <c r="AW135" s="1" t="str">
        <f>_xlfn.CONCAT(tbl_Ben_Info[[#This Row],[First Name]]," ",tbl_Ben_Info[[#This Row],[Father Name]]," ",tbl_Ben_Info[[#This Row],[Family Name]])</f>
        <v xml:space="preserve">  </v>
      </c>
    </row>
    <row r="136" spans="2:49" ht="25.15" customHeight="1" x14ac:dyDescent="0.25">
      <c r="B136" s="49">
        <v>131</v>
      </c>
      <c r="C136" s="1" t="str">
        <f>_xlfn.CONCAT("181-702-",IF(tbl_Ben_Info[[#This Row],[SN]]&lt;10,"00"&amp;tbl_Ben_Info[[#This Row],[SN]],IF(tbl_Ben_Info[[#This Row],[SN]]&lt;100,"0"&amp;tbl_Ben_Info[[#This Row],[SN]],tbl_Ben_Info[[#This Row],[SN]])))</f>
        <v>181-702-131</v>
      </c>
      <c r="D136" s="37"/>
      <c r="E136" s="40"/>
      <c r="F136" s="41"/>
      <c r="G136" s="42"/>
      <c r="H136" s="43"/>
      <c r="I136" s="73"/>
      <c r="J136" s="43"/>
      <c r="K136" s="43"/>
      <c r="L136" s="43"/>
      <c r="M136" s="43"/>
      <c r="N136" s="111"/>
      <c r="O136" s="43"/>
      <c r="P136" s="48"/>
      <c r="Q136" s="49"/>
      <c r="R136" s="37"/>
      <c r="S136" s="37"/>
      <c r="T136" s="37"/>
      <c r="U136" s="37"/>
      <c r="V136" s="59"/>
      <c r="W136" s="49"/>
      <c r="X136" s="37"/>
      <c r="Y136" s="37"/>
      <c r="Z136" s="37"/>
      <c r="AA136" s="37"/>
      <c r="AB136" s="37"/>
      <c r="AC136" s="37"/>
      <c r="AD136" s="37"/>
      <c r="AE136" s="37"/>
      <c r="AF136" s="37"/>
      <c r="AG136" s="59"/>
      <c r="AH136" s="49"/>
      <c r="AI136" s="37"/>
      <c r="AJ136" s="37"/>
      <c r="AK136" s="37"/>
      <c r="AL136" s="37"/>
      <c r="AM136" s="37"/>
      <c r="AN136" s="37"/>
      <c r="AO136" s="37"/>
      <c r="AP136" s="37"/>
      <c r="AQ136" s="37"/>
      <c r="AR136" s="37"/>
      <c r="AS136" s="37"/>
      <c r="AT136" s="37"/>
      <c r="AU136" s="37"/>
      <c r="AV136" s="59"/>
      <c r="AW136" s="1" t="str">
        <f>_xlfn.CONCAT(tbl_Ben_Info[[#This Row],[First Name]]," ",tbl_Ben_Info[[#This Row],[Father Name]]," ",tbl_Ben_Info[[#This Row],[Family Name]])</f>
        <v xml:space="preserve">  </v>
      </c>
    </row>
    <row r="137" spans="2:49" ht="25.15" customHeight="1" x14ac:dyDescent="0.25">
      <c r="B137" s="49">
        <v>132</v>
      </c>
      <c r="C137" s="1" t="str">
        <f>_xlfn.CONCAT("181-702-",IF(tbl_Ben_Info[[#This Row],[SN]]&lt;10,"00"&amp;tbl_Ben_Info[[#This Row],[SN]],IF(tbl_Ben_Info[[#This Row],[SN]]&lt;100,"0"&amp;tbl_Ben_Info[[#This Row],[SN]],tbl_Ben_Info[[#This Row],[SN]])))</f>
        <v>181-702-132</v>
      </c>
      <c r="D137" s="37"/>
      <c r="E137" s="40"/>
      <c r="F137" s="41"/>
      <c r="G137" s="42"/>
      <c r="H137" s="43"/>
      <c r="I137" s="73"/>
      <c r="J137" s="43"/>
      <c r="K137" s="43"/>
      <c r="L137" s="43"/>
      <c r="M137" s="43"/>
      <c r="N137" s="111"/>
      <c r="O137" s="43"/>
      <c r="P137" s="48"/>
      <c r="Q137" s="49"/>
      <c r="R137" s="37"/>
      <c r="S137" s="37"/>
      <c r="T137" s="37"/>
      <c r="U137" s="37"/>
      <c r="V137" s="59"/>
      <c r="W137" s="49"/>
      <c r="X137" s="37"/>
      <c r="Y137" s="37"/>
      <c r="Z137" s="37"/>
      <c r="AA137" s="37"/>
      <c r="AB137" s="37"/>
      <c r="AC137" s="37"/>
      <c r="AD137" s="37"/>
      <c r="AE137" s="37"/>
      <c r="AF137" s="37"/>
      <c r="AG137" s="59"/>
      <c r="AH137" s="49"/>
      <c r="AI137" s="37"/>
      <c r="AJ137" s="37"/>
      <c r="AK137" s="37"/>
      <c r="AL137" s="37"/>
      <c r="AM137" s="37"/>
      <c r="AN137" s="37"/>
      <c r="AO137" s="37"/>
      <c r="AP137" s="37"/>
      <c r="AQ137" s="37"/>
      <c r="AR137" s="37"/>
      <c r="AS137" s="37"/>
      <c r="AT137" s="37"/>
      <c r="AU137" s="37"/>
      <c r="AV137" s="59"/>
      <c r="AW137" s="1" t="str">
        <f>_xlfn.CONCAT(tbl_Ben_Info[[#This Row],[First Name]]," ",tbl_Ben_Info[[#This Row],[Father Name]]," ",tbl_Ben_Info[[#This Row],[Family Name]])</f>
        <v xml:space="preserve">  </v>
      </c>
    </row>
    <row r="138" spans="2:49" ht="25.15" customHeight="1" x14ac:dyDescent="0.25">
      <c r="B138" s="49">
        <v>133</v>
      </c>
      <c r="C138" s="1" t="str">
        <f>_xlfn.CONCAT("181-702-",IF(tbl_Ben_Info[[#This Row],[SN]]&lt;10,"00"&amp;tbl_Ben_Info[[#This Row],[SN]],IF(tbl_Ben_Info[[#This Row],[SN]]&lt;100,"0"&amp;tbl_Ben_Info[[#This Row],[SN]],tbl_Ben_Info[[#This Row],[SN]])))</f>
        <v>181-702-133</v>
      </c>
      <c r="D138" s="37"/>
      <c r="E138" s="40"/>
      <c r="F138" s="41"/>
      <c r="G138" s="42"/>
      <c r="H138" s="43"/>
      <c r="I138" s="73"/>
      <c r="J138" s="43"/>
      <c r="K138" s="43"/>
      <c r="L138" s="43"/>
      <c r="M138" s="43"/>
      <c r="N138" s="111"/>
      <c r="O138" s="43"/>
      <c r="P138" s="48"/>
      <c r="Q138" s="49"/>
      <c r="R138" s="37"/>
      <c r="S138" s="37"/>
      <c r="T138" s="37"/>
      <c r="U138" s="37"/>
      <c r="V138" s="59"/>
      <c r="W138" s="49"/>
      <c r="X138" s="37"/>
      <c r="Y138" s="37"/>
      <c r="Z138" s="37"/>
      <c r="AA138" s="37"/>
      <c r="AB138" s="37"/>
      <c r="AC138" s="37"/>
      <c r="AD138" s="37"/>
      <c r="AE138" s="37"/>
      <c r="AF138" s="37"/>
      <c r="AG138" s="59"/>
      <c r="AH138" s="49"/>
      <c r="AI138" s="37"/>
      <c r="AJ138" s="37"/>
      <c r="AK138" s="37"/>
      <c r="AL138" s="37"/>
      <c r="AM138" s="37"/>
      <c r="AN138" s="37"/>
      <c r="AO138" s="37"/>
      <c r="AP138" s="37"/>
      <c r="AQ138" s="37"/>
      <c r="AR138" s="37"/>
      <c r="AS138" s="37"/>
      <c r="AT138" s="37"/>
      <c r="AU138" s="37"/>
      <c r="AV138" s="59"/>
      <c r="AW138" s="1" t="str">
        <f>_xlfn.CONCAT(tbl_Ben_Info[[#This Row],[First Name]]," ",tbl_Ben_Info[[#This Row],[Father Name]]," ",tbl_Ben_Info[[#This Row],[Family Name]])</f>
        <v xml:space="preserve">  </v>
      </c>
    </row>
    <row r="139" spans="2:49" ht="25.15" customHeight="1" x14ac:dyDescent="0.25">
      <c r="B139" s="49">
        <v>134</v>
      </c>
      <c r="C139" s="1" t="str">
        <f>_xlfn.CONCAT("181-702-",IF(tbl_Ben_Info[[#This Row],[SN]]&lt;10,"00"&amp;tbl_Ben_Info[[#This Row],[SN]],IF(tbl_Ben_Info[[#This Row],[SN]]&lt;100,"0"&amp;tbl_Ben_Info[[#This Row],[SN]],tbl_Ben_Info[[#This Row],[SN]])))</f>
        <v>181-702-134</v>
      </c>
      <c r="D139" s="37"/>
      <c r="E139" s="40"/>
      <c r="F139" s="41"/>
      <c r="G139" s="42"/>
      <c r="H139" s="43"/>
      <c r="I139" s="73"/>
      <c r="J139" s="43"/>
      <c r="K139" s="43"/>
      <c r="L139" s="43"/>
      <c r="M139" s="43"/>
      <c r="N139" s="111"/>
      <c r="O139" s="43"/>
      <c r="P139" s="48"/>
      <c r="Q139" s="49"/>
      <c r="R139" s="37"/>
      <c r="S139" s="37"/>
      <c r="T139" s="37"/>
      <c r="U139" s="37"/>
      <c r="V139" s="59"/>
      <c r="W139" s="49"/>
      <c r="X139" s="37"/>
      <c r="Y139" s="37"/>
      <c r="Z139" s="37"/>
      <c r="AA139" s="37"/>
      <c r="AB139" s="37"/>
      <c r="AC139" s="37"/>
      <c r="AD139" s="37"/>
      <c r="AE139" s="37"/>
      <c r="AF139" s="37"/>
      <c r="AG139" s="59"/>
      <c r="AH139" s="49"/>
      <c r="AI139" s="37"/>
      <c r="AJ139" s="37"/>
      <c r="AK139" s="37"/>
      <c r="AL139" s="37"/>
      <c r="AM139" s="37"/>
      <c r="AN139" s="37"/>
      <c r="AO139" s="37"/>
      <c r="AP139" s="37"/>
      <c r="AQ139" s="37"/>
      <c r="AR139" s="37"/>
      <c r="AS139" s="37"/>
      <c r="AT139" s="37"/>
      <c r="AU139" s="37"/>
      <c r="AV139" s="59"/>
      <c r="AW139" s="1" t="str">
        <f>_xlfn.CONCAT(tbl_Ben_Info[[#This Row],[First Name]]," ",tbl_Ben_Info[[#This Row],[Father Name]]," ",tbl_Ben_Info[[#This Row],[Family Name]])</f>
        <v xml:space="preserve">  </v>
      </c>
    </row>
    <row r="140" spans="2:49" ht="25.15" customHeight="1" x14ac:dyDescent="0.25">
      <c r="B140" s="49">
        <v>135</v>
      </c>
      <c r="C140" s="1" t="str">
        <f>_xlfn.CONCAT("181-702-",IF(tbl_Ben_Info[[#This Row],[SN]]&lt;10,"00"&amp;tbl_Ben_Info[[#This Row],[SN]],IF(tbl_Ben_Info[[#This Row],[SN]]&lt;100,"0"&amp;tbl_Ben_Info[[#This Row],[SN]],tbl_Ben_Info[[#This Row],[SN]])))</f>
        <v>181-702-135</v>
      </c>
      <c r="D140" s="37"/>
      <c r="E140" s="40"/>
      <c r="F140" s="41"/>
      <c r="G140" s="42"/>
      <c r="H140" s="43"/>
      <c r="I140" s="73"/>
      <c r="J140" s="43"/>
      <c r="K140" s="43"/>
      <c r="L140" s="43"/>
      <c r="M140" s="43"/>
      <c r="N140" s="111"/>
      <c r="O140" s="43"/>
      <c r="P140" s="48"/>
      <c r="Q140" s="49"/>
      <c r="R140" s="37"/>
      <c r="S140" s="37"/>
      <c r="T140" s="37"/>
      <c r="U140" s="37"/>
      <c r="V140" s="59"/>
      <c r="W140" s="49"/>
      <c r="X140" s="37"/>
      <c r="Y140" s="37"/>
      <c r="Z140" s="37"/>
      <c r="AA140" s="37"/>
      <c r="AB140" s="37"/>
      <c r="AC140" s="37"/>
      <c r="AD140" s="37"/>
      <c r="AE140" s="37"/>
      <c r="AF140" s="37"/>
      <c r="AG140" s="59"/>
      <c r="AH140" s="49"/>
      <c r="AI140" s="37"/>
      <c r="AJ140" s="37"/>
      <c r="AK140" s="37"/>
      <c r="AL140" s="37"/>
      <c r="AM140" s="37"/>
      <c r="AN140" s="37"/>
      <c r="AO140" s="37"/>
      <c r="AP140" s="37"/>
      <c r="AQ140" s="37"/>
      <c r="AR140" s="37"/>
      <c r="AS140" s="37"/>
      <c r="AT140" s="37"/>
      <c r="AU140" s="37"/>
      <c r="AV140" s="59"/>
      <c r="AW140" s="1" t="str">
        <f>_xlfn.CONCAT(tbl_Ben_Info[[#This Row],[First Name]]," ",tbl_Ben_Info[[#This Row],[Father Name]]," ",tbl_Ben_Info[[#This Row],[Family Name]])</f>
        <v xml:space="preserve">  </v>
      </c>
    </row>
    <row r="141" spans="2:49" ht="25.15" customHeight="1" x14ac:dyDescent="0.25">
      <c r="B141" s="49">
        <v>136</v>
      </c>
      <c r="C141" s="1" t="str">
        <f>_xlfn.CONCAT("181-702-",IF(tbl_Ben_Info[[#This Row],[SN]]&lt;10,"00"&amp;tbl_Ben_Info[[#This Row],[SN]],IF(tbl_Ben_Info[[#This Row],[SN]]&lt;100,"0"&amp;tbl_Ben_Info[[#This Row],[SN]],tbl_Ben_Info[[#This Row],[SN]])))</f>
        <v>181-702-136</v>
      </c>
      <c r="D141" s="37"/>
      <c r="E141" s="40"/>
      <c r="F141" s="41"/>
      <c r="G141" s="42"/>
      <c r="H141" s="43"/>
      <c r="I141" s="73"/>
      <c r="J141" s="43"/>
      <c r="K141" s="43"/>
      <c r="L141" s="43"/>
      <c r="M141" s="43"/>
      <c r="N141" s="111"/>
      <c r="O141" s="43"/>
      <c r="P141" s="48"/>
      <c r="Q141" s="49"/>
      <c r="R141" s="37"/>
      <c r="S141" s="37"/>
      <c r="T141" s="37"/>
      <c r="U141" s="37"/>
      <c r="V141" s="59"/>
      <c r="W141" s="49"/>
      <c r="X141" s="37"/>
      <c r="Y141" s="37"/>
      <c r="Z141" s="37"/>
      <c r="AA141" s="37"/>
      <c r="AB141" s="37"/>
      <c r="AC141" s="37"/>
      <c r="AD141" s="37"/>
      <c r="AE141" s="37"/>
      <c r="AF141" s="37"/>
      <c r="AG141" s="59"/>
      <c r="AH141" s="49"/>
      <c r="AI141" s="37"/>
      <c r="AJ141" s="37"/>
      <c r="AK141" s="37"/>
      <c r="AL141" s="37"/>
      <c r="AM141" s="37"/>
      <c r="AN141" s="37"/>
      <c r="AO141" s="37"/>
      <c r="AP141" s="37"/>
      <c r="AQ141" s="37"/>
      <c r="AR141" s="37"/>
      <c r="AS141" s="37"/>
      <c r="AT141" s="37"/>
      <c r="AU141" s="37"/>
      <c r="AV141" s="59"/>
      <c r="AW141" s="1" t="str">
        <f>_xlfn.CONCAT(tbl_Ben_Info[[#This Row],[First Name]]," ",tbl_Ben_Info[[#This Row],[Father Name]]," ",tbl_Ben_Info[[#This Row],[Family Name]])</f>
        <v xml:space="preserve">  </v>
      </c>
    </row>
    <row r="142" spans="2:49" ht="25.15" customHeight="1" x14ac:dyDescent="0.25">
      <c r="B142" s="49">
        <v>137</v>
      </c>
      <c r="C142" s="1" t="str">
        <f>_xlfn.CONCAT("181-702-",IF(tbl_Ben_Info[[#This Row],[SN]]&lt;10,"00"&amp;tbl_Ben_Info[[#This Row],[SN]],IF(tbl_Ben_Info[[#This Row],[SN]]&lt;100,"0"&amp;tbl_Ben_Info[[#This Row],[SN]],tbl_Ben_Info[[#This Row],[SN]])))</f>
        <v>181-702-137</v>
      </c>
      <c r="D142" s="37"/>
      <c r="E142" s="40"/>
      <c r="F142" s="41"/>
      <c r="G142" s="42"/>
      <c r="H142" s="43"/>
      <c r="I142" s="73"/>
      <c r="J142" s="43"/>
      <c r="K142" s="43"/>
      <c r="L142" s="43"/>
      <c r="M142" s="43"/>
      <c r="N142" s="111"/>
      <c r="O142" s="43"/>
      <c r="P142" s="48"/>
      <c r="Q142" s="49"/>
      <c r="R142" s="37"/>
      <c r="S142" s="37"/>
      <c r="T142" s="37"/>
      <c r="U142" s="37"/>
      <c r="V142" s="59"/>
      <c r="W142" s="49"/>
      <c r="X142" s="37"/>
      <c r="Y142" s="37"/>
      <c r="Z142" s="37"/>
      <c r="AA142" s="37"/>
      <c r="AB142" s="37"/>
      <c r="AC142" s="37"/>
      <c r="AD142" s="37"/>
      <c r="AE142" s="37"/>
      <c r="AF142" s="37"/>
      <c r="AG142" s="59"/>
      <c r="AH142" s="49"/>
      <c r="AI142" s="37"/>
      <c r="AJ142" s="37"/>
      <c r="AK142" s="37"/>
      <c r="AL142" s="37"/>
      <c r="AM142" s="37"/>
      <c r="AN142" s="37"/>
      <c r="AO142" s="37"/>
      <c r="AP142" s="37"/>
      <c r="AQ142" s="37"/>
      <c r="AR142" s="37"/>
      <c r="AS142" s="37"/>
      <c r="AT142" s="37"/>
      <c r="AU142" s="37"/>
      <c r="AV142" s="59"/>
      <c r="AW142" s="1" t="str">
        <f>_xlfn.CONCAT(tbl_Ben_Info[[#This Row],[First Name]]," ",tbl_Ben_Info[[#This Row],[Father Name]]," ",tbl_Ben_Info[[#This Row],[Family Name]])</f>
        <v xml:space="preserve">  </v>
      </c>
    </row>
    <row r="143" spans="2:49" ht="25.15" customHeight="1" x14ac:dyDescent="0.25">
      <c r="B143" s="49">
        <v>138</v>
      </c>
      <c r="C143" s="1" t="str">
        <f>_xlfn.CONCAT("181-702-",IF(tbl_Ben_Info[[#This Row],[SN]]&lt;10,"00"&amp;tbl_Ben_Info[[#This Row],[SN]],IF(tbl_Ben_Info[[#This Row],[SN]]&lt;100,"0"&amp;tbl_Ben_Info[[#This Row],[SN]],tbl_Ben_Info[[#This Row],[SN]])))</f>
        <v>181-702-138</v>
      </c>
      <c r="D143" s="37"/>
      <c r="E143" s="40"/>
      <c r="F143" s="41"/>
      <c r="G143" s="42"/>
      <c r="H143" s="43"/>
      <c r="I143" s="73"/>
      <c r="J143" s="43"/>
      <c r="K143" s="43"/>
      <c r="L143" s="43"/>
      <c r="M143" s="43"/>
      <c r="N143" s="111"/>
      <c r="O143" s="43"/>
      <c r="P143" s="48"/>
      <c r="Q143" s="49"/>
      <c r="R143" s="37"/>
      <c r="S143" s="37"/>
      <c r="T143" s="37"/>
      <c r="U143" s="37"/>
      <c r="V143" s="59"/>
      <c r="W143" s="49"/>
      <c r="X143" s="37"/>
      <c r="Y143" s="37"/>
      <c r="Z143" s="37"/>
      <c r="AA143" s="37"/>
      <c r="AB143" s="37"/>
      <c r="AC143" s="37"/>
      <c r="AD143" s="37"/>
      <c r="AE143" s="37"/>
      <c r="AF143" s="37"/>
      <c r="AG143" s="59"/>
      <c r="AH143" s="49"/>
      <c r="AI143" s="37"/>
      <c r="AJ143" s="37"/>
      <c r="AK143" s="37"/>
      <c r="AL143" s="37"/>
      <c r="AM143" s="37"/>
      <c r="AN143" s="37"/>
      <c r="AO143" s="37"/>
      <c r="AP143" s="37"/>
      <c r="AQ143" s="37"/>
      <c r="AR143" s="37"/>
      <c r="AS143" s="37"/>
      <c r="AT143" s="37"/>
      <c r="AU143" s="37"/>
      <c r="AV143" s="59"/>
      <c r="AW143" s="1" t="str">
        <f>_xlfn.CONCAT(tbl_Ben_Info[[#This Row],[First Name]]," ",tbl_Ben_Info[[#This Row],[Father Name]]," ",tbl_Ben_Info[[#This Row],[Family Name]])</f>
        <v xml:space="preserve">  </v>
      </c>
    </row>
    <row r="144" spans="2:49" ht="25.15" customHeight="1" x14ac:dyDescent="0.25">
      <c r="B144" s="49">
        <v>139</v>
      </c>
      <c r="C144" s="1" t="str">
        <f>_xlfn.CONCAT("181-702-",IF(tbl_Ben_Info[[#This Row],[SN]]&lt;10,"00"&amp;tbl_Ben_Info[[#This Row],[SN]],IF(tbl_Ben_Info[[#This Row],[SN]]&lt;100,"0"&amp;tbl_Ben_Info[[#This Row],[SN]],tbl_Ben_Info[[#This Row],[SN]])))</f>
        <v>181-702-139</v>
      </c>
      <c r="D144" s="37"/>
      <c r="E144" s="40"/>
      <c r="F144" s="41"/>
      <c r="G144" s="42"/>
      <c r="H144" s="43"/>
      <c r="I144" s="73"/>
      <c r="J144" s="43"/>
      <c r="K144" s="43"/>
      <c r="L144" s="43"/>
      <c r="M144" s="43"/>
      <c r="N144" s="111"/>
      <c r="O144" s="43"/>
      <c r="P144" s="48"/>
      <c r="Q144" s="49"/>
      <c r="R144" s="37"/>
      <c r="S144" s="37"/>
      <c r="T144" s="37"/>
      <c r="U144" s="37"/>
      <c r="V144" s="59"/>
      <c r="W144" s="49"/>
      <c r="X144" s="37"/>
      <c r="Y144" s="37"/>
      <c r="Z144" s="37"/>
      <c r="AA144" s="37"/>
      <c r="AB144" s="37"/>
      <c r="AC144" s="37"/>
      <c r="AD144" s="37"/>
      <c r="AE144" s="37"/>
      <c r="AF144" s="37"/>
      <c r="AG144" s="59"/>
      <c r="AH144" s="49"/>
      <c r="AI144" s="37"/>
      <c r="AJ144" s="37"/>
      <c r="AK144" s="37"/>
      <c r="AL144" s="37"/>
      <c r="AM144" s="37"/>
      <c r="AN144" s="37"/>
      <c r="AO144" s="37"/>
      <c r="AP144" s="37"/>
      <c r="AQ144" s="37"/>
      <c r="AR144" s="37"/>
      <c r="AS144" s="37"/>
      <c r="AT144" s="37"/>
      <c r="AU144" s="37"/>
      <c r="AV144" s="59"/>
      <c r="AW144" s="1" t="str">
        <f>_xlfn.CONCAT(tbl_Ben_Info[[#This Row],[First Name]]," ",tbl_Ben_Info[[#This Row],[Father Name]]," ",tbl_Ben_Info[[#This Row],[Family Name]])</f>
        <v xml:space="preserve">  </v>
      </c>
    </row>
    <row r="145" spans="2:49" ht="25.15" customHeight="1" x14ac:dyDescent="0.25">
      <c r="B145" s="49">
        <v>140</v>
      </c>
      <c r="C145" s="1" t="str">
        <f>_xlfn.CONCAT("181-702-",IF(tbl_Ben_Info[[#This Row],[SN]]&lt;10,"00"&amp;tbl_Ben_Info[[#This Row],[SN]],IF(tbl_Ben_Info[[#This Row],[SN]]&lt;100,"0"&amp;tbl_Ben_Info[[#This Row],[SN]],tbl_Ben_Info[[#This Row],[SN]])))</f>
        <v>181-702-140</v>
      </c>
      <c r="D145" s="37"/>
      <c r="E145" s="40"/>
      <c r="F145" s="41"/>
      <c r="G145" s="42"/>
      <c r="H145" s="43"/>
      <c r="I145" s="73"/>
      <c r="J145" s="43"/>
      <c r="K145" s="43"/>
      <c r="L145" s="43"/>
      <c r="M145" s="43"/>
      <c r="N145" s="111"/>
      <c r="O145" s="43"/>
      <c r="P145" s="48"/>
      <c r="Q145" s="49"/>
      <c r="R145" s="37"/>
      <c r="S145" s="37"/>
      <c r="T145" s="37"/>
      <c r="U145" s="37"/>
      <c r="V145" s="59"/>
      <c r="W145" s="49"/>
      <c r="X145" s="37"/>
      <c r="Y145" s="37"/>
      <c r="Z145" s="37"/>
      <c r="AA145" s="37"/>
      <c r="AB145" s="37"/>
      <c r="AC145" s="37"/>
      <c r="AD145" s="37"/>
      <c r="AE145" s="37"/>
      <c r="AF145" s="37"/>
      <c r="AG145" s="59"/>
      <c r="AH145" s="49"/>
      <c r="AI145" s="37"/>
      <c r="AJ145" s="37"/>
      <c r="AK145" s="37"/>
      <c r="AL145" s="37"/>
      <c r="AM145" s="37"/>
      <c r="AN145" s="37"/>
      <c r="AO145" s="37"/>
      <c r="AP145" s="37"/>
      <c r="AQ145" s="37"/>
      <c r="AR145" s="37"/>
      <c r="AS145" s="37"/>
      <c r="AT145" s="37"/>
      <c r="AU145" s="37"/>
      <c r="AV145" s="59"/>
      <c r="AW145" s="1" t="str">
        <f>_xlfn.CONCAT(tbl_Ben_Info[[#This Row],[First Name]]," ",tbl_Ben_Info[[#This Row],[Father Name]]," ",tbl_Ben_Info[[#This Row],[Family Name]])</f>
        <v xml:space="preserve">  </v>
      </c>
    </row>
    <row r="146" spans="2:49" ht="25.15" customHeight="1" x14ac:dyDescent="0.25">
      <c r="B146" s="49">
        <v>141</v>
      </c>
      <c r="C146" s="1" t="str">
        <f>_xlfn.CONCAT("181-702-",IF(tbl_Ben_Info[[#This Row],[SN]]&lt;10,"00"&amp;tbl_Ben_Info[[#This Row],[SN]],IF(tbl_Ben_Info[[#This Row],[SN]]&lt;100,"0"&amp;tbl_Ben_Info[[#This Row],[SN]],tbl_Ben_Info[[#This Row],[SN]])))</f>
        <v>181-702-141</v>
      </c>
      <c r="D146" s="37"/>
      <c r="E146" s="40"/>
      <c r="F146" s="41"/>
      <c r="G146" s="42"/>
      <c r="H146" s="43"/>
      <c r="I146" s="73"/>
      <c r="J146" s="43"/>
      <c r="K146" s="43"/>
      <c r="L146" s="43"/>
      <c r="M146" s="43"/>
      <c r="N146" s="111"/>
      <c r="O146" s="43"/>
      <c r="P146" s="48"/>
      <c r="Q146" s="49"/>
      <c r="R146" s="37"/>
      <c r="S146" s="37"/>
      <c r="T146" s="37"/>
      <c r="U146" s="37"/>
      <c r="V146" s="59"/>
      <c r="W146" s="49"/>
      <c r="X146" s="37"/>
      <c r="Y146" s="37"/>
      <c r="Z146" s="37"/>
      <c r="AA146" s="37"/>
      <c r="AB146" s="37"/>
      <c r="AC146" s="37"/>
      <c r="AD146" s="37"/>
      <c r="AE146" s="37"/>
      <c r="AF146" s="37"/>
      <c r="AG146" s="59"/>
      <c r="AH146" s="49"/>
      <c r="AI146" s="37"/>
      <c r="AJ146" s="37"/>
      <c r="AK146" s="37"/>
      <c r="AL146" s="37"/>
      <c r="AM146" s="37"/>
      <c r="AN146" s="37"/>
      <c r="AO146" s="37"/>
      <c r="AP146" s="37"/>
      <c r="AQ146" s="37"/>
      <c r="AR146" s="37"/>
      <c r="AS146" s="37"/>
      <c r="AT146" s="37"/>
      <c r="AU146" s="37"/>
      <c r="AV146" s="59"/>
      <c r="AW146" s="1" t="str">
        <f>_xlfn.CONCAT(tbl_Ben_Info[[#This Row],[First Name]]," ",tbl_Ben_Info[[#This Row],[Father Name]]," ",tbl_Ben_Info[[#This Row],[Family Name]])</f>
        <v xml:space="preserve">  </v>
      </c>
    </row>
    <row r="147" spans="2:49" ht="25.15" customHeight="1" x14ac:dyDescent="0.25">
      <c r="B147" s="49">
        <v>142</v>
      </c>
      <c r="C147" s="1" t="str">
        <f>_xlfn.CONCAT("181-702-",IF(tbl_Ben_Info[[#This Row],[SN]]&lt;10,"00"&amp;tbl_Ben_Info[[#This Row],[SN]],IF(tbl_Ben_Info[[#This Row],[SN]]&lt;100,"0"&amp;tbl_Ben_Info[[#This Row],[SN]],tbl_Ben_Info[[#This Row],[SN]])))</f>
        <v>181-702-142</v>
      </c>
      <c r="D147" s="37"/>
      <c r="E147" s="40"/>
      <c r="F147" s="41"/>
      <c r="G147" s="42"/>
      <c r="H147" s="43"/>
      <c r="I147" s="73"/>
      <c r="J147" s="43"/>
      <c r="K147" s="43"/>
      <c r="L147" s="43"/>
      <c r="M147" s="43"/>
      <c r="N147" s="111"/>
      <c r="O147" s="43"/>
      <c r="P147" s="48"/>
      <c r="Q147" s="49"/>
      <c r="R147" s="37"/>
      <c r="S147" s="37"/>
      <c r="T147" s="37"/>
      <c r="U147" s="37"/>
      <c r="V147" s="59"/>
      <c r="W147" s="49"/>
      <c r="X147" s="37"/>
      <c r="Y147" s="37"/>
      <c r="Z147" s="37"/>
      <c r="AA147" s="37"/>
      <c r="AB147" s="37"/>
      <c r="AC147" s="37"/>
      <c r="AD147" s="37"/>
      <c r="AE147" s="37"/>
      <c r="AF147" s="37"/>
      <c r="AG147" s="59"/>
      <c r="AH147" s="49"/>
      <c r="AI147" s="37"/>
      <c r="AJ147" s="37"/>
      <c r="AK147" s="37"/>
      <c r="AL147" s="37"/>
      <c r="AM147" s="37"/>
      <c r="AN147" s="37"/>
      <c r="AO147" s="37"/>
      <c r="AP147" s="37"/>
      <c r="AQ147" s="37"/>
      <c r="AR147" s="37"/>
      <c r="AS147" s="37"/>
      <c r="AT147" s="37"/>
      <c r="AU147" s="37"/>
      <c r="AV147" s="59"/>
      <c r="AW147" s="1" t="str">
        <f>_xlfn.CONCAT(tbl_Ben_Info[[#This Row],[First Name]]," ",tbl_Ben_Info[[#This Row],[Father Name]]," ",tbl_Ben_Info[[#This Row],[Family Name]])</f>
        <v xml:space="preserve">  </v>
      </c>
    </row>
    <row r="148" spans="2:49" ht="25.15" customHeight="1" x14ac:dyDescent="0.25">
      <c r="B148" s="49">
        <v>143</v>
      </c>
      <c r="C148" s="1" t="str">
        <f>_xlfn.CONCAT("181-702-",IF(tbl_Ben_Info[[#This Row],[SN]]&lt;10,"00"&amp;tbl_Ben_Info[[#This Row],[SN]],IF(tbl_Ben_Info[[#This Row],[SN]]&lt;100,"0"&amp;tbl_Ben_Info[[#This Row],[SN]],tbl_Ben_Info[[#This Row],[SN]])))</f>
        <v>181-702-143</v>
      </c>
      <c r="D148" s="37"/>
      <c r="E148" s="40"/>
      <c r="F148" s="41"/>
      <c r="G148" s="42"/>
      <c r="H148" s="43"/>
      <c r="I148" s="73"/>
      <c r="J148" s="43"/>
      <c r="K148" s="43"/>
      <c r="L148" s="43"/>
      <c r="M148" s="43"/>
      <c r="N148" s="111"/>
      <c r="O148" s="43"/>
      <c r="P148" s="48"/>
      <c r="Q148" s="49"/>
      <c r="R148" s="37"/>
      <c r="S148" s="37"/>
      <c r="T148" s="37"/>
      <c r="U148" s="37"/>
      <c r="V148" s="59"/>
      <c r="W148" s="49"/>
      <c r="X148" s="37"/>
      <c r="Y148" s="37"/>
      <c r="Z148" s="37"/>
      <c r="AA148" s="37"/>
      <c r="AB148" s="37"/>
      <c r="AC148" s="37"/>
      <c r="AD148" s="37"/>
      <c r="AE148" s="37"/>
      <c r="AF148" s="37"/>
      <c r="AG148" s="59"/>
      <c r="AH148" s="49"/>
      <c r="AI148" s="37"/>
      <c r="AJ148" s="37"/>
      <c r="AK148" s="37"/>
      <c r="AL148" s="37"/>
      <c r="AM148" s="37"/>
      <c r="AN148" s="37"/>
      <c r="AO148" s="37"/>
      <c r="AP148" s="37"/>
      <c r="AQ148" s="37"/>
      <c r="AR148" s="37"/>
      <c r="AS148" s="37"/>
      <c r="AT148" s="37"/>
      <c r="AU148" s="37"/>
      <c r="AV148" s="59"/>
      <c r="AW148" s="1" t="str">
        <f>_xlfn.CONCAT(tbl_Ben_Info[[#This Row],[First Name]]," ",tbl_Ben_Info[[#This Row],[Father Name]]," ",tbl_Ben_Info[[#This Row],[Family Name]])</f>
        <v xml:space="preserve">  </v>
      </c>
    </row>
    <row r="149" spans="2:49" ht="25.15" customHeight="1" x14ac:dyDescent="0.25">
      <c r="B149" s="49">
        <v>144</v>
      </c>
      <c r="C149" s="1" t="str">
        <f>_xlfn.CONCAT("181-702-",IF(tbl_Ben_Info[[#This Row],[SN]]&lt;10,"00"&amp;tbl_Ben_Info[[#This Row],[SN]],IF(tbl_Ben_Info[[#This Row],[SN]]&lt;100,"0"&amp;tbl_Ben_Info[[#This Row],[SN]],tbl_Ben_Info[[#This Row],[SN]])))</f>
        <v>181-702-144</v>
      </c>
      <c r="D149" s="37"/>
      <c r="E149" s="40"/>
      <c r="F149" s="41"/>
      <c r="G149" s="42"/>
      <c r="H149" s="43"/>
      <c r="I149" s="73"/>
      <c r="J149" s="43"/>
      <c r="K149" s="43"/>
      <c r="L149" s="43"/>
      <c r="M149" s="43"/>
      <c r="N149" s="111"/>
      <c r="O149" s="43"/>
      <c r="P149" s="48"/>
      <c r="Q149" s="49"/>
      <c r="R149" s="37"/>
      <c r="S149" s="37"/>
      <c r="T149" s="37"/>
      <c r="U149" s="37"/>
      <c r="V149" s="59"/>
      <c r="W149" s="49"/>
      <c r="X149" s="37"/>
      <c r="Y149" s="37"/>
      <c r="Z149" s="37"/>
      <c r="AA149" s="37"/>
      <c r="AB149" s="37"/>
      <c r="AC149" s="37"/>
      <c r="AD149" s="37"/>
      <c r="AE149" s="37"/>
      <c r="AF149" s="37"/>
      <c r="AG149" s="59"/>
      <c r="AH149" s="49"/>
      <c r="AI149" s="37"/>
      <c r="AJ149" s="37"/>
      <c r="AK149" s="37"/>
      <c r="AL149" s="37"/>
      <c r="AM149" s="37"/>
      <c r="AN149" s="37"/>
      <c r="AO149" s="37"/>
      <c r="AP149" s="37"/>
      <c r="AQ149" s="37"/>
      <c r="AR149" s="37"/>
      <c r="AS149" s="37"/>
      <c r="AT149" s="37"/>
      <c r="AU149" s="37"/>
      <c r="AV149" s="59"/>
      <c r="AW149" s="1" t="str">
        <f>_xlfn.CONCAT(tbl_Ben_Info[[#This Row],[First Name]]," ",tbl_Ben_Info[[#This Row],[Father Name]]," ",tbl_Ben_Info[[#This Row],[Family Name]])</f>
        <v xml:space="preserve">  </v>
      </c>
    </row>
    <row r="150" spans="2:49" ht="25.15" customHeight="1" x14ac:dyDescent="0.25">
      <c r="B150" s="49">
        <v>145</v>
      </c>
      <c r="C150" s="1" t="str">
        <f>_xlfn.CONCAT("181-702-",IF(tbl_Ben_Info[[#This Row],[SN]]&lt;10,"00"&amp;tbl_Ben_Info[[#This Row],[SN]],IF(tbl_Ben_Info[[#This Row],[SN]]&lt;100,"0"&amp;tbl_Ben_Info[[#This Row],[SN]],tbl_Ben_Info[[#This Row],[SN]])))</f>
        <v>181-702-145</v>
      </c>
      <c r="D150" s="37"/>
      <c r="E150" s="40"/>
      <c r="F150" s="41"/>
      <c r="G150" s="42"/>
      <c r="H150" s="43"/>
      <c r="I150" s="73"/>
      <c r="J150" s="43"/>
      <c r="K150" s="43"/>
      <c r="L150" s="43"/>
      <c r="M150" s="43"/>
      <c r="N150" s="111"/>
      <c r="O150" s="43"/>
      <c r="P150" s="48"/>
      <c r="Q150" s="49"/>
      <c r="R150" s="37"/>
      <c r="S150" s="37"/>
      <c r="T150" s="37"/>
      <c r="U150" s="37"/>
      <c r="V150" s="59"/>
      <c r="W150" s="49"/>
      <c r="X150" s="37"/>
      <c r="Y150" s="37"/>
      <c r="Z150" s="37"/>
      <c r="AA150" s="37"/>
      <c r="AB150" s="37"/>
      <c r="AC150" s="37"/>
      <c r="AD150" s="37"/>
      <c r="AE150" s="37"/>
      <c r="AF150" s="37"/>
      <c r="AG150" s="59"/>
      <c r="AH150" s="49"/>
      <c r="AI150" s="37"/>
      <c r="AJ150" s="37"/>
      <c r="AK150" s="37"/>
      <c r="AL150" s="37"/>
      <c r="AM150" s="37"/>
      <c r="AN150" s="37"/>
      <c r="AO150" s="37"/>
      <c r="AP150" s="37"/>
      <c r="AQ150" s="37"/>
      <c r="AR150" s="37"/>
      <c r="AS150" s="37"/>
      <c r="AT150" s="37"/>
      <c r="AU150" s="37"/>
      <c r="AV150" s="59"/>
      <c r="AW150" s="1" t="str">
        <f>_xlfn.CONCAT(tbl_Ben_Info[[#This Row],[First Name]]," ",tbl_Ben_Info[[#This Row],[Father Name]]," ",tbl_Ben_Info[[#This Row],[Family Name]])</f>
        <v xml:space="preserve">  </v>
      </c>
    </row>
    <row r="151" spans="2:49" ht="25.15" customHeight="1" x14ac:dyDescent="0.25">
      <c r="B151" s="49">
        <v>146</v>
      </c>
      <c r="C151" s="1" t="str">
        <f>_xlfn.CONCAT("181-702-",IF(tbl_Ben_Info[[#This Row],[SN]]&lt;10,"00"&amp;tbl_Ben_Info[[#This Row],[SN]],IF(tbl_Ben_Info[[#This Row],[SN]]&lt;100,"0"&amp;tbl_Ben_Info[[#This Row],[SN]],tbl_Ben_Info[[#This Row],[SN]])))</f>
        <v>181-702-146</v>
      </c>
      <c r="D151" s="37"/>
      <c r="E151" s="40"/>
      <c r="F151" s="41"/>
      <c r="G151" s="42"/>
      <c r="H151" s="43"/>
      <c r="I151" s="73"/>
      <c r="J151" s="43"/>
      <c r="K151" s="43"/>
      <c r="L151" s="43"/>
      <c r="M151" s="43"/>
      <c r="N151" s="111"/>
      <c r="O151" s="43"/>
      <c r="P151" s="48"/>
      <c r="Q151" s="49"/>
      <c r="R151" s="37"/>
      <c r="S151" s="37"/>
      <c r="T151" s="37"/>
      <c r="U151" s="37"/>
      <c r="V151" s="59"/>
      <c r="W151" s="49"/>
      <c r="X151" s="37"/>
      <c r="Y151" s="37"/>
      <c r="Z151" s="37"/>
      <c r="AA151" s="37"/>
      <c r="AB151" s="37"/>
      <c r="AC151" s="37"/>
      <c r="AD151" s="37"/>
      <c r="AE151" s="37"/>
      <c r="AF151" s="37"/>
      <c r="AG151" s="59"/>
      <c r="AH151" s="49"/>
      <c r="AI151" s="37"/>
      <c r="AJ151" s="37"/>
      <c r="AK151" s="37"/>
      <c r="AL151" s="37"/>
      <c r="AM151" s="37"/>
      <c r="AN151" s="37"/>
      <c r="AO151" s="37"/>
      <c r="AP151" s="37"/>
      <c r="AQ151" s="37"/>
      <c r="AR151" s="37"/>
      <c r="AS151" s="37"/>
      <c r="AT151" s="37"/>
      <c r="AU151" s="37"/>
      <c r="AV151" s="59"/>
      <c r="AW151" s="1" t="str">
        <f>_xlfn.CONCAT(tbl_Ben_Info[[#This Row],[First Name]]," ",tbl_Ben_Info[[#This Row],[Father Name]]," ",tbl_Ben_Info[[#This Row],[Family Name]])</f>
        <v xml:space="preserve">  </v>
      </c>
    </row>
    <row r="152" spans="2:49" ht="25.15" customHeight="1" x14ac:dyDescent="0.25">
      <c r="B152" s="49">
        <v>147</v>
      </c>
      <c r="C152" s="1" t="str">
        <f>_xlfn.CONCAT("181-702-",IF(tbl_Ben_Info[[#This Row],[SN]]&lt;10,"00"&amp;tbl_Ben_Info[[#This Row],[SN]],IF(tbl_Ben_Info[[#This Row],[SN]]&lt;100,"0"&amp;tbl_Ben_Info[[#This Row],[SN]],tbl_Ben_Info[[#This Row],[SN]])))</f>
        <v>181-702-147</v>
      </c>
      <c r="D152" s="37"/>
      <c r="E152" s="40"/>
      <c r="F152" s="41"/>
      <c r="G152" s="42"/>
      <c r="H152" s="43"/>
      <c r="I152" s="73"/>
      <c r="J152" s="43"/>
      <c r="K152" s="43"/>
      <c r="L152" s="43"/>
      <c r="M152" s="43"/>
      <c r="N152" s="111"/>
      <c r="O152" s="43"/>
      <c r="P152" s="48"/>
      <c r="Q152" s="49"/>
      <c r="R152" s="37"/>
      <c r="S152" s="37"/>
      <c r="T152" s="37"/>
      <c r="U152" s="37"/>
      <c r="V152" s="59"/>
      <c r="W152" s="49"/>
      <c r="X152" s="37"/>
      <c r="Y152" s="37"/>
      <c r="Z152" s="37"/>
      <c r="AA152" s="37"/>
      <c r="AB152" s="37"/>
      <c r="AC152" s="37"/>
      <c r="AD152" s="37"/>
      <c r="AE152" s="37"/>
      <c r="AF152" s="37"/>
      <c r="AG152" s="59"/>
      <c r="AH152" s="49"/>
      <c r="AI152" s="37"/>
      <c r="AJ152" s="37"/>
      <c r="AK152" s="37"/>
      <c r="AL152" s="37"/>
      <c r="AM152" s="37"/>
      <c r="AN152" s="37"/>
      <c r="AO152" s="37"/>
      <c r="AP152" s="37"/>
      <c r="AQ152" s="37"/>
      <c r="AR152" s="37"/>
      <c r="AS152" s="37"/>
      <c r="AT152" s="37"/>
      <c r="AU152" s="37"/>
      <c r="AV152" s="59"/>
      <c r="AW152" s="1" t="str">
        <f>_xlfn.CONCAT(tbl_Ben_Info[[#This Row],[First Name]]," ",tbl_Ben_Info[[#This Row],[Father Name]]," ",tbl_Ben_Info[[#This Row],[Family Name]])</f>
        <v xml:space="preserve">  </v>
      </c>
    </row>
    <row r="153" spans="2:49" ht="25.15" customHeight="1" x14ac:dyDescent="0.25">
      <c r="B153" s="49">
        <v>148</v>
      </c>
      <c r="C153" s="1" t="str">
        <f>_xlfn.CONCAT("181-702-",IF(tbl_Ben_Info[[#This Row],[SN]]&lt;10,"00"&amp;tbl_Ben_Info[[#This Row],[SN]],IF(tbl_Ben_Info[[#This Row],[SN]]&lt;100,"0"&amp;tbl_Ben_Info[[#This Row],[SN]],tbl_Ben_Info[[#This Row],[SN]])))</f>
        <v>181-702-148</v>
      </c>
      <c r="D153" s="37"/>
      <c r="E153" s="40"/>
      <c r="F153" s="41"/>
      <c r="G153" s="42"/>
      <c r="H153" s="43"/>
      <c r="I153" s="73"/>
      <c r="J153" s="43"/>
      <c r="K153" s="43"/>
      <c r="L153" s="43"/>
      <c r="M153" s="43"/>
      <c r="N153" s="111"/>
      <c r="O153" s="43"/>
      <c r="P153" s="48"/>
      <c r="Q153" s="49"/>
      <c r="R153" s="37"/>
      <c r="S153" s="37"/>
      <c r="T153" s="37"/>
      <c r="U153" s="37"/>
      <c r="V153" s="59"/>
      <c r="W153" s="49"/>
      <c r="X153" s="37"/>
      <c r="Y153" s="37"/>
      <c r="Z153" s="37"/>
      <c r="AA153" s="37"/>
      <c r="AB153" s="37"/>
      <c r="AC153" s="37"/>
      <c r="AD153" s="37"/>
      <c r="AE153" s="37"/>
      <c r="AF153" s="37"/>
      <c r="AG153" s="59"/>
      <c r="AH153" s="49"/>
      <c r="AI153" s="37"/>
      <c r="AJ153" s="37"/>
      <c r="AK153" s="37"/>
      <c r="AL153" s="37"/>
      <c r="AM153" s="37"/>
      <c r="AN153" s="37"/>
      <c r="AO153" s="37"/>
      <c r="AP153" s="37"/>
      <c r="AQ153" s="37"/>
      <c r="AR153" s="37"/>
      <c r="AS153" s="37"/>
      <c r="AT153" s="37"/>
      <c r="AU153" s="37"/>
      <c r="AV153" s="59"/>
      <c r="AW153" s="1" t="str">
        <f>_xlfn.CONCAT(tbl_Ben_Info[[#This Row],[First Name]]," ",tbl_Ben_Info[[#This Row],[Father Name]]," ",tbl_Ben_Info[[#This Row],[Family Name]])</f>
        <v xml:space="preserve">  </v>
      </c>
    </row>
    <row r="154" spans="2:49" ht="25.15" customHeight="1" x14ac:dyDescent="0.25">
      <c r="B154" s="49">
        <v>149</v>
      </c>
      <c r="C154" s="1" t="str">
        <f>_xlfn.CONCAT("181-702-",IF(tbl_Ben_Info[[#This Row],[SN]]&lt;10,"00"&amp;tbl_Ben_Info[[#This Row],[SN]],IF(tbl_Ben_Info[[#This Row],[SN]]&lt;100,"0"&amp;tbl_Ben_Info[[#This Row],[SN]],tbl_Ben_Info[[#This Row],[SN]])))</f>
        <v>181-702-149</v>
      </c>
      <c r="D154" s="37"/>
      <c r="E154" s="40"/>
      <c r="F154" s="41"/>
      <c r="G154" s="42"/>
      <c r="H154" s="43"/>
      <c r="I154" s="73"/>
      <c r="J154" s="43"/>
      <c r="K154" s="43"/>
      <c r="L154" s="43"/>
      <c r="M154" s="43"/>
      <c r="N154" s="111"/>
      <c r="O154" s="43"/>
      <c r="P154" s="48"/>
      <c r="Q154" s="49"/>
      <c r="R154" s="37"/>
      <c r="S154" s="37"/>
      <c r="T154" s="37"/>
      <c r="U154" s="37"/>
      <c r="V154" s="59"/>
      <c r="W154" s="49"/>
      <c r="X154" s="37"/>
      <c r="Y154" s="37"/>
      <c r="Z154" s="37"/>
      <c r="AA154" s="37"/>
      <c r="AB154" s="37"/>
      <c r="AC154" s="37"/>
      <c r="AD154" s="37"/>
      <c r="AE154" s="37"/>
      <c r="AF154" s="37"/>
      <c r="AG154" s="59"/>
      <c r="AH154" s="49"/>
      <c r="AI154" s="37"/>
      <c r="AJ154" s="37"/>
      <c r="AK154" s="37"/>
      <c r="AL154" s="37"/>
      <c r="AM154" s="37"/>
      <c r="AN154" s="37"/>
      <c r="AO154" s="37"/>
      <c r="AP154" s="37"/>
      <c r="AQ154" s="37"/>
      <c r="AR154" s="37"/>
      <c r="AS154" s="37"/>
      <c r="AT154" s="37"/>
      <c r="AU154" s="37"/>
      <c r="AV154" s="59"/>
      <c r="AW154" s="1" t="str">
        <f>_xlfn.CONCAT(tbl_Ben_Info[[#This Row],[First Name]]," ",tbl_Ben_Info[[#This Row],[Father Name]]," ",tbl_Ben_Info[[#This Row],[Family Name]])</f>
        <v xml:space="preserve">  </v>
      </c>
    </row>
    <row r="155" spans="2:49" ht="25.15" customHeight="1" x14ac:dyDescent="0.25">
      <c r="B155" s="49">
        <v>150</v>
      </c>
      <c r="C155" s="1" t="str">
        <f>_xlfn.CONCAT("181-702-",IF(tbl_Ben_Info[[#This Row],[SN]]&lt;10,"00"&amp;tbl_Ben_Info[[#This Row],[SN]],IF(tbl_Ben_Info[[#This Row],[SN]]&lt;100,"0"&amp;tbl_Ben_Info[[#This Row],[SN]],tbl_Ben_Info[[#This Row],[SN]])))</f>
        <v>181-702-150</v>
      </c>
      <c r="D155" s="37"/>
      <c r="E155" s="40"/>
      <c r="F155" s="41"/>
      <c r="G155" s="42"/>
      <c r="H155" s="43"/>
      <c r="I155" s="73"/>
      <c r="J155" s="43"/>
      <c r="K155" s="43"/>
      <c r="L155" s="43"/>
      <c r="M155" s="43"/>
      <c r="N155" s="111"/>
      <c r="O155" s="43"/>
      <c r="P155" s="48"/>
      <c r="Q155" s="49"/>
      <c r="R155" s="37"/>
      <c r="S155" s="37"/>
      <c r="T155" s="37"/>
      <c r="U155" s="37"/>
      <c r="V155" s="59"/>
      <c r="W155" s="49"/>
      <c r="X155" s="37"/>
      <c r="Y155" s="37"/>
      <c r="Z155" s="37"/>
      <c r="AA155" s="37"/>
      <c r="AB155" s="37"/>
      <c r="AC155" s="37"/>
      <c r="AD155" s="37"/>
      <c r="AE155" s="37"/>
      <c r="AF155" s="37"/>
      <c r="AG155" s="59"/>
      <c r="AH155" s="49"/>
      <c r="AI155" s="37"/>
      <c r="AJ155" s="37"/>
      <c r="AK155" s="37"/>
      <c r="AL155" s="37"/>
      <c r="AM155" s="37"/>
      <c r="AN155" s="37"/>
      <c r="AO155" s="37"/>
      <c r="AP155" s="37"/>
      <c r="AQ155" s="37"/>
      <c r="AR155" s="37"/>
      <c r="AS155" s="37"/>
      <c r="AT155" s="37"/>
      <c r="AU155" s="37"/>
      <c r="AV155" s="59"/>
      <c r="AW155" s="1" t="str">
        <f>_xlfn.CONCAT(tbl_Ben_Info[[#This Row],[First Name]]," ",tbl_Ben_Info[[#This Row],[Father Name]]," ",tbl_Ben_Info[[#This Row],[Family Name]])</f>
        <v xml:space="preserve">  </v>
      </c>
    </row>
    <row r="156" spans="2:49" ht="25.15" customHeight="1" x14ac:dyDescent="0.25">
      <c r="B156" s="49">
        <v>151</v>
      </c>
      <c r="C156" s="1" t="str">
        <f>_xlfn.CONCAT("181-702-",IF(tbl_Ben_Info[[#This Row],[SN]]&lt;10,"00"&amp;tbl_Ben_Info[[#This Row],[SN]],IF(tbl_Ben_Info[[#This Row],[SN]]&lt;100,"0"&amp;tbl_Ben_Info[[#This Row],[SN]],tbl_Ben_Info[[#This Row],[SN]])))</f>
        <v>181-702-151</v>
      </c>
      <c r="D156" s="37"/>
      <c r="E156" s="40"/>
      <c r="F156" s="41"/>
      <c r="G156" s="42"/>
      <c r="H156" s="43"/>
      <c r="I156" s="73"/>
      <c r="J156" s="43"/>
      <c r="K156" s="43"/>
      <c r="L156" s="43"/>
      <c r="M156" s="43"/>
      <c r="N156" s="111"/>
      <c r="O156" s="43"/>
      <c r="P156" s="48"/>
      <c r="Q156" s="49"/>
      <c r="R156" s="37"/>
      <c r="S156" s="37"/>
      <c r="T156" s="37"/>
      <c r="U156" s="37"/>
      <c r="V156" s="59"/>
      <c r="W156" s="49"/>
      <c r="X156" s="37"/>
      <c r="Y156" s="37"/>
      <c r="Z156" s="37"/>
      <c r="AA156" s="37"/>
      <c r="AB156" s="37"/>
      <c r="AC156" s="37"/>
      <c r="AD156" s="37"/>
      <c r="AE156" s="37"/>
      <c r="AF156" s="37"/>
      <c r="AG156" s="59"/>
      <c r="AH156" s="49"/>
      <c r="AI156" s="37"/>
      <c r="AJ156" s="37"/>
      <c r="AK156" s="37"/>
      <c r="AL156" s="37"/>
      <c r="AM156" s="37"/>
      <c r="AN156" s="37"/>
      <c r="AO156" s="37"/>
      <c r="AP156" s="37"/>
      <c r="AQ156" s="37"/>
      <c r="AR156" s="37"/>
      <c r="AS156" s="37"/>
      <c r="AT156" s="37"/>
      <c r="AU156" s="37"/>
      <c r="AV156" s="59"/>
      <c r="AW156" s="1" t="str">
        <f>_xlfn.CONCAT(tbl_Ben_Info[[#This Row],[First Name]]," ",tbl_Ben_Info[[#This Row],[Father Name]]," ",tbl_Ben_Info[[#This Row],[Family Name]])</f>
        <v xml:space="preserve">  </v>
      </c>
    </row>
    <row r="157" spans="2:49" ht="25.15" customHeight="1" x14ac:dyDescent="0.25">
      <c r="B157" s="49">
        <v>152</v>
      </c>
      <c r="C157" s="1" t="str">
        <f>_xlfn.CONCAT("181-702-",IF(tbl_Ben_Info[[#This Row],[SN]]&lt;10,"00"&amp;tbl_Ben_Info[[#This Row],[SN]],IF(tbl_Ben_Info[[#This Row],[SN]]&lt;100,"0"&amp;tbl_Ben_Info[[#This Row],[SN]],tbl_Ben_Info[[#This Row],[SN]])))</f>
        <v>181-702-152</v>
      </c>
      <c r="D157" s="37"/>
      <c r="E157" s="40"/>
      <c r="F157" s="41"/>
      <c r="G157" s="42"/>
      <c r="H157" s="43"/>
      <c r="I157" s="73"/>
      <c r="J157" s="43"/>
      <c r="K157" s="43"/>
      <c r="L157" s="43"/>
      <c r="M157" s="43"/>
      <c r="N157" s="111"/>
      <c r="O157" s="43"/>
      <c r="P157" s="48"/>
      <c r="Q157" s="49"/>
      <c r="R157" s="37"/>
      <c r="S157" s="37"/>
      <c r="T157" s="37"/>
      <c r="U157" s="37"/>
      <c r="V157" s="59"/>
      <c r="W157" s="49"/>
      <c r="X157" s="37"/>
      <c r="Y157" s="37"/>
      <c r="Z157" s="37"/>
      <c r="AA157" s="37"/>
      <c r="AB157" s="37"/>
      <c r="AC157" s="37"/>
      <c r="AD157" s="37"/>
      <c r="AE157" s="37"/>
      <c r="AF157" s="37"/>
      <c r="AG157" s="59"/>
      <c r="AH157" s="49"/>
      <c r="AI157" s="37"/>
      <c r="AJ157" s="37"/>
      <c r="AK157" s="37"/>
      <c r="AL157" s="37"/>
      <c r="AM157" s="37"/>
      <c r="AN157" s="37"/>
      <c r="AO157" s="37"/>
      <c r="AP157" s="37"/>
      <c r="AQ157" s="37"/>
      <c r="AR157" s="37"/>
      <c r="AS157" s="37"/>
      <c r="AT157" s="37"/>
      <c r="AU157" s="37"/>
      <c r="AV157" s="59"/>
      <c r="AW157" s="1" t="str">
        <f>_xlfn.CONCAT(tbl_Ben_Info[[#This Row],[First Name]]," ",tbl_Ben_Info[[#This Row],[Father Name]]," ",tbl_Ben_Info[[#This Row],[Family Name]])</f>
        <v xml:space="preserve">  </v>
      </c>
    </row>
    <row r="158" spans="2:49" ht="25.15" customHeight="1" x14ac:dyDescent="0.25">
      <c r="B158" s="49">
        <v>153</v>
      </c>
      <c r="C158" s="1" t="str">
        <f>_xlfn.CONCAT("181-702-",IF(tbl_Ben_Info[[#This Row],[SN]]&lt;10,"00"&amp;tbl_Ben_Info[[#This Row],[SN]],IF(tbl_Ben_Info[[#This Row],[SN]]&lt;100,"0"&amp;tbl_Ben_Info[[#This Row],[SN]],tbl_Ben_Info[[#This Row],[SN]])))</f>
        <v>181-702-153</v>
      </c>
      <c r="D158" s="37"/>
      <c r="E158" s="40"/>
      <c r="F158" s="41"/>
      <c r="G158" s="42"/>
      <c r="H158" s="43"/>
      <c r="I158" s="73"/>
      <c r="J158" s="43"/>
      <c r="K158" s="43"/>
      <c r="L158" s="43"/>
      <c r="M158" s="43"/>
      <c r="N158" s="111"/>
      <c r="O158" s="43"/>
      <c r="P158" s="48"/>
      <c r="Q158" s="49"/>
      <c r="R158" s="37"/>
      <c r="S158" s="37"/>
      <c r="T158" s="37"/>
      <c r="U158" s="37"/>
      <c r="V158" s="59"/>
      <c r="W158" s="49"/>
      <c r="X158" s="37"/>
      <c r="Y158" s="37"/>
      <c r="Z158" s="37"/>
      <c r="AA158" s="37"/>
      <c r="AB158" s="37"/>
      <c r="AC158" s="37"/>
      <c r="AD158" s="37"/>
      <c r="AE158" s="37"/>
      <c r="AF158" s="37"/>
      <c r="AG158" s="59"/>
      <c r="AH158" s="49"/>
      <c r="AI158" s="37"/>
      <c r="AJ158" s="37"/>
      <c r="AK158" s="37"/>
      <c r="AL158" s="37"/>
      <c r="AM158" s="37"/>
      <c r="AN158" s="37"/>
      <c r="AO158" s="37"/>
      <c r="AP158" s="37"/>
      <c r="AQ158" s="37"/>
      <c r="AR158" s="37"/>
      <c r="AS158" s="37"/>
      <c r="AT158" s="37"/>
      <c r="AU158" s="37"/>
      <c r="AV158" s="59"/>
      <c r="AW158" s="1" t="str">
        <f>_xlfn.CONCAT(tbl_Ben_Info[[#This Row],[First Name]]," ",tbl_Ben_Info[[#This Row],[Father Name]]," ",tbl_Ben_Info[[#This Row],[Family Name]])</f>
        <v xml:space="preserve">  </v>
      </c>
    </row>
    <row r="159" spans="2:49" ht="25.15" customHeight="1" x14ac:dyDescent="0.25">
      <c r="B159" s="49">
        <v>154</v>
      </c>
      <c r="C159" s="1" t="str">
        <f>_xlfn.CONCAT("181-702-",IF(tbl_Ben_Info[[#This Row],[SN]]&lt;10,"00"&amp;tbl_Ben_Info[[#This Row],[SN]],IF(tbl_Ben_Info[[#This Row],[SN]]&lt;100,"0"&amp;tbl_Ben_Info[[#This Row],[SN]],tbl_Ben_Info[[#This Row],[SN]])))</f>
        <v>181-702-154</v>
      </c>
      <c r="D159" s="37"/>
      <c r="E159" s="40"/>
      <c r="F159" s="41"/>
      <c r="G159" s="42"/>
      <c r="H159" s="43"/>
      <c r="I159" s="73"/>
      <c r="J159" s="43"/>
      <c r="K159" s="43"/>
      <c r="L159" s="43"/>
      <c r="M159" s="43"/>
      <c r="N159" s="111"/>
      <c r="O159" s="43"/>
      <c r="P159" s="48"/>
      <c r="Q159" s="49"/>
      <c r="R159" s="37"/>
      <c r="S159" s="37"/>
      <c r="T159" s="37"/>
      <c r="U159" s="37"/>
      <c r="V159" s="59"/>
      <c r="W159" s="49"/>
      <c r="X159" s="37"/>
      <c r="Y159" s="37"/>
      <c r="Z159" s="37"/>
      <c r="AA159" s="37"/>
      <c r="AB159" s="37"/>
      <c r="AC159" s="37"/>
      <c r="AD159" s="37"/>
      <c r="AE159" s="37"/>
      <c r="AF159" s="37"/>
      <c r="AG159" s="59"/>
      <c r="AH159" s="49"/>
      <c r="AI159" s="37"/>
      <c r="AJ159" s="37"/>
      <c r="AK159" s="37"/>
      <c r="AL159" s="37"/>
      <c r="AM159" s="37"/>
      <c r="AN159" s="37"/>
      <c r="AO159" s="37"/>
      <c r="AP159" s="37"/>
      <c r="AQ159" s="37"/>
      <c r="AR159" s="37"/>
      <c r="AS159" s="37"/>
      <c r="AT159" s="37"/>
      <c r="AU159" s="37"/>
      <c r="AV159" s="59"/>
      <c r="AW159" s="1" t="str">
        <f>_xlfn.CONCAT(tbl_Ben_Info[[#This Row],[First Name]]," ",tbl_Ben_Info[[#This Row],[Father Name]]," ",tbl_Ben_Info[[#This Row],[Family Name]])</f>
        <v xml:space="preserve">  </v>
      </c>
    </row>
    <row r="160" spans="2:49" ht="25.15" customHeight="1" x14ac:dyDescent="0.25">
      <c r="B160" s="49">
        <v>155</v>
      </c>
      <c r="C160" s="1" t="str">
        <f>_xlfn.CONCAT("181-702-",IF(tbl_Ben_Info[[#This Row],[SN]]&lt;10,"00"&amp;tbl_Ben_Info[[#This Row],[SN]],IF(tbl_Ben_Info[[#This Row],[SN]]&lt;100,"0"&amp;tbl_Ben_Info[[#This Row],[SN]],tbl_Ben_Info[[#This Row],[SN]])))</f>
        <v>181-702-155</v>
      </c>
      <c r="D160" s="37"/>
      <c r="E160" s="40"/>
      <c r="F160" s="41"/>
      <c r="G160" s="42"/>
      <c r="H160" s="43"/>
      <c r="I160" s="73"/>
      <c r="J160" s="43"/>
      <c r="K160" s="43"/>
      <c r="L160" s="43"/>
      <c r="M160" s="43"/>
      <c r="N160" s="111"/>
      <c r="O160" s="43"/>
      <c r="P160" s="48"/>
      <c r="Q160" s="49"/>
      <c r="R160" s="37"/>
      <c r="S160" s="37"/>
      <c r="T160" s="37"/>
      <c r="U160" s="37"/>
      <c r="V160" s="59"/>
      <c r="W160" s="49"/>
      <c r="X160" s="37"/>
      <c r="Y160" s="37"/>
      <c r="Z160" s="37"/>
      <c r="AA160" s="37"/>
      <c r="AB160" s="37"/>
      <c r="AC160" s="37"/>
      <c r="AD160" s="37"/>
      <c r="AE160" s="37"/>
      <c r="AF160" s="37"/>
      <c r="AG160" s="59"/>
      <c r="AH160" s="49"/>
      <c r="AI160" s="37"/>
      <c r="AJ160" s="37"/>
      <c r="AK160" s="37"/>
      <c r="AL160" s="37"/>
      <c r="AM160" s="37"/>
      <c r="AN160" s="37"/>
      <c r="AO160" s="37"/>
      <c r="AP160" s="37"/>
      <c r="AQ160" s="37"/>
      <c r="AR160" s="37"/>
      <c r="AS160" s="37"/>
      <c r="AT160" s="37"/>
      <c r="AU160" s="37"/>
      <c r="AV160" s="59"/>
      <c r="AW160" s="1" t="str">
        <f>_xlfn.CONCAT(tbl_Ben_Info[[#This Row],[First Name]]," ",tbl_Ben_Info[[#This Row],[Father Name]]," ",tbl_Ben_Info[[#This Row],[Family Name]])</f>
        <v xml:space="preserve">  </v>
      </c>
    </row>
    <row r="161" spans="2:49" ht="25.15" customHeight="1" x14ac:dyDescent="0.25">
      <c r="B161" s="49">
        <v>156</v>
      </c>
      <c r="C161" s="1" t="str">
        <f>_xlfn.CONCAT("181-702-",IF(tbl_Ben_Info[[#This Row],[SN]]&lt;10,"00"&amp;tbl_Ben_Info[[#This Row],[SN]],IF(tbl_Ben_Info[[#This Row],[SN]]&lt;100,"0"&amp;tbl_Ben_Info[[#This Row],[SN]],tbl_Ben_Info[[#This Row],[SN]])))</f>
        <v>181-702-156</v>
      </c>
      <c r="D161" s="37"/>
      <c r="E161" s="40"/>
      <c r="F161" s="41"/>
      <c r="G161" s="42"/>
      <c r="H161" s="43"/>
      <c r="I161" s="73"/>
      <c r="J161" s="43"/>
      <c r="K161" s="43"/>
      <c r="L161" s="43"/>
      <c r="M161" s="43"/>
      <c r="N161" s="111"/>
      <c r="O161" s="43"/>
      <c r="P161" s="48"/>
      <c r="Q161" s="49"/>
      <c r="R161" s="37"/>
      <c r="S161" s="37"/>
      <c r="T161" s="37"/>
      <c r="U161" s="37"/>
      <c r="V161" s="59"/>
      <c r="W161" s="49"/>
      <c r="X161" s="37"/>
      <c r="Y161" s="37"/>
      <c r="Z161" s="37"/>
      <c r="AA161" s="37"/>
      <c r="AB161" s="37"/>
      <c r="AC161" s="37"/>
      <c r="AD161" s="37"/>
      <c r="AE161" s="37"/>
      <c r="AF161" s="37"/>
      <c r="AG161" s="59"/>
      <c r="AH161" s="49"/>
      <c r="AI161" s="37"/>
      <c r="AJ161" s="37"/>
      <c r="AK161" s="37"/>
      <c r="AL161" s="37"/>
      <c r="AM161" s="37"/>
      <c r="AN161" s="37"/>
      <c r="AO161" s="37"/>
      <c r="AP161" s="37"/>
      <c r="AQ161" s="37"/>
      <c r="AR161" s="37"/>
      <c r="AS161" s="37"/>
      <c r="AT161" s="37"/>
      <c r="AU161" s="37"/>
      <c r="AV161" s="59"/>
      <c r="AW161" s="1" t="str">
        <f>_xlfn.CONCAT(tbl_Ben_Info[[#This Row],[First Name]]," ",tbl_Ben_Info[[#This Row],[Father Name]]," ",tbl_Ben_Info[[#This Row],[Family Name]])</f>
        <v xml:space="preserve">  </v>
      </c>
    </row>
    <row r="162" spans="2:49" ht="25.15" customHeight="1" x14ac:dyDescent="0.25">
      <c r="B162" s="49">
        <v>157</v>
      </c>
      <c r="C162" s="1" t="str">
        <f>_xlfn.CONCAT("181-702-",IF(tbl_Ben_Info[[#This Row],[SN]]&lt;10,"00"&amp;tbl_Ben_Info[[#This Row],[SN]],IF(tbl_Ben_Info[[#This Row],[SN]]&lt;100,"0"&amp;tbl_Ben_Info[[#This Row],[SN]],tbl_Ben_Info[[#This Row],[SN]])))</f>
        <v>181-702-157</v>
      </c>
      <c r="D162" s="37"/>
      <c r="E162" s="40"/>
      <c r="F162" s="41"/>
      <c r="G162" s="42"/>
      <c r="H162" s="43"/>
      <c r="I162" s="73"/>
      <c r="J162" s="43"/>
      <c r="K162" s="43"/>
      <c r="L162" s="43"/>
      <c r="M162" s="43"/>
      <c r="N162" s="111"/>
      <c r="O162" s="43"/>
      <c r="P162" s="48"/>
      <c r="Q162" s="49"/>
      <c r="R162" s="37"/>
      <c r="S162" s="37"/>
      <c r="T162" s="37"/>
      <c r="U162" s="37"/>
      <c r="V162" s="59"/>
      <c r="W162" s="49"/>
      <c r="X162" s="37"/>
      <c r="Y162" s="37"/>
      <c r="Z162" s="37"/>
      <c r="AA162" s="37"/>
      <c r="AB162" s="37"/>
      <c r="AC162" s="37"/>
      <c r="AD162" s="37"/>
      <c r="AE162" s="37"/>
      <c r="AF162" s="37"/>
      <c r="AG162" s="59"/>
      <c r="AH162" s="49"/>
      <c r="AI162" s="37"/>
      <c r="AJ162" s="37"/>
      <c r="AK162" s="37"/>
      <c r="AL162" s="37"/>
      <c r="AM162" s="37"/>
      <c r="AN162" s="37"/>
      <c r="AO162" s="37"/>
      <c r="AP162" s="37"/>
      <c r="AQ162" s="37"/>
      <c r="AR162" s="37"/>
      <c r="AS162" s="37"/>
      <c r="AT162" s="37"/>
      <c r="AU162" s="37"/>
      <c r="AV162" s="59"/>
      <c r="AW162" s="1" t="str">
        <f>_xlfn.CONCAT(tbl_Ben_Info[[#This Row],[First Name]]," ",tbl_Ben_Info[[#This Row],[Father Name]]," ",tbl_Ben_Info[[#This Row],[Family Name]])</f>
        <v xml:space="preserve">  </v>
      </c>
    </row>
    <row r="163" spans="2:49" ht="25.15" customHeight="1" x14ac:dyDescent="0.25">
      <c r="B163" s="49">
        <v>158</v>
      </c>
      <c r="C163" s="1" t="str">
        <f>_xlfn.CONCAT("181-702-",IF(tbl_Ben_Info[[#This Row],[SN]]&lt;10,"00"&amp;tbl_Ben_Info[[#This Row],[SN]],IF(tbl_Ben_Info[[#This Row],[SN]]&lt;100,"0"&amp;tbl_Ben_Info[[#This Row],[SN]],tbl_Ben_Info[[#This Row],[SN]])))</f>
        <v>181-702-158</v>
      </c>
      <c r="D163" s="37"/>
      <c r="E163" s="40"/>
      <c r="F163" s="41"/>
      <c r="G163" s="42"/>
      <c r="H163" s="43"/>
      <c r="I163" s="73"/>
      <c r="J163" s="43"/>
      <c r="K163" s="43"/>
      <c r="L163" s="43"/>
      <c r="M163" s="43"/>
      <c r="N163" s="111"/>
      <c r="O163" s="43"/>
      <c r="P163" s="48"/>
      <c r="Q163" s="49"/>
      <c r="R163" s="37"/>
      <c r="S163" s="37"/>
      <c r="T163" s="37"/>
      <c r="U163" s="37"/>
      <c r="V163" s="59"/>
      <c r="W163" s="49"/>
      <c r="X163" s="37"/>
      <c r="Y163" s="37"/>
      <c r="Z163" s="37"/>
      <c r="AA163" s="37"/>
      <c r="AB163" s="37"/>
      <c r="AC163" s="37"/>
      <c r="AD163" s="37"/>
      <c r="AE163" s="37"/>
      <c r="AF163" s="37"/>
      <c r="AG163" s="59"/>
      <c r="AH163" s="49"/>
      <c r="AI163" s="37"/>
      <c r="AJ163" s="37"/>
      <c r="AK163" s="37"/>
      <c r="AL163" s="37"/>
      <c r="AM163" s="37"/>
      <c r="AN163" s="37"/>
      <c r="AO163" s="37"/>
      <c r="AP163" s="37"/>
      <c r="AQ163" s="37"/>
      <c r="AR163" s="37"/>
      <c r="AS163" s="37"/>
      <c r="AT163" s="37"/>
      <c r="AU163" s="37"/>
      <c r="AV163" s="59"/>
      <c r="AW163" s="1" t="str">
        <f>_xlfn.CONCAT(tbl_Ben_Info[[#This Row],[First Name]]," ",tbl_Ben_Info[[#This Row],[Father Name]]," ",tbl_Ben_Info[[#This Row],[Family Name]])</f>
        <v xml:space="preserve">  </v>
      </c>
    </row>
    <row r="164" spans="2:49" ht="25.15" customHeight="1" x14ac:dyDescent="0.25">
      <c r="B164" s="49">
        <v>159</v>
      </c>
      <c r="C164" s="1" t="str">
        <f>_xlfn.CONCAT("181-702-",IF(tbl_Ben_Info[[#This Row],[SN]]&lt;10,"00"&amp;tbl_Ben_Info[[#This Row],[SN]],IF(tbl_Ben_Info[[#This Row],[SN]]&lt;100,"0"&amp;tbl_Ben_Info[[#This Row],[SN]],tbl_Ben_Info[[#This Row],[SN]])))</f>
        <v>181-702-159</v>
      </c>
      <c r="D164" s="37"/>
      <c r="E164" s="40"/>
      <c r="F164" s="41"/>
      <c r="G164" s="42"/>
      <c r="H164" s="43"/>
      <c r="I164" s="73"/>
      <c r="J164" s="43"/>
      <c r="K164" s="43"/>
      <c r="L164" s="43"/>
      <c r="M164" s="43"/>
      <c r="N164" s="111"/>
      <c r="O164" s="43"/>
      <c r="P164" s="48"/>
      <c r="Q164" s="49"/>
      <c r="R164" s="37"/>
      <c r="S164" s="37"/>
      <c r="T164" s="37"/>
      <c r="U164" s="37"/>
      <c r="V164" s="59"/>
      <c r="W164" s="49"/>
      <c r="X164" s="37"/>
      <c r="Y164" s="37"/>
      <c r="Z164" s="37"/>
      <c r="AA164" s="37"/>
      <c r="AB164" s="37"/>
      <c r="AC164" s="37"/>
      <c r="AD164" s="37"/>
      <c r="AE164" s="37"/>
      <c r="AF164" s="37"/>
      <c r="AG164" s="59"/>
      <c r="AH164" s="49"/>
      <c r="AI164" s="37"/>
      <c r="AJ164" s="37"/>
      <c r="AK164" s="37"/>
      <c r="AL164" s="37"/>
      <c r="AM164" s="37"/>
      <c r="AN164" s="37"/>
      <c r="AO164" s="37"/>
      <c r="AP164" s="37"/>
      <c r="AQ164" s="37"/>
      <c r="AR164" s="37"/>
      <c r="AS164" s="37"/>
      <c r="AT164" s="37"/>
      <c r="AU164" s="37"/>
      <c r="AV164" s="59"/>
      <c r="AW164" s="1" t="str">
        <f>_xlfn.CONCAT(tbl_Ben_Info[[#This Row],[First Name]]," ",tbl_Ben_Info[[#This Row],[Father Name]]," ",tbl_Ben_Info[[#This Row],[Family Name]])</f>
        <v xml:space="preserve">  </v>
      </c>
    </row>
    <row r="165" spans="2:49" ht="25.15" customHeight="1" x14ac:dyDescent="0.25">
      <c r="B165" s="49">
        <v>160</v>
      </c>
      <c r="C165" s="1" t="str">
        <f>_xlfn.CONCAT("181-702-",IF(tbl_Ben_Info[[#This Row],[SN]]&lt;10,"00"&amp;tbl_Ben_Info[[#This Row],[SN]],IF(tbl_Ben_Info[[#This Row],[SN]]&lt;100,"0"&amp;tbl_Ben_Info[[#This Row],[SN]],tbl_Ben_Info[[#This Row],[SN]])))</f>
        <v>181-702-160</v>
      </c>
      <c r="D165" s="37"/>
      <c r="E165" s="40"/>
      <c r="F165" s="41"/>
      <c r="G165" s="42"/>
      <c r="H165" s="43"/>
      <c r="I165" s="73"/>
      <c r="J165" s="43"/>
      <c r="K165" s="43"/>
      <c r="L165" s="43"/>
      <c r="M165" s="43"/>
      <c r="N165" s="111"/>
      <c r="O165" s="43"/>
      <c r="P165" s="48"/>
      <c r="Q165" s="49"/>
      <c r="R165" s="37"/>
      <c r="S165" s="37"/>
      <c r="T165" s="37"/>
      <c r="U165" s="37"/>
      <c r="V165" s="59"/>
      <c r="W165" s="49"/>
      <c r="X165" s="37"/>
      <c r="Y165" s="37"/>
      <c r="Z165" s="37"/>
      <c r="AA165" s="37"/>
      <c r="AB165" s="37"/>
      <c r="AC165" s="37"/>
      <c r="AD165" s="37"/>
      <c r="AE165" s="37"/>
      <c r="AF165" s="37"/>
      <c r="AG165" s="59"/>
      <c r="AH165" s="49"/>
      <c r="AI165" s="37"/>
      <c r="AJ165" s="37"/>
      <c r="AK165" s="37"/>
      <c r="AL165" s="37"/>
      <c r="AM165" s="37"/>
      <c r="AN165" s="37"/>
      <c r="AO165" s="37"/>
      <c r="AP165" s="37"/>
      <c r="AQ165" s="37"/>
      <c r="AR165" s="37"/>
      <c r="AS165" s="37"/>
      <c r="AT165" s="37"/>
      <c r="AU165" s="37"/>
      <c r="AV165" s="59"/>
      <c r="AW165" s="1" t="str">
        <f>_xlfn.CONCAT(tbl_Ben_Info[[#This Row],[First Name]]," ",tbl_Ben_Info[[#This Row],[Father Name]]," ",tbl_Ben_Info[[#This Row],[Family Name]])</f>
        <v xml:space="preserve">  </v>
      </c>
    </row>
    <row r="166" spans="2:49" ht="25.15" customHeight="1" x14ac:dyDescent="0.25">
      <c r="B166" s="49">
        <v>161</v>
      </c>
      <c r="C166" s="1" t="str">
        <f>_xlfn.CONCAT("181-702-",IF(tbl_Ben_Info[[#This Row],[SN]]&lt;10,"00"&amp;tbl_Ben_Info[[#This Row],[SN]],IF(tbl_Ben_Info[[#This Row],[SN]]&lt;100,"0"&amp;tbl_Ben_Info[[#This Row],[SN]],tbl_Ben_Info[[#This Row],[SN]])))</f>
        <v>181-702-161</v>
      </c>
      <c r="D166" s="37"/>
      <c r="E166" s="40"/>
      <c r="F166" s="41"/>
      <c r="G166" s="42"/>
      <c r="H166" s="43"/>
      <c r="I166" s="73"/>
      <c r="J166" s="43"/>
      <c r="K166" s="43"/>
      <c r="L166" s="43"/>
      <c r="M166" s="43"/>
      <c r="N166" s="111"/>
      <c r="O166" s="43"/>
      <c r="P166" s="48"/>
      <c r="Q166" s="49"/>
      <c r="R166" s="37"/>
      <c r="S166" s="37"/>
      <c r="T166" s="37"/>
      <c r="U166" s="37"/>
      <c r="V166" s="59"/>
      <c r="W166" s="49"/>
      <c r="X166" s="37"/>
      <c r="Y166" s="37"/>
      <c r="Z166" s="37"/>
      <c r="AA166" s="37"/>
      <c r="AB166" s="37"/>
      <c r="AC166" s="37"/>
      <c r="AD166" s="37"/>
      <c r="AE166" s="37"/>
      <c r="AF166" s="37"/>
      <c r="AG166" s="59"/>
      <c r="AH166" s="49"/>
      <c r="AI166" s="37"/>
      <c r="AJ166" s="37"/>
      <c r="AK166" s="37"/>
      <c r="AL166" s="37"/>
      <c r="AM166" s="37"/>
      <c r="AN166" s="37"/>
      <c r="AO166" s="37"/>
      <c r="AP166" s="37"/>
      <c r="AQ166" s="37"/>
      <c r="AR166" s="37"/>
      <c r="AS166" s="37"/>
      <c r="AT166" s="37"/>
      <c r="AU166" s="37"/>
      <c r="AV166" s="59"/>
      <c r="AW166" s="1" t="str">
        <f>_xlfn.CONCAT(tbl_Ben_Info[[#This Row],[First Name]]," ",tbl_Ben_Info[[#This Row],[Father Name]]," ",tbl_Ben_Info[[#This Row],[Family Name]])</f>
        <v xml:space="preserve">  </v>
      </c>
    </row>
    <row r="167" spans="2:49" ht="25.15" customHeight="1" x14ac:dyDescent="0.25">
      <c r="B167" s="49">
        <v>162</v>
      </c>
      <c r="C167" s="1" t="str">
        <f>_xlfn.CONCAT("181-702-",IF(tbl_Ben_Info[[#This Row],[SN]]&lt;10,"00"&amp;tbl_Ben_Info[[#This Row],[SN]],IF(tbl_Ben_Info[[#This Row],[SN]]&lt;100,"0"&amp;tbl_Ben_Info[[#This Row],[SN]],tbl_Ben_Info[[#This Row],[SN]])))</f>
        <v>181-702-162</v>
      </c>
      <c r="D167" s="37"/>
      <c r="E167" s="40"/>
      <c r="F167" s="41"/>
      <c r="G167" s="42"/>
      <c r="H167" s="43"/>
      <c r="I167" s="73"/>
      <c r="J167" s="43"/>
      <c r="K167" s="43"/>
      <c r="L167" s="43"/>
      <c r="M167" s="43"/>
      <c r="N167" s="111"/>
      <c r="O167" s="43"/>
      <c r="P167" s="48"/>
      <c r="Q167" s="49"/>
      <c r="R167" s="37"/>
      <c r="S167" s="37"/>
      <c r="T167" s="37"/>
      <c r="U167" s="37"/>
      <c r="V167" s="59"/>
      <c r="W167" s="49"/>
      <c r="X167" s="37"/>
      <c r="Y167" s="37"/>
      <c r="Z167" s="37"/>
      <c r="AA167" s="37"/>
      <c r="AB167" s="37"/>
      <c r="AC167" s="37"/>
      <c r="AD167" s="37"/>
      <c r="AE167" s="37"/>
      <c r="AF167" s="37"/>
      <c r="AG167" s="59"/>
      <c r="AH167" s="49"/>
      <c r="AI167" s="37"/>
      <c r="AJ167" s="37"/>
      <c r="AK167" s="37"/>
      <c r="AL167" s="37"/>
      <c r="AM167" s="37"/>
      <c r="AN167" s="37"/>
      <c r="AO167" s="37"/>
      <c r="AP167" s="37"/>
      <c r="AQ167" s="37"/>
      <c r="AR167" s="37"/>
      <c r="AS167" s="37"/>
      <c r="AT167" s="37"/>
      <c r="AU167" s="37"/>
      <c r="AV167" s="59"/>
      <c r="AW167" s="1" t="str">
        <f>_xlfn.CONCAT(tbl_Ben_Info[[#This Row],[First Name]]," ",tbl_Ben_Info[[#This Row],[Father Name]]," ",tbl_Ben_Info[[#This Row],[Family Name]])</f>
        <v xml:space="preserve">  </v>
      </c>
    </row>
    <row r="168" spans="2:49" ht="25.15" customHeight="1" x14ac:dyDescent="0.25">
      <c r="B168" s="49">
        <v>163</v>
      </c>
      <c r="C168" s="1" t="str">
        <f>_xlfn.CONCAT("181-702-",IF(tbl_Ben_Info[[#This Row],[SN]]&lt;10,"00"&amp;tbl_Ben_Info[[#This Row],[SN]],IF(tbl_Ben_Info[[#This Row],[SN]]&lt;100,"0"&amp;tbl_Ben_Info[[#This Row],[SN]],tbl_Ben_Info[[#This Row],[SN]])))</f>
        <v>181-702-163</v>
      </c>
      <c r="D168" s="37"/>
      <c r="E168" s="40"/>
      <c r="F168" s="41"/>
      <c r="G168" s="42"/>
      <c r="H168" s="43"/>
      <c r="I168" s="73"/>
      <c r="J168" s="43"/>
      <c r="K168" s="43"/>
      <c r="L168" s="43"/>
      <c r="M168" s="43"/>
      <c r="N168" s="111"/>
      <c r="O168" s="43"/>
      <c r="P168" s="48"/>
      <c r="Q168" s="49"/>
      <c r="R168" s="37"/>
      <c r="S168" s="37"/>
      <c r="T168" s="37"/>
      <c r="U168" s="37"/>
      <c r="V168" s="59"/>
      <c r="W168" s="49"/>
      <c r="X168" s="37"/>
      <c r="Y168" s="37"/>
      <c r="Z168" s="37"/>
      <c r="AA168" s="37"/>
      <c r="AB168" s="37"/>
      <c r="AC168" s="37"/>
      <c r="AD168" s="37"/>
      <c r="AE168" s="37"/>
      <c r="AF168" s="37"/>
      <c r="AG168" s="59"/>
      <c r="AH168" s="49"/>
      <c r="AI168" s="37"/>
      <c r="AJ168" s="37"/>
      <c r="AK168" s="37"/>
      <c r="AL168" s="37"/>
      <c r="AM168" s="37"/>
      <c r="AN168" s="37"/>
      <c r="AO168" s="37"/>
      <c r="AP168" s="37"/>
      <c r="AQ168" s="37"/>
      <c r="AR168" s="37"/>
      <c r="AS168" s="37"/>
      <c r="AT168" s="37"/>
      <c r="AU168" s="37"/>
      <c r="AV168" s="59"/>
      <c r="AW168" s="1" t="str">
        <f>_xlfn.CONCAT(tbl_Ben_Info[[#This Row],[First Name]]," ",tbl_Ben_Info[[#This Row],[Father Name]]," ",tbl_Ben_Info[[#This Row],[Family Name]])</f>
        <v xml:space="preserve">  </v>
      </c>
    </row>
    <row r="169" spans="2:49" ht="25.15" customHeight="1" x14ac:dyDescent="0.25">
      <c r="B169" s="49">
        <v>164</v>
      </c>
      <c r="C169" s="1" t="str">
        <f>_xlfn.CONCAT("181-702-",IF(tbl_Ben_Info[[#This Row],[SN]]&lt;10,"00"&amp;tbl_Ben_Info[[#This Row],[SN]],IF(tbl_Ben_Info[[#This Row],[SN]]&lt;100,"0"&amp;tbl_Ben_Info[[#This Row],[SN]],tbl_Ben_Info[[#This Row],[SN]])))</f>
        <v>181-702-164</v>
      </c>
      <c r="D169" s="37"/>
      <c r="E169" s="40"/>
      <c r="F169" s="41"/>
      <c r="G169" s="42"/>
      <c r="H169" s="43"/>
      <c r="I169" s="73"/>
      <c r="J169" s="43"/>
      <c r="K169" s="43"/>
      <c r="L169" s="43"/>
      <c r="M169" s="43"/>
      <c r="N169" s="111"/>
      <c r="O169" s="43"/>
      <c r="P169" s="48"/>
      <c r="Q169" s="49"/>
      <c r="R169" s="37"/>
      <c r="S169" s="37"/>
      <c r="T169" s="37"/>
      <c r="U169" s="37"/>
      <c r="V169" s="59"/>
      <c r="W169" s="49"/>
      <c r="X169" s="37"/>
      <c r="Y169" s="37"/>
      <c r="Z169" s="37"/>
      <c r="AA169" s="37"/>
      <c r="AB169" s="37"/>
      <c r="AC169" s="37"/>
      <c r="AD169" s="37"/>
      <c r="AE169" s="37"/>
      <c r="AF169" s="37"/>
      <c r="AG169" s="59"/>
      <c r="AH169" s="49"/>
      <c r="AI169" s="37"/>
      <c r="AJ169" s="37"/>
      <c r="AK169" s="37"/>
      <c r="AL169" s="37"/>
      <c r="AM169" s="37"/>
      <c r="AN169" s="37"/>
      <c r="AO169" s="37"/>
      <c r="AP169" s="37"/>
      <c r="AQ169" s="37"/>
      <c r="AR169" s="37"/>
      <c r="AS169" s="37"/>
      <c r="AT169" s="37"/>
      <c r="AU169" s="37"/>
      <c r="AV169" s="59"/>
      <c r="AW169" s="1" t="str">
        <f>_xlfn.CONCAT(tbl_Ben_Info[[#This Row],[First Name]]," ",tbl_Ben_Info[[#This Row],[Father Name]]," ",tbl_Ben_Info[[#This Row],[Family Name]])</f>
        <v xml:space="preserve">  </v>
      </c>
    </row>
    <row r="170" spans="2:49" ht="25.15" customHeight="1" x14ac:dyDescent="0.25">
      <c r="B170" s="49">
        <v>165</v>
      </c>
      <c r="C170" s="1" t="str">
        <f>_xlfn.CONCAT("181-702-",IF(tbl_Ben_Info[[#This Row],[SN]]&lt;10,"00"&amp;tbl_Ben_Info[[#This Row],[SN]],IF(tbl_Ben_Info[[#This Row],[SN]]&lt;100,"0"&amp;tbl_Ben_Info[[#This Row],[SN]],tbl_Ben_Info[[#This Row],[SN]])))</f>
        <v>181-702-165</v>
      </c>
      <c r="D170" s="37"/>
      <c r="E170" s="40"/>
      <c r="F170" s="41"/>
      <c r="G170" s="42"/>
      <c r="H170" s="43"/>
      <c r="I170" s="73"/>
      <c r="J170" s="43"/>
      <c r="K170" s="43"/>
      <c r="L170" s="43"/>
      <c r="M170" s="43"/>
      <c r="N170" s="111"/>
      <c r="O170" s="43"/>
      <c r="P170" s="48"/>
      <c r="Q170" s="49"/>
      <c r="R170" s="37"/>
      <c r="S170" s="37"/>
      <c r="T170" s="37"/>
      <c r="U170" s="37"/>
      <c r="V170" s="59"/>
      <c r="W170" s="49"/>
      <c r="X170" s="37"/>
      <c r="Y170" s="37"/>
      <c r="Z170" s="37"/>
      <c r="AA170" s="37"/>
      <c r="AB170" s="37"/>
      <c r="AC170" s="37"/>
      <c r="AD170" s="37"/>
      <c r="AE170" s="37"/>
      <c r="AF170" s="37"/>
      <c r="AG170" s="59"/>
      <c r="AH170" s="49"/>
      <c r="AI170" s="37"/>
      <c r="AJ170" s="37"/>
      <c r="AK170" s="37"/>
      <c r="AL170" s="37"/>
      <c r="AM170" s="37"/>
      <c r="AN170" s="37"/>
      <c r="AO170" s="37"/>
      <c r="AP170" s="37"/>
      <c r="AQ170" s="37"/>
      <c r="AR170" s="37"/>
      <c r="AS170" s="37"/>
      <c r="AT170" s="37"/>
      <c r="AU170" s="37"/>
      <c r="AV170" s="59"/>
      <c r="AW170" s="1" t="str">
        <f>_xlfn.CONCAT(tbl_Ben_Info[[#This Row],[First Name]]," ",tbl_Ben_Info[[#This Row],[Father Name]]," ",tbl_Ben_Info[[#This Row],[Family Name]])</f>
        <v xml:space="preserve">  </v>
      </c>
    </row>
    <row r="171" spans="2:49" ht="25.15" customHeight="1" x14ac:dyDescent="0.25">
      <c r="B171" s="49">
        <v>166</v>
      </c>
      <c r="C171" s="1" t="str">
        <f>_xlfn.CONCAT("181-702-",IF(tbl_Ben_Info[[#This Row],[SN]]&lt;10,"00"&amp;tbl_Ben_Info[[#This Row],[SN]],IF(tbl_Ben_Info[[#This Row],[SN]]&lt;100,"0"&amp;tbl_Ben_Info[[#This Row],[SN]],tbl_Ben_Info[[#This Row],[SN]])))</f>
        <v>181-702-166</v>
      </c>
      <c r="D171" s="37"/>
      <c r="E171" s="40"/>
      <c r="F171" s="41"/>
      <c r="G171" s="42"/>
      <c r="H171" s="43"/>
      <c r="I171" s="73"/>
      <c r="J171" s="43"/>
      <c r="K171" s="43"/>
      <c r="L171" s="43"/>
      <c r="M171" s="43"/>
      <c r="N171" s="111"/>
      <c r="O171" s="43"/>
      <c r="P171" s="48"/>
      <c r="Q171" s="49"/>
      <c r="R171" s="37"/>
      <c r="S171" s="37"/>
      <c r="T171" s="37"/>
      <c r="U171" s="37"/>
      <c r="V171" s="59"/>
      <c r="W171" s="49"/>
      <c r="X171" s="37"/>
      <c r="Y171" s="37"/>
      <c r="Z171" s="37"/>
      <c r="AA171" s="37"/>
      <c r="AB171" s="37"/>
      <c r="AC171" s="37"/>
      <c r="AD171" s="37"/>
      <c r="AE171" s="37"/>
      <c r="AF171" s="37"/>
      <c r="AG171" s="59"/>
      <c r="AH171" s="49"/>
      <c r="AI171" s="37"/>
      <c r="AJ171" s="37"/>
      <c r="AK171" s="37"/>
      <c r="AL171" s="37"/>
      <c r="AM171" s="37"/>
      <c r="AN171" s="37"/>
      <c r="AO171" s="37"/>
      <c r="AP171" s="37"/>
      <c r="AQ171" s="37"/>
      <c r="AR171" s="37"/>
      <c r="AS171" s="37"/>
      <c r="AT171" s="37"/>
      <c r="AU171" s="37"/>
      <c r="AV171" s="59"/>
      <c r="AW171" s="1" t="str">
        <f>_xlfn.CONCAT(tbl_Ben_Info[[#This Row],[First Name]]," ",tbl_Ben_Info[[#This Row],[Father Name]]," ",tbl_Ben_Info[[#This Row],[Family Name]])</f>
        <v xml:space="preserve">  </v>
      </c>
    </row>
    <row r="172" spans="2:49" ht="25.15" customHeight="1" x14ac:dyDescent="0.25">
      <c r="B172" s="49">
        <v>167</v>
      </c>
      <c r="C172" s="1" t="str">
        <f>_xlfn.CONCAT("181-702-",IF(tbl_Ben_Info[[#This Row],[SN]]&lt;10,"00"&amp;tbl_Ben_Info[[#This Row],[SN]],IF(tbl_Ben_Info[[#This Row],[SN]]&lt;100,"0"&amp;tbl_Ben_Info[[#This Row],[SN]],tbl_Ben_Info[[#This Row],[SN]])))</f>
        <v>181-702-167</v>
      </c>
      <c r="D172" s="37"/>
      <c r="E172" s="40"/>
      <c r="F172" s="41"/>
      <c r="G172" s="42"/>
      <c r="H172" s="43"/>
      <c r="I172" s="73"/>
      <c r="J172" s="43"/>
      <c r="K172" s="43"/>
      <c r="L172" s="43"/>
      <c r="M172" s="43"/>
      <c r="N172" s="111"/>
      <c r="O172" s="43"/>
      <c r="P172" s="48"/>
      <c r="Q172" s="49"/>
      <c r="R172" s="37"/>
      <c r="S172" s="37"/>
      <c r="T172" s="37"/>
      <c r="U172" s="37"/>
      <c r="V172" s="59"/>
      <c r="W172" s="49"/>
      <c r="X172" s="37"/>
      <c r="Y172" s="37"/>
      <c r="Z172" s="37"/>
      <c r="AA172" s="37"/>
      <c r="AB172" s="37"/>
      <c r="AC172" s="37"/>
      <c r="AD172" s="37"/>
      <c r="AE172" s="37"/>
      <c r="AF172" s="37"/>
      <c r="AG172" s="59"/>
      <c r="AH172" s="49"/>
      <c r="AI172" s="37"/>
      <c r="AJ172" s="37"/>
      <c r="AK172" s="37"/>
      <c r="AL172" s="37"/>
      <c r="AM172" s="37"/>
      <c r="AN172" s="37"/>
      <c r="AO172" s="37"/>
      <c r="AP172" s="37"/>
      <c r="AQ172" s="37"/>
      <c r="AR172" s="37"/>
      <c r="AS172" s="37"/>
      <c r="AT172" s="37"/>
      <c r="AU172" s="37"/>
      <c r="AV172" s="59"/>
      <c r="AW172" s="1" t="str">
        <f>_xlfn.CONCAT(tbl_Ben_Info[[#This Row],[First Name]]," ",tbl_Ben_Info[[#This Row],[Father Name]]," ",tbl_Ben_Info[[#This Row],[Family Name]])</f>
        <v xml:space="preserve">  </v>
      </c>
    </row>
    <row r="173" spans="2:49" ht="25.15" customHeight="1" x14ac:dyDescent="0.25">
      <c r="B173" s="49">
        <v>168</v>
      </c>
      <c r="C173" s="1" t="str">
        <f>_xlfn.CONCAT("181-702-",IF(tbl_Ben_Info[[#This Row],[SN]]&lt;10,"00"&amp;tbl_Ben_Info[[#This Row],[SN]],IF(tbl_Ben_Info[[#This Row],[SN]]&lt;100,"0"&amp;tbl_Ben_Info[[#This Row],[SN]],tbl_Ben_Info[[#This Row],[SN]])))</f>
        <v>181-702-168</v>
      </c>
      <c r="D173" s="37"/>
      <c r="E173" s="40"/>
      <c r="F173" s="41"/>
      <c r="G173" s="42"/>
      <c r="H173" s="43"/>
      <c r="I173" s="73"/>
      <c r="J173" s="43"/>
      <c r="K173" s="43"/>
      <c r="L173" s="43"/>
      <c r="M173" s="43"/>
      <c r="N173" s="111"/>
      <c r="O173" s="43"/>
      <c r="P173" s="48"/>
      <c r="Q173" s="49"/>
      <c r="R173" s="37"/>
      <c r="S173" s="37"/>
      <c r="T173" s="37"/>
      <c r="U173" s="37"/>
      <c r="V173" s="59"/>
      <c r="W173" s="49"/>
      <c r="X173" s="37"/>
      <c r="Y173" s="37"/>
      <c r="Z173" s="37"/>
      <c r="AA173" s="37"/>
      <c r="AB173" s="37"/>
      <c r="AC173" s="37"/>
      <c r="AD173" s="37"/>
      <c r="AE173" s="37"/>
      <c r="AF173" s="37"/>
      <c r="AG173" s="59"/>
      <c r="AH173" s="49"/>
      <c r="AI173" s="37"/>
      <c r="AJ173" s="37"/>
      <c r="AK173" s="37"/>
      <c r="AL173" s="37"/>
      <c r="AM173" s="37"/>
      <c r="AN173" s="37"/>
      <c r="AO173" s="37"/>
      <c r="AP173" s="37"/>
      <c r="AQ173" s="37"/>
      <c r="AR173" s="37"/>
      <c r="AS173" s="37"/>
      <c r="AT173" s="37"/>
      <c r="AU173" s="37"/>
      <c r="AV173" s="59"/>
      <c r="AW173" s="1" t="str">
        <f>_xlfn.CONCAT(tbl_Ben_Info[[#This Row],[First Name]]," ",tbl_Ben_Info[[#This Row],[Father Name]]," ",tbl_Ben_Info[[#This Row],[Family Name]])</f>
        <v xml:space="preserve">  </v>
      </c>
    </row>
    <row r="174" spans="2:49" ht="25.15" customHeight="1" x14ac:dyDescent="0.25">
      <c r="B174" s="49">
        <v>169</v>
      </c>
      <c r="C174" s="1" t="str">
        <f>_xlfn.CONCAT("181-702-",IF(tbl_Ben_Info[[#This Row],[SN]]&lt;10,"00"&amp;tbl_Ben_Info[[#This Row],[SN]],IF(tbl_Ben_Info[[#This Row],[SN]]&lt;100,"0"&amp;tbl_Ben_Info[[#This Row],[SN]],tbl_Ben_Info[[#This Row],[SN]])))</f>
        <v>181-702-169</v>
      </c>
      <c r="D174" s="37"/>
      <c r="E174" s="40"/>
      <c r="F174" s="41"/>
      <c r="G174" s="42"/>
      <c r="H174" s="43"/>
      <c r="I174" s="73"/>
      <c r="J174" s="43"/>
      <c r="K174" s="43"/>
      <c r="L174" s="43"/>
      <c r="M174" s="43"/>
      <c r="N174" s="111"/>
      <c r="O174" s="43"/>
      <c r="P174" s="48"/>
      <c r="Q174" s="49"/>
      <c r="R174" s="37"/>
      <c r="S174" s="37"/>
      <c r="T174" s="37"/>
      <c r="U174" s="37"/>
      <c r="V174" s="59"/>
      <c r="W174" s="49"/>
      <c r="X174" s="37"/>
      <c r="Y174" s="37"/>
      <c r="Z174" s="37"/>
      <c r="AA174" s="37"/>
      <c r="AB174" s="37"/>
      <c r="AC174" s="37"/>
      <c r="AD174" s="37"/>
      <c r="AE174" s="37"/>
      <c r="AF174" s="37"/>
      <c r="AG174" s="59"/>
      <c r="AH174" s="49"/>
      <c r="AI174" s="37"/>
      <c r="AJ174" s="37"/>
      <c r="AK174" s="37"/>
      <c r="AL174" s="37"/>
      <c r="AM174" s="37"/>
      <c r="AN174" s="37"/>
      <c r="AO174" s="37"/>
      <c r="AP174" s="37"/>
      <c r="AQ174" s="37"/>
      <c r="AR174" s="37"/>
      <c r="AS174" s="37"/>
      <c r="AT174" s="37"/>
      <c r="AU174" s="37"/>
      <c r="AV174" s="59"/>
      <c r="AW174" s="1" t="str">
        <f>_xlfn.CONCAT(tbl_Ben_Info[[#This Row],[First Name]]," ",tbl_Ben_Info[[#This Row],[Father Name]]," ",tbl_Ben_Info[[#This Row],[Family Name]])</f>
        <v xml:space="preserve">  </v>
      </c>
    </row>
    <row r="175" spans="2:49" ht="25.15" customHeight="1" x14ac:dyDescent="0.25">
      <c r="B175" s="49">
        <v>170</v>
      </c>
      <c r="C175" s="1" t="str">
        <f>_xlfn.CONCAT("181-702-",IF(tbl_Ben_Info[[#This Row],[SN]]&lt;10,"00"&amp;tbl_Ben_Info[[#This Row],[SN]],IF(tbl_Ben_Info[[#This Row],[SN]]&lt;100,"0"&amp;tbl_Ben_Info[[#This Row],[SN]],tbl_Ben_Info[[#This Row],[SN]])))</f>
        <v>181-702-170</v>
      </c>
      <c r="D175" s="37"/>
      <c r="E175" s="40"/>
      <c r="F175" s="41"/>
      <c r="G175" s="42"/>
      <c r="H175" s="43"/>
      <c r="I175" s="73"/>
      <c r="J175" s="43"/>
      <c r="K175" s="43"/>
      <c r="L175" s="43"/>
      <c r="M175" s="43"/>
      <c r="N175" s="111"/>
      <c r="O175" s="43"/>
      <c r="P175" s="48"/>
      <c r="Q175" s="49"/>
      <c r="R175" s="37"/>
      <c r="S175" s="37"/>
      <c r="T175" s="37"/>
      <c r="U175" s="37"/>
      <c r="V175" s="59"/>
      <c r="W175" s="49"/>
      <c r="X175" s="37"/>
      <c r="Y175" s="37"/>
      <c r="Z175" s="37"/>
      <c r="AA175" s="37"/>
      <c r="AB175" s="37"/>
      <c r="AC175" s="37"/>
      <c r="AD175" s="37"/>
      <c r="AE175" s="37"/>
      <c r="AF175" s="37"/>
      <c r="AG175" s="59"/>
      <c r="AH175" s="49"/>
      <c r="AI175" s="37"/>
      <c r="AJ175" s="37"/>
      <c r="AK175" s="37"/>
      <c r="AL175" s="37"/>
      <c r="AM175" s="37"/>
      <c r="AN175" s="37"/>
      <c r="AO175" s="37"/>
      <c r="AP175" s="37"/>
      <c r="AQ175" s="37"/>
      <c r="AR175" s="37"/>
      <c r="AS175" s="37"/>
      <c r="AT175" s="37"/>
      <c r="AU175" s="37"/>
      <c r="AV175" s="59"/>
      <c r="AW175" s="1" t="str">
        <f>_xlfn.CONCAT(tbl_Ben_Info[[#This Row],[First Name]]," ",tbl_Ben_Info[[#This Row],[Father Name]]," ",tbl_Ben_Info[[#This Row],[Family Name]])</f>
        <v xml:space="preserve">  </v>
      </c>
    </row>
    <row r="176" spans="2:49" ht="25.15" customHeight="1" x14ac:dyDescent="0.25">
      <c r="B176" s="49">
        <v>171</v>
      </c>
      <c r="C176" s="1" t="str">
        <f>_xlfn.CONCAT("181-702-",IF(tbl_Ben_Info[[#This Row],[SN]]&lt;10,"00"&amp;tbl_Ben_Info[[#This Row],[SN]],IF(tbl_Ben_Info[[#This Row],[SN]]&lt;100,"0"&amp;tbl_Ben_Info[[#This Row],[SN]],tbl_Ben_Info[[#This Row],[SN]])))</f>
        <v>181-702-171</v>
      </c>
      <c r="D176" s="37"/>
      <c r="E176" s="40"/>
      <c r="F176" s="41"/>
      <c r="G176" s="42"/>
      <c r="H176" s="43"/>
      <c r="I176" s="73"/>
      <c r="J176" s="43"/>
      <c r="K176" s="43"/>
      <c r="L176" s="43"/>
      <c r="M176" s="43"/>
      <c r="N176" s="111"/>
      <c r="O176" s="43"/>
      <c r="P176" s="48"/>
      <c r="Q176" s="49"/>
      <c r="R176" s="37"/>
      <c r="S176" s="37"/>
      <c r="T176" s="37"/>
      <c r="U176" s="37"/>
      <c r="V176" s="59"/>
      <c r="W176" s="49"/>
      <c r="X176" s="37"/>
      <c r="Y176" s="37"/>
      <c r="Z176" s="37"/>
      <c r="AA176" s="37"/>
      <c r="AB176" s="37"/>
      <c r="AC176" s="37"/>
      <c r="AD176" s="37"/>
      <c r="AE176" s="37"/>
      <c r="AF176" s="37"/>
      <c r="AG176" s="59"/>
      <c r="AH176" s="49"/>
      <c r="AI176" s="37"/>
      <c r="AJ176" s="37"/>
      <c r="AK176" s="37"/>
      <c r="AL176" s="37"/>
      <c r="AM176" s="37"/>
      <c r="AN176" s="37"/>
      <c r="AO176" s="37"/>
      <c r="AP176" s="37"/>
      <c r="AQ176" s="37"/>
      <c r="AR176" s="37"/>
      <c r="AS176" s="37"/>
      <c r="AT176" s="37"/>
      <c r="AU176" s="37"/>
      <c r="AV176" s="59"/>
      <c r="AW176" s="1" t="str">
        <f>_xlfn.CONCAT(tbl_Ben_Info[[#This Row],[First Name]]," ",tbl_Ben_Info[[#This Row],[Father Name]]," ",tbl_Ben_Info[[#This Row],[Family Name]])</f>
        <v xml:space="preserve">  </v>
      </c>
    </row>
    <row r="177" spans="2:49" ht="25.15" customHeight="1" x14ac:dyDescent="0.25">
      <c r="B177" s="49">
        <v>172</v>
      </c>
      <c r="C177" s="1" t="str">
        <f>_xlfn.CONCAT("181-702-",IF(tbl_Ben_Info[[#This Row],[SN]]&lt;10,"00"&amp;tbl_Ben_Info[[#This Row],[SN]],IF(tbl_Ben_Info[[#This Row],[SN]]&lt;100,"0"&amp;tbl_Ben_Info[[#This Row],[SN]],tbl_Ben_Info[[#This Row],[SN]])))</f>
        <v>181-702-172</v>
      </c>
      <c r="D177" s="37"/>
      <c r="E177" s="40"/>
      <c r="F177" s="41"/>
      <c r="G177" s="42"/>
      <c r="H177" s="43"/>
      <c r="I177" s="73"/>
      <c r="J177" s="43"/>
      <c r="K177" s="43"/>
      <c r="L177" s="43"/>
      <c r="M177" s="43"/>
      <c r="N177" s="111"/>
      <c r="O177" s="43"/>
      <c r="P177" s="48"/>
      <c r="Q177" s="49"/>
      <c r="R177" s="37"/>
      <c r="S177" s="37"/>
      <c r="T177" s="37"/>
      <c r="U177" s="37"/>
      <c r="V177" s="59"/>
      <c r="W177" s="49"/>
      <c r="X177" s="37"/>
      <c r="Y177" s="37"/>
      <c r="Z177" s="37"/>
      <c r="AA177" s="37"/>
      <c r="AB177" s="37"/>
      <c r="AC177" s="37"/>
      <c r="AD177" s="37"/>
      <c r="AE177" s="37"/>
      <c r="AF177" s="37"/>
      <c r="AG177" s="59"/>
      <c r="AH177" s="49"/>
      <c r="AI177" s="37"/>
      <c r="AJ177" s="37"/>
      <c r="AK177" s="37"/>
      <c r="AL177" s="37"/>
      <c r="AM177" s="37"/>
      <c r="AN177" s="37"/>
      <c r="AO177" s="37"/>
      <c r="AP177" s="37"/>
      <c r="AQ177" s="37"/>
      <c r="AR177" s="37"/>
      <c r="AS177" s="37"/>
      <c r="AT177" s="37"/>
      <c r="AU177" s="37"/>
      <c r="AV177" s="59"/>
      <c r="AW177" s="1" t="str">
        <f>_xlfn.CONCAT(tbl_Ben_Info[[#This Row],[First Name]]," ",tbl_Ben_Info[[#This Row],[Father Name]]," ",tbl_Ben_Info[[#This Row],[Family Name]])</f>
        <v xml:space="preserve">  </v>
      </c>
    </row>
    <row r="178" spans="2:49" ht="25.15" customHeight="1" x14ac:dyDescent="0.25">
      <c r="B178" s="49">
        <v>173</v>
      </c>
      <c r="C178" s="1" t="str">
        <f>_xlfn.CONCAT("181-702-",IF(tbl_Ben_Info[[#This Row],[SN]]&lt;10,"00"&amp;tbl_Ben_Info[[#This Row],[SN]],IF(tbl_Ben_Info[[#This Row],[SN]]&lt;100,"0"&amp;tbl_Ben_Info[[#This Row],[SN]],tbl_Ben_Info[[#This Row],[SN]])))</f>
        <v>181-702-173</v>
      </c>
      <c r="D178" s="37"/>
      <c r="E178" s="40"/>
      <c r="F178" s="41"/>
      <c r="G178" s="42"/>
      <c r="H178" s="43"/>
      <c r="I178" s="73"/>
      <c r="J178" s="43"/>
      <c r="K178" s="43"/>
      <c r="L178" s="43"/>
      <c r="M178" s="43"/>
      <c r="N178" s="111"/>
      <c r="O178" s="43"/>
      <c r="P178" s="48"/>
      <c r="Q178" s="49"/>
      <c r="R178" s="37"/>
      <c r="S178" s="37"/>
      <c r="T178" s="37"/>
      <c r="U178" s="37"/>
      <c r="V178" s="59"/>
      <c r="W178" s="49"/>
      <c r="X178" s="37"/>
      <c r="Y178" s="37"/>
      <c r="Z178" s="37"/>
      <c r="AA178" s="37"/>
      <c r="AB178" s="37"/>
      <c r="AC178" s="37"/>
      <c r="AD178" s="37"/>
      <c r="AE178" s="37"/>
      <c r="AF178" s="37"/>
      <c r="AG178" s="59"/>
      <c r="AH178" s="49"/>
      <c r="AI178" s="37"/>
      <c r="AJ178" s="37"/>
      <c r="AK178" s="37"/>
      <c r="AL178" s="37"/>
      <c r="AM178" s="37"/>
      <c r="AN178" s="37"/>
      <c r="AO178" s="37"/>
      <c r="AP178" s="37"/>
      <c r="AQ178" s="37"/>
      <c r="AR178" s="37"/>
      <c r="AS178" s="37"/>
      <c r="AT178" s="37"/>
      <c r="AU178" s="37"/>
      <c r="AV178" s="59"/>
      <c r="AW178" s="1" t="str">
        <f>_xlfn.CONCAT(tbl_Ben_Info[[#This Row],[First Name]]," ",tbl_Ben_Info[[#This Row],[Father Name]]," ",tbl_Ben_Info[[#This Row],[Family Name]])</f>
        <v xml:space="preserve">  </v>
      </c>
    </row>
    <row r="179" spans="2:49" ht="25.15" customHeight="1" x14ac:dyDescent="0.25">
      <c r="B179" s="49">
        <v>174</v>
      </c>
      <c r="C179" s="1" t="str">
        <f>_xlfn.CONCAT("181-702-",IF(tbl_Ben_Info[[#This Row],[SN]]&lt;10,"00"&amp;tbl_Ben_Info[[#This Row],[SN]],IF(tbl_Ben_Info[[#This Row],[SN]]&lt;100,"0"&amp;tbl_Ben_Info[[#This Row],[SN]],tbl_Ben_Info[[#This Row],[SN]])))</f>
        <v>181-702-174</v>
      </c>
      <c r="D179" s="37"/>
      <c r="E179" s="40"/>
      <c r="F179" s="41"/>
      <c r="G179" s="42"/>
      <c r="H179" s="43"/>
      <c r="I179" s="73"/>
      <c r="J179" s="43"/>
      <c r="K179" s="43"/>
      <c r="L179" s="43"/>
      <c r="M179" s="43"/>
      <c r="N179" s="111"/>
      <c r="O179" s="43"/>
      <c r="P179" s="48"/>
      <c r="Q179" s="49"/>
      <c r="R179" s="37"/>
      <c r="S179" s="37"/>
      <c r="T179" s="37"/>
      <c r="U179" s="37"/>
      <c r="V179" s="59"/>
      <c r="W179" s="49"/>
      <c r="X179" s="37"/>
      <c r="Y179" s="37"/>
      <c r="Z179" s="37"/>
      <c r="AA179" s="37"/>
      <c r="AB179" s="37"/>
      <c r="AC179" s="37"/>
      <c r="AD179" s="37"/>
      <c r="AE179" s="37"/>
      <c r="AF179" s="37"/>
      <c r="AG179" s="59"/>
      <c r="AH179" s="49"/>
      <c r="AI179" s="37"/>
      <c r="AJ179" s="37"/>
      <c r="AK179" s="37"/>
      <c r="AL179" s="37"/>
      <c r="AM179" s="37"/>
      <c r="AN179" s="37"/>
      <c r="AO179" s="37"/>
      <c r="AP179" s="37"/>
      <c r="AQ179" s="37"/>
      <c r="AR179" s="37"/>
      <c r="AS179" s="37"/>
      <c r="AT179" s="37"/>
      <c r="AU179" s="37"/>
      <c r="AV179" s="59"/>
      <c r="AW179" s="1" t="str">
        <f>_xlfn.CONCAT(tbl_Ben_Info[[#This Row],[First Name]]," ",tbl_Ben_Info[[#This Row],[Father Name]]," ",tbl_Ben_Info[[#This Row],[Family Name]])</f>
        <v xml:space="preserve">  </v>
      </c>
    </row>
    <row r="180" spans="2:49" ht="25.15" customHeight="1" x14ac:dyDescent="0.25">
      <c r="B180" s="49">
        <v>175</v>
      </c>
      <c r="C180" s="1" t="str">
        <f>_xlfn.CONCAT("181-702-",IF(tbl_Ben_Info[[#This Row],[SN]]&lt;10,"00"&amp;tbl_Ben_Info[[#This Row],[SN]],IF(tbl_Ben_Info[[#This Row],[SN]]&lt;100,"0"&amp;tbl_Ben_Info[[#This Row],[SN]],tbl_Ben_Info[[#This Row],[SN]])))</f>
        <v>181-702-175</v>
      </c>
      <c r="D180" s="37"/>
      <c r="E180" s="40"/>
      <c r="F180" s="41"/>
      <c r="G180" s="42"/>
      <c r="H180" s="43"/>
      <c r="I180" s="73"/>
      <c r="J180" s="43"/>
      <c r="K180" s="43"/>
      <c r="L180" s="43"/>
      <c r="M180" s="43"/>
      <c r="N180" s="111"/>
      <c r="O180" s="43"/>
      <c r="P180" s="48"/>
      <c r="Q180" s="49"/>
      <c r="R180" s="37"/>
      <c r="S180" s="37"/>
      <c r="T180" s="37"/>
      <c r="U180" s="37"/>
      <c r="V180" s="59"/>
      <c r="W180" s="49"/>
      <c r="X180" s="37"/>
      <c r="Y180" s="37"/>
      <c r="Z180" s="37"/>
      <c r="AA180" s="37"/>
      <c r="AB180" s="37"/>
      <c r="AC180" s="37"/>
      <c r="AD180" s="37"/>
      <c r="AE180" s="37"/>
      <c r="AF180" s="37"/>
      <c r="AG180" s="59"/>
      <c r="AH180" s="49"/>
      <c r="AI180" s="37"/>
      <c r="AJ180" s="37"/>
      <c r="AK180" s="37"/>
      <c r="AL180" s="37"/>
      <c r="AM180" s="37"/>
      <c r="AN180" s="37"/>
      <c r="AO180" s="37"/>
      <c r="AP180" s="37"/>
      <c r="AQ180" s="37"/>
      <c r="AR180" s="37"/>
      <c r="AS180" s="37"/>
      <c r="AT180" s="37"/>
      <c r="AU180" s="37"/>
      <c r="AV180" s="59"/>
      <c r="AW180" s="1" t="str">
        <f>_xlfn.CONCAT(tbl_Ben_Info[[#This Row],[First Name]]," ",tbl_Ben_Info[[#This Row],[Father Name]]," ",tbl_Ben_Info[[#This Row],[Family Name]])</f>
        <v xml:space="preserve">  </v>
      </c>
    </row>
    <row r="181" spans="2:49" ht="25.15" customHeight="1" x14ac:dyDescent="0.25">
      <c r="B181" s="49">
        <v>176</v>
      </c>
      <c r="C181" s="1" t="str">
        <f>_xlfn.CONCAT("181-702-",IF(tbl_Ben_Info[[#This Row],[SN]]&lt;10,"00"&amp;tbl_Ben_Info[[#This Row],[SN]],IF(tbl_Ben_Info[[#This Row],[SN]]&lt;100,"0"&amp;tbl_Ben_Info[[#This Row],[SN]],tbl_Ben_Info[[#This Row],[SN]])))</f>
        <v>181-702-176</v>
      </c>
      <c r="D181" s="37"/>
      <c r="E181" s="40"/>
      <c r="F181" s="41"/>
      <c r="G181" s="42"/>
      <c r="H181" s="43"/>
      <c r="I181" s="73"/>
      <c r="J181" s="43"/>
      <c r="K181" s="43"/>
      <c r="L181" s="43"/>
      <c r="M181" s="43"/>
      <c r="N181" s="111"/>
      <c r="O181" s="43"/>
      <c r="P181" s="48"/>
      <c r="Q181" s="49"/>
      <c r="R181" s="37"/>
      <c r="S181" s="37"/>
      <c r="T181" s="37"/>
      <c r="U181" s="37"/>
      <c r="V181" s="59"/>
      <c r="W181" s="49"/>
      <c r="X181" s="37"/>
      <c r="Y181" s="37"/>
      <c r="Z181" s="37"/>
      <c r="AA181" s="37"/>
      <c r="AB181" s="37"/>
      <c r="AC181" s="37"/>
      <c r="AD181" s="37"/>
      <c r="AE181" s="37"/>
      <c r="AF181" s="37"/>
      <c r="AG181" s="59"/>
      <c r="AH181" s="49"/>
      <c r="AI181" s="37"/>
      <c r="AJ181" s="37"/>
      <c r="AK181" s="37"/>
      <c r="AL181" s="37"/>
      <c r="AM181" s="37"/>
      <c r="AN181" s="37"/>
      <c r="AO181" s="37"/>
      <c r="AP181" s="37"/>
      <c r="AQ181" s="37"/>
      <c r="AR181" s="37"/>
      <c r="AS181" s="37"/>
      <c r="AT181" s="37"/>
      <c r="AU181" s="37"/>
      <c r="AV181" s="59"/>
      <c r="AW181" s="1" t="str">
        <f>_xlfn.CONCAT(tbl_Ben_Info[[#This Row],[First Name]]," ",tbl_Ben_Info[[#This Row],[Father Name]]," ",tbl_Ben_Info[[#This Row],[Family Name]])</f>
        <v xml:space="preserve">  </v>
      </c>
    </row>
    <row r="182" spans="2:49" ht="25.15" customHeight="1" x14ac:dyDescent="0.25">
      <c r="B182" s="49">
        <v>177</v>
      </c>
      <c r="C182" s="1" t="str">
        <f>_xlfn.CONCAT("181-702-",IF(tbl_Ben_Info[[#This Row],[SN]]&lt;10,"00"&amp;tbl_Ben_Info[[#This Row],[SN]],IF(tbl_Ben_Info[[#This Row],[SN]]&lt;100,"0"&amp;tbl_Ben_Info[[#This Row],[SN]],tbl_Ben_Info[[#This Row],[SN]])))</f>
        <v>181-702-177</v>
      </c>
      <c r="D182" s="37"/>
      <c r="E182" s="40"/>
      <c r="F182" s="41"/>
      <c r="G182" s="42"/>
      <c r="H182" s="43"/>
      <c r="I182" s="73"/>
      <c r="J182" s="43"/>
      <c r="K182" s="43"/>
      <c r="L182" s="43"/>
      <c r="M182" s="43"/>
      <c r="N182" s="111"/>
      <c r="O182" s="43"/>
      <c r="P182" s="48"/>
      <c r="Q182" s="49"/>
      <c r="R182" s="37"/>
      <c r="S182" s="37"/>
      <c r="T182" s="37"/>
      <c r="U182" s="37"/>
      <c r="V182" s="59"/>
      <c r="W182" s="49"/>
      <c r="X182" s="37"/>
      <c r="Y182" s="37"/>
      <c r="Z182" s="37"/>
      <c r="AA182" s="37"/>
      <c r="AB182" s="37"/>
      <c r="AC182" s="37"/>
      <c r="AD182" s="37"/>
      <c r="AE182" s="37"/>
      <c r="AF182" s="37"/>
      <c r="AG182" s="59"/>
      <c r="AH182" s="49"/>
      <c r="AI182" s="37"/>
      <c r="AJ182" s="37"/>
      <c r="AK182" s="37"/>
      <c r="AL182" s="37"/>
      <c r="AM182" s="37"/>
      <c r="AN182" s="37"/>
      <c r="AO182" s="37"/>
      <c r="AP182" s="37"/>
      <c r="AQ182" s="37"/>
      <c r="AR182" s="37"/>
      <c r="AS182" s="37"/>
      <c r="AT182" s="37"/>
      <c r="AU182" s="37"/>
      <c r="AV182" s="59"/>
      <c r="AW182" s="1" t="str">
        <f>_xlfn.CONCAT(tbl_Ben_Info[[#This Row],[First Name]]," ",tbl_Ben_Info[[#This Row],[Father Name]]," ",tbl_Ben_Info[[#This Row],[Family Name]])</f>
        <v xml:space="preserve">  </v>
      </c>
    </row>
    <row r="183" spans="2:49" ht="25.15" customHeight="1" x14ac:dyDescent="0.25">
      <c r="B183" s="49">
        <v>178</v>
      </c>
      <c r="C183" s="1" t="str">
        <f>_xlfn.CONCAT("181-702-",IF(tbl_Ben_Info[[#This Row],[SN]]&lt;10,"00"&amp;tbl_Ben_Info[[#This Row],[SN]],IF(tbl_Ben_Info[[#This Row],[SN]]&lt;100,"0"&amp;tbl_Ben_Info[[#This Row],[SN]],tbl_Ben_Info[[#This Row],[SN]])))</f>
        <v>181-702-178</v>
      </c>
      <c r="D183" s="37"/>
      <c r="E183" s="40"/>
      <c r="F183" s="41"/>
      <c r="G183" s="42"/>
      <c r="H183" s="43"/>
      <c r="I183" s="73"/>
      <c r="J183" s="43"/>
      <c r="K183" s="43"/>
      <c r="L183" s="43"/>
      <c r="M183" s="43"/>
      <c r="N183" s="111"/>
      <c r="O183" s="43"/>
      <c r="P183" s="48"/>
      <c r="Q183" s="49"/>
      <c r="R183" s="37"/>
      <c r="S183" s="37"/>
      <c r="T183" s="37"/>
      <c r="U183" s="37"/>
      <c r="V183" s="59"/>
      <c r="W183" s="49"/>
      <c r="X183" s="37"/>
      <c r="Y183" s="37"/>
      <c r="Z183" s="37"/>
      <c r="AA183" s="37"/>
      <c r="AB183" s="37"/>
      <c r="AC183" s="37"/>
      <c r="AD183" s="37"/>
      <c r="AE183" s="37"/>
      <c r="AF183" s="37"/>
      <c r="AG183" s="59"/>
      <c r="AH183" s="49"/>
      <c r="AI183" s="37"/>
      <c r="AJ183" s="37"/>
      <c r="AK183" s="37"/>
      <c r="AL183" s="37"/>
      <c r="AM183" s="37"/>
      <c r="AN183" s="37"/>
      <c r="AO183" s="37"/>
      <c r="AP183" s="37"/>
      <c r="AQ183" s="37"/>
      <c r="AR183" s="37"/>
      <c r="AS183" s="37"/>
      <c r="AT183" s="37"/>
      <c r="AU183" s="37"/>
      <c r="AV183" s="59"/>
      <c r="AW183" s="1" t="str">
        <f>_xlfn.CONCAT(tbl_Ben_Info[[#This Row],[First Name]]," ",tbl_Ben_Info[[#This Row],[Father Name]]," ",tbl_Ben_Info[[#This Row],[Family Name]])</f>
        <v xml:space="preserve">  </v>
      </c>
    </row>
    <row r="184" spans="2:49" ht="25.15" customHeight="1" x14ac:dyDescent="0.25">
      <c r="B184" s="49">
        <v>179</v>
      </c>
      <c r="C184" s="1" t="str">
        <f>_xlfn.CONCAT("181-702-",IF(tbl_Ben_Info[[#This Row],[SN]]&lt;10,"00"&amp;tbl_Ben_Info[[#This Row],[SN]],IF(tbl_Ben_Info[[#This Row],[SN]]&lt;100,"0"&amp;tbl_Ben_Info[[#This Row],[SN]],tbl_Ben_Info[[#This Row],[SN]])))</f>
        <v>181-702-179</v>
      </c>
      <c r="D184" s="37"/>
      <c r="E184" s="40"/>
      <c r="F184" s="41"/>
      <c r="G184" s="42"/>
      <c r="H184" s="43"/>
      <c r="I184" s="73"/>
      <c r="J184" s="43"/>
      <c r="K184" s="43"/>
      <c r="L184" s="43"/>
      <c r="M184" s="43"/>
      <c r="N184" s="111"/>
      <c r="O184" s="43"/>
      <c r="P184" s="48"/>
      <c r="Q184" s="49"/>
      <c r="R184" s="37"/>
      <c r="S184" s="37"/>
      <c r="T184" s="37"/>
      <c r="U184" s="37"/>
      <c r="V184" s="59"/>
      <c r="W184" s="49"/>
      <c r="X184" s="37"/>
      <c r="Y184" s="37"/>
      <c r="Z184" s="37"/>
      <c r="AA184" s="37"/>
      <c r="AB184" s="37"/>
      <c r="AC184" s="37"/>
      <c r="AD184" s="37"/>
      <c r="AE184" s="37"/>
      <c r="AF184" s="37"/>
      <c r="AG184" s="59"/>
      <c r="AH184" s="49"/>
      <c r="AI184" s="37"/>
      <c r="AJ184" s="37"/>
      <c r="AK184" s="37"/>
      <c r="AL184" s="37"/>
      <c r="AM184" s="37"/>
      <c r="AN184" s="37"/>
      <c r="AO184" s="37"/>
      <c r="AP184" s="37"/>
      <c r="AQ184" s="37"/>
      <c r="AR184" s="37"/>
      <c r="AS184" s="37"/>
      <c r="AT184" s="37"/>
      <c r="AU184" s="37"/>
      <c r="AV184" s="59"/>
      <c r="AW184" s="1" t="str">
        <f>_xlfn.CONCAT(tbl_Ben_Info[[#This Row],[First Name]]," ",tbl_Ben_Info[[#This Row],[Father Name]]," ",tbl_Ben_Info[[#This Row],[Family Name]])</f>
        <v xml:space="preserve">  </v>
      </c>
    </row>
    <row r="185" spans="2:49" ht="25.15" customHeight="1" x14ac:dyDescent="0.25">
      <c r="B185" s="49">
        <v>180</v>
      </c>
      <c r="C185" s="1" t="str">
        <f>_xlfn.CONCAT("181-702-",IF(tbl_Ben_Info[[#This Row],[SN]]&lt;10,"00"&amp;tbl_Ben_Info[[#This Row],[SN]],IF(tbl_Ben_Info[[#This Row],[SN]]&lt;100,"0"&amp;tbl_Ben_Info[[#This Row],[SN]],tbl_Ben_Info[[#This Row],[SN]])))</f>
        <v>181-702-180</v>
      </c>
      <c r="D185" s="37"/>
      <c r="E185" s="40"/>
      <c r="F185" s="41"/>
      <c r="G185" s="42"/>
      <c r="H185" s="43"/>
      <c r="I185" s="73"/>
      <c r="J185" s="43"/>
      <c r="K185" s="43"/>
      <c r="L185" s="43"/>
      <c r="M185" s="43"/>
      <c r="N185" s="111"/>
      <c r="O185" s="43"/>
      <c r="P185" s="48"/>
      <c r="Q185" s="49"/>
      <c r="R185" s="37"/>
      <c r="S185" s="37"/>
      <c r="T185" s="37"/>
      <c r="U185" s="37"/>
      <c r="V185" s="59"/>
      <c r="W185" s="49"/>
      <c r="X185" s="37"/>
      <c r="Y185" s="37"/>
      <c r="Z185" s="37"/>
      <c r="AA185" s="37"/>
      <c r="AB185" s="37"/>
      <c r="AC185" s="37"/>
      <c r="AD185" s="37"/>
      <c r="AE185" s="37"/>
      <c r="AF185" s="37"/>
      <c r="AG185" s="59"/>
      <c r="AH185" s="49"/>
      <c r="AI185" s="37"/>
      <c r="AJ185" s="37"/>
      <c r="AK185" s="37"/>
      <c r="AL185" s="37"/>
      <c r="AM185" s="37"/>
      <c r="AN185" s="37"/>
      <c r="AO185" s="37"/>
      <c r="AP185" s="37"/>
      <c r="AQ185" s="37"/>
      <c r="AR185" s="37"/>
      <c r="AS185" s="37"/>
      <c r="AT185" s="37"/>
      <c r="AU185" s="37"/>
      <c r="AV185" s="59"/>
      <c r="AW185" s="1" t="str">
        <f>_xlfn.CONCAT(tbl_Ben_Info[[#This Row],[First Name]]," ",tbl_Ben_Info[[#This Row],[Father Name]]," ",tbl_Ben_Info[[#This Row],[Family Name]])</f>
        <v xml:space="preserve">  </v>
      </c>
    </row>
    <row r="186" spans="2:49" ht="25.15" customHeight="1" x14ac:dyDescent="0.25">
      <c r="B186" s="49">
        <v>181</v>
      </c>
      <c r="C186" s="1" t="str">
        <f>_xlfn.CONCAT("181-702-",IF(tbl_Ben_Info[[#This Row],[SN]]&lt;10,"00"&amp;tbl_Ben_Info[[#This Row],[SN]],IF(tbl_Ben_Info[[#This Row],[SN]]&lt;100,"0"&amp;tbl_Ben_Info[[#This Row],[SN]],tbl_Ben_Info[[#This Row],[SN]])))</f>
        <v>181-702-181</v>
      </c>
      <c r="D186" s="37"/>
      <c r="E186" s="40"/>
      <c r="F186" s="41"/>
      <c r="G186" s="42"/>
      <c r="H186" s="43"/>
      <c r="I186" s="73"/>
      <c r="J186" s="43"/>
      <c r="K186" s="43"/>
      <c r="L186" s="43"/>
      <c r="M186" s="43"/>
      <c r="N186" s="111"/>
      <c r="O186" s="43"/>
      <c r="P186" s="48"/>
      <c r="Q186" s="49"/>
      <c r="R186" s="37"/>
      <c r="S186" s="37"/>
      <c r="T186" s="37"/>
      <c r="U186" s="37"/>
      <c r="V186" s="59"/>
      <c r="W186" s="49"/>
      <c r="X186" s="37"/>
      <c r="Y186" s="37"/>
      <c r="Z186" s="37"/>
      <c r="AA186" s="37"/>
      <c r="AB186" s="37"/>
      <c r="AC186" s="37"/>
      <c r="AD186" s="37"/>
      <c r="AE186" s="37"/>
      <c r="AF186" s="37"/>
      <c r="AG186" s="59"/>
      <c r="AH186" s="49"/>
      <c r="AI186" s="37"/>
      <c r="AJ186" s="37"/>
      <c r="AK186" s="37"/>
      <c r="AL186" s="37"/>
      <c r="AM186" s="37"/>
      <c r="AN186" s="37"/>
      <c r="AO186" s="37"/>
      <c r="AP186" s="37"/>
      <c r="AQ186" s="37"/>
      <c r="AR186" s="37"/>
      <c r="AS186" s="37"/>
      <c r="AT186" s="37"/>
      <c r="AU186" s="37"/>
      <c r="AV186" s="59"/>
      <c r="AW186" s="1" t="str">
        <f>_xlfn.CONCAT(tbl_Ben_Info[[#This Row],[First Name]]," ",tbl_Ben_Info[[#This Row],[Father Name]]," ",tbl_Ben_Info[[#This Row],[Family Name]])</f>
        <v xml:space="preserve">  </v>
      </c>
    </row>
    <row r="187" spans="2:49" ht="25.15" customHeight="1" x14ac:dyDescent="0.25">
      <c r="B187" s="49">
        <v>182</v>
      </c>
      <c r="C187" s="1" t="str">
        <f>_xlfn.CONCAT("181-702-",IF(tbl_Ben_Info[[#This Row],[SN]]&lt;10,"00"&amp;tbl_Ben_Info[[#This Row],[SN]],IF(tbl_Ben_Info[[#This Row],[SN]]&lt;100,"0"&amp;tbl_Ben_Info[[#This Row],[SN]],tbl_Ben_Info[[#This Row],[SN]])))</f>
        <v>181-702-182</v>
      </c>
      <c r="D187" s="37"/>
      <c r="E187" s="40"/>
      <c r="F187" s="41"/>
      <c r="G187" s="42"/>
      <c r="H187" s="43"/>
      <c r="I187" s="73"/>
      <c r="J187" s="43"/>
      <c r="K187" s="43"/>
      <c r="L187" s="43"/>
      <c r="M187" s="43"/>
      <c r="N187" s="111"/>
      <c r="O187" s="43"/>
      <c r="P187" s="48"/>
      <c r="Q187" s="49"/>
      <c r="R187" s="37"/>
      <c r="S187" s="37"/>
      <c r="T187" s="37"/>
      <c r="U187" s="37"/>
      <c r="V187" s="59"/>
      <c r="W187" s="49"/>
      <c r="X187" s="37"/>
      <c r="Y187" s="37"/>
      <c r="Z187" s="37"/>
      <c r="AA187" s="37"/>
      <c r="AB187" s="37"/>
      <c r="AC187" s="37"/>
      <c r="AD187" s="37"/>
      <c r="AE187" s="37"/>
      <c r="AF187" s="37"/>
      <c r="AG187" s="59"/>
      <c r="AH187" s="49"/>
      <c r="AI187" s="37"/>
      <c r="AJ187" s="37"/>
      <c r="AK187" s="37"/>
      <c r="AL187" s="37"/>
      <c r="AM187" s="37"/>
      <c r="AN187" s="37"/>
      <c r="AO187" s="37"/>
      <c r="AP187" s="37"/>
      <c r="AQ187" s="37"/>
      <c r="AR187" s="37"/>
      <c r="AS187" s="37"/>
      <c r="AT187" s="37"/>
      <c r="AU187" s="37"/>
      <c r="AV187" s="59"/>
      <c r="AW187" s="1" t="str">
        <f>_xlfn.CONCAT(tbl_Ben_Info[[#This Row],[First Name]]," ",tbl_Ben_Info[[#This Row],[Father Name]]," ",tbl_Ben_Info[[#This Row],[Family Name]])</f>
        <v xml:space="preserve">  </v>
      </c>
    </row>
    <row r="188" spans="2:49" ht="25.15" customHeight="1" x14ac:dyDescent="0.25">
      <c r="B188" s="49">
        <v>183</v>
      </c>
      <c r="C188" s="1" t="str">
        <f>_xlfn.CONCAT("181-702-",IF(tbl_Ben_Info[[#This Row],[SN]]&lt;10,"00"&amp;tbl_Ben_Info[[#This Row],[SN]],IF(tbl_Ben_Info[[#This Row],[SN]]&lt;100,"0"&amp;tbl_Ben_Info[[#This Row],[SN]],tbl_Ben_Info[[#This Row],[SN]])))</f>
        <v>181-702-183</v>
      </c>
      <c r="D188" s="37"/>
      <c r="E188" s="40"/>
      <c r="F188" s="41"/>
      <c r="G188" s="42"/>
      <c r="H188" s="43"/>
      <c r="I188" s="73"/>
      <c r="J188" s="43"/>
      <c r="K188" s="43"/>
      <c r="L188" s="43"/>
      <c r="M188" s="43"/>
      <c r="N188" s="111"/>
      <c r="O188" s="43"/>
      <c r="P188" s="48"/>
      <c r="Q188" s="49"/>
      <c r="R188" s="37"/>
      <c r="S188" s="37"/>
      <c r="T188" s="37"/>
      <c r="U188" s="37"/>
      <c r="V188" s="59"/>
      <c r="W188" s="49"/>
      <c r="X188" s="37"/>
      <c r="Y188" s="37"/>
      <c r="Z188" s="37"/>
      <c r="AA188" s="37"/>
      <c r="AB188" s="37"/>
      <c r="AC188" s="37"/>
      <c r="AD188" s="37"/>
      <c r="AE188" s="37"/>
      <c r="AF188" s="37"/>
      <c r="AG188" s="59"/>
      <c r="AH188" s="49"/>
      <c r="AI188" s="37"/>
      <c r="AJ188" s="37"/>
      <c r="AK188" s="37"/>
      <c r="AL188" s="37"/>
      <c r="AM188" s="37"/>
      <c r="AN188" s="37"/>
      <c r="AO188" s="37"/>
      <c r="AP188" s="37"/>
      <c r="AQ188" s="37"/>
      <c r="AR188" s="37"/>
      <c r="AS188" s="37"/>
      <c r="AT188" s="37"/>
      <c r="AU188" s="37"/>
      <c r="AV188" s="59"/>
      <c r="AW188" s="1" t="str">
        <f>_xlfn.CONCAT(tbl_Ben_Info[[#This Row],[First Name]]," ",tbl_Ben_Info[[#This Row],[Father Name]]," ",tbl_Ben_Info[[#This Row],[Family Name]])</f>
        <v xml:space="preserve">  </v>
      </c>
    </row>
    <row r="189" spans="2:49" ht="25.15" customHeight="1" x14ac:dyDescent="0.25">
      <c r="B189" s="49">
        <v>184</v>
      </c>
      <c r="C189" s="1" t="str">
        <f>_xlfn.CONCAT("181-702-",IF(tbl_Ben_Info[[#This Row],[SN]]&lt;10,"00"&amp;tbl_Ben_Info[[#This Row],[SN]],IF(tbl_Ben_Info[[#This Row],[SN]]&lt;100,"0"&amp;tbl_Ben_Info[[#This Row],[SN]],tbl_Ben_Info[[#This Row],[SN]])))</f>
        <v>181-702-184</v>
      </c>
      <c r="D189" s="37"/>
      <c r="E189" s="40"/>
      <c r="F189" s="41"/>
      <c r="G189" s="42"/>
      <c r="H189" s="43"/>
      <c r="I189" s="73"/>
      <c r="J189" s="43"/>
      <c r="K189" s="43"/>
      <c r="L189" s="43"/>
      <c r="M189" s="43"/>
      <c r="N189" s="111"/>
      <c r="O189" s="43"/>
      <c r="P189" s="48"/>
      <c r="Q189" s="49"/>
      <c r="R189" s="37"/>
      <c r="S189" s="37"/>
      <c r="T189" s="37"/>
      <c r="U189" s="37"/>
      <c r="V189" s="59"/>
      <c r="W189" s="49"/>
      <c r="X189" s="37"/>
      <c r="Y189" s="37"/>
      <c r="Z189" s="37"/>
      <c r="AA189" s="37"/>
      <c r="AB189" s="37"/>
      <c r="AC189" s="37"/>
      <c r="AD189" s="37"/>
      <c r="AE189" s="37"/>
      <c r="AF189" s="37"/>
      <c r="AG189" s="59"/>
      <c r="AH189" s="49"/>
      <c r="AI189" s="37"/>
      <c r="AJ189" s="37"/>
      <c r="AK189" s="37"/>
      <c r="AL189" s="37"/>
      <c r="AM189" s="37"/>
      <c r="AN189" s="37"/>
      <c r="AO189" s="37"/>
      <c r="AP189" s="37"/>
      <c r="AQ189" s="37"/>
      <c r="AR189" s="37"/>
      <c r="AS189" s="37"/>
      <c r="AT189" s="37"/>
      <c r="AU189" s="37"/>
      <c r="AV189" s="59"/>
      <c r="AW189" s="1" t="str">
        <f>_xlfn.CONCAT(tbl_Ben_Info[[#This Row],[First Name]]," ",tbl_Ben_Info[[#This Row],[Father Name]]," ",tbl_Ben_Info[[#This Row],[Family Name]])</f>
        <v xml:space="preserve">  </v>
      </c>
    </row>
    <row r="190" spans="2:49" ht="25.15" customHeight="1" x14ac:dyDescent="0.25">
      <c r="B190" s="49">
        <v>185</v>
      </c>
      <c r="C190" s="1" t="str">
        <f>_xlfn.CONCAT("181-702-",IF(tbl_Ben_Info[[#This Row],[SN]]&lt;10,"00"&amp;tbl_Ben_Info[[#This Row],[SN]],IF(tbl_Ben_Info[[#This Row],[SN]]&lt;100,"0"&amp;tbl_Ben_Info[[#This Row],[SN]],tbl_Ben_Info[[#This Row],[SN]])))</f>
        <v>181-702-185</v>
      </c>
      <c r="D190" s="37"/>
      <c r="E190" s="40"/>
      <c r="F190" s="41"/>
      <c r="G190" s="42"/>
      <c r="H190" s="43"/>
      <c r="I190" s="73"/>
      <c r="J190" s="43"/>
      <c r="K190" s="43"/>
      <c r="L190" s="43"/>
      <c r="M190" s="43"/>
      <c r="N190" s="111"/>
      <c r="O190" s="43"/>
      <c r="P190" s="48"/>
      <c r="Q190" s="49"/>
      <c r="R190" s="37"/>
      <c r="S190" s="37"/>
      <c r="T190" s="37"/>
      <c r="U190" s="37"/>
      <c r="V190" s="59"/>
      <c r="W190" s="49"/>
      <c r="X190" s="37"/>
      <c r="Y190" s="37"/>
      <c r="Z190" s="37"/>
      <c r="AA190" s="37"/>
      <c r="AB190" s="37"/>
      <c r="AC190" s="37"/>
      <c r="AD190" s="37"/>
      <c r="AE190" s="37"/>
      <c r="AF190" s="37"/>
      <c r="AG190" s="59"/>
      <c r="AH190" s="49"/>
      <c r="AI190" s="37"/>
      <c r="AJ190" s="37"/>
      <c r="AK190" s="37"/>
      <c r="AL190" s="37"/>
      <c r="AM190" s="37"/>
      <c r="AN190" s="37"/>
      <c r="AO190" s="37"/>
      <c r="AP190" s="37"/>
      <c r="AQ190" s="37"/>
      <c r="AR190" s="37"/>
      <c r="AS190" s="37"/>
      <c r="AT190" s="37"/>
      <c r="AU190" s="37"/>
      <c r="AV190" s="59"/>
      <c r="AW190" s="1" t="str">
        <f>_xlfn.CONCAT(tbl_Ben_Info[[#This Row],[First Name]]," ",tbl_Ben_Info[[#This Row],[Father Name]]," ",tbl_Ben_Info[[#This Row],[Family Name]])</f>
        <v xml:space="preserve">  </v>
      </c>
    </row>
    <row r="191" spans="2:49" ht="25.15" customHeight="1" x14ac:dyDescent="0.25">
      <c r="B191" s="49">
        <v>186</v>
      </c>
      <c r="C191" s="1" t="str">
        <f>_xlfn.CONCAT("181-702-",IF(tbl_Ben_Info[[#This Row],[SN]]&lt;10,"00"&amp;tbl_Ben_Info[[#This Row],[SN]],IF(tbl_Ben_Info[[#This Row],[SN]]&lt;100,"0"&amp;tbl_Ben_Info[[#This Row],[SN]],tbl_Ben_Info[[#This Row],[SN]])))</f>
        <v>181-702-186</v>
      </c>
      <c r="D191" s="37"/>
      <c r="E191" s="40"/>
      <c r="F191" s="41"/>
      <c r="G191" s="42"/>
      <c r="H191" s="43"/>
      <c r="I191" s="73"/>
      <c r="J191" s="43"/>
      <c r="K191" s="43"/>
      <c r="L191" s="43"/>
      <c r="M191" s="43"/>
      <c r="N191" s="111"/>
      <c r="O191" s="43"/>
      <c r="P191" s="48"/>
      <c r="Q191" s="49"/>
      <c r="R191" s="37"/>
      <c r="S191" s="37"/>
      <c r="T191" s="37"/>
      <c r="U191" s="37"/>
      <c r="V191" s="59"/>
      <c r="W191" s="49"/>
      <c r="X191" s="37"/>
      <c r="Y191" s="37"/>
      <c r="Z191" s="37"/>
      <c r="AA191" s="37"/>
      <c r="AB191" s="37"/>
      <c r="AC191" s="37"/>
      <c r="AD191" s="37"/>
      <c r="AE191" s="37"/>
      <c r="AF191" s="37"/>
      <c r="AG191" s="59"/>
      <c r="AH191" s="49"/>
      <c r="AI191" s="37"/>
      <c r="AJ191" s="37"/>
      <c r="AK191" s="37"/>
      <c r="AL191" s="37"/>
      <c r="AM191" s="37"/>
      <c r="AN191" s="37"/>
      <c r="AO191" s="37"/>
      <c r="AP191" s="37"/>
      <c r="AQ191" s="37"/>
      <c r="AR191" s="37"/>
      <c r="AS191" s="37"/>
      <c r="AT191" s="37"/>
      <c r="AU191" s="37"/>
      <c r="AV191" s="59"/>
      <c r="AW191" s="1" t="str">
        <f>_xlfn.CONCAT(tbl_Ben_Info[[#This Row],[First Name]]," ",tbl_Ben_Info[[#This Row],[Father Name]]," ",tbl_Ben_Info[[#This Row],[Family Name]])</f>
        <v xml:space="preserve">  </v>
      </c>
    </row>
    <row r="192" spans="2:49" ht="25.15" customHeight="1" x14ac:dyDescent="0.25">
      <c r="B192" s="49">
        <v>187</v>
      </c>
      <c r="C192" s="1" t="str">
        <f>_xlfn.CONCAT("181-702-",IF(tbl_Ben_Info[[#This Row],[SN]]&lt;10,"00"&amp;tbl_Ben_Info[[#This Row],[SN]],IF(tbl_Ben_Info[[#This Row],[SN]]&lt;100,"0"&amp;tbl_Ben_Info[[#This Row],[SN]],tbl_Ben_Info[[#This Row],[SN]])))</f>
        <v>181-702-187</v>
      </c>
      <c r="D192" s="37"/>
      <c r="E192" s="40"/>
      <c r="F192" s="41"/>
      <c r="G192" s="42"/>
      <c r="H192" s="43"/>
      <c r="I192" s="73"/>
      <c r="J192" s="43"/>
      <c r="K192" s="43"/>
      <c r="L192" s="43"/>
      <c r="M192" s="43"/>
      <c r="N192" s="111"/>
      <c r="O192" s="43"/>
      <c r="P192" s="48"/>
      <c r="Q192" s="49"/>
      <c r="R192" s="37"/>
      <c r="S192" s="37"/>
      <c r="T192" s="37"/>
      <c r="U192" s="37"/>
      <c r="V192" s="59"/>
      <c r="W192" s="49"/>
      <c r="X192" s="37"/>
      <c r="Y192" s="37"/>
      <c r="Z192" s="37"/>
      <c r="AA192" s="37"/>
      <c r="AB192" s="37"/>
      <c r="AC192" s="37"/>
      <c r="AD192" s="37"/>
      <c r="AE192" s="37"/>
      <c r="AF192" s="37"/>
      <c r="AG192" s="59"/>
      <c r="AH192" s="49"/>
      <c r="AI192" s="37"/>
      <c r="AJ192" s="37"/>
      <c r="AK192" s="37"/>
      <c r="AL192" s="37"/>
      <c r="AM192" s="37"/>
      <c r="AN192" s="37"/>
      <c r="AO192" s="37"/>
      <c r="AP192" s="37"/>
      <c r="AQ192" s="37"/>
      <c r="AR192" s="37"/>
      <c r="AS192" s="37"/>
      <c r="AT192" s="37"/>
      <c r="AU192" s="37"/>
      <c r="AV192" s="59"/>
      <c r="AW192" s="1" t="str">
        <f>_xlfn.CONCAT(tbl_Ben_Info[[#This Row],[First Name]]," ",tbl_Ben_Info[[#This Row],[Father Name]]," ",tbl_Ben_Info[[#This Row],[Family Name]])</f>
        <v xml:space="preserve">  </v>
      </c>
    </row>
    <row r="193" spans="2:49" ht="25.15" customHeight="1" x14ac:dyDescent="0.25">
      <c r="B193" s="49">
        <v>188</v>
      </c>
      <c r="C193" s="1" t="str">
        <f>_xlfn.CONCAT("181-702-",IF(tbl_Ben_Info[[#This Row],[SN]]&lt;10,"00"&amp;tbl_Ben_Info[[#This Row],[SN]],IF(tbl_Ben_Info[[#This Row],[SN]]&lt;100,"0"&amp;tbl_Ben_Info[[#This Row],[SN]],tbl_Ben_Info[[#This Row],[SN]])))</f>
        <v>181-702-188</v>
      </c>
      <c r="D193" s="37"/>
      <c r="E193" s="40"/>
      <c r="F193" s="41"/>
      <c r="G193" s="42"/>
      <c r="H193" s="43"/>
      <c r="I193" s="73"/>
      <c r="J193" s="43"/>
      <c r="K193" s="43"/>
      <c r="L193" s="43"/>
      <c r="M193" s="43"/>
      <c r="N193" s="111"/>
      <c r="O193" s="43"/>
      <c r="P193" s="48"/>
      <c r="Q193" s="49"/>
      <c r="R193" s="37"/>
      <c r="S193" s="37"/>
      <c r="T193" s="37"/>
      <c r="U193" s="37"/>
      <c r="V193" s="59"/>
      <c r="W193" s="49"/>
      <c r="X193" s="37"/>
      <c r="Y193" s="37"/>
      <c r="Z193" s="37"/>
      <c r="AA193" s="37"/>
      <c r="AB193" s="37"/>
      <c r="AC193" s="37"/>
      <c r="AD193" s="37"/>
      <c r="AE193" s="37"/>
      <c r="AF193" s="37"/>
      <c r="AG193" s="59"/>
      <c r="AH193" s="49"/>
      <c r="AI193" s="37"/>
      <c r="AJ193" s="37"/>
      <c r="AK193" s="37"/>
      <c r="AL193" s="37"/>
      <c r="AM193" s="37"/>
      <c r="AN193" s="37"/>
      <c r="AO193" s="37"/>
      <c r="AP193" s="37"/>
      <c r="AQ193" s="37"/>
      <c r="AR193" s="37"/>
      <c r="AS193" s="37"/>
      <c r="AT193" s="37"/>
      <c r="AU193" s="37"/>
      <c r="AV193" s="59"/>
      <c r="AW193" s="1" t="str">
        <f>_xlfn.CONCAT(tbl_Ben_Info[[#This Row],[First Name]]," ",tbl_Ben_Info[[#This Row],[Father Name]]," ",tbl_Ben_Info[[#This Row],[Family Name]])</f>
        <v xml:space="preserve">  </v>
      </c>
    </row>
    <row r="194" spans="2:49" ht="25.15" customHeight="1" x14ac:dyDescent="0.25">
      <c r="B194" s="49">
        <v>189</v>
      </c>
      <c r="C194" s="1" t="str">
        <f>_xlfn.CONCAT("181-702-",IF(tbl_Ben_Info[[#This Row],[SN]]&lt;10,"00"&amp;tbl_Ben_Info[[#This Row],[SN]],IF(tbl_Ben_Info[[#This Row],[SN]]&lt;100,"0"&amp;tbl_Ben_Info[[#This Row],[SN]],tbl_Ben_Info[[#This Row],[SN]])))</f>
        <v>181-702-189</v>
      </c>
      <c r="D194" s="37"/>
      <c r="E194" s="40"/>
      <c r="F194" s="41"/>
      <c r="G194" s="42"/>
      <c r="H194" s="43"/>
      <c r="I194" s="73"/>
      <c r="J194" s="43"/>
      <c r="K194" s="43"/>
      <c r="L194" s="43"/>
      <c r="M194" s="43"/>
      <c r="N194" s="111"/>
      <c r="O194" s="43"/>
      <c r="P194" s="48"/>
      <c r="Q194" s="49"/>
      <c r="R194" s="37"/>
      <c r="S194" s="37"/>
      <c r="T194" s="37"/>
      <c r="U194" s="37"/>
      <c r="V194" s="59"/>
      <c r="W194" s="49"/>
      <c r="X194" s="37"/>
      <c r="Y194" s="37"/>
      <c r="Z194" s="37"/>
      <c r="AA194" s="37"/>
      <c r="AB194" s="37"/>
      <c r="AC194" s="37"/>
      <c r="AD194" s="37"/>
      <c r="AE194" s="37"/>
      <c r="AF194" s="37"/>
      <c r="AG194" s="59"/>
      <c r="AH194" s="49"/>
      <c r="AI194" s="37"/>
      <c r="AJ194" s="37"/>
      <c r="AK194" s="37"/>
      <c r="AL194" s="37"/>
      <c r="AM194" s="37"/>
      <c r="AN194" s="37"/>
      <c r="AO194" s="37"/>
      <c r="AP194" s="37"/>
      <c r="AQ194" s="37"/>
      <c r="AR194" s="37"/>
      <c r="AS194" s="37"/>
      <c r="AT194" s="37"/>
      <c r="AU194" s="37"/>
      <c r="AV194" s="59"/>
      <c r="AW194" s="1" t="str">
        <f>_xlfn.CONCAT(tbl_Ben_Info[[#This Row],[First Name]]," ",tbl_Ben_Info[[#This Row],[Father Name]]," ",tbl_Ben_Info[[#This Row],[Family Name]])</f>
        <v xml:space="preserve">  </v>
      </c>
    </row>
    <row r="195" spans="2:49" ht="25.15" customHeight="1" x14ac:dyDescent="0.25">
      <c r="B195" s="49">
        <v>190</v>
      </c>
      <c r="C195" s="1" t="str">
        <f>_xlfn.CONCAT("181-702-",IF(tbl_Ben_Info[[#This Row],[SN]]&lt;10,"00"&amp;tbl_Ben_Info[[#This Row],[SN]],IF(tbl_Ben_Info[[#This Row],[SN]]&lt;100,"0"&amp;tbl_Ben_Info[[#This Row],[SN]],tbl_Ben_Info[[#This Row],[SN]])))</f>
        <v>181-702-190</v>
      </c>
      <c r="D195" s="37"/>
      <c r="E195" s="40"/>
      <c r="F195" s="41"/>
      <c r="G195" s="42"/>
      <c r="H195" s="43"/>
      <c r="I195" s="73"/>
      <c r="J195" s="43"/>
      <c r="K195" s="43"/>
      <c r="L195" s="43"/>
      <c r="M195" s="43"/>
      <c r="N195" s="111"/>
      <c r="O195" s="43"/>
      <c r="P195" s="48"/>
      <c r="Q195" s="49"/>
      <c r="R195" s="37"/>
      <c r="S195" s="37"/>
      <c r="T195" s="37"/>
      <c r="U195" s="37"/>
      <c r="V195" s="59"/>
      <c r="W195" s="49"/>
      <c r="X195" s="37"/>
      <c r="Y195" s="37"/>
      <c r="Z195" s="37"/>
      <c r="AA195" s="37"/>
      <c r="AB195" s="37"/>
      <c r="AC195" s="37"/>
      <c r="AD195" s="37"/>
      <c r="AE195" s="37"/>
      <c r="AF195" s="37"/>
      <c r="AG195" s="59"/>
      <c r="AH195" s="49"/>
      <c r="AI195" s="37"/>
      <c r="AJ195" s="37"/>
      <c r="AK195" s="37"/>
      <c r="AL195" s="37"/>
      <c r="AM195" s="37"/>
      <c r="AN195" s="37"/>
      <c r="AO195" s="37"/>
      <c r="AP195" s="37"/>
      <c r="AQ195" s="37"/>
      <c r="AR195" s="37"/>
      <c r="AS195" s="37"/>
      <c r="AT195" s="37"/>
      <c r="AU195" s="37"/>
      <c r="AV195" s="59"/>
      <c r="AW195" s="1" t="str">
        <f>_xlfn.CONCAT(tbl_Ben_Info[[#This Row],[First Name]]," ",tbl_Ben_Info[[#This Row],[Father Name]]," ",tbl_Ben_Info[[#This Row],[Family Name]])</f>
        <v xml:space="preserve">  </v>
      </c>
    </row>
    <row r="196" spans="2:49" ht="25.15" customHeight="1" x14ac:dyDescent="0.25">
      <c r="B196" s="49">
        <v>191</v>
      </c>
      <c r="C196" s="1" t="str">
        <f>_xlfn.CONCAT("181-702-",IF(tbl_Ben_Info[[#This Row],[SN]]&lt;10,"00"&amp;tbl_Ben_Info[[#This Row],[SN]],IF(tbl_Ben_Info[[#This Row],[SN]]&lt;100,"0"&amp;tbl_Ben_Info[[#This Row],[SN]],tbl_Ben_Info[[#This Row],[SN]])))</f>
        <v>181-702-191</v>
      </c>
      <c r="D196" s="37"/>
      <c r="E196" s="40"/>
      <c r="F196" s="41"/>
      <c r="G196" s="42"/>
      <c r="H196" s="43"/>
      <c r="I196" s="73"/>
      <c r="J196" s="43"/>
      <c r="K196" s="43"/>
      <c r="L196" s="43"/>
      <c r="M196" s="43"/>
      <c r="N196" s="111"/>
      <c r="O196" s="43"/>
      <c r="P196" s="48"/>
      <c r="Q196" s="49"/>
      <c r="R196" s="37"/>
      <c r="S196" s="37"/>
      <c r="T196" s="37"/>
      <c r="U196" s="37"/>
      <c r="V196" s="59"/>
      <c r="W196" s="49"/>
      <c r="X196" s="37"/>
      <c r="Y196" s="37"/>
      <c r="Z196" s="37"/>
      <c r="AA196" s="37"/>
      <c r="AB196" s="37"/>
      <c r="AC196" s="37"/>
      <c r="AD196" s="37"/>
      <c r="AE196" s="37"/>
      <c r="AF196" s="37"/>
      <c r="AG196" s="59"/>
      <c r="AH196" s="49"/>
      <c r="AI196" s="37"/>
      <c r="AJ196" s="37"/>
      <c r="AK196" s="37"/>
      <c r="AL196" s="37"/>
      <c r="AM196" s="37"/>
      <c r="AN196" s="37"/>
      <c r="AO196" s="37"/>
      <c r="AP196" s="37"/>
      <c r="AQ196" s="37"/>
      <c r="AR196" s="37"/>
      <c r="AS196" s="37"/>
      <c r="AT196" s="37"/>
      <c r="AU196" s="37"/>
      <c r="AV196" s="59"/>
      <c r="AW196" s="1" t="str">
        <f>_xlfn.CONCAT(tbl_Ben_Info[[#This Row],[First Name]]," ",tbl_Ben_Info[[#This Row],[Father Name]]," ",tbl_Ben_Info[[#This Row],[Family Name]])</f>
        <v xml:space="preserve">  </v>
      </c>
    </row>
    <row r="197" spans="2:49" ht="25.15" customHeight="1" x14ac:dyDescent="0.25">
      <c r="B197" s="49">
        <v>192</v>
      </c>
      <c r="C197" s="1" t="str">
        <f>_xlfn.CONCAT("181-702-",IF(tbl_Ben_Info[[#This Row],[SN]]&lt;10,"00"&amp;tbl_Ben_Info[[#This Row],[SN]],IF(tbl_Ben_Info[[#This Row],[SN]]&lt;100,"0"&amp;tbl_Ben_Info[[#This Row],[SN]],tbl_Ben_Info[[#This Row],[SN]])))</f>
        <v>181-702-192</v>
      </c>
      <c r="D197" s="37"/>
      <c r="E197" s="40"/>
      <c r="F197" s="41"/>
      <c r="G197" s="42"/>
      <c r="H197" s="43"/>
      <c r="I197" s="73"/>
      <c r="J197" s="43"/>
      <c r="K197" s="43"/>
      <c r="L197" s="43"/>
      <c r="M197" s="43"/>
      <c r="N197" s="111"/>
      <c r="O197" s="43"/>
      <c r="P197" s="48"/>
      <c r="Q197" s="49"/>
      <c r="R197" s="37"/>
      <c r="S197" s="37"/>
      <c r="T197" s="37"/>
      <c r="U197" s="37"/>
      <c r="V197" s="59"/>
      <c r="W197" s="49"/>
      <c r="X197" s="37"/>
      <c r="Y197" s="37"/>
      <c r="Z197" s="37"/>
      <c r="AA197" s="37"/>
      <c r="AB197" s="37"/>
      <c r="AC197" s="37"/>
      <c r="AD197" s="37"/>
      <c r="AE197" s="37"/>
      <c r="AF197" s="37"/>
      <c r="AG197" s="59"/>
      <c r="AH197" s="49"/>
      <c r="AI197" s="37"/>
      <c r="AJ197" s="37"/>
      <c r="AK197" s="37"/>
      <c r="AL197" s="37"/>
      <c r="AM197" s="37"/>
      <c r="AN197" s="37"/>
      <c r="AO197" s="37"/>
      <c r="AP197" s="37"/>
      <c r="AQ197" s="37"/>
      <c r="AR197" s="37"/>
      <c r="AS197" s="37"/>
      <c r="AT197" s="37"/>
      <c r="AU197" s="37"/>
      <c r="AV197" s="59"/>
      <c r="AW197" s="1" t="str">
        <f>_xlfn.CONCAT(tbl_Ben_Info[[#This Row],[First Name]]," ",tbl_Ben_Info[[#This Row],[Father Name]]," ",tbl_Ben_Info[[#This Row],[Family Name]])</f>
        <v xml:space="preserve">  </v>
      </c>
    </row>
    <row r="198" spans="2:49" ht="25.15" customHeight="1" x14ac:dyDescent="0.25">
      <c r="B198" s="49">
        <v>193</v>
      </c>
      <c r="C198" s="1" t="str">
        <f>_xlfn.CONCAT("181-702-",IF(tbl_Ben_Info[[#This Row],[SN]]&lt;10,"00"&amp;tbl_Ben_Info[[#This Row],[SN]],IF(tbl_Ben_Info[[#This Row],[SN]]&lt;100,"0"&amp;tbl_Ben_Info[[#This Row],[SN]],tbl_Ben_Info[[#This Row],[SN]])))</f>
        <v>181-702-193</v>
      </c>
      <c r="D198" s="37"/>
      <c r="E198" s="40"/>
      <c r="F198" s="41"/>
      <c r="G198" s="42"/>
      <c r="H198" s="43"/>
      <c r="I198" s="73"/>
      <c r="J198" s="43"/>
      <c r="K198" s="43"/>
      <c r="L198" s="43"/>
      <c r="M198" s="43"/>
      <c r="N198" s="111"/>
      <c r="O198" s="43"/>
      <c r="P198" s="48"/>
      <c r="Q198" s="49"/>
      <c r="R198" s="37"/>
      <c r="S198" s="37"/>
      <c r="T198" s="37"/>
      <c r="U198" s="37"/>
      <c r="V198" s="59"/>
      <c r="W198" s="49"/>
      <c r="X198" s="37"/>
      <c r="Y198" s="37"/>
      <c r="Z198" s="37"/>
      <c r="AA198" s="37"/>
      <c r="AB198" s="37"/>
      <c r="AC198" s="37"/>
      <c r="AD198" s="37"/>
      <c r="AE198" s="37"/>
      <c r="AF198" s="37"/>
      <c r="AG198" s="59"/>
      <c r="AH198" s="49"/>
      <c r="AI198" s="37"/>
      <c r="AJ198" s="37"/>
      <c r="AK198" s="37"/>
      <c r="AL198" s="37"/>
      <c r="AM198" s="37"/>
      <c r="AN198" s="37"/>
      <c r="AO198" s="37"/>
      <c r="AP198" s="37"/>
      <c r="AQ198" s="37"/>
      <c r="AR198" s="37"/>
      <c r="AS198" s="37"/>
      <c r="AT198" s="37"/>
      <c r="AU198" s="37"/>
      <c r="AV198" s="59"/>
      <c r="AW198" s="1" t="str">
        <f>_xlfn.CONCAT(tbl_Ben_Info[[#This Row],[First Name]]," ",tbl_Ben_Info[[#This Row],[Father Name]]," ",tbl_Ben_Info[[#This Row],[Family Name]])</f>
        <v xml:space="preserve">  </v>
      </c>
    </row>
    <row r="199" spans="2:49" ht="25.15" customHeight="1" x14ac:dyDescent="0.25">
      <c r="B199" s="49">
        <v>194</v>
      </c>
      <c r="C199" s="1" t="str">
        <f>_xlfn.CONCAT("181-702-",IF(tbl_Ben_Info[[#This Row],[SN]]&lt;10,"00"&amp;tbl_Ben_Info[[#This Row],[SN]],IF(tbl_Ben_Info[[#This Row],[SN]]&lt;100,"0"&amp;tbl_Ben_Info[[#This Row],[SN]],tbl_Ben_Info[[#This Row],[SN]])))</f>
        <v>181-702-194</v>
      </c>
      <c r="D199" s="37"/>
      <c r="E199" s="40"/>
      <c r="F199" s="41"/>
      <c r="G199" s="42"/>
      <c r="H199" s="43"/>
      <c r="I199" s="73"/>
      <c r="J199" s="43"/>
      <c r="K199" s="43"/>
      <c r="L199" s="43"/>
      <c r="M199" s="43"/>
      <c r="N199" s="111"/>
      <c r="O199" s="43"/>
      <c r="P199" s="48"/>
      <c r="Q199" s="49"/>
      <c r="R199" s="37"/>
      <c r="S199" s="37"/>
      <c r="T199" s="37"/>
      <c r="U199" s="37"/>
      <c r="V199" s="59"/>
      <c r="W199" s="49"/>
      <c r="X199" s="37"/>
      <c r="Y199" s="37"/>
      <c r="Z199" s="37"/>
      <c r="AA199" s="37"/>
      <c r="AB199" s="37"/>
      <c r="AC199" s="37"/>
      <c r="AD199" s="37"/>
      <c r="AE199" s="37"/>
      <c r="AF199" s="37"/>
      <c r="AG199" s="59"/>
      <c r="AH199" s="49"/>
      <c r="AI199" s="37"/>
      <c r="AJ199" s="37"/>
      <c r="AK199" s="37"/>
      <c r="AL199" s="37"/>
      <c r="AM199" s="37"/>
      <c r="AN199" s="37"/>
      <c r="AO199" s="37"/>
      <c r="AP199" s="37"/>
      <c r="AQ199" s="37"/>
      <c r="AR199" s="37"/>
      <c r="AS199" s="37"/>
      <c r="AT199" s="37"/>
      <c r="AU199" s="37"/>
      <c r="AV199" s="59"/>
      <c r="AW199" s="1" t="str">
        <f>_xlfn.CONCAT(tbl_Ben_Info[[#This Row],[First Name]]," ",tbl_Ben_Info[[#This Row],[Father Name]]," ",tbl_Ben_Info[[#This Row],[Family Name]])</f>
        <v xml:space="preserve">  </v>
      </c>
    </row>
    <row r="200" spans="2:49" ht="25.15" customHeight="1" x14ac:dyDescent="0.25">
      <c r="B200" s="49">
        <v>195</v>
      </c>
      <c r="C200" s="1" t="str">
        <f>_xlfn.CONCAT("181-702-",IF(tbl_Ben_Info[[#This Row],[SN]]&lt;10,"00"&amp;tbl_Ben_Info[[#This Row],[SN]],IF(tbl_Ben_Info[[#This Row],[SN]]&lt;100,"0"&amp;tbl_Ben_Info[[#This Row],[SN]],tbl_Ben_Info[[#This Row],[SN]])))</f>
        <v>181-702-195</v>
      </c>
      <c r="D200" s="37"/>
      <c r="E200" s="40"/>
      <c r="F200" s="41"/>
      <c r="G200" s="42"/>
      <c r="H200" s="43"/>
      <c r="I200" s="73"/>
      <c r="J200" s="43"/>
      <c r="K200" s="43"/>
      <c r="L200" s="43"/>
      <c r="M200" s="43"/>
      <c r="N200" s="111"/>
      <c r="O200" s="43"/>
      <c r="P200" s="48"/>
      <c r="Q200" s="49"/>
      <c r="R200" s="37"/>
      <c r="S200" s="37"/>
      <c r="T200" s="37"/>
      <c r="U200" s="37"/>
      <c r="V200" s="59"/>
      <c r="W200" s="49"/>
      <c r="X200" s="37"/>
      <c r="Y200" s="37"/>
      <c r="Z200" s="37"/>
      <c r="AA200" s="37"/>
      <c r="AB200" s="37"/>
      <c r="AC200" s="37"/>
      <c r="AD200" s="37"/>
      <c r="AE200" s="37"/>
      <c r="AF200" s="37"/>
      <c r="AG200" s="59"/>
      <c r="AH200" s="49"/>
      <c r="AI200" s="37"/>
      <c r="AJ200" s="37"/>
      <c r="AK200" s="37"/>
      <c r="AL200" s="37"/>
      <c r="AM200" s="37"/>
      <c r="AN200" s="37"/>
      <c r="AO200" s="37"/>
      <c r="AP200" s="37"/>
      <c r="AQ200" s="37"/>
      <c r="AR200" s="37"/>
      <c r="AS200" s="37"/>
      <c r="AT200" s="37"/>
      <c r="AU200" s="37"/>
      <c r="AV200" s="59"/>
      <c r="AW200" s="1" t="str">
        <f>_xlfn.CONCAT(tbl_Ben_Info[[#This Row],[First Name]]," ",tbl_Ben_Info[[#This Row],[Father Name]]," ",tbl_Ben_Info[[#This Row],[Family Name]])</f>
        <v xml:space="preserve">  </v>
      </c>
    </row>
    <row r="201" spans="2:49" ht="25.15" customHeight="1" x14ac:dyDescent="0.25">
      <c r="B201" s="49">
        <v>196</v>
      </c>
      <c r="C201" s="1" t="str">
        <f>_xlfn.CONCAT("181-702-",IF(tbl_Ben_Info[[#This Row],[SN]]&lt;10,"00"&amp;tbl_Ben_Info[[#This Row],[SN]],IF(tbl_Ben_Info[[#This Row],[SN]]&lt;100,"0"&amp;tbl_Ben_Info[[#This Row],[SN]],tbl_Ben_Info[[#This Row],[SN]])))</f>
        <v>181-702-196</v>
      </c>
      <c r="D201" s="37"/>
      <c r="E201" s="40"/>
      <c r="F201" s="41"/>
      <c r="G201" s="42"/>
      <c r="H201" s="43"/>
      <c r="I201" s="73"/>
      <c r="J201" s="43"/>
      <c r="K201" s="43"/>
      <c r="L201" s="43"/>
      <c r="M201" s="43"/>
      <c r="N201" s="111"/>
      <c r="O201" s="43"/>
      <c r="P201" s="48"/>
      <c r="Q201" s="49"/>
      <c r="R201" s="37"/>
      <c r="S201" s="37"/>
      <c r="T201" s="37"/>
      <c r="U201" s="37"/>
      <c r="V201" s="59"/>
      <c r="W201" s="49"/>
      <c r="X201" s="37"/>
      <c r="Y201" s="37"/>
      <c r="Z201" s="37"/>
      <c r="AA201" s="37"/>
      <c r="AB201" s="37"/>
      <c r="AC201" s="37"/>
      <c r="AD201" s="37"/>
      <c r="AE201" s="37"/>
      <c r="AF201" s="37"/>
      <c r="AG201" s="59"/>
      <c r="AH201" s="49"/>
      <c r="AI201" s="37"/>
      <c r="AJ201" s="37"/>
      <c r="AK201" s="37"/>
      <c r="AL201" s="37"/>
      <c r="AM201" s="37"/>
      <c r="AN201" s="37"/>
      <c r="AO201" s="37"/>
      <c r="AP201" s="37"/>
      <c r="AQ201" s="37"/>
      <c r="AR201" s="37"/>
      <c r="AS201" s="37"/>
      <c r="AT201" s="37"/>
      <c r="AU201" s="37"/>
      <c r="AV201" s="59"/>
      <c r="AW201" s="1" t="str">
        <f>_xlfn.CONCAT(tbl_Ben_Info[[#This Row],[First Name]]," ",tbl_Ben_Info[[#This Row],[Father Name]]," ",tbl_Ben_Info[[#This Row],[Family Name]])</f>
        <v xml:space="preserve">  </v>
      </c>
    </row>
    <row r="202" spans="2:49" ht="25.15" customHeight="1" x14ac:dyDescent="0.25">
      <c r="B202" s="49">
        <v>197</v>
      </c>
      <c r="C202" s="1" t="str">
        <f>_xlfn.CONCAT("181-702-",IF(tbl_Ben_Info[[#This Row],[SN]]&lt;10,"00"&amp;tbl_Ben_Info[[#This Row],[SN]],IF(tbl_Ben_Info[[#This Row],[SN]]&lt;100,"0"&amp;tbl_Ben_Info[[#This Row],[SN]],tbl_Ben_Info[[#This Row],[SN]])))</f>
        <v>181-702-197</v>
      </c>
      <c r="D202" s="37"/>
      <c r="E202" s="40"/>
      <c r="F202" s="41"/>
      <c r="G202" s="42"/>
      <c r="H202" s="43"/>
      <c r="I202" s="73"/>
      <c r="J202" s="43"/>
      <c r="K202" s="43"/>
      <c r="L202" s="43"/>
      <c r="M202" s="43"/>
      <c r="N202" s="111"/>
      <c r="O202" s="43"/>
      <c r="P202" s="48"/>
      <c r="Q202" s="49"/>
      <c r="R202" s="37"/>
      <c r="S202" s="37"/>
      <c r="T202" s="37"/>
      <c r="U202" s="37"/>
      <c r="V202" s="59"/>
      <c r="W202" s="49"/>
      <c r="X202" s="37"/>
      <c r="Y202" s="37"/>
      <c r="Z202" s="37"/>
      <c r="AA202" s="37"/>
      <c r="AB202" s="37"/>
      <c r="AC202" s="37"/>
      <c r="AD202" s="37"/>
      <c r="AE202" s="37"/>
      <c r="AF202" s="37"/>
      <c r="AG202" s="59"/>
      <c r="AH202" s="49"/>
      <c r="AI202" s="37"/>
      <c r="AJ202" s="37"/>
      <c r="AK202" s="37"/>
      <c r="AL202" s="37"/>
      <c r="AM202" s="37"/>
      <c r="AN202" s="37"/>
      <c r="AO202" s="37"/>
      <c r="AP202" s="37"/>
      <c r="AQ202" s="37"/>
      <c r="AR202" s="37"/>
      <c r="AS202" s="37"/>
      <c r="AT202" s="37"/>
      <c r="AU202" s="37"/>
      <c r="AV202" s="59"/>
      <c r="AW202" s="1" t="str">
        <f>_xlfn.CONCAT(tbl_Ben_Info[[#This Row],[First Name]]," ",tbl_Ben_Info[[#This Row],[Father Name]]," ",tbl_Ben_Info[[#This Row],[Family Name]])</f>
        <v xml:space="preserve">  </v>
      </c>
    </row>
    <row r="203" spans="2:49" ht="25.15" customHeight="1" x14ac:dyDescent="0.25">
      <c r="B203" s="49">
        <v>198</v>
      </c>
      <c r="C203" s="1" t="str">
        <f>_xlfn.CONCAT("181-702-",IF(tbl_Ben_Info[[#This Row],[SN]]&lt;10,"00"&amp;tbl_Ben_Info[[#This Row],[SN]],IF(tbl_Ben_Info[[#This Row],[SN]]&lt;100,"0"&amp;tbl_Ben_Info[[#This Row],[SN]],tbl_Ben_Info[[#This Row],[SN]])))</f>
        <v>181-702-198</v>
      </c>
      <c r="D203" s="37"/>
      <c r="E203" s="40"/>
      <c r="F203" s="41"/>
      <c r="G203" s="42"/>
      <c r="H203" s="43"/>
      <c r="I203" s="73"/>
      <c r="J203" s="43"/>
      <c r="K203" s="43"/>
      <c r="L203" s="43"/>
      <c r="M203" s="43"/>
      <c r="N203" s="111"/>
      <c r="O203" s="43"/>
      <c r="P203" s="48"/>
      <c r="Q203" s="49"/>
      <c r="R203" s="37"/>
      <c r="S203" s="37"/>
      <c r="T203" s="37"/>
      <c r="U203" s="37"/>
      <c r="V203" s="59"/>
      <c r="W203" s="49"/>
      <c r="X203" s="37"/>
      <c r="Y203" s="37"/>
      <c r="Z203" s="37"/>
      <c r="AA203" s="37"/>
      <c r="AB203" s="37"/>
      <c r="AC203" s="37"/>
      <c r="AD203" s="37"/>
      <c r="AE203" s="37"/>
      <c r="AF203" s="37"/>
      <c r="AG203" s="59"/>
      <c r="AH203" s="49"/>
      <c r="AI203" s="37"/>
      <c r="AJ203" s="37"/>
      <c r="AK203" s="37"/>
      <c r="AL203" s="37"/>
      <c r="AM203" s="37"/>
      <c r="AN203" s="37"/>
      <c r="AO203" s="37"/>
      <c r="AP203" s="37"/>
      <c r="AQ203" s="37"/>
      <c r="AR203" s="37"/>
      <c r="AS203" s="37"/>
      <c r="AT203" s="37"/>
      <c r="AU203" s="37"/>
      <c r="AV203" s="59"/>
      <c r="AW203" s="1" t="str">
        <f>_xlfn.CONCAT(tbl_Ben_Info[[#This Row],[First Name]]," ",tbl_Ben_Info[[#This Row],[Father Name]]," ",tbl_Ben_Info[[#This Row],[Family Name]])</f>
        <v xml:space="preserve">  </v>
      </c>
    </row>
    <row r="204" spans="2:49" ht="25.15" customHeight="1" x14ac:dyDescent="0.25">
      <c r="B204" s="49">
        <v>199</v>
      </c>
      <c r="C204" s="1" t="str">
        <f>_xlfn.CONCAT("181-702-",IF(tbl_Ben_Info[[#This Row],[SN]]&lt;10,"00"&amp;tbl_Ben_Info[[#This Row],[SN]],IF(tbl_Ben_Info[[#This Row],[SN]]&lt;100,"0"&amp;tbl_Ben_Info[[#This Row],[SN]],tbl_Ben_Info[[#This Row],[SN]])))</f>
        <v>181-702-199</v>
      </c>
      <c r="D204" s="37"/>
      <c r="E204" s="40"/>
      <c r="F204" s="41"/>
      <c r="G204" s="42"/>
      <c r="H204" s="43"/>
      <c r="I204" s="73"/>
      <c r="J204" s="43"/>
      <c r="K204" s="43"/>
      <c r="L204" s="43"/>
      <c r="M204" s="43"/>
      <c r="N204" s="111"/>
      <c r="O204" s="43"/>
      <c r="P204" s="48"/>
      <c r="Q204" s="49"/>
      <c r="R204" s="37"/>
      <c r="S204" s="37"/>
      <c r="T204" s="37"/>
      <c r="U204" s="37"/>
      <c r="V204" s="59"/>
      <c r="W204" s="49"/>
      <c r="X204" s="37"/>
      <c r="Y204" s="37"/>
      <c r="Z204" s="37"/>
      <c r="AA204" s="37"/>
      <c r="AB204" s="37"/>
      <c r="AC204" s="37"/>
      <c r="AD204" s="37"/>
      <c r="AE204" s="37"/>
      <c r="AF204" s="37"/>
      <c r="AG204" s="59"/>
      <c r="AH204" s="49"/>
      <c r="AI204" s="37"/>
      <c r="AJ204" s="37"/>
      <c r="AK204" s="37"/>
      <c r="AL204" s="37"/>
      <c r="AM204" s="37"/>
      <c r="AN204" s="37"/>
      <c r="AO204" s="37"/>
      <c r="AP204" s="37"/>
      <c r="AQ204" s="37"/>
      <c r="AR204" s="37"/>
      <c r="AS204" s="37"/>
      <c r="AT204" s="37"/>
      <c r="AU204" s="37"/>
      <c r="AV204" s="59"/>
      <c r="AW204" s="1" t="str">
        <f>_xlfn.CONCAT(tbl_Ben_Info[[#This Row],[First Name]]," ",tbl_Ben_Info[[#This Row],[Father Name]]," ",tbl_Ben_Info[[#This Row],[Family Name]])</f>
        <v xml:space="preserve">  </v>
      </c>
    </row>
    <row r="205" spans="2:49" ht="25.15" customHeight="1" x14ac:dyDescent="0.25">
      <c r="B205" s="49">
        <v>200</v>
      </c>
      <c r="C205" s="1" t="str">
        <f>_xlfn.CONCAT("181-702-",IF(tbl_Ben_Info[[#This Row],[SN]]&lt;10,"00"&amp;tbl_Ben_Info[[#This Row],[SN]],IF(tbl_Ben_Info[[#This Row],[SN]]&lt;100,"0"&amp;tbl_Ben_Info[[#This Row],[SN]],tbl_Ben_Info[[#This Row],[SN]])))</f>
        <v>181-702-200</v>
      </c>
      <c r="D205" s="37"/>
      <c r="E205" s="40"/>
      <c r="F205" s="41"/>
      <c r="G205" s="42"/>
      <c r="H205" s="43"/>
      <c r="I205" s="73"/>
      <c r="J205" s="43"/>
      <c r="K205" s="43"/>
      <c r="L205" s="43"/>
      <c r="M205" s="43"/>
      <c r="N205" s="111"/>
      <c r="O205" s="43"/>
      <c r="P205" s="48"/>
      <c r="Q205" s="49"/>
      <c r="R205" s="37"/>
      <c r="S205" s="37"/>
      <c r="T205" s="37"/>
      <c r="U205" s="37"/>
      <c r="V205" s="59"/>
      <c r="W205" s="49"/>
      <c r="X205" s="37"/>
      <c r="Y205" s="37"/>
      <c r="Z205" s="37"/>
      <c r="AA205" s="37"/>
      <c r="AB205" s="37"/>
      <c r="AC205" s="37"/>
      <c r="AD205" s="37"/>
      <c r="AE205" s="37"/>
      <c r="AF205" s="37"/>
      <c r="AG205" s="59"/>
      <c r="AH205" s="49"/>
      <c r="AI205" s="37"/>
      <c r="AJ205" s="37"/>
      <c r="AK205" s="37"/>
      <c r="AL205" s="37"/>
      <c r="AM205" s="37"/>
      <c r="AN205" s="37"/>
      <c r="AO205" s="37"/>
      <c r="AP205" s="37"/>
      <c r="AQ205" s="37"/>
      <c r="AR205" s="37"/>
      <c r="AS205" s="37"/>
      <c r="AT205" s="37"/>
      <c r="AU205" s="37"/>
      <c r="AV205" s="59"/>
      <c r="AW205" s="1" t="str">
        <f>_xlfn.CONCAT(tbl_Ben_Info[[#This Row],[First Name]]," ",tbl_Ben_Info[[#This Row],[Father Name]]," ",tbl_Ben_Info[[#This Row],[Family Name]])</f>
        <v xml:space="preserve">  </v>
      </c>
    </row>
    <row r="206" spans="2:49" ht="25.15" customHeight="1" x14ac:dyDescent="0.25">
      <c r="B206" s="49">
        <v>201</v>
      </c>
      <c r="C206" s="1" t="str">
        <f>_xlfn.CONCAT("181-702-",IF(tbl_Ben_Info[[#This Row],[SN]]&lt;10,"00"&amp;tbl_Ben_Info[[#This Row],[SN]],IF(tbl_Ben_Info[[#This Row],[SN]]&lt;100,"0"&amp;tbl_Ben_Info[[#This Row],[SN]],tbl_Ben_Info[[#This Row],[SN]])))</f>
        <v>181-702-201</v>
      </c>
      <c r="D206" s="37"/>
      <c r="E206" s="40"/>
      <c r="F206" s="41"/>
      <c r="G206" s="42"/>
      <c r="H206" s="43"/>
      <c r="I206" s="73"/>
      <c r="J206" s="43"/>
      <c r="K206" s="43"/>
      <c r="L206" s="43"/>
      <c r="M206" s="43"/>
      <c r="N206" s="111"/>
      <c r="O206" s="43"/>
      <c r="P206" s="48"/>
      <c r="Q206" s="49"/>
      <c r="R206" s="37"/>
      <c r="S206" s="37"/>
      <c r="T206" s="37"/>
      <c r="U206" s="37"/>
      <c r="V206" s="59"/>
      <c r="W206" s="49"/>
      <c r="X206" s="37"/>
      <c r="Y206" s="37"/>
      <c r="Z206" s="37"/>
      <c r="AA206" s="37"/>
      <c r="AB206" s="37"/>
      <c r="AC206" s="37"/>
      <c r="AD206" s="37"/>
      <c r="AE206" s="37"/>
      <c r="AF206" s="37"/>
      <c r="AG206" s="59"/>
      <c r="AH206" s="49"/>
      <c r="AI206" s="37"/>
      <c r="AJ206" s="37"/>
      <c r="AK206" s="37"/>
      <c r="AL206" s="37"/>
      <c r="AM206" s="37"/>
      <c r="AN206" s="37"/>
      <c r="AO206" s="37"/>
      <c r="AP206" s="37"/>
      <c r="AQ206" s="37"/>
      <c r="AR206" s="37"/>
      <c r="AS206" s="37"/>
      <c r="AT206" s="37"/>
      <c r="AU206" s="37"/>
      <c r="AV206" s="59"/>
      <c r="AW206" s="1" t="str">
        <f>_xlfn.CONCAT(tbl_Ben_Info[[#This Row],[First Name]]," ",tbl_Ben_Info[[#This Row],[Father Name]]," ",tbl_Ben_Info[[#This Row],[Family Name]])</f>
        <v xml:space="preserve">  </v>
      </c>
    </row>
    <row r="207" spans="2:49" ht="25.15" customHeight="1" x14ac:dyDescent="0.25">
      <c r="B207" s="49">
        <v>202</v>
      </c>
      <c r="C207" s="1" t="str">
        <f>_xlfn.CONCAT("181-702-",IF(tbl_Ben_Info[[#This Row],[SN]]&lt;10,"00"&amp;tbl_Ben_Info[[#This Row],[SN]],IF(tbl_Ben_Info[[#This Row],[SN]]&lt;100,"0"&amp;tbl_Ben_Info[[#This Row],[SN]],tbl_Ben_Info[[#This Row],[SN]])))</f>
        <v>181-702-202</v>
      </c>
      <c r="D207" s="37"/>
      <c r="E207" s="40"/>
      <c r="F207" s="41"/>
      <c r="G207" s="42"/>
      <c r="H207" s="43"/>
      <c r="I207" s="73"/>
      <c r="J207" s="43"/>
      <c r="K207" s="43"/>
      <c r="L207" s="43"/>
      <c r="M207" s="43"/>
      <c r="N207" s="111"/>
      <c r="O207" s="43"/>
      <c r="P207" s="48"/>
      <c r="Q207" s="49"/>
      <c r="R207" s="37"/>
      <c r="S207" s="37"/>
      <c r="T207" s="37"/>
      <c r="U207" s="37"/>
      <c r="V207" s="59"/>
      <c r="W207" s="49"/>
      <c r="X207" s="37"/>
      <c r="Y207" s="37"/>
      <c r="Z207" s="37"/>
      <c r="AA207" s="37"/>
      <c r="AB207" s="37"/>
      <c r="AC207" s="37"/>
      <c r="AD207" s="37"/>
      <c r="AE207" s="37"/>
      <c r="AF207" s="37"/>
      <c r="AG207" s="59"/>
      <c r="AH207" s="49"/>
      <c r="AI207" s="37"/>
      <c r="AJ207" s="37"/>
      <c r="AK207" s="37"/>
      <c r="AL207" s="37"/>
      <c r="AM207" s="37"/>
      <c r="AN207" s="37"/>
      <c r="AO207" s="37"/>
      <c r="AP207" s="37"/>
      <c r="AQ207" s="37"/>
      <c r="AR207" s="37"/>
      <c r="AS207" s="37"/>
      <c r="AT207" s="37"/>
      <c r="AU207" s="37"/>
      <c r="AV207" s="59"/>
      <c r="AW207" s="1" t="str">
        <f>_xlfn.CONCAT(tbl_Ben_Info[[#This Row],[First Name]]," ",tbl_Ben_Info[[#This Row],[Father Name]]," ",tbl_Ben_Info[[#This Row],[Family Name]])</f>
        <v xml:space="preserve">  </v>
      </c>
    </row>
    <row r="208" spans="2:49" ht="25.15" customHeight="1" x14ac:dyDescent="0.25">
      <c r="B208" s="49">
        <v>203</v>
      </c>
      <c r="C208" s="1" t="str">
        <f>_xlfn.CONCAT("181-702-",IF(tbl_Ben_Info[[#This Row],[SN]]&lt;10,"00"&amp;tbl_Ben_Info[[#This Row],[SN]],IF(tbl_Ben_Info[[#This Row],[SN]]&lt;100,"0"&amp;tbl_Ben_Info[[#This Row],[SN]],tbl_Ben_Info[[#This Row],[SN]])))</f>
        <v>181-702-203</v>
      </c>
      <c r="D208" s="37"/>
      <c r="E208" s="40"/>
      <c r="F208" s="41"/>
      <c r="G208" s="42"/>
      <c r="H208" s="43"/>
      <c r="I208" s="73"/>
      <c r="J208" s="43"/>
      <c r="K208" s="43"/>
      <c r="L208" s="43"/>
      <c r="M208" s="43"/>
      <c r="N208" s="111"/>
      <c r="O208" s="43"/>
      <c r="P208" s="48"/>
      <c r="Q208" s="49"/>
      <c r="R208" s="37"/>
      <c r="S208" s="37"/>
      <c r="T208" s="37"/>
      <c r="U208" s="37"/>
      <c r="V208" s="59"/>
      <c r="W208" s="49"/>
      <c r="X208" s="37"/>
      <c r="Y208" s="37"/>
      <c r="Z208" s="37"/>
      <c r="AA208" s="37"/>
      <c r="AB208" s="37"/>
      <c r="AC208" s="37"/>
      <c r="AD208" s="37"/>
      <c r="AE208" s="37"/>
      <c r="AF208" s="37"/>
      <c r="AG208" s="59"/>
      <c r="AH208" s="49"/>
      <c r="AI208" s="37"/>
      <c r="AJ208" s="37"/>
      <c r="AK208" s="37"/>
      <c r="AL208" s="37"/>
      <c r="AM208" s="37"/>
      <c r="AN208" s="37"/>
      <c r="AO208" s="37"/>
      <c r="AP208" s="37"/>
      <c r="AQ208" s="37"/>
      <c r="AR208" s="37"/>
      <c r="AS208" s="37"/>
      <c r="AT208" s="37"/>
      <c r="AU208" s="37"/>
      <c r="AV208" s="59"/>
      <c r="AW208" s="1" t="str">
        <f>_xlfn.CONCAT(tbl_Ben_Info[[#This Row],[First Name]]," ",tbl_Ben_Info[[#This Row],[Father Name]]," ",tbl_Ben_Info[[#This Row],[Family Name]])</f>
        <v xml:space="preserve">  </v>
      </c>
    </row>
    <row r="209" spans="2:49" ht="25.15" customHeight="1" x14ac:dyDescent="0.25">
      <c r="B209" s="49">
        <v>204</v>
      </c>
      <c r="C209" s="1" t="str">
        <f>_xlfn.CONCAT("181-702-",IF(tbl_Ben_Info[[#This Row],[SN]]&lt;10,"00"&amp;tbl_Ben_Info[[#This Row],[SN]],IF(tbl_Ben_Info[[#This Row],[SN]]&lt;100,"0"&amp;tbl_Ben_Info[[#This Row],[SN]],tbl_Ben_Info[[#This Row],[SN]])))</f>
        <v>181-702-204</v>
      </c>
      <c r="D209" s="37"/>
      <c r="E209" s="40"/>
      <c r="F209" s="41"/>
      <c r="G209" s="42"/>
      <c r="H209" s="43"/>
      <c r="I209" s="73"/>
      <c r="J209" s="43"/>
      <c r="K209" s="43"/>
      <c r="L209" s="43"/>
      <c r="M209" s="43"/>
      <c r="N209" s="111"/>
      <c r="O209" s="43"/>
      <c r="P209" s="48"/>
      <c r="Q209" s="49"/>
      <c r="R209" s="37"/>
      <c r="S209" s="37"/>
      <c r="T209" s="37"/>
      <c r="U209" s="37"/>
      <c r="V209" s="59"/>
      <c r="W209" s="49"/>
      <c r="X209" s="37"/>
      <c r="Y209" s="37"/>
      <c r="Z209" s="37"/>
      <c r="AA209" s="37"/>
      <c r="AB209" s="37"/>
      <c r="AC209" s="37"/>
      <c r="AD209" s="37"/>
      <c r="AE209" s="37"/>
      <c r="AF209" s="37"/>
      <c r="AG209" s="59"/>
      <c r="AH209" s="49"/>
      <c r="AI209" s="37"/>
      <c r="AJ209" s="37"/>
      <c r="AK209" s="37"/>
      <c r="AL209" s="37"/>
      <c r="AM209" s="37"/>
      <c r="AN209" s="37"/>
      <c r="AO209" s="37"/>
      <c r="AP209" s="37"/>
      <c r="AQ209" s="37"/>
      <c r="AR209" s="37"/>
      <c r="AS209" s="37"/>
      <c r="AT209" s="37"/>
      <c r="AU209" s="37"/>
      <c r="AV209" s="59"/>
      <c r="AW209" s="1" t="str">
        <f>_xlfn.CONCAT(tbl_Ben_Info[[#This Row],[First Name]]," ",tbl_Ben_Info[[#This Row],[Father Name]]," ",tbl_Ben_Info[[#This Row],[Family Name]])</f>
        <v xml:space="preserve">  </v>
      </c>
    </row>
    <row r="210" spans="2:49" ht="25.15" customHeight="1" x14ac:dyDescent="0.25">
      <c r="B210" s="49">
        <v>205</v>
      </c>
      <c r="C210" s="1" t="str">
        <f>_xlfn.CONCAT("181-702-",IF(tbl_Ben_Info[[#This Row],[SN]]&lt;10,"00"&amp;tbl_Ben_Info[[#This Row],[SN]],IF(tbl_Ben_Info[[#This Row],[SN]]&lt;100,"0"&amp;tbl_Ben_Info[[#This Row],[SN]],tbl_Ben_Info[[#This Row],[SN]])))</f>
        <v>181-702-205</v>
      </c>
      <c r="D210" s="37"/>
      <c r="E210" s="40"/>
      <c r="F210" s="41"/>
      <c r="G210" s="42"/>
      <c r="H210" s="43"/>
      <c r="I210" s="73"/>
      <c r="J210" s="43"/>
      <c r="K210" s="43"/>
      <c r="L210" s="43"/>
      <c r="M210" s="43"/>
      <c r="N210" s="111"/>
      <c r="O210" s="43"/>
      <c r="P210" s="48"/>
      <c r="Q210" s="49"/>
      <c r="R210" s="37"/>
      <c r="S210" s="37"/>
      <c r="T210" s="37"/>
      <c r="U210" s="37"/>
      <c r="V210" s="59"/>
      <c r="W210" s="49"/>
      <c r="X210" s="37"/>
      <c r="Y210" s="37"/>
      <c r="Z210" s="37"/>
      <c r="AA210" s="37"/>
      <c r="AB210" s="37"/>
      <c r="AC210" s="37"/>
      <c r="AD210" s="37"/>
      <c r="AE210" s="37"/>
      <c r="AF210" s="37"/>
      <c r="AG210" s="59"/>
      <c r="AH210" s="49"/>
      <c r="AI210" s="37"/>
      <c r="AJ210" s="37"/>
      <c r="AK210" s="37"/>
      <c r="AL210" s="37"/>
      <c r="AM210" s="37"/>
      <c r="AN210" s="37"/>
      <c r="AO210" s="37"/>
      <c r="AP210" s="37"/>
      <c r="AQ210" s="37"/>
      <c r="AR210" s="37"/>
      <c r="AS210" s="37"/>
      <c r="AT210" s="37"/>
      <c r="AU210" s="37"/>
      <c r="AV210" s="59"/>
      <c r="AW210" s="1" t="str">
        <f>_xlfn.CONCAT(tbl_Ben_Info[[#This Row],[First Name]]," ",tbl_Ben_Info[[#This Row],[Father Name]]," ",tbl_Ben_Info[[#This Row],[Family Name]])</f>
        <v xml:space="preserve">  </v>
      </c>
    </row>
    <row r="211" spans="2:49" ht="25.15" customHeight="1" x14ac:dyDescent="0.25">
      <c r="B211" s="49">
        <v>206</v>
      </c>
      <c r="C211" s="1" t="str">
        <f>_xlfn.CONCAT("181-702-",IF(tbl_Ben_Info[[#This Row],[SN]]&lt;10,"00"&amp;tbl_Ben_Info[[#This Row],[SN]],IF(tbl_Ben_Info[[#This Row],[SN]]&lt;100,"0"&amp;tbl_Ben_Info[[#This Row],[SN]],tbl_Ben_Info[[#This Row],[SN]])))</f>
        <v>181-702-206</v>
      </c>
      <c r="D211" s="37"/>
      <c r="E211" s="40"/>
      <c r="F211" s="41"/>
      <c r="G211" s="42"/>
      <c r="H211" s="43"/>
      <c r="I211" s="73"/>
      <c r="J211" s="43"/>
      <c r="K211" s="43"/>
      <c r="L211" s="43"/>
      <c r="M211" s="43"/>
      <c r="N211" s="111"/>
      <c r="O211" s="43"/>
      <c r="P211" s="48"/>
      <c r="Q211" s="49"/>
      <c r="R211" s="37"/>
      <c r="S211" s="37"/>
      <c r="T211" s="37"/>
      <c r="U211" s="37"/>
      <c r="V211" s="59"/>
      <c r="W211" s="49"/>
      <c r="X211" s="37"/>
      <c r="Y211" s="37"/>
      <c r="Z211" s="37"/>
      <c r="AA211" s="37"/>
      <c r="AB211" s="37"/>
      <c r="AC211" s="37"/>
      <c r="AD211" s="37"/>
      <c r="AE211" s="37"/>
      <c r="AF211" s="37"/>
      <c r="AG211" s="59"/>
      <c r="AH211" s="49"/>
      <c r="AI211" s="37"/>
      <c r="AJ211" s="37"/>
      <c r="AK211" s="37"/>
      <c r="AL211" s="37"/>
      <c r="AM211" s="37"/>
      <c r="AN211" s="37"/>
      <c r="AO211" s="37"/>
      <c r="AP211" s="37"/>
      <c r="AQ211" s="37"/>
      <c r="AR211" s="37"/>
      <c r="AS211" s="37"/>
      <c r="AT211" s="37"/>
      <c r="AU211" s="37"/>
      <c r="AV211" s="59"/>
      <c r="AW211" s="1" t="str">
        <f>_xlfn.CONCAT(tbl_Ben_Info[[#This Row],[First Name]]," ",tbl_Ben_Info[[#This Row],[Father Name]]," ",tbl_Ben_Info[[#This Row],[Family Name]])</f>
        <v xml:space="preserve">  </v>
      </c>
    </row>
    <row r="212" spans="2:49" ht="25.15" customHeight="1" x14ac:dyDescent="0.25">
      <c r="B212" s="49">
        <v>207</v>
      </c>
      <c r="C212" s="1" t="str">
        <f>_xlfn.CONCAT("181-702-",IF(tbl_Ben_Info[[#This Row],[SN]]&lt;10,"00"&amp;tbl_Ben_Info[[#This Row],[SN]],IF(tbl_Ben_Info[[#This Row],[SN]]&lt;100,"0"&amp;tbl_Ben_Info[[#This Row],[SN]],tbl_Ben_Info[[#This Row],[SN]])))</f>
        <v>181-702-207</v>
      </c>
      <c r="D212" s="37"/>
      <c r="E212" s="40"/>
      <c r="F212" s="41"/>
      <c r="G212" s="42"/>
      <c r="H212" s="43"/>
      <c r="I212" s="73"/>
      <c r="J212" s="43"/>
      <c r="K212" s="43"/>
      <c r="L212" s="43"/>
      <c r="M212" s="43"/>
      <c r="N212" s="111"/>
      <c r="O212" s="43"/>
      <c r="P212" s="48"/>
      <c r="Q212" s="49"/>
      <c r="R212" s="37"/>
      <c r="S212" s="37"/>
      <c r="T212" s="37"/>
      <c r="U212" s="37"/>
      <c r="V212" s="59"/>
      <c r="W212" s="49"/>
      <c r="X212" s="37"/>
      <c r="Y212" s="37"/>
      <c r="Z212" s="37"/>
      <c r="AA212" s="37"/>
      <c r="AB212" s="37"/>
      <c r="AC212" s="37"/>
      <c r="AD212" s="37"/>
      <c r="AE212" s="37"/>
      <c r="AF212" s="37"/>
      <c r="AG212" s="59"/>
      <c r="AH212" s="49"/>
      <c r="AI212" s="37"/>
      <c r="AJ212" s="37"/>
      <c r="AK212" s="37"/>
      <c r="AL212" s="37"/>
      <c r="AM212" s="37"/>
      <c r="AN212" s="37"/>
      <c r="AO212" s="37"/>
      <c r="AP212" s="37"/>
      <c r="AQ212" s="37"/>
      <c r="AR212" s="37"/>
      <c r="AS212" s="37"/>
      <c r="AT212" s="37"/>
      <c r="AU212" s="37"/>
      <c r="AV212" s="59"/>
      <c r="AW212" s="1" t="str">
        <f>_xlfn.CONCAT(tbl_Ben_Info[[#This Row],[First Name]]," ",tbl_Ben_Info[[#This Row],[Father Name]]," ",tbl_Ben_Info[[#This Row],[Family Name]])</f>
        <v xml:space="preserve">  </v>
      </c>
    </row>
    <row r="213" spans="2:49" ht="25.15" customHeight="1" x14ac:dyDescent="0.25">
      <c r="B213" s="49">
        <v>208</v>
      </c>
      <c r="C213" s="1" t="str">
        <f>_xlfn.CONCAT("181-702-",IF(tbl_Ben_Info[[#This Row],[SN]]&lt;10,"00"&amp;tbl_Ben_Info[[#This Row],[SN]],IF(tbl_Ben_Info[[#This Row],[SN]]&lt;100,"0"&amp;tbl_Ben_Info[[#This Row],[SN]],tbl_Ben_Info[[#This Row],[SN]])))</f>
        <v>181-702-208</v>
      </c>
      <c r="D213" s="37"/>
      <c r="E213" s="40"/>
      <c r="F213" s="41"/>
      <c r="G213" s="42"/>
      <c r="H213" s="43"/>
      <c r="I213" s="73"/>
      <c r="J213" s="43"/>
      <c r="K213" s="43"/>
      <c r="L213" s="43"/>
      <c r="M213" s="43"/>
      <c r="N213" s="111"/>
      <c r="O213" s="43"/>
      <c r="P213" s="48"/>
      <c r="Q213" s="49"/>
      <c r="R213" s="37"/>
      <c r="S213" s="37"/>
      <c r="T213" s="37"/>
      <c r="U213" s="37"/>
      <c r="V213" s="59"/>
      <c r="W213" s="49"/>
      <c r="X213" s="37"/>
      <c r="Y213" s="37"/>
      <c r="Z213" s="37"/>
      <c r="AA213" s="37"/>
      <c r="AB213" s="37"/>
      <c r="AC213" s="37"/>
      <c r="AD213" s="37"/>
      <c r="AE213" s="37"/>
      <c r="AF213" s="37"/>
      <c r="AG213" s="59"/>
      <c r="AH213" s="49"/>
      <c r="AI213" s="37"/>
      <c r="AJ213" s="37"/>
      <c r="AK213" s="37"/>
      <c r="AL213" s="37"/>
      <c r="AM213" s="37"/>
      <c r="AN213" s="37"/>
      <c r="AO213" s="37"/>
      <c r="AP213" s="37"/>
      <c r="AQ213" s="37"/>
      <c r="AR213" s="37"/>
      <c r="AS213" s="37"/>
      <c r="AT213" s="37"/>
      <c r="AU213" s="37"/>
      <c r="AV213" s="59"/>
      <c r="AW213" s="1" t="str">
        <f>_xlfn.CONCAT(tbl_Ben_Info[[#This Row],[First Name]]," ",tbl_Ben_Info[[#This Row],[Father Name]]," ",tbl_Ben_Info[[#This Row],[Family Name]])</f>
        <v xml:space="preserve">  </v>
      </c>
    </row>
    <row r="214" spans="2:49" ht="25.15" customHeight="1" x14ac:dyDescent="0.25">
      <c r="B214" s="49">
        <v>209</v>
      </c>
      <c r="C214" s="1" t="str">
        <f>_xlfn.CONCAT("181-702-",IF(tbl_Ben_Info[[#This Row],[SN]]&lt;10,"00"&amp;tbl_Ben_Info[[#This Row],[SN]],IF(tbl_Ben_Info[[#This Row],[SN]]&lt;100,"0"&amp;tbl_Ben_Info[[#This Row],[SN]],tbl_Ben_Info[[#This Row],[SN]])))</f>
        <v>181-702-209</v>
      </c>
      <c r="D214" s="37"/>
      <c r="E214" s="40"/>
      <c r="F214" s="41"/>
      <c r="G214" s="42"/>
      <c r="H214" s="43"/>
      <c r="I214" s="73"/>
      <c r="J214" s="43"/>
      <c r="K214" s="43"/>
      <c r="L214" s="43"/>
      <c r="M214" s="43"/>
      <c r="N214" s="111"/>
      <c r="O214" s="43"/>
      <c r="P214" s="48"/>
      <c r="Q214" s="49"/>
      <c r="R214" s="37"/>
      <c r="S214" s="37"/>
      <c r="T214" s="37"/>
      <c r="U214" s="37"/>
      <c r="V214" s="59"/>
      <c r="W214" s="49"/>
      <c r="X214" s="37"/>
      <c r="Y214" s="37"/>
      <c r="Z214" s="37"/>
      <c r="AA214" s="37"/>
      <c r="AB214" s="37"/>
      <c r="AC214" s="37"/>
      <c r="AD214" s="37"/>
      <c r="AE214" s="37"/>
      <c r="AF214" s="37"/>
      <c r="AG214" s="59"/>
      <c r="AH214" s="49"/>
      <c r="AI214" s="37"/>
      <c r="AJ214" s="37"/>
      <c r="AK214" s="37"/>
      <c r="AL214" s="37"/>
      <c r="AM214" s="37"/>
      <c r="AN214" s="37"/>
      <c r="AO214" s="37"/>
      <c r="AP214" s="37"/>
      <c r="AQ214" s="37"/>
      <c r="AR214" s="37"/>
      <c r="AS214" s="37"/>
      <c r="AT214" s="37"/>
      <c r="AU214" s="37"/>
      <c r="AV214" s="59"/>
      <c r="AW214" s="1" t="str">
        <f>_xlfn.CONCAT(tbl_Ben_Info[[#This Row],[First Name]]," ",tbl_Ben_Info[[#This Row],[Father Name]]," ",tbl_Ben_Info[[#This Row],[Family Name]])</f>
        <v xml:space="preserve">  </v>
      </c>
    </row>
    <row r="215" spans="2:49" ht="25.15" customHeight="1" x14ac:dyDescent="0.25">
      <c r="B215" s="49">
        <v>210</v>
      </c>
      <c r="C215" s="1" t="str">
        <f>_xlfn.CONCAT("181-702-",IF(tbl_Ben_Info[[#This Row],[SN]]&lt;10,"00"&amp;tbl_Ben_Info[[#This Row],[SN]],IF(tbl_Ben_Info[[#This Row],[SN]]&lt;100,"0"&amp;tbl_Ben_Info[[#This Row],[SN]],tbl_Ben_Info[[#This Row],[SN]])))</f>
        <v>181-702-210</v>
      </c>
      <c r="D215" s="37"/>
      <c r="E215" s="40"/>
      <c r="F215" s="41"/>
      <c r="G215" s="42"/>
      <c r="H215" s="43"/>
      <c r="I215" s="73"/>
      <c r="J215" s="43"/>
      <c r="K215" s="43"/>
      <c r="L215" s="43"/>
      <c r="M215" s="43"/>
      <c r="N215" s="111"/>
      <c r="O215" s="43"/>
      <c r="P215" s="48"/>
      <c r="Q215" s="49"/>
      <c r="R215" s="37"/>
      <c r="S215" s="37"/>
      <c r="T215" s="37"/>
      <c r="U215" s="37"/>
      <c r="V215" s="59"/>
      <c r="W215" s="49"/>
      <c r="X215" s="37"/>
      <c r="Y215" s="37"/>
      <c r="Z215" s="37"/>
      <c r="AA215" s="37"/>
      <c r="AB215" s="37"/>
      <c r="AC215" s="37"/>
      <c r="AD215" s="37"/>
      <c r="AE215" s="37"/>
      <c r="AF215" s="37"/>
      <c r="AG215" s="59"/>
      <c r="AH215" s="49"/>
      <c r="AI215" s="37"/>
      <c r="AJ215" s="37"/>
      <c r="AK215" s="37"/>
      <c r="AL215" s="37"/>
      <c r="AM215" s="37"/>
      <c r="AN215" s="37"/>
      <c r="AO215" s="37"/>
      <c r="AP215" s="37"/>
      <c r="AQ215" s="37"/>
      <c r="AR215" s="37"/>
      <c r="AS215" s="37"/>
      <c r="AT215" s="37"/>
      <c r="AU215" s="37"/>
      <c r="AV215" s="59"/>
      <c r="AW215" s="1" t="str">
        <f>_xlfn.CONCAT(tbl_Ben_Info[[#This Row],[First Name]]," ",tbl_Ben_Info[[#This Row],[Father Name]]," ",tbl_Ben_Info[[#This Row],[Family Name]])</f>
        <v xml:space="preserve">  </v>
      </c>
    </row>
    <row r="216" spans="2:49" ht="25.15" customHeight="1" x14ac:dyDescent="0.25">
      <c r="B216" s="49">
        <v>211</v>
      </c>
      <c r="C216" s="1" t="str">
        <f>_xlfn.CONCAT("181-702-",IF(tbl_Ben_Info[[#This Row],[SN]]&lt;10,"00"&amp;tbl_Ben_Info[[#This Row],[SN]],IF(tbl_Ben_Info[[#This Row],[SN]]&lt;100,"0"&amp;tbl_Ben_Info[[#This Row],[SN]],tbl_Ben_Info[[#This Row],[SN]])))</f>
        <v>181-702-211</v>
      </c>
      <c r="D216" s="37"/>
      <c r="E216" s="40"/>
      <c r="F216" s="41"/>
      <c r="G216" s="42"/>
      <c r="H216" s="43"/>
      <c r="I216" s="73"/>
      <c r="J216" s="43"/>
      <c r="K216" s="43"/>
      <c r="L216" s="43"/>
      <c r="M216" s="43"/>
      <c r="N216" s="111"/>
      <c r="O216" s="43"/>
      <c r="P216" s="48"/>
      <c r="Q216" s="49"/>
      <c r="R216" s="37"/>
      <c r="S216" s="37"/>
      <c r="T216" s="37"/>
      <c r="U216" s="37"/>
      <c r="V216" s="59"/>
      <c r="W216" s="49"/>
      <c r="X216" s="37"/>
      <c r="Y216" s="37"/>
      <c r="Z216" s="37"/>
      <c r="AA216" s="37"/>
      <c r="AB216" s="37"/>
      <c r="AC216" s="37"/>
      <c r="AD216" s="37"/>
      <c r="AE216" s="37"/>
      <c r="AF216" s="37"/>
      <c r="AG216" s="59"/>
      <c r="AH216" s="49"/>
      <c r="AI216" s="37"/>
      <c r="AJ216" s="37"/>
      <c r="AK216" s="37"/>
      <c r="AL216" s="37"/>
      <c r="AM216" s="37"/>
      <c r="AN216" s="37"/>
      <c r="AO216" s="37"/>
      <c r="AP216" s="37"/>
      <c r="AQ216" s="37"/>
      <c r="AR216" s="37"/>
      <c r="AS216" s="37"/>
      <c r="AT216" s="37"/>
      <c r="AU216" s="37"/>
      <c r="AV216" s="59"/>
      <c r="AW216" s="1" t="str">
        <f>_xlfn.CONCAT(tbl_Ben_Info[[#This Row],[First Name]]," ",tbl_Ben_Info[[#This Row],[Father Name]]," ",tbl_Ben_Info[[#This Row],[Family Name]])</f>
        <v xml:space="preserve">  </v>
      </c>
    </row>
    <row r="217" spans="2:49" ht="25.15" customHeight="1" x14ac:dyDescent="0.25">
      <c r="B217" s="49">
        <v>212</v>
      </c>
      <c r="C217" s="1" t="str">
        <f>_xlfn.CONCAT("181-702-",IF(tbl_Ben_Info[[#This Row],[SN]]&lt;10,"00"&amp;tbl_Ben_Info[[#This Row],[SN]],IF(tbl_Ben_Info[[#This Row],[SN]]&lt;100,"0"&amp;tbl_Ben_Info[[#This Row],[SN]],tbl_Ben_Info[[#This Row],[SN]])))</f>
        <v>181-702-212</v>
      </c>
      <c r="D217" s="37"/>
      <c r="E217" s="40"/>
      <c r="F217" s="41"/>
      <c r="G217" s="42"/>
      <c r="H217" s="43"/>
      <c r="I217" s="73"/>
      <c r="J217" s="43"/>
      <c r="K217" s="43"/>
      <c r="L217" s="43"/>
      <c r="M217" s="43"/>
      <c r="N217" s="111"/>
      <c r="O217" s="43"/>
      <c r="P217" s="48"/>
      <c r="Q217" s="49"/>
      <c r="R217" s="37"/>
      <c r="S217" s="37"/>
      <c r="T217" s="37"/>
      <c r="U217" s="37"/>
      <c r="V217" s="59"/>
      <c r="W217" s="49"/>
      <c r="X217" s="37"/>
      <c r="Y217" s="37"/>
      <c r="Z217" s="37"/>
      <c r="AA217" s="37"/>
      <c r="AB217" s="37"/>
      <c r="AC217" s="37"/>
      <c r="AD217" s="37"/>
      <c r="AE217" s="37"/>
      <c r="AF217" s="37"/>
      <c r="AG217" s="59"/>
      <c r="AH217" s="49"/>
      <c r="AI217" s="37"/>
      <c r="AJ217" s="37"/>
      <c r="AK217" s="37"/>
      <c r="AL217" s="37"/>
      <c r="AM217" s="37"/>
      <c r="AN217" s="37"/>
      <c r="AO217" s="37"/>
      <c r="AP217" s="37"/>
      <c r="AQ217" s="37"/>
      <c r="AR217" s="37"/>
      <c r="AS217" s="37"/>
      <c r="AT217" s="37"/>
      <c r="AU217" s="37"/>
      <c r="AV217" s="59"/>
      <c r="AW217" s="1" t="str">
        <f>_xlfn.CONCAT(tbl_Ben_Info[[#This Row],[First Name]]," ",tbl_Ben_Info[[#This Row],[Father Name]]," ",tbl_Ben_Info[[#This Row],[Family Name]])</f>
        <v xml:space="preserve">  </v>
      </c>
    </row>
    <row r="218" spans="2:49" ht="25.15" customHeight="1" x14ac:dyDescent="0.25">
      <c r="B218" s="49">
        <v>213</v>
      </c>
      <c r="C218" s="1" t="str">
        <f>_xlfn.CONCAT("181-702-",IF(tbl_Ben_Info[[#This Row],[SN]]&lt;10,"00"&amp;tbl_Ben_Info[[#This Row],[SN]],IF(tbl_Ben_Info[[#This Row],[SN]]&lt;100,"0"&amp;tbl_Ben_Info[[#This Row],[SN]],tbl_Ben_Info[[#This Row],[SN]])))</f>
        <v>181-702-213</v>
      </c>
      <c r="D218" s="37"/>
      <c r="E218" s="40"/>
      <c r="F218" s="41"/>
      <c r="G218" s="42"/>
      <c r="H218" s="43"/>
      <c r="I218" s="73"/>
      <c r="J218" s="43"/>
      <c r="K218" s="43"/>
      <c r="L218" s="43"/>
      <c r="M218" s="43"/>
      <c r="N218" s="111"/>
      <c r="O218" s="43"/>
      <c r="P218" s="48"/>
      <c r="Q218" s="49"/>
      <c r="R218" s="37"/>
      <c r="S218" s="37"/>
      <c r="T218" s="37"/>
      <c r="U218" s="37"/>
      <c r="V218" s="59"/>
      <c r="W218" s="49"/>
      <c r="X218" s="37"/>
      <c r="Y218" s="37"/>
      <c r="Z218" s="37"/>
      <c r="AA218" s="37"/>
      <c r="AB218" s="37"/>
      <c r="AC218" s="37"/>
      <c r="AD218" s="37"/>
      <c r="AE218" s="37"/>
      <c r="AF218" s="37"/>
      <c r="AG218" s="59"/>
      <c r="AH218" s="49"/>
      <c r="AI218" s="37"/>
      <c r="AJ218" s="37"/>
      <c r="AK218" s="37"/>
      <c r="AL218" s="37"/>
      <c r="AM218" s="37"/>
      <c r="AN218" s="37"/>
      <c r="AO218" s="37"/>
      <c r="AP218" s="37"/>
      <c r="AQ218" s="37"/>
      <c r="AR218" s="37"/>
      <c r="AS218" s="37"/>
      <c r="AT218" s="37"/>
      <c r="AU218" s="37"/>
      <c r="AV218" s="59"/>
      <c r="AW218" s="1" t="str">
        <f>_xlfn.CONCAT(tbl_Ben_Info[[#This Row],[First Name]]," ",tbl_Ben_Info[[#This Row],[Father Name]]," ",tbl_Ben_Info[[#This Row],[Family Name]])</f>
        <v xml:space="preserve">  </v>
      </c>
    </row>
    <row r="219" spans="2:49" ht="25.15" customHeight="1" x14ac:dyDescent="0.25">
      <c r="B219" s="49">
        <v>214</v>
      </c>
      <c r="C219" s="1" t="str">
        <f>_xlfn.CONCAT("181-702-",IF(tbl_Ben_Info[[#This Row],[SN]]&lt;10,"00"&amp;tbl_Ben_Info[[#This Row],[SN]],IF(tbl_Ben_Info[[#This Row],[SN]]&lt;100,"0"&amp;tbl_Ben_Info[[#This Row],[SN]],tbl_Ben_Info[[#This Row],[SN]])))</f>
        <v>181-702-214</v>
      </c>
      <c r="D219" s="37"/>
      <c r="E219" s="40"/>
      <c r="F219" s="41"/>
      <c r="G219" s="42"/>
      <c r="H219" s="43"/>
      <c r="I219" s="73"/>
      <c r="J219" s="43"/>
      <c r="K219" s="43"/>
      <c r="L219" s="43"/>
      <c r="M219" s="43"/>
      <c r="N219" s="111"/>
      <c r="O219" s="43"/>
      <c r="P219" s="48"/>
      <c r="Q219" s="49"/>
      <c r="R219" s="37"/>
      <c r="S219" s="37"/>
      <c r="T219" s="37"/>
      <c r="U219" s="37"/>
      <c r="V219" s="59"/>
      <c r="W219" s="49"/>
      <c r="X219" s="37"/>
      <c r="Y219" s="37"/>
      <c r="Z219" s="37"/>
      <c r="AA219" s="37"/>
      <c r="AB219" s="37"/>
      <c r="AC219" s="37"/>
      <c r="AD219" s="37"/>
      <c r="AE219" s="37"/>
      <c r="AF219" s="37"/>
      <c r="AG219" s="59"/>
      <c r="AH219" s="49"/>
      <c r="AI219" s="37"/>
      <c r="AJ219" s="37"/>
      <c r="AK219" s="37"/>
      <c r="AL219" s="37"/>
      <c r="AM219" s="37"/>
      <c r="AN219" s="37"/>
      <c r="AO219" s="37"/>
      <c r="AP219" s="37"/>
      <c r="AQ219" s="37"/>
      <c r="AR219" s="37"/>
      <c r="AS219" s="37"/>
      <c r="AT219" s="37"/>
      <c r="AU219" s="37"/>
      <c r="AV219" s="59"/>
      <c r="AW219" s="1" t="str">
        <f>_xlfn.CONCAT(tbl_Ben_Info[[#This Row],[First Name]]," ",tbl_Ben_Info[[#This Row],[Father Name]]," ",tbl_Ben_Info[[#This Row],[Family Name]])</f>
        <v xml:space="preserve">  </v>
      </c>
    </row>
    <row r="220" spans="2:49" ht="25.15" customHeight="1" x14ac:dyDescent="0.25">
      <c r="B220" s="49">
        <v>215</v>
      </c>
      <c r="C220" s="1" t="str">
        <f>_xlfn.CONCAT("181-702-",IF(tbl_Ben_Info[[#This Row],[SN]]&lt;10,"00"&amp;tbl_Ben_Info[[#This Row],[SN]],IF(tbl_Ben_Info[[#This Row],[SN]]&lt;100,"0"&amp;tbl_Ben_Info[[#This Row],[SN]],tbl_Ben_Info[[#This Row],[SN]])))</f>
        <v>181-702-215</v>
      </c>
      <c r="D220" s="37"/>
      <c r="E220" s="40"/>
      <c r="F220" s="41"/>
      <c r="G220" s="42"/>
      <c r="H220" s="43"/>
      <c r="I220" s="73"/>
      <c r="J220" s="43"/>
      <c r="K220" s="43"/>
      <c r="L220" s="43"/>
      <c r="M220" s="43"/>
      <c r="N220" s="111"/>
      <c r="O220" s="43"/>
      <c r="P220" s="48"/>
      <c r="Q220" s="49"/>
      <c r="R220" s="37"/>
      <c r="S220" s="37"/>
      <c r="T220" s="37"/>
      <c r="U220" s="37"/>
      <c r="V220" s="59"/>
      <c r="W220" s="49"/>
      <c r="X220" s="37"/>
      <c r="Y220" s="37"/>
      <c r="Z220" s="37"/>
      <c r="AA220" s="37"/>
      <c r="AB220" s="37"/>
      <c r="AC220" s="37"/>
      <c r="AD220" s="37"/>
      <c r="AE220" s="37"/>
      <c r="AF220" s="37"/>
      <c r="AG220" s="59"/>
      <c r="AH220" s="49"/>
      <c r="AI220" s="37"/>
      <c r="AJ220" s="37"/>
      <c r="AK220" s="37"/>
      <c r="AL220" s="37"/>
      <c r="AM220" s="37"/>
      <c r="AN220" s="37"/>
      <c r="AO220" s="37"/>
      <c r="AP220" s="37"/>
      <c r="AQ220" s="37"/>
      <c r="AR220" s="37"/>
      <c r="AS220" s="37"/>
      <c r="AT220" s="37"/>
      <c r="AU220" s="37"/>
      <c r="AV220" s="59"/>
      <c r="AW220" s="1" t="str">
        <f>_xlfn.CONCAT(tbl_Ben_Info[[#This Row],[First Name]]," ",tbl_Ben_Info[[#This Row],[Father Name]]," ",tbl_Ben_Info[[#This Row],[Family Name]])</f>
        <v xml:space="preserve">  </v>
      </c>
    </row>
    <row r="221" spans="2:49" ht="25.15" customHeight="1" x14ac:dyDescent="0.25">
      <c r="B221" s="49">
        <v>216</v>
      </c>
      <c r="C221" s="1" t="str">
        <f>_xlfn.CONCAT("181-702-",IF(tbl_Ben_Info[[#This Row],[SN]]&lt;10,"00"&amp;tbl_Ben_Info[[#This Row],[SN]],IF(tbl_Ben_Info[[#This Row],[SN]]&lt;100,"0"&amp;tbl_Ben_Info[[#This Row],[SN]],tbl_Ben_Info[[#This Row],[SN]])))</f>
        <v>181-702-216</v>
      </c>
      <c r="D221" s="37"/>
      <c r="E221" s="40"/>
      <c r="F221" s="41"/>
      <c r="G221" s="42"/>
      <c r="H221" s="43"/>
      <c r="I221" s="73"/>
      <c r="J221" s="43"/>
      <c r="K221" s="43"/>
      <c r="L221" s="43"/>
      <c r="M221" s="43"/>
      <c r="N221" s="111"/>
      <c r="O221" s="43"/>
      <c r="P221" s="48"/>
      <c r="Q221" s="49"/>
      <c r="R221" s="37"/>
      <c r="S221" s="37"/>
      <c r="T221" s="37"/>
      <c r="U221" s="37"/>
      <c r="V221" s="59"/>
      <c r="W221" s="49"/>
      <c r="X221" s="37"/>
      <c r="Y221" s="37"/>
      <c r="Z221" s="37"/>
      <c r="AA221" s="37"/>
      <c r="AB221" s="37"/>
      <c r="AC221" s="37"/>
      <c r="AD221" s="37"/>
      <c r="AE221" s="37"/>
      <c r="AF221" s="37"/>
      <c r="AG221" s="59"/>
      <c r="AH221" s="49"/>
      <c r="AI221" s="37"/>
      <c r="AJ221" s="37"/>
      <c r="AK221" s="37"/>
      <c r="AL221" s="37"/>
      <c r="AM221" s="37"/>
      <c r="AN221" s="37"/>
      <c r="AO221" s="37"/>
      <c r="AP221" s="37"/>
      <c r="AQ221" s="37"/>
      <c r="AR221" s="37"/>
      <c r="AS221" s="37"/>
      <c r="AT221" s="37"/>
      <c r="AU221" s="37"/>
      <c r="AV221" s="59"/>
      <c r="AW221" s="1" t="str">
        <f>_xlfn.CONCAT(tbl_Ben_Info[[#This Row],[First Name]]," ",tbl_Ben_Info[[#This Row],[Father Name]]," ",tbl_Ben_Info[[#This Row],[Family Name]])</f>
        <v xml:space="preserve">  </v>
      </c>
    </row>
    <row r="222" spans="2:49" ht="25.15" customHeight="1" x14ac:dyDescent="0.25">
      <c r="B222" s="49">
        <v>217</v>
      </c>
      <c r="C222" s="1" t="str">
        <f>_xlfn.CONCAT("181-702-",IF(tbl_Ben_Info[[#This Row],[SN]]&lt;10,"00"&amp;tbl_Ben_Info[[#This Row],[SN]],IF(tbl_Ben_Info[[#This Row],[SN]]&lt;100,"0"&amp;tbl_Ben_Info[[#This Row],[SN]],tbl_Ben_Info[[#This Row],[SN]])))</f>
        <v>181-702-217</v>
      </c>
      <c r="D222" s="37"/>
      <c r="E222" s="40"/>
      <c r="F222" s="41"/>
      <c r="G222" s="42"/>
      <c r="H222" s="43"/>
      <c r="I222" s="73"/>
      <c r="J222" s="43"/>
      <c r="K222" s="43"/>
      <c r="L222" s="43"/>
      <c r="M222" s="43"/>
      <c r="N222" s="111"/>
      <c r="O222" s="43"/>
      <c r="P222" s="48"/>
      <c r="Q222" s="49"/>
      <c r="R222" s="37"/>
      <c r="S222" s="37"/>
      <c r="T222" s="37"/>
      <c r="U222" s="37"/>
      <c r="V222" s="59"/>
      <c r="W222" s="49"/>
      <c r="X222" s="37"/>
      <c r="Y222" s="37"/>
      <c r="Z222" s="37"/>
      <c r="AA222" s="37"/>
      <c r="AB222" s="37"/>
      <c r="AC222" s="37"/>
      <c r="AD222" s="37"/>
      <c r="AE222" s="37"/>
      <c r="AF222" s="37"/>
      <c r="AG222" s="59"/>
      <c r="AH222" s="49"/>
      <c r="AI222" s="37"/>
      <c r="AJ222" s="37"/>
      <c r="AK222" s="37"/>
      <c r="AL222" s="37"/>
      <c r="AM222" s="37"/>
      <c r="AN222" s="37"/>
      <c r="AO222" s="37"/>
      <c r="AP222" s="37"/>
      <c r="AQ222" s="37"/>
      <c r="AR222" s="37"/>
      <c r="AS222" s="37"/>
      <c r="AT222" s="37"/>
      <c r="AU222" s="37"/>
      <c r="AV222" s="59"/>
      <c r="AW222" s="1" t="str">
        <f>_xlfn.CONCAT(tbl_Ben_Info[[#This Row],[First Name]]," ",tbl_Ben_Info[[#This Row],[Father Name]]," ",tbl_Ben_Info[[#This Row],[Family Name]])</f>
        <v xml:space="preserve">  </v>
      </c>
    </row>
    <row r="223" spans="2:49" ht="25.15" customHeight="1" x14ac:dyDescent="0.25">
      <c r="B223" s="49">
        <v>218</v>
      </c>
      <c r="C223" s="1" t="str">
        <f>_xlfn.CONCAT("181-702-",IF(tbl_Ben_Info[[#This Row],[SN]]&lt;10,"00"&amp;tbl_Ben_Info[[#This Row],[SN]],IF(tbl_Ben_Info[[#This Row],[SN]]&lt;100,"0"&amp;tbl_Ben_Info[[#This Row],[SN]],tbl_Ben_Info[[#This Row],[SN]])))</f>
        <v>181-702-218</v>
      </c>
      <c r="D223" s="37"/>
      <c r="E223" s="40"/>
      <c r="F223" s="41"/>
      <c r="G223" s="42"/>
      <c r="H223" s="43"/>
      <c r="I223" s="73"/>
      <c r="J223" s="43"/>
      <c r="K223" s="43"/>
      <c r="L223" s="43"/>
      <c r="M223" s="43"/>
      <c r="N223" s="111"/>
      <c r="O223" s="43"/>
      <c r="P223" s="48"/>
      <c r="Q223" s="49"/>
      <c r="R223" s="37"/>
      <c r="S223" s="37"/>
      <c r="T223" s="37"/>
      <c r="U223" s="37"/>
      <c r="V223" s="59"/>
      <c r="W223" s="49"/>
      <c r="X223" s="37"/>
      <c r="Y223" s="37"/>
      <c r="Z223" s="37"/>
      <c r="AA223" s="37"/>
      <c r="AB223" s="37"/>
      <c r="AC223" s="37"/>
      <c r="AD223" s="37"/>
      <c r="AE223" s="37"/>
      <c r="AF223" s="37"/>
      <c r="AG223" s="59"/>
      <c r="AH223" s="49"/>
      <c r="AI223" s="37"/>
      <c r="AJ223" s="37"/>
      <c r="AK223" s="37"/>
      <c r="AL223" s="37"/>
      <c r="AM223" s="37"/>
      <c r="AN223" s="37"/>
      <c r="AO223" s="37"/>
      <c r="AP223" s="37"/>
      <c r="AQ223" s="37"/>
      <c r="AR223" s="37"/>
      <c r="AS223" s="37"/>
      <c r="AT223" s="37"/>
      <c r="AU223" s="37"/>
      <c r="AV223" s="59"/>
      <c r="AW223" s="1" t="str">
        <f>_xlfn.CONCAT(tbl_Ben_Info[[#This Row],[First Name]]," ",tbl_Ben_Info[[#This Row],[Father Name]]," ",tbl_Ben_Info[[#This Row],[Family Name]])</f>
        <v xml:space="preserve">  </v>
      </c>
    </row>
    <row r="224" spans="2:49" ht="25.15" customHeight="1" x14ac:dyDescent="0.25">
      <c r="B224" s="49">
        <v>219</v>
      </c>
      <c r="C224" s="1" t="str">
        <f>_xlfn.CONCAT("181-702-",IF(tbl_Ben_Info[[#This Row],[SN]]&lt;10,"00"&amp;tbl_Ben_Info[[#This Row],[SN]],IF(tbl_Ben_Info[[#This Row],[SN]]&lt;100,"0"&amp;tbl_Ben_Info[[#This Row],[SN]],tbl_Ben_Info[[#This Row],[SN]])))</f>
        <v>181-702-219</v>
      </c>
      <c r="D224" s="37"/>
      <c r="E224" s="40"/>
      <c r="F224" s="41"/>
      <c r="G224" s="42"/>
      <c r="H224" s="43"/>
      <c r="I224" s="73"/>
      <c r="J224" s="43"/>
      <c r="K224" s="43"/>
      <c r="L224" s="43"/>
      <c r="M224" s="43"/>
      <c r="N224" s="111"/>
      <c r="O224" s="43"/>
      <c r="P224" s="48"/>
      <c r="Q224" s="49"/>
      <c r="R224" s="37"/>
      <c r="S224" s="37"/>
      <c r="T224" s="37"/>
      <c r="U224" s="37"/>
      <c r="V224" s="59"/>
      <c r="W224" s="49"/>
      <c r="X224" s="37"/>
      <c r="Y224" s="37"/>
      <c r="Z224" s="37"/>
      <c r="AA224" s="37"/>
      <c r="AB224" s="37"/>
      <c r="AC224" s="37"/>
      <c r="AD224" s="37"/>
      <c r="AE224" s="37"/>
      <c r="AF224" s="37"/>
      <c r="AG224" s="59"/>
      <c r="AH224" s="49"/>
      <c r="AI224" s="37"/>
      <c r="AJ224" s="37"/>
      <c r="AK224" s="37"/>
      <c r="AL224" s="37"/>
      <c r="AM224" s="37"/>
      <c r="AN224" s="37"/>
      <c r="AO224" s="37"/>
      <c r="AP224" s="37"/>
      <c r="AQ224" s="37"/>
      <c r="AR224" s="37"/>
      <c r="AS224" s="37"/>
      <c r="AT224" s="37"/>
      <c r="AU224" s="37"/>
      <c r="AV224" s="59"/>
      <c r="AW224" s="1" t="str">
        <f>_xlfn.CONCAT(tbl_Ben_Info[[#This Row],[First Name]]," ",tbl_Ben_Info[[#This Row],[Father Name]]," ",tbl_Ben_Info[[#This Row],[Family Name]])</f>
        <v xml:space="preserve">  </v>
      </c>
    </row>
    <row r="225" spans="2:49" ht="25.15" customHeight="1" x14ac:dyDescent="0.25">
      <c r="B225" s="49">
        <v>220</v>
      </c>
      <c r="C225" s="1" t="str">
        <f>_xlfn.CONCAT("181-702-",IF(tbl_Ben_Info[[#This Row],[SN]]&lt;10,"00"&amp;tbl_Ben_Info[[#This Row],[SN]],IF(tbl_Ben_Info[[#This Row],[SN]]&lt;100,"0"&amp;tbl_Ben_Info[[#This Row],[SN]],tbl_Ben_Info[[#This Row],[SN]])))</f>
        <v>181-702-220</v>
      </c>
      <c r="D225" s="37"/>
      <c r="E225" s="40"/>
      <c r="F225" s="41"/>
      <c r="G225" s="42"/>
      <c r="H225" s="43"/>
      <c r="I225" s="73"/>
      <c r="J225" s="43"/>
      <c r="K225" s="43"/>
      <c r="L225" s="43"/>
      <c r="M225" s="43"/>
      <c r="N225" s="111"/>
      <c r="O225" s="43"/>
      <c r="P225" s="48"/>
      <c r="Q225" s="49"/>
      <c r="R225" s="37"/>
      <c r="S225" s="37"/>
      <c r="T225" s="37"/>
      <c r="U225" s="37"/>
      <c r="V225" s="59"/>
      <c r="W225" s="49"/>
      <c r="X225" s="37"/>
      <c r="Y225" s="37"/>
      <c r="Z225" s="37"/>
      <c r="AA225" s="37"/>
      <c r="AB225" s="37"/>
      <c r="AC225" s="37"/>
      <c r="AD225" s="37"/>
      <c r="AE225" s="37"/>
      <c r="AF225" s="37"/>
      <c r="AG225" s="59"/>
      <c r="AH225" s="49"/>
      <c r="AI225" s="37"/>
      <c r="AJ225" s="37"/>
      <c r="AK225" s="37"/>
      <c r="AL225" s="37"/>
      <c r="AM225" s="37"/>
      <c r="AN225" s="37"/>
      <c r="AO225" s="37"/>
      <c r="AP225" s="37"/>
      <c r="AQ225" s="37"/>
      <c r="AR225" s="37"/>
      <c r="AS225" s="37"/>
      <c r="AT225" s="37"/>
      <c r="AU225" s="37"/>
      <c r="AV225" s="59"/>
      <c r="AW225" s="1" t="str">
        <f>_xlfn.CONCAT(tbl_Ben_Info[[#This Row],[First Name]]," ",tbl_Ben_Info[[#This Row],[Father Name]]," ",tbl_Ben_Info[[#This Row],[Family Name]])</f>
        <v xml:space="preserve">  </v>
      </c>
    </row>
    <row r="226" spans="2:49" ht="25.15" customHeight="1" x14ac:dyDescent="0.25">
      <c r="B226" s="49">
        <v>221</v>
      </c>
      <c r="C226" s="1" t="str">
        <f>_xlfn.CONCAT("181-702-",IF(tbl_Ben_Info[[#This Row],[SN]]&lt;10,"00"&amp;tbl_Ben_Info[[#This Row],[SN]],IF(tbl_Ben_Info[[#This Row],[SN]]&lt;100,"0"&amp;tbl_Ben_Info[[#This Row],[SN]],tbl_Ben_Info[[#This Row],[SN]])))</f>
        <v>181-702-221</v>
      </c>
      <c r="D226" s="37"/>
      <c r="E226" s="40"/>
      <c r="F226" s="41"/>
      <c r="G226" s="42"/>
      <c r="H226" s="43"/>
      <c r="I226" s="73"/>
      <c r="J226" s="43"/>
      <c r="K226" s="43"/>
      <c r="L226" s="43"/>
      <c r="M226" s="43"/>
      <c r="N226" s="111"/>
      <c r="O226" s="43"/>
      <c r="P226" s="48"/>
      <c r="Q226" s="49"/>
      <c r="R226" s="37"/>
      <c r="S226" s="37"/>
      <c r="T226" s="37"/>
      <c r="U226" s="37"/>
      <c r="V226" s="59"/>
      <c r="W226" s="49"/>
      <c r="X226" s="37"/>
      <c r="Y226" s="37"/>
      <c r="Z226" s="37"/>
      <c r="AA226" s="37"/>
      <c r="AB226" s="37"/>
      <c r="AC226" s="37"/>
      <c r="AD226" s="37"/>
      <c r="AE226" s="37"/>
      <c r="AF226" s="37"/>
      <c r="AG226" s="59"/>
      <c r="AH226" s="49"/>
      <c r="AI226" s="37"/>
      <c r="AJ226" s="37"/>
      <c r="AK226" s="37"/>
      <c r="AL226" s="37"/>
      <c r="AM226" s="37"/>
      <c r="AN226" s="37"/>
      <c r="AO226" s="37"/>
      <c r="AP226" s="37"/>
      <c r="AQ226" s="37"/>
      <c r="AR226" s="37"/>
      <c r="AS226" s="37"/>
      <c r="AT226" s="37"/>
      <c r="AU226" s="37"/>
      <c r="AV226" s="59"/>
      <c r="AW226" s="1" t="str">
        <f>_xlfn.CONCAT(tbl_Ben_Info[[#This Row],[First Name]]," ",tbl_Ben_Info[[#This Row],[Father Name]]," ",tbl_Ben_Info[[#This Row],[Family Name]])</f>
        <v xml:space="preserve">  </v>
      </c>
    </row>
    <row r="227" spans="2:49" ht="25.15" customHeight="1" x14ac:dyDescent="0.25">
      <c r="B227" s="49">
        <v>222</v>
      </c>
      <c r="C227" s="1" t="str">
        <f>_xlfn.CONCAT("181-702-",IF(tbl_Ben_Info[[#This Row],[SN]]&lt;10,"00"&amp;tbl_Ben_Info[[#This Row],[SN]],IF(tbl_Ben_Info[[#This Row],[SN]]&lt;100,"0"&amp;tbl_Ben_Info[[#This Row],[SN]],tbl_Ben_Info[[#This Row],[SN]])))</f>
        <v>181-702-222</v>
      </c>
      <c r="D227" s="37"/>
      <c r="E227" s="40"/>
      <c r="F227" s="41"/>
      <c r="G227" s="42"/>
      <c r="H227" s="43"/>
      <c r="I227" s="73"/>
      <c r="J227" s="43"/>
      <c r="K227" s="43"/>
      <c r="L227" s="43"/>
      <c r="M227" s="43"/>
      <c r="N227" s="111"/>
      <c r="O227" s="43"/>
      <c r="P227" s="48"/>
      <c r="Q227" s="49"/>
      <c r="R227" s="37"/>
      <c r="S227" s="37"/>
      <c r="T227" s="37"/>
      <c r="U227" s="37"/>
      <c r="V227" s="59"/>
      <c r="W227" s="49"/>
      <c r="X227" s="37"/>
      <c r="Y227" s="37"/>
      <c r="Z227" s="37"/>
      <c r="AA227" s="37"/>
      <c r="AB227" s="37"/>
      <c r="AC227" s="37"/>
      <c r="AD227" s="37"/>
      <c r="AE227" s="37"/>
      <c r="AF227" s="37"/>
      <c r="AG227" s="59"/>
      <c r="AH227" s="49"/>
      <c r="AI227" s="37"/>
      <c r="AJ227" s="37"/>
      <c r="AK227" s="37"/>
      <c r="AL227" s="37"/>
      <c r="AM227" s="37"/>
      <c r="AN227" s="37"/>
      <c r="AO227" s="37"/>
      <c r="AP227" s="37"/>
      <c r="AQ227" s="37"/>
      <c r="AR227" s="37"/>
      <c r="AS227" s="37"/>
      <c r="AT227" s="37"/>
      <c r="AU227" s="37"/>
      <c r="AV227" s="59"/>
      <c r="AW227" s="1" t="str">
        <f>_xlfn.CONCAT(tbl_Ben_Info[[#This Row],[First Name]]," ",tbl_Ben_Info[[#This Row],[Father Name]]," ",tbl_Ben_Info[[#This Row],[Family Name]])</f>
        <v xml:space="preserve">  </v>
      </c>
    </row>
    <row r="228" spans="2:49" ht="25.15" customHeight="1" x14ac:dyDescent="0.25">
      <c r="B228" s="49">
        <v>223</v>
      </c>
      <c r="C228" s="1" t="str">
        <f>_xlfn.CONCAT("181-702-",IF(tbl_Ben_Info[[#This Row],[SN]]&lt;10,"00"&amp;tbl_Ben_Info[[#This Row],[SN]],IF(tbl_Ben_Info[[#This Row],[SN]]&lt;100,"0"&amp;tbl_Ben_Info[[#This Row],[SN]],tbl_Ben_Info[[#This Row],[SN]])))</f>
        <v>181-702-223</v>
      </c>
      <c r="D228" s="37"/>
      <c r="E228" s="40"/>
      <c r="F228" s="41"/>
      <c r="G228" s="42"/>
      <c r="H228" s="43"/>
      <c r="I228" s="73"/>
      <c r="J228" s="43"/>
      <c r="K228" s="43"/>
      <c r="L228" s="43"/>
      <c r="M228" s="43"/>
      <c r="N228" s="111"/>
      <c r="O228" s="43"/>
      <c r="P228" s="48"/>
      <c r="Q228" s="49"/>
      <c r="R228" s="37"/>
      <c r="S228" s="37"/>
      <c r="T228" s="37"/>
      <c r="U228" s="37"/>
      <c r="V228" s="59"/>
      <c r="W228" s="49"/>
      <c r="X228" s="37"/>
      <c r="Y228" s="37"/>
      <c r="Z228" s="37"/>
      <c r="AA228" s="37"/>
      <c r="AB228" s="37"/>
      <c r="AC228" s="37"/>
      <c r="AD228" s="37"/>
      <c r="AE228" s="37"/>
      <c r="AF228" s="37"/>
      <c r="AG228" s="59"/>
      <c r="AH228" s="49"/>
      <c r="AI228" s="37"/>
      <c r="AJ228" s="37"/>
      <c r="AK228" s="37"/>
      <c r="AL228" s="37"/>
      <c r="AM228" s="37"/>
      <c r="AN228" s="37"/>
      <c r="AO228" s="37"/>
      <c r="AP228" s="37"/>
      <c r="AQ228" s="37"/>
      <c r="AR228" s="37"/>
      <c r="AS228" s="37"/>
      <c r="AT228" s="37"/>
      <c r="AU228" s="37"/>
      <c r="AV228" s="59"/>
      <c r="AW228" s="1" t="str">
        <f>_xlfn.CONCAT(tbl_Ben_Info[[#This Row],[First Name]]," ",tbl_Ben_Info[[#This Row],[Father Name]]," ",tbl_Ben_Info[[#This Row],[Family Name]])</f>
        <v xml:space="preserve">  </v>
      </c>
    </row>
    <row r="229" spans="2:49" ht="25.15" customHeight="1" x14ac:dyDescent="0.25">
      <c r="B229" s="49">
        <v>224</v>
      </c>
      <c r="C229" s="1" t="str">
        <f>_xlfn.CONCAT("181-702-",IF(tbl_Ben_Info[[#This Row],[SN]]&lt;10,"00"&amp;tbl_Ben_Info[[#This Row],[SN]],IF(tbl_Ben_Info[[#This Row],[SN]]&lt;100,"0"&amp;tbl_Ben_Info[[#This Row],[SN]],tbl_Ben_Info[[#This Row],[SN]])))</f>
        <v>181-702-224</v>
      </c>
      <c r="D229" s="37"/>
      <c r="E229" s="40"/>
      <c r="F229" s="41"/>
      <c r="G229" s="42"/>
      <c r="H229" s="43"/>
      <c r="I229" s="73"/>
      <c r="J229" s="43"/>
      <c r="K229" s="43"/>
      <c r="L229" s="43"/>
      <c r="M229" s="43"/>
      <c r="N229" s="111"/>
      <c r="O229" s="43"/>
      <c r="P229" s="48"/>
      <c r="Q229" s="49"/>
      <c r="R229" s="37"/>
      <c r="S229" s="37"/>
      <c r="T229" s="37"/>
      <c r="U229" s="37"/>
      <c r="V229" s="59"/>
      <c r="W229" s="49"/>
      <c r="X229" s="37"/>
      <c r="Y229" s="37"/>
      <c r="Z229" s="37"/>
      <c r="AA229" s="37"/>
      <c r="AB229" s="37"/>
      <c r="AC229" s="37"/>
      <c r="AD229" s="37"/>
      <c r="AE229" s="37"/>
      <c r="AF229" s="37"/>
      <c r="AG229" s="59"/>
      <c r="AH229" s="49"/>
      <c r="AI229" s="37"/>
      <c r="AJ229" s="37"/>
      <c r="AK229" s="37"/>
      <c r="AL229" s="37"/>
      <c r="AM229" s="37"/>
      <c r="AN229" s="37"/>
      <c r="AO229" s="37"/>
      <c r="AP229" s="37"/>
      <c r="AQ229" s="37"/>
      <c r="AR229" s="37"/>
      <c r="AS229" s="37"/>
      <c r="AT229" s="37"/>
      <c r="AU229" s="37"/>
      <c r="AV229" s="59"/>
      <c r="AW229" s="1" t="str">
        <f>_xlfn.CONCAT(tbl_Ben_Info[[#This Row],[First Name]]," ",tbl_Ben_Info[[#This Row],[Father Name]]," ",tbl_Ben_Info[[#This Row],[Family Name]])</f>
        <v xml:space="preserve">  </v>
      </c>
    </row>
    <row r="230" spans="2:49" ht="25.15" customHeight="1" x14ac:dyDescent="0.25">
      <c r="B230" s="49">
        <v>225</v>
      </c>
      <c r="C230" s="1" t="str">
        <f>_xlfn.CONCAT("181-702-",IF(tbl_Ben_Info[[#This Row],[SN]]&lt;10,"00"&amp;tbl_Ben_Info[[#This Row],[SN]],IF(tbl_Ben_Info[[#This Row],[SN]]&lt;100,"0"&amp;tbl_Ben_Info[[#This Row],[SN]],tbl_Ben_Info[[#This Row],[SN]])))</f>
        <v>181-702-225</v>
      </c>
      <c r="D230" s="37"/>
      <c r="E230" s="40"/>
      <c r="F230" s="41"/>
      <c r="G230" s="42"/>
      <c r="H230" s="43"/>
      <c r="I230" s="73"/>
      <c r="J230" s="43"/>
      <c r="K230" s="43"/>
      <c r="L230" s="43"/>
      <c r="M230" s="43"/>
      <c r="N230" s="111"/>
      <c r="O230" s="43"/>
      <c r="P230" s="48"/>
      <c r="Q230" s="49"/>
      <c r="R230" s="37"/>
      <c r="S230" s="37"/>
      <c r="T230" s="37"/>
      <c r="U230" s="37"/>
      <c r="V230" s="59"/>
      <c r="W230" s="49"/>
      <c r="X230" s="37"/>
      <c r="Y230" s="37"/>
      <c r="Z230" s="37"/>
      <c r="AA230" s="37"/>
      <c r="AB230" s="37"/>
      <c r="AC230" s="37"/>
      <c r="AD230" s="37"/>
      <c r="AE230" s="37"/>
      <c r="AF230" s="37"/>
      <c r="AG230" s="59"/>
      <c r="AH230" s="49"/>
      <c r="AI230" s="37"/>
      <c r="AJ230" s="37"/>
      <c r="AK230" s="37"/>
      <c r="AL230" s="37"/>
      <c r="AM230" s="37"/>
      <c r="AN230" s="37"/>
      <c r="AO230" s="37"/>
      <c r="AP230" s="37"/>
      <c r="AQ230" s="37"/>
      <c r="AR230" s="37"/>
      <c r="AS230" s="37"/>
      <c r="AT230" s="37"/>
      <c r="AU230" s="37"/>
      <c r="AV230" s="59"/>
      <c r="AW230" s="1" t="str">
        <f>_xlfn.CONCAT(tbl_Ben_Info[[#This Row],[First Name]]," ",tbl_Ben_Info[[#This Row],[Father Name]]," ",tbl_Ben_Info[[#This Row],[Family Name]])</f>
        <v xml:space="preserve">  </v>
      </c>
    </row>
    <row r="231" spans="2:49" ht="25.15" customHeight="1" x14ac:dyDescent="0.25">
      <c r="B231" s="49">
        <v>226</v>
      </c>
      <c r="C231" s="1" t="str">
        <f>_xlfn.CONCAT("181-702-",IF(tbl_Ben_Info[[#This Row],[SN]]&lt;10,"00"&amp;tbl_Ben_Info[[#This Row],[SN]],IF(tbl_Ben_Info[[#This Row],[SN]]&lt;100,"0"&amp;tbl_Ben_Info[[#This Row],[SN]],tbl_Ben_Info[[#This Row],[SN]])))</f>
        <v>181-702-226</v>
      </c>
      <c r="D231" s="37"/>
      <c r="E231" s="40"/>
      <c r="F231" s="41"/>
      <c r="G231" s="42"/>
      <c r="H231" s="43"/>
      <c r="I231" s="73"/>
      <c r="J231" s="43"/>
      <c r="K231" s="43"/>
      <c r="L231" s="43"/>
      <c r="M231" s="43"/>
      <c r="N231" s="111"/>
      <c r="O231" s="43"/>
      <c r="P231" s="48"/>
      <c r="Q231" s="49"/>
      <c r="R231" s="37"/>
      <c r="S231" s="37"/>
      <c r="T231" s="37"/>
      <c r="U231" s="37"/>
      <c r="V231" s="59"/>
      <c r="W231" s="49"/>
      <c r="X231" s="37"/>
      <c r="Y231" s="37"/>
      <c r="Z231" s="37"/>
      <c r="AA231" s="37"/>
      <c r="AB231" s="37"/>
      <c r="AC231" s="37"/>
      <c r="AD231" s="37"/>
      <c r="AE231" s="37"/>
      <c r="AF231" s="37"/>
      <c r="AG231" s="59"/>
      <c r="AH231" s="49"/>
      <c r="AI231" s="37"/>
      <c r="AJ231" s="37"/>
      <c r="AK231" s="37"/>
      <c r="AL231" s="37"/>
      <c r="AM231" s="37"/>
      <c r="AN231" s="37"/>
      <c r="AO231" s="37"/>
      <c r="AP231" s="37"/>
      <c r="AQ231" s="37"/>
      <c r="AR231" s="37"/>
      <c r="AS231" s="37"/>
      <c r="AT231" s="37"/>
      <c r="AU231" s="37"/>
      <c r="AV231" s="59"/>
      <c r="AW231" s="1" t="str">
        <f>_xlfn.CONCAT(tbl_Ben_Info[[#This Row],[First Name]]," ",tbl_Ben_Info[[#This Row],[Father Name]]," ",tbl_Ben_Info[[#This Row],[Family Name]])</f>
        <v xml:space="preserve">  </v>
      </c>
    </row>
    <row r="232" spans="2:49" ht="25.15" customHeight="1" x14ac:dyDescent="0.25">
      <c r="B232" s="49">
        <v>227</v>
      </c>
      <c r="C232" s="1" t="str">
        <f>_xlfn.CONCAT("181-702-",IF(tbl_Ben_Info[[#This Row],[SN]]&lt;10,"00"&amp;tbl_Ben_Info[[#This Row],[SN]],IF(tbl_Ben_Info[[#This Row],[SN]]&lt;100,"0"&amp;tbl_Ben_Info[[#This Row],[SN]],tbl_Ben_Info[[#This Row],[SN]])))</f>
        <v>181-702-227</v>
      </c>
      <c r="D232" s="37"/>
      <c r="E232" s="40"/>
      <c r="F232" s="41"/>
      <c r="G232" s="42"/>
      <c r="H232" s="43"/>
      <c r="I232" s="73"/>
      <c r="J232" s="43"/>
      <c r="K232" s="43"/>
      <c r="L232" s="43"/>
      <c r="M232" s="43"/>
      <c r="N232" s="111"/>
      <c r="O232" s="43"/>
      <c r="P232" s="48"/>
      <c r="Q232" s="49"/>
      <c r="R232" s="37"/>
      <c r="S232" s="37"/>
      <c r="T232" s="37"/>
      <c r="U232" s="37"/>
      <c r="V232" s="59"/>
      <c r="W232" s="49"/>
      <c r="X232" s="37"/>
      <c r="Y232" s="37"/>
      <c r="Z232" s="37"/>
      <c r="AA232" s="37"/>
      <c r="AB232" s="37"/>
      <c r="AC232" s="37"/>
      <c r="AD232" s="37"/>
      <c r="AE232" s="37"/>
      <c r="AF232" s="37"/>
      <c r="AG232" s="59"/>
      <c r="AH232" s="49"/>
      <c r="AI232" s="37"/>
      <c r="AJ232" s="37"/>
      <c r="AK232" s="37"/>
      <c r="AL232" s="37"/>
      <c r="AM232" s="37"/>
      <c r="AN232" s="37"/>
      <c r="AO232" s="37"/>
      <c r="AP232" s="37"/>
      <c r="AQ232" s="37"/>
      <c r="AR232" s="37"/>
      <c r="AS232" s="37"/>
      <c r="AT232" s="37"/>
      <c r="AU232" s="37"/>
      <c r="AV232" s="59"/>
      <c r="AW232" s="1" t="str">
        <f>_xlfn.CONCAT(tbl_Ben_Info[[#This Row],[First Name]]," ",tbl_Ben_Info[[#This Row],[Father Name]]," ",tbl_Ben_Info[[#This Row],[Family Name]])</f>
        <v xml:space="preserve">  </v>
      </c>
    </row>
    <row r="233" spans="2:49" ht="25.15" customHeight="1" x14ac:dyDescent="0.25">
      <c r="B233" s="49">
        <v>228</v>
      </c>
      <c r="C233" s="1" t="str">
        <f>_xlfn.CONCAT("181-702-",IF(tbl_Ben_Info[[#This Row],[SN]]&lt;10,"00"&amp;tbl_Ben_Info[[#This Row],[SN]],IF(tbl_Ben_Info[[#This Row],[SN]]&lt;100,"0"&amp;tbl_Ben_Info[[#This Row],[SN]],tbl_Ben_Info[[#This Row],[SN]])))</f>
        <v>181-702-228</v>
      </c>
      <c r="D233" s="37"/>
      <c r="E233" s="40"/>
      <c r="F233" s="41"/>
      <c r="G233" s="42"/>
      <c r="H233" s="43"/>
      <c r="I233" s="73"/>
      <c r="J233" s="43"/>
      <c r="K233" s="43"/>
      <c r="L233" s="43"/>
      <c r="M233" s="43"/>
      <c r="N233" s="111"/>
      <c r="O233" s="43"/>
      <c r="P233" s="48"/>
      <c r="Q233" s="49"/>
      <c r="R233" s="37"/>
      <c r="S233" s="37"/>
      <c r="T233" s="37"/>
      <c r="U233" s="37"/>
      <c r="V233" s="59"/>
      <c r="W233" s="49"/>
      <c r="X233" s="37"/>
      <c r="Y233" s="37"/>
      <c r="Z233" s="37"/>
      <c r="AA233" s="37"/>
      <c r="AB233" s="37"/>
      <c r="AC233" s="37"/>
      <c r="AD233" s="37"/>
      <c r="AE233" s="37"/>
      <c r="AF233" s="37"/>
      <c r="AG233" s="59"/>
      <c r="AH233" s="49"/>
      <c r="AI233" s="37"/>
      <c r="AJ233" s="37"/>
      <c r="AK233" s="37"/>
      <c r="AL233" s="37"/>
      <c r="AM233" s="37"/>
      <c r="AN233" s="37"/>
      <c r="AO233" s="37"/>
      <c r="AP233" s="37"/>
      <c r="AQ233" s="37"/>
      <c r="AR233" s="37"/>
      <c r="AS233" s="37"/>
      <c r="AT233" s="37"/>
      <c r="AU233" s="37"/>
      <c r="AV233" s="59"/>
      <c r="AW233" s="1" t="str">
        <f>_xlfn.CONCAT(tbl_Ben_Info[[#This Row],[First Name]]," ",tbl_Ben_Info[[#This Row],[Father Name]]," ",tbl_Ben_Info[[#This Row],[Family Name]])</f>
        <v xml:space="preserve">  </v>
      </c>
    </row>
    <row r="234" spans="2:49" ht="25.15" customHeight="1" x14ac:dyDescent="0.25">
      <c r="B234" s="49">
        <v>229</v>
      </c>
      <c r="C234" s="1" t="str">
        <f>_xlfn.CONCAT("181-702-",IF(tbl_Ben_Info[[#This Row],[SN]]&lt;10,"00"&amp;tbl_Ben_Info[[#This Row],[SN]],IF(tbl_Ben_Info[[#This Row],[SN]]&lt;100,"0"&amp;tbl_Ben_Info[[#This Row],[SN]],tbl_Ben_Info[[#This Row],[SN]])))</f>
        <v>181-702-229</v>
      </c>
      <c r="D234" s="37"/>
      <c r="E234" s="40"/>
      <c r="F234" s="41"/>
      <c r="G234" s="42"/>
      <c r="H234" s="43"/>
      <c r="I234" s="73"/>
      <c r="J234" s="43"/>
      <c r="K234" s="43"/>
      <c r="L234" s="43"/>
      <c r="M234" s="43"/>
      <c r="N234" s="111"/>
      <c r="O234" s="43"/>
      <c r="P234" s="48"/>
      <c r="Q234" s="49"/>
      <c r="R234" s="37"/>
      <c r="S234" s="37"/>
      <c r="T234" s="37"/>
      <c r="U234" s="37"/>
      <c r="V234" s="59"/>
      <c r="W234" s="49"/>
      <c r="X234" s="37"/>
      <c r="Y234" s="37"/>
      <c r="Z234" s="37"/>
      <c r="AA234" s="37"/>
      <c r="AB234" s="37"/>
      <c r="AC234" s="37"/>
      <c r="AD234" s="37"/>
      <c r="AE234" s="37"/>
      <c r="AF234" s="37"/>
      <c r="AG234" s="59"/>
      <c r="AH234" s="49"/>
      <c r="AI234" s="37"/>
      <c r="AJ234" s="37"/>
      <c r="AK234" s="37"/>
      <c r="AL234" s="37"/>
      <c r="AM234" s="37"/>
      <c r="AN234" s="37"/>
      <c r="AO234" s="37"/>
      <c r="AP234" s="37"/>
      <c r="AQ234" s="37"/>
      <c r="AR234" s="37"/>
      <c r="AS234" s="37"/>
      <c r="AT234" s="37"/>
      <c r="AU234" s="37"/>
      <c r="AV234" s="59"/>
      <c r="AW234" s="1" t="str">
        <f>_xlfn.CONCAT(tbl_Ben_Info[[#This Row],[First Name]]," ",tbl_Ben_Info[[#This Row],[Father Name]]," ",tbl_Ben_Info[[#This Row],[Family Name]])</f>
        <v xml:space="preserve">  </v>
      </c>
    </row>
    <row r="235" spans="2:49" ht="25.15" customHeight="1" x14ac:dyDescent="0.25">
      <c r="B235" s="49">
        <v>230</v>
      </c>
      <c r="C235" s="1" t="str">
        <f>_xlfn.CONCAT("181-702-",IF(tbl_Ben_Info[[#This Row],[SN]]&lt;10,"00"&amp;tbl_Ben_Info[[#This Row],[SN]],IF(tbl_Ben_Info[[#This Row],[SN]]&lt;100,"0"&amp;tbl_Ben_Info[[#This Row],[SN]],tbl_Ben_Info[[#This Row],[SN]])))</f>
        <v>181-702-230</v>
      </c>
      <c r="D235" s="37"/>
      <c r="E235" s="40"/>
      <c r="F235" s="41"/>
      <c r="G235" s="42"/>
      <c r="H235" s="43"/>
      <c r="I235" s="73"/>
      <c r="J235" s="43"/>
      <c r="K235" s="43"/>
      <c r="L235" s="43"/>
      <c r="M235" s="43"/>
      <c r="N235" s="111"/>
      <c r="O235" s="43"/>
      <c r="P235" s="48"/>
      <c r="Q235" s="49"/>
      <c r="R235" s="37"/>
      <c r="S235" s="37"/>
      <c r="T235" s="37"/>
      <c r="U235" s="37"/>
      <c r="V235" s="59"/>
      <c r="W235" s="49"/>
      <c r="X235" s="37"/>
      <c r="Y235" s="37"/>
      <c r="Z235" s="37"/>
      <c r="AA235" s="37"/>
      <c r="AB235" s="37"/>
      <c r="AC235" s="37"/>
      <c r="AD235" s="37"/>
      <c r="AE235" s="37"/>
      <c r="AF235" s="37"/>
      <c r="AG235" s="59"/>
      <c r="AH235" s="49"/>
      <c r="AI235" s="37"/>
      <c r="AJ235" s="37"/>
      <c r="AK235" s="37"/>
      <c r="AL235" s="37"/>
      <c r="AM235" s="37"/>
      <c r="AN235" s="37"/>
      <c r="AO235" s="37"/>
      <c r="AP235" s="37"/>
      <c r="AQ235" s="37"/>
      <c r="AR235" s="37"/>
      <c r="AS235" s="37"/>
      <c r="AT235" s="37"/>
      <c r="AU235" s="37"/>
      <c r="AV235" s="59"/>
      <c r="AW235" s="1" t="str">
        <f>_xlfn.CONCAT(tbl_Ben_Info[[#This Row],[First Name]]," ",tbl_Ben_Info[[#This Row],[Father Name]]," ",tbl_Ben_Info[[#This Row],[Family Name]])</f>
        <v xml:space="preserve">  </v>
      </c>
    </row>
    <row r="236" spans="2:49" ht="25.15" customHeight="1" x14ac:dyDescent="0.25">
      <c r="B236" s="49">
        <v>231</v>
      </c>
      <c r="C236" s="1" t="str">
        <f>_xlfn.CONCAT("181-702-",IF(tbl_Ben_Info[[#This Row],[SN]]&lt;10,"00"&amp;tbl_Ben_Info[[#This Row],[SN]],IF(tbl_Ben_Info[[#This Row],[SN]]&lt;100,"0"&amp;tbl_Ben_Info[[#This Row],[SN]],tbl_Ben_Info[[#This Row],[SN]])))</f>
        <v>181-702-231</v>
      </c>
      <c r="D236" s="37"/>
      <c r="E236" s="40"/>
      <c r="F236" s="41"/>
      <c r="G236" s="42"/>
      <c r="H236" s="43"/>
      <c r="I236" s="73"/>
      <c r="J236" s="43"/>
      <c r="K236" s="43"/>
      <c r="L236" s="43"/>
      <c r="M236" s="43"/>
      <c r="N236" s="111"/>
      <c r="O236" s="43"/>
      <c r="P236" s="48"/>
      <c r="Q236" s="49"/>
      <c r="R236" s="37"/>
      <c r="S236" s="37"/>
      <c r="T236" s="37"/>
      <c r="U236" s="37"/>
      <c r="V236" s="59"/>
      <c r="W236" s="49"/>
      <c r="X236" s="37"/>
      <c r="Y236" s="37"/>
      <c r="Z236" s="37"/>
      <c r="AA236" s="37"/>
      <c r="AB236" s="37"/>
      <c r="AC236" s="37"/>
      <c r="AD236" s="37"/>
      <c r="AE236" s="37"/>
      <c r="AF236" s="37"/>
      <c r="AG236" s="59"/>
      <c r="AH236" s="49"/>
      <c r="AI236" s="37"/>
      <c r="AJ236" s="37"/>
      <c r="AK236" s="37"/>
      <c r="AL236" s="37"/>
      <c r="AM236" s="37"/>
      <c r="AN236" s="37"/>
      <c r="AO236" s="37"/>
      <c r="AP236" s="37"/>
      <c r="AQ236" s="37"/>
      <c r="AR236" s="37"/>
      <c r="AS236" s="37"/>
      <c r="AT236" s="37"/>
      <c r="AU236" s="37"/>
      <c r="AV236" s="59"/>
      <c r="AW236" s="1" t="str">
        <f>_xlfn.CONCAT(tbl_Ben_Info[[#This Row],[First Name]]," ",tbl_Ben_Info[[#This Row],[Father Name]]," ",tbl_Ben_Info[[#This Row],[Family Name]])</f>
        <v xml:space="preserve">  </v>
      </c>
    </row>
    <row r="237" spans="2:49" ht="25.15" customHeight="1" x14ac:dyDescent="0.25">
      <c r="B237" s="49">
        <v>232</v>
      </c>
      <c r="C237" s="1" t="str">
        <f>_xlfn.CONCAT("181-702-",IF(tbl_Ben_Info[[#This Row],[SN]]&lt;10,"00"&amp;tbl_Ben_Info[[#This Row],[SN]],IF(tbl_Ben_Info[[#This Row],[SN]]&lt;100,"0"&amp;tbl_Ben_Info[[#This Row],[SN]],tbl_Ben_Info[[#This Row],[SN]])))</f>
        <v>181-702-232</v>
      </c>
      <c r="D237" s="37"/>
      <c r="E237" s="40"/>
      <c r="F237" s="41"/>
      <c r="G237" s="42"/>
      <c r="H237" s="43"/>
      <c r="I237" s="73"/>
      <c r="J237" s="43"/>
      <c r="K237" s="43"/>
      <c r="L237" s="43"/>
      <c r="M237" s="43"/>
      <c r="N237" s="111"/>
      <c r="O237" s="43"/>
      <c r="P237" s="48"/>
      <c r="Q237" s="49"/>
      <c r="R237" s="37"/>
      <c r="S237" s="37"/>
      <c r="T237" s="37"/>
      <c r="U237" s="37"/>
      <c r="V237" s="59"/>
      <c r="W237" s="49"/>
      <c r="X237" s="37"/>
      <c r="Y237" s="37"/>
      <c r="Z237" s="37"/>
      <c r="AA237" s="37"/>
      <c r="AB237" s="37"/>
      <c r="AC237" s="37"/>
      <c r="AD237" s="37"/>
      <c r="AE237" s="37"/>
      <c r="AF237" s="37"/>
      <c r="AG237" s="59"/>
      <c r="AH237" s="49"/>
      <c r="AI237" s="37"/>
      <c r="AJ237" s="37"/>
      <c r="AK237" s="37"/>
      <c r="AL237" s="37"/>
      <c r="AM237" s="37"/>
      <c r="AN237" s="37"/>
      <c r="AO237" s="37"/>
      <c r="AP237" s="37"/>
      <c r="AQ237" s="37"/>
      <c r="AR237" s="37"/>
      <c r="AS237" s="37"/>
      <c r="AT237" s="37"/>
      <c r="AU237" s="37"/>
      <c r="AV237" s="59"/>
      <c r="AW237" s="1" t="str">
        <f>_xlfn.CONCAT(tbl_Ben_Info[[#This Row],[First Name]]," ",tbl_Ben_Info[[#This Row],[Father Name]]," ",tbl_Ben_Info[[#This Row],[Family Name]])</f>
        <v xml:space="preserve">  </v>
      </c>
    </row>
    <row r="238" spans="2:49" ht="25.15" customHeight="1" x14ac:dyDescent="0.25">
      <c r="B238" s="49">
        <v>233</v>
      </c>
      <c r="C238" s="1" t="str">
        <f>_xlfn.CONCAT("181-702-",IF(tbl_Ben_Info[[#This Row],[SN]]&lt;10,"00"&amp;tbl_Ben_Info[[#This Row],[SN]],IF(tbl_Ben_Info[[#This Row],[SN]]&lt;100,"0"&amp;tbl_Ben_Info[[#This Row],[SN]],tbl_Ben_Info[[#This Row],[SN]])))</f>
        <v>181-702-233</v>
      </c>
      <c r="D238" s="37"/>
      <c r="E238" s="40"/>
      <c r="F238" s="41"/>
      <c r="G238" s="42"/>
      <c r="H238" s="43"/>
      <c r="I238" s="73"/>
      <c r="J238" s="43"/>
      <c r="K238" s="43"/>
      <c r="L238" s="43"/>
      <c r="M238" s="43"/>
      <c r="N238" s="111"/>
      <c r="O238" s="43"/>
      <c r="P238" s="48"/>
      <c r="Q238" s="49"/>
      <c r="R238" s="37"/>
      <c r="S238" s="37"/>
      <c r="T238" s="37"/>
      <c r="U238" s="37"/>
      <c r="V238" s="59"/>
      <c r="W238" s="49"/>
      <c r="X238" s="37"/>
      <c r="Y238" s="37"/>
      <c r="Z238" s="37"/>
      <c r="AA238" s="37"/>
      <c r="AB238" s="37"/>
      <c r="AC238" s="37"/>
      <c r="AD238" s="37"/>
      <c r="AE238" s="37"/>
      <c r="AF238" s="37"/>
      <c r="AG238" s="59"/>
      <c r="AH238" s="49"/>
      <c r="AI238" s="37"/>
      <c r="AJ238" s="37"/>
      <c r="AK238" s="37"/>
      <c r="AL238" s="37"/>
      <c r="AM238" s="37"/>
      <c r="AN238" s="37"/>
      <c r="AO238" s="37"/>
      <c r="AP238" s="37"/>
      <c r="AQ238" s="37"/>
      <c r="AR238" s="37"/>
      <c r="AS238" s="37"/>
      <c r="AT238" s="37"/>
      <c r="AU238" s="37"/>
      <c r="AV238" s="59"/>
      <c r="AW238" s="1" t="str">
        <f>_xlfn.CONCAT(tbl_Ben_Info[[#This Row],[First Name]]," ",tbl_Ben_Info[[#This Row],[Father Name]]," ",tbl_Ben_Info[[#This Row],[Family Name]])</f>
        <v xml:space="preserve">  </v>
      </c>
    </row>
    <row r="239" spans="2:49" ht="25.15" customHeight="1" x14ac:dyDescent="0.25">
      <c r="B239" s="49">
        <v>234</v>
      </c>
      <c r="C239" s="1" t="str">
        <f>_xlfn.CONCAT("181-702-",IF(tbl_Ben_Info[[#This Row],[SN]]&lt;10,"00"&amp;tbl_Ben_Info[[#This Row],[SN]],IF(tbl_Ben_Info[[#This Row],[SN]]&lt;100,"0"&amp;tbl_Ben_Info[[#This Row],[SN]],tbl_Ben_Info[[#This Row],[SN]])))</f>
        <v>181-702-234</v>
      </c>
      <c r="D239" s="37"/>
      <c r="E239" s="40"/>
      <c r="F239" s="41"/>
      <c r="G239" s="42"/>
      <c r="H239" s="43"/>
      <c r="I239" s="73"/>
      <c r="J239" s="43"/>
      <c r="K239" s="43"/>
      <c r="L239" s="43"/>
      <c r="M239" s="43"/>
      <c r="N239" s="111"/>
      <c r="O239" s="43"/>
      <c r="P239" s="48"/>
      <c r="Q239" s="49"/>
      <c r="R239" s="37"/>
      <c r="S239" s="37"/>
      <c r="T239" s="37"/>
      <c r="U239" s="37"/>
      <c r="V239" s="59"/>
      <c r="W239" s="49"/>
      <c r="X239" s="37"/>
      <c r="Y239" s="37"/>
      <c r="Z239" s="37"/>
      <c r="AA239" s="37"/>
      <c r="AB239" s="37"/>
      <c r="AC239" s="37"/>
      <c r="AD239" s="37"/>
      <c r="AE239" s="37"/>
      <c r="AF239" s="37"/>
      <c r="AG239" s="59"/>
      <c r="AH239" s="49"/>
      <c r="AI239" s="37"/>
      <c r="AJ239" s="37"/>
      <c r="AK239" s="37"/>
      <c r="AL239" s="37"/>
      <c r="AM239" s="37"/>
      <c r="AN239" s="37"/>
      <c r="AO239" s="37"/>
      <c r="AP239" s="37"/>
      <c r="AQ239" s="37"/>
      <c r="AR239" s="37"/>
      <c r="AS239" s="37"/>
      <c r="AT239" s="37"/>
      <c r="AU239" s="37"/>
      <c r="AV239" s="59"/>
      <c r="AW239" s="1" t="str">
        <f>_xlfn.CONCAT(tbl_Ben_Info[[#This Row],[First Name]]," ",tbl_Ben_Info[[#This Row],[Father Name]]," ",tbl_Ben_Info[[#This Row],[Family Name]])</f>
        <v xml:space="preserve">  </v>
      </c>
    </row>
    <row r="240" spans="2:49" ht="25.15" customHeight="1" x14ac:dyDescent="0.25">
      <c r="B240" s="49">
        <v>235</v>
      </c>
      <c r="C240" s="1" t="str">
        <f>_xlfn.CONCAT("181-702-",IF(tbl_Ben_Info[[#This Row],[SN]]&lt;10,"00"&amp;tbl_Ben_Info[[#This Row],[SN]],IF(tbl_Ben_Info[[#This Row],[SN]]&lt;100,"0"&amp;tbl_Ben_Info[[#This Row],[SN]],tbl_Ben_Info[[#This Row],[SN]])))</f>
        <v>181-702-235</v>
      </c>
      <c r="D240" s="37"/>
      <c r="E240" s="40"/>
      <c r="F240" s="41"/>
      <c r="G240" s="42"/>
      <c r="H240" s="43"/>
      <c r="I240" s="73"/>
      <c r="J240" s="43"/>
      <c r="K240" s="43"/>
      <c r="L240" s="43"/>
      <c r="M240" s="43"/>
      <c r="N240" s="111"/>
      <c r="O240" s="43"/>
      <c r="P240" s="48"/>
      <c r="Q240" s="49"/>
      <c r="R240" s="37"/>
      <c r="S240" s="37"/>
      <c r="T240" s="37"/>
      <c r="U240" s="37"/>
      <c r="V240" s="59"/>
      <c r="W240" s="49"/>
      <c r="X240" s="37"/>
      <c r="Y240" s="37"/>
      <c r="Z240" s="37"/>
      <c r="AA240" s="37"/>
      <c r="AB240" s="37"/>
      <c r="AC240" s="37"/>
      <c r="AD240" s="37"/>
      <c r="AE240" s="37"/>
      <c r="AF240" s="37"/>
      <c r="AG240" s="59"/>
      <c r="AH240" s="49"/>
      <c r="AI240" s="37"/>
      <c r="AJ240" s="37"/>
      <c r="AK240" s="37"/>
      <c r="AL240" s="37"/>
      <c r="AM240" s="37"/>
      <c r="AN240" s="37"/>
      <c r="AO240" s="37"/>
      <c r="AP240" s="37"/>
      <c r="AQ240" s="37"/>
      <c r="AR240" s="37"/>
      <c r="AS240" s="37"/>
      <c r="AT240" s="37"/>
      <c r="AU240" s="37"/>
      <c r="AV240" s="59"/>
      <c r="AW240" s="1" t="str">
        <f>_xlfn.CONCAT(tbl_Ben_Info[[#This Row],[First Name]]," ",tbl_Ben_Info[[#This Row],[Father Name]]," ",tbl_Ben_Info[[#This Row],[Family Name]])</f>
        <v xml:space="preserve">  </v>
      </c>
    </row>
    <row r="241" spans="2:49" ht="25.15" customHeight="1" x14ac:dyDescent="0.25">
      <c r="B241" s="49">
        <v>236</v>
      </c>
      <c r="C241" s="1" t="str">
        <f>_xlfn.CONCAT("181-702-",IF(tbl_Ben_Info[[#This Row],[SN]]&lt;10,"00"&amp;tbl_Ben_Info[[#This Row],[SN]],IF(tbl_Ben_Info[[#This Row],[SN]]&lt;100,"0"&amp;tbl_Ben_Info[[#This Row],[SN]],tbl_Ben_Info[[#This Row],[SN]])))</f>
        <v>181-702-236</v>
      </c>
      <c r="D241" s="37"/>
      <c r="E241" s="40"/>
      <c r="F241" s="41"/>
      <c r="G241" s="42"/>
      <c r="H241" s="43"/>
      <c r="I241" s="73"/>
      <c r="J241" s="43"/>
      <c r="K241" s="43"/>
      <c r="L241" s="43"/>
      <c r="M241" s="43"/>
      <c r="N241" s="111"/>
      <c r="O241" s="43"/>
      <c r="P241" s="48"/>
      <c r="Q241" s="49"/>
      <c r="R241" s="37"/>
      <c r="S241" s="37"/>
      <c r="T241" s="37"/>
      <c r="U241" s="37"/>
      <c r="V241" s="59"/>
      <c r="W241" s="49"/>
      <c r="X241" s="37"/>
      <c r="Y241" s="37"/>
      <c r="Z241" s="37"/>
      <c r="AA241" s="37"/>
      <c r="AB241" s="37"/>
      <c r="AC241" s="37"/>
      <c r="AD241" s="37"/>
      <c r="AE241" s="37"/>
      <c r="AF241" s="37"/>
      <c r="AG241" s="59"/>
      <c r="AH241" s="49"/>
      <c r="AI241" s="37"/>
      <c r="AJ241" s="37"/>
      <c r="AK241" s="37"/>
      <c r="AL241" s="37"/>
      <c r="AM241" s="37"/>
      <c r="AN241" s="37"/>
      <c r="AO241" s="37"/>
      <c r="AP241" s="37"/>
      <c r="AQ241" s="37"/>
      <c r="AR241" s="37"/>
      <c r="AS241" s="37"/>
      <c r="AT241" s="37"/>
      <c r="AU241" s="37"/>
      <c r="AV241" s="59"/>
      <c r="AW241" s="1" t="str">
        <f>_xlfn.CONCAT(tbl_Ben_Info[[#This Row],[First Name]]," ",tbl_Ben_Info[[#This Row],[Father Name]]," ",tbl_Ben_Info[[#This Row],[Family Name]])</f>
        <v xml:space="preserve">  </v>
      </c>
    </row>
    <row r="242" spans="2:49" ht="25.15" customHeight="1" x14ac:dyDescent="0.25">
      <c r="B242" s="49">
        <v>237</v>
      </c>
      <c r="C242" s="1" t="str">
        <f>_xlfn.CONCAT("181-702-",IF(tbl_Ben_Info[[#This Row],[SN]]&lt;10,"00"&amp;tbl_Ben_Info[[#This Row],[SN]],IF(tbl_Ben_Info[[#This Row],[SN]]&lt;100,"0"&amp;tbl_Ben_Info[[#This Row],[SN]],tbl_Ben_Info[[#This Row],[SN]])))</f>
        <v>181-702-237</v>
      </c>
      <c r="D242" s="37"/>
      <c r="E242" s="40"/>
      <c r="F242" s="41"/>
      <c r="G242" s="42"/>
      <c r="H242" s="43"/>
      <c r="I242" s="73"/>
      <c r="J242" s="43"/>
      <c r="K242" s="43"/>
      <c r="L242" s="43"/>
      <c r="M242" s="43"/>
      <c r="N242" s="111"/>
      <c r="O242" s="43"/>
      <c r="P242" s="48"/>
      <c r="Q242" s="49"/>
      <c r="R242" s="37"/>
      <c r="S242" s="37"/>
      <c r="T242" s="37"/>
      <c r="U242" s="37"/>
      <c r="V242" s="59"/>
      <c r="W242" s="49"/>
      <c r="X242" s="37"/>
      <c r="Y242" s="37"/>
      <c r="Z242" s="37"/>
      <c r="AA242" s="37"/>
      <c r="AB242" s="37"/>
      <c r="AC242" s="37"/>
      <c r="AD242" s="37"/>
      <c r="AE242" s="37"/>
      <c r="AF242" s="37"/>
      <c r="AG242" s="59"/>
      <c r="AH242" s="49"/>
      <c r="AI242" s="37"/>
      <c r="AJ242" s="37"/>
      <c r="AK242" s="37"/>
      <c r="AL242" s="37"/>
      <c r="AM242" s="37"/>
      <c r="AN242" s="37"/>
      <c r="AO242" s="37"/>
      <c r="AP242" s="37"/>
      <c r="AQ242" s="37"/>
      <c r="AR242" s="37"/>
      <c r="AS242" s="37"/>
      <c r="AT242" s="37"/>
      <c r="AU242" s="37"/>
      <c r="AV242" s="59"/>
      <c r="AW242" s="1" t="str">
        <f>_xlfn.CONCAT(tbl_Ben_Info[[#This Row],[First Name]]," ",tbl_Ben_Info[[#This Row],[Father Name]]," ",tbl_Ben_Info[[#This Row],[Family Name]])</f>
        <v xml:space="preserve">  </v>
      </c>
    </row>
    <row r="243" spans="2:49" ht="25.15" customHeight="1" x14ac:dyDescent="0.25">
      <c r="B243" s="49">
        <v>238</v>
      </c>
      <c r="C243" s="1" t="str">
        <f>_xlfn.CONCAT("181-702-",IF(tbl_Ben_Info[[#This Row],[SN]]&lt;10,"00"&amp;tbl_Ben_Info[[#This Row],[SN]],IF(tbl_Ben_Info[[#This Row],[SN]]&lt;100,"0"&amp;tbl_Ben_Info[[#This Row],[SN]],tbl_Ben_Info[[#This Row],[SN]])))</f>
        <v>181-702-238</v>
      </c>
      <c r="D243" s="37"/>
      <c r="E243" s="40"/>
      <c r="F243" s="41"/>
      <c r="G243" s="42"/>
      <c r="H243" s="43"/>
      <c r="I243" s="73"/>
      <c r="J243" s="43"/>
      <c r="K243" s="43"/>
      <c r="L243" s="43"/>
      <c r="M243" s="43"/>
      <c r="N243" s="111"/>
      <c r="O243" s="43"/>
      <c r="P243" s="48"/>
      <c r="Q243" s="49"/>
      <c r="R243" s="37"/>
      <c r="S243" s="37"/>
      <c r="T243" s="37"/>
      <c r="U243" s="37"/>
      <c r="V243" s="59"/>
      <c r="W243" s="49"/>
      <c r="X243" s="37"/>
      <c r="Y243" s="37"/>
      <c r="Z243" s="37"/>
      <c r="AA243" s="37"/>
      <c r="AB243" s="37"/>
      <c r="AC243" s="37"/>
      <c r="AD243" s="37"/>
      <c r="AE243" s="37"/>
      <c r="AF243" s="37"/>
      <c r="AG243" s="59"/>
      <c r="AH243" s="49"/>
      <c r="AI243" s="37"/>
      <c r="AJ243" s="37"/>
      <c r="AK243" s="37"/>
      <c r="AL243" s="37"/>
      <c r="AM243" s="37"/>
      <c r="AN243" s="37"/>
      <c r="AO243" s="37"/>
      <c r="AP243" s="37"/>
      <c r="AQ243" s="37"/>
      <c r="AR243" s="37"/>
      <c r="AS243" s="37"/>
      <c r="AT243" s="37"/>
      <c r="AU243" s="37"/>
      <c r="AV243" s="59"/>
      <c r="AW243" s="1" t="str">
        <f>_xlfn.CONCAT(tbl_Ben_Info[[#This Row],[First Name]]," ",tbl_Ben_Info[[#This Row],[Father Name]]," ",tbl_Ben_Info[[#This Row],[Family Name]])</f>
        <v xml:space="preserve">  </v>
      </c>
    </row>
    <row r="244" spans="2:49" ht="25.15" customHeight="1" x14ac:dyDescent="0.25">
      <c r="B244" s="49">
        <v>239</v>
      </c>
      <c r="C244" s="1" t="str">
        <f>_xlfn.CONCAT("181-702-",IF(tbl_Ben_Info[[#This Row],[SN]]&lt;10,"00"&amp;tbl_Ben_Info[[#This Row],[SN]],IF(tbl_Ben_Info[[#This Row],[SN]]&lt;100,"0"&amp;tbl_Ben_Info[[#This Row],[SN]],tbl_Ben_Info[[#This Row],[SN]])))</f>
        <v>181-702-239</v>
      </c>
      <c r="D244" s="37"/>
      <c r="E244" s="40"/>
      <c r="F244" s="41"/>
      <c r="G244" s="42"/>
      <c r="H244" s="43"/>
      <c r="I244" s="73"/>
      <c r="J244" s="43"/>
      <c r="K244" s="43"/>
      <c r="L244" s="43"/>
      <c r="M244" s="43"/>
      <c r="N244" s="111"/>
      <c r="O244" s="43"/>
      <c r="P244" s="48"/>
      <c r="Q244" s="49"/>
      <c r="R244" s="37"/>
      <c r="S244" s="37"/>
      <c r="T244" s="37"/>
      <c r="U244" s="37"/>
      <c r="V244" s="59"/>
      <c r="W244" s="49"/>
      <c r="X244" s="37"/>
      <c r="Y244" s="37"/>
      <c r="Z244" s="37"/>
      <c r="AA244" s="37"/>
      <c r="AB244" s="37"/>
      <c r="AC244" s="37"/>
      <c r="AD244" s="37"/>
      <c r="AE244" s="37"/>
      <c r="AF244" s="37"/>
      <c r="AG244" s="59"/>
      <c r="AH244" s="49"/>
      <c r="AI244" s="37"/>
      <c r="AJ244" s="37"/>
      <c r="AK244" s="37"/>
      <c r="AL244" s="37"/>
      <c r="AM244" s="37"/>
      <c r="AN244" s="37"/>
      <c r="AO244" s="37"/>
      <c r="AP244" s="37"/>
      <c r="AQ244" s="37"/>
      <c r="AR244" s="37"/>
      <c r="AS244" s="37"/>
      <c r="AT244" s="37"/>
      <c r="AU244" s="37"/>
      <c r="AV244" s="59"/>
      <c r="AW244" s="1" t="str">
        <f>_xlfn.CONCAT(tbl_Ben_Info[[#This Row],[First Name]]," ",tbl_Ben_Info[[#This Row],[Father Name]]," ",tbl_Ben_Info[[#This Row],[Family Name]])</f>
        <v xml:space="preserve">  </v>
      </c>
    </row>
    <row r="245" spans="2:49" ht="25.15" customHeight="1" x14ac:dyDescent="0.25">
      <c r="B245" s="49">
        <v>240</v>
      </c>
      <c r="C245" s="1" t="str">
        <f>_xlfn.CONCAT("181-702-",IF(tbl_Ben_Info[[#This Row],[SN]]&lt;10,"00"&amp;tbl_Ben_Info[[#This Row],[SN]],IF(tbl_Ben_Info[[#This Row],[SN]]&lt;100,"0"&amp;tbl_Ben_Info[[#This Row],[SN]],tbl_Ben_Info[[#This Row],[SN]])))</f>
        <v>181-702-240</v>
      </c>
      <c r="D245" s="37"/>
      <c r="E245" s="40"/>
      <c r="F245" s="41"/>
      <c r="G245" s="42"/>
      <c r="H245" s="43"/>
      <c r="I245" s="73"/>
      <c r="J245" s="43"/>
      <c r="K245" s="43"/>
      <c r="L245" s="43"/>
      <c r="M245" s="43"/>
      <c r="N245" s="111"/>
      <c r="O245" s="43"/>
      <c r="P245" s="48"/>
      <c r="Q245" s="49"/>
      <c r="R245" s="37"/>
      <c r="S245" s="37"/>
      <c r="T245" s="37"/>
      <c r="U245" s="37"/>
      <c r="V245" s="59"/>
      <c r="W245" s="49"/>
      <c r="X245" s="37"/>
      <c r="Y245" s="37"/>
      <c r="Z245" s="37"/>
      <c r="AA245" s="37"/>
      <c r="AB245" s="37"/>
      <c r="AC245" s="37"/>
      <c r="AD245" s="37"/>
      <c r="AE245" s="37"/>
      <c r="AF245" s="37"/>
      <c r="AG245" s="59"/>
      <c r="AH245" s="49"/>
      <c r="AI245" s="37"/>
      <c r="AJ245" s="37"/>
      <c r="AK245" s="37"/>
      <c r="AL245" s="37"/>
      <c r="AM245" s="37"/>
      <c r="AN245" s="37"/>
      <c r="AO245" s="37"/>
      <c r="AP245" s="37"/>
      <c r="AQ245" s="37"/>
      <c r="AR245" s="37"/>
      <c r="AS245" s="37"/>
      <c r="AT245" s="37"/>
      <c r="AU245" s="37"/>
      <c r="AV245" s="59"/>
      <c r="AW245" s="1" t="str">
        <f>_xlfn.CONCAT(tbl_Ben_Info[[#This Row],[First Name]]," ",tbl_Ben_Info[[#This Row],[Father Name]]," ",tbl_Ben_Info[[#This Row],[Family Name]])</f>
        <v xml:space="preserve">  </v>
      </c>
    </row>
    <row r="246" spans="2:49" ht="25.15" customHeight="1" x14ac:dyDescent="0.25">
      <c r="B246" s="49">
        <v>241</v>
      </c>
      <c r="C246" s="1" t="str">
        <f>_xlfn.CONCAT("181-702-",IF(tbl_Ben_Info[[#This Row],[SN]]&lt;10,"00"&amp;tbl_Ben_Info[[#This Row],[SN]],IF(tbl_Ben_Info[[#This Row],[SN]]&lt;100,"0"&amp;tbl_Ben_Info[[#This Row],[SN]],tbl_Ben_Info[[#This Row],[SN]])))</f>
        <v>181-702-241</v>
      </c>
      <c r="D246" s="37"/>
      <c r="E246" s="40"/>
      <c r="F246" s="41"/>
      <c r="G246" s="42"/>
      <c r="H246" s="43"/>
      <c r="I246" s="73"/>
      <c r="J246" s="43"/>
      <c r="K246" s="43"/>
      <c r="L246" s="43"/>
      <c r="M246" s="43"/>
      <c r="N246" s="111"/>
      <c r="O246" s="43"/>
      <c r="P246" s="48"/>
      <c r="Q246" s="49"/>
      <c r="R246" s="37"/>
      <c r="S246" s="37"/>
      <c r="T246" s="37"/>
      <c r="U246" s="37"/>
      <c r="V246" s="59"/>
      <c r="W246" s="49"/>
      <c r="X246" s="37"/>
      <c r="Y246" s="37"/>
      <c r="Z246" s="37"/>
      <c r="AA246" s="37"/>
      <c r="AB246" s="37"/>
      <c r="AC246" s="37"/>
      <c r="AD246" s="37"/>
      <c r="AE246" s="37"/>
      <c r="AF246" s="37"/>
      <c r="AG246" s="59"/>
      <c r="AH246" s="49"/>
      <c r="AI246" s="37"/>
      <c r="AJ246" s="37"/>
      <c r="AK246" s="37"/>
      <c r="AL246" s="37"/>
      <c r="AM246" s="37"/>
      <c r="AN246" s="37"/>
      <c r="AO246" s="37"/>
      <c r="AP246" s="37"/>
      <c r="AQ246" s="37"/>
      <c r="AR246" s="37"/>
      <c r="AS246" s="37"/>
      <c r="AT246" s="37"/>
      <c r="AU246" s="37"/>
      <c r="AV246" s="59"/>
      <c r="AW246" s="1" t="str">
        <f>_xlfn.CONCAT(tbl_Ben_Info[[#This Row],[First Name]]," ",tbl_Ben_Info[[#This Row],[Father Name]]," ",tbl_Ben_Info[[#This Row],[Family Name]])</f>
        <v xml:space="preserve">  </v>
      </c>
    </row>
    <row r="247" spans="2:49" ht="25.15" customHeight="1" x14ac:dyDescent="0.25">
      <c r="B247" s="49">
        <v>242</v>
      </c>
      <c r="C247" s="1" t="str">
        <f>_xlfn.CONCAT("181-702-",IF(tbl_Ben_Info[[#This Row],[SN]]&lt;10,"00"&amp;tbl_Ben_Info[[#This Row],[SN]],IF(tbl_Ben_Info[[#This Row],[SN]]&lt;100,"0"&amp;tbl_Ben_Info[[#This Row],[SN]],tbl_Ben_Info[[#This Row],[SN]])))</f>
        <v>181-702-242</v>
      </c>
      <c r="D247" s="37"/>
      <c r="E247" s="40"/>
      <c r="F247" s="41"/>
      <c r="G247" s="42"/>
      <c r="H247" s="43"/>
      <c r="I247" s="73"/>
      <c r="J247" s="43"/>
      <c r="K247" s="43"/>
      <c r="L247" s="43"/>
      <c r="M247" s="43"/>
      <c r="N247" s="111"/>
      <c r="O247" s="43"/>
      <c r="P247" s="48"/>
      <c r="Q247" s="49"/>
      <c r="R247" s="37"/>
      <c r="S247" s="37"/>
      <c r="T247" s="37"/>
      <c r="U247" s="37"/>
      <c r="V247" s="59"/>
      <c r="W247" s="49"/>
      <c r="X247" s="37"/>
      <c r="Y247" s="37"/>
      <c r="Z247" s="37"/>
      <c r="AA247" s="37"/>
      <c r="AB247" s="37"/>
      <c r="AC247" s="37"/>
      <c r="AD247" s="37"/>
      <c r="AE247" s="37"/>
      <c r="AF247" s="37"/>
      <c r="AG247" s="59"/>
      <c r="AH247" s="49"/>
      <c r="AI247" s="37"/>
      <c r="AJ247" s="37"/>
      <c r="AK247" s="37"/>
      <c r="AL247" s="37"/>
      <c r="AM247" s="37"/>
      <c r="AN247" s="37"/>
      <c r="AO247" s="37"/>
      <c r="AP247" s="37"/>
      <c r="AQ247" s="37"/>
      <c r="AR247" s="37"/>
      <c r="AS247" s="37"/>
      <c r="AT247" s="37"/>
      <c r="AU247" s="37"/>
      <c r="AV247" s="59"/>
      <c r="AW247" s="1" t="str">
        <f>_xlfn.CONCAT(tbl_Ben_Info[[#This Row],[First Name]]," ",tbl_Ben_Info[[#This Row],[Father Name]]," ",tbl_Ben_Info[[#This Row],[Family Name]])</f>
        <v xml:space="preserve">  </v>
      </c>
    </row>
    <row r="248" spans="2:49" ht="25.15" customHeight="1" x14ac:dyDescent="0.25">
      <c r="B248" s="49">
        <v>243</v>
      </c>
      <c r="C248" s="1" t="str">
        <f>_xlfn.CONCAT("181-702-",IF(tbl_Ben_Info[[#This Row],[SN]]&lt;10,"00"&amp;tbl_Ben_Info[[#This Row],[SN]],IF(tbl_Ben_Info[[#This Row],[SN]]&lt;100,"0"&amp;tbl_Ben_Info[[#This Row],[SN]],tbl_Ben_Info[[#This Row],[SN]])))</f>
        <v>181-702-243</v>
      </c>
      <c r="D248" s="37"/>
      <c r="E248" s="40"/>
      <c r="F248" s="41"/>
      <c r="G248" s="42"/>
      <c r="H248" s="43"/>
      <c r="I248" s="73"/>
      <c r="J248" s="43"/>
      <c r="K248" s="43"/>
      <c r="L248" s="43"/>
      <c r="M248" s="43"/>
      <c r="N248" s="111"/>
      <c r="O248" s="43"/>
      <c r="P248" s="48"/>
      <c r="Q248" s="49"/>
      <c r="R248" s="37"/>
      <c r="S248" s="37"/>
      <c r="T248" s="37"/>
      <c r="U248" s="37"/>
      <c r="V248" s="59"/>
      <c r="W248" s="49"/>
      <c r="X248" s="37"/>
      <c r="Y248" s="37"/>
      <c r="Z248" s="37"/>
      <c r="AA248" s="37"/>
      <c r="AB248" s="37"/>
      <c r="AC248" s="37"/>
      <c r="AD248" s="37"/>
      <c r="AE248" s="37"/>
      <c r="AF248" s="37"/>
      <c r="AG248" s="59"/>
      <c r="AH248" s="49"/>
      <c r="AI248" s="37"/>
      <c r="AJ248" s="37"/>
      <c r="AK248" s="37"/>
      <c r="AL248" s="37"/>
      <c r="AM248" s="37"/>
      <c r="AN248" s="37"/>
      <c r="AO248" s="37"/>
      <c r="AP248" s="37"/>
      <c r="AQ248" s="37"/>
      <c r="AR248" s="37"/>
      <c r="AS248" s="37"/>
      <c r="AT248" s="37"/>
      <c r="AU248" s="37"/>
      <c r="AV248" s="59"/>
      <c r="AW248" s="1" t="str">
        <f>_xlfn.CONCAT(tbl_Ben_Info[[#This Row],[First Name]]," ",tbl_Ben_Info[[#This Row],[Father Name]]," ",tbl_Ben_Info[[#This Row],[Family Name]])</f>
        <v xml:space="preserve">  </v>
      </c>
    </row>
    <row r="249" spans="2:49" ht="25.15" customHeight="1" x14ac:dyDescent="0.25">
      <c r="B249" s="49">
        <v>244</v>
      </c>
      <c r="C249" s="1" t="str">
        <f>_xlfn.CONCAT("181-702-",IF(tbl_Ben_Info[[#This Row],[SN]]&lt;10,"00"&amp;tbl_Ben_Info[[#This Row],[SN]],IF(tbl_Ben_Info[[#This Row],[SN]]&lt;100,"0"&amp;tbl_Ben_Info[[#This Row],[SN]],tbl_Ben_Info[[#This Row],[SN]])))</f>
        <v>181-702-244</v>
      </c>
      <c r="D249" s="37"/>
      <c r="E249" s="40"/>
      <c r="F249" s="41"/>
      <c r="G249" s="42"/>
      <c r="H249" s="43"/>
      <c r="I249" s="73"/>
      <c r="J249" s="43"/>
      <c r="K249" s="43"/>
      <c r="L249" s="43"/>
      <c r="M249" s="43"/>
      <c r="N249" s="111"/>
      <c r="O249" s="43"/>
      <c r="P249" s="48"/>
      <c r="Q249" s="49"/>
      <c r="R249" s="37"/>
      <c r="S249" s="37"/>
      <c r="T249" s="37"/>
      <c r="U249" s="37"/>
      <c r="V249" s="59"/>
      <c r="W249" s="49"/>
      <c r="X249" s="37"/>
      <c r="Y249" s="37"/>
      <c r="Z249" s="37"/>
      <c r="AA249" s="37"/>
      <c r="AB249" s="37"/>
      <c r="AC249" s="37"/>
      <c r="AD249" s="37"/>
      <c r="AE249" s="37"/>
      <c r="AF249" s="37"/>
      <c r="AG249" s="59"/>
      <c r="AH249" s="49"/>
      <c r="AI249" s="37"/>
      <c r="AJ249" s="37"/>
      <c r="AK249" s="37"/>
      <c r="AL249" s="37"/>
      <c r="AM249" s="37"/>
      <c r="AN249" s="37"/>
      <c r="AO249" s="37"/>
      <c r="AP249" s="37"/>
      <c r="AQ249" s="37"/>
      <c r="AR249" s="37"/>
      <c r="AS249" s="37"/>
      <c r="AT249" s="37"/>
      <c r="AU249" s="37"/>
      <c r="AV249" s="59"/>
      <c r="AW249" s="1" t="str">
        <f>_xlfn.CONCAT(tbl_Ben_Info[[#This Row],[First Name]]," ",tbl_Ben_Info[[#This Row],[Father Name]]," ",tbl_Ben_Info[[#This Row],[Family Name]])</f>
        <v xml:space="preserve">  </v>
      </c>
    </row>
    <row r="250" spans="2:49" ht="25.15" customHeight="1" x14ac:dyDescent="0.25">
      <c r="B250" s="49">
        <v>245</v>
      </c>
      <c r="C250" s="1" t="str">
        <f>_xlfn.CONCAT("181-702-",IF(tbl_Ben_Info[[#This Row],[SN]]&lt;10,"00"&amp;tbl_Ben_Info[[#This Row],[SN]],IF(tbl_Ben_Info[[#This Row],[SN]]&lt;100,"0"&amp;tbl_Ben_Info[[#This Row],[SN]],tbl_Ben_Info[[#This Row],[SN]])))</f>
        <v>181-702-245</v>
      </c>
      <c r="D250" s="37"/>
      <c r="E250" s="40"/>
      <c r="F250" s="41"/>
      <c r="G250" s="42"/>
      <c r="H250" s="43"/>
      <c r="I250" s="73"/>
      <c r="J250" s="43"/>
      <c r="K250" s="43"/>
      <c r="L250" s="43"/>
      <c r="M250" s="43"/>
      <c r="N250" s="111"/>
      <c r="O250" s="43"/>
      <c r="P250" s="48"/>
      <c r="Q250" s="49"/>
      <c r="R250" s="37"/>
      <c r="S250" s="37"/>
      <c r="T250" s="37"/>
      <c r="U250" s="37"/>
      <c r="V250" s="59"/>
      <c r="W250" s="49"/>
      <c r="X250" s="37"/>
      <c r="Y250" s="37"/>
      <c r="Z250" s="37"/>
      <c r="AA250" s="37"/>
      <c r="AB250" s="37"/>
      <c r="AC250" s="37"/>
      <c r="AD250" s="37"/>
      <c r="AE250" s="37"/>
      <c r="AF250" s="37"/>
      <c r="AG250" s="59"/>
      <c r="AH250" s="49"/>
      <c r="AI250" s="37"/>
      <c r="AJ250" s="37"/>
      <c r="AK250" s="37"/>
      <c r="AL250" s="37"/>
      <c r="AM250" s="37"/>
      <c r="AN250" s="37"/>
      <c r="AO250" s="37"/>
      <c r="AP250" s="37"/>
      <c r="AQ250" s="37"/>
      <c r="AR250" s="37"/>
      <c r="AS250" s="37"/>
      <c r="AT250" s="37"/>
      <c r="AU250" s="37"/>
      <c r="AV250" s="59"/>
      <c r="AW250" s="1" t="str">
        <f>_xlfn.CONCAT(tbl_Ben_Info[[#This Row],[First Name]]," ",tbl_Ben_Info[[#This Row],[Father Name]]," ",tbl_Ben_Info[[#This Row],[Family Name]])</f>
        <v xml:space="preserve">  </v>
      </c>
    </row>
    <row r="251" spans="2:49" ht="25.15" customHeight="1" x14ac:dyDescent="0.25">
      <c r="B251" s="49">
        <v>246</v>
      </c>
      <c r="C251" s="1" t="str">
        <f>_xlfn.CONCAT("181-702-",IF(tbl_Ben_Info[[#This Row],[SN]]&lt;10,"00"&amp;tbl_Ben_Info[[#This Row],[SN]],IF(tbl_Ben_Info[[#This Row],[SN]]&lt;100,"0"&amp;tbl_Ben_Info[[#This Row],[SN]],tbl_Ben_Info[[#This Row],[SN]])))</f>
        <v>181-702-246</v>
      </c>
      <c r="D251" s="37"/>
      <c r="E251" s="40"/>
      <c r="F251" s="41"/>
      <c r="G251" s="42"/>
      <c r="H251" s="43"/>
      <c r="I251" s="73"/>
      <c r="J251" s="43"/>
      <c r="K251" s="43"/>
      <c r="L251" s="43"/>
      <c r="M251" s="43"/>
      <c r="N251" s="111"/>
      <c r="O251" s="43"/>
      <c r="P251" s="48"/>
      <c r="Q251" s="49"/>
      <c r="R251" s="37"/>
      <c r="S251" s="37"/>
      <c r="T251" s="37"/>
      <c r="U251" s="37"/>
      <c r="V251" s="59"/>
      <c r="W251" s="49"/>
      <c r="X251" s="37"/>
      <c r="Y251" s="37"/>
      <c r="Z251" s="37"/>
      <c r="AA251" s="37"/>
      <c r="AB251" s="37"/>
      <c r="AC251" s="37"/>
      <c r="AD251" s="37"/>
      <c r="AE251" s="37"/>
      <c r="AF251" s="37"/>
      <c r="AG251" s="59"/>
      <c r="AH251" s="49"/>
      <c r="AI251" s="37"/>
      <c r="AJ251" s="37"/>
      <c r="AK251" s="37"/>
      <c r="AL251" s="37"/>
      <c r="AM251" s="37"/>
      <c r="AN251" s="37"/>
      <c r="AO251" s="37"/>
      <c r="AP251" s="37"/>
      <c r="AQ251" s="37"/>
      <c r="AR251" s="37"/>
      <c r="AS251" s="37"/>
      <c r="AT251" s="37"/>
      <c r="AU251" s="37"/>
      <c r="AV251" s="59"/>
      <c r="AW251" s="1" t="str">
        <f>_xlfn.CONCAT(tbl_Ben_Info[[#This Row],[First Name]]," ",tbl_Ben_Info[[#This Row],[Father Name]]," ",tbl_Ben_Info[[#This Row],[Family Name]])</f>
        <v xml:space="preserve">  </v>
      </c>
    </row>
    <row r="252" spans="2:49" ht="25.15" customHeight="1" x14ac:dyDescent="0.25">
      <c r="B252" s="49">
        <v>247</v>
      </c>
      <c r="C252" s="1" t="str">
        <f>_xlfn.CONCAT("181-702-",IF(tbl_Ben_Info[[#This Row],[SN]]&lt;10,"00"&amp;tbl_Ben_Info[[#This Row],[SN]],IF(tbl_Ben_Info[[#This Row],[SN]]&lt;100,"0"&amp;tbl_Ben_Info[[#This Row],[SN]],tbl_Ben_Info[[#This Row],[SN]])))</f>
        <v>181-702-247</v>
      </c>
      <c r="D252" s="37"/>
      <c r="E252" s="40"/>
      <c r="F252" s="41"/>
      <c r="G252" s="42"/>
      <c r="H252" s="43"/>
      <c r="I252" s="73"/>
      <c r="J252" s="43"/>
      <c r="K252" s="43"/>
      <c r="L252" s="43"/>
      <c r="M252" s="43"/>
      <c r="N252" s="111"/>
      <c r="O252" s="43"/>
      <c r="P252" s="48"/>
      <c r="Q252" s="49"/>
      <c r="R252" s="37"/>
      <c r="S252" s="37"/>
      <c r="T252" s="37"/>
      <c r="U252" s="37"/>
      <c r="V252" s="59"/>
      <c r="W252" s="49"/>
      <c r="X252" s="37"/>
      <c r="Y252" s="37"/>
      <c r="Z252" s="37"/>
      <c r="AA252" s="37"/>
      <c r="AB252" s="37"/>
      <c r="AC252" s="37"/>
      <c r="AD252" s="37"/>
      <c r="AE252" s="37"/>
      <c r="AF252" s="37"/>
      <c r="AG252" s="59"/>
      <c r="AH252" s="49"/>
      <c r="AI252" s="37"/>
      <c r="AJ252" s="37"/>
      <c r="AK252" s="37"/>
      <c r="AL252" s="37"/>
      <c r="AM252" s="37"/>
      <c r="AN252" s="37"/>
      <c r="AO252" s="37"/>
      <c r="AP252" s="37"/>
      <c r="AQ252" s="37"/>
      <c r="AR252" s="37"/>
      <c r="AS252" s="37"/>
      <c r="AT252" s="37"/>
      <c r="AU252" s="37"/>
      <c r="AV252" s="59"/>
      <c r="AW252" s="1" t="str">
        <f>_xlfn.CONCAT(tbl_Ben_Info[[#This Row],[First Name]]," ",tbl_Ben_Info[[#This Row],[Father Name]]," ",tbl_Ben_Info[[#This Row],[Family Name]])</f>
        <v xml:space="preserve">  </v>
      </c>
    </row>
    <row r="253" spans="2:49" ht="25.15" customHeight="1" x14ac:dyDescent="0.25">
      <c r="B253" s="49">
        <v>248</v>
      </c>
      <c r="C253" s="1" t="str">
        <f>_xlfn.CONCAT("181-702-",IF(tbl_Ben_Info[[#This Row],[SN]]&lt;10,"00"&amp;tbl_Ben_Info[[#This Row],[SN]],IF(tbl_Ben_Info[[#This Row],[SN]]&lt;100,"0"&amp;tbl_Ben_Info[[#This Row],[SN]],tbl_Ben_Info[[#This Row],[SN]])))</f>
        <v>181-702-248</v>
      </c>
      <c r="D253" s="37"/>
      <c r="E253" s="40"/>
      <c r="F253" s="41"/>
      <c r="G253" s="42"/>
      <c r="H253" s="43"/>
      <c r="I253" s="73"/>
      <c r="J253" s="43"/>
      <c r="K253" s="43"/>
      <c r="L253" s="43"/>
      <c r="M253" s="43"/>
      <c r="N253" s="111"/>
      <c r="O253" s="43"/>
      <c r="P253" s="48"/>
      <c r="Q253" s="49"/>
      <c r="R253" s="37"/>
      <c r="S253" s="37"/>
      <c r="T253" s="37"/>
      <c r="U253" s="37"/>
      <c r="V253" s="59"/>
      <c r="W253" s="49"/>
      <c r="X253" s="37"/>
      <c r="Y253" s="37"/>
      <c r="Z253" s="37"/>
      <c r="AA253" s="37"/>
      <c r="AB253" s="37"/>
      <c r="AC253" s="37"/>
      <c r="AD253" s="37"/>
      <c r="AE253" s="37"/>
      <c r="AF253" s="37"/>
      <c r="AG253" s="59"/>
      <c r="AH253" s="49"/>
      <c r="AI253" s="37"/>
      <c r="AJ253" s="37"/>
      <c r="AK253" s="37"/>
      <c r="AL253" s="37"/>
      <c r="AM253" s="37"/>
      <c r="AN253" s="37"/>
      <c r="AO253" s="37"/>
      <c r="AP253" s="37"/>
      <c r="AQ253" s="37"/>
      <c r="AR253" s="37"/>
      <c r="AS253" s="37"/>
      <c r="AT253" s="37"/>
      <c r="AU253" s="37"/>
      <c r="AV253" s="59"/>
      <c r="AW253" s="1" t="str">
        <f>_xlfn.CONCAT(tbl_Ben_Info[[#This Row],[First Name]]," ",tbl_Ben_Info[[#This Row],[Father Name]]," ",tbl_Ben_Info[[#This Row],[Family Name]])</f>
        <v xml:space="preserve">  </v>
      </c>
    </row>
    <row r="254" spans="2:49" ht="25.15" customHeight="1" x14ac:dyDescent="0.25">
      <c r="B254" s="49">
        <v>249</v>
      </c>
      <c r="C254" s="1" t="str">
        <f>_xlfn.CONCAT("181-702-",IF(tbl_Ben_Info[[#This Row],[SN]]&lt;10,"00"&amp;tbl_Ben_Info[[#This Row],[SN]],IF(tbl_Ben_Info[[#This Row],[SN]]&lt;100,"0"&amp;tbl_Ben_Info[[#This Row],[SN]],tbl_Ben_Info[[#This Row],[SN]])))</f>
        <v>181-702-249</v>
      </c>
      <c r="D254" s="37"/>
      <c r="E254" s="40"/>
      <c r="F254" s="41"/>
      <c r="G254" s="42"/>
      <c r="H254" s="43"/>
      <c r="I254" s="73"/>
      <c r="J254" s="43"/>
      <c r="K254" s="43"/>
      <c r="L254" s="43"/>
      <c r="M254" s="43"/>
      <c r="N254" s="111"/>
      <c r="O254" s="43"/>
      <c r="P254" s="48"/>
      <c r="Q254" s="49"/>
      <c r="R254" s="37"/>
      <c r="S254" s="37"/>
      <c r="T254" s="37"/>
      <c r="U254" s="37"/>
      <c r="V254" s="59"/>
      <c r="W254" s="49"/>
      <c r="X254" s="37"/>
      <c r="Y254" s="37"/>
      <c r="Z254" s="37"/>
      <c r="AA254" s="37"/>
      <c r="AB254" s="37"/>
      <c r="AC254" s="37"/>
      <c r="AD254" s="37"/>
      <c r="AE254" s="37"/>
      <c r="AF254" s="37"/>
      <c r="AG254" s="59"/>
      <c r="AH254" s="49"/>
      <c r="AI254" s="37"/>
      <c r="AJ254" s="37"/>
      <c r="AK254" s="37"/>
      <c r="AL254" s="37"/>
      <c r="AM254" s="37"/>
      <c r="AN254" s="37"/>
      <c r="AO254" s="37"/>
      <c r="AP254" s="37"/>
      <c r="AQ254" s="37"/>
      <c r="AR254" s="37"/>
      <c r="AS254" s="37"/>
      <c r="AT254" s="37"/>
      <c r="AU254" s="37"/>
      <c r="AV254" s="59"/>
      <c r="AW254" s="1" t="str">
        <f>_xlfn.CONCAT(tbl_Ben_Info[[#This Row],[First Name]]," ",tbl_Ben_Info[[#This Row],[Father Name]]," ",tbl_Ben_Info[[#This Row],[Family Name]])</f>
        <v xml:space="preserve">  </v>
      </c>
    </row>
    <row r="255" spans="2:49" ht="25.15" customHeight="1" x14ac:dyDescent="0.25">
      <c r="B255" s="49">
        <v>250</v>
      </c>
      <c r="C255" s="1" t="str">
        <f>_xlfn.CONCAT("181-702-",IF(tbl_Ben_Info[[#This Row],[SN]]&lt;10,"00"&amp;tbl_Ben_Info[[#This Row],[SN]],IF(tbl_Ben_Info[[#This Row],[SN]]&lt;100,"0"&amp;tbl_Ben_Info[[#This Row],[SN]],tbl_Ben_Info[[#This Row],[SN]])))</f>
        <v>181-702-250</v>
      </c>
      <c r="D255" s="37"/>
      <c r="E255" s="40"/>
      <c r="F255" s="41"/>
      <c r="G255" s="42"/>
      <c r="H255" s="43"/>
      <c r="I255" s="73"/>
      <c r="J255" s="43"/>
      <c r="K255" s="43"/>
      <c r="L255" s="43"/>
      <c r="M255" s="43"/>
      <c r="N255" s="111"/>
      <c r="O255" s="43"/>
      <c r="P255" s="48"/>
      <c r="Q255" s="49"/>
      <c r="R255" s="37"/>
      <c r="S255" s="37"/>
      <c r="T255" s="37"/>
      <c r="U255" s="37"/>
      <c r="V255" s="59"/>
      <c r="W255" s="49"/>
      <c r="X255" s="37"/>
      <c r="Y255" s="37"/>
      <c r="Z255" s="37"/>
      <c r="AA255" s="37"/>
      <c r="AB255" s="37"/>
      <c r="AC255" s="37"/>
      <c r="AD255" s="37"/>
      <c r="AE255" s="37"/>
      <c r="AF255" s="37"/>
      <c r="AG255" s="59"/>
      <c r="AH255" s="49"/>
      <c r="AI255" s="37"/>
      <c r="AJ255" s="37"/>
      <c r="AK255" s="37"/>
      <c r="AL255" s="37"/>
      <c r="AM255" s="37"/>
      <c r="AN255" s="37"/>
      <c r="AO255" s="37"/>
      <c r="AP255" s="37"/>
      <c r="AQ255" s="37"/>
      <c r="AR255" s="37"/>
      <c r="AS255" s="37"/>
      <c r="AT255" s="37"/>
      <c r="AU255" s="37"/>
      <c r="AV255" s="59"/>
      <c r="AW255" s="1" t="str">
        <f>_xlfn.CONCAT(tbl_Ben_Info[[#This Row],[First Name]]," ",tbl_Ben_Info[[#This Row],[Father Name]]," ",tbl_Ben_Info[[#This Row],[Family Name]])</f>
        <v xml:space="preserve">  </v>
      </c>
    </row>
    <row r="256" spans="2:49" ht="25.15" customHeight="1" x14ac:dyDescent="0.25">
      <c r="B256" s="49">
        <v>251</v>
      </c>
      <c r="C256" s="1" t="str">
        <f>_xlfn.CONCAT("181-702-",IF(tbl_Ben_Info[[#This Row],[SN]]&lt;10,"00"&amp;tbl_Ben_Info[[#This Row],[SN]],IF(tbl_Ben_Info[[#This Row],[SN]]&lt;100,"0"&amp;tbl_Ben_Info[[#This Row],[SN]],tbl_Ben_Info[[#This Row],[SN]])))</f>
        <v>181-702-251</v>
      </c>
      <c r="D256" s="37"/>
      <c r="E256" s="40"/>
      <c r="F256" s="41"/>
      <c r="G256" s="42"/>
      <c r="H256" s="43"/>
      <c r="I256" s="73"/>
      <c r="J256" s="43"/>
      <c r="K256" s="43"/>
      <c r="L256" s="43"/>
      <c r="M256" s="43"/>
      <c r="N256" s="111"/>
      <c r="O256" s="43"/>
      <c r="P256" s="48"/>
      <c r="Q256" s="49"/>
      <c r="R256" s="37"/>
      <c r="S256" s="37"/>
      <c r="T256" s="37"/>
      <c r="U256" s="37"/>
      <c r="V256" s="59"/>
      <c r="W256" s="49"/>
      <c r="X256" s="37"/>
      <c r="Y256" s="37"/>
      <c r="Z256" s="37"/>
      <c r="AA256" s="37"/>
      <c r="AB256" s="37"/>
      <c r="AC256" s="37"/>
      <c r="AD256" s="37"/>
      <c r="AE256" s="37"/>
      <c r="AF256" s="37"/>
      <c r="AG256" s="59"/>
      <c r="AH256" s="49"/>
      <c r="AI256" s="37"/>
      <c r="AJ256" s="37"/>
      <c r="AK256" s="37"/>
      <c r="AL256" s="37"/>
      <c r="AM256" s="37"/>
      <c r="AN256" s="37"/>
      <c r="AO256" s="37"/>
      <c r="AP256" s="37"/>
      <c r="AQ256" s="37"/>
      <c r="AR256" s="37"/>
      <c r="AS256" s="37"/>
      <c r="AT256" s="37"/>
      <c r="AU256" s="37"/>
      <c r="AV256" s="59"/>
      <c r="AW256" s="1" t="str">
        <f>_xlfn.CONCAT(tbl_Ben_Info[[#This Row],[First Name]]," ",tbl_Ben_Info[[#This Row],[Father Name]]," ",tbl_Ben_Info[[#This Row],[Family Name]])</f>
        <v xml:space="preserve">  </v>
      </c>
    </row>
    <row r="257" spans="2:49" ht="25.15" customHeight="1" x14ac:dyDescent="0.25">
      <c r="B257" s="49">
        <v>252</v>
      </c>
      <c r="C257" s="1" t="str">
        <f>_xlfn.CONCAT("181-702-",IF(tbl_Ben_Info[[#This Row],[SN]]&lt;10,"00"&amp;tbl_Ben_Info[[#This Row],[SN]],IF(tbl_Ben_Info[[#This Row],[SN]]&lt;100,"0"&amp;tbl_Ben_Info[[#This Row],[SN]],tbl_Ben_Info[[#This Row],[SN]])))</f>
        <v>181-702-252</v>
      </c>
      <c r="D257" s="37"/>
      <c r="E257" s="40"/>
      <c r="F257" s="41"/>
      <c r="G257" s="42"/>
      <c r="H257" s="43"/>
      <c r="I257" s="73"/>
      <c r="J257" s="43"/>
      <c r="K257" s="43"/>
      <c r="L257" s="43"/>
      <c r="M257" s="43"/>
      <c r="N257" s="111"/>
      <c r="O257" s="43"/>
      <c r="P257" s="48"/>
      <c r="Q257" s="49"/>
      <c r="R257" s="37"/>
      <c r="S257" s="37"/>
      <c r="T257" s="37"/>
      <c r="U257" s="37"/>
      <c r="V257" s="59"/>
      <c r="W257" s="49"/>
      <c r="X257" s="37"/>
      <c r="Y257" s="37"/>
      <c r="Z257" s="37"/>
      <c r="AA257" s="37"/>
      <c r="AB257" s="37"/>
      <c r="AC257" s="37"/>
      <c r="AD257" s="37"/>
      <c r="AE257" s="37"/>
      <c r="AF257" s="37"/>
      <c r="AG257" s="59"/>
      <c r="AH257" s="49"/>
      <c r="AI257" s="37"/>
      <c r="AJ257" s="37"/>
      <c r="AK257" s="37"/>
      <c r="AL257" s="37"/>
      <c r="AM257" s="37"/>
      <c r="AN257" s="37"/>
      <c r="AO257" s="37"/>
      <c r="AP257" s="37"/>
      <c r="AQ257" s="37"/>
      <c r="AR257" s="37"/>
      <c r="AS257" s="37"/>
      <c r="AT257" s="37"/>
      <c r="AU257" s="37"/>
      <c r="AV257" s="59"/>
      <c r="AW257" s="1" t="str">
        <f>_xlfn.CONCAT(tbl_Ben_Info[[#This Row],[First Name]]," ",tbl_Ben_Info[[#This Row],[Father Name]]," ",tbl_Ben_Info[[#This Row],[Family Name]])</f>
        <v xml:space="preserve">  </v>
      </c>
    </row>
    <row r="258" spans="2:49" ht="25.15" customHeight="1" x14ac:dyDescent="0.25">
      <c r="B258" s="49">
        <v>253</v>
      </c>
      <c r="C258" s="1" t="str">
        <f>_xlfn.CONCAT("181-702-",IF(tbl_Ben_Info[[#This Row],[SN]]&lt;10,"00"&amp;tbl_Ben_Info[[#This Row],[SN]],IF(tbl_Ben_Info[[#This Row],[SN]]&lt;100,"0"&amp;tbl_Ben_Info[[#This Row],[SN]],tbl_Ben_Info[[#This Row],[SN]])))</f>
        <v>181-702-253</v>
      </c>
      <c r="D258" s="37"/>
      <c r="E258" s="40"/>
      <c r="F258" s="41"/>
      <c r="G258" s="42"/>
      <c r="H258" s="43"/>
      <c r="I258" s="73"/>
      <c r="J258" s="43"/>
      <c r="K258" s="43"/>
      <c r="L258" s="43"/>
      <c r="M258" s="43"/>
      <c r="N258" s="111"/>
      <c r="O258" s="43"/>
      <c r="P258" s="48"/>
      <c r="Q258" s="49"/>
      <c r="R258" s="37"/>
      <c r="S258" s="37"/>
      <c r="T258" s="37"/>
      <c r="U258" s="37"/>
      <c r="V258" s="59"/>
      <c r="W258" s="49"/>
      <c r="X258" s="37"/>
      <c r="Y258" s="37"/>
      <c r="Z258" s="37"/>
      <c r="AA258" s="37"/>
      <c r="AB258" s="37"/>
      <c r="AC258" s="37"/>
      <c r="AD258" s="37"/>
      <c r="AE258" s="37"/>
      <c r="AF258" s="37"/>
      <c r="AG258" s="59"/>
      <c r="AH258" s="49"/>
      <c r="AI258" s="37"/>
      <c r="AJ258" s="37"/>
      <c r="AK258" s="37"/>
      <c r="AL258" s="37"/>
      <c r="AM258" s="37"/>
      <c r="AN258" s="37"/>
      <c r="AO258" s="37"/>
      <c r="AP258" s="37"/>
      <c r="AQ258" s="37"/>
      <c r="AR258" s="37"/>
      <c r="AS258" s="37"/>
      <c r="AT258" s="37"/>
      <c r="AU258" s="37"/>
      <c r="AV258" s="59"/>
      <c r="AW258" s="1" t="str">
        <f>_xlfn.CONCAT(tbl_Ben_Info[[#This Row],[First Name]]," ",tbl_Ben_Info[[#This Row],[Father Name]]," ",tbl_Ben_Info[[#This Row],[Family Name]])</f>
        <v xml:space="preserve">  </v>
      </c>
    </row>
    <row r="259" spans="2:49" ht="25.15" customHeight="1" x14ac:dyDescent="0.25">
      <c r="B259" s="49">
        <v>254</v>
      </c>
      <c r="C259" s="1" t="str">
        <f>_xlfn.CONCAT("181-702-",IF(tbl_Ben_Info[[#This Row],[SN]]&lt;10,"00"&amp;tbl_Ben_Info[[#This Row],[SN]],IF(tbl_Ben_Info[[#This Row],[SN]]&lt;100,"0"&amp;tbl_Ben_Info[[#This Row],[SN]],tbl_Ben_Info[[#This Row],[SN]])))</f>
        <v>181-702-254</v>
      </c>
      <c r="D259" s="37"/>
      <c r="E259" s="40"/>
      <c r="F259" s="41"/>
      <c r="G259" s="42"/>
      <c r="H259" s="43"/>
      <c r="I259" s="73"/>
      <c r="J259" s="43"/>
      <c r="K259" s="43"/>
      <c r="L259" s="43"/>
      <c r="M259" s="43"/>
      <c r="N259" s="111"/>
      <c r="O259" s="43"/>
      <c r="P259" s="48"/>
      <c r="Q259" s="49"/>
      <c r="R259" s="37"/>
      <c r="S259" s="37"/>
      <c r="T259" s="37"/>
      <c r="U259" s="37"/>
      <c r="V259" s="59"/>
      <c r="W259" s="49"/>
      <c r="X259" s="37"/>
      <c r="Y259" s="37"/>
      <c r="Z259" s="37"/>
      <c r="AA259" s="37"/>
      <c r="AB259" s="37"/>
      <c r="AC259" s="37"/>
      <c r="AD259" s="37"/>
      <c r="AE259" s="37"/>
      <c r="AF259" s="37"/>
      <c r="AG259" s="59"/>
      <c r="AH259" s="49"/>
      <c r="AI259" s="37"/>
      <c r="AJ259" s="37"/>
      <c r="AK259" s="37"/>
      <c r="AL259" s="37"/>
      <c r="AM259" s="37"/>
      <c r="AN259" s="37"/>
      <c r="AO259" s="37"/>
      <c r="AP259" s="37"/>
      <c r="AQ259" s="37"/>
      <c r="AR259" s="37"/>
      <c r="AS259" s="37"/>
      <c r="AT259" s="37"/>
      <c r="AU259" s="37"/>
      <c r="AV259" s="59"/>
      <c r="AW259" s="1" t="str">
        <f>_xlfn.CONCAT(tbl_Ben_Info[[#This Row],[First Name]]," ",tbl_Ben_Info[[#This Row],[Father Name]]," ",tbl_Ben_Info[[#This Row],[Family Name]])</f>
        <v xml:space="preserve">  </v>
      </c>
    </row>
    <row r="260" spans="2:49" ht="25.15" customHeight="1" x14ac:dyDescent="0.25">
      <c r="B260" s="49">
        <v>255</v>
      </c>
      <c r="C260" s="1" t="str">
        <f>_xlfn.CONCAT("181-702-",IF(tbl_Ben_Info[[#This Row],[SN]]&lt;10,"00"&amp;tbl_Ben_Info[[#This Row],[SN]],IF(tbl_Ben_Info[[#This Row],[SN]]&lt;100,"0"&amp;tbl_Ben_Info[[#This Row],[SN]],tbl_Ben_Info[[#This Row],[SN]])))</f>
        <v>181-702-255</v>
      </c>
      <c r="D260" s="37"/>
      <c r="E260" s="40"/>
      <c r="F260" s="41"/>
      <c r="G260" s="42"/>
      <c r="H260" s="43"/>
      <c r="I260" s="73"/>
      <c r="J260" s="43"/>
      <c r="K260" s="43"/>
      <c r="L260" s="43"/>
      <c r="M260" s="43"/>
      <c r="N260" s="111"/>
      <c r="O260" s="43"/>
      <c r="P260" s="48"/>
      <c r="Q260" s="49"/>
      <c r="R260" s="37"/>
      <c r="S260" s="37"/>
      <c r="T260" s="37"/>
      <c r="U260" s="37"/>
      <c r="V260" s="59"/>
      <c r="W260" s="49"/>
      <c r="X260" s="37"/>
      <c r="Y260" s="37"/>
      <c r="Z260" s="37"/>
      <c r="AA260" s="37"/>
      <c r="AB260" s="37"/>
      <c r="AC260" s="37"/>
      <c r="AD260" s="37"/>
      <c r="AE260" s="37"/>
      <c r="AF260" s="37"/>
      <c r="AG260" s="59"/>
      <c r="AH260" s="49"/>
      <c r="AI260" s="37"/>
      <c r="AJ260" s="37"/>
      <c r="AK260" s="37"/>
      <c r="AL260" s="37"/>
      <c r="AM260" s="37"/>
      <c r="AN260" s="37"/>
      <c r="AO260" s="37"/>
      <c r="AP260" s="37"/>
      <c r="AQ260" s="37"/>
      <c r="AR260" s="37"/>
      <c r="AS260" s="37"/>
      <c r="AT260" s="37"/>
      <c r="AU260" s="37"/>
      <c r="AV260" s="59"/>
      <c r="AW260" s="1" t="str">
        <f>_xlfn.CONCAT(tbl_Ben_Info[[#This Row],[First Name]]," ",tbl_Ben_Info[[#This Row],[Father Name]]," ",tbl_Ben_Info[[#This Row],[Family Name]])</f>
        <v xml:space="preserve">  </v>
      </c>
    </row>
    <row r="261" spans="2:49" ht="25.15" customHeight="1" x14ac:dyDescent="0.25">
      <c r="B261" s="49">
        <v>256</v>
      </c>
      <c r="C261" s="1" t="str">
        <f>_xlfn.CONCAT("181-702-",IF(tbl_Ben_Info[[#This Row],[SN]]&lt;10,"00"&amp;tbl_Ben_Info[[#This Row],[SN]],IF(tbl_Ben_Info[[#This Row],[SN]]&lt;100,"0"&amp;tbl_Ben_Info[[#This Row],[SN]],tbl_Ben_Info[[#This Row],[SN]])))</f>
        <v>181-702-256</v>
      </c>
      <c r="D261" s="37"/>
      <c r="E261" s="40"/>
      <c r="F261" s="41"/>
      <c r="G261" s="42"/>
      <c r="H261" s="43"/>
      <c r="I261" s="73"/>
      <c r="J261" s="43"/>
      <c r="K261" s="43"/>
      <c r="L261" s="43"/>
      <c r="M261" s="43"/>
      <c r="N261" s="111"/>
      <c r="O261" s="43"/>
      <c r="P261" s="48"/>
      <c r="Q261" s="49"/>
      <c r="R261" s="37"/>
      <c r="S261" s="37"/>
      <c r="T261" s="37"/>
      <c r="U261" s="37"/>
      <c r="V261" s="59"/>
      <c r="W261" s="49"/>
      <c r="X261" s="37"/>
      <c r="Y261" s="37"/>
      <c r="Z261" s="37"/>
      <c r="AA261" s="37"/>
      <c r="AB261" s="37"/>
      <c r="AC261" s="37"/>
      <c r="AD261" s="37"/>
      <c r="AE261" s="37"/>
      <c r="AF261" s="37"/>
      <c r="AG261" s="59"/>
      <c r="AH261" s="49"/>
      <c r="AI261" s="37"/>
      <c r="AJ261" s="37"/>
      <c r="AK261" s="37"/>
      <c r="AL261" s="37"/>
      <c r="AM261" s="37"/>
      <c r="AN261" s="37"/>
      <c r="AO261" s="37"/>
      <c r="AP261" s="37"/>
      <c r="AQ261" s="37"/>
      <c r="AR261" s="37"/>
      <c r="AS261" s="37"/>
      <c r="AT261" s="37"/>
      <c r="AU261" s="37"/>
      <c r="AV261" s="59"/>
      <c r="AW261" s="1" t="str">
        <f>_xlfn.CONCAT(tbl_Ben_Info[[#This Row],[First Name]]," ",tbl_Ben_Info[[#This Row],[Father Name]]," ",tbl_Ben_Info[[#This Row],[Family Name]])</f>
        <v xml:space="preserve">  </v>
      </c>
    </row>
    <row r="262" spans="2:49" ht="25.15" customHeight="1" x14ac:dyDescent="0.25">
      <c r="B262" s="49">
        <v>257</v>
      </c>
      <c r="C262" s="1" t="str">
        <f>_xlfn.CONCAT("181-702-",IF(tbl_Ben_Info[[#This Row],[SN]]&lt;10,"00"&amp;tbl_Ben_Info[[#This Row],[SN]],IF(tbl_Ben_Info[[#This Row],[SN]]&lt;100,"0"&amp;tbl_Ben_Info[[#This Row],[SN]],tbl_Ben_Info[[#This Row],[SN]])))</f>
        <v>181-702-257</v>
      </c>
      <c r="D262" s="37"/>
      <c r="E262" s="40"/>
      <c r="F262" s="41"/>
      <c r="G262" s="42"/>
      <c r="H262" s="43"/>
      <c r="I262" s="73"/>
      <c r="J262" s="43"/>
      <c r="K262" s="43"/>
      <c r="L262" s="43"/>
      <c r="M262" s="43"/>
      <c r="N262" s="111"/>
      <c r="O262" s="43"/>
      <c r="P262" s="48"/>
      <c r="Q262" s="49"/>
      <c r="R262" s="37"/>
      <c r="S262" s="37"/>
      <c r="T262" s="37"/>
      <c r="U262" s="37"/>
      <c r="V262" s="59"/>
      <c r="W262" s="49"/>
      <c r="X262" s="37"/>
      <c r="Y262" s="37"/>
      <c r="Z262" s="37"/>
      <c r="AA262" s="37"/>
      <c r="AB262" s="37"/>
      <c r="AC262" s="37"/>
      <c r="AD262" s="37"/>
      <c r="AE262" s="37"/>
      <c r="AF262" s="37"/>
      <c r="AG262" s="59"/>
      <c r="AH262" s="49"/>
      <c r="AI262" s="37"/>
      <c r="AJ262" s="37"/>
      <c r="AK262" s="37"/>
      <c r="AL262" s="37"/>
      <c r="AM262" s="37"/>
      <c r="AN262" s="37"/>
      <c r="AO262" s="37"/>
      <c r="AP262" s="37"/>
      <c r="AQ262" s="37"/>
      <c r="AR262" s="37"/>
      <c r="AS262" s="37"/>
      <c r="AT262" s="37"/>
      <c r="AU262" s="37"/>
      <c r="AV262" s="59"/>
      <c r="AW262" s="1" t="str">
        <f>_xlfn.CONCAT(tbl_Ben_Info[[#This Row],[First Name]]," ",tbl_Ben_Info[[#This Row],[Father Name]]," ",tbl_Ben_Info[[#This Row],[Family Name]])</f>
        <v xml:space="preserve">  </v>
      </c>
    </row>
    <row r="263" spans="2:49" ht="25.15" customHeight="1" x14ac:dyDescent="0.25">
      <c r="B263" s="49">
        <v>258</v>
      </c>
      <c r="C263" s="1" t="str">
        <f>_xlfn.CONCAT("181-702-",IF(tbl_Ben_Info[[#This Row],[SN]]&lt;10,"00"&amp;tbl_Ben_Info[[#This Row],[SN]],IF(tbl_Ben_Info[[#This Row],[SN]]&lt;100,"0"&amp;tbl_Ben_Info[[#This Row],[SN]],tbl_Ben_Info[[#This Row],[SN]])))</f>
        <v>181-702-258</v>
      </c>
      <c r="D263" s="37"/>
      <c r="E263" s="40"/>
      <c r="F263" s="41"/>
      <c r="G263" s="42"/>
      <c r="H263" s="43"/>
      <c r="I263" s="73"/>
      <c r="J263" s="43"/>
      <c r="K263" s="43"/>
      <c r="L263" s="43"/>
      <c r="M263" s="43"/>
      <c r="N263" s="111"/>
      <c r="O263" s="43"/>
      <c r="P263" s="48"/>
      <c r="Q263" s="49"/>
      <c r="R263" s="37"/>
      <c r="S263" s="37"/>
      <c r="T263" s="37"/>
      <c r="U263" s="37"/>
      <c r="V263" s="59"/>
      <c r="W263" s="49"/>
      <c r="X263" s="37"/>
      <c r="Y263" s="37"/>
      <c r="Z263" s="37"/>
      <c r="AA263" s="37"/>
      <c r="AB263" s="37"/>
      <c r="AC263" s="37"/>
      <c r="AD263" s="37"/>
      <c r="AE263" s="37"/>
      <c r="AF263" s="37"/>
      <c r="AG263" s="59"/>
      <c r="AH263" s="49"/>
      <c r="AI263" s="37"/>
      <c r="AJ263" s="37"/>
      <c r="AK263" s="37"/>
      <c r="AL263" s="37"/>
      <c r="AM263" s="37"/>
      <c r="AN263" s="37"/>
      <c r="AO263" s="37"/>
      <c r="AP263" s="37"/>
      <c r="AQ263" s="37"/>
      <c r="AR263" s="37"/>
      <c r="AS263" s="37"/>
      <c r="AT263" s="37"/>
      <c r="AU263" s="37"/>
      <c r="AV263" s="59"/>
      <c r="AW263" s="1" t="str">
        <f>_xlfn.CONCAT(tbl_Ben_Info[[#This Row],[First Name]]," ",tbl_Ben_Info[[#This Row],[Father Name]]," ",tbl_Ben_Info[[#This Row],[Family Name]])</f>
        <v xml:space="preserve">  </v>
      </c>
    </row>
    <row r="264" spans="2:49" ht="25.15" customHeight="1" x14ac:dyDescent="0.25">
      <c r="B264" s="49">
        <v>259</v>
      </c>
      <c r="C264" s="1" t="str">
        <f>_xlfn.CONCAT("181-702-",IF(tbl_Ben_Info[[#This Row],[SN]]&lt;10,"00"&amp;tbl_Ben_Info[[#This Row],[SN]],IF(tbl_Ben_Info[[#This Row],[SN]]&lt;100,"0"&amp;tbl_Ben_Info[[#This Row],[SN]],tbl_Ben_Info[[#This Row],[SN]])))</f>
        <v>181-702-259</v>
      </c>
      <c r="D264" s="37"/>
      <c r="E264" s="40"/>
      <c r="F264" s="41"/>
      <c r="G264" s="42"/>
      <c r="H264" s="43"/>
      <c r="I264" s="73"/>
      <c r="J264" s="43"/>
      <c r="K264" s="43"/>
      <c r="L264" s="43"/>
      <c r="M264" s="43"/>
      <c r="N264" s="111"/>
      <c r="O264" s="43"/>
      <c r="P264" s="48"/>
      <c r="Q264" s="49"/>
      <c r="R264" s="37"/>
      <c r="S264" s="37"/>
      <c r="T264" s="37"/>
      <c r="U264" s="37"/>
      <c r="V264" s="59"/>
      <c r="W264" s="49"/>
      <c r="X264" s="37"/>
      <c r="Y264" s="37"/>
      <c r="Z264" s="37"/>
      <c r="AA264" s="37"/>
      <c r="AB264" s="37"/>
      <c r="AC264" s="37"/>
      <c r="AD264" s="37"/>
      <c r="AE264" s="37"/>
      <c r="AF264" s="37"/>
      <c r="AG264" s="59"/>
      <c r="AH264" s="49"/>
      <c r="AI264" s="37"/>
      <c r="AJ264" s="37"/>
      <c r="AK264" s="37"/>
      <c r="AL264" s="37"/>
      <c r="AM264" s="37"/>
      <c r="AN264" s="37"/>
      <c r="AO264" s="37"/>
      <c r="AP264" s="37"/>
      <c r="AQ264" s="37"/>
      <c r="AR264" s="37"/>
      <c r="AS264" s="37"/>
      <c r="AT264" s="37"/>
      <c r="AU264" s="37"/>
      <c r="AV264" s="59"/>
      <c r="AW264" s="1" t="str">
        <f>_xlfn.CONCAT(tbl_Ben_Info[[#This Row],[First Name]]," ",tbl_Ben_Info[[#This Row],[Father Name]]," ",tbl_Ben_Info[[#This Row],[Family Name]])</f>
        <v xml:space="preserve">  </v>
      </c>
    </row>
    <row r="265" spans="2:49" ht="25.15" customHeight="1" x14ac:dyDescent="0.25">
      <c r="B265" s="49">
        <v>260</v>
      </c>
      <c r="C265" s="1" t="str">
        <f>_xlfn.CONCAT("181-702-",IF(tbl_Ben_Info[[#This Row],[SN]]&lt;10,"00"&amp;tbl_Ben_Info[[#This Row],[SN]],IF(tbl_Ben_Info[[#This Row],[SN]]&lt;100,"0"&amp;tbl_Ben_Info[[#This Row],[SN]],tbl_Ben_Info[[#This Row],[SN]])))</f>
        <v>181-702-260</v>
      </c>
      <c r="D265" s="37"/>
      <c r="E265" s="40"/>
      <c r="F265" s="41"/>
      <c r="G265" s="42"/>
      <c r="H265" s="43"/>
      <c r="I265" s="73"/>
      <c r="J265" s="43"/>
      <c r="K265" s="43"/>
      <c r="L265" s="43"/>
      <c r="M265" s="43"/>
      <c r="N265" s="111"/>
      <c r="O265" s="43"/>
      <c r="P265" s="48"/>
      <c r="Q265" s="49"/>
      <c r="R265" s="37"/>
      <c r="S265" s="37"/>
      <c r="T265" s="37"/>
      <c r="U265" s="37"/>
      <c r="V265" s="59"/>
      <c r="W265" s="49"/>
      <c r="X265" s="37"/>
      <c r="Y265" s="37"/>
      <c r="Z265" s="37"/>
      <c r="AA265" s="37"/>
      <c r="AB265" s="37"/>
      <c r="AC265" s="37"/>
      <c r="AD265" s="37"/>
      <c r="AE265" s="37"/>
      <c r="AF265" s="37"/>
      <c r="AG265" s="59"/>
      <c r="AH265" s="49"/>
      <c r="AI265" s="37"/>
      <c r="AJ265" s="37"/>
      <c r="AK265" s="37"/>
      <c r="AL265" s="37"/>
      <c r="AM265" s="37"/>
      <c r="AN265" s="37"/>
      <c r="AO265" s="37"/>
      <c r="AP265" s="37"/>
      <c r="AQ265" s="37"/>
      <c r="AR265" s="37"/>
      <c r="AS265" s="37"/>
      <c r="AT265" s="37"/>
      <c r="AU265" s="37"/>
      <c r="AV265" s="59"/>
      <c r="AW265" s="1" t="str">
        <f>_xlfn.CONCAT(tbl_Ben_Info[[#This Row],[First Name]]," ",tbl_Ben_Info[[#This Row],[Father Name]]," ",tbl_Ben_Info[[#This Row],[Family Name]])</f>
        <v xml:space="preserve">  </v>
      </c>
    </row>
    <row r="266" spans="2:49" ht="25.15" customHeight="1" x14ac:dyDescent="0.25">
      <c r="B266" s="49">
        <v>261</v>
      </c>
      <c r="C266" s="1" t="str">
        <f>_xlfn.CONCAT("181-702-",IF(tbl_Ben_Info[[#This Row],[SN]]&lt;10,"00"&amp;tbl_Ben_Info[[#This Row],[SN]],IF(tbl_Ben_Info[[#This Row],[SN]]&lt;100,"0"&amp;tbl_Ben_Info[[#This Row],[SN]],tbl_Ben_Info[[#This Row],[SN]])))</f>
        <v>181-702-261</v>
      </c>
      <c r="D266" s="37"/>
      <c r="E266" s="40"/>
      <c r="F266" s="41"/>
      <c r="G266" s="42"/>
      <c r="H266" s="43"/>
      <c r="I266" s="73"/>
      <c r="J266" s="43"/>
      <c r="K266" s="43"/>
      <c r="L266" s="43"/>
      <c r="M266" s="43"/>
      <c r="N266" s="111"/>
      <c r="O266" s="43"/>
      <c r="P266" s="48"/>
      <c r="Q266" s="49"/>
      <c r="R266" s="37"/>
      <c r="S266" s="37"/>
      <c r="T266" s="37"/>
      <c r="U266" s="37"/>
      <c r="V266" s="59"/>
      <c r="W266" s="49"/>
      <c r="X266" s="37"/>
      <c r="Y266" s="37"/>
      <c r="Z266" s="37"/>
      <c r="AA266" s="37"/>
      <c r="AB266" s="37"/>
      <c r="AC266" s="37"/>
      <c r="AD266" s="37"/>
      <c r="AE266" s="37"/>
      <c r="AF266" s="37"/>
      <c r="AG266" s="59"/>
      <c r="AH266" s="49"/>
      <c r="AI266" s="37"/>
      <c r="AJ266" s="37"/>
      <c r="AK266" s="37"/>
      <c r="AL266" s="37"/>
      <c r="AM266" s="37"/>
      <c r="AN266" s="37"/>
      <c r="AO266" s="37"/>
      <c r="AP266" s="37"/>
      <c r="AQ266" s="37"/>
      <c r="AR266" s="37"/>
      <c r="AS266" s="37"/>
      <c r="AT266" s="37"/>
      <c r="AU266" s="37"/>
      <c r="AV266" s="59"/>
      <c r="AW266" s="1" t="str">
        <f>_xlfn.CONCAT(tbl_Ben_Info[[#This Row],[First Name]]," ",tbl_Ben_Info[[#This Row],[Father Name]]," ",tbl_Ben_Info[[#This Row],[Family Name]])</f>
        <v xml:space="preserve">  </v>
      </c>
    </row>
    <row r="267" spans="2:49" ht="25.15" customHeight="1" x14ac:dyDescent="0.25">
      <c r="B267" s="49">
        <v>262</v>
      </c>
      <c r="C267" s="1" t="str">
        <f>_xlfn.CONCAT("181-702-",IF(tbl_Ben_Info[[#This Row],[SN]]&lt;10,"00"&amp;tbl_Ben_Info[[#This Row],[SN]],IF(tbl_Ben_Info[[#This Row],[SN]]&lt;100,"0"&amp;tbl_Ben_Info[[#This Row],[SN]],tbl_Ben_Info[[#This Row],[SN]])))</f>
        <v>181-702-262</v>
      </c>
      <c r="D267" s="37"/>
      <c r="E267" s="40"/>
      <c r="F267" s="41"/>
      <c r="G267" s="42"/>
      <c r="H267" s="43"/>
      <c r="I267" s="73"/>
      <c r="J267" s="43"/>
      <c r="K267" s="43"/>
      <c r="L267" s="43"/>
      <c r="M267" s="43"/>
      <c r="N267" s="111"/>
      <c r="O267" s="43"/>
      <c r="P267" s="48"/>
      <c r="Q267" s="49"/>
      <c r="R267" s="37"/>
      <c r="S267" s="37"/>
      <c r="T267" s="37"/>
      <c r="U267" s="37"/>
      <c r="V267" s="59"/>
      <c r="W267" s="49"/>
      <c r="X267" s="37"/>
      <c r="Y267" s="37"/>
      <c r="Z267" s="37"/>
      <c r="AA267" s="37"/>
      <c r="AB267" s="37"/>
      <c r="AC267" s="37"/>
      <c r="AD267" s="37"/>
      <c r="AE267" s="37"/>
      <c r="AF267" s="37"/>
      <c r="AG267" s="59"/>
      <c r="AH267" s="49"/>
      <c r="AI267" s="37"/>
      <c r="AJ267" s="37"/>
      <c r="AK267" s="37"/>
      <c r="AL267" s="37"/>
      <c r="AM267" s="37"/>
      <c r="AN267" s="37"/>
      <c r="AO267" s="37"/>
      <c r="AP267" s="37"/>
      <c r="AQ267" s="37"/>
      <c r="AR267" s="37"/>
      <c r="AS267" s="37"/>
      <c r="AT267" s="37"/>
      <c r="AU267" s="37"/>
      <c r="AV267" s="59"/>
      <c r="AW267" s="1" t="str">
        <f>_xlfn.CONCAT(tbl_Ben_Info[[#This Row],[First Name]]," ",tbl_Ben_Info[[#This Row],[Father Name]]," ",tbl_Ben_Info[[#This Row],[Family Name]])</f>
        <v xml:space="preserve">  </v>
      </c>
    </row>
    <row r="268" spans="2:49" ht="25.15" customHeight="1" x14ac:dyDescent="0.25">
      <c r="B268" s="49">
        <v>263</v>
      </c>
      <c r="C268" s="1" t="str">
        <f>_xlfn.CONCAT("181-702-",IF(tbl_Ben_Info[[#This Row],[SN]]&lt;10,"00"&amp;tbl_Ben_Info[[#This Row],[SN]],IF(tbl_Ben_Info[[#This Row],[SN]]&lt;100,"0"&amp;tbl_Ben_Info[[#This Row],[SN]],tbl_Ben_Info[[#This Row],[SN]])))</f>
        <v>181-702-263</v>
      </c>
      <c r="D268" s="37"/>
      <c r="E268" s="40"/>
      <c r="F268" s="41"/>
      <c r="G268" s="42"/>
      <c r="H268" s="43"/>
      <c r="I268" s="73"/>
      <c r="J268" s="43"/>
      <c r="K268" s="43"/>
      <c r="L268" s="43"/>
      <c r="M268" s="43"/>
      <c r="N268" s="111"/>
      <c r="O268" s="43"/>
      <c r="P268" s="48"/>
      <c r="Q268" s="49"/>
      <c r="R268" s="37"/>
      <c r="S268" s="37"/>
      <c r="T268" s="37"/>
      <c r="U268" s="37"/>
      <c r="V268" s="59"/>
      <c r="W268" s="49"/>
      <c r="X268" s="37"/>
      <c r="Y268" s="37"/>
      <c r="Z268" s="37"/>
      <c r="AA268" s="37"/>
      <c r="AB268" s="37"/>
      <c r="AC268" s="37"/>
      <c r="AD268" s="37"/>
      <c r="AE268" s="37"/>
      <c r="AF268" s="37"/>
      <c r="AG268" s="59"/>
      <c r="AH268" s="49"/>
      <c r="AI268" s="37"/>
      <c r="AJ268" s="37"/>
      <c r="AK268" s="37"/>
      <c r="AL268" s="37"/>
      <c r="AM268" s="37"/>
      <c r="AN268" s="37"/>
      <c r="AO268" s="37"/>
      <c r="AP268" s="37"/>
      <c r="AQ268" s="37"/>
      <c r="AR268" s="37"/>
      <c r="AS268" s="37"/>
      <c r="AT268" s="37"/>
      <c r="AU268" s="37"/>
      <c r="AV268" s="59"/>
      <c r="AW268" s="1" t="str">
        <f>_xlfn.CONCAT(tbl_Ben_Info[[#This Row],[First Name]]," ",tbl_Ben_Info[[#This Row],[Father Name]]," ",tbl_Ben_Info[[#This Row],[Family Name]])</f>
        <v xml:space="preserve">  </v>
      </c>
    </row>
    <row r="269" spans="2:49" ht="25.15" customHeight="1" x14ac:dyDescent="0.25">
      <c r="B269" s="49">
        <v>264</v>
      </c>
      <c r="C269" s="1" t="str">
        <f>_xlfn.CONCAT("181-702-",IF(tbl_Ben_Info[[#This Row],[SN]]&lt;10,"00"&amp;tbl_Ben_Info[[#This Row],[SN]],IF(tbl_Ben_Info[[#This Row],[SN]]&lt;100,"0"&amp;tbl_Ben_Info[[#This Row],[SN]],tbl_Ben_Info[[#This Row],[SN]])))</f>
        <v>181-702-264</v>
      </c>
      <c r="D269" s="37"/>
      <c r="E269" s="40"/>
      <c r="F269" s="41"/>
      <c r="G269" s="42"/>
      <c r="H269" s="43"/>
      <c r="I269" s="73"/>
      <c r="J269" s="43"/>
      <c r="K269" s="43"/>
      <c r="L269" s="43"/>
      <c r="M269" s="43"/>
      <c r="N269" s="111"/>
      <c r="O269" s="43"/>
      <c r="P269" s="48"/>
      <c r="Q269" s="49"/>
      <c r="R269" s="37"/>
      <c r="S269" s="37"/>
      <c r="T269" s="37"/>
      <c r="U269" s="37"/>
      <c r="V269" s="59"/>
      <c r="W269" s="49"/>
      <c r="X269" s="37"/>
      <c r="Y269" s="37"/>
      <c r="Z269" s="37"/>
      <c r="AA269" s="37"/>
      <c r="AB269" s="37"/>
      <c r="AC269" s="37"/>
      <c r="AD269" s="37"/>
      <c r="AE269" s="37"/>
      <c r="AF269" s="37"/>
      <c r="AG269" s="59"/>
      <c r="AH269" s="49"/>
      <c r="AI269" s="37"/>
      <c r="AJ269" s="37"/>
      <c r="AK269" s="37"/>
      <c r="AL269" s="37"/>
      <c r="AM269" s="37"/>
      <c r="AN269" s="37"/>
      <c r="AO269" s="37"/>
      <c r="AP269" s="37"/>
      <c r="AQ269" s="37"/>
      <c r="AR269" s="37"/>
      <c r="AS269" s="37"/>
      <c r="AT269" s="37"/>
      <c r="AU269" s="37"/>
      <c r="AV269" s="59"/>
      <c r="AW269" s="1" t="str">
        <f>_xlfn.CONCAT(tbl_Ben_Info[[#This Row],[First Name]]," ",tbl_Ben_Info[[#This Row],[Father Name]]," ",tbl_Ben_Info[[#This Row],[Family Name]])</f>
        <v xml:space="preserve">  </v>
      </c>
    </row>
    <row r="270" spans="2:49" ht="25.15" customHeight="1" x14ac:dyDescent="0.25">
      <c r="B270" s="49">
        <v>265</v>
      </c>
      <c r="C270" s="1" t="str">
        <f>_xlfn.CONCAT("181-702-",IF(tbl_Ben_Info[[#This Row],[SN]]&lt;10,"00"&amp;tbl_Ben_Info[[#This Row],[SN]],IF(tbl_Ben_Info[[#This Row],[SN]]&lt;100,"0"&amp;tbl_Ben_Info[[#This Row],[SN]],tbl_Ben_Info[[#This Row],[SN]])))</f>
        <v>181-702-265</v>
      </c>
      <c r="D270" s="37"/>
      <c r="E270" s="40"/>
      <c r="F270" s="41"/>
      <c r="G270" s="42"/>
      <c r="H270" s="43"/>
      <c r="I270" s="73"/>
      <c r="J270" s="43"/>
      <c r="K270" s="43"/>
      <c r="L270" s="43"/>
      <c r="M270" s="43"/>
      <c r="N270" s="111"/>
      <c r="O270" s="43"/>
      <c r="P270" s="48"/>
      <c r="Q270" s="49"/>
      <c r="R270" s="37"/>
      <c r="S270" s="37"/>
      <c r="T270" s="37"/>
      <c r="U270" s="37"/>
      <c r="V270" s="59"/>
      <c r="W270" s="49"/>
      <c r="X270" s="37"/>
      <c r="Y270" s="37"/>
      <c r="Z270" s="37"/>
      <c r="AA270" s="37"/>
      <c r="AB270" s="37"/>
      <c r="AC270" s="37"/>
      <c r="AD270" s="37"/>
      <c r="AE270" s="37"/>
      <c r="AF270" s="37"/>
      <c r="AG270" s="59"/>
      <c r="AH270" s="49"/>
      <c r="AI270" s="37"/>
      <c r="AJ270" s="37"/>
      <c r="AK270" s="37"/>
      <c r="AL270" s="37"/>
      <c r="AM270" s="37"/>
      <c r="AN270" s="37"/>
      <c r="AO270" s="37"/>
      <c r="AP270" s="37"/>
      <c r="AQ270" s="37"/>
      <c r="AR270" s="37"/>
      <c r="AS270" s="37"/>
      <c r="AT270" s="37"/>
      <c r="AU270" s="37"/>
      <c r="AV270" s="59"/>
      <c r="AW270" s="1" t="str">
        <f>_xlfn.CONCAT(tbl_Ben_Info[[#This Row],[First Name]]," ",tbl_Ben_Info[[#This Row],[Father Name]]," ",tbl_Ben_Info[[#This Row],[Family Name]])</f>
        <v xml:space="preserve">  </v>
      </c>
    </row>
    <row r="271" spans="2:49" ht="25.15" customHeight="1" x14ac:dyDescent="0.25">
      <c r="B271" s="49">
        <v>266</v>
      </c>
      <c r="C271" s="1" t="str">
        <f>_xlfn.CONCAT("181-702-",IF(tbl_Ben_Info[[#This Row],[SN]]&lt;10,"00"&amp;tbl_Ben_Info[[#This Row],[SN]],IF(tbl_Ben_Info[[#This Row],[SN]]&lt;100,"0"&amp;tbl_Ben_Info[[#This Row],[SN]],tbl_Ben_Info[[#This Row],[SN]])))</f>
        <v>181-702-266</v>
      </c>
      <c r="D271" s="37"/>
      <c r="E271" s="40"/>
      <c r="F271" s="41"/>
      <c r="G271" s="42"/>
      <c r="H271" s="43"/>
      <c r="I271" s="73"/>
      <c r="J271" s="43"/>
      <c r="K271" s="43"/>
      <c r="L271" s="43"/>
      <c r="M271" s="43"/>
      <c r="N271" s="111"/>
      <c r="O271" s="43"/>
      <c r="P271" s="48"/>
      <c r="Q271" s="49"/>
      <c r="R271" s="37"/>
      <c r="S271" s="37"/>
      <c r="T271" s="37"/>
      <c r="U271" s="37"/>
      <c r="V271" s="59"/>
      <c r="W271" s="49"/>
      <c r="X271" s="37"/>
      <c r="Y271" s="37"/>
      <c r="Z271" s="37"/>
      <c r="AA271" s="37"/>
      <c r="AB271" s="37"/>
      <c r="AC271" s="37"/>
      <c r="AD271" s="37"/>
      <c r="AE271" s="37"/>
      <c r="AF271" s="37"/>
      <c r="AG271" s="59"/>
      <c r="AH271" s="49"/>
      <c r="AI271" s="37"/>
      <c r="AJ271" s="37"/>
      <c r="AK271" s="37"/>
      <c r="AL271" s="37"/>
      <c r="AM271" s="37"/>
      <c r="AN271" s="37"/>
      <c r="AO271" s="37"/>
      <c r="AP271" s="37"/>
      <c r="AQ271" s="37"/>
      <c r="AR271" s="37"/>
      <c r="AS271" s="37"/>
      <c r="AT271" s="37"/>
      <c r="AU271" s="37"/>
      <c r="AV271" s="59"/>
      <c r="AW271" s="1" t="str">
        <f>_xlfn.CONCAT(tbl_Ben_Info[[#This Row],[First Name]]," ",tbl_Ben_Info[[#This Row],[Father Name]]," ",tbl_Ben_Info[[#This Row],[Family Name]])</f>
        <v xml:space="preserve">  </v>
      </c>
    </row>
    <row r="272" spans="2:49" ht="25.15" customHeight="1" x14ac:dyDescent="0.25">
      <c r="B272" s="49">
        <v>267</v>
      </c>
      <c r="C272" s="1" t="str">
        <f>_xlfn.CONCAT("181-702-",IF(tbl_Ben_Info[[#This Row],[SN]]&lt;10,"00"&amp;tbl_Ben_Info[[#This Row],[SN]],IF(tbl_Ben_Info[[#This Row],[SN]]&lt;100,"0"&amp;tbl_Ben_Info[[#This Row],[SN]],tbl_Ben_Info[[#This Row],[SN]])))</f>
        <v>181-702-267</v>
      </c>
      <c r="D272" s="37"/>
      <c r="E272" s="40"/>
      <c r="F272" s="41"/>
      <c r="G272" s="42"/>
      <c r="H272" s="43"/>
      <c r="I272" s="73"/>
      <c r="J272" s="43"/>
      <c r="K272" s="43"/>
      <c r="L272" s="43"/>
      <c r="M272" s="43"/>
      <c r="N272" s="111"/>
      <c r="O272" s="43"/>
      <c r="P272" s="48"/>
      <c r="Q272" s="49"/>
      <c r="R272" s="37"/>
      <c r="S272" s="37"/>
      <c r="T272" s="37"/>
      <c r="U272" s="37"/>
      <c r="V272" s="59"/>
      <c r="W272" s="49"/>
      <c r="X272" s="37"/>
      <c r="Y272" s="37"/>
      <c r="Z272" s="37"/>
      <c r="AA272" s="37"/>
      <c r="AB272" s="37"/>
      <c r="AC272" s="37"/>
      <c r="AD272" s="37"/>
      <c r="AE272" s="37"/>
      <c r="AF272" s="37"/>
      <c r="AG272" s="59"/>
      <c r="AH272" s="49"/>
      <c r="AI272" s="37"/>
      <c r="AJ272" s="37"/>
      <c r="AK272" s="37"/>
      <c r="AL272" s="37"/>
      <c r="AM272" s="37"/>
      <c r="AN272" s="37"/>
      <c r="AO272" s="37"/>
      <c r="AP272" s="37"/>
      <c r="AQ272" s="37"/>
      <c r="AR272" s="37"/>
      <c r="AS272" s="37"/>
      <c r="AT272" s="37"/>
      <c r="AU272" s="37"/>
      <c r="AV272" s="59"/>
      <c r="AW272" s="1" t="str">
        <f>_xlfn.CONCAT(tbl_Ben_Info[[#This Row],[First Name]]," ",tbl_Ben_Info[[#This Row],[Father Name]]," ",tbl_Ben_Info[[#This Row],[Family Name]])</f>
        <v xml:space="preserve">  </v>
      </c>
    </row>
    <row r="273" spans="2:49" ht="25.15" customHeight="1" x14ac:dyDescent="0.25">
      <c r="B273" s="49">
        <v>268</v>
      </c>
      <c r="C273" s="1" t="str">
        <f>_xlfn.CONCAT("181-702-",IF(tbl_Ben_Info[[#This Row],[SN]]&lt;10,"00"&amp;tbl_Ben_Info[[#This Row],[SN]],IF(tbl_Ben_Info[[#This Row],[SN]]&lt;100,"0"&amp;tbl_Ben_Info[[#This Row],[SN]],tbl_Ben_Info[[#This Row],[SN]])))</f>
        <v>181-702-268</v>
      </c>
      <c r="D273" s="37"/>
      <c r="E273" s="40"/>
      <c r="F273" s="41"/>
      <c r="G273" s="42"/>
      <c r="H273" s="43"/>
      <c r="I273" s="73"/>
      <c r="J273" s="43"/>
      <c r="K273" s="43"/>
      <c r="L273" s="43"/>
      <c r="M273" s="43"/>
      <c r="N273" s="111"/>
      <c r="O273" s="43"/>
      <c r="P273" s="48"/>
      <c r="Q273" s="49"/>
      <c r="R273" s="37"/>
      <c r="S273" s="37"/>
      <c r="T273" s="37"/>
      <c r="U273" s="37"/>
      <c r="V273" s="59"/>
      <c r="W273" s="49"/>
      <c r="X273" s="37"/>
      <c r="Y273" s="37"/>
      <c r="Z273" s="37"/>
      <c r="AA273" s="37"/>
      <c r="AB273" s="37"/>
      <c r="AC273" s="37"/>
      <c r="AD273" s="37"/>
      <c r="AE273" s="37"/>
      <c r="AF273" s="37"/>
      <c r="AG273" s="59"/>
      <c r="AH273" s="49"/>
      <c r="AI273" s="37"/>
      <c r="AJ273" s="37"/>
      <c r="AK273" s="37"/>
      <c r="AL273" s="37"/>
      <c r="AM273" s="37"/>
      <c r="AN273" s="37"/>
      <c r="AO273" s="37"/>
      <c r="AP273" s="37"/>
      <c r="AQ273" s="37"/>
      <c r="AR273" s="37"/>
      <c r="AS273" s="37"/>
      <c r="AT273" s="37"/>
      <c r="AU273" s="37"/>
      <c r="AV273" s="59"/>
      <c r="AW273" s="1" t="str">
        <f>_xlfn.CONCAT(tbl_Ben_Info[[#This Row],[First Name]]," ",tbl_Ben_Info[[#This Row],[Father Name]]," ",tbl_Ben_Info[[#This Row],[Family Name]])</f>
        <v xml:space="preserve">  </v>
      </c>
    </row>
    <row r="274" spans="2:49" ht="25.15" customHeight="1" x14ac:dyDescent="0.25">
      <c r="B274" s="49">
        <v>269</v>
      </c>
      <c r="C274" s="1" t="str">
        <f>_xlfn.CONCAT("181-702-",IF(tbl_Ben_Info[[#This Row],[SN]]&lt;10,"00"&amp;tbl_Ben_Info[[#This Row],[SN]],IF(tbl_Ben_Info[[#This Row],[SN]]&lt;100,"0"&amp;tbl_Ben_Info[[#This Row],[SN]],tbl_Ben_Info[[#This Row],[SN]])))</f>
        <v>181-702-269</v>
      </c>
      <c r="D274" s="37"/>
      <c r="E274" s="40"/>
      <c r="F274" s="41"/>
      <c r="G274" s="42"/>
      <c r="H274" s="43"/>
      <c r="I274" s="73"/>
      <c r="J274" s="43"/>
      <c r="K274" s="43"/>
      <c r="L274" s="43"/>
      <c r="M274" s="43"/>
      <c r="N274" s="111"/>
      <c r="O274" s="43"/>
      <c r="P274" s="48"/>
      <c r="Q274" s="49"/>
      <c r="R274" s="37"/>
      <c r="S274" s="37"/>
      <c r="T274" s="37"/>
      <c r="U274" s="37"/>
      <c r="V274" s="59"/>
      <c r="W274" s="49"/>
      <c r="X274" s="37"/>
      <c r="Y274" s="37"/>
      <c r="Z274" s="37"/>
      <c r="AA274" s="37"/>
      <c r="AB274" s="37"/>
      <c r="AC274" s="37"/>
      <c r="AD274" s="37"/>
      <c r="AE274" s="37"/>
      <c r="AF274" s="37"/>
      <c r="AG274" s="59"/>
      <c r="AH274" s="49"/>
      <c r="AI274" s="37"/>
      <c r="AJ274" s="37"/>
      <c r="AK274" s="37"/>
      <c r="AL274" s="37"/>
      <c r="AM274" s="37"/>
      <c r="AN274" s="37"/>
      <c r="AO274" s="37"/>
      <c r="AP274" s="37"/>
      <c r="AQ274" s="37"/>
      <c r="AR274" s="37"/>
      <c r="AS274" s="37"/>
      <c r="AT274" s="37"/>
      <c r="AU274" s="37"/>
      <c r="AV274" s="59"/>
      <c r="AW274" s="1" t="str">
        <f>_xlfn.CONCAT(tbl_Ben_Info[[#This Row],[First Name]]," ",tbl_Ben_Info[[#This Row],[Father Name]]," ",tbl_Ben_Info[[#This Row],[Family Name]])</f>
        <v xml:space="preserve">  </v>
      </c>
    </row>
    <row r="275" spans="2:49" ht="25.15" customHeight="1" x14ac:dyDescent="0.25">
      <c r="B275" s="49">
        <v>270</v>
      </c>
      <c r="C275" s="1" t="str">
        <f>_xlfn.CONCAT("181-702-",IF(tbl_Ben_Info[[#This Row],[SN]]&lt;10,"00"&amp;tbl_Ben_Info[[#This Row],[SN]],IF(tbl_Ben_Info[[#This Row],[SN]]&lt;100,"0"&amp;tbl_Ben_Info[[#This Row],[SN]],tbl_Ben_Info[[#This Row],[SN]])))</f>
        <v>181-702-270</v>
      </c>
      <c r="D275" s="37"/>
      <c r="E275" s="40"/>
      <c r="F275" s="41"/>
      <c r="G275" s="42"/>
      <c r="H275" s="43"/>
      <c r="I275" s="73"/>
      <c r="J275" s="43"/>
      <c r="K275" s="43"/>
      <c r="L275" s="43"/>
      <c r="M275" s="43"/>
      <c r="N275" s="111"/>
      <c r="O275" s="43"/>
      <c r="P275" s="48"/>
      <c r="Q275" s="49"/>
      <c r="R275" s="37"/>
      <c r="S275" s="37"/>
      <c r="T275" s="37"/>
      <c r="U275" s="37"/>
      <c r="V275" s="59"/>
      <c r="W275" s="49"/>
      <c r="X275" s="37"/>
      <c r="Y275" s="37"/>
      <c r="Z275" s="37"/>
      <c r="AA275" s="37"/>
      <c r="AB275" s="37"/>
      <c r="AC275" s="37"/>
      <c r="AD275" s="37"/>
      <c r="AE275" s="37"/>
      <c r="AF275" s="37"/>
      <c r="AG275" s="59"/>
      <c r="AH275" s="49"/>
      <c r="AI275" s="37"/>
      <c r="AJ275" s="37"/>
      <c r="AK275" s="37"/>
      <c r="AL275" s="37"/>
      <c r="AM275" s="37"/>
      <c r="AN275" s="37"/>
      <c r="AO275" s="37"/>
      <c r="AP275" s="37"/>
      <c r="AQ275" s="37"/>
      <c r="AR275" s="37"/>
      <c r="AS275" s="37"/>
      <c r="AT275" s="37"/>
      <c r="AU275" s="37"/>
      <c r="AV275" s="59"/>
      <c r="AW275" s="1" t="str">
        <f>_xlfn.CONCAT(tbl_Ben_Info[[#This Row],[First Name]]," ",tbl_Ben_Info[[#This Row],[Father Name]]," ",tbl_Ben_Info[[#This Row],[Family Name]])</f>
        <v xml:space="preserve">  </v>
      </c>
    </row>
    <row r="276" spans="2:49" ht="25.15" customHeight="1" x14ac:dyDescent="0.25">
      <c r="B276" s="49">
        <v>271</v>
      </c>
      <c r="C276" s="1" t="str">
        <f>_xlfn.CONCAT("181-702-",IF(tbl_Ben_Info[[#This Row],[SN]]&lt;10,"00"&amp;tbl_Ben_Info[[#This Row],[SN]],IF(tbl_Ben_Info[[#This Row],[SN]]&lt;100,"0"&amp;tbl_Ben_Info[[#This Row],[SN]],tbl_Ben_Info[[#This Row],[SN]])))</f>
        <v>181-702-271</v>
      </c>
      <c r="D276" s="37"/>
      <c r="E276" s="40"/>
      <c r="F276" s="41"/>
      <c r="G276" s="42"/>
      <c r="H276" s="43"/>
      <c r="I276" s="73"/>
      <c r="J276" s="43"/>
      <c r="K276" s="43"/>
      <c r="L276" s="43"/>
      <c r="M276" s="43"/>
      <c r="N276" s="111"/>
      <c r="O276" s="43"/>
      <c r="P276" s="48"/>
      <c r="Q276" s="49"/>
      <c r="R276" s="37"/>
      <c r="S276" s="37"/>
      <c r="T276" s="37"/>
      <c r="U276" s="37"/>
      <c r="V276" s="59"/>
      <c r="W276" s="49"/>
      <c r="X276" s="37"/>
      <c r="Y276" s="37"/>
      <c r="Z276" s="37"/>
      <c r="AA276" s="37"/>
      <c r="AB276" s="37"/>
      <c r="AC276" s="37"/>
      <c r="AD276" s="37"/>
      <c r="AE276" s="37"/>
      <c r="AF276" s="37"/>
      <c r="AG276" s="59"/>
      <c r="AH276" s="49"/>
      <c r="AI276" s="37"/>
      <c r="AJ276" s="37"/>
      <c r="AK276" s="37"/>
      <c r="AL276" s="37"/>
      <c r="AM276" s="37"/>
      <c r="AN276" s="37"/>
      <c r="AO276" s="37"/>
      <c r="AP276" s="37"/>
      <c r="AQ276" s="37"/>
      <c r="AR276" s="37"/>
      <c r="AS276" s="37"/>
      <c r="AT276" s="37"/>
      <c r="AU276" s="37"/>
      <c r="AV276" s="59"/>
      <c r="AW276" s="1" t="str">
        <f>_xlfn.CONCAT(tbl_Ben_Info[[#This Row],[First Name]]," ",tbl_Ben_Info[[#This Row],[Father Name]]," ",tbl_Ben_Info[[#This Row],[Family Name]])</f>
        <v xml:space="preserve">  </v>
      </c>
    </row>
    <row r="277" spans="2:49" ht="25.15" customHeight="1" x14ac:dyDescent="0.25">
      <c r="B277" s="49">
        <v>272</v>
      </c>
      <c r="C277" s="1" t="str">
        <f>_xlfn.CONCAT("181-702-",IF(tbl_Ben_Info[[#This Row],[SN]]&lt;10,"00"&amp;tbl_Ben_Info[[#This Row],[SN]],IF(tbl_Ben_Info[[#This Row],[SN]]&lt;100,"0"&amp;tbl_Ben_Info[[#This Row],[SN]],tbl_Ben_Info[[#This Row],[SN]])))</f>
        <v>181-702-272</v>
      </c>
      <c r="D277" s="37"/>
      <c r="E277" s="40"/>
      <c r="F277" s="41"/>
      <c r="G277" s="42"/>
      <c r="H277" s="43"/>
      <c r="I277" s="73"/>
      <c r="J277" s="43"/>
      <c r="K277" s="43"/>
      <c r="L277" s="43"/>
      <c r="M277" s="43"/>
      <c r="N277" s="111"/>
      <c r="O277" s="43"/>
      <c r="P277" s="48"/>
      <c r="Q277" s="49"/>
      <c r="R277" s="37"/>
      <c r="S277" s="37"/>
      <c r="T277" s="37"/>
      <c r="U277" s="37"/>
      <c r="V277" s="59"/>
      <c r="W277" s="49"/>
      <c r="X277" s="37"/>
      <c r="Y277" s="37"/>
      <c r="Z277" s="37"/>
      <c r="AA277" s="37"/>
      <c r="AB277" s="37"/>
      <c r="AC277" s="37"/>
      <c r="AD277" s="37"/>
      <c r="AE277" s="37"/>
      <c r="AF277" s="37"/>
      <c r="AG277" s="59"/>
      <c r="AH277" s="49"/>
      <c r="AI277" s="37"/>
      <c r="AJ277" s="37"/>
      <c r="AK277" s="37"/>
      <c r="AL277" s="37"/>
      <c r="AM277" s="37"/>
      <c r="AN277" s="37"/>
      <c r="AO277" s="37"/>
      <c r="AP277" s="37"/>
      <c r="AQ277" s="37"/>
      <c r="AR277" s="37"/>
      <c r="AS277" s="37"/>
      <c r="AT277" s="37"/>
      <c r="AU277" s="37"/>
      <c r="AV277" s="59"/>
      <c r="AW277" s="1" t="str">
        <f>_xlfn.CONCAT(tbl_Ben_Info[[#This Row],[First Name]]," ",tbl_Ben_Info[[#This Row],[Father Name]]," ",tbl_Ben_Info[[#This Row],[Family Name]])</f>
        <v xml:space="preserve">  </v>
      </c>
    </row>
    <row r="278" spans="2:49" ht="25.15" customHeight="1" x14ac:dyDescent="0.25">
      <c r="B278" s="49">
        <v>273</v>
      </c>
      <c r="C278" s="1" t="str">
        <f>_xlfn.CONCAT("181-702-",IF(tbl_Ben_Info[[#This Row],[SN]]&lt;10,"00"&amp;tbl_Ben_Info[[#This Row],[SN]],IF(tbl_Ben_Info[[#This Row],[SN]]&lt;100,"0"&amp;tbl_Ben_Info[[#This Row],[SN]],tbl_Ben_Info[[#This Row],[SN]])))</f>
        <v>181-702-273</v>
      </c>
      <c r="D278" s="37"/>
      <c r="E278" s="40"/>
      <c r="F278" s="41"/>
      <c r="G278" s="42"/>
      <c r="H278" s="43"/>
      <c r="I278" s="73"/>
      <c r="J278" s="43"/>
      <c r="K278" s="43"/>
      <c r="L278" s="43"/>
      <c r="M278" s="43"/>
      <c r="N278" s="111"/>
      <c r="O278" s="43"/>
      <c r="P278" s="48"/>
      <c r="Q278" s="49"/>
      <c r="R278" s="37"/>
      <c r="S278" s="37"/>
      <c r="T278" s="37"/>
      <c r="U278" s="37"/>
      <c r="V278" s="59"/>
      <c r="W278" s="49"/>
      <c r="X278" s="37"/>
      <c r="Y278" s="37"/>
      <c r="Z278" s="37"/>
      <c r="AA278" s="37"/>
      <c r="AB278" s="37"/>
      <c r="AC278" s="37"/>
      <c r="AD278" s="37"/>
      <c r="AE278" s="37"/>
      <c r="AF278" s="37"/>
      <c r="AG278" s="59"/>
      <c r="AH278" s="49"/>
      <c r="AI278" s="37"/>
      <c r="AJ278" s="37"/>
      <c r="AK278" s="37"/>
      <c r="AL278" s="37"/>
      <c r="AM278" s="37"/>
      <c r="AN278" s="37"/>
      <c r="AO278" s="37"/>
      <c r="AP278" s="37"/>
      <c r="AQ278" s="37"/>
      <c r="AR278" s="37"/>
      <c r="AS278" s="37"/>
      <c r="AT278" s="37"/>
      <c r="AU278" s="37"/>
      <c r="AV278" s="59"/>
      <c r="AW278" s="1" t="str">
        <f>_xlfn.CONCAT(tbl_Ben_Info[[#This Row],[First Name]]," ",tbl_Ben_Info[[#This Row],[Father Name]]," ",tbl_Ben_Info[[#This Row],[Family Name]])</f>
        <v xml:space="preserve">  </v>
      </c>
    </row>
    <row r="279" spans="2:49" ht="25.15" customHeight="1" x14ac:dyDescent="0.25">
      <c r="B279" s="49">
        <v>274</v>
      </c>
      <c r="C279" s="1" t="str">
        <f>_xlfn.CONCAT("181-702-",IF(tbl_Ben_Info[[#This Row],[SN]]&lt;10,"00"&amp;tbl_Ben_Info[[#This Row],[SN]],IF(tbl_Ben_Info[[#This Row],[SN]]&lt;100,"0"&amp;tbl_Ben_Info[[#This Row],[SN]],tbl_Ben_Info[[#This Row],[SN]])))</f>
        <v>181-702-274</v>
      </c>
      <c r="D279" s="37"/>
      <c r="E279" s="40"/>
      <c r="F279" s="41"/>
      <c r="G279" s="42"/>
      <c r="H279" s="43"/>
      <c r="I279" s="73"/>
      <c r="J279" s="43"/>
      <c r="K279" s="43"/>
      <c r="L279" s="43"/>
      <c r="M279" s="43"/>
      <c r="N279" s="111"/>
      <c r="O279" s="43"/>
      <c r="P279" s="48"/>
      <c r="Q279" s="49"/>
      <c r="R279" s="37"/>
      <c r="S279" s="37"/>
      <c r="T279" s="37"/>
      <c r="U279" s="37"/>
      <c r="V279" s="59"/>
      <c r="W279" s="49"/>
      <c r="X279" s="37"/>
      <c r="Y279" s="37"/>
      <c r="Z279" s="37"/>
      <c r="AA279" s="37"/>
      <c r="AB279" s="37"/>
      <c r="AC279" s="37"/>
      <c r="AD279" s="37"/>
      <c r="AE279" s="37"/>
      <c r="AF279" s="37"/>
      <c r="AG279" s="59"/>
      <c r="AH279" s="49"/>
      <c r="AI279" s="37"/>
      <c r="AJ279" s="37"/>
      <c r="AK279" s="37"/>
      <c r="AL279" s="37"/>
      <c r="AM279" s="37"/>
      <c r="AN279" s="37"/>
      <c r="AO279" s="37"/>
      <c r="AP279" s="37"/>
      <c r="AQ279" s="37"/>
      <c r="AR279" s="37"/>
      <c r="AS279" s="37"/>
      <c r="AT279" s="37"/>
      <c r="AU279" s="37"/>
      <c r="AV279" s="59"/>
      <c r="AW279" s="1" t="str">
        <f>_xlfn.CONCAT(tbl_Ben_Info[[#This Row],[First Name]]," ",tbl_Ben_Info[[#This Row],[Father Name]]," ",tbl_Ben_Info[[#This Row],[Family Name]])</f>
        <v xml:space="preserve">  </v>
      </c>
    </row>
    <row r="280" spans="2:49" ht="25.15" customHeight="1" x14ac:dyDescent="0.25">
      <c r="B280" s="49">
        <v>275</v>
      </c>
      <c r="C280" s="1" t="str">
        <f>_xlfn.CONCAT("181-702-",IF(tbl_Ben_Info[[#This Row],[SN]]&lt;10,"00"&amp;tbl_Ben_Info[[#This Row],[SN]],IF(tbl_Ben_Info[[#This Row],[SN]]&lt;100,"0"&amp;tbl_Ben_Info[[#This Row],[SN]],tbl_Ben_Info[[#This Row],[SN]])))</f>
        <v>181-702-275</v>
      </c>
      <c r="D280" s="37"/>
      <c r="E280" s="40"/>
      <c r="F280" s="41"/>
      <c r="G280" s="42"/>
      <c r="H280" s="43"/>
      <c r="I280" s="73"/>
      <c r="J280" s="43"/>
      <c r="K280" s="43"/>
      <c r="L280" s="43"/>
      <c r="M280" s="43"/>
      <c r="N280" s="111"/>
      <c r="O280" s="43"/>
      <c r="P280" s="48"/>
      <c r="Q280" s="49"/>
      <c r="R280" s="37"/>
      <c r="S280" s="37"/>
      <c r="T280" s="37"/>
      <c r="U280" s="37"/>
      <c r="V280" s="59"/>
      <c r="W280" s="49"/>
      <c r="X280" s="37"/>
      <c r="Y280" s="37"/>
      <c r="Z280" s="37"/>
      <c r="AA280" s="37"/>
      <c r="AB280" s="37"/>
      <c r="AC280" s="37"/>
      <c r="AD280" s="37"/>
      <c r="AE280" s="37"/>
      <c r="AF280" s="37"/>
      <c r="AG280" s="59"/>
      <c r="AH280" s="49"/>
      <c r="AI280" s="37"/>
      <c r="AJ280" s="37"/>
      <c r="AK280" s="37"/>
      <c r="AL280" s="37"/>
      <c r="AM280" s="37"/>
      <c r="AN280" s="37"/>
      <c r="AO280" s="37"/>
      <c r="AP280" s="37"/>
      <c r="AQ280" s="37"/>
      <c r="AR280" s="37"/>
      <c r="AS280" s="37"/>
      <c r="AT280" s="37"/>
      <c r="AU280" s="37"/>
      <c r="AV280" s="59"/>
      <c r="AW280" s="1" t="str">
        <f>_xlfn.CONCAT(tbl_Ben_Info[[#This Row],[First Name]]," ",tbl_Ben_Info[[#This Row],[Father Name]]," ",tbl_Ben_Info[[#This Row],[Family Name]])</f>
        <v xml:space="preserve">  </v>
      </c>
    </row>
    <row r="281" spans="2:49" ht="25.15" customHeight="1" x14ac:dyDescent="0.25">
      <c r="B281" s="49">
        <v>276</v>
      </c>
      <c r="C281" s="1" t="str">
        <f>_xlfn.CONCAT("181-702-",IF(tbl_Ben_Info[[#This Row],[SN]]&lt;10,"00"&amp;tbl_Ben_Info[[#This Row],[SN]],IF(tbl_Ben_Info[[#This Row],[SN]]&lt;100,"0"&amp;tbl_Ben_Info[[#This Row],[SN]],tbl_Ben_Info[[#This Row],[SN]])))</f>
        <v>181-702-276</v>
      </c>
      <c r="D281" s="37"/>
      <c r="E281" s="40"/>
      <c r="F281" s="41"/>
      <c r="G281" s="42"/>
      <c r="H281" s="43"/>
      <c r="I281" s="73"/>
      <c r="J281" s="43"/>
      <c r="K281" s="43"/>
      <c r="L281" s="43"/>
      <c r="M281" s="43"/>
      <c r="N281" s="111"/>
      <c r="O281" s="43"/>
      <c r="P281" s="48"/>
      <c r="Q281" s="49"/>
      <c r="R281" s="37"/>
      <c r="S281" s="37"/>
      <c r="T281" s="37"/>
      <c r="U281" s="37"/>
      <c r="V281" s="59"/>
      <c r="W281" s="49"/>
      <c r="X281" s="37"/>
      <c r="Y281" s="37"/>
      <c r="Z281" s="37"/>
      <c r="AA281" s="37"/>
      <c r="AB281" s="37"/>
      <c r="AC281" s="37"/>
      <c r="AD281" s="37"/>
      <c r="AE281" s="37"/>
      <c r="AF281" s="37"/>
      <c r="AG281" s="59"/>
      <c r="AH281" s="49"/>
      <c r="AI281" s="37"/>
      <c r="AJ281" s="37"/>
      <c r="AK281" s="37"/>
      <c r="AL281" s="37"/>
      <c r="AM281" s="37"/>
      <c r="AN281" s="37"/>
      <c r="AO281" s="37"/>
      <c r="AP281" s="37"/>
      <c r="AQ281" s="37"/>
      <c r="AR281" s="37"/>
      <c r="AS281" s="37"/>
      <c r="AT281" s="37"/>
      <c r="AU281" s="37"/>
      <c r="AV281" s="59"/>
      <c r="AW281" s="1" t="str">
        <f>_xlfn.CONCAT(tbl_Ben_Info[[#This Row],[First Name]]," ",tbl_Ben_Info[[#This Row],[Father Name]]," ",tbl_Ben_Info[[#This Row],[Family Name]])</f>
        <v xml:space="preserve">  </v>
      </c>
    </row>
    <row r="282" spans="2:49" ht="25.15" customHeight="1" x14ac:dyDescent="0.25">
      <c r="B282" s="49">
        <v>277</v>
      </c>
      <c r="C282" s="1" t="str">
        <f>_xlfn.CONCAT("181-702-",IF(tbl_Ben_Info[[#This Row],[SN]]&lt;10,"00"&amp;tbl_Ben_Info[[#This Row],[SN]],IF(tbl_Ben_Info[[#This Row],[SN]]&lt;100,"0"&amp;tbl_Ben_Info[[#This Row],[SN]],tbl_Ben_Info[[#This Row],[SN]])))</f>
        <v>181-702-277</v>
      </c>
      <c r="D282" s="37"/>
      <c r="E282" s="40"/>
      <c r="F282" s="41"/>
      <c r="G282" s="42"/>
      <c r="H282" s="43"/>
      <c r="I282" s="73"/>
      <c r="J282" s="43"/>
      <c r="K282" s="43"/>
      <c r="L282" s="43"/>
      <c r="M282" s="43"/>
      <c r="N282" s="111"/>
      <c r="O282" s="43"/>
      <c r="P282" s="48"/>
      <c r="Q282" s="49"/>
      <c r="R282" s="37"/>
      <c r="S282" s="37"/>
      <c r="T282" s="37"/>
      <c r="U282" s="37"/>
      <c r="V282" s="59"/>
      <c r="W282" s="49"/>
      <c r="X282" s="37"/>
      <c r="Y282" s="37"/>
      <c r="Z282" s="37"/>
      <c r="AA282" s="37"/>
      <c r="AB282" s="37"/>
      <c r="AC282" s="37"/>
      <c r="AD282" s="37"/>
      <c r="AE282" s="37"/>
      <c r="AF282" s="37"/>
      <c r="AG282" s="59"/>
      <c r="AH282" s="49"/>
      <c r="AI282" s="37"/>
      <c r="AJ282" s="37"/>
      <c r="AK282" s="37"/>
      <c r="AL282" s="37"/>
      <c r="AM282" s="37"/>
      <c r="AN282" s="37"/>
      <c r="AO282" s="37"/>
      <c r="AP282" s="37"/>
      <c r="AQ282" s="37"/>
      <c r="AR282" s="37"/>
      <c r="AS282" s="37"/>
      <c r="AT282" s="37"/>
      <c r="AU282" s="37"/>
      <c r="AV282" s="59"/>
      <c r="AW282" s="1" t="str">
        <f>_xlfn.CONCAT(tbl_Ben_Info[[#This Row],[First Name]]," ",tbl_Ben_Info[[#This Row],[Father Name]]," ",tbl_Ben_Info[[#This Row],[Family Name]])</f>
        <v xml:space="preserve">  </v>
      </c>
    </row>
    <row r="283" spans="2:49" ht="25.15" customHeight="1" x14ac:dyDescent="0.25">
      <c r="B283" s="49">
        <v>278</v>
      </c>
      <c r="C283" s="1" t="str">
        <f>_xlfn.CONCAT("181-702-",IF(tbl_Ben_Info[[#This Row],[SN]]&lt;10,"00"&amp;tbl_Ben_Info[[#This Row],[SN]],IF(tbl_Ben_Info[[#This Row],[SN]]&lt;100,"0"&amp;tbl_Ben_Info[[#This Row],[SN]],tbl_Ben_Info[[#This Row],[SN]])))</f>
        <v>181-702-278</v>
      </c>
      <c r="D283" s="37"/>
      <c r="E283" s="40"/>
      <c r="F283" s="41"/>
      <c r="G283" s="42"/>
      <c r="H283" s="43"/>
      <c r="I283" s="73"/>
      <c r="J283" s="43"/>
      <c r="K283" s="43"/>
      <c r="L283" s="43"/>
      <c r="M283" s="43"/>
      <c r="N283" s="111"/>
      <c r="O283" s="43"/>
      <c r="P283" s="48"/>
      <c r="Q283" s="49"/>
      <c r="R283" s="37"/>
      <c r="S283" s="37"/>
      <c r="T283" s="37"/>
      <c r="U283" s="37"/>
      <c r="V283" s="59"/>
      <c r="W283" s="49"/>
      <c r="X283" s="37"/>
      <c r="Y283" s="37"/>
      <c r="Z283" s="37"/>
      <c r="AA283" s="37"/>
      <c r="AB283" s="37"/>
      <c r="AC283" s="37"/>
      <c r="AD283" s="37"/>
      <c r="AE283" s="37"/>
      <c r="AF283" s="37"/>
      <c r="AG283" s="59"/>
      <c r="AH283" s="49"/>
      <c r="AI283" s="37"/>
      <c r="AJ283" s="37"/>
      <c r="AK283" s="37"/>
      <c r="AL283" s="37"/>
      <c r="AM283" s="37"/>
      <c r="AN283" s="37"/>
      <c r="AO283" s="37"/>
      <c r="AP283" s="37"/>
      <c r="AQ283" s="37"/>
      <c r="AR283" s="37"/>
      <c r="AS283" s="37"/>
      <c r="AT283" s="37"/>
      <c r="AU283" s="37"/>
      <c r="AV283" s="59"/>
      <c r="AW283" s="1" t="str">
        <f>_xlfn.CONCAT(tbl_Ben_Info[[#This Row],[First Name]]," ",tbl_Ben_Info[[#This Row],[Father Name]]," ",tbl_Ben_Info[[#This Row],[Family Name]])</f>
        <v xml:space="preserve">  </v>
      </c>
    </row>
    <row r="284" spans="2:49" ht="25.15" customHeight="1" x14ac:dyDescent="0.25">
      <c r="B284" s="49">
        <v>279</v>
      </c>
      <c r="C284" s="1" t="str">
        <f>_xlfn.CONCAT("181-702-",IF(tbl_Ben_Info[[#This Row],[SN]]&lt;10,"00"&amp;tbl_Ben_Info[[#This Row],[SN]],IF(tbl_Ben_Info[[#This Row],[SN]]&lt;100,"0"&amp;tbl_Ben_Info[[#This Row],[SN]],tbl_Ben_Info[[#This Row],[SN]])))</f>
        <v>181-702-279</v>
      </c>
      <c r="D284" s="37"/>
      <c r="E284" s="40"/>
      <c r="F284" s="41"/>
      <c r="G284" s="42"/>
      <c r="H284" s="43"/>
      <c r="I284" s="73"/>
      <c r="J284" s="43"/>
      <c r="K284" s="43"/>
      <c r="L284" s="43"/>
      <c r="M284" s="43"/>
      <c r="N284" s="111"/>
      <c r="O284" s="43"/>
      <c r="P284" s="48"/>
      <c r="Q284" s="49"/>
      <c r="R284" s="37"/>
      <c r="S284" s="37"/>
      <c r="T284" s="37"/>
      <c r="U284" s="37"/>
      <c r="V284" s="59"/>
      <c r="W284" s="49"/>
      <c r="X284" s="37"/>
      <c r="Y284" s="37"/>
      <c r="Z284" s="37"/>
      <c r="AA284" s="37"/>
      <c r="AB284" s="37"/>
      <c r="AC284" s="37"/>
      <c r="AD284" s="37"/>
      <c r="AE284" s="37"/>
      <c r="AF284" s="37"/>
      <c r="AG284" s="59"/>
      <c r="AH284" s="49"/>
      <c r="AI284" s="37"/>
      <c r="AJ284" s="37"/>
      <c r="AK284" s="37"/>
      <c r="AL284" s="37"/>
      <c r="AM284" s="37"/>
      <c r="AN284" s="37"/>
      <c r="AO284" s="37"/>
      <c r="AP284" s="37"/>
      <c r="AQ284" s="37"/>
      <c r="AR284" s="37"/>
      <c r="AS284" s="37"/>
      <c r="AT284" s="37"/>
      <c r="AU284" s="37"/>
      <c r="AV284" s="59"/>
      <c r="AW284" s="1" t="str">
        <f>_xlfn.CONCAT(tbl_Ben_Info[[#This Row],[First Name]]," ",tbl_Ben_Info[[#This Row],[Father Name]]," ",tbl_Ben_Info[[#This Row],[Family Name]])</f>
        <v xml:space="preserve">  </v>
      </c>
    </row>
    <row r="285" spans="2:49" ht="25.15" customHeight="1" x14ac:dyDescent="0.25">
      <c r="B285" s="49">
        <v>280</v>
      </c>
      <c r="C285" s="1" t="str">
        <f>_xlfn.CONCAT("181-702-",IF(tbl_Ben_Info[[#This Row],[SN]]&lt;10,"00"&amp;tbl_Ben_Info[[#This Row],[SN]],IF(tbl_Ben_Info[[#This Row],[SN]]&lt;100,"0"&amp;tbl_Ben_Info[[#This Row],[SN]],tbl_Ben_Info[[#This Row],[SN]])))</f>
        <v>181-702-280</v>
      </c>
      <c r="D285" s="37"/>
      <c r="E285" s="40"/>
      <c r="F285" s="41"/>
      <c r="G285" s="42"/>
      <c r="H285" s="43"/>
      <c r="I285" s="73"/>
      <c r="J285" s="43"/>
      <c r="K285" s="43"/>
      <c r="L285" s="43"/>
      <c r="M285" s="43"/>
      <c r="N285" s="111"/>
      <c r="O285" s="43"/>
      <c r="P285" s="48"/>
      <c r="Q285" s="49"/>
      <c r="R285" s="37"/>
      <c r="S285" s="37"/>
      <c r="T285" s="37"/>
      <c r="U285" s="37"/>
      <c r="V285" s="59"/>
      <c r="W285" s="49"/>
      <c r="X285" s="37"/>
      <c r="Y285" s="37"/>
      <c r="Z285" s="37"/>
      <c r="AA285" s="37"/>
      <c r="AB285" s="37"/>
      <c r="AC285" s="37"/>
      <c r="AD285" s="37"/>
      <c r="AE285" s="37"/>
      <c r="AF285" s="37"/>
      <c r="AG285" s="59"/>
      <c r="AH285" s="49"/>
      <c r="AI285" s="37"/>
      <c r="AJ285" s="37"/>
      <c r="AK285" s="37"/>
      <c r="AL285" s="37"/>
      <c r="AM285" s="37"/>
      <c r="AN285" s="37"/>
      <c r="AO285" s="37"/>
      <c r="AP285" s="37"/>
      <c r="AQ285" s="37"/>
      <c r="AR285" s="37"/>
      <c r="AS285" s="37"/>
      <c r="AT285" s="37"/>
      <c r="AU285" s="37"/>
      <c r="AV285" s="59"/>
      <c r="AW285" s="1" t="str">
        <f>_xlfn.CONCAT(tbl_Ben_Info[[#This Row],[First Name]]," ",tbl_Ben_Info[[#This Row],[Father Name]]," ",tbl_Ben_Info[[#This Row],[Family Name]])</f>
        <v xml:space="preserve">  </v>
      </c>
    </row>
    <row r="286" spans="2:49" ht="25.15" customHeight="1" x14ac:dyDescent="0.25">
      <c r="B286" s="49">
        <v>281</v>
      </c>
      <c r="C286" s="1" t="str">
        <f>_xlfn.CONCAT("181-702-",IF(tbl_Ben_Info[[#This Row],[SN]]&lt;10,"00"&amp;tbl_Ben_Info[[#This Row],[SN]],IF(tbl_Ben_Info[[#This Row],[SN]]&lt;100,"0"&amp;tbl_Ben_Info[[#This Row],[SN]],tbl_Ben_Info[[#This Row],[SN]])))</f>
        <v>181-702-281</v>
      </c>
      <c r="D286" s="37"/>
      <c r="E286" s="40"/>
      <c r="F286" s="41"/>
      <c r="G286" s="42"/>
      <c r="H286" s="43"/>
      <c r="I286" s="73"/>
      <c r="J286" s="43"/>
      <c r="K286" s="43"/>
      <c r="L286" s="43"/>
      <c r="M286" s="43"/>
      <c r="N286" s="111"/>
      <c r="O286" s="43"/>
      <c r="P286" s="48"/>
      <c r="Q286" s="49"/>
      <c r="R286" s="37"/>
      <c r="S286" s="37"/>
      <c r="T286" s="37"/>
      <c r="U286" s="37"/>
      <c r="V286" s="59"/>
      <c r="W286" s="49"/>
      <c r="X286" s="37"/>
      <c r="Y286" s="37"/>
      <c r="Z286" s="37"/>
      <c r="AA286" s="37"/>
      <c r="AB286" s="37"/>
      <c r="AC286" s="37"/>
      <c r="AD286" s="37"/>
      <c r="AE286" s="37"/>
      <c r="AF286" s="37"/>
      <c r="AG286" s="59"/>
      <c r="AH286" s="49"/>
      <c r="AI286" s="37"/>
      <c r="AJ286" s="37"/>
      <c r="AK286" s="37"/>
      <c r="AL286" s="37"/>
      <c r="AM286" s="37"/>
      <c r="AN286" s="37"/>
      <c r="AO286" s="37"/>
      <c r="AP286" s="37"/>
      <c r="AQ286" s="37"/>
      <c r="AR286" s="37"/>
      <c r="AS286" s="37"/>
      <c r="AT286" s="37"/>
      <c r="AU286" s="37"/>
      <c r="AV286" s="59"/>
      <c r="AW286" s="1" t="str">
        <f>_xlfn.CONCAT(tbl_Ben_Info[[#This Row],[First Name]]," ",tbl_Ben_Info[[#This Row],[Father Name]]," ",tbl_Ben_Info[[#This Row],[Family Name]])</f>
        <v xml:space="preserve">  </v>
      </c>
    </row>
    <row r="287" spans="2:49" ht="25.15" customHeight="1" x14ac:dyDescent="0.25">
      <c r="B287" s="49">
        <v>282</v>
      </c>
      <c r="C287" s="1" t="str">
        <f>_xlfn.CONCAT("181-702-",IF(tbl_Ben_Info[[#This Row],[SN]]&lt;10,"00"&amp;tbl_Ben_Info[[#This Row],[SN]],IF(tbl_Ben_Info[[#This Row],[SN]]&lt;100,"0"&amp;tbl_Ben_Info[[#This Row],[SN]],tbl_Ben_Info[[#This Row],[SN]])))</f>
        <v>181-702-282</v>
      </c>
      <c r="D287" s="37"/>
      <c r="E287" s="40"/>
      <c r="F287" s="41"/>
      <c r="G287" s="42"/>
      <c r="H287" s="43"/>
      <c r="I287" s="73"/>
      <c r="J287" s="43"/>
      <c r="K287" s="43"/>
      <c r="L287" s="43"/>
      <c r="M287" s="43"/>
      <c r="N287" s="111"/>
      <c r="O287" s="43"/>
      <c r="P287" s="48"/>
      <c r="Q287" s="49"/>
      <c r="R287" s="37"/>
      <c r="S287" s="37"/>
      <c r="T287" s="37"/>
      <c r="U287" s="37"/>
      <c r="V287" s="59"/>
      <c r="W287" s="49"/>
      <c r="X287" s="37"/>
      <c r="Y287" s="37"/>
      <c r="Z287" s="37"/>
      <c r="AA287" s="37"/>
      <c r="AB287" s="37"/>
      <c r="AC287" s="37"/>
      <c r="AD287" s="37"/>
      <c r="AE287" s="37"/>
      <c r="AF287" s="37"/>
      <c r="AG287" s="59"/>
      <c r="AH287" s="49"/>
      <c r="AI287" s="37"/>
      <c r="AJ287" s="37"/>
      <c r="AK287" s="37"/>
      <c r="AL287" s="37"/>
      <c r="AM287" s="37"/>
      <c r="AN287" s="37"/>
      <c r="AO287" s="37"/>
      <c r="AP287" s="37"/>
      <c r="AQ287" s="37"/>
      <c r="AR287" s="37"/>
      <c r="AS287" s="37"/>
      <c r="AT287" s="37"/>
      <c r="AU287" s="37"/>
      <c r="AV287" s="59"/>
      <c r="AW287" s="1" t="str">
        <f>_xlfn.CONCAT(tbl_Ben_Info[[#This Row],[First Name]]," ",tbl_Ben_Info[[#This Row],[Father Name]]," ",tbl_Ben_Info[[#This Row],[Family Name]])</f>
        <v xml:space="preserve">  </v>
      </c>
    </row>
    <row r="288" spans="2:49" ht="25.15" customHeight="1" x14ac:dyDescent="0.25">
      <c r="B288" s="49">
        <v>283</v>
      </c>
      <c r="C288" s="1" t="str">
        <f>_xlfn.CONCAT("181-702-",IF(tbl_Ben_Info[[#This Row],[SN]]&lt;10,"00"&amp;tbl_Ben_Info[[#This Row],[SN]],IF(tbl_Ben_Info[[#This Row],[SN]]&lt;100,"0"&amp;tbl_Ben_Info[[#This Row],[SN]],tbl_Ben_Info[[#This Row],[SN]])))</f>
        <v>181-702-283</v>
      </c>
      <c r="D288" s="37"/>
      <c r="E288" s="40"/>
      <c r="F288" s="41"/>
      <c r="G288" s="42"/>
      <c r="H288" s="43"/>
      <c r="I288" s="73"/>
      <c r="J288" s="43"/>
      <c r="K288" s="43"/>
      <c r="L288" s="43"/>
      <c r="M288" s="43"/>
      <c r="N288" s="111"/>
      <c r="O288" s="43"/>
      <c r="P288" s="48"/>
      <c r="Q288" s="49"/>
      <c r="R288" s="37"/>
      <c r="S288" s="37"/>
      <c r="T288" s="37"/>
      <c r="U288" s="37"/>
      <c r="V288" s="59"/>
      <c r="W288" s="49"/>
      <c r="X288" s="37"/>
      <c r="Y288" s="37"/>
      <c r="Z288" s="37"/>
      <c r="AA288" s="37"/>
      <c r="AB288" s="37"/>
      <c r="AC288" s="37"/>
      <c r="AD288" s="37"/>
      <c r="AE288" s="37"/>
      <c r="AF288" s="37"/>
      <c r="AG288" s="59"/>
      <c r="AH288" s="49"/>
      <c r="AI288" s="37"/>
      <c r="AJ288" s="37"/>
      <c r="AK288" s="37"/>
      <c r="AL288" s="37"/>
      <c r="AM288" s="37"/>
      <c r="AN288" s="37"/>
      <c r="AO288" s="37"/>
      <c r="AP288" s="37"/>
      <c r="AQ288" s="37"/>
      <c r="AR288" s="37"/>
      <c r="AS288" s="37"/>
      <c r="AT288" s="37"/>
      <c r="AU288" s="37"/>
      <c r="AV288" s="59"/>
      <c r="AW288" s="1" t="str">
        <f>_xlfn.CONCAT(tbl_Ben_Info[[#This Row],[First Name]]," ",tbl_Ben_Info[[#This Row],[Father Name]]," ",tbl_Ben_Info[[#This Row],[Family Name]])</f>
        <v xml:space="preserve">  </v>
      </c>
    </row>
    <row r="289" spans="2:49" ht="25.15" customHeight="1" x14ac:dyDescent="0.25">
      <c r="B289" s="49">
        <v>284</v>
      </c>
      <c r="C289" s="1" t="str">
        <f>_xlfn.CONCAT("181-702-",IF(tbl_Ben_Info[[#This Row],[SN]]&lt;10,"00"&amp;tbl_Ben_Info[[#This Row],[SN]],IF(tbl_Ben_Info[[#This Row],[SN]]&lt;100,"0"&amp;tbl_Ben_Info[[#This Row],[SN]],tbl_Ben_Info[[#This Row],[SN]])))</f>
        <v>181-702-284</v>
      </c>
      <c r="D289" s="37"/>
      <c r="E289" s="40"/>
      <c r="F289" s="41"/>
      <c r="G289" s="42"/>
      <c r="H289" s="43"/>
      <c r="I289" s="73"/>
      <c r="J289" s="43"/>
      <c r="K289" s="43"/>
      <c r="L289" s="43"/>
      <c r="M289" s="43"/>
      <c r="N289" s="111"/>
      <c r="O289" s="43"/>
      <c r="P289" s="48"/>
      <c r="Q289" s="49"/>
      <c r="R289" s="37"/>
      <c r="S289" s="37"/>
      <c r="T289" s="37"/>
      <c r="U289" s="37"/>
      <c r="V289" s="59"/>
      <c r="W289" s="49"/>
      <c r="X289" s="37"/>
      <c r="Y289" s="37"/>
      <c r="Z289" s="37"/>
      <c r="AA289" s="37"/>
      <c r="AB289" s="37"/>
      <c r="AC289" s="37"/>
      <c r="AD289" s="37"/>
      <c r="AE289" s="37"/>
      <c r="AF289" s="37"/>
      <c r="AG289" s="59"/>
      <c r="AH289" s="49"/>
      <c r="AI289" s="37"/>
      <c r="AJ289" s="37"/>
      <c r="AK289" s="37"/>
      <c r="AL289" s="37"/>
      <c r="AM289" s="37"/>
      <c r="AN289" s="37"/>
      <c r="AO289" s="37"/>
      <c r="AP289" s="37"/>
      <c r="AQ289" s="37"/>
      <c r="AR289" s="37"/>
      <c r="AS289" s="37"/>
      <c r="AT289" s="37"/>
      <c r="AU289" s="37"/>
      <c r="AV289" s="59"/>
      <c r="AW289" s="1" t="str">
        <f>_xlfn.CONCAT(tbl_Ben_Info[[#This Row],[First Name]]," ",tbl_Ben_Info[[#This Row],[Father Name]]," ",tbl_Ben_Info[[#This Row],[Family Name]])</f>
        <v xml:space="preserve">  </v>
      </c>
    </row>
    <row r="290" spans="2:49" ht="25.15" customHeight="1" x14ac:dyDescent="0.25">
      <c r="B290" s="49">
        <v>285</v>
      </c>
      <c r="C290" s="1" t="str">
        <f>_xlfn.CONCAT("181-702-",IF(tbl_Ben_Info[[#This Row],[SN]]&lt;10,"00"&amp;tbl_Ben_Info[[#This Row],[SN]],IF(tbl_Ben_Info[[#This Row],[SN]]&lt;100,"0"&amp;tbl_Ben_Info[[#This Row],[SN]],tbl_Ben_Info[[#This Row],[SN]])))</f>
        <v>181-702-285</v>
      </c>
      <c r="D290" s="37"/>
      <c r="E290" s="40"/>
      <c r="F290" s="41"/>
      <c r="G290" s="42"/>
      <c r="H290" s="43"/>
      <c r="I290" s="73"/>
      <c r="J290" s="43"/>
      <c r="K290" s="43"/>
      <c r="L290" s="43"/>
      <c r="M290" s="43"/>
      <c r="N290" s="111"/>
      <c r="O290" s="43"/>
      <c r="P290" s="48"/>
      <c r="Q290" s="49"/>
      <c r="R290" s="37"/>
      <c r="S290" s="37"/>
      <c r="T290" s="37"/>
      <c r="U290" s="37"/>
      <c r="V290" s="59"/>
      <c r="W290" s="49"/>
      <c r="X290" s="37"/>
      <c r="Y290" s="37"/>
      <c r="Z290" s="37"/>
      <c r="AA290" s="37"/>
      <c r="AB290" s="37"/>
      <c r="AC290" s="37"/>
      <c r="AD290" s="37"/>
      <c r="AE290" s="37"/>
      <c r="AF290" s="37"/>
      <c r="AG290" s="59"/>
      <c r="AH290" s="49"/>
      <c r="AI290" s="37"/>
      <c r="AJ290" s="37"/>
      <c r="AK290" s="37"/>
      <c r="AL290" s="37"/>
      <c r="AM290" s="37"/>
      <c r="AN290" s="37"/>
      <c r="AO290" s="37"/>
      <c r="AP290" s="37"/>
      <c r="AQ290" s="37"/>
      <c r="AR290" s="37"/>
      <c r="AS290" s="37"/>
      <c r="AT290" s="37"/>
      <c r="AU290" s="37"/>
      <c r="AV290" s="59"/>
      <c r="AW290" s="1" t="str">
        <f>_xlfn.CONCAT(tbl_Ben_Info[[#This Row],[First Name]]," ",tbl_Ben_Info[[#This Row],[Father Name]]," ",tbl_Ben_Info[[#This Row],[Family Name]])</f>
        <v xml:space="preserve">  </v>
      </c>
    </row>
    <row r="291" spans="2:49" ht="25.15" customHeight="1" x14ac:dyDescent="0.25">
      <c r="B291" s="49">
        <v>286</v>
      </c>
      <c r="C291" s="1" t="str">
        <f>_xlfn.CONCAT("181-702-",IF(tbl_Ben_Info[[#This Row],[SN]]&lt;10,"00"&amp;tbl_Ben_Info[[#This Row],[SN]],IF(tbl_Ben_Info[[#This Row],[SN]]&lt;100,"0"&amp;tbl_Ben_Info[[#This Row],[SN]],tbl_Ben_Info[[#This Row],[SN]])))</f>
        <v>181-702-286</v>
      </c>
      <c r="D291" s="37"/>
      <c r="E291" s="40"/>
      <c r="F291" s="41"/>
      <c r="G291" s="42"/>
      <c r="H291" s="43"/>
      <c r="I291" s="73"/>
      <c r="J291" s="43"/>
      <c r="K291" s="43"/>
      <c r="L291" s="43"/>
      <c r="M291" s="43"/>
      <c r="N291" s="111"/>
      <c r="O291" s="43"/>
      <c r="P291" s="48"/>
      <c r="Q291" s="49"/>
      <c r="R291" s="37"/>
      <c r="S291" s="37"/>
      <c r="T291" s="37"/>
      <c r="U291" s="37"/>
      <c r="V291" s="59"/>
      <c r="W291" s="49"/>
      <c r="X291" s="37"/>
      <c r="Y291" s="37"/>
      <c r="Z291" s="37"/>
      <c r="AA291" s="37"/>
      <c r="AB291" s="37"/>
      <c r="AC291" s="37"/>
      <c r="AD291" s="37"/>
      <c r="AE291" s="37"/>
      <c r="AF291" s="37"/>
      <c r="AG291" s="59"/>
      <c r="AH291" s="49"/>
      <c r="AI291" s="37"/>
      <c r="AJ291" s="37"/>
      <c r="AK291" s="37"/>
      <c r="AL291" s="37"/>
      <c r="AM291" s="37"/>
      <c r="AN291" s="37"/>
      <c r="AO291" s="37"/>
      <c r="AP291" s="37"/>
      <c r="AQ291" s="37"/>
      <c r="AR291" s="37"/>
      <c r="AS291" s="37"/>
      <c r="AT291" s="37"/>
      <c r="AU291" s="37"/>
      <c r="AV291" s="59"/>
      <c r="AW291" s="1" t="str">
        <f>_xlfn.CONCAT(tbl_Ben_Info[[#This Row],[First Name]]," ",tbl_Ben_Info[[#This Row],[Father Name]]," ",tbl_Ben_Info[[#This Row],[Family Name]])</f>
        <v xml:space="preserve">  </v>
      </c>
    </row>
    <row r="292" spans="2:49" ht="25.15" customHeight="1" x14ac:dyDescent="0.25">
      <c r="B292" s="49">
        <v>287</v>
      </c>
      <c r="C292" s="1" t="str">
        <f>_xlfn.CONCAT("181-702-",IF(tbl_Ben_Info[[#This Row],[SN]]&lt;10,"00"&amp;tbl_Ben_Info[[#This Row],[SN]],IF(tbl_Ben_Info[[#This Row],[SN]]&lt;100,"0"&amp;tbl_Ben_Info[[#This Row],[SN]],tbl_Ben_Info[[#This Row],[SN]])))</f>
        <v>181-702-287</v>
      </c>
      <c r="D292" s="37"/>
      <c r="E292" s="40"/>
      <c r="F292" s="41"/>
      <c r="G292" s="42"/>
      <c r="H292" s="43"/>
      <c r="I292" s="73"/>
      <c r="J292" s="43"/>
      <c r="K292" s="43"/>
      <c r="L292" s="43"/>
      <c r="M292" s="43"/>
      <c r="N292" s="111"/>
      <c r="O292" s="43"/>
      <c r="P292" s="48"/>
      <c r="Q292" s="49"/>
      <c r="R292" s="37"/>
      <c r="S292" s="37"/>
      <c r="T292" s="37"/>
      <c r="U292" s="37"/>
      <c r="V292" s="59"/>
      <c r="W292" s="49"/>
      <c r="X292" s="37"/>
      <c r="Y292" s="37"/>
      <c r="Z292" s="37"/>
      <c r="AA292" s="37"/>
      <c r="AB292" s="37"/>
      <c r="AC292" s="37"/>
      <c r="AD292" s="37"/>
      <c r="AE292" s="37"/>
      <c r="AF292" s="37"/>
      <c r="AG292" s="59"/>
      <c r="AH292" s="49"/>
      <c r="AI292" s="37"/>
      <c r="AJ292" s="37"/>
      <c r="AK292" s="37"/>
      <c r="AL292" s="37"/>
      <c r="AM292" s="37"/>
      <c r="AN292" s="37"/>
      <c r="AO292" s="37"/>
      <c r="AP292" s="37"/>
      <c r="AQ292" s="37"/>
      <c r="AR292" s="37"/>
      <c r="AS292" s="37"/>
      <c r="AT292" s="37"/>
      <c r="AU292" s="37"/>
      <c r="AV292" s="59"/>
      <c r="AW292" s="1" t="str">
        <f>_xlfn.CONCAT(tbl_Ben_Info[[#This Row],[First Name]]," ",tbl_Ben_Info[[#This Row],[Father Name]]," ",tbl_Ben_Info[[#This Row],[Family Name]])</f>
        <v xml:space="preserve">  </v>
      </c>
    </row>
    <row r="293" spans="2:49" ht="25.15" customHeight="1" x14ac:dyDescent="0.25">
      <c r="B293" s="49">
        <v>288</v>
      </c>
      <c r="C293" s="1" t="str">
        <f>_xlfn.CONCAT("181-702-",IF(tbl_Ben_Info[[#This Row],[SN]]&lt;10,"00"&amp;tbl_Ben_Info[[#This Row],[SN]],IF(tbl_Ben_Info[[#This Row],[SN]]&lt;100,"0"&amp;tbl_Ben_Info[[#This Row],[SN]],tbl_Ben_Info[[#This Row],[SN]])))</f>
        <v>181-702-288</v>
      </c>
      <c r="D293" s="37"/>
      <c r="E293" s="40"/>
      <c r="F293" s="41"/>
      <c r="G293" s="42"/>
      <c r="H293" s="43"/>
      <c r="I293" s="73"/>
      <c r="J293" s="43"/>
      <c r="K293" s="43"/>
      <c r="L293" s="43"/>
      <c r="M293" s="43"/>
      <c r="N293" s="111"/>
      <c r="O293" s="43"/>
      <c r="P293" s="48"/>
      <c r="Q293" s="49"/>
      <c r="R293" s="37"/>
      <c r="S293" s="37"/>
      <c r="T293" s="37"/>
      <c r="U293" s="37"/>
      <c r="V293" s="59"/>
      <c r="W293" s="49"/>
      <c r="X293" s="37"/>
      <c r="Y293" s="37"/>
      <c r="Z293" s="37"/>
      <c r="AA293" s="37"/>
      <c r="AB293" s="37"/>
      <c r="AC293" s="37"/>
      <c r="AD293" s="37"/>
      <c r="AE293" s="37"/>
      <c r="AF293" s="37"/>
      <c r="AG293" s="59"/>
      <c r="AH293" s="49"/>
      <c r="AI293" s="37"/>
      <c r="AJ293" s="37"/>
      <c r="AK293" s="37"/>
      <c r="AL293" s="37"/>
      <c r="AM293" s="37"/>
      <c r="AN293" s="37"/>
      <c r="AO293" s="37"/>
      <c r="AP293" s="37"/>
      <c r="AQ293" s="37"/>
      <c r="AR293" s="37"/>
      <c r="AS293" s="37"/>
      <c r="AT293" s="37"/>
      <c r="AU293" s="37"/>
      <c r="AV293" s="59"/>
      <c r="AW293" s="1" t="str">
        <f>_xlfn.CONCAT(tbl_Ben_Info[[#This Row],[First Name]]," ",tbl_Ben_Info[[#This Row],[Father Name]]," ",tbl_Ben_Info[[#This Row],[Family Name]])</f>
        <v xml:space="preserve">  </v>
      </c>
    </row>
    <row r="294" spans="2:49" ht="25.15" customHeight="1" x14ac:dyDescent="0.25">
      <c r="B294" s="49">
        <v>289</v>
      </c>
      <c r="C294" s="1" t="str">
        <f>_xlfn.CONCAT("181-702-",IF(tbl_Ben_Info[[#This Row],[SN]]&lt;10,"00"&amp;tbl_Ben_Info[[#This Row],[SN]],IF(tbl_Ben_Info[[#This Row],[SN]]&lt;100,"0"&amp;tbl_Ben_Info[[#This Row],[SN]],tbl_Ben_Info[[#This Row],[SN]])))</f>
        <v>181-702-289</v>
      </c>
      <c r="D294" s="37"/>
      <c r="E294" s="40"/>
      <c r="F294" s="41"/>
      <c r="G294" s="42"/>
      <c r="H294" s="43"/>
      <c r="I294" s="73"/>
      <c r="J294" s="43"/>
      <c r="K294" s="43"/>
      <c r="L294" s="43"/>
      <c r="M294" s="43"/>
      <c r="N294" s="111"/>
      <c r="O294" s="43"/>
      <c r="P294" s="48"/>
      <c r="Q294" s="49"/>
      <c r="R294" s="37"/>
      <c r="S294" s="37"/>
      <c r="T294" s="37"/>
      <c r="U294" s="37"/>
      <c r="V294" s="59"/>
      <c r="W294" s="49"/>
      <c r="X294" s="37"/>
      <c r="Y294" s="37"/>
      <c r="Z294" s="37"/>
      <c r="AA294" s="37"/>
      <c r="AB294" s="37"/>
      <c r="AC294" s="37"/>
      <c r="AD294" s="37"/>
      <c r="AE294" s="37"/>
      <c r="AF294" s="37"/>
      <c r="AG294" s="59"/>
      <c r="AH294" s="49"/>
      <c r="AI294" s="37"/>
      <c r="AJ294" s="37"/>
      <c r="AK294" s="37"/>
      <c r="AL294" s="37"/>
      <c r="AM294" s="37"/>
      <c r="AN294" s="37"/>
      <c r="AO294" s="37"/>
      <c r="AP294" s="37"/>
      <c r="AQ294" s="37"/>
      <c r="AR294" s="37"/>
      <c r="AS294" s="37"/>
      <c r="AT294" s="37"/>
      <c r="AU294" s="37"/>
      <c r="AV294" s="59"/>
      <c r="AW294" s="1" t="str">
        <f>_xlfn.CONCAT(tbl_Ben_Info[[#This Row],[First Name]]," ",tbl_Ben_Info[[#This Row],[Father Name]]," ",tbl_Ben_Info[[#This Row],[Family Name]])</f>
        <v xml:space="preserve">  </v>
      </c>
    </row>
    <row r="295" spans="2:49" ht="25.15" customHeight="1" x14ac:dyDescent="0.25">
      <c r="B295" s="49">
        <v>290</v>
      </c>
      <c r="C295" s="1" t="str">
        <f>_xlfn.CONCAT("181-702-",IF(tbl_Ben_Info[[#This Row],[SN]]&lt;10,"00"&amp;tbl_Ben_Info[[#This Row],[SN]],IF(tbl_Ben_Info[[#This Row],[SN]]&lt;100,"0"&amp;tbl_Ben_Info[[#This Row],[SN]],tbl_Ben_Info[[#This Row],[SN]])))</f>
        <v>181-702-290</v>
      </c>
      <c r="D295" s="37"/>
      <c r="E295" s="40"/>
      <c r="F295" s="41"/>
      <c r="G295" s="42"/>
      <c r="H295" s="43"/>
      <c r="I295" s="73"/>
      <c r="J295" s="43"/>
      <c r="K295" s="43"/>
      <c r="L295" s="43"/>
      <c r="M295" s="43"/>
      <c r="N295" s="111"/>
      <c r="O295" s="43"/>
      <c r="P295" s="48"/>
      <c r="Q295" s="49"/>
      <c r="R295" s="37"/>
      <c r="S295" s="37"/>
      <c r="T295" s="37"/>
      <c r="U295" s="37"/>
      <c r="V295" s="59"/>
      <c r="W295" s="49"/>
      <c r="X295" s="37"/>
      <c r="Y295" s="37"/>
      <c r="Z295" s="37"/>
      <c r="AA295" s="37"/>
      <c r="AB295" s="37"/>
      <c r="AC295" s="37"/>
      <c r="AD295" s="37"/>
      <c r="AE295" s="37"/>
      <c r="AF295" s="37"/>
      <c r="AG295" s="59"/>
      <c r="AH295" s="49"/>
      <c r="AI295" s="37"/>
      <c r="AJ295" s="37"/>
      <c r="AK295" s="37"/>
      <c r="AL295" s="37"/>
      <c r="AM295" s="37"/>
      <c r="AN295" s="37"/>
      <c r="AO295" s="37"/>
      <c r="AP295" s="37"/>
      <c r="AQ295" s="37"/>
      <c r="AR295" s="37"/>
      <c r="AS295" s="37"/>
      <c r="AT295" s="37"/>
      <c r="AU295" s="37"/>
      <c r="AV295" s="59"/>
      <c r="AW295" s="1" t="str">
        <f>_xlfn.CONCAT(tbl_Ben_Info[[#This Row],[First Name]]," ",tbl_Ben_Info[[#This Row],[Father Name]]," ",tbl_Ben_Info[[#This Row],[Family Name]])</f>
        <v xml:space="preserve">  </v>
      </c>
    </row>
    <row r="296" spans="2:49" ht="25.15" customHeight="1" x14ac:dyDescent="0.25">
      <c r="B296" s="49">
        <v>291</v>
      </c>
      <c r="C296" s="1" t="str">
        <f>_xlfn.CONCAT("181-702-",IF(tbl_Ben_Info[[#This Row],[SN]]&lt;10,"00"&amp;tbl_Ben_Info[[#This Row],[SN]],IF(tbl_Ben_Info[[#This Row],[SN]]&lt;100,"0"&amp;tbl_Ben_Info[[#This Row],[SN]],tbl_Ben_Info[[#This Row],[SN]])))</f>
        <v>181-702-291</v>
      </c>
      <c r="D296" s="37"/>
      <c r="E296" s="40"/>
      <c r="F296" s="41"/>
      <c r="G296" s="42"/>
      <c r="H296" s="43"/>
      <c r="I296" s="73"/>
      <c r="J296" s="43"/>
      <c r="K296" s="43"/>
      <c r="L296" s="43"/>
      <c r="M296" s="43"/>
      <c r="N296" s="111"/>
      <c r="O296" s="43"/>
      <c r="P296" s="48"/>
      <c r="Q296" s="49"/>
      <c r="R296" s="37"/>
      <c r="S296" s="37"/>
      <c r="T296" s="37"/>
      <c r="U296" s="37"/>
      <c r="V296" s="59"/>
      <c r="W296" s="49"/>
      <c r="X296" s="37"/>
      <c r="Y296" s="37"/>
      <c r="Z296" s="37"/>
      <c r="AA296" s="37"/>
      <c r="AB296" s="37"/>
      <c r="AC296" s="37"/>
      <c r="AD296" s="37"/>
      <c r="AE296" s="37"/>
      <c r="AF296" s="37"/>
      <c r="AG296" s="59"/>
      <c r="AH296" s="49"/>
      <c r="AI296" s="37"/>
      <c r="AJ296" s="37"/>
      <c r="AK296" s="37"/>
      <c r="AL296" s="37"/>
      <c r="AM296" s="37"/>
      <c r="AN296" s="37"/>
      <c r="AO296" s="37"/>
      <c r="AP296" s="37"/>
      <c r="AQ296" s="37"/>
      <c r="AR296" s="37"/>
      <c r="AS296" s="37"/>
      <c r="AT296" s="37"/>
      <c r="AU296" s="37"/>
      <c r="AV296" s="59"/>
      <c r="AW296" s="1" t="str">
        <f>_xlfn.CONCAT(tbl_Ben_Info[[#This Row],[First Name]]," ",tbl_Ben_Info[[#This Row],[Father Name]]," ",tbl_Ben_Info[[#This Row],[Family Name]])</f>
        <v xml:space="preserve">  </v>
      </c>
    </row>
    <row r="297" spans="2:49" ht="25.15" customHeight="1" x14ac:dyDescent="0.25">
      <c r="B297" s="49">
        <v>292</v>
      </c>
      <c r="C297" s="1" t="str">
        <f>_xlfn.CONCAT("181-702-",IF(tbl_Ben_Info[[#This Row],[SN]]&lt;10,"00"&amp;tbl_Ben_Info[[#This Row],[SN]],IF(tbl_Ben_Info[[#This Row],[SN]]&lt;100,"0"&amp;tbl_Ben_Info[[#This Row],[SN]],tbl_Ben_Info[[#This Row],[SN]])))</f>
        <v>181-702-292</v>
      </c>
      <c r="D297" s="37"/>
      <c r="E297" s="40"/>
      <c r="F297" s="41"/>
      <c r="G297" s="42"/>
      <c r="H297" s="43"/>
      <c r="I297" s="73"/>
      <c r="J297" s="43"/>
      <c r="K297" s="43"/>
      <c r="L297" s="43"/>
      <c r="M297" s="43"/>
      <c r="N297" s="111"/>
      <c r="O297" s="43"/>
      <c r="P297" s="48"/>
      <c r="Q297" s="49"/>
      <c r="R297" s="37"/>
      <c r="S297" s="37"/>
      <c r="T297" s="37"/>
      <c r="U297" s="37"/>
      <c r="V297" s="59"/>
      <c r="W297" s="49"/>
      <c r="X297" s="37"/>
      <c r="Y297" s="37"/>
      <c r="Z297" s="37"/>
      <c r="AA297" s="37"/>
      <c r="AB297" s="37"/>
      <c r="AC297" s="37"/>
      <c r="AD297" s="37"/>
      <c r="AE297" s="37"/>
      <c r="AF297" s="37"/>
      <c r="AG297" s="59"/>
      <c r="AH297" s="49"/>
      <c r="AI297" s="37"/>
      <c r="AJ297" s="37"/>
      <c r="AK297" s="37"/>
      <c r="AL297" s="37"/>
      <c r="AM297" s="37"/>
      <c r="AN297" s="37"/>
      <c r="AO297" s="37"/>
      <c r="AP297" s="37"/>
      <c r="AQ297" s="37"/>
      <c r="AR297" s="37"/>
      <c r="AS297" s="37"/>
      <c r="AT297" s="37"/>
      <c r="AU297" s="37"/>
      <c r="AV297" s="59"/>
      <c r="AW297" s="1" t="str">
        <f>_xlfn.CONCAT(tbl_Ben_Info[[#This Row],[First Name]]," ",tbl_Ben_Info[[#This Row],[Father Name]]," ",tbl_Ben_Info[[#This Row],[Family Name]])</f>
        <v xml:space="preserve">  </v>
      </c>
    </row>
    <row r="298" spans="2:49" ht="25.15" customHeight="1" x14ac:dyDescent="0.25">
      <c r="B298" s="49">
        <v>293</v>
      </c>
      <c r="C298" s="1" t="str">
        <f>_xlfn.CONCAT("181-702-",IF(tbl_Ben_Info[[#This Row],[SN]]&lt;10,"00"&amp;tbl_Ben_Info[[#This Row],[SN]],IF(tbl_Ben_Info[[#This Row],[SN]]&lt;100,"0"&amp;tbl_Ben_Info[[#This Row],[SN]],tbl_Ben_Info[[#This Row],[SN]])))</f>
        <v>181-702-293</v>
      </c>
      <c r="D298" s="37"/>
      <c r="E298" s="40"/>
      <c r="F298" s="41"/>
      <c r="G298" s="42"/>
      <c r="H298" s="43"/>
      <c r="I298" s="73"/>
      <c r="J298" s="43"/>
      <c r="K298" s="43"/>
      <c r="L298" s="43"/>
      <c r="M298" s="43"/>
      <c r="N298" s="111"/>
      <c r="O298" s="43"/>
      <c r="P298" s="48"/>
      <c r="Q298" s="49"/>
      <c r="R298" s="37"/>
      <c r="S298" s="37"/>
      <c r="T298" s="37"/>
      <c r="U298" s="37"/>
      <c r="V298" s="59"/>
      <c r="W298" s="49"/>
      <c r="X298" s="37"/>
      <c r="Y298" s="37"/>
      <c r="Z298" s="37"/>
      <c r="AA298" s="37"/>
      <c r="AB298" s="37"/>
      <c r="AC298" s="37"/>
      <c r="AD298" s="37"/>
      <c r="AE298" s="37"/>
      <c r="AF298" s="37"/>
      <c r="AG298" s="59"/>
      <c r="AH298" s="49"/>
      <c r="AI298" s="37"/>
      <c r="AJ298" s="37"/>
      <c r="AK298" s="37"/>
      <c r="AL298" s="37"/>
      <c r="AM298" s="37"/>
      <c r="AN298" s="37"/>
      <c r="AO298" s="37"/>
      <c r="AP298" s="37"/>
      <c r="AQ298" s="37"/>
      <c r="AR298" s="37"/>
      <c r="AS298" s="37"/>
      <c r="AT298" s="37"/>
      <c r="AU298" s="37"/>
      <c r="AV298" s="59"/>
      <c r="AW298" s="1" t="str">
        <f>_xlfn.CONCAT(tbl_Ben_Info[[#This Row],[First Name]]," ",tbl_Ben_Info[[#This Row],[Father Name]]," ",tbl_Ben_Info[[#This Row],[Family Name]])</f>
        <v xml:space="preserve">  </v>
      </c>
    </row>
    <row r="299" spans="2:49" ht="25.15" customHeight="1" x14ac:dyDescent="0.25">
      <c r="B299" s="49">
        <v>294</v>
      </c>
      <c r="C299" s="1" t="str">
        <f>_xlfn.CONCAT("181-702-",IF(tbl_Ben_Info[[#This Row],[SN]]&lt;10,"00"&amp;tbl_Ben_Info[[#This Row],[SN]],IF(tbl_Ben_Info[[#This Row],[SN]]&lt;100,"0"&amp;tbl_Ben_Info[[#This Row],[SN]],tbl_Ben_Info[[#This Row],[SN]])))</f>
        <v>181-702-294</v>
      </c>
      <c r="D299" s="37"/>
      <c r="E299" s="40"/>
      <c r="F299" s="41"/>
      <c r="G299" s="42"/>
      <c r="H299" s="43"/>
      <c r="I299" s="73"/>
      <c r="J299" s="43"/>
      <c r="K299" s="43"/>
      <c r="L299" s="43"/>
      <c r="M299" s="43"/>
      <c r="N299" s="111"/>
      <c r="O299" s="43"/>
      <c r="P299" s="48"/>
      <c r="Q299" s="49"/>
      <c r="R299" s="37"/>
      <c r="S299" s="37"/>
      <c r="T299" s="37"/>
      <c r="U299" s="37"/>
      <c r="V299" s="59"/>
      <c r="W299" s="49"/>
      <c r="X299" s="37"/>
      <c r="Y299" s="37"/>
      <c r="Z299" s="37"/>
      <c r="AA299" s="37"/>
      <c r="AB299" s="37"/>
      <c r="AC299" s="37"/>
      <c r="AD299" s="37"/>
      <c r="AE299" s="37"/>
      <c r="AF299" s="37"/>
      <c r="AG299" s="59"/>
      <c r="AH299" s="49"/>
      <c r="AI299" s="37"/>
      <c r="AJ299" s="37"/>
      <c r="AK299" s="37"/>
      <c r="AL299" s="37"/>
      <c r="AM299" s="37"/>
      <c r="AN299" s="37"/>
      <c r="AO299" s="37"/>
      <c r="AP299" s="37"/>
      <c r="AQ299" s="37"/>
      <c r="AR299" s="37"/>
      <c r="AS299" s="37"/>
      <c r="AT299" s="37"/>
      <c r="AU299" s="37"/>
      <c r="AV299" s="59"/>
      <c r="AW299" s="1" t="str">
        <f>_xlfn.CONCAT(tbl_Ben_Info[[#This Row],[First Name]]," ",tbl_Ben_Info[[#This Row],[Father Name]]," ",tbl_Ben_Info[[#This Row],[Family Name]])</f>
        <v xml:space="preserve">  </v>
      </c>
    </row>
    <row r="300" spans="2:49" ht="25.15" customHeight="1" x14ac:dyDescent="0.25">
      <c r="B300" s="49">
        <v>295</v>
      </c>
      <c r="C300" s="1" t="str">
        <f>_xlfn.CONCAT("181-702-",IF(tbl_Ben_Info[[#This Row],[SN]]&lt;10,"00"&amp;tbl_Ben_Info[[#This Row],[SN]],IF(tbl_Ben_Info[[#This Row],[SN]]&lt;100,"0"&amp;tbl_Ben_Info[[#This Row],[SN]],tbl_Ben_Info[[#This Row],[SN]])))</f>
        <v>181-702-295</v>
      </c>
      <c r="D300" s="37"/>
      <c r="E300" s="40"/>
      <c r="F300" s="41"/>
      <c r="G300" s="42"/>
      <c r="H300" s="43"/>
      <c r="I300" s="73"/>
      <c r="J300" s="43"/>
      <c r="K300" s="43"/>
      <c r="L300" s="43"/>
      <c r="M300" s="43"/>
      <c r="N300" s="111"/>
      <c r="O300" s="43"/>
      <c r="P300" s="48"/>
      <c r="Q300" s="49"/>
      <c r="R300" s="37"/>
      <c r="S300" s="37"/>
      <c r="T300" s="37"/>
      <c r="U300" s="37"/>
      <c r="V300" s="59"/>
      <c r="W300" s="49"/>
      <c r="X300" s="37"/>
      <c r="Y300" s="37"/>
      <c r="Z300" s="37"/>
      <c r="AA300" s="37"/>
      <c r="AB300" s="37"/>
      <c r="AC300" s="37"/>
      <c r="AD300" s="37"/>
      <c r="AE300" s="37"/>
      <c r="AF300" s="37"/>
      <c r="AG300" s="59"/>
      <c r="AH300" s="49"/>
      <c r="AI300" s="37"/>
      <c r="AJ300" s="37"/>
      <c r="AK300" s="37"/>
      <c r="AL300" s="37"/>
      <c r="AM300" s="37"/>
      <c r="AN300" s="37"/>
      <c r="AO300" s="37"/>
      <c r="AP300" s="37"/>
      <c r="AQ300" s="37"/>
      <c r="AR300" s="37"/>
      <c r="AS300" s="37"/>
      <c r="AT300" s="37"/>
      <c r="AU300" s="37"/>
      <c r="AV300" s="59"/>
      <c r="AW300" s="1" t="str">
        <f>_xlfn.CONCAT(tbl_Ben_Info[[#This Row],[First Name]]," ",tbl_Ben_Info[[#This Row],[Father Name]]," ",tbl_Ben_Info[[#This Row],[Family Name]])</f>
        <v xml:space="preserve">  </v>
      </c>
    </row>
    <row r="301" spans="2:49" ht="25.15" customHeight="1" x14ac:dyDescent="0.25">
      <c r="B301" s="49">
        <v>296</v>
      </c>
      <c r="C301" s="1" t="str">
        <f>_xlfn.CONCAT("181-702-",IF(tbl_Ben_Info[[#This Row],[SN]]&lt;10,"00"&amp;tbl_Ben_Info[[#This Row],[SN]],IF(tbl_Ben_Info[[#This Row],[SN]]&lt;100,"0"&amp;tbl_Ben_Info[[#This Row],[SN]],tbl_Ben_Info[[#This Row],[SN]])))</f>
        <v>181-702-296</v>
      </c>
      <c r="D301" s="37"/>
      <c r="E301" s="40"/>
      <c r="F301" s="41"/>
      <c r="G301" s="42"/>
      <c r="H301" s="43"/>
      <c r="I301" s="73"/>
      <c r="J301" s="43"/>
      <c r="K301" s="43"/>
      <c r="L301" s="43"/>
      <c r="M301" s="43"/>
      <c r="N301" s="111"/>
      <c r="O301" s="43"/>
      <c r="P301" s="48"/>
      <c r="Q301" s="49"/>
      <c r="R301" s="37"/>
      <c r="S301" s="37"/>
      <c r="T301" s="37"/>
      <c r="U301" s="37"/>
      <c r="V301" s="59"/>
      <c r="W301" s="49"/>
      <c r="X301" s="37"/>
      <c r="Y301" s="37"/>
      <c r="Z301" s="37"/>
      <c r="AA301" s="37"/>
      <c r="AB301" s="37"/>
      <c r="AC301" s="37"/>
      <c r="AD301" s="37"/>
      <c r="AE301" s="37"/>
      <c r="AF301" s="37"/>
      <c r="AG301" s="59"/>
      <c r="AH301" s="49"/>
      <c r="AI301" s="37"/>
      <c r="AJ301" s="37"/>
      <c r="AK301" s="37"/>
      <c r="AL301" s="37"/>
      <c r="AM301" s="37"/>
      <c r="AN301" s="37"/>
      <c r="AO301" s="37"/>
      <c r="AP301" s="37"/>
      <c r="AQ301" s="37"/>
      <c r="AR301" s="37"/>
      <c r="AS301" s="37"/>
      <c r="AT301" s="37"/>
      <c r="AU301" s="37"/>
      <c r="AV301" s="59"/>
      <c r="AW301" s="1" t="str">
        <f>_xlfn.CONCAT(tbl_Ben_Info[[#This Row],[First Name]]," ",tbl_Ben_Info[[#This Row],[Father Name]]," ",tbl_Ben_Info[[#This Row],[Family Name]])</f>
        <v xml:space="preserve">  </v>
      </c>
    </row>
    <row r="302" spans="2:49" ht="25.15" customHeight="1" x14ac:dyDescent="0.25">
      <c r="B302" s="49">
        <v>297</v>
      </c>
      <c r="C302" s="1" t="str">
        <f>_xlfn.CONCAT("181-702-",IF(tbl_Ben_Info[[#This Row],[SN]]&lt;10,"00"&amp;tbl_Ben_Info[[#This Row],[SN]],IF(tbl_Ben_Info[[#This Row],[SN]]&lt;100,"0"&amp;tbl_Ben_Info[[#This Row],[SN]],tbl_Ben_Info[[#This Row],[SN]])))</f>
        <v>181-702-297</v>
      </c>
      <c r="D302" s="37"/>
      <c r="E302" s="40"/>
      <c r="F302" s="41"/>
      <c r="G302" s="42"/>
      <c r="H302" s="43"/>
      <c r="I302" s="73"/>
      <c r="J302" s="43"/>
      <c r="K302" s="43"/>
      <c r="L302" s="43"/>
      <c r="M302" s="43"/>
      <c r="N302" s="111"/>
      <c r="O302" s="43"/>
      <c r="P302" s="48"/>
      <c r="Q302" s="49"/>
      <c r="R302" s="37"/>
      <c r="S302" s="37"/>
      <c r="T302" s="37"/>
      <c r="U302" s="37"/>
      <c r="V302" s="59"/>
      <c r="W302" s="49"/>
      <c r="X302" s="37"/>
      <c r="Y302" s="37"/>
      <c r="Z302" s="37"/>
      <c r="AA302" s="37"/>
      <c r="AB302" s="37"/>
      <c r="AC302" s="37"/>
      <c r="AD302" s="37"/>
      <c r="AE302" s="37"/>
      <c r="AF302" s="37"/>
      <c r="AG302" s="59"/>
      <c r="AH302" s="49"/>
      <c r="AI302" s="37"/>
      <c r="AJ302" s="37"/>
      <c r="AK302" s="37"/>
      <c r="AL302" s="37"/>
      <c r="AM302" s="37"/>
      <c r="AN302" s="37"/>
      <c r="AO302" s="37"/>
      <c r="AP302" s="37"/>
      <c r="AQ302" s="37"/>
      <c r="AR302" s="37"/>
      <c r="AS302" s="37"/>
      <c r="AT302" s="37"/>
      <c r="AU302" s="37"/>
      <c r="AV302" s="59"/>
      <c r="AW302" s="1" t="str">
        <f>_xlfn.CONCAT(tbl_Ben_Info[[#This Row],[First Name]]," ",tbl_Ben_Info[[#This Row],[Father Name]]," ",tbl_Ben_Info[[#This Row],[Family Name]])</f>
        <v xml:space="preserve">  </v>
      </c>
    </row>
    <row r="303" spans="2:49" ht="25.15" customHeight="1" x14ac:dyDescent="0.25">
      <c r="B303" s="49">
        <v>298</v>
      </c>
      <c r="C303" s="1" t="str">
        <f>_xlfn.CONCAT("181-702-",IF(tbl_Ben_Info[[#This Row],[SN]]&lt;10,"00"&amp;tbl_Ben_Info[[#This Row],[SN]],IF(tbl_Ben_Info[[#This Row],[SN]]&lt;100,"0"&amp;tbl_Ben_Info[[#This Row],[SN]],tbl_Ben_Info[[#This Row],[SN]])))</f>
        <v>181-702-298</v>
      </c>
      <c r="D303" s="37"/>
      <c r="E303" s="40"/>
      <c r="F303" s="41"/>
      <c r="G303" s="42"/>
      <c r="H303" s="43"/>
      <c r="I303" s="73"/>
      <c r="J303" s="43"/>
      <c r="K303" s="43"/>
      <c r="L303" s="43"/>
      <c r="M303" s="43"/>
      <c r="N303" s="111"/>
      <c r="O303" s="43"/>
      <c r="P303" s="48"/>
      <c r="Q303" s="49"/>
      <c r="R303" s="37"/>
      <c r="S303" s="37"/>
      <c r="T303" s="37"/>
      <c r="U303" s="37"/>
      <c r="V303" s="59"/>
      <c r="W303" s="49"/>
      <c r="X303" s="37"/>
      <c r="Y303" s="37"/>
      <c r="Z303" s="37"/>
      <c r="AA303" s="37"/>
      <c r="AB303" s="37"/>
      <c r="AC303" s="37"/>
      <c r="AD303" s="37"/>
      <c r="AE303" s="37"/>
      <c r="AF303" s="37"/>
      <c r="AG303" s="59"/>
      <c r="AH303" s="49"/>
      <c r="AI303" s="37"/>
      <c r="AJ303" s="37"/>
      <c r="AK303" s="37"/>
      <c r="AL303" s="37"/>
      <c r="AM303" s="37"/>
      <c r="AN303" s="37"/>
      <c r="AO303" s="37"/>
      <c r="AP303" s="37"/>
      <c r="AQ303" s="37"/>
      <c r="AR303" s="37"/>
      <c r="AS303" s="37"/>
      <c r="AT303" s="37"/>
      <c r="AU303" s="37"/>
      <c r="AV303" s="59"/>
      <c r="AW303" s="1" t="str">
        <f>_xlfn.CONCAT(tbl_Ben_Info[[#This Row],[First Name]]," ",tbl_Ben_Info[[#This Row],[Father Name]]," ",tbl_Ben_Info[[#This Row],[Family Name]])</f>
        <v xml:space="preserve">  </v>
      </c>
    </row>
    <row r="304" spans="2:49" ht="25.15" customHeight="1" x14ac:dyDescent="0.25">
      <c r="B304" s="49">
        <v>299</v>
      </c>
      <c r="C304" s="1" t="str">
        <f>_xlfn.CONCAT("181-702-",IF(tbl_Ben_Info[[#This Row],[SN]]&lt;10,"00"&amp;tbl_Ben_Info[[#This Row],[SN]],IF(tbl_Ben_Info[[#This Row],[SN]]&lt;100,"0"&amp;tbl_Ben_Info[[#This Row],[SN]],tbl_Ben_Info[[#This Row],[SN]])))</f>
        <v>181-702-299</v>
      </c>
      <c r="D304" s="37"/>
      <c r="E304" s="40"/>
      <c r="F304" s="41"/>
      <c r="G304" s="42"/>
      <c r="H304" s="43"/>
      <c r="I304" s="73"/>
      <c r="J304" s="43"/>
      <c r="K304" s="43"/>
      <c r="L304" s="43"/>
      <c r="M304" s="43"/>
      <c r="N304" s="111"/>
      <c r="O304" s="43"/>
      <c r="P304" s="48"/>
      <c r="Q304" s="49"/>
      <c r="R304" s="37"/>
      <c r="S304" s="37"/>
      <c r="T304" s="37"/>
      <c r="U304" s="37"/>
      <c r="V304" s="59"/>
      <c r="W304" s="49"/>
      <c r="X304" s="37"/>
      <c r="Y304" s="37"/>
      <c r="Z304" s="37"/>
      <c r="AA304" s="37"/>
      <c r="AB304" s="37"/>
      <c r="AC304" s="37"/>
      <c r="AD304" s="37"/>
      <c r="AE304" s="37"/>
      <c r="AF304" s="37"/>
      <c r="AG304" s="59"/>
      <c r="AH304" s="49"/>
      <c r="AI304" s="37"/>
      <c r="AJ304" s="37"/>
      <c r="AK304" s="37"/>
      <c r="AL304" s="37"/>
      <c r="AM304" s="37"/>
      <c r="AN304" s="37"/>
      <c r="AO304" s="37"/>
      <c r="AP304" s="37"/>
      <c r="AQ304" s="37"/>
      <c r="AR304" s="37"/>
      <c r="AS304" s="37"/>
      <c r="AT304" s="37"/>
      <c r="AU304" s="37"/>
      <c r="AV304" s="59"/>
      <c r="AW304" s="1" t="str">
        <f>_xlfn.CONCAT(tbl_Ben_Info[[#This Row],[First Name]]," ",tbl_Ben_Info[[#This Row],[Father Name]]," ",tbl_Ben_Info[[#This Row],[Family Name]])</f>
        <v xml:space="preserve">  </v>
      </c>
    </row>
    <row r="305" spans="2:49" ht="25.15" customHeight="1" x14ac:dyDescent="0.25">
      <c r="B305" s="49">
        <v>300</v>
      </c>
      <c r="C305" s="1" t="str">
        <f>_xlfn.CONCAT("181-702-",IF(tbl_Ben_Info[[#This Row],[SN]]&lt;10,"00"&amp;tbl_Ben_Info[[#This Row],[SN]],IF(tbl_Ben_Info[[#This Row],[SN]]&lt;100,"0"&amp;tbl_Ben_Info[[#This Row],[SN]],tbl_Ben_Info[[#This Row],[SN]])))</f>
        <v>181-702-300</v>
      </c>
      <c r="D305" s="37"/>
      <c r="E305" s="40"/>
      <c r="F305" s="41"/>
      <c r="G305" s="42"/>
      <c r="H305" s="43"/>
      <c r="I305" s="73"/>
      <c r="J305" s="43"/>
      <c r="K305" s="43"/>
      <c r="L305" s="43"/>
      <c r="M305" s="43"/>
      <c r="N305" s="111"/>
      <c r="O305" s="43"/>
      <c r="P305" s="48"/>
      <c r="Q305" s="49"/>
      <c r="R305" s="37"/>
      <c r="S305" s="37"/>
      <c r="T305" s="37"/>
      <c r="U305" s="37"/>
      <c r="V305" s="59"/>
      <c r="W305" s="49"/>
      <c r="X305" s="37"/>
      <c r="Y305" s="37"/>
      <c r="Z305" s="37"/>
      <c r="AA305" s="37"/>
      <c r="AB305" s="37"/>
      <c r="AC305" s="37"/>
      <c r="AD305" s="37"/>
      <c r="AE305" s="37"/>
      <c r="AF305" s="37"/>
      <c r="AG305" s="59"/>
      <c r="AH305" s="49"/>
      <c r="AI305" s="37"/>
      <c r="AJ305" s="37"/>
      <c r="AK305" s="37"/>
      <c r="AL305" s="37"/>
      <c r="AM305" s="37"/>
      <c r="AN305" s="37"/>
      <c r="AO305" s="37"/>
      <c r="AP305" s="37"/>
      <c r="AQ305" s="37"/>
      <c r="AR305" s="37"/>
      <c r="AS305" s="37"/>
      <c r="AT305" s="37"/>
      <c r="AU305" s="37"/>
      <c r="AV305" s="59"/>
      <c r="AW305" s="1" t="str">
        <f>_xlfn.CONCAT(tbl_Ben_Info[[#This Row],[First Name]]," ",tbl_Ben_Info[[#This Row],[Father Name]]," ",tbl_Ben_Info[[#This Row],[Family Name]])</f>
        <v xml:space="preserve">  </v>
      </c>
    </row>
    <row r="306" spans="2:49" ht="25.15" customHeight="1" x14ac:dyDescent="0.25">
      <c r="B306" s="49">
        <v>301</v>
      </c>
      <c r="C306" s="1" t="str">
        <f>_xlfn.CONCAT("181-702-",IF(tbl_Ben_Info[[#This Row],[SN]]&lt;10,"00"&amp;tbl_Ben_Info[[#This Row],[SN]],IF(tbl_Ben_Info[[#This Row],[SN]]&lt;100,"0"&amp;tbl_Ben_Info[[#This Row],[SN]],tbl_Ben_Info[[#This Row],[SN]])))</f>
        <v>181-702-301</v>
      </c>
      <c r="D306" s="37"/>
      <c r="E306" s="40"/>
      <c r="F306" s="41"/>
      <c r="G306" s="42"/>
      <c r="H306" s="43"/>
      <c r="I306" s="73"/>
      <c r="J306" s="43"/>
      <c r="K306" s="43"/>
      <c r="L306" s="43"/>
      <c r="M306" s="43"/>
      <c r="N306" s="111"/>
      <c r="O306" s="43"/>
      <c r="P306" s="48"/>
      <c r="Q306" s="49"/>
      <c r="R306" s="37"/>
      <c r="S306" s="37"/>
      <c r="T306" s="37"/>
      <c r="U306" s="37"/>
      <c r="V306" s="59"/>
      <c r="W306" s="49"/>
      <c r="X306" s="37"/>
      <c r="Y306" s="37"/>
      <c r="Z306" s="37"/>
      <c r="AA306" s="37"/>
      <c r="AB306" s="37"/>
      <c r="AC306" s="37"/>
      <c r="AD306" s="37"/>
      <c r="AE306" s="37"/>
      <c r="AF306" s="37"/>
      <c r="AG306" s="59"/>
      <c r="AH306" s="49"/>
      <c r="AI306" s="37"/>
      <c r="AJ306" s="37"/>
      <c r="AK306" s="37"/>
      <c r="AL306" s="37"/>
      <c r="AM306" s="37"/>
      <c r="AN306" s="37"/>
      <c r="AO306" s="37"/>
      <c r="AP306" s="37"/>
      <c r="AQ306" s="37"/>
      <c r="AR306" s="37"/>
      <c r="AS306" s="37"/>
      <c r="AT306" s="37"/>
      <c r="AU306" s="37"/>
      <c r="AV306" s="59"/>
      <c r="AW306" s="1" t="str">
        <f>_xlfn.CONCAT(tbl_Ben_Info[[#This Row],[First Name]]," ",tbl_Ben_Info[[#This Row],[Father Name]]," ",tbl_Ben_Info[[#This Row],[Family Name]])</f>
        <v xml:space="preserve">  </v>
      </c>
    </row>
    <row r="307" spans="2:49" ht="25.15" customHeight="1" x14ac:dyDescent="0.25">
      <c r="B307" s="49">
        <v>302</v>
      </c>
      <c r="C307" s="1" t="str">
        <f>_xlfn.CONCAT("181-702-",IF(tbl_Ben_Info[[#This Row],[SN]]&lt;10,"00"&amp;tbl_Ben_Info[[#This Row],[SN]],IF(tbl_Ben_Info[[#This Row],[SN]]&lt;100,"0"&amp;tbl_Ben_Info[[#This Row],[SN]],tbl_Ben_Info[[#This Row],[SN]])))</f>
        <v>181-702-302</v>
      </c>
      <c r="D307" s="37"/>
      <c r="E307" s="40"/>
      <c r="F307" s="41"/>
      <c r="G307" s="42"/>
      <c r="H307" s="43"/>
      <c r="I307" s="73"/>
      <c r="J307" s="43"/>
      <c r="K307" s="43"/>
      <c r="L307" s="43"/>
      <c r="M307" s="43"/>
      <c r="N307" s="111"/>
      <c r="O307" s="43"/>
      <c r="P307" s="48"/>
      <c r="Q307" s="49"/>
      <c r="R307" s="37"/>
      <c r="S307" s="37"/>
      <c r="T307" s="37"/>
      <c r="U307" s="37"/>
      <c r="V307" s="59"/>
      <c r="W307" s="49"/>
      <c r="X307" s="37"/>
      <c r="Y307" s="37"/>
      <c r="Z307" s="37"/>
      <c r="AA307" s="37"/>
      <c r="AB307" s="37"/>
      <c r="AC307" s="37"/>
      <c r="AD307" s="37"/>
      <c r="AE307" s="37"/>
      <c r="AF307" s="37"/>
      <c r="AG307" s="59"/>
      <c r="AH307" s="49"/>
      <c r="AI307" s="37"/>
      <c r="AJ307" s="37"/>
      <c r="AK307" s="37"/>
      <c r="AL307" s="37"/>
      <c r="AM307" s="37"/>
      <c r="AN307" s="37"/>
      <c r="AO307" s="37"/>
      <c r="AP307" s="37"/>
      <c r="AQ307" s="37"/>
      <c r="AR307" s="37"/>
      <c r="AS307" s="37"/>
      <c r="AT307" s="37"/>
      <c r="AU307" s="37"/>
      <c r="AV307" s="59"/>
      <c r="AW307" s="1" t="str">
        <f>_xlfn.CONCAT(tbl_Ben_Info[[#This Row],[First Name]]," ",tbl_Ben_Info[[#This Row],[Father Name]]," ",tbl_Ben_Info[[#This Row],[Family Name]])</f>
        <v xml:space="preserve">  </v>
      </c>
    </row>
    <row r="308" spans="2:49" ht="25.15" customHeight="1" x14ac:dyDescent="0.25">
      <c r="B308" s="49">
        <v>303</v>
      </c>
      <c r="C308" s="1" t="str">
        <f>_xlfn.CONCAT("181-702-",IF(tbl_Ben_Info[[#This Row],[SN]]&lt;10,"00"&amp;tbl_Ben_Info[[#This Row],[SN]],IF(tbl_Ben_Info[[#This Row],[SN]]&lt;100,"0"&amp;tbl_Ben_Info[[#This Row],[SN]],tbl_Ben_Info[[#This Row],[SN]])))</f>
        <v>181-702-303</v>
      </c>
      <c r="D308" s="37"/>
      <c r="E308" s="40"/>
      <c r="F308" s="41"/>
      <c r="G308" s="42"/>
      <c r="H308" s="43"/>
      <c r="I308" s="73"/>
      <c r="J308" s="43"/>
      <c r="K308" s="43"/>
      <c r="L308" s="43"/>
      <c r="M308" s="43"/>
      <c r="N308" s="111"/>
      <c r="O308" s="43"/>
      <c r="P308" s="48"/>
      <c r="Q308" s="49"/>
      <c r="R308" s="37"/>
      <c r="S308" s="37"/>
      <c r="T308" s="37"/>
      <c r="U308" s="37"/>
      <c r="V308" s="59"/>
      <c r="W308" s="49"/>
      <c r="X308" s="37"/>
      <c r="Y308" s="37"/>
      <c r="Z308" s="37"/>
      <c r="AA308" s="37"/>
      <c r="AB308" s="37"/>
      <c r="AC308" s="37"/>
      <c r="AD308" s="37"/>
      <c r="AE308" s="37"/>
      <c r="AF308" s="37"/>
      <c r="AG308" s="59"/>
      <c r="AH308" s="49"/>
      <c r="AI308" s="37"/>
      <c r="AJ308" s="37"/>
      <c r="AK308" s="37"/>
      <c r="AL308" s="37"/>
      <c r="AM308" s="37"/>
      <c r="AN308" s="37"/>
      <c r="AO308" s="37"/>
      <c r="AP308" s="37"/>
      <c r="AQ308" s="37"/>
      <c r="AR308" s="37"/>
      <c r="AS308" s="37"/>
      <c r="AT308" s="37"/>
      <c r="AU308" s="37"/>
      <c r="AV308" s="59"/>
      <c r="AW308" s="1" t="str">
        <f>_xlfn.CONCAT(tbl_Ben_Info[[#This Row],[First Name]]," ",tbl_Ben_Info[[#This Row],[Father Name]]," ",tbl_Ben_Info[[#This Row],[Family Name]])</f>
        <v xml:space="preserve">  </v>
      </c>
    </row>
    <row r="309" spans="2:49" ht="25.15" customHeight="1" x14ac:dyDescent="0.25">
      <c r="B309" s="49">
        <v>304</v>
      </c>
      <c r="C309" s="1" t="str">
        <f>_xlfn.CONCAT("181-702-",IF(tbl_Ben_Info[[#This Row],[SN]]&lt;10,"00"&amp;tbl_Ben_Info[[#This Row],[SN]],IF(tbl_Ben_Info[[#This Row],[SN]]&lt;100,"0"&amp;tbl_Ben_Info[[#This Row],[SN]],tbl_Ben_Info[[#This Row],[SN]])))</f>
        <v>181-702-304</v>
      </c>
      <c r="D309" s="37"/>
      <c r="E309" s="40"/>
      <c r="F309" s="41"/>
      <c r="G309" s="42"/>
      <c r="H309" s="43"/>
      <c r="I309" s="73"/>
      <c r="J309" s="43"/>
      <c r="K309" s="43"/>
      <c r="L309" s="43"/>
      <c r="M309" s="43"/>
      <c r="N309" s="111"/>
      <c r="O309" s="43"/>
      <c r="P309" s="48"/>
      <c r="Q309" s="49"/>
      <c r="R309" s="37"/>
      <c r="S309" s="37"/>
      <c r="T309" s="37"/>
      <c r="U309" s="37"/>
      <c r="V309" s="59"/>
      <c r="W309" s="49"/>
      <c r="X309" s="37"/>
      <c r="Y309" s="37"/>
      <c r="Z309" s="37"/>
      <c r="AA309" s="37"/>
      <c r="AB309" s="37"/>
      <c r="AC309" s="37"/>
      <c r="AD309" s="37"/>
      <c r="AE309" s="37"/>
      <c r="AF309" s="37"/>
      <c r="AG309" s="59"/>
      <c r="AH309" s="49"/>
      <c r="AI309" s="37"/>
      <c r="AJ309" s="37"/>
      <c r="AK309" s="37"/>
      <c r="AL309" s="37"/>
      <c r="AM309" s="37"/>
      <c r="AN309" s="37"/>
      <c r="AO309" s="37"/>
      <c r="AP309" s="37"/>
      <c r="AQ309" s="37"/>
      <c r="AR309" s="37"/>
      <c r="AS309" s="37"/>
      <c r="AT309" s="37"/>
      <c r="AU309" s="37"/>
      <c r="AV309" s="59"/>
      <c r="AW309" s="1" t="str">
        <f>_xlfn.CONCAT(tbl_Ben_Info[[#This Row],[First Name]]," ",tbl_Ben_Info[[#This Row],[Father Name]]," ",tbl_Ben_Info[[#This Row],[Family Name]])</f>
        <v xml:space="preserve">  </v>
      </c>
    </row>
    <row r="310" spans="2:49" ht="25.15" customHeight="1" x14ac:dyDescent="0.25">
      <c r="B310" s="49">
        <v>305</v>
      </c>
      <c r="C310" s="1" t="str">
        <f>_xlfn.CONCAT("181-702-",IF(tbl_Ben_Info[[#This Row],[SN]]&lt;10,"00"&amp;tbl_Ben_Info[[#This Row],[SN]],IF(tbl_Ben_Info[[#This Row],[SN]]&lt;100,"0"&amp;tbl_Ben_Info[[#This Row],[SN]],tbl_Ben_Info[[#This Row],[SN]])))</f>
        <v>181-702-305</v>
      </c>
      <c r="D310" s="37"/>
      <c r="E310" s="40"/>
      <c r="F310" s="41"/>
      <c r="G310" s="42"/>
      <c r="H310" s="43"/>
      <c r="I310" s="73"/>
      <c r="J310" s="43"/>
      <c r="K310" s="43"/>
      <c r="L310" s="43"/>
      <c r="M310" s="43"/>
      <c r="N310" s="111"/>
      <c r="O310" s="43"/>
      <c r="P310" s="48"/>
      <c r="Q310" s="49"/>
      <c r="R310" s="37"/>
      <c r="S310" s="37"/>
      <c r="T310" s="37"/>
      <c r="U310" s="37"/>
      <c r="V310" s="59"/>
      <c r="W310" s="49"/>
      <c r="X310" s="37"/>
      <c r="Y310" s="37"/>
      <c r="Z310" s="37"/>
      <c r="AA310" s="37"/>
      <c r="AB310" s="37"/>
      <c r="AC310" s="37"/>
      <c r="AD310" s="37"/>
      <c r="AE310" s="37"/>
      <c r="AF310" s="37"/>
      <c r="AG310" s="59"/>
      <c r="AH310" s="49"/>
      <c r="AI310" s="37"/>
      <c r="AJ310" s="37"/>
      <c r="AK310" s="37"/>
      <c r="AL310" s="37"/>
      <c r="AM310" s="37"/>
      <c r="AN310" s="37"/>
      <c r="AO310" s="37"/>
      <c r="AP310" s="37"/>
      <c r="AQ310" s="37"/>
      <c r="AR310" s="37"/>
      <c r="AS310" s="37"/>
      <c r="AT310" s="37"/>
      <c r="AU310" s="37"/>
      <c r="AV310" s="59"/>
      <c r="AW310" s="1" t="str">
        <f>_xlfn.CONCAT(tbl_Ben_Info[[#This Row],[First Name]]," ",tbl_Ben_Info[[#This Row],[Father Name]]," ",tbl_Ben_Info[[#This Row],[Family Name]])</f>
        <v xml:space="preserve">  </v>
      </c>
    </row>
    <row r="311" spans="2:49" ht="25.15" customHeight="1" x14ac:dyDescent="0.25">
      <c r="B311" s="49">
        <v>306</v>
      </c>
      <c r="C311" s="1" t="str">
        <f>_xlfn.CONCAT("181-702-",IF(tbl_Ben_Info[[#This Row],[SN]]&lt;10,"00"&amp;tbl_Ben_Info[[#This Row],[SN]],IF(tbl_Ben_Info[[#This Row],[SN]]&lt;100,"0"&amp;tbl_Ben_Info[[#This Row],[SN]],tbl_Ben_Info[[#This Row],[SN]])))</f>
        <v>181-702-306</v>
      </c>
      <c r="D311" s="37"/>
      <c r="E311" s="40"/>
      <c r="F311" s="41"/>
      <c r="G311" s="42"/>
      <c r="H311" s="43"/>
      <c r="I311" s="73"/>
      <c r="J311" s="43"/>
      <c r="K311" s="43"/>
      <c r="L311" s="43"/>
      <c r="M311" s="43"/>
      <c r="N311" s="111"/>
      <c r="O311" s="43"/>
      <c r="P311" s="48"/>
      <c r="Q311" s="49"/>
      <c r="R311" s="37"/>
      <c r="S311" s="37"/>
      <c r="T311" s="37"/>
      <c r="U311" s="37"/>
      <c r="V311" s="59"/>
      <c r="W311" s="49"/>
      <c r="X311" s="37"/>
      <c r="Y311" s="37"/>
      <c r="Z311" s="37"/>
      <c r="AA311" s="37"/>
      <c r="AB311" s="37"/>
      <c r="AC311" s="37"/>
      <c r="AD311" s="37"/>
      <c r="AE311" s="37"/>
      <c r="AF311" s="37"/>
      <c r="AG311" s="59"/>
      <c r="AH311" s="49"/>
      <c r="AI311" s="37"/>
      <c r="AJ311" s="37"/>
      <c r="AK311" s="37"/>
      <c r="AL311" s="37"/>
      <c r="AM311" s="37"/>
      <c r="AN311" s="37"/>
      <c r="AO311" s="37"/>
      <c r="AP311" s="37"/>
      <c r="AQ311" s="37"/>
      <c r="AR311" s="37"/>
      <c r="AS311" s="37"/>
      <c r="AT311" s="37"/>
      <c r="AU311" s="37"/>
      <c r="AV311" s="59"/>
      <c r="AW311" s="1" t="str">
        <f>_xlfn.CONCAT(tbl_Ben_Info[[#This Row],[First Name]]," ",tbl_Ben_Info[[#This Row],[Father Name]]," ",tbl_Ben_Info[[#This Row],[Family Name]])</f>
        <v xml:space="preserve">  </v>
      </c>
    </row>
    <row r="312" spans="2:49" ht="25.15" customHeight="1" x14ac:dyDescent="0.25">
      <c r="B312" s="49">
        <v>307</v>
      </c>
      <c r="C312" s="1" t="str">
        <f>_xlfn.CONCAT("181-702-",IF(tbl_Ben_Info[[#This Row],[SN]]&lt;10,"00"&amp;tbl_Ben_Info[[#This Row],[SN]],IF(tbl_Ben_Info[[#This Row],[SN]]&lt;100,"0"&amp;tbl_Ben_Info[[#This Row],[SN]],tbl_Ben_Info[[#This Row],[SN]])))</f>
        <v>181-702-307</v>
      </c>
      <c r="D312" s="37"/>
      <c r="E312" s="40"/>
      <c r="F312" s="41"/>
      <c r="G312" s="42"/>
      <c r="H312" s="43"/>
      <c r="I312" s="73"/>
      <c r="J312" s="43"/>
      <c r="K312" s="43"/>
      <c r="L312" s="43"/>
      <c r="M312" s="43"/>
      <c r="N312" s="111"/>
      <c r="O312" s="43"/>
      <c r="P312" s="48"/>
      <c r="Q312" s="49"/>
      <c r="R312" s="37"/>
      <c r="S312" s="37"/>
      <c r="T312" s="37"/>
      <c r="U312" s="37"/>
      <c r="V312" s="59"/>
      <c r="W312" s="49"/>
      <c r="X312" s="37"/>
      <c r="Y312" s="37"/>
      <c r="Z312" s="37"/>
      <c r="AA312" s="37"/>
      <c r="AB312" s="37"/>
      <c r="AC312" s="37"/>
      <c r="AD312" s="37"/>
      <c r="AE312" s="37"/>
      <c r="AF312" s="37"/>
      <c r="AG312" s="59"/>
      <c r="AH312" s="49"/>
      <c r="AI312" s="37"/>
      <c r="AJ312" s="37"/>
      <c r="AK312" s="37"/>
      <c r="AL312" s="37"/>
      <c r="AM312" s="37"/>
      <c r="AN312" s="37"/>
      <c r="AO312" s="37"/>
      <c r="AP312" s="37"/>
      <c r="AQ312" s="37"/>
      <c r="AR312" s="37"/>
      <c r="AS312" s="37"/>
      <c r="AT312" s="37"/>
      <c r="AU312" s="37"/>
      <c r="AV312" s="59"/>
      <c r="AW312" s="1" t="str">
        <f>_xlfn.CONCAT(tbl_Ben_Info[[#This Row],[First Name]]," ",tbl_Ben_Info[[#This Row],[Father Name]]," ",tbl_Ben_Info[[#This Row],[Family Name]])</f>
        <v xml:space="preserve">  </v>
      </c>
    </row>
    <row r="313" spans="2:49" ht="25.15" customHeight="1" x14ac:dyDescent="0.25">
      <c r="B313" s="49">
        <v>308</v>
      </c>
      <c r="C313" s="1" t="str">
        <f>_xlfn.CONCAT("181-702-",IF(tbl_Ben_Info[[#This Row],[SN]]&lt;10,"00"&amp;tbl_Ben_Info[[#This Row],[SN]],IF(tbl_Ben_Info[[#This Row],[SN]]&lt;100,"0"&amp;tbl_Ben_Info[[#This Row],[SN]],tbl_Ben_Info[[#This Row],[SN]])))</f>
        <v>181-702-308</v>
      </c>
      <c r="D313" s="37"/>
      <c r="E313" s="40"/>
      <c r="F313" s="41"/>
      <c r="G313" s="42"/>
      <c r="H313" s="43"/>
      <c r="I313" s="73"/>
      <c r="J313" s="43"/>
      <c r="K313" s="43"/>
      <c r="L313" s="43"/>
      <c r="M313" s="43"/>
      <c r="N313" s="111"/>
      <c r="O313" s="43"/>
      <c r="P313" s="48"/>
      <c r="Q313" s="49"/>
      <c r="R313" s="37"/>
      <c r="S313" s="37"/>
      <c r="T313" s="37"/>
      <c r="U313" s="37"/>
      <c r="V313" s="59"/>
      <c r="W313" s="49"/>
      <c r="X313" s="37"/>
      <c r="Y313" s="37"/>
      <c r="Z313" s="37"/>
      <c r="AA313" s="37"/>
      <c r="AB313" s="37"/>
      <c r="AC313" s="37"/>
      <c r="AD313" s="37"/>
      <c r="AE313" s="37"/>
      <c r="AF313" s="37"/>
      <c r="AG313" s="59"/>
      <c r="AH313" s="49"/>
      <c r="AI313" s="37"/>
      <c r="AJ313" s="37"/>
      <c r="AK313" s="37"/>
      <c r="AL313" s="37"/>
      <c r="AM313" s="37"/>
      <c r="AN313" s="37"/>
      <c r="AO313" s="37"/>
      <c r="AP313" s="37"/>
      <c r="AQ313" s="37"/>
      <c r="AR313" s="37"/>
      <c r="AS313" s="37"/>
      <c r="AT313" s="37"/>
      <c r="AU313" s="37"/>
      <c r="AV313" s="59"/>
      <c r="AW313" s="1" t="str">
        <f>_xlfn.CONCAT(tbl_Ben_Info[[#This Row],[First Name]]," ",tbl_Ben_Info[[#This Row],[Father Name]]," ",tbl_Ben_Info[[#This Row],[Family Name]])</f>
        <v xml:space="preserve">  </v>
      </c>
    </row>
    <row r="314" spans="2:49" ht="25.15" customHeight="1" x14ac:dyDescent="0.25">
      <c r="B314" s="49">
        <v>309</v>
      </c>
      <c r="C314" s="1" t="str">
        <f>_xlfn.CONCAT("181-702-",IF(tbl_Ben_Info[[#This Row],[SN]]&lt;10,"00"&amp;tbl_Ben_Info[[#This Row],[SN]],IF(tbl_Ben_Info[[#This Row],[SN]]&lt;100,"0"&amp;tbl_Ben_Info[[#This Row],[SN]],tbl_Ben_Info[[#This Row],[SN]])))</f>
        <v>181-702-309</v>
      </c>
      <c r="D314" s="37"/>
      <c r="E314" s="40"/>
      <c r="F314" s="41"/>
      <c r="G314" s="42"/>
      <c r="H314" s="43"/>
      <c r="I314" s="73"/>
      <c r="J314" s="43"/>
      <c r="K314" s="43"/>
      <c r="L314" s="43"/>
      <c r="M314" s="43"/>
      <c r="N314" s="111"/>
      <c r="O314" s="43"/>
      <c r="P314" s="48"/>
      <c r="Q314" s="49"/>
      <c r="R314" s="37"/>
      <c r="S314" s="37"/>
      <c r="T314" s="37"/>
      <c r="U314" s="37"/>
      <c r="V314" s="59"/>
      <c r="W314" s="49"/>
      <c r="X314" s="37"/>
      <c r="Y314" s="37"/>
      <c r="Z314" s="37"/>
      <c r="AA314" s="37"/>
      <c r="AB314" s="37"/>
      <c r="AC314" s="37"/>
      <c r="AD314" s="37"/>
      <c r="AE314" s="37"/>
      <c r="AF314" s="37"/>
      <c r="AG314" s="59"/>
      <c r="AH314" s="49"/>
      <c r="AI314" s="37"/>
      <c r="AJ314" s="37"/>
      <c r="AK314" s="37"/>
      <c r="AL314" s="37"/>
      <c r="AM314" s="37"/>
      <c r="AN314" s="37"/>
      <c r="AO314" s="37"/>
      <c r="AP314" s="37"/>
      <c r="AQ314" s="37"/>
      <c r="AR314" s="37"/>
      <c r="AS314" s="37"/>
      <c r="AT314" s="37"/>
      <c r="AU314" s="37"/>
      <c r="AV314" s="59"/>
      <c r="AW314" s="1" t="str">
        <f>_xlfn.CONCAT(tbl_Ben_Info[[#This Row],[First Name]]," ",tbl_Ben_Info[[#This Row],[Father Name]]," ",tbl_Ben_Info[[#This Row],[Family Name]])</f>
        <v xml:space="preserve">  </v>
      </c>
    </row>
    <row r="315" spans="2:49" ht="25.15" customHeight="1" x14ac:dyDescent="0.25">
      <c r="B315" s="49">
        <v>310</v>
      </c>
      <c r="C315" s="1" t="str">
        <f>_xlfn.CONCAT("181-702-",IF(tbl_Ben_Info[[#This Row],[SN]]&lt;10,"00"&amp;tbl_Ben_Info[[#This Row],[SN]],IF(tbl_Ben_Info[[#This Row],[SN]]&lt;100,"0"&amp;tbl_Ben_Info[[#This Row],[SN]],tbl_Ben_Info[[#This Row],[SN]])))</f>
        <v>181-702-310</v>
      </c>
      <c r="D315" s="37"/>
      <c r="E315" s="40"/>
      <c r="F315" s="41"/>
      <c r="G315" s="42"/>
      <c r="H315" s="43"/>
      <c r="I315" s="73"/>
      <c r="J315" s="43"/>
      <c r="K315" s="43"/>
      <c r="L315" s="43"/>
      <c r="M315" s="43"/>
      <c r="N315" s="111"/>
      <c r="O315" s="43"/>
      <c r="P315" s="48"/>
      <c r="Q315" s="49"/>
      <c r="R315" s="37"/>
      <c r="S315" s="37"/>
      <c r="T315" s="37"/>
      <c r="U315" s="37"/>
      <c r="V315" s="59"/>
      <c r="W315" s="49"/>
      <c r="X315" s="37"/>
      <c r="Y315" s="37"/>
      <c r="Z315" s="37"/>
      <c r="AA315" s="37"/>
      <c r="AB315" s="37"/>
      <c r="AC315" s="37"/>
      <c r="AD315" s="37"/>
      <c r="AE315" s="37"/>
      <c r="AF315" s="37"/>
      <c r="AG315" s="59"/>
      <c r="AH315" s="49"/>
      <c r="AI315" s="37"/>
      <c r="AJ315" s="37"/>
      <c r="AK315" s="37"/>
      <c r="AL315" s="37"/>
      <c r="AM315" s="37"/>
      <c r="AN315" s="37"/>
      <c r="AO315" s="37"/>
      <c r="AP315" s="37"/>
      <c r="AQ315" s="37"/>
      <c r="AR315" s="37"/>
      <c r="AS315" s="37"/>
      <c r="AT315" s="37"/>
      <c r="AU315" s="37"/>
      <c r="AV315" s="59"/>
      <c r="AW315" s="1" t="str">
        <f>_xlfn.CONCAT(tbl_Ben_Info[[#This Row],[First Name]]," ",tbl_Ben_Info[[#This Row],[Father Name]]," ",tbl_Ben_Info[[#This Row],[Family Name]])</f>
        <v xml:space="preserve">  </v>
      </c>
    </row>
    <row r="316" spans="2:49" ht="25.15" customHeight="1" x14ac:dyDescent="0.25">
      <c r="B316" s="49">
        <v>311</v>
      </c>
      <c r="C316" s="1" t="str">
        <f>_xlfn.CONCAT("181-702-",IF(tbl_Ben_Info[[#This Row],[SN]]&lt;10,"00"&amp;tbl_Ben_Info[[#This Row],[SN]],IF(tbl_Ben_Info[[#This Row],[SN]]&lt;100,"0"&amp;tbl_Ben_Info[[#This Row],[SN]],tbl_Ben_Info[[#This Row],[SN]])))</f>
        <v>181-702-311</v>
      </c>
      <c r="D316" s="37"/>
      <c r="E316" s="40"/>
      <c r="F316" s="41"/>
      <c r="G316" s="42"/>
      <c r="H316" s="43"/>
      <c r="I316" s="73"/>
      <c r="J316" s="43"/>
      <c r="K316" s="43"/>
      <c r="L316" s="43"/>
      <c r="M316" s="43"/>
      <c r="N316" s="111"/>
      <c r="O316" s="43"/>
      <c r="P316" s="48"/>
      <c r="Q316" s="49"/>
      <c r="R316" s="37"/>
      <c r="S316" s="37"/>
      <c r="T316" s="37"/>
      <c r="U316" s="37"/>
      <c r="V316" s="59"/>
      <c r="W316" s="49"/>
      <c r="X316" s="37"/>
      <c r="Y316" s="37"/>
      <c r="Z316" s="37"/>
      <c r="AA316" s="37"/>
      <c r="AB316" s="37"/>
      <c r="AC316" s="37"/>
      <c r="AD316" s="37"/>
      <c r="AE316" s="37"/>
      <c r="AF316" s="37"/>
      <c r="AG316" s="59"/>
      <c r="AH316" s="49"/>
      <c r="AI316" s="37"/>
      <c r="AJ316" s="37"/>
      <c r="AK316" s="37"/>
      <c r="AL316" s="37"/>
      <c r="AM316" s="37"/>
      <c r="AN316" s="37"/>
      <c r="AO316" s="37"/>
      <c r="AP316" s="37"/>
      <c r="AQ316" s="37"/>
      <c r="AR316" s="37"/>
      <c r="AS316" s="37"/>
      <c r="AT316" s="37"/>
      <c r="AU316" s="37"/>
      <c r="AV316" s="59"/>
      <c r="AW316" s="1" t="str">
        <f>_xlfn.CONCAT(tbl_Ben_Info[[#This Row],[First Name]]," ",tbl_Ben_Info[[#This Row],[Father Name]]," ",tbl_Ben_Info[[#This Row],[Family Name]])</f>
        <v xml:space="preserve">  </v>
      </c>
    </row>
    <row r="317" spans="2:49" ht="25.15" customHeight="1" x14ac:dyDescent="0.25">
      <c r="B317" s="49">
        <v>312</v>
      </c>
      <c r="C317" s="1" t="str">
        <f>_xlfn.CONCAT("181-702-",IF(tbl_Ben_Info[[#This Row],[SN]]&lt;10,"00"&amp;tbl_Ben_Info[[#This Row],[SN]],IF(tbl_Ben_Info[[#This Row],[SN]]&lt;100,"0"&amp;tbl_Ben_Info[[#This Row],[SN]],tbl_Ben_Info[[#This Row],[SN]])))</f>
        <v>181-702-312</v>
      </c>
      <c r="D317" s="37"/>
      <c r="E317" s="40"/>
      <c r="F317" s="41"/>
      <c r="G317" s="42"/>
      <c r="H317" s="43"/>
      <c r="I317" s="73"/>
      <c r="J317" s="43"/>
      <c r="K317" s="43"/>
      <c r="L317" s="43"/>
      <c r="M317" s="43"/>
      <c r="N317" s="111"/>
      <c r="O317" s="43"/>
      <c r="P317" s="48"/>
      <c r="Q317" s="49"/>
      <c r="R317" s="37"/>
      <c r="S317" s="37"/>
      <c r="T317" s="37"/>
      <c r="U317" s="37"/>
      <c r="V317" s="59"/>
      <c r="W317" s="49"/>
      <c r="X317" s="37"/>
      <c r="Y317" s="37"/>
      <c r="Z317" s="37"/>
      <c r="AA317" s="37"/>
      <c r="AB317" s="37"/>
      <c r="AC317" s="37"/>
      <c r="AD317" s="37"/>
      <c r="AE317" s="37"/>
      <c r="AF317" s="37"/>
      <c r="AG317" s="59"/>
      <c r="AH317" s="49"/>
      <c r="AI317" s="37"/>
      <c r="AJ317" s="37"/>
      <c r="AK317" s="37"/>
      <c r="AL317" s="37"/>
      <c r="AM317" s="37"/>
      <c r="AN317" s="37"/>
      <c r="AO317" s="37"/>
      <c r="AP317" s="37"/>
      <c r="AQ317" s="37"/>
      <c r="AR317" s="37"/>
      <c r="AS317" s="37"/>
      <c r="AT317" s="37"/>
      <c r="AU317" s="37"/>
      <c r="AV317" s="59"/>
      <c r="AW317" s="1" t="str">
        <f>_xlfn.CONCAT(tbl_Ben_Info[[#This Row],[First Name]]," ",tbl_Ben_Info[[#This Row],[Father Name]]," ",tbl_Ben_Info[[#This Row],[Family Name]])</f>
        <v xml:space="preserve">  </v>
      </c>
    </row>
    <row r="318" spans="2:49" ht="25.15" customHeight="1" x14ac:dyDescent="0.25">
      <c r="B318" s="49">
        <v>313</v>
      </c>
      <c r="C318" s="1" t="str">
        <f>_xlfn.CONCAT("181-702-",IF(tbl_Ben_Info[[#This Row],[SN]]&lt;10,"00"&amp;tbl_Ben_Info[[#This Row],[SN]],IF(tbl_Ben_Info[[#This Row],[SN]]&lt;100,"0"&amp;tbl_Ben_Info[[#This Row],[SN]],tbl_Ben_Info[[#This Row],[SN]])))</f>
        <v>181-702-313</v>
      </c>
      <c r="D318" s="37"/>
      <c r="E318" s="40"/>
      <c r="F318" s="41"/>
      <c r="G318" s="42"/>
      <c r="H318" s="43"/>
      <c r="I318" s="73"/>
      <c r="J318" s="43"/>
      <c r="K318" s="43"/>
      <c r="L318" s="43"/>
      <c r="M318" s="43"/>
      <c r="N318" s="111"/>
      <c r="O318" s="43"/>
      <c r="P318" s="48"/>
      <c r="Q318" s="49"/>
      <c r="R318" s="37"/>
      <c r="S318" s="37"/>
      <c r="T318" s="37"/>
      <c r="U318" s="37"/>
      <c r="V318" s="59"/>
      <c r="W318" s="49"/>
      <c r="X318" s="37"/>
      <c r="Y318" s="37"/>
      <c r="Z318" s="37"/>
      <c r="AA318" s="37"/>
      <c r="AB318" s="37"/>
      <c r="AC318" s="37"/>
      <c r="AD318" s="37"/>
      <c r="AE318" s="37"/>
      <c r="AF318" s="37"/>
      <c r="AG318" s="59"/>
      <c r="AH318" s="49"/>
      <c r="AI318" s="37"/>
      <c r="AJ318" s="37"/>
      <c r="AK318" s="37"/>
      <c r="AL318" s="37"/>
      <c r="AM318" s="37"/>
      <c r="AN318" s="37"/>
      <c r="AO318" s="37"/>
      <c r="AP318" s="37"/>
      <c r="AQ318" s="37"/>
      <c r="AR318" s="37"/>
      <c r="AS318" s="37"/>
      <c r="AT318" s="37"/>
      <c r="AU318" s="37"/>
      <c r="AV318" s="59"/>
      <c r="AW318" s="1" t="str">
        <f>_xlfn.CONCAT(tbl_Ben_Info[[#This Row],[First Name]]," ",tbl_Ben_Info[[#This Row],[Father Name]]," ",tbl_Ben_Info[[#This Row],[Family Name]])</f>
        <v xml:space="preserve">  </v>
      </c>
    </row>
    <row r="319" spans="2:49" ht="25.15" customHeight="1" x14ac:dyDescent="0.25">
      <c r="B319" s="49">
        <v>314</v>
      </c>
      <c r="C319" s="1" t="str">
        <f>_xlfn.CONCAT("181-702-",IF(tbl_Ben_Info[[#This Row],[SN]]&lt;10,"00"&amp;tbl_Ben_Info[[#This Row],[SN]],IF(tbl_Ben_Info[[#This Row],[SN]]&lt;100,"0"&amp;tbl_Ben_Info[[#This Row],[SN]],tbl_Ben_Info[[#This Row],[SN]])))</f>
        <v>181-702-314</v>
      </c>
      <c r="D319" s="37"/>
      <c r="E319" s="40"/>
      <c r="F319" s="41"/>
      <c r="G319" s="42"/>
      <c r="H319" s="43"/>
      <c r="I319" s="73"/>
      <c r="J319" s="43"/>
      <c r="K319" s="43"/>
      <c r="L319" s="43"/>
      <c r="M319" s="43"/>
      <c r="N319" s="111"/>
      <c r="O319" s="43"/>
      <c r="P319" s="48"/>
      <c r="Q319" s="49"/>
      <c r="R319" s="37"/>
      <c r="S319" s="37"/>
      <c r="T319" s="37"/>
      <c r="U319" s="37"/>
      <c r="V319" s="59"/>
      <c r="W319" s="49"/>
      <c r="X319" s="37"/>
      <c r="Y319" s="37"/>
      <c r="Z319" s="37"/>
      <c r="AA319" s="37"/>
      <c r="AB319" s="37"/>
      <c r="AC319" s="37"/>
      <c r="AD319" s="37"/>
      <c r="AE319" s="37"/>
      <c r="AF319" s="37"/>
      <c r="AG319" s="59"/>
      <c r="AH319" s="49"/>
      <c r="AI319" s="37"/>
      <c r="AJ319" s="37"/>
      <c r="AK319" s="37"/>
      <c r="AL319" s="37"/>
      <c r="AM319" s="37"/>
      <c r="AN319" s="37"/>
      <c r="AO319" s="37"/>
      <c r="AP319" s="37"/>
      <c r="AQ319" s="37"/>
      <c r="AR319" s="37"/>
      <c r="AS319" s="37"/>
      <c r="AT319" s="37"/>
      <c r="AU319" s="37"/>
      <c r="AV319" s="59"/>
      <c r="AW319" s="1" t="str">
        <f>_xlfn.CONCAT(tbl_Ben_Info[[#This Row],[First Name]]," ",tbl_Ben_Info[[#This Row],[Father Name]]," ",tbl_Ben_Info[[#This Row],[Family Name]])</f>
        <v xml:space="preserve">  </v>
      </c>
    </row>
    <row r="320" spans="2:49" ht="25.15" customHeight="1" x14ac:dyDescent="0.25">
      <c r="B320" s="49">
        <v>315</v>
      </c>
      <c r="C320" s="1" t="str">
        <f>_xlfn.CONCAT("181-702-",IF(tbl_Ben_Info[[#This Row],[SN]]&lt;10,"00"&amp;tbl_Ben_Info[[#This Row],[SN]],IF(tbl_Ben_Info[[#This Row],[SN]]&lt;100,"0"&amp;tbl_Ben_Info[[#This Row],[SN]],tbl_Ben_Info[[#This Row],[SN]])))</f>
        <v>181-702-315</v>
      </c>
      <c r="D320" s="37"/>
      <c r="E320" s="40"/>
      <c r="F320" s="41"/>
      <c r="G320" s="42"/>
      <c r="H320" s="43"/>
      <c r="I320" s="73"/>
      <c r="J320" s="43"/>
      <c r="K320" s="43"/>
      <c r="L320" s="43"/>
      <c r="M320" s="43"/>
      <c r="N320" s="111"/>
      <c r="O320" s="43"/>
      <c r="P320" s="48"/>
      <c r="Q320" s="49"/>
      <c r="R320" s="37"/>
      <c r="S320" s="37"/>
      <c r="T320" s="37"/>
      <c r="U320" s="37"/>
      <c r="V320" s="59"/>
      <c r="W320" s="49"/>
      <c r="X320" s="37"/>
      <c r="Y320" s="37"/>
      <c r="Z320" s="37"/>
      <c r="AA320" s="37"/>
      <c r="AB320" s="37"/>
      <c r="AC320" s="37"/>
      <c r="AD320" s="37"/>
      <c r="AE320" s="37"/>
      <c r="AF320" s="37"/>
      <c r="AG320" s="59"/>
      <c r="AH320" s="49"/>
      <c r="AI320" s="37"/>
      <c r="AJ320" s="37"/>
      <c r="AK320" s="37"/>
      <c r="AL320" s="37"/>
      <c r="AM320" s="37"/>
      <c r="AN320" s="37"/>
      <c r="AO320" s="37"/>
      <c r="AP320" s="37"/>
      <c r="AQ320" s="37"/>
      <c r="AR320" s="37"/>
      <c r="AS320" s="37"/>
      <c r="AT320" s="37"/>
      <c r="AU320" s="37"/>
      <c r="AV320" s="59"/>
      <c r="AW320" s="1" t="str">
        <f>_xlfn.CONCAT(tbl_Ben_Info[[#This Row],[First Name]]," ",tbl_Ben_Info[[#This Row],[Father Name]]," ",tbl_Ben_Info[[#This Row],[Family Name]])</f>
        <v xml:space="preserve">  </v>
      </c>
    </row>
    <row r="321" spans="2:49" ht="25.15" customHeight="1" x14ac:dyDescent="0.25">
      <c r="B321" s="49">
        <v>316</v>
      </c>
      <c r="C321" s="1" t="str">
        <f>_xlfn.CONCAT("181-702-",IF(tbl_Ben_Info[[#This Row],[SN]]&lt;10,"00"&amp;tbl_Ben_Info[[#This Row],[SN]],IF(tbl_Ben_Info[[#This Row],[SN]]&lt;100,"0"&amp;tbl_Ben_Info[[#This Row],[SN]],tbl_Ben_Info[[#This Row],[SN]])))</f>
        <v>181-702-316</v>
      </c>
      <c r="D321" s="37"/>
      <c r="E321" s="40"/>
      <c r="F321" s="41"/>
      <c r="G321" s="42"/>
      <c r="H321" s="43"/>
      <c r="I321" s="73"/>
      <c r="J321" s="43"/>
      <c r="K321" s="43"/>
      <c r="L321" s="43"/>
      <c r="M321" s="43"/>
      <c r="N321" s="111"/>
      <c r="O321" s="43"/>
      <c r="P321" s="48"/>
      <c r="Q321" s="49"/>
      <c r="R321" s="37"/>
      <c r="S321" s="37"/>
      <c r="T321" s="37"/>
      <c r="U321" s="37"/>
      <c r="V321" s="59"/>
      <c r="W321" s="49"/>
      <c r="X321" s="37"/>
      <c r="Y321" s="37"/>
      <c r="Z321" s="37"/>
      <c r="AA321" s="37"/>
      <c r="AB321" s="37"/>
      <c r="AC321" s="37"/>
      <c r="AD321" s="37"/>
      <c r="AE321" s="37"/>
      <c r="AF321" s="37"/>
      <c r="AG321" s="59"/>
      <c r="AH321" s="49"/>
      <c r="AI321" s="37"/>
      <c r="AJ321" s="37"/>
      <c r="AK321" s="37"/>
      <c r="AL321" s="37"/>
      <c r="AM321" s="37"/>
      <c r="AN321" s="37"/>
      <c r="AO321" s="37"/>
      <c r="AP321" s="37"/>
      <c r="AQ321" s="37"/>
      <c r="AR321" s="37"/>
      <c r="AS321" s="37"/>
      <c r="AT321" s="37"/>
      <c r="AU321" s="37"/>
      <c r="AV321" s="59"/>
      <c r="AW321" s="1" t="str">
        <f>_xlfn.CONCAT(tbl_Ben_Info[[#This Row],[First Name]]," ",tbl_Ben_Info[[#This Row],[Father Name]]," ",tbl_Ben_Info[[#This Row],[Family Name]])</f>
        <v xml:space="preserve">  </v>
      </c>
    </row>
    <row r="322" spans="2:49" ht="25.15" customHeight="1" x14ac:dyDescent="0.25">
      <c r="B322" s="49">
        <v>317</v>
      </c>
      <c r="C322" s="1" t="str">
        <f>_xlfn.CONCAT("181-702-",IF(tbl_Ben_Info[[#This Row],[SN]]&lt;10,"00"&amp;tbl_Ben_Info[[#This Row],[SN]],IF(tbl_Ben_Info[[#This Row],[SN]]&lt;100,"0"&amp;tbl_Ben_Info[[#This Row],[SN]],tbl_Ben_Info[[#This Row],[SN]])))</f>
        <v>181-702-317</v>
      </c>
      <c r="D322" s="37"/>
      <c r="E322" s="40"/>
      <c r="F322" s="41"/>
      <c r="G322" s="42"/>
      <c r="H322" s="43"/>
      <c r="I322" s="73"/>
      <c r="J322" s="43"/>
      <c r="K322" s="43"/>
      <c r="L322" s="43"/>
      <c r="M322" s="43"/>
      <c r="N322" s="111"/>
      <c r="O322" s="43"/>
      <c r="P322" s="48"/>
      <c r="Q322" s="49"/>
      <c r="R322" s="37"/>
      <c r="S322" s="37"/>
      <c r="T322" s="37"/>
      <c r="U322" s="37"/>
      <c r="V322" s="59"/>
      <c r="W322" s="49"/>
      <c r="X322" s="37"/>
      <c r="Y322" s="37"/>
      <c r="Z322" s="37"/>
      <c r="AA322" s="37"/>
      <c r="AB322" s="37"/>
      <c r="AC322" s="37"/>
      <c r="AD322" s="37"/>
      <c r="AE322" s="37"/>
      <c r="AF322" s="37"/>
      <c r="AG322" s="59"/>
      <c r="AH322" s="49"/>
      <c r="AI322" s="37"/>
      <c r="AJ322" s="37"/>
      <c r="AK322" s="37"/>
      <c r="AL322" s="37"/>
      <c r="AM322" s="37"/>
      <c r="AN322" s="37"/>
      <c r="AO322" s="37"/>
      <c r="AP322" s="37"/>
      <c r="AQ322" s="37"/>
      <c r="AR322" s="37"/>
      <c r="AS322" s="37"/>
      <c r="AT322" s="37"/>
      <c r="AU322" s="37"/>
      <c r="AV322" s="59"/>
      <c r="AW322" s="1" t="str">
        <f>_xlfn.CONCAT(tbl_Ben_Info[[#This Row],[First Name]]," ",tbl_Ben_Info[[#This Row],[Father Name]]," ",tbl_Ben_Info[[#This Row],[Family Name]])</f>
        <v xml:space="preserve">  </v>
      </c>
    </row>
    <row r="323" spans="2:49" ht="25.15" customHeight="1" x14ac:dyDescent="0.25">
      <c r="B323" s="49">
        <v>318</v>
      </c>
      <c r="C323" s="1" t="str">
        <f>_xlfn.CONCAT("181-702-",IF(tbl_Ben_Info[[#This Row],[SN]]&lt;10,"00"&amp;tbl_Ben_Info[[#This Row],[SN]],IF(tbl_Ben_Info[[#This Row],[SN]]&lt;100,"0"&amp;tbl_Ben_Info[[#This Row],[SN]],tbl_Ben_Info[[#This Row],[SN]])))</f>
        <v>181-702-318</v>
      </c>
      <c r="D323" s="37"/>
      <c r="E323" s="40"/>
      <c r="F323" s="41"/>
      <c r="G323" s="42"/>
      <c r="H323" s="43"/>
      <c r="I323" s="73"/>
      <c r="J323" s="43"/>
      <c r="K323" s="43"/>
      <c r="L323" s="43"/>
      <c r="M323" s="43"/>
      <c r="N323" s="111"/>
      <c r="O323" s="43"/>
      <c r="P323" s="48"/>
      <c r="Q323" s="49"/>
      <c r="R323" s="37"/>
      <c r="S323" s="37"/>
      <c r="T323" s="37"/>
      <c r="U323" s="37"/>
      <c r="V323" s="59"/>
      <c r="W323" s="49"/>
      <c r="X323" s="37"/>
      <c r="Y323" s="37"/>
      <c r="Z323" s="37"/>
      <c r="AA323" s="37"/>
      <c r="AB323" s="37"/>
      <c r="AC323" s="37"/>
      <c r="AD323" s="37"/>
      <c r="AE323" s="37"/>
      <c r="AF323" s="37"/>
      <c r="AG323" s="59"/>
      <c r="AH323" s="49"/>
      <c r="AI323" s="37"/>
      <c r="AJ323" s="37"/>
      <c r="AK323" s="37"/>
      <c r="AL323" s="37"/>
      <c r="AM323" s="37"/>
      <c r="AN323" s="37"/>
      <c r="AO323" s="37"/>
      <c r="AP323" s="37"/>
      <c r="AQ323" s="37"/>
      <c r="AR323" s="37"/>
      <c r="AS323" s="37"/>
      <c r="AT323" s="37"/>
      <c r="AU323" s="37"/>
      <c r="AV323" s="59"/>
      <c r="AW323" s="1" t="str">
        <f>_xlfn.CONCAT(tbl_Ben_Info[[#This Row],[First Name]]," ",tbl_Ben_Info[[#This Row],[Father Name]]," ",tbl_Ben_Info[[#This Row],[Family Name]])</f>
        <v xml:space="preserve">  </v>
      </c>
    </row>
    <row r="324" spans="2:49" ht="25.15" customHeight="1" x14ac:dyDescent="0.25">
      <c r="B324" s="49">
        <v>319</v>
      </c>
      <c r="C324" s="1" t="str">
        <f>_xlfn.CONCAT("181-702-",IF(tbl_Ben_Info[[#This Row],[SN]]&lt;10,"00"&amp;tbl_Ben_Info[[#This Row],[SN]],IF(tbl_Ben_Info[[#This Row],[SN]]&lt;100,"0"&amp;tbl_Ben_Info[[#This Row],[SN]],tbl_Ben_Info[[#This Row],[SN]])))</f>
        <v>181-702-319</v>
      </c>
      <c r="D324" s="37"/>
      <c r="E324" s="40"/>
      <c r="F324" s="41"/>
      <c r="G324" s="42"/>
      <c r="H324" s="43"/>
      <c r="I324" s="73"/>
      <c r="J324" s="43"/>
      <c r="K324" s="43"/>
      <c r="L324" s="43"/>
      <c r="M324" s="43"/>
      <c r="N324" s="111"/>
      <c r="O324" s="43"/>
      <c r="P324" s="48"/>
      <c r="Q324" s="49"/>
      <c r="R324" s="37"/>
      <c r="S324" s="37"/>
      <c r="T324" s="37"/>
      <c r="U324" s="37"/>
      <c r="V324" s="59"/>
      <c r="W324" s="49"/>
      <c r="X324" s="37"/>
      <c r="Y324" s="37"/>
      <c r="Z324" s="37"/>
      <c r="AA324" s="37"/>
      <c r="AB324" s="37"/>
      <c r="AC324" s="37"/>
      <c r="AD324" s="37"/>
      <c r="AE324" s="37"/>
      <c r="AF324" s="37"/>
      <c r="AG324" s="59"/>
      <c r="AH324" s="49"/>
      <c r="AI324" s="37"/>
      <c r="AJ324" s="37"/>
      <c r="AK324" s="37"/>
      <c r="AL324" s="37"/>
      <c r="AM324" s="37"/>
      <c r="AN324" s="37"/>
      <c r="AO324" s="37"/>
      <c r="AP324" s="37"/>
      <c r="AQ324" s="37"/>
      <c r="AR324" s="37"/>
      <c r="AS324" s="37"/>
      <c r="AT324" s="37"/>
      <c r="AU324" s="37"/>
      <c r="AV324" s="59"/>
      <c r="AW324" s="1" t="str">
        <f>_xlfn.CONCAT(tbl_Ben_Info[[#This Row],[First Name]]," ",tbl_Ben_Info[[#This Row],[Father Name]]," ",tbl_Ben_Info[[#This Row],[Family Name]])</f>
        <v xml:space="preserve">  </v>
      </c>
    </row>
    <row r="325" spans="2:49" ht="25.15" customHeight="1" x14ac:dyDescent="0.25">
      <c r="B325" s="49">
        <v>320</v>
      </c>
      <c r="C325" s="1" t="str">
        <f>_xlfn.CONCAT("181-702-",IF(tbl_Ben_Info[[#This Row],[SN]]&lt;10,"00"&amp;tbl_Ben_Info[[#This Row],[SN]],IF(tbl_Ben_Info[[#This Row],[SN]]&lt;100,"0"&amp;tbl_Ben_Info[[#This Row],[SN]],tbl_Ben_Info[[#This Row],[SN]])))</f>
        <v>181-702-320</v>
      </c>
      <c r="D325" s="37"/>
      <c r="E325" s="40"/>
      <c r="F325" s="41"/>
      <c r="G325" s="42"/>
      <c r="H325" s="43"/>
      <c r="I325" s="73"/>
      <c r="J325" s="43"/>
      <c r="K325" s="43"/>
      <c r="L325" s="43"/>
      <c r="M325" s="43"/>
      <c r="N325" s="111"/>
      <c r="O325" s="43"/>
      <c r="P325" s="48"/>
      <c r="Q325" s="49"/>
      <c r="R325" s="37"/>
      <c r="S325" s="37"/>
      <c r="T325" s="37"/>
      <c r="U325" s="37"/>
      <c r="V325" s="59"/>
      <c r="W325" s="49"/>
      <c r="X325" s="37"/>
      <c r="Y325" s="37"/>
      <c r="Z325" s="37"/>
      <c r="AA325" s="37"/>
      <c r="AB325" s="37"/>
      <c r="AC325" s="37"/>
      <c r="AD325" s="37"/>
      <c r="AE325" s="37"/>
      <c r="AF325" s="37"/>
      <c r="AG325" s="59"/>
      <c r="AH325" s="49"/>
      <c r="AI325" s="37"/>
      <c r="AJ325" s="37"/>
      <c r="AK325" s="37"/>
      <c r="AL325" s="37"/>
      <c r="AM325" s="37"/>
      <c r="AN325" s="37"/>
      <c r="AO325" s="37"/>
      <c r="AP325" s="37"/>
      <c r="AQ325" s="37"/>
      <c r="AR325" s="37"/>
      <c r="AS325" s="37"/>
      <c r="AT325" s="37"/>
      <c r="AU325" s="37"/>
      <c r="AV325" s="59"/>
      <c r="AW325" s="1" t="str">
        <f>_xlfn.CONCAT(tbl_Ben_Info[[#This Row],[First Name]]," ",tbl_Ben_Info[[#This Row],[Father Name]]," ",tbl_Ben_Info[[#This Row],[Family Name]])</f>
        <v xml:space="preserve">  </v>
      </c>
    </row>
    <row r="326" spans="2:49" ht="25.15" customHeight="1" x14ac:dyDescent="0.25">
      <c r="B326" s="49">
        <v>321</v>
      </c>
      <c r="C326" s="1" t="str">
        <f>_xlfn.CONCAT("181-702-",IF(tbl_Ben_Info[[#This Row],[SN]]&lt;10,"00"&amp;tbl_Ben_Info[[#This Row],[SN]],IF(tbl_Ben_Info[[#This Row],[SN]]&lt;100,"0"&amp;tbl_Ben_Info[[#This Row],[SN]],tbl_Ben_Info[[#This Row],[SN]])))</f>
        <v>181-702-321</v>
      </c>
      <c r="D326" s="37"/>
      <c r="E326" s="40"/>
      <c r="F326" s="41"/>
      <c r="G326" s="42"/>
      <c r="H326" s="43"/>
      <c r="I326" s="73"/>
      <c r="J326" s="43"/>
      <c r="K326" s="43"/>
      <c r="L326" s="43"/>
      <c r="M326" s="43"/>
      <c r="N326" s="111"/>
      <c r="O326" s="43"/>
      <c r="P326" s="48"/>
      <c r="Q326" s="49"/>
      <c r="R326" s="37"/>
      <c r="S326" s="37"/>
      <c r="T326" s="37"/>
      <c r="U326" s="37"/>
      <c r="V326" s="59"/>
      <c r="W326" s="49"/>
      <c r="X326" s="37"/>
      <c r="Y326" s="37"/>
      <c r="Z326" s="37"/>
      <c r="AA326" s="37"/>
      <c r="AB326" s="37"/>
      <c r="AC326" s="37"/>
      <c r="AD326" s="37"/>
      <c r="AE326" s="37"/>
      <c r="AF326" s="37"/>
      <c r="AG326" s="59"/>
      <c r="AH326" s="49"/>
      <c r="AI326" s="37"/>
      <c r="AJ326" s="37"/>
      <c r="AK326" s="37"/>
      <c r="AL326" s="37"/>
      <c r="AM326" s="37"/>
      <c r="AN326" s="37"/>
      <c r="AO326" s="37"/>
      <c r="AP326" s="37"/>
      <c r="AQ326" s="37"/>
      <c r="AR326" s="37"/>
      <c r="AS326" s="37"/>
      <c r="AT326" s="37"/>
      <c r="AU326" s="37"/>
      <c r="AV326" s="59"/>
      <c r="AW326" s="1" t="str">
        <f>_xlfn.CONCAT(tbl_Ben_Info[[#This Row],[First Name]]," ",tbl_Ben_Info[[#This Row],[Father Name]]," ",tbl_Ben_Info[[#This Row],[Family Name]])</f>
        <v xml:space="preserve">  </v>
      </c>
    </row>
    <row r="327" spans="2:49" ht="25.15" customHeight="1" x14ac:dyDescent="0.25">
      <c r="B327" s="49">
        <v>322</v>
      </c>
      <c r="C327" s="1" t="str">
        <f>_xlfn.CONCAT("181-702-",IF(tbl_Ben_Info[[#This Row],[SN]]&lt;10,"00"&amp;tbl_Ben_Info[[#This Row],[SN]],IF(tbl_Ben_Info[[#This Row],[SN]]&lt;100,"0"&amp;tbl_Ben_Info[[#This Row],[SN]],tbl_Ben_Info[[#This Row],[SN]])))</f>
        <v>181-702-322</v>
      </c>
      <c r="D327" s="37"/>
      <c r="E327" s="40"/>
      <c r="F327" s="41"/>
      <c r="G327" s="42"/>
      <c r="H327" s="43"/>
      <c r="I327" s="73"/>
      <c r="J327" s="43"/>
      <c r="K327" s="43"/>
      <c r="L327" s="43"/>
      <c r="M327" s="43"/>
      <c r="N327" s="111"/>
      <c r="O327" s="43"/>
      <c r="P327" s="48"/>
      <c r="Q327" s="49"/>
      <c r="R327" s="37"/>
      <c r="S327" s="37"/>
      <c r="T327" s="37"/>
      <c r="U327" s="37"/>
      <c r="V327" s="59"/>
      <c r="W327" s="49"/>
      <c r="X327" s="37"/>
      <c r="Y327" s="37"/>
      <c r="Z327" s="37"/>
      <c r="AA327" s="37"/>
      <c r="AB327" s="37"/>
      <c r="AC327" s="37"/>
      <c r="AD327" s="37"/>
      <c r="AE327" s="37"/>
      <c r="AF327" s="37"/>
      <c r="AG327" s="59"/>
      <c r="AH327" s="49"/>
      <c r="AI327" s="37"/>
      <c r="AJ327" s="37"/>
      <c r="AK327" s="37"/>
      <c r="AL327" s="37"/>
      <c r="AM327" s="37"/>
      <c r="AN327" s="37"/>
      <c r="AO327" s="37"/>
      <c r="AP327" s="37"/>
      <c r="AQ327" s="37"/>
      <c r="AR327" s="37"/>
      <c r="AS327" s="37"/>
      <c r="AT327" s="37"/>
      <c r="AU327" s="37"/>
      <c r="AV327" s="59"/>
      <c r="AW327" s="1" t="str">
        <f>_xlfn.CONCAT(tbl_Ben_Info[[#This Row],[First Name]]," ",tbl_Ben_Info[[#This Row],[Father Name]]," ",tbl_Ben_Info[[#This Row],[Family Name]])</f>
        <v xml:space="preserve">  </v>
      </c>
    </row>
    <row r="328" spans="2:49" ht="25.15" customHeight="1" x14ac:dyDescent="0.25">
      <c r="B328" s="49">
        <v>323</v>
      </c>
      <c r="C328" s="1" t="str">
        <f>_xlfn.CONCAT("181-702-",IF(tbl_Ben_Info[[#This Row],[SN]]&lt;10,"00"&amp;tbl_Ben_Info[[#This Row],[SN]],IF(tbl_Ben_Info[[#This Row],[SN]]&lt;100,"0"&amp;tbl_Ben_Info[[#This Row],[SN]],tbl_Ben_Info[[#This Row],[SN]])))</f>
        <v>181-702-323</v>
      </c>
      <c r="D328" s="37"/>
      <c r="E328" s="40"/>
      <c r="F328" s="41"/>
      <c r="G328" s="42"/>
      <c r="H328" s="43"/>
      <c r="I328" s="73"/>
      <c r="J328" s="43"/>
      <c r="K328" s="43"/>
      <c r="L328" s="43"/>
      <c r="M328" s="43"/>
      <c r="N328" s="111"/>
      <c r="O328" s="43"/>
      <c r="P328" s="48"/>
      <c r="Q328" s="49"/>
      <c r="R328" s="37"/>
      <c r="S328" s="37"/>
      <c r="T328" s="37"/>
      <c r="U328" s="37"/>
      <c r="V328" s="59"/>
      <c r="W328" s="49"/>
      <c r="X328" s="37"/>
      <c r="Y328" s="37"/>
      <c r="Z328" s="37"/>
      <c r="AA328" s="37"/>
      <c r="AB328" s="37"/>
      <c r="AC328" s="37"/>
      <c r="AD328" s="37"/>
      <c r="AE328" s="37"/>
      <c r="AF328" s="37"/>
      <c r="AG328" s="59"/>
      <c r="AH328" s="49"/>
      <c r="AI328" s="37"/>
      <c r="AJ328" s="37"/>
      <c r="AK328" s="37"/>
      <c r="AL328" s="37"/>
      <c r="AM328" s="37"/>
      <c r="AN328" s="37"/>
      <c r="AO328" s="37"/>
      <c r="AP328" s="37"/>
      <c r="AQ328" s="37"/>
      <c r="AR328" s="37"/>
      <c r="AS328" s="37"/>
      <c r="AT328" s="37"/>
      <c r="AU328" s="37"/>
      <c r="AV328" s="59"/>
      <c r="AW328" s="1" t="str">
        <f>_xlfn.CONCAT(tbl_Ben_Info[[#This Row],[First Name]]," ",tbl_Ben_Info[[#This Row],[Father Name]]," ",tbl_Ben_Info[[#This Row],[Family Name]])</f>
        <v xml:space="preserve">  </v>
      </c>
    </row>
    <row r="329" spans="2:49" ht="25.15" customHeight="1" x14ac:dyDescent="0.25">
      <c r="B329" s="49">
        <v>324</v>
      </c>
      <c r="C329" s="1" t="str">
        <f>_xlfn.CONCAT("181-702-",IF(tbl_Ben_Info[[#This Row],[SN]]&lt;10,"00"&amp;tbl_Ben_Info[[#This Row],[SN]],IF(tbl_Ben_Info[[#This Row],[SN]]&lt;100,"0"&amp;tbl_Ben_Info[[#This Row],[SN]],tbl_Ben_Info[[#This Row],[SN]])))</f>
        <v>181-702-324</v>
      </c>
      <c r="D329" s="37"/>
      <c r="E329" s="40"/>
      <c r="F329" s="41"/>
      <c r="G329" s="42"/>
      <c r="H329" s="43"/>
      <c r="I329" s="73"/>
      <c r="J329" s="43"/>
      <c r="K329" s="43"/>
      <c r="L329" s="43"/>
      <c r="M329" s="43"/>
      <c r="N329" s="111"/>
      <c r="O329" s="43"/>
      <c r="P329" s="48"/>
      <c r="Q329" s="49"/>
      <c r="R329" s="37"/>
      <c r="S329" s="37"/>
      <c r="T329" s="37"/>
      <c r="U329" s="37"/>
      <c r="V329" s="59"/>
      <c r="W329" s="49"/>
      <c r="X329" s="37"/>
      <c r="Y329" s="37"/>
      <c r="Z329" s="37"/>
      <c r="AA329" s="37"/>
      <c r="AB329" s="37"/>
      <c r="AC329" s="37"/>
      <c r="AD329" s="37"/>
      <c r="AE329" s="37"/>
      <c r="AF329" s="37"/>
      <c r="AG329" s="59"/>
      <c r="AH329" s="49"/>
      <c r="AI329" s="37"/>
      <c r="AJ329" s="37"/>
      <c r="AK329" s="37"/>
      <c r="AL329" s="37"/>
      <c r="AM329" s="37"/>
      <c r="AN329" s="37"/>
      <c r="AO329" s="37"/>
      <c r="AP329" s="37"/>
      <c r="AQ329" s="37"/>
      <c r="AR329" s="37"/>
      <c r="AS329" s="37"/>
      <c r="AT329" s="37"/>
      <c r="AU329" s="37"/>
      <c r="AV329" s="59"/>
      <c r="AW329" s="1" t="str">
        <f>_xlfn.CONCAT(tbl_Ben_Info[[#This Row],[First Name]]," ",tbl_Ben_Info[[#This Row],[Father Name]]," ",tbl_Ben_Info[[#This Row],[Family Name]])</f>
        <v xml:space="preserve">  </v>
      </c>
    </row>
    <row r="330" spans="2:49" ht="25.15" customHeight="1" x14ac:dyDescent="0.25">
      <c r="B330" s="49">
        <v>325</v>
      </c>
      <c r="C330" s="1" t="str">
        <f>_xlfn.CONCAT("181-702-",IF(tbl_Ben_Info[[#This Row],[SN]]&lt;10,"00"&amp;tbl_Ben_Info[[#This Row],[SN]],IF(tbl_Ben_Info[[#This Row],[SN]]&lt;100,"0"&amp;tbl_Ben_Info[[#This Row],[SN]],tbl_Ben_Info[[#This Row],[SN]])))</f>
        <v>181-702-325</v>
      </c>
      <c r="D330" s="37"/>
      <c r="E330" s="40"/>
      <c r="F330" s="41"/>
      <c r="G330" s="42"/>
      <c r="H330" s="43"/>
      <c r="I330" s="73"/>
      <c r="J330" s="43"/>
      <c r="K330" s="43"/>
      <c r="L330" s="43"/>
      <c r="M330" s="43"/>
      <c r="N330" s="111"/>
      <c r="O330" s="43"/>
      <c r="P330" s="48"/>
      <c r="Q330" s="49"/>
      <c r="R330" s="37"/>
      <c r="S330" s="37"/>
      <c r="T330" s="37"/>
      <c r="U330" s="37"/>
      <c r="V330" s="59"/>
      <c r="W330" s="49"/>
      <c r="X330" s="37"/>
      <c r="Y330" s="37"/>
      <c r="Z330" s="37"/>
      <c r="AA330" s="37"/>
      <c r="AB330" s="37"/>
      <c r="AC330" s="37"/>
      <c r="AD330" s="37"/>
      <c r="AE330" s="37"/>
      <c r="AF330" s="37"/>
      <c r="AG330" s="59"/>
      <c r="AH330" s="49"/>
      <c r="AI330" s="37"/>
      <c r="AJ330" s="37"/>
      <c r="AK330" s="37"/>
      <c r="AL330" s="37"/>
      <c r="AM330" s="37"/>
      <c r="AN330" s="37"/>
      <c r="AO330" s="37"/>
      <c r="AP330" s="37"/>
      <c r="AQ330" s="37"/>
      <c r="AR330" s="37"/>
      <c r="AS330" s="37"/>
      <c r="AT330" s="37"/>
      <c r="AU330" s="37"/>
      <c r="AV330" s="59"/>
      <c r="AW330" s="1" t="str">
        <f>_xlfn.CONCAT(tbl_Ben_Info[[#This Row],[First Name]]," ",tbl_Ben_Info[[#This Row],[Father Name]]," ",tbl_Ben_Info[[#This Row],[Family Name]])</f>
        <v xml:space="preserve">  </v>
      </c>
    </row>
    <row r="331" spans="2:49" ht="25.15" customHeight="1" x14ac:dyDescent="0.25">
      <c r="B331" s="49">
        <v>326</v>
      </c>
      <c r="C331" s="1" t="str">
        <f>_xlfn.CONCAT("181-702-",IF(tbl_Ben_Info[[#This Row],[SN]]&lt;10,"00"&amp;tbl_Ben_Info[[#This Row],[SN]],IF(tbl_Ben_Info[[#This Row],[SN]]&lt;100,"0"&amp;tbl_Ben_Info[[#This Row],[SN]],tbl_Ben_Info[[#This Row],[SN]])))</f>
        <v>181-702-326</v>
      </c>
      <c r="D331" s="37"/>
      <c r="E331" s="40"/>
      <c r="F331" s="41"/>
      <c r="G331" s="42"/>
      <c r="H331" s="43"/>
      <c r="I331" s="73"/>
      <c r="J331" s="43"/>
      <c r="K331" s="43"/>
      <c r="L331" s="43"/>
      <c r="M331" s="43"/>
      <c r="N331" s="111"/>
      <c r="O331" s="43"/>
      <c r="P331" s="48"/>
      <c r="Q331" s="49"/>
      <c r="R331" s="37"/>
      <c r="S331" s="37"/>
      <c r="T331" s="37"/>
      <c r="U331" s="37"/>
      <c r="V331" s="59"/>
      <c r="W331" s="49"/>
      <c r="X331" s="37"/>
      <c r="Y331" s="37"/>
      <c r="Z331" s="37"/>
      <c r="AA331" s="37"/>
      <c r="AB331" s="37"/>
      <c r="AC331" s="37"/>
      <c r="AD331" s="37"/>
      <c r="AE331" s="37"/>
      <c r="AF331" s="37"/>
      <c r="AG331" s="59"/>
      <c r="AH331" s="49"/>
      <c r="AI331" s="37"/>
      <c r="AJ331" s="37"/>
      <c r="AK331" s="37"/>
      <c r="AL331" s="37"/>
      <c r="AM331" s="37"/>
      <c r="AN331" s="37"/>
      <c r="AO331" s="37"/>
      <c r="AP331" s="37"/>
      <c r="AQ331" s="37"/>
      <c r="AR331" s="37"/>
      <c r="AS331" s="37"/>
      <c r="AT331" s="37"/>
      <c r="AU331" s="37"/>
      <c r="AV331" s="59"/>
      <c r="AW331" s="1" t="str">
        <f>_xlfn.CONCAT(tbl_Ben_Info[[#This Row],[First Name]]," ",tbl_Ben_Info[[#This Row],[Father Name]]," ",tbl_Ben_Info[[#This Row],[Family Name]])</f>
        <v xml:space="preserve">  </v>
      </c>
    </row>
    <row r="332" spans="2:49" ht="25.15" customHeight="1" x14ac:dyDescent="0.25">
      <c r="B332" s="49">
        <v>327</v>
      </c>
      <c r="C332" s="1" t="str">
        <f>_xlfn.CONCAT("181-702-",IF(tbl_Ben_Info[[#This Row],[SN]]&lt;10,"00"&amp;tbl_Ben_Info[[#This Row],[SN]],IF(tbl_Ben_Info[[#This Row],[SN]]&lt;100,"0"&amp;tbl_Ben_Info[[#This Row],[SN]],tbl_Ben_Info[[#This Row],[SN]])))</f>
        <v>181-702-327</v>
      </c>
      <c r="D332" s="37"/>
      <c r="E332" s="40"/>
      <c r="F332" s="41"/>
      <c r="G332" s="42"/>
      <c r="H332" s="43"/>
      <c r="I332" s="73"/>
      <c r="J332" s="43"/>
      <c r="K332" s="43"/>
      <c r="L332" s="43"/>
      <c r="M332" s="43"/>
      <c r="N332" s="111"/>
      <c r="O332" s="43"/>
      <c r="P332" s="48"/>
      <c r="Q332" s="49"/>
      <c r="R332" s="37"/>
      <c r="S332" s="37"/>
      <c r="T332" s="37"/>
      <c r="U332" s="37"/>
      <c r="V332" s="59"/>
      <c r="W332" s="49"/>
      <c r="X332" s="37"/>
      <c r="Y332" s="37"/>
      <c r="Z332" s="37"/>
      <c r="AA332" s="37"/>
      <c r="AB332" s="37"/>
      <c r="AC332" s="37"/>
      <c r="AD332" s="37"/>
      <c r="AE332" s="37"/>
      <c r="AF332" s="37"/>
      <c r="AG332" s="59"/>
      <c r="AH332" s="49"/>
      <c r="AI332" s="37"/>
      <c r="AJ332" s="37"/>
      <c r="AK332" s="37"/>
      <c r="AL332" s="37"/>
      <c r="AM332" s="37"/>
      <c r="AN332" s="37"/>
      <c r="AO332" s="37"/>
      <c r="AP332" s="37"/>
      <c r="AQ332" s="37"/>
      <c r="AR332" s="37"/>
      <c r="AS332" s="37"/>
      <c r="AT332" s="37"/>
      <c r="AU332" s="37"/>
      <c r="AV332" s="59"/>
      <c r="AW332" s="1" t="str">
        <f>_xlfn.CONCAT(tbl_Ben_Info[[#This Row],[First Name]]," ",tbl_Ben_Info[[#This Row],[Father Name]]," ",tbl_Ben_Info[[#This Row],[Family Name]])</f>
        <v xml:space="preserve">  </v>
      </c>
    </row>
    <row r="333" spans="2:49" ht="25.15" customHeight="1" x14ac:dyDescent="0.25">
      <c r="B333" s="49">
        <v>328</v>
      </c>
      <c r="C333" s="1" t="str">
        <f>_xlfn.CONCAT("181-702-",IF(tbl_Ben_Info[[#This Row],[SN]]&lt;10,"00"&amp;tbl_Ben_Info[[#This Row],[SN]],IF(tbl_Ben_Info[[#This Row],[SN]]&lt;100,"0"&amp;tbl_Ben_Info[[#This Row],[SN]],tbl_Ben_Info[[#This Row],[SN]])))</f>
        <v>181-702-328</v>
      </c>
      <c r="D333" s="37"/>
      <c r="E333" s="40"/>
      <c r="F333" s="41"/>
      <c r="G333" s="42"/>
      <c r="H333" s="43"/>
      <c r="I333" s="73"/>
      <c r="J333" s="43"/>
      <c r="K333" s="43"/>
      <c r="L333" s="43"/>
      <c r="M333" s="43"/>
      <c r="N333" s="111"/>
      <c r="O333" s="43"/>
      <c r="P333" s="48"/>
      <c r="Q333" s="49"/>
      <c r="R333" s="37"/>
      <c r="S333" s="37"/>
      <c r="T333" s="37"/>
      <c r="U333" s="37"/>
      <c r="V333" s="59"/>
      <c r="W333" s="49"/>
      <c r="X333" s="37"/>
      <c r="Y333" s="37"/>
      <c r="Z333" s="37"/>
      <c r="AA333" s="37"/>
      <c r="AB333" s="37"/>
      <c r="AC333" s="37"/>
      <c r="AD333" s="37"/>
      <c r="AE333" s="37"/>
      <c r="AF333" s="37"/>
      <c r="AG333" s="59"/>
      <c r="AH333" s="49"/>
      <c r="AI333" s="37"/>
      <c r="AJ333" s="37"/>
      <c r="AK333" s="37"/>
      <c r="AL333" s="37"/>
      <c r="AM333" s="37"/>
      <c r="AN333" s="37"/>
      <c r="AO333" s="37"/>
      <c r="AP333" s="37"/>
      <c r="AQ333" s="37"/>
      <c r="AR333" s="37"/>
      <c r="AS333" s="37"/>
      <c r="AT333" s="37"/>
      <c r="AU333" s="37"/>
      <c r="AV333" s="59"/>
      <c r="AW333" s="1" t="str">
        <f>_xlfn.CONCAT(tbl_Ben_Info[[#This Row],[First Name]]," ",tbl_Ben_Info[[#This Row],[Father Name]]," ",tbl_Ben_Info[[#This Row],[Family Name]])</f>
        <v xml:space="preserve">  </v>
      </c>
    </row>
    <row r="334" spans="2:49" ht="25.15" customHeight="1" x14ac:dyDescent="0.25">
      <c r="B334" s="49">
        <v>329</v>
      </c>
      <c r="C334" s="1" t="str">
        <f>_xlfn.CONCAT("181-702-",IF(tbl_Ben_Info[[#This Row],[SN]]&lt;10,"00"&amp;tbl_Ben_Info[[#This Row],[SN]],IF(tbl_Ben_Info[[#This Row],[SN]]&lt;100,"0"&amp;tbl_Ben_Info[[#This Row],[SN]],tbl_Ben_Info[[#This Row],[SN]])))</f>
        <v>181-702-329</v>
      </c>
      <c r="D334" s="37"/>
      <c r="E334" s="40"/>
      <c r="F334" s="41"/>
      <c r="G334" s="42"/>
      <c r="H334" s="43"/>
      <c r="I334" s="73"/>
      <c r="J334" s="43"/>
      <c r="K334" s="43"/>
      <c r="L334" s="43"/>
      <c r="M334" s="43"/>
      <c r="N334" s="111"/>
      <c r="O334" s="43"/>
      <c r="P334" s="48"/>
      <c r="Q334" s="49"/>
      <c r="R334" s="37"/>
      <c r="S334" s="37"/>
      <c r="T334" s="37"/>
      <c r="U334" s="37"/>
      <c r="V334" s="59"/>
      <c r="W334" s="49"/>
      <c r="X334" s="37"/>
      <c r="Y334" s="37"/>
      <c r="Z334" s="37"/>
      <c r="AA334" s="37"/>
      <c r="AB334" s="37"/>
      <c r="AC334" s="37"/>
      <c r="AD334" s="37"/>
      <c r="AE334" s="37"/>
      <c r="AF334" s="37"/>
      <c r="AG334" s="59"/>
      <c r="AH334" s="49"/>
      <c r="AI334" s="37"/>
      <c r="AJ334" s="37"/>
      <c r="AK334" s="37"/>
      <c r="AL334" s="37"/>
      <c r="AM334" s="37"/>
      <c r="AN334" s="37"/>
      <c r="AO334" s="37"/>
      <c r="AP334" s="37"/>
      <c r="AQ334" s="37"/>
      <c r="AR334" s="37"/>
      <c r="AS334" s="37"/>
      <c r="AT334" s="37"/>
      <c r="AU334" s="37"/>
      <c r="AV334" s="59"/>
      <c r="AW334" s="1" t="str">
        <f>_xlfn.CONCAT(tbl_Ben_Info[[#This Row],[First Name]]," ",tbl_Ben_Info[[#This Row],[Father Name]]," ",tbl_Ben_Info[[#This Row],[Family Name]])</f>
        <v xml:space="preserve">  </v>
      </c>
    </row>
    <row r="335" spans="2:49" ht="25.15" customHeight="1" x14ac:dyDescent="0.25">
      <c r="B335" s="49">
        <v>330</v>
      </c>
      <c r="C335" s="1" t="str">
        <f>_xlfn.CONCAT("181-702-",IF(tbl_Ben_Info[[#This Row],[SN]]&lt;10,"00"&amp;tbl_Ben_Info[[#This Row],[SN]],IF(tbl_Ben_Info[[#This Row],[SN]]&lt;100,"0"&amp;tbl_Ben_Info[[#This Row],[SN]],tbl_Ben_Info[[#This Row],[SN]])))</f>
        <v>181-702-330</v>
      </c>
      <c r="D335" s="37"/>
      <c r="E335" s="40"/>
      <c r="F335" s="41"/>
      <c r="G335" s="42"/>
      <c r="H335" s="43"/>
      <c r="I335" s="73"/>
      <c r="J335" s="43"/>
      <c r="K335" s="43"/>
      <c r="L335" s="43"/>
      <c r="M335" s="43"/>
      <c r="N335" s="111"/>
      <c r="O335" s="43"/>
      <c r="P335" s="48"/>
      <c r="Q335" s="49"/>
      <c r="R335" s="37"/>
      <c r="S335" s="37"/>
      <c r="T335" s="37"/>
      <c r="U335" s="37"/>
      <c r="V335" s="59"/>
      <c r="W335" s="49"/>
      <c r="X335" s="37"/>
      <c r="Y335" s="37"/>
      <c r="Z335" s="37"/>
      <c r="AA335" s="37"/>
      <c r="AB335" s="37"/>
      <c r="AC335" s="37"/>
      <c r="AD335" s="37"/>
      <c r="AE335" s="37"/>
      <c r="AF335" s="37"/>
      <c r="AG335" s="59"/>
      <c r="AH335" s="49"/>
      <c r="AI335" s="37"/>
      <c r="AJ335" s="37"/>
      <c r="AK335" s="37"/>
      <c r="AL335" s="37"/>
      <c r="AM335" s="37"/>
      <c r="AN335" s="37"/>
      <c r="AO335" s="37"/>
      <c r="AP335" s="37"/>
      <c r="AQ335" s="37"/>
      <c r="AR335" s="37"/>
      <c r="AS335" s="37"/>
      <c r="AT335" s="37"/>
      <c r="AU335" s="37"/>
      <c r="AV335" s="59"/>
      <c r="AW335" s="1" t="str">
        <f>_xlfn.CONCAT(tbl_Ben_Info[[#This Row],[First Name]]," ",tbl_Ben_Info[[#This Row],[Father Name]]," ",tbl_Ben_Info[[#This Row],[Family Name]])</f>
        <v xml:space="preserve">  </v>
      </c>
    </row>
    <row r="336" spans="2:49" ht="25.15" customHeight="1" x14ac:dyDescent="0.25">
      <c r="B336" s="49">
        <v>331</v>
      </c>
      <c r="C336" s="1" t="str">
        <f>_xlfn.CONCAT("181-702-",IF(tbl_Ben_Info[[#This Row],[SN]]&lt;10,"00"&amp;tbl_Ben_Info[[#This Row],[SN]],IF(tbl_Ben_Info[[#This Row],[SN]]&lt;100,"0"&amp;tbl_Ben_Info[[#This Row],[SN]],tbl_Ben_Info[[#This Row],[SN]])))</f>
        <v>181-702-331</v>
      </c>
      <c r="D336" s="37"/>
      <c r="E336" s="40"/>
      <c r="F336" s="41"/>
      <c r="G336" s="42"/>
      <c r="H336" s="43"/>
      <c r="I336" s="73"/>
      <c r="J336" s="43"/>
      <c r="K336" s="43"/>
      <c r="L336" s="43"/>
      <c r="M336" s="43"/>
      <c r="N336" s="111"/>
      <c r="O336" s="43"/>
      <c r="P336" s="48"/>
      <c r="Q336" s="49"/>
      <c r="R336" s="37"/>
      <c r="S336" s="37"/>
      <c r="T336" s="37"/>
      <c r="U336" s="37"/>
      <c r="V336" s="59"/>
      <c r="W336" s="49"/>
      <c r="X336" s="37"/>
      <c r="Y336" s="37"/>
      <c r="Z336" s="37"/>
      <c r="AA336" s="37"/>
      <c r="AB336" s="37"/>
      <c r="AC336" s="37"/>
      <c r="AD336" s="37"/>
      <c r="AE336" s="37"/>
      <c r="AF336" s="37"/>
      <c r="AG336" s="59"/>
      <c r="AH336" s="49"/>
      <c r="AI336" s="37"/>
      <c r="AJ336" s="37"/>
      <c r="AK336" s="37"/>
      <c r="AL336" s="37"/>
      <c r="AM336" s="37"/>
      <c r="AN336" s="37"/>
      <c r="AO336" s="37"/>
      <c r="AP336" s="37"/>
      <c r="AQ336" s="37"/>
      <c r="AR336" s="37"/>
      <c r="AS336" s="37"/>
      <c r="AT336" s="37"/>
      <c r="AU336" s="37"/>
      <c r="AV336" s="59"/>
      <c r="AW336" s="1" t="str">
        <f>_xlfn.CONCAT(tbl_Ben_Info[[#This Row],[First Name]]," ",tbl_Ben_Info[[#This Row],[Father Name]]," ",tbl_Ben_Info[[#This Row],[Family Name]])</f>
        <v xml:space="preserve">  </v>
      </c>
    </row>
    <row r="337" spans="2:49" ht="25.15" customHeight="1" x14ac:dyDescent="0.25">
      <c r="B337" s="49">
        <v>332</v>
      </c>
      <c r="C337" s="1" t="str">
        <f>_xlfn.CONCAT("181-702-",IF(tbl_Ben_Info[[#This Row],[SN]]&lt;10,"00"&amp;tbl_Ben_Info[[#This Row],[SN]],IF(tbl_Ben_Info[[#This Row],[SN]]&lt;100,"0"&amp;tbl_Ben_Info[[#This Row],[SN]],tbl_Ben_Info[[#This Row],[SN]])))</f>
        <v>181-702-332</v>
      </c>
      <c r="D337" s="37"/>
      <c r="E337" s="40"/>
      <c r="F337" s="41"/>
      <c r="G337" s="42"/>
      <c r="H337" s="43"/>
      <c r="I337" s="73"/>
      <c r="J337" s="43"/>
      <c r="K337" s="43"/>
      <c r="L337" s="43"/>
      <c r="M337" s="43"/>
      <c r="N337" s="111"/>
      <c r="O337" s="43"/>
      <c r="P337" s="48"/>
      <c r="Q337" s="49"/>
      <c r="R337" s="37"/>
      <c r="S337" s="37"/>
      <c r="T337" s="37"/>
      <c r="U337" s="37"/>
      <c r="V337" s="59"/>
      <c r="W337" s="49"/>
      <c r="X337" s="37"/>
      <c r="Y337" s="37"/>
      <c r="Z337" s="37"/>
      <c r="AA337" s="37"/>
      <c r="AB337" s="37"/>
      <c r="AC337" s="37"/>
      <c r="AD337" s="37"/>
      <c r="AE337" s="37"/>
      <c r="AF337" s="37"/>
      <c r="AG337" s="59"/>
      <c r="AH337" s="49"/>
      <c r="AI337" s="37"/>
      <c r="AJ337" s="37"/>
      <c r="AK337" s="37"/>
      <c r="AL337" s="37"/>
      <c r="AM337" s="37"/>
      <c r="AN337" s="37"/>
      <c r="AO337" s="37"/>
      <c r="AP337" s="37"/>
      <c r="AQ337" s="37"/>
      <c r="AR337" s="37"/>
      <c r="AS337" s="37"/>
      <c r="AT337" s="37"/>
      <c r="AU337" s="37"/>
      <c r="AV337" s="59"/>
      <c r="AW337" s="1" t="str">
        <f>_xlfn.CONCAT(tbl_Ben_Info[[#This Row],[First Name]]," ",tbl_Ben_Info[[#This Row],[Father Name]]," ",tbl_Ben_Info[[#This Row],[Family Name]])</f>
        <v xml:space="preserve">  </v>
      </c>
    </row>
    <row r="338" spans="2:49" ht="25.15" customHeight="1" x14ac:dyDescent="0.25">
      <c r="B338" s="49">
        <v>333</v>
      </c>
      <c r="C338" s="1" t="str">
        <f>_xlfn.CONCAT("181-702-",IF(tbl_Ben_Info[[#This Row],[SN]]&lt;10,"00"&amp;tbl_Ben_Info[[#This Row],[SN]],IF(tbl_Ben_Info[[#This Row],[SN]]&lt;100,"0"&amp;tbl_Ben_Info[[#This Row],[SN]],tbl_Ben_Info[[#This Row],[SN]])))</f>
        <v>181-702-333</v>
      </c>
      <c r="D338" s="37"/>
      <c r="E338" s="40"/>
      <c r="F338" s="41"/>
      <c r="G338" s="42"/>
      <c r="H338" s="43"/>
      <c r="I338" s="73"/>
      <c r="J338" s="43"/>
      <c r="K338" s="43"/>
      <c r="L338" s="43"/>
      <c r="M338" s="43"/>
      <c r="N338" s="111"/>
      <c r="O338" s="43"/>
      <c r="P338" s="48"/>
      <c r="Q338" s="49"/>
      <c r="R338" s="37"/>
      <c r="S338" s="37"/>
      <c r="T338" s="37"/>
      <c r="U338" s="37"/>
      <c r="V338" s="59"/>
      <c r="W338" s="49"/>
      <c r="X338" s="37"/>
      <c r="Y338" s="37"/>
      <c r="Z338" s="37"/>
      <c r="AA338" s="37"/>
      <c r="AB338" s="37"/>
      <c r="AC338" s="37"/>
      <c r="AD338" s="37"/>
      <c r="AE338" s="37"/>
      <c r="AF338" s="37"/>
      <c r="AG338" s="59"/>
      <c r="AH338" s="49"/>
      <c r="AI338" s="37"/>
      <c r="AJ338" s="37"/>
      <c r="AK338" s="37"/>
      <c r="AL338" s="37"/>
      <c r="AM338" s="37"/>
      <c r="AN338" s="37"/>
      <c r="AO338" s="37"/>
      <c r="AP338" s="37"/>
      <c r="AQ338" s="37"/>
      <c r="AR338" s="37"/>
      <c r="AS338" s="37"/>
      <c r="AT338" s="37"/>
      <c r="AU338" s="37"/>
      <c r="AV338" s="59"/>
      <c r="AW338" s="1" t="str">
        <f>_xlfn.CONCAT(tbl_Ben_Info[[#This Row],[First Name]]," ",tbl_Ben_Info[[#This Row],[Father Name]]," ",tbl_Ben_Info[[#This Row],[Family Name]])</f>
        <v xml:space="preserve">  </v>
      </c>
    </row>
    <row r="339" spans="2:49" ht="25.15" customHeight="1" x14ac:dyDescent="0.25">
      <c r="B339" s="49">
        <v>334</v>
      </c>
      <c r="C339" s="1" t="str">
        <f>_xlfn.CONCAT("181-702-",IF(tbl_Ben_Info[[#This Row],[SN]]&lt;10,"00"&amp;tbl_Ben_Info[[#This Row],[SN]],IF(tbl_Ben_Info[[#This Row],[SN]]&lt;100,"0"&amp;tbl_Ben_Info[[#This Row],[SN]],tbl_Ben_Info[[#This Row],[SN]])))</f>
        <v>181-702-334</v>
      </c>
      <c r="D339" s="37"/>
      <c r="E339" s="40"/>
      <c r="F339" s="41"/>
      <c r="G339" s="42"/>
      <c r="H339" s="43"/>
      <c r="I339" s="73"/>
      <c r="J339" s="43"/>
      <c r="K339" s="43"/>
      <c r="L339" s="43"/>
      <c r="M339" s="43"/>
      <c r="N339" s="111"/>
      <c r="O339" s="43"/>
      <c r="P339" s="48"/>
      <c r="Q339" s="49"/>
      <c r="R339" s="37"/>
      <c r="S339" s="37"/>
      <c r="T339" s="37"/>
      <c r="U339" s="37"/>
      <c r="V339" s="59"/>
      <c r="W339" s="49"/>
      <c r="X339" s="37"/>
      <c r="Y339" s="37"/>
      <c r="Z339" s="37"/>
      <c r="AA339" s="37"/>
      <c r="AB339" s="37"/>
      <c r="AC339" s="37"/>
      <c r="AD339" s="37"/>
      <c r="AE339" s="37"/>
      <c r="AF339" s="37"/>
      <c r="AG339" s="59"/>
      <c r="AH339" s="49"/>
      <c r="AI339" s="37"/>
      <c r="AJ339" s="37"/>
      <c r="AK339" s="37"/>
      <c r="AL339" s="37"/>
      <c r="AM339" s="37"/>
      <c r="AN339" s="37"/>
      <c r="AO339" s="37"/>
      <c r="AP339" s="37"/>
      <c r="AQ339" s="37"/>
      <c r="AR339" s="37"/>
      <c r="AS339" s="37"/>
      <c r="AT339" s="37"/>
      <c r="AU339" s="37"/>
      <c r="AV339" s="59"/>
      <c r="AW339" s="1" t="str">
        <f>_xlfn.CONCAT(tbl_Ben_Info[[#This Row],[First Name]]," ",tbl_Ben_Info[[#This Row],[Father Name]]," ",tbl_Ben_Info[[#This Row],[Family Name]])</f>
        <v xml:space="preserve">  </v>
      </c>
    </row>
    <row r="340" spans="2:49" ht="25.15" customHeight="1" x14ac:dyDescent="0.25">
      <c r="B340" s="49">
        <v>335</v>
      </c>
      <c r="C340" s="1" t="str">
        <f>_xlfn.CONCAT("181-702-",IF(tbl_Ben_Info[[#This Row],[SN]]&lt;10,"00"&amp;tbl_Ben_Info[[#This Row],[SN]],IF(tbl_Ben_Info[[#This Row],[SN]]&lt;100,"0"&amp;tbl_Ben_Info[[#This Row],[SN]],tbl_Ben_Info[[#This Row],[SN]])))</f>
        <v>181-702-335</v>
      </c>
      <c r="D340" s="37"/>
      <c r="E340" s="40"/>
      <c r="F340" s="41"/>
      <c r="G340" s="42"/>
      <c r="H340" s="43"/>
      <c r="I340" s="73"/>
      <c r="J340" s="43"/>
      <c r="K340" s="43"/>
      <c r="L340" s="43"/>
      <c r="M340" s="43"/>
      <c r="N340" s="111"/>
      <c r="O340" s="43"/>
      <c r="P340" s="48"/>
      <c r="Q340" s="49"/>
      <c r="R340" s="37"/>
      <c r="S340" s="37"/>
      <c r="T340" s="37"/>
      <c r="U340" s="37"/>
      <c r="V340" s="59"/>
      <c r="W340" s="49"/>
      <c r="X340" s="37"/>
      <c r="Y340" s="37"/>
      <c r="Z340" s="37"/>
      <c r="AA340" s="37"/>
      <c r="AB340" s="37"/>
      <c r="AC340" s="37"/>
      <c r="AD340" s="37"/>
      <c r="AE340" s="37"/>
      <c r="AF340" s="37"/>
      <c r="AG340" s="59"/>
      <c r="AH340" s="49"/>
      <c r="AI340" s="37"/>
      <c r="AJ340" s="37"/>
      <c r="AK340" s="37"/>
      <c r="AL340" s="37"/>
      <c r="AM340" s="37"/>
      <c r="AN340" s="37"/>
      <c r="AO340" s="37"/>
      <c r="AP340" s="37"/>
      <c r="AQ340" s="37"/>
      <c r="AR340" s="37"/>
      <c r="AS340" s="37"/>
      <c r="AT340" s="37"/>
      <c r="AU340" s="37"/>
      <c r="AV340" s="59"/>
      <c r="AW340" s="1" t="str">
        <f>_xlfn.CONCAT(tbl_Ben_Info[[#This Row],[First Name]]," ",tbl_Ben_Info[[#This Row],[Father Name]]," ",tbl_Ben_Info[[#This Row],[Family Name]])</f>
        <v xml:space="preserve">  </v>
      </c>
    </row>
    <row r="341" spans="2:49" ht="25.15" customHeight="1" x14ac:dyDescent="0.25">
      <c r="B341" s="49">
        <v>336</v>
      </c>
      <c r="C341" s="1" t="str">
        <f>_xlfn.CONCAT("181-702-",IF(tbl_Ben_Info[[#This Row],[SN]]&lt;10,"00"&amp;tbl_Ben_Info[[#This Row],[SN]],IF(tbl_Ben_Info[[#This Row],[SN]]&lt;100,"0"&amp;tbl_Ben_Info[[#This Row],[SN]],tbl_Ben_Info[[#This Row],[SN]])))</f>
        <v>181-702-336</v>
      </c>
      <c r="D341" s="37"/>
      <c r="E341" s="40"/>
      <c r="F341" s="41"/>
      <c r="G341" s="42"/>
      <c r="H341" s="43"/>
      <c r="I341" s="73"/>
      <c r="J341" s="43"/>
      <c r="K341" s="43"/>
      <c r="L341" s="43"/>
      <c r="M341" s="43"/>
      <c r="N341" s="111"/>
      <c r="O341" s="43"/>
      <c r="P341" s="48"/>
      <c r="Q341" s="49"/>
      <c r="R341" s="37"/>
      <c r="S341" s="37"/>
      <c r="T341" s="37"/>
      <c r="U341" s="37"/>
      <c r="V341" s="59"/>
      <c r="W341" s="49"/>
      <c r="X341" s="37"/>
      <c r="Y341" s="37"/>
      <c r="Z341" s="37"/>
      <c r="AA341" s="37"/>
      <c r="AB341" s="37"/>
      <c r="AC341" s="37"/>
      <c r="AD341" s="37"/>
      <c r="AE341" s="37"/>
      <c r="AF341" s="37"/>
      <c r="AG341" s="59"/>
      <c r="AH341" s="49"/>
      <c r="AI341" s="37"/>
      <c r="AJ341" s="37"/>
      <c r="AK341" s="37"/>
      <c r="AL341" s="37"/>
      <c r="AM341" s="37"/>
      <c r="AN341" s="37"/>
      <c r="AO341" s="37"/>
      <c r="AP341" s="37"/>
      <c r="AQ341" s="37"/>
      <c r="AR341" s="37"/>
      <c r="AS341" s="37"/>
      <c r="AT341" s="37"/>
      <c r="AU341" s="37"/>
      <c r="AV341" s="59"/>
      <c r="AW341" s="1" t="str">
        <f>_xlfn.CONCAT(tbl_Ben_Info[[#This Row],[First Name]]," ",tbl_Ben_Info[[#This Row],[Father Name]]," ",tbl_Ben_Info[[#This Row],[Family Name]])</f>
        <v xml:space="preserve">  </v>
      </c>
    </row>
    <row r="342" spans="2:49" ht="25.15" customHeight="1" x14ac:dyDescent="0.25">
      <c r="B342" s="49">
        <v>337</v>
      </c>
      <c r="C342" s="1" t="str">
        <f>_xlfn.CONCAT("181-702-",IF(tbl_Ben_Info[[#This Row],[SN]]&lt;10,"00"&amp;tbl_Ben_Info[[#This Row],[SN]],IF(tbl_Ben_Info[[#This Row],[SN]]&lt;100,"0"&amp;tbl_Ben_Info[[#This Row],[SN]],tbl_Ben_Info[[#This Row],[SN]])))</f>
        <v>181-702-337</v>
      </c>
      <c r="D342" s="37"/>
      <c r="E342" s="40"/>
      <c r="F342" s="41"/>
      <c r="G342" s="42"/>
      <c r="H342" s="43"/>
      <c r="I342" s="73"/>
      <c r="J342" s="43"/>
      <c r="K342" s="43"/>
      <c r="L342" s="43"/>
      <c r="M342" s="43"/>
      <c r="N342" s="111"/>
      <c r="O342" s="43"/>
      <c r="P342" s="48"/>
      <c r="Q342" s="49"/>
      <c r="R342" s="37"/>
      <c r="S342" s="37"/>
      <c r="T342" s="37"/>
      <c r="U342" s="37"/>
      <c r="V342" s="59"/>
      <c r="W342" s="49"/>
      <c r="X342" s="37"/>
      <c r="Y342" s="37"/>
      <c r="Z342" s="37"/>
      <c r="AA342" s="37"/>
      <c r="AB342" s="37"/>
      <c r="AC342" s="37"/>
      <c r="AD342" s="37"/>
      <c r="AE342" s="37"/>
      <c r="AF342" s="37"/>
      <c r="AG342" s="59"/>
      <c r="AH342" s="49"/>
      <c r="AI342" s="37"/>
      <c r="AJ342" s="37"/>
      <c r="AK342" s="37"/>
      <c r="AL342" s="37"/>
      <c r="AM342" s="37"/>
      <c r="AN342" s="37"/>
      <c r="AO342" s="37"/>
      <c r="AP342" s="37"/>
      <c r="AQ342" s="37"/>
      <c r="AR342" s="37"/>
      <c r="AS342" s="37"/>
      <c r="AT342" s="37"/>
      <c r="AU342" s="37"/>
      <c r="AV342" s="59"/>
      <c r="AW342" s="1" t="str">
        <f>_xlfn.CONCAT(tbl_Ben_Info[[#This Row],[First Name]]," ",tbl_Ben_Info[[#This Row],[Father Name]]," ",tbl_Ben_Info[[#This Row],[Family Name]])</f>
        <v xml:space="preserve">  </v>
      </c>
    </row>
    <row r="343" spans="2:49" ht="25.15" customHeight="1" x14ac:dyDescent="0.25">
      <c r="B343" s="49">
        <v>338</v>
      </c>
      <c r="C343" s="1" t="str">
        <f>_xlfn.CONCAT("181-702-",IF(tbl_Ben_Info[[#This Row],[SN]]&lt;10,"00"&amp;tbl_Ben_Info[[#This Row],[SN]],IF(tbl_Ben_Info[[#This Row],[SN]]&lt;100,"0"&amp;tbl_Ben_Info[[#This Row],[SN]],tbl_Ben_Info[[#This Row],[SN]])))</f>
        <v>181-702-338</v>
      </c>
      <c r="D343" s="37"/>
      <c r="E343" s="40"/>
      <c r="F343" s="41"/>
      <c r="G343" s="42"/>
      <c r="H343" s="43"/>
      <c r="I343" s="73"/>
      <c r="J343" s="43"/>
      <c r="K343" s="43"/>
      <c r="L343" s="43"/>
      <c r="M343" s="43"/>
      <c r="N343" s="111"/>
      <c r="O343" s="43"/>
      <c r="P343" s="48"/>
      <c r="Q343" s="49"/>
      <c r="R343" s="37"/>
      <c r="S343" s="37"/>
      <c r="T343" s="37"/>
      <c r="U343" s="37"/>
      <c r="V343" s="59"/>
      <c r="W343" s="49"/>
      <c r="X343" s="37"/>
      <c r="Y343" s="37"/>
      <c r="Z343" s="37"/>
      <c r="AA343" s="37"/>
      <c r="AB343" s="37"/>
      <c r="AC343" s="37"/>
      <c r="AD343" s="37"/>
      <c r="AE343" s="37"/>
      <c r="AF343" s="37"/>
      <c r="AG343" s="59"/>
      <c r="AH343" s="49"/>
      <c r="AI343" s="37"/>
      <c r="AJ343" s="37"/>
      <c r="AK343" s="37"/>
      <c r="AL343" s="37"/>
      <c r="AM343" s="37"/>
      <c r="AN343" s="37"/>
      <c r="AO343" s="37"/>
      <c r="AP343" s="37"/>
      <c r="AQ343" s="37"/>
      <c r="AR343" s="37"/>
      <c r="AS343" s="37"/>
      <c r="AT343" s="37"/>
      <c r="AU343" s="37"/>
      <c r="AV343" s="59"/>
      <c r="AW343" s="1" t="str">
        <f>_xlfn.CONCAT(tbl_Ben_Info[[#This Row],[First Name]]," ",tbl_Ben_Info[[#This Row],[Father Name]]," ",tbl_Ben_Info[[#This Row],[Family Name]])</f>
        <v xml:space="preserve">  </v>
      </c>
    </row>
    <row r="344" spans="2:49" ht="25.15" customHeight="1" x14ac:dyDescent="0.25">
      <c r="B344" s="49">
        <v>339</v>
      </c>
      <c r="C344" s="1" t="str">
        <f>_xlfn.CONCAT("181-702-",IF(tbl_Ben_Info[[#This Row],[SN]]&lt;10,"00"&amp;tbl_Ben_Info[[#This Row],[SN]],IF(tbl_Ben_Info[[#This Row],[SN]]&lt;100,"0"&amp;tbl_Ben_Info[[#This Row],[SN]],tbl_Ben_Info[[#This Row],[SN]])))</f>
        <v>181-702-339</v>
      </c>
      <c r="D344" s="37"/>
      <c r="E344" s="40"/>
      <c r="F344" s="41"/>
      <c r="G344" s="42"/>
      <c r="H344" s="43"/>
      <c r="I344" s="73"/>
      <c r="J344" s="43"/>
      <c r="K344" s="43"/>
      <c r="L344" s="43"/>
      <c r="M344" s="43"/>
      <c r="N344" s="111"/>
      <c r="O344" s="43"/>
      <c r="P344" s="48"/>
      <c r="Q344" s="49"/>
      <c r="R344" s="37"/>
      <c r="S344" s="37"/>
      <c r="T344" s="37"/>
      <c r="U344" s="37"/>
      <c r="V344" s="59"/>
      <c r="W344" s="49"/>
      <c r="X344" s="37"/>
      <c r="Y344" s="37"/>
      <c r="Z344" s="37"/>
      <c r="AA344" s="37"/>
      <c r="AB344" s="37"/>
      <c r="AC344" s="37"/>
      <c r="AD344" s="37"/>
      <c r="AE344" s="37"/>
      <c r="AF344" s="37"/>
      <c r="AG344" s="59"/>
      <c r="AH344" s="49"/>
      <c r="AI344" s="37"/>
      <c r="AJ344" s="37"/>
      <c r="AK344" s="37"/>
      <c r="AL344" s="37"/>
      <c r="AM344" s="37"/>
      <c r="AN344" s="37"/>
      <c r="AO344" s="37"/>
      <c r="AP344" s="37"/>
      <c r="AQ344" s="37"/>
      <c r="AR344" s="37"/>
      <c r="AS344" s="37"/>
      <c r="AT344" s="37"/>
      <c r="AU344" s="37"/>
      <c r="AV344" s="59"/>
      <c r="AW344" s="1" t="str">
        <f>_xlfn.CONCAT(tbl_Ben_Info[[#This Row],[First Name]]," ",tbl_Ben_Info[[#This Row],[Father Name]]," ",tbl_Ben_Info[[#This Row],[Family Name]])</f>
        <v xml:space="preserve">  </v>
      </c>
    </row>
    <row r="345" spans="2:49" ht="25.15" customHeight="1" x14ac:dyDescent="0.25">
      <c r="B345" s="49">
        <v>340</v>
      </c>
      <c r="C345" s="1" t="str">
        <f>_xlfn.CONCAT("181-702-",IF(tbl_Ben_Info[[#This Row],[SN]]&lt;10,"00"&amp;tbl_Ben_Info[[#This Row],[SN]],IF(tbl_Ben_Info[[#This Row],[SN]]&lt;100,"0"&amp;tbl_Ben_Info[[#This Row],[SN]],tbl_Ben_Info[[#This Row],[SN]])))</f>
        <v>181-702-340</v>
      </c>
      <c r="D345" s="37"/>
      <c r="E345" s="40"/>
      <c r="F345" s="41"/>
      <c r="G345" s="42"/>
      <c r="H345" s="43"/>
      <c r="I345" s="73"/>
      <c r="J345" s="43"/>
      <c r="K345" s="43"/>
      <c r="L345" s="43"/>
      <c r="M345" s="43"/>
      <c r="N345" s="111"/>
      <c r="O345" s="43"/>
      <c r="P345" s="48"/>
      <c r="Q345" s="49"/>
      <c r="R345" s="37"/>
      <c r="S345" s="37"/>
      <c r="T345" s="37"/>
      <c r="U345" s="37"/>
      <c r="V345" s="59"/>
      <c r="W345" s="49"/>
      <c r="X345" s="37"/>
      <c r="Y345" s="37"/>
      <c r="Z345" s="37"/>
      <c r="AA345" s="37"/>
      <c r="AB345" s="37"/>
      <c r="AC345" s="37"/>
      <c r="AD345" s="37"/>
      <c r="AE345" s="37"/>
      <c r="AF345" s="37"/>
      <c r="AG345" s="59"/>
      <c r="AH345" s="49"/>
      <c r="AI345" s="37"/>
      <c r="AJ345" s="37"/>
      <c r="AK345" s="37"/>
      <c r="AL345" s="37"/>
      <c r="AM345" s="37"/>
      <c r="AN345" s="37"/>
      <c r="AO345" s="37"/>
      <c r="AP345" s="37"/>
      <c r="AQ345" s="37"/>
      <c r="AR345" s="37"/>
      <c r="AS345" s="37"/>
      <c r="AT345" s="37"/>
      <c r="AU345" s="37"/>
      <c r="AV345" s="59"/>
      <c r="AW345" s="1" t="str">
        <f>_xlfn.CONCAT(tbl_Ben_Info[[#This Row],[First Name]]," ",tbl_Ben_Info[[#This Row],[Father Name]]," ",tbl_Ben_Info[[#This Row],[Family Name]])</f>
        <v xml:space="preserve">  </v>
      </c>
    </row>
    <row r="346" spans="2:49" ht="25.15" customHeight="1" x14ac:dyDescent="0.25">
      <c r="B346" s="49">
        <v>341</v>
      </c>
      <c r="C346" s="1" t="str">
        <f>_xlfn.CONCAT("181-702-",IF(tbl_Ben_Info[[#This Row],[SN]]&lt;10,"00"&amp;tbl_Ben_Info[[#This Row],[SN]],IF(tbl_Ben_Info[[#This Row],[SN]]&lt;100,"0"&amp;tbl_Ben_Info[[#This Row],[SN]],tbl_Ben_Info[[#This Row],[SN]])))</f>
        <v>181-702-341</v>
      </c>
      <c r="D346" s="37"/>
      <c r="E346" s="40"/>
      <c r="F346" s="41"/>
      <c r="G346" s="42"/>
      <c r="H346" s="43"/>
      <c r="I346" s="73"/>
      <c r="J346" s="43"/>
      <c r="K346" s="43"/>
      <c r="L346" s="43"/>
      <c r="M346" s="43"/>
      <c r="N346" s="111"/>
      <c r="O346" s="43"/>
      <c r="P346" s="48"/>
      <c r="Q346" s="49"/>
      <c r="R346" s="37"/>
      <c r="S346" s="37"/>
      <c r="T346" s="37"/>
      <c r="U346" s="37"/>
      <c r="V346" s="59"/>
      <c r="W346" s="49"/>
      <c r="X346" s="37"/>
      <c r="Y346" s="37"/>
      <c r="Z346" s="37"/>
      <c r="AA346" s="37"/>
      <c r="AB346" s="37"/>
      <c r="AC346" s="37"/>
      <c r="AD346" s="37"/>
      <c r="AE346" s="37"/>
      <c r="AF346" s="37"/>
      <c r="AG346" s="59"/>
      <c r="AH346" s="49"/>
      <c r="AI346" s="37"/>
      <c r="AJ346" s="37"/>
      <c r="AK346" s="37"/>
      <c r="AL346" s="37"/>
      <c r="AM346" s="37"/>
      <c r="AN346" s="37"/>
      <c r="AO346" s="37"/>
      <c r="AP346" s="37"/>
      <c r="AQ346" s="37"/>
      <c r="AR346" s="37"/>
      <c r="AS346" s="37"/>
      <c r="AT346" s="37"/>
      <c r="AU346" s="37"/>
      <c r="AV346" s="59"/>
      <c r="AW346" s="1" t="str">
        <f>_xlfn.CONCAT(tbl_Ben_Info[[#This Row],[First Name]]," ",tbl_Ben_Info[[#This Row],[Father Name]]," ",tbl_Ben_Info[[#This Row],[Family Name]])</f>
        <v xml:space="preserve">  </v>
      </c>
    </row>
    <row r="347" spans="2:49" ht="25.15" customHeight="1" x14ac:dyDescent="0.25">
      <c r="B347" s="49">
        <v>342</v>
      </c>
      <c r="C347" s="1" t="str">
        <f>_xlfn.CONCAT("181-702-",IF(tbl_Ben_Info[[#This Row],[SN]]&lt;10,"00"&amp;tbl_Ben_Info[[#This Row],[SN]],IF(tbl_Ben_Info[[#This Row],[SN]]&lt;100,"0"&amp;tbl_Ben_Info[[#This Row],[SN]],tbl_Ben_Info[[#This Row],[SN]])))</f>
        <v>181-702-342</v>
      </c>
      <c r="D347" s="37"/>
      <c r="E347" s="40"/>
      <c r="F347" s="41"/>
      <c r="G347" s="42"/>
      <c r="H347" s="43"/>
      <c r="I347" s="73"/>
      <c r="J347" s="43"/>
      <c r="K347" s="43"/>
      <c r="L347" s="43"/>
      <c r="M347" s="43"/>
      <c r="N347" s="111"/>
      <c r="O347" s="43"/>
      <c r="P347" s="48"/>
      <c r="Q347" s="49"/>
      <c r="R347" s="37"/>
      <c r="S347" s="37"/>
      <c r="T347" s="37"/>
      <c r="U347" s="37"/>
      <c r="V347" s="59"/>
      <c r="W347" s="49"/>
      <c r="X347" s="37"/>
      <c r="Y347" s="37"/>
      <c r="Z347" s="37"/>
      <c r="AA347" s="37"/>
      <c r="AB347" s="37"/>
      <c r="AC347" s="37"/>
      <c r="AD347" s="37"/>
      <c r="AE347" s="37"/>
      <c r="AF347" s="37"/>
      <c r="AG347" s="59"/>
      <c r="AH347" s="49"/>
      <c r="AI347" s="37"/>
      <c r="AJ347" s="37"/>
      <c r="AK347" s="37"/>
      <c r="AL347" s="37"/>
      <c r="AM347" s="37"/>
      <c r="AN347" s="37"/>
      <c r="AO347" s="37"/>
      <c r="AP347" s="37"/>
      <c r="AQ347" s="37"/>
      <c r="AR347" s="37"/>
      <c r="AS347" s="37"/>
      <c r="AT347" s="37"/>
      <c r="AU347" s="37"/>
      <c r="AV347" s="59"/>
      <c r="AW347" s="1" t="str">
        <f>_xlfn.CONCAT(tbl_Ben_Info[[#This Row],[First Name]]," ",tbl_Ben_Info[[#This Row],[Father Name]]," ",tbl_Ben_Info[[#This Row],[Family Name]])</f>
        <v xml:space="preserve">  </v>
      </c>
    </row>
    <row r="348" spans="2:49" ht="25.15" customHeight="1" x14ac:dyDescent="0.25">
      <c r="B348" s="49">
        <v>343</v>
      </c>
      <c r="C348" s="1" t="str">
        <f>_xlfn.CONCAT("181-702-",IF(tbl_Ben_Info[[#This Row],[SN]]&lt;10,"00"&amp;tbl_Ben_Info[[#This Row],[SN]],IF(tbl_Ben_Info[[#This Row],[SN]]&lt;100,"0"&amp;tbl_Ben_Info[[#This Row],[SN]],tbl_Ben_Info[[#This Row],[SN]])))</f>
        <v>181-702-343</v>
      </c>
      <c r="D348" s="37"/>
      <c r="E348" s="40"/>
      <c r="F348" s="41"/>
      <c r="G348" s="42"/>
      <c r="H348" s="43"/>
      <c r="I348" s="73"/>
      <c r="J348" s="43"/>
      <c r="K348" s="43"/>
      <c r="L348" s="43"/>
      <c r="M348" s="43"/>
      <c r="N348" s="111"/>
      <c r="O348" s="43"/>
      <c r="P348" s="48"/>
      <c r="Q348" s="49"/>
      <c r="R348" s="37"/>
      <c r="S348" s="37"/>
      <c r="T348" s="37"/>
      <c r="U348" s="37"/>
      <c r="V348" s="59"/>
      <c r="W348" s="49"/>
      <c r="X348" s="37"/>
      <c r="Y348" s="37"/>
      <c r="Z348" s="37"/>
      <c r="AA348" s="37"/>
      <c r="AB348" s="37"/>
      <c r="AC348" s="37"/>
      <c r="AD348" s="37"/>
      <c r="AE348" s="37"/>
      <c r="AF348" s="37"/>
      <c r="AG348" s="59"/>
      <c r="AH348" s="49"/>
      <c r="AI348" s="37"/>
      <c r="AJ348" s="37"/>
      <c r="AK348" s="37"/>
      <c r="AL348" s="37"/>
      <c r="AM348" s="37"/>
      <c r="AN348" s="37"/>
      <c r="AO348" s="37"/>
      <c r="AP348" s="37"/>
      <c r="AQ348" s="37"/>
      <c r="AR348" s="37"/>
      <c r="AS348" s="37"/>
      <c r="AT348" s="37"/>
      <c r="AU348" s="37"/>
      <c r="AV348" s="59"/>
      <c r="AW348" s="1" t="str">
        <f>_xlfn.CONCAT(tbl_Ben_Info[[#This Row],[First Name]]," ",tbl_Ben_Info[[#This Row],[Father Name]]," ",tbl_Ben_Info[[#This Row],[Family Name]])</f>
        <v xml:space="preserve">  </v>
      </c>
    </row>
    <row r="349" spans="2:49" ht="25.15" customHeight="1" x14ac:dyDescent="0.25">
      <c r="B349" s="49">
        <v>344</v>
      </c>
      <c r="C349" s="1" t="str">
        <f>_xlfn.CONCAT("181-702-",IF(tbl_Ben_Info[[#This Row],[SN]]&lt;10,"00"&amp;tbl_Ben_Info[[#This Row],[SN]],IF(tbl_Ben_Info[[#This Row],[SN]]&lt;100,"0"&amp;tbl_Ben_Info[[#This Row],[SN]],tbl_Ben_Info[[#This Row],[SN]])))</f>
        <v>181-702-344</v>
      </c>
      <c r="D349" s="37"/>
      <c r="E349" s="40"/>
      <c r="F349" s="41"/>
      <c r="G349" s="42"/>
      <c r="H349" s="43"/>
      <c r="I349" s="73"/>
      <c r="J349" s="43"/>
      <c r="K349" s="43"/>
      <c r="L349" s="43"/>
      <c r="M349" s="43"/>
      <c r="N349" s="111"/>
      <c r="O349" s="43"/>
      <c r="P349" s="48"/>
      <c r="Q349" s="49"/>
      <c r="R349" s="37"/>
      <c r="S349" s="37"/>
      <c r="T349" s="37"/>
      <c r="U349" s="37"/>
      <c r="V349" s="59"/>
      <c r="W349" s="49"/>
      <c r="X349" s="37"/>
      <c r="Y349" s="37"/>
      <c r="Z349" s="37"/>
      <c r="AA349" s="37"/>
      <c r="AB349" s="37"/>
      <c r="AC349" s="37"/>
      <c r="AD349" s="37"/>
      <c r="AE349" s="37"/>
      <c r="AF349" s="37"/>
      <c r="AG349" s="59"/>
      <c r="AH349" s="49"/>
      <c r="AI349" s="37"/>
      <c r="AJ349" s="37"/>
      <c r="AK349" s="37"/>
      <c r="AL349" s="37"/>
      <c r="AM349" s="37"/>
      <c r="AN349" s="37"/>
      <c r="AO349" s="37"/>
      <c r="AP349" s="37"/>
      <c r="AQ349" s="37"/>
      <c r="AR349" s="37"/>
      <c r="AS349" s="37"/>
      <c r="AT349" s="37"/>
      <c r="AU349" s="37"/>
      <c r="AV349" s="59"/>
      <c r="AW349" s="1" t="str">
        <f>_xlfn.CONCAT(tbl_Ben_Info[[#This Row],[First Name]]," ",tbl_Ben_Info[[#This Row],[Father Name]]," ",tbl_Ben_Info[[#This Row],[Family Name]])</f>
        <v xml:space="preserve">  </v>
      </c>
    </row>
    <row r="350" spans="2:49" ht="25.15" customHeight="1" x14ac:dyDescent="0.25">
      <c r="B350" s="49">
        <v>345</v>
      </c>
      <c r="C350" s="1" t="str">
        <f>_xlfn.CONCAT("181-702-",IF(tbl_Ben_Info[[#This Row],[SN]]&lt;10,"00"&amp;tbl_Ben_Info[[#This Row],[SN]],IF(tbl_Ben_Info[[#This Row],[SN]]&lt;100,"0"&amp;tbl_Ben_Info[[#This Row],[SN]],tbl_Ben_Info[[#This Row],[SN]])))</f>
        <v>181-702-345</v>
      </c>
      <c r="D350" s="37"/>
      <c r="E350" s="40"/>
      <c r="F350" s="41"/>
      <c r="G350" s="42"/>
      <c r="H350" s="43"/>
      <c r="I350" s="73"/>
      <c r="J350" s="43"/>
      <c r="K350" s="43"/>
      <c r="L350" s="43"/>
      <c r="M350" s="43"/>
      <c r="N350" s="111"/>
      <c r="O350" s="43"/>
      <c r="P350" s="48"/>
      <c r="Q350" s="49"/>
      <c r="R350" s="37"/>
      <c r="S350" s="37"/>
      <c r="T350" s="37"/>
      <c r="U350" s="37"/>
      <c r="V350" s="59"/>
      <c r="W350" s="49"/>
      <c r="X350" s="37"/>
      <c r="Y350" s="37"/>
      <c r="Z350" s="37"/>
      <c r="AA350" s="37"/>
      <c r="AB350" s="37"/>
      <c r="AC350" s="37"/>
      <c r="AD350" s="37"/>
      <c r="AE350" s="37"/>
      <c r="AF350" s="37"/>
      <c r="AG350" s="59"/>
      <c r="AH350" s="49"/>
      <c r="AI350" s="37"/>
      <c r="AJ350" s="37"/>
      <c r="AK350" s="37"/>
      <c r="AL350" s="37"/>
      <c r="AM350" s="37"/>
      <c r="AN350" s="37"/>
      <c r="AO350" s="37"/>
      <c r="AP350" s="37"/>
      <c r="AQ350" s="37"/>
      <c r="AR350" s="37"/>
      <c r="AS350" s="37"/>
      <c r="AT350" s="37"/>
      <c r="AU350" s="37"/>
      <c r="AV350" s="59"/>
      <c r="AW350" s="1" t="str">
        <f>_xlfn.CONCAT(tbl_Ben_Info[[#This Row],[First Name]]," ",tbl_Ben_Info[[#This Row],[Father Name]]," ",tbl_Ben_Info[[#This Row],[Family Name]])</f>
        <v xml:space="preserve">  </v>
      </c>
    </row>
    <row r="351" spans="2:49" ht="25.15" customHeight="1" x14ac:dyDescent="0.25">
      <c r="B351" s="49">
        <v>346</v>
      </c>
      <c r="C351" s="1" t="str">
        <f>_xlfn.CONCAT("181-702-",IF(tbl_Ben_Info[[#This Row],[SN]]&lt;10,"00"&amp;tbl_Ben_Info[[#This Row],[SN]],IF(tbl_Ben_Info[[#This Row],[SN]]&lt;100,"0"&amp;tbl_Ben_Info[[#This Row],[SN]],tbl_Ben_Info[[#This Row],[SN]])))</f>
        <v>181-702-346</v>
      </c>
      <c r="D351" s="37"/>
      <c r="E351" s="40"/>
      <c r="F351" s="41"/>
      <c r="G351" s="42"/>
      <c r="H351" s="43"/>
      <c r="I351" s="73"/>
      <c r="J351" s="43"/>
      <c r="K351" s="43"/>
      <c r="L351" s="43"/>
      <c r="M351" s="43"/>
      <c r="N351" s="111"/>
      <c r="O351" s="43"/>
      <c r="P351" s="48"/>
      <c r="Q351" s="49"/>
      <c r="R351" s="37"/>
      <c r="S351" s="37"/>
      <c r="T351" s="37"/>
      <c r="U351" s="37"/>
      <c r="V351" s="59"/>
      <c r="W351" s="49"/>
      <c r="X351" s="37"/>
      <c r="Y351" s="37"/>
      <c r="Z351" s="37"/>
      <c r="AA351" s="37"/>
      <c r="AB351" s="37"/>
      <c r="AC351" s="37"/>
      <c r="AD351" s="37"/>
      <c r="AE351" s="37"/>
      <c r="AF351" s="37"/>
      <c r="AG351" s="59"/>
      <c r="AH351" s="49"/>
      <c r="AI351" s="37"/>
      <c r="AJ351" s="37"/>
      <c r="AK351" s="37"/>
      <c r="AL351" s="37"/>
      <c r="AM351" s="37"/>
      <c r="AN351" s="37"/>
      <c r="AO351" s="37"/>
      <c r="AP351" s="37"/>
      <c r="AQ351" s="37"/>
      <c r="AR351" s="37"/>
      <c r="AS351" s="37"/>
      <c r="AT351" s="37"/>
      <c r="AU351" s="37"/>
      <c r="AV351" s="59"/>
      <c r="AW351" s="1" t="str">
        <f>_xlfn.CONCAT(tbl_Ben_Info[[#This Row],[First Name]]," ",tbl_Ben_Info[[#This Row],[Father Name]]," ",tbl_Ben_Info[[#This Row],[Family Name]])</f>
        <v xml:space="preserve">  </v>
      </c>
    </row>
    <row r="352" spans="2:49" ht="25.15" customHeight="1" x14ac:dyDescent="0.25">
      <c r="B352" s="49">
        <v>347</v>
      </c>
      <c r="C352" s="1" t="str">
        <f>_xlfn.CONCAT("181-702-",IF(tbl_Ben_Info[[#This Row],[SN]]&lt;10,"00"&amp;tbl_Ben_Info[[#This Row],[SN]],IF(tbl_Ben_Info[[#This Row],[SN]]&lt;100,"0"&amp;tbl_Ben_Info[[#This Row],[SN]],tbl_Ben_Info[[#This Row],[SN]])))</f>
        <v>181-702-347</v>
      </c>
      <c r="D352" s="37"/>
      <c r="E352" s="40"/>
      <c r="F352" s="41"/>
      <c r="G352" s="42"/>
      <c r="H352" s="43"/>
      <c r="I352" s="73"/>
      <c r="J352" s="43"/>
      <c r="K352" s="43"/>
      <c r="L352" s="43"/>
      <c r="M352" s="43"/>
      <c r="N352" s="111"/>
      <c r="O352" s="43"/>
      <c r="P352" s="48"/>
      <c r="Q352" s="49"/>
      <c r="R352" s="37"/>
      <c r="S352" s="37"/>
      <c r="T352" s="37"/>
      <c r="U352" s="37"/>
      <c r="V352" s="59"/>
      <c r="W352" s="49"/>
      <c r="X352" s="37"/>
      <c r="Y352" s="37"/>
      <c r="Z352" s="37"/>
      <c r="AA352" s="37"/>
      <c r="AB352" s="37"/>
      <c r="AC352" s="37"/>
      <c r="AD352" s="37"/>
      <c r="AE352" s="37"/>
      <c r="AF352" s="37"/>
      <c r="AG352" s="59"/>
      <c r="AH352" s="49"/>
      <c r="AI352" s="37"/>
      <c r="AJ352" s="37"/>
      <c r="AK352" s="37"/>
      <c r="AL352" s="37"/>
      <c r="AM352" s="37"/>
      <c r="AN352" s="37"/>
      <c r="AO352" s="37"/>
      <c r="AP352" s="37"/>
      <c r="AQ352" s="37"/>
      <c r="AR352" s="37"/>
      <c r="AS352" s="37"/>
      <c r="AT352" s="37"/>
      <c r="AU352" s="37"/>
      <c r="AV352" s="59"/>
      <c r="AW352" s="1" t="str">
        <f>_xlfn.CONCAT(tbl_Ben_Info[[#This Row],[First Name]]," ",tbl_Ben_Info[[#This Row],[Father Name]]," ",tbl_Ben_Info[[#This Row],[Family Name]])</f>
        <v xml:space="preserve">  </v>
      </c>
    </row>
    <row r="353" spans="2:49" ht="25.15" customHeight="1" x14ac:dyDescent="0.25">
      <c r="B353" s="49">
        <v>348</v>
      </c>
      <c r="C353" s="1" t="str">
        <f>_xlfn.CONCAT("181-702-",IF(tbl_Ben_Info[[#This Row],[SN]]&lt;10,"00"&amp;tbl_Ben_Info[[#This Row],[SN]],IF(tbl_Ben_Info[[#This Row],[SN]]&lt;100,"0"&amp;tbl_Ben_Info[[#This Row],[SN]],tbl_Ben_Info[[#This Row],[SN]])))</f>
        <v>181-702-348</v>
      </c>
      <c r="D353" s="37"/>
      <c r="E353" s="40"/>
      <c r="F353" s="41"/>
      <c r="G353" s="42"/>
      <c r="H353" s="43"/>
      <c r="I353" s="73"/>
      <c r="J353" s="43"/>
      <c r="K353" s="43"/>
      <c r="L353" s="43"/>
      <c r="M353" s="43"/>
      <c r="N353" s="111"/>
      <c r="O353" s="43"/>
      <c r="P353" s="48"/>
      <c r="Q353" s="49"/>
      <c r="R353" s="37"/>
      <c r="S353" s="37"/>
      <c r="T353" s="37"/>
      <c r="U353" s="37"/>
      <c r="V353" s="59"/>
      <c r="W353" s="49"/>
      <c r="X353" s="37"/>
      <c r="Y353" s="37"/>
      <c r="Z353" s="37"/>
      <c r="AA353" s="37"/>
      <c r="AB353" s="37"/>
      <c r="AC353" s="37"/>
      <c r="AD353" s="37"/>
      <c r="AE353" s="37"/>
      <c r="AF353" s="37"/>
      <c r="AG353" s="59"/>
      <c r="AH353" s="49"/>
      <c r="AI353" s="37"/>
      <c r="AJ353" s="37"/>
      <c r="AK353" s="37"/>
      <c r="AL353" s="37"/>
      <c r="AM353" s="37"/>
      <c r="AN353" s="37"/>
      <c r="AO353" s="37"/>
      <c r="AP353" s="37"/>
      <c r="AQ353" s="37"/>
      <c r="AR353" s="37"/>
      <c r="AS353" s="37"/>
      <c r="AT353" s="37"/>
      <c r="AU353" s="37"/>
      <c r="AV353" s="59"/>
      <c r="AW353" s="1" t="str">
        <f>_xlfn.CONCAT(tbl_Ben_Info[[#This Row],[First Name]]," ",tbl_Ben_Info[[#This Row],[Father Name]]," ",tbl_Ben_Info[[#This Row],[Family Name]])</f>
        <v xml:space="preserve">  </v>
      </c>
    </row>
    <row r="354" spans="2:49" ht="25.15" customHeight="1" x14ac:dyDescent="0.25">
      <c r="B354" s="49">
        <v>349</v>
      </c>
      <c r="C354" s="1" t="str">
        <f>_xlfn.CONCAT("181-702-",IF(tbl_Ben_Info[[#This Row],[SN]]&lt;10,"00"&amp;tbl_Ben_Info[[#This Row],[SN]],IF(tbl_Ben_Info[[#This Row],[SN]]&lt;100,"0"&amp;tbl_Ben_Info[[#This Row],[SN]],tbl_Ben_Info[[#This Row],[SN]])))</f>
        <v>181-702-349</v>
      </c>
      <c r="D354" s="37"/>
      <c r="E354" s="40"/>
      <c r="F354" s="41"/>
      <c r="G354" s="42"/>
      <c r="H354" s="43"/>
      <c r="I354" s="73"/>
      <c r="J354" s="43"/>
      <c r="K354" s="43"/>
      <c r="L354" s="43"/>
      <c r="M354" s="43"/>
      <c r="N354" s="111"/>
      <c r="O354" s="43"/>
      <c r="P354" s="48"/>
      <c r="Q354" s="49"/>
      <c r="R354" s="37"/>
      <c r="S354" s="37"/>
      <c r="T354" s="37"/>
      <c r="U354" s="37"/>
      <c r="V354" s="59"/>
      <c r="W354" s="49"/>
      <c r="X354" s="37"/>
      <c r="Y354" s="37"/>
      <c r="Z354" s="37"/>
      <c r="AA354" s="37"/>
      <c r="AB354" s="37"/>
      <c r="AC354" s="37"/>
      <c r="AD354" s="37"/>
      <c r="AE354" s="37"/>
      <c r="AF354" s="37"/>
      <c r="AG354" s="59"/>
      <c r="AH354" s="49"/>
      <c r="AI354" s="37"/>
      <c r="AJ354" s="37"/>
      <c r="AK354" s="37"/>
      <c r="AL354" s="37"/>
      <c r="AM354" s="37"/>
      <c r="AN354" s="37"/>
      <c r="AO354" s="37"/>
      <c r="AP354" s="37"/>
      <c r="AQ354" s="37"/>
      <c r="AR354" s="37"/>
      <c r="AS354" s="37"/>
      <c r="AT354" s="37"/>
      <c r="AU354" s="37"/>
      <c r="AV354" s="59"/>
      <c r="AW354" s="1" t="str">
        <f>_xlfn.CONCAT(tbl_Ben_Info[[#This Row],[First Name]]," ",tbl_Ben_Info[[#This Row],[Father Name]]," ",tbl_Ben_Info[[#This Row],[Family Name]])</f>
        <v xml:space="preserve">  </v>
      </c>
    </row>
    <row r="355" spans="2:49" ht="25.15" customHeight="1" x14ac:dyDescent="0.25">
      <c r="B355" s="49">
        <v>350</v>
      </c>
      <c r="C355" s="1" t="str">
        <f>_xlfn.CONCAT("181-702-",IF(tbl_Ben_Info[[#This Row],[SN]]&lt;10,"00"&amp;tbl_Ben_Info[[#This Row],[SN]],IF(tbl_Ben_Info[[#This Row],[SN]]&lt;100,"0"&amp;tbl_Ben_Info[[#This Row],[SN]],tbl_Ben_Info[[#This Row],[SN]])))</f>
        <v>181-702-350</v>
      </c>
      <c r="D355" s="37"/>
      <c r="E355" s="40"/>
      <c r="F355" s="41"/>
      <c r="G355" s="42"/>
      <c r="H355" s="43"/>
      <c r="I355" s="73"/>
      <c r="J355" s="43"/>
      <c r="K355" s="43"/>
      <c r="L355" s="43"/>
      <c r="M355" s="43"/>
      <c r="N355" s="111"/>
      <c r="O355" s="43"/>
      <c r="P355" s="48"/>
      <c r="Q355" s="49"/>
      <c r="R355" s="37"/>
      <c r="S355" s="37"/>
      <c r="T355" s="37"/>
      <c r="U355" s="37"/>
      <c r="V355" s="59"/>
      <c r="W355" s="49"/>
      <c r="X355" s="37"/>
      <c r="Y355" s="37"/>
      <c r="Z355" s="37"/>
      <c r="AA355" s="37"/>
      <c r="AB355" s="37"/>
      <c r="AC355" s="37"/>
      <c r="AD355" s="37"/>
      <c r="AE355" s="37"/>
      <c r="AF355" s="37"/>
      <c r="AG355" s="59"/>
      <c r="AH355" s="49"/>
      <c r="AI355" s="37"/>
      <c r="AJ355" s="37"/>
      <c r="AK355" s="37"/>
      <c r="AL355" s="37"/>
      <c r="AM355" s="37"/>
      <c r="AN355" s="37"/>
      <c r="AO355" s="37"/>
      <c r="AP355" s="37"/>
      <c r="AQ355" s="37"/>
      <c r="AR355" s="37"/>
      <c r="AS355" s="37"/>
      <c r="AT355" s="37"/>
      <c r="AU355" s="37"/>
      <c r="AV355" s="59"/>
      <c r="AW355" s="1" t="str">
        <f>_xlfn.CONCAT(tbl_Ben_Info[[#This Row],[First Name]]," ",tbl_Ben_Info[[#This Row],[Father Name]]," ",tbl_Ben_Info[[#This Row],[Family Name]])</f>
        <v xml:space="preserve">  </v>
      </c>
    </row>
    <row r="356" spans="2:49" ht="25.15" customHeight="1" x14ac:dyDescent="0.25">
      <c r="B356" s="49">
        <v>351</v>
      </c>
      <c r="C356" s="1" t="str">
        <f>_xlfn.CONCAT("181-702-",IF(tbl_Ben_Info[[#This Row],[SN]]&lt;10,"00"&amp;tbl_Ben_Info[[#This Row],[SN]],IF(tbl_Ben_Info[[#This Row],[SN]]&lt;100,"0"&amp;tbl_Ben_Info[[#This Row],[SN]],tbl_Ben_Info[[#This Row],[SN]])))</f>
        <v>181-702-351</v>
      </c>
      <c r="D356" s="37"/>
      <c r="E356" s="40"/>
      <c r="F356" s="41"/>
      <c r="G356" s="42"/>
      <c r="H356" s="43"/>
      <c r="I356" s="73"/>
      <c r="J356" s="43"/>
      <c r="K356" s="43"/>
      <c r="L356" s="43"/>
      <c r="M356" s="43"/>
      <c r="N356" s="111"/>
      <c r="O356" s="43"/>
      <c r="P356" s="48"/>
      <c r="Q356" s="49"/>
      <c r="R356" s="37"/>
      <c r="S356" s="37"/>
      <c r="T356" s="37"/>
      <c r="U356" s="37"/>
      <c r="V356" s="59"/>
      <c r="W356" s="49"/>
      <c r="X356" s="37"/>
      <c r="Y356" s="37"/>
      <c r="Z356" s="37"/>
      <c r="AA356" s="37"/>
      <c r="AB356" s="37"/>
      <c r="AC356" s="37"/>
      <c r="AD356" s="37"/>
      <c r="AE356" s="37"/>
      <c r="AF356" s="37"/>
      <c r="AG356" s="59"/>
      <c r="AH356" s="49"/>
      <c r="AI356" s="37"/>
      <c r="AJ356" s="37"/>
      <c r="AK356" s="37"/>
      <c r="AL356" s="37"/>
      <c r="AM356" s="37"/>
      <c r="AN356" s="37"/>
      <c r="AO356" s="37"/>
      <c r="AP356" s="37"/>
      <c r="AQ356" s="37"/>
      <c r="AR356" s="37"/>
      <c r="AS356" s="37"/>
      <c r="AT356" s="37"/>
      <c r="AU356" s="37"/>
      <c r="AV356" s="59"/>
      <c r="AW356" s="1" t="str">
        <f>_xlfn.CONCAT(tbl_Ben_Info[[#This Row],[First Name]]," ",tbl_Ben_Info[[#This Row],[Father Name]]," ",tbl_Ben_Info[[#This Row],[Family Name]])</f>
        <v xml:space="preserve">  </v>
      </c>
    </row>
    <row r="357" spans="2:49" ht="25.15" customHeight="1" x14ac:dyDescent="0.25">
      <c r="B357" s="49">
        <v>352</v>
      </c>
      <c r="C357" s="1" t="str">
        <f>_xlfn.CONCAT("181-702-",IF(tbl_Ben_Info[[#This Row],[SN]]&lt;10,"00"&amp;tbl_Ben_Info[[#This Row],[SN]],IF(tbl_Ben_Info[[#This Row],[SN]]&lt;100,"0"&amp;tbl_Ben_Info[[#This Row],[SN]],tbl_Ben_Info[[#This Row],[SN]])))</f>
        <v>181-702-352</v>
      </c>
      <c r="D357" s="37"/>
      <c r="E357" s="40"/>
      <c r="F357" s="41"/>
      <c r="G357" s="42"/>
      <c r="H357" s="43"/>
      <c r="I357" s="73"/>
      <c r="J357" s="43"/>
      <c r="K357" s="43"/>
      <c r="L357" s="43"/>
      <c r="M357" s="43"/>
      <c r="N357" s="111"/>
      <c r="O357" s="43"/>
      <c r="P357" s="48"/>
      <c r="Q357" s="49"/>
      <c r="R357" s="37"/>
      <c r="S357" s="37"/>
      <c r="T357" s="37"/>
      <c r="U357" s="37"/>
      <c r="V357" s="59"/>
      <c r="W357" s="49"/>
      <c r="X357" s="37"/>
      <c r="Y357" s="37"/>
      <c r="Z357" s="37"/>
      <c r="AA357" s="37"/>
      <c r="AB357" s="37"/>
      <c r="AC357" s="37"/>
      <c r="AD357" s="37"/>
      <c r="AE357" s="37"/>
      <c r="AF357" s="37"/>
      <c r="AG357" s="59"/>
      <c r="AH357" s="49"/>
      <c r="AI357" s="37"/>
      <c r="AJ357" s="37"/>
      <c r="AK357" s="37"/>
      <c r="AL357" s="37"/>
      <c r="AM357" s="37"/>
      <c r="AN357" s="37"/>
      <c r="AO357" s="37"/>
      <c r="AP357" s="37"/>
      <c r="AQ357" s="37"/>
      <c r="AR357" s="37"/>
      <c r="AS357" s="37"/>
      <c r="AT357" s="37"/>
      <c r="AU357" s="37"/>
      <c r="AV357" s="59"/>
      <c r="AW357" s="1" t="str">
        <f>_xlfn.CONCAT(tbl_Ben_Info[[#This Row],[First Name]]," ",tbl_Ben_Info[[#This Row],[Father Name]]," ",tbl_Ben_Info[[#This Row],[Family Name]])</f>
        <v xml:space="preserve">  </v>
      </c>
    </row>
    <row r="358" spans="2:49" ht="25.15" customHeight="1" x14ac:dyDescent="0.25">
      <c r="B358" s="49">
        <v>353</v>
      </c>
      <c r="C358" s="1" t="str">
        <f>_xlfn.CONCAT("181-702-",IF(tbl_Ben_Info[[#This Row],[SN]]&lt;10,"00"&amp;tbl_Ben_Info[[#This Row],[SN]],IF(tbl_Ben_Info[[#This Row],[SN]]&lt;100,"0"&amp;tbl_Ben_Info[[#This Row],[SN]],tbl_Ben_Info[[#This Row],[SN]])))</f>
        <v>181-702-353</v>
      </c>
      <c r="D358" s="37"/>
      <c r="E358" s="40"/>
      <c r="F358" s="41"/>
      <c r="G358" s="42"/>
      <c r="H358" s="43"/>
      <c r="I358" s="73"/>
      <c r="J358" s="43"/>
      <c r="K358" s="43"/>
      <c r="L358" s="43"/>
      <c r="M358" s="43"/>
      <c r="N358" s="111"/>
      <c r="O358" s="43"/>
      <c r="P358" s="48"/>
      <c r="Q358" s="49"/>
      <c r="R358" s="37"/>
      <c r="S358" s="37"/>
      <c r="T358" s="37"/>
      <c r="U358" s="37"/>
      <c r="V358" s="59"/>
      <c r="W358" s="49"/>
      <c r="X358" s="37"/>
      <c r="Y358" s="37"/>
      <c r="Z358" s="37"/>
      <c r="AA358" s="37"/>
      <c r="AB358" s="37"/>
      <c r="AC358" s="37"/>
      <c r="AD358" s="37"/>
      <c r="AE358" s="37"/>
      <c r="AF358" s="37"/>
      <c r="AG358" s="59"/>
      <c r="AH358" s="49"/>
      <c r="AI358" s="37"/>
      <c r="AJ358" s="37"/>
      <c r="AK358" s="37"/>
      <c r="AL358" s="37"/>
      <c r="AM358" s="37"/>
      <c r="AN358" s="37"/>
      <c r="AO358" s="37"/>
      <c r="AP358" s="37"/>
      <c r="AQ358" s="37"/>
      <c r="AR358" s="37"/>
      <c r="AS358" s="37"/>
      <c r="AT358" s="37"/>
      <c r="AU358" s="37"/>
      <c r="AV358" s="59"/>
      <c r="AW358" s="1" t="str">
        <f>_xlfn.CONCAT(tbl_Ben_Info[[#This Row],[First Name]]," ",tbl_Ben_Info[[#This Row],[Father Name]]," ",tbl_Ben_Info[[#This Row],[Family Name]])</f>
        <v xml:space="preserve">  </v>
      </c>
    </row>
    <row r="359" spans="2:49" ht="25.15" customHeight="1" x14ac:dyDescent="0.25">
      <c r="B359" s="49">
        <v>354</v>
      </c>
      <c r="C359" s="1" t="str">
        <f>_xlfn.CONCAT("181-702-",IF(tbl_Ben_Info[[#This Row],[SN]]&lt;10,"00"&amp;tbl_Ben_Info[[#This Row],[SN]],IF(tbl_Ben_Info[[#This Row],[SN]]&lt;100,"0"&amp;tbl_Ben_Info[[#This Row],[SN]],tbl_Ben_Info[[#This Row],[SN]])))</f>
        <v>181-702-354</v>
      </c>
      <c r="D359" s="37"/>
      <c r="E359" s="40"/>
      <c r="F359" s="41"/>
      <c r="G359" s="42"/>
      <c r="H359" s="43"/>
      <c r="I359" s="73"/>
      <c r="J359" s="43"/>
      <c r="K359" s="43"/>
      <c r="L359" s="43"/>
      <c r="M359" s="43"/>
      <c r="N359" s="111"/>
      <c r="O359" s="43"/>
      <c r="P359" s="48"/>
      <c r="Q359" s="49"/>
      <c r="R359" s="37"/>
      <c r="S359" s="37"/>
      <c r="T359" s="37"/>
      <c r="U359" s="37"/>
      <c r="V359" s="59"/>
      <c r="W359" s="49"/>
      <c r="X359" s="37"/>
      <c r="Y359" s="37"/>
      <c r="Z359" s="37"/>
      <c r="AA359" s="37"/>
      <c r="AB359" s="37"/>
      <c r="AC359" s="37"/>
      <c r="AD359" s="37"/>
      <c r="AE359" s="37"/>
      <c r="AF359" s="37"/>
      <c r="AG359" s="59"/>
      <c r="AH359" s="49"/>
      <c r="AI359" s="37"/>
      <c r="AJ359" s="37"/>
      <c r="AK359" s="37"/>
      <c r="AL359" s="37"/>
      <c r="AM359" s="37"/>
      <c r="AN359" s="37"/>
      <c r="AO359" s="37"/>
      <c r="AP359" s="37"/>
      <c r="AQ359" s="37"/>
      <c r="AR359" s="37"/>
      <c r="AS359" s="37"/>
      <c r="AT359" s="37"/>
      <c r="AU359" s="37"/>
      <c r="AV359" s="59"/>
      <c r="AW359" s="1" t="str">
        <f>_xlfn.CONCAT(tbl_Ben_Info[[#This Row],[First Name]]," ",tbl_Ben_Info[[#This Row],[Father Name]]," ",tbl_Ben_Info[[#This Row],[Family Name]])</f>
        <v xml:space="preserve">  </v>
      </c>
    </row>
    <row r="360" spans="2:49" ht="25.15" customHeight="1" x14ac:dyDescent="0.25">
      <c r="B360" s="49">
        <v>355</v>
      </c>
      <c r="C360" s="1" t="str">
        <f>_xlfn.CONCAT("181-702-",IF(tbl_Ben_Info[[#This Row],[SN]]&lt;10,"00"&amp;tbl_Ben_Info[[#This Row],[SN]],IF(tbl_Ben_Info[[#This Row],[SN]]&lt;100,"0"&amp;tbl_Ben_Info[[#This Row],[SN]],tbl_Ben_Info[[#This Row],[SN]])))</f>
        <v>181-702-355</v>
      </c>
      <c r="D360" s="37"/>
      <c r="E360" s="40"/>
      <c r="F360" s="41"/>
      <c r="G360" s="42"/>
      <c r="H360" s="43"/>
      <c r="I360" s="73"/>
      <c r="J360" s="43"/>
      <c r="K360" s="43"/>
      <c r="L360" s="43"/>
      <c r="M360" s="43"/>
      <c r="N360" s="111"/>
      <c r="O360" s="43"/>
      <c r="P360" s="48"/>
      <c r="Q360" s="49"/>
      <c r="R360" s="37"/>
      <c r="S360" s="37"/>
      <c r="T360" s="37"/>
      <c r="U360" s="37"/>
      <c r="V360" s="59"/>
      <c r="W360" s="49"/>
      <c r="X360" s="37"/>
      <c r="Y360" s="37"/>
      <c r="Z360" s="37"/>
      <c r="AA360" s="37"/>
      <c r="AB360" s="37"/>
      <c r="AC360" s="37"/>
      <c r="AD360" s="37"/>
      <c r="AE360" s="37"/>
      <c r="AF360" s="37"/>
      <c r="AG360" s="59"/>
      <c r="AH360" s="49"/>
      <c r="AI360" s="37"/>
      <c r="AJ360" s="37"/>
      <c r="AK360" s="37"/>
      <c r="AL360" s="37"/>
      <c r="AM360" s="37"/>
      <c r="AN360" s="37"/>
      <c r="AO360" s="37"/>
      <c r="AP360" s="37"/>
      <c r="AQ360" s="37"/>
      <c r="AR360" s="37"/>
      <c r="AS360" s="37"/>
      <c r="AT360" s="37"/>
      <c r="AU360" s="37"/>
      <c r="AV360" s="59"/>
      <c r="AW360" s="1" t="str">
        <f>_xlfn.CONCAT(tbl_Ben_Info[[#This Row],[First Name]]," ",tbl_Ben_Info[[#This Row],[Father Name]]," ",tbl_Ben_Info[[#This Row],[Family Name]])</f>
        <v xml:space="preserve">  </v>
      </c>
    </row>
    <row r="361" spans="2:49" ht="25.15" customHeight="1" x14ac:dyDescent="0.25">
      <c r="B361" s="49">
        <v>356</v>
      </c>
      <c r="C361" s="1" t="str">
        <f>_xlfn.CONCAT("181-702-",IF(tbl_Ben_Info[[#This Row],[SN]]&lt;10,"00"&amp;tbl_Ben_Info[[#This Row],[SN]],IF(tbl_Ben_Info[[#This Row],[SN]]&lt;100,"0"&amp;tbl_Ben_Info[[#This Row],[SN]],tbl_Ben_Info[[#This Row],[SN]])))</f>
        <v>181-702-356</v>
      </c>
      <c r="D361" s="37"/>
      <c r="E361" s="40"/>
      <c r="F361" s="41"/>
      <c r="G361" s="42"/>
      <c r="H361" s="43"/>
      <c r="I361" s="73"/>
      <c r="J361" s="43"/>
      <c r="K361" s="43"/>
      <c r="L361" s="43"/>
      <c r="M361" s="43"/>
      <c r="N361" s="111"/>
      <c r="O361" s="43"/>
      <c r="P361" s="48"/>
      <c r="Q361" s="49"/>
      <c r="R361" s="37"/>
      <c r="S361" s="37"/>
      <c r="T361" s="37"/>
      <c r="U361" s="37"/>
      <c r="V361" s="59"/>
      <c r="W361" s="49"/>
      <c r="X361" s="37"/>
      <c r="Y361" s="37"/>
      <c r="Z361" s="37"/>
      <c r="AA361" s="37"/>
      <c r="AB361" s="37"/>
      <c r="AC361" s="37"/>
      <c r="AD361" s="37"/>
      <c r="AE361" s="37"/>
      <c r="AF361" s="37"/>
      <c r="AG361" s="59"/>
      <c r="AH361" s="49"/>
      <c r="AI361" s="37"/>
      <c r="AJ361" s="37"/>
      <c r="AK361" s="37"/>
      <c r="AL361" s="37"/>
      <c r="AM361" s="37"/>
      <c r="AN361" s="37"/>
      <c r="AO361" s="37"/>
      <c r="AP361" s="37"/>
      <c r="AQ361" s="37"/>
      <c r="AR361" s="37"/>
      <c r="AS361" s="37"/>
      <c r="AT361" s="37"/>
      <c r="AU361" s="37"/>
      <c r="AV361" s="59"/>
      <c r="AW361" s="1" t="str">
        <f>_xlfn.CONCAT(tbl_Ben_Info[[#This Row],[First Name]]," ",tbl_Ben_Info[[#This Row],[Father Name]]," ",tbl_Ben_Info[[#This Row],[Family Name]])</f>
        <v xml:space="preserve">  </v>
      </c>
    </row>
    <row r="362" spans="2:49" ht="25.15" customHeight="1" x14ac:dyDescent="0.25">
      <c r="B362" s="49">
        <v>357</v>
      </c>
      <c r="C362" s="1" t="str">
        <f>_xlfn.CONCAT("181-702-",IF(tbl_Ben_Info[[#This Row],[SN]]&lt;10,"00"&amp;tbl_Ben_Info[[#This Row],[SN]],IF(tbl_Ben_Info[[#This Row],[SN]]&lt;100,"0"&amp;tbl_Ben_Info[[#This Row],[SN]],tbl_Ben_Info[[#This Row],[SN]])))</f>
        <v>181-702-357</v>
      </c>
      <c r="D362" s="37"/>
      <c r="E362" s="40"/>
      <c r="F362" s="41"/>
      <c r="G362" s="42"/>
      <c r="H362" s="43"/>
      <c r="I362" s="73"/>
      <c r="J362" s="43"/>
      <c r="K362" s="43"/>
      <c r="L362" s="43"/>
      <c r="M362" s="43"/>
      <c r="N362" s="111"/>
      <c r="O362" s="43"/>
      <c r="P362" s="48"/>
      <c r="Q362" s="49"/>
      <c r="R362" s="37"/>
      <c r="S362" s="37"/>
      <c r="T362" s="37"/>
      <c r="U362" s="37"/>
      <c r="V362" s="59"/>
      <c r="W362" s="49"/>
      <c r="X362" s="37"/>
      <c r="Y362" s="37"/>
      <c r="Z362" s="37"/>
      <c r="AA362" s="37"/>
      <c r="AB362" s="37"/>
      <c r="AC362" s="37"/>
      <c r="AD362" s="37"/>
      <c r="AE362" s="37"/>
      <c r="AF362" s="37"/>
      <c r="AG362" s="59"/>
      <c r="AH362" s="49"/>
      <c r="AI362" s="37"/>
      <c r="AJ362" s="37"/>
      <c r="AK362" s="37"/>
      <c r="AL362" s="37"/>
      <c r="AM362" s="37"/>
      <c r="AN362" s="37"/>
      <c r="AO362" s="37"/>
      <c r="AP362" s="37"/>
      <c r="AQ362" s="37"/>
      <c r="AR362" s="37"/>
      <c r="AS362" s="37"/>
      <c r="AT362" s="37"/>
      <c r="AU362" s="37"/>
      <c r="AV362" s="59"/>
      <c r="AW362" s="1" t="str">
        <f>_xlfn.CONCAT(tbl_Ben_Info[[#This Row],[First Name]]," ",tbl_Ben_Info[[#This Row],[Father Name]]," ",tbl_Ben_Info[[#This Row],[Family Name]])</f>
        <v xml:space="preserve">  </v>
      </c>
    </row>
    <row r="363" spans="2:49" ht="25.15" customHeight="1" x14ac:dyDescent="0.25">
      <c r="B363" s="49">
        <v>358</v>
      </c>
      <c r="C363" s="1" t="str">
        <f>_xlfn.CONCAT("181-702-",IF(tbl_Ben_Info[[#This Row],[SN]]&lt;10,"00"&amp;tbl_Ben_Info[[#This Row],[SN]],IF(tbl_Ben_Info[[#This Row],[SN]]&lt;100,"0"&amp;tbl_Ben_Info[[#This Row],[SN]],tbl_Ben_Info[[#This Row],[SN]])))</f>
        <v>181-702-358</v>
      </c>
      <c r="D363" s="37"/>
      <c r="E363" s="40"/>
      <c r="F363" s="41"/>
      <c r="G363" s="42"/>
      <c r="H363" s="43"/>
      <c r="I363" s="73"/>
      <c r="J363" s="43"/>
      <c r="K363" s="43"/>
      <c r="L363" s="43"/>
      <c r="M363" s="43"/>
      <c r="N363" s="111"/>
      <c r="O363" s="43"/>
      <c r="P363" s="48"/>
      <c r="Q363" s="49"/>
      <c r="R363" s="37"/>
      <c r="S363" s="37"/>
      <c r="T363" s="37"/>
      <c r="U363" s="37"/>
      <c r="V363" s="59"/>
      <c r="W363" s="49"/>
      <c r="X363" s="37"/>
      <c r="Y363" s="37"/>
      <c r="Z363" s="37"/>
      <c r="AA363" s="37"/>
      <c r="AB363" s="37"/>
      <c r="AC363" s="37"/>
      <c r="AD363" s="37"/>
      <c r="AE363" s="37"/>
      <c r="AF363" s="37"/>
      <c r="AG363" s="59"/>
      <c r="AH363" s="49"/>
      <c r="AI363" s="37"/>
      <c r="AJ363" s="37"/>
      <c r="AK363" s="37"/>
      <c r="AL363" s="37"/>
      <c r="AM363" s="37"/>
      <c r="AN363" s="37"/>
      <c r="AO363" s="37"/>
      <c r="AP363" s="37"/>
      <c r="AQ363" s="37"/>
      <c r="AR363" s="37"/>
      <c r="AS363" s="37"/>
      <c r="AT363" s="37"/>
      <c r="AU363" s="37"/>
      <c r="AV363" s="59"/>
      <c r="AW363" s="1" t="str">
        <f>_xlfn.CONCAT(tbl_Ben_Info[[#This Row],[First Name]]," ",tbl_Ben_Info[[#This Row],[Father Name]]," ",tbl_Ben_Info[[#This Row],[Family Name]])</f>
        <v xml:space="preserve">  </v>
      </c>
    </row>
    <row r="364" spans="2:49" ht="25.15" customHeight="1" x14ac:dyDescent="0.25">
      <c r="B364" s="49">
        <v>359</v>
      </c>
      <c r="C364" s="1" t="str">
        <f>_xlfn.CONCAT("181-702-",IF(tbl_Ben_Info[[#This Row],[SN]]&lt;10,"00"&amp;tbl_Ben_Info[[#This Row],[SN]],IF(tbl_Ben_Info[[#This Row],[SN]]&lt;100,"0"&amp;tbl_Ben_Info[[#This Row],[SN]],tbl_Ben_Info[[#This Row],[SN]])))</f>
        <v>181-702-359</v>
      </c>
      <c r="D364" s="37"/>
      <c r="E364" s="40"/>
      <c r="F364" s="41"/>
      <c r="G364" s="42"/>
      <c r="H364" s="43"/>
      <c r="I364" s="73"/>
      <c r="J364" s="43"/>
      <c r="K364" s="43"/>
      <c r="L364" s="43"/>
      <c r="M364" s="43"/>
      <c r="N364" s="111"/>
      <c r="O364" s="43"/>
      <c r="P364" s="48"/>
      <c r="Q364" s="49"/>
      <c r="R364" s="37"/>
      <c r="S364" s="37"/>
      <c r="T364" s="37"/>
      <c r="U364" s="37"/>
      <c r="V364" s="59"/>
      <c r="W364" s="49"/>
      <c r="X364" s="37"/>
      <c r="Y364" s="37"/>
      <c r="Z364" s="37"/>
      <c r="AA364" s="37"/>
      <c r="AB364" s="37"/>
      <c r="AC364" s="37"/>
      <c r="AD364" s="37"/>
      <c r="AE364" s="37"/>
      <c r="AF364" s="37"/>
      <c r="AG364" s="59"/>
      <c r="AH364" s="49"/>
      <c r="AI364" s="37"/>
      <c r="AJ364" s="37"/>
      <c r="AK364" s="37"/>
      <c r="AL364" s="37"/>
      <c r="AM364" s="37"/>
      <c r="AN364" s="37"/>
      <c r="AO364" s="37"/>
      <c r="AP364" s="37"/>
      <c r="AQ364" s="37"/>
      <c r="AR364" s="37"/>
      <c r="AS364" s="37"/>
      <c r="AT364" s="37"/>
      <c r="AU364" s="37"/>
      <c r="AV364" s="59"/>
      <c r="AW364" s="1" t="str">
        <f>_xlfn.CONCAT(tbl_Ben_Info[[#This Row],[First Name]]," ",tbl_Ben_Info[[#This Row],[Father Name]]," ",tbl_Ben_Info[[#This Row],[Family Name]])</f>
        <v xml:space="preserve">  </v>
      </c>
    </row>
    <row r="365" spans="2:49" ht="25.15" customHeight="1" x14ac:dyDescent="0.25">
      <c r="B365" s="49">
        <v>360</v>
      </c>
      <c r="C365" s="1" t="str">
        <f>_xlfn.CONCAT("181-702-",IF(tbl_Ben_Info[[#This Row],[SN]]&lt;10,"00"&amp;tbl_Ben_Info[[#This Row],[SN]],IF(tbl_Ben_Info[[#This Row],[SN]]&lt;100,"0"&amp;tbl_Ben_Info[[#This Row],[SN]],tbl_Ben_Info[[#This Row],[SN]])))</f>
        <v>181-702-360</v>
      </c>
      <c r="D365" s="37"/>
      <c r="E365" s="40"/>
      <c r="F365" s="41"/>
      <c r="G365" s="42"/>
      <c r="H365" s="43"/>
      <c r="I365" s="73"/>
      <c r="J365" s="43"/>
      <c r="K365" s="43"/>
      <c r="L365" s="43"/>
      <c r="M365" s="43"/>
      <c r="N365" s="111"/>
      <c r="O365" s="43"/>
      <c r="P365" s="48"/>
      <c r="Q365" s="49"/>
      <c r="R365" s="37"/>
      <c r="S365" s="37"/>
      <c r="T365" s="37"/>
      <c r="U365" s="37"/>
      <c r="V365" s="59"/>
      <c r="W365" s="49"/>
      <c r="X365" s="37"/>
      <c r="Y365" s="37"/>
      <c r="Z365" s="37"/>
      <c r="AA365" s="37"/>
      <c r="AB365" s="37"/>
      <c r="AC365" s="37"/>
      <c r="AD365" s="37"/>
      <c r="AE365" s="37"/>
      <c r="AF365" s="37"/>
      <c r="AG365" s="59"/>
      <c r="AH365" s="49"/>
      <c r="AI365" s="37"/>
      <c r="AJ365" s="37"/>
      <c r="AK365" s="37"/>
      <c r="AL365" s="37"/>
      <c r="AM365" s="37"/>
      <c r="AN365" s="37"/>
      <c r="AO365" s="37"/>
      <c r="AP365" s="37"/>
      <c r="AQ365" s="37"/>
      <c r="AR365" s="37"/>
      <c r="AS365" s="37"/>
      <c r="AT365" s="37"/>
      <c r="AU365" s="37"/>
      <c r="AV365" s="59"/>
      <c r="AW365" s="1" t="str">
        <f>_xlfn.CONCAT(tbl_Ben_Info[[#This Row],[First Name]]," ",tbl_Ben_Info[[#This Row],[Father Name]]," ",tbl_Ben_Info[[#This Row],[Family Name]])</f>
        <v xml:space="preserve">  </v>
      </c>
    </row>
    <row r="366" spans="2:49" ht="25.15" customHeight="1" x14ac:dyDescent="0.25">
      <c r="B366" s="49">
        <v>361</v>
      </c>
      <c r="C366" s="1" t="str">
        <f>_xlfn.CONCAT("181-702-",IF(tbl_Ben_Info[[#This Row],[SN]]&lt;10,"00"&amp;tbl_Ben_Info[[#This Row],[SN]],IF(tbl_Ben_Info[[#This Row],[SN]]&lt;100,"0"&amp;tbl_Ben_Info[[#This Row],[SN]],tbl_Ben_Info[[#This Row],[SN]])))</f>
        <v>181-702-361</v>
      </c>
      <c r="D366" s="37"/>
      <c r="E366" s="40"/>
      <c r="F366" s="41"/>
      <c r="G366" s="42"/>
      <c r="H366" s="43"/>
      <c r="I366" s="73"/>
      <c r="J366" s="43"/>
      <c r="K366" s="43"/>
      <c r="L366" s="43"/>
      <c r="M366" s="43"/>
      <c r="N366" s="111"/>
      <c r="O366" s="43"/>
      <c r="P366" s="48"/>
      <c r="Q366" s="49"/>
      <c r="R366" s="37"/>
      <c r="S366" s="37"/>
      <c r="T366" s="37"/>
      <c r="U366" s="37"/>
      <c r="V366" s="59"/>
      <c r="W366" s="49"/>
      <c r="X366" s="37"/>
      <c r="Y366" s="37"/>
      <c r="Z366" s="37"/>
      <c r="AA366" s="37"/>
      <c r="AB366" s="37"/>
      <c r="AC366" s="37"/>
      <c r="AD366" s="37"/>
      <c r="AE366" s="37"/>
      <c r="AF366" s="37"/>
      <c r="AG366" s="59"/>
      <c r="AH366" s="49"/>
      <c r="AI366" s="37"/>
      <c r="AJ366" s="37"/>
      <c r="AK366" s="37"/>
      <c r="AL366" s="37"/>
      <c r="AM366" s="37"/>
      <c r="AN366" s="37"/>
      <c r="AO366" s="37"/>
      <c r="AP366" s="37"/>
      <c r="AQ366" s="37"/>
      <c r="AR366" s="37"/>
      <c r="AS366" s="37"/>
      <c r="AT366" s="37"/>
      <c r="AU366" s="37"/>
      <c r="AV366" s="59"/>
      <c r="AW366" s="1" t="str">
        <f>_xlfn.CONCAT(tbl_Ben_Info[[#This Row],[First Name]]," ",tbl_Ben_Info[[#This Row],[Father Name]]," ",tbl_Ben_Info[[#This Row],[Family Name]])</f>
        <v xml:space="preserve">  </v>
      </c>
    </row>
    <row r="367" spans="2:49" ht="25.15" customHeight="1" x14ac:dyDescent="0.25">
      <c r="B367" s="49">
        <v>362</v>
      </c>
      <c r="C367" s="1" t="str">
        <f>_xlfn.CONCAT("181-702-",IF(tbl_Ben_Info[[#This Row],[SN]]&lt;10,"00"&amp;tbl_Ben_Info[[#This Row],[SN]],IF(tbl_Ben_Info[[#This Row],[SN]]&lt;100,"0"&amp;tbl_Ben_Info[[#This Row],[SN]],tbl_Ben_Info[[#This Row],[SN]])))</f>
        <v>181-702-362</v>
      </c>
      <c r="D367" s="37"/>
      <c r="E367" s="40"/>
      <c r="F367" s="41"/>
      <c r="G367" s="42"/>
      <c r="H367" s="43"/>
      <c r="I367" s="73"/>
      <c r="J367" s="43"/>
      <c r="K367" s="43"/>
      <c r="L367" s="43"/>
      <c r="M367" s="43"/>
      <c r="N367" s="111"/>
      <c r="O367" s="43"/>
      <c r="P367" s="48"/>
      <c r="Q367" s="49"/>
      <c r="R367" s="37"/>
      <c r="S367" s="37"/>
      <c r="T367" s="37"/>
      <c r="U367" s="37"/>
      <c r="V367" s="59"/>
      <c r="W367" s="49"/>
      <c r="X367" s="37"/>
      <c r="Y367" s="37"/>
      <c r="Z367" s="37"/>
      <c r="AA367" s="37"/>
      <c r="AB367" s="37"/>
      <c r="AC367" s="37"/>
      <c r="AD367" s="37"/>
      <c r="AE367" s="37"/>
      <c r="AF367" s="37"/>
      <c r="AG367" s="59"/>
      <c r="AH367" s="49"/>
      <c r="AI367" s="37"/>
      <c r="AJ367" s="37"/>
      <c r="AK367" s="37"/>
      <c r="AL367" s="37"/>
      <c r="AM367" s="37"/>
      <c r="AN367" s="37"/>
      <c r="AO367" s="37"/>
      <c r="AP367" s="37"/>
      <c r="AQ367" s="37"/>
      <c r="AR367" s="37"/>
      <c r="AS367" s="37"/>
      <c r="AT367" s="37"/>
      <c r="AU367" s="37"/>
      <c r="AV367" s="59"/>
      <c r="AW367" s="1" t="str">
        <f>_xlfn.CONCAT(tbl_Ben_Info[[#This Row],[First Name]]," ",tbl_Ben_Info[[#This Row],[Father Name]]," ",tbl_Ben_Info[[#This Row],[Family Name]])</f>
        <v xml:space="preserve">  </v>
      </c>
    </row>
    <row r="368" spans="2:49" ht="25.15" customHeight="1" x14ac:dyDescent="0.25">
      <c r="B368" s="49">
        <v>363</v>
      </c>
      <c r="C368" s="1" t="str">
        <f>_xlfn.CONCAT("181-702-",IF(tbl_Ben_Info[[#This Row],[SN]]&lt;10,"00"&amp;tbl_Ben_Info[[#This Row],[SN]],IF(tbl_Ben_Info[[#This Row],[SN]]&lt;100,"0"&amp;tbl_Ben_Info[[#This Row],[SN]],tbl_Ben_Info[[#This Row],[SN]])))</f>
        <v>181-702-363</v>
      </c>
      <c r="D368" s="37"/>
      <c r="E368" s="40"/>
      <c r="F368" s="41"/>
      <c r="G368" s="42"/>
      <c r="H368" s="43"/>
      <c r="I368" s="73"/>
      <c r="J368" s="43"/>
      <c r="K368" s="43"/>
      <c r="L368" s="43"/>
      <c r="M368" s="43"/>
      <c r="N368" s="111"/>
      <c r="O368" s="43"/>
      <c r="P368" s="48"/>
      <c r="Q368" s="49"/>
      <c r="R368" s="37"/>
      <c r="S368" s="37"/>
      <c r="T368" s="37"/>
      <c r="U368" s="37"/>
      <c r="V368" s="59"/>
      <c r="W368" s="49"/>
      <c r="X368" s="37"/>
      <c r="Y368" s="37"/>
      <c r="Z368" s="37"/>
      <c r="AA368" s="37"/>
      <c r="AB368" s="37"/>
      <c r="AC368" s="37"/>
      <c r="AD368" s="37"/>
      <c r="AE368" s="37"/>
      <c r="AF368" s="37"/>
      <c r="AG368" s="59"/>
      <c r="AH368" s="49"/>
      <c r="AI368" s="37"/>
      <c r="AJ368" s="37"/>
      <c r="AK368" s="37"/>
      <c r="AL368" s="37"/>
      <c r="AM368" s="37"/>
      <c r="AN368" s="37"/>
      <c r="AO368" s="37"/>
      <c r="AP368" s="37"/>
      <c r="AQ368" s="37"/>
      <c r="AR368" s="37"/>
      <c r="AS368" s="37"/>
      <c r="AT368" s="37"/>
      <c r="AU368" s="37"/>
      <c r="AV368" s="59"/>
      <c r="AW368" s="1" t="str">
        <f>_xlfn.CONCAT(tbl_Ben_Info[[#This Row],[First Name]]," ",tbl_Ben_Info[[#This Row],[Father Name]]," ",tbl_Ben_Info[[#This Row],[Family Name]])</f>
        <v xml:space="preserve">  </v>
      </c>
    </row>
    <row r="369" spans="2:49" ht="25.15" customHeight="1" x14ac:dyDescent="0.25">
      <c r="B369" s="49">
        <v>364</v>
      </c>
      <c r="C369" s="1" t="str">
        <f>_xlfn.CONCAT("181-702-",IF(tbl_Ben_Info[[#This Row],[SN]]&lt;10,"00"&amp;tbl_Ben_Info[[#This Row],[SN]],IF(tbl_Ben_Info[[#This Row],[SN]]&lt;100,"0"&amp;tbl_Ben_Info[[#This Row],[SN]],tbl_Ben_Info[[#This Row],[SN]])))</f>
        <v>181-702-364</v>
      </c>
      <c r="D369" s="37"/>
      <c r="E369" s="40"/>
      <c r="F369" s="41"/>
      <c r="G369" s="42"/>
      <c r="H369" s="43"/>
      <c r="I369" s="73"/>
      <c r="J369" s="43"/>
      <c r="K369" s="43"/>
      <c r="L369" s="43"/>
      <c r="M369" s="43"/>
      <c r="N369" s="111"/>
      <c r="O369" s="43"/>
      <c r="P369" s="48"/>
      <c r="Q369" s="49"/>
      <c r="R369" s="37"/>
      <c r="S369" s="37"/>
      <c r="T369" s="37"/>
      <c r="U369" s="37"/>
      <c r="V369" s="59"/>
      <c r="W369" s="49"/>
      <c r="X369" s="37"/>
      <c r="Y369" s="37"/>
      <c r="Z369" s="37"/>
      <c r="AA369" s="37"/>
      <c r="AB369" s="37"/>
      <c r="AC369" s="37"/>
      <c r="AD369" s="37"/>
      <c r="AE369" s="37"/>
      <c r="AF369" s="37"/>
      <c r="AG369" s="59"/>
      <c r="AH369" s="49"/>
      <c r="AI369" s="37"/>
      <c r="AJ369" s="37"/>
      <c r="AK369" s="37"/>
      <c r="AL369" s="37"/>
      <c r="AM369" s="37"/>
      <c r="AN369" s="37"/>
      <c r="AO369" s="37"/>
      <c r="AP369" s="37"/>
      <c r="AQ369" s="37"/>
      <c r="AR369" s="37"/>
      <c r="AS369" s="37"/>
      <c r="AT369" s="37"/>
      <c r="AU369" s="37"/>
      <c r="AV369" s="59"/>
      <c r="AW369" s="1" t="str">
        <f>_xlfn.CONCAT(tbl_Ben_Info[[#This Row],[First Name]]," ",tbl_Ben_Info[[#This Row],[Father Name]]," ",tbl_Ben_Info[[#This Row],[Family Name]])</f>
        <v xml:space="preserve">  </v>
      </c>
    </row>
    <row r="370" spans="2:49" ht="25.15" customHeight="1" x14ac:dyDescent="0.25">
      <c r="B370" s="49">
        <v>365</v>
      </c>
      <c r="C370" s="1" t="str">
        <f>_xlfn.CONCAT("181-702-",IF(tbl_Ben_Info[[#This Row],[SN]]&lt;10,"00"&amp;tbl_Ben_Info[[#This Row],[SN]],IF(tbl_Ben_Info[[#This Row],[SN]]&lt;100,"0"&amp;tbl_Ben_Info[[#This Row],[SN]],tbl_Ben_Info[[#This Row],[SN]])))</f>
        <v>181-702-365</v>
      </c>
      <c r="D370" s="37"/>
      <c r="E370" s="40"/>
      <c r="F370" s="41"/>
      <c r="G370" s="42"/>
      <c r="H370" s="43"/>
      <c r="I370" s="73"/>
      <c r="J370" s="43"/>
      <c r="K370" s="43"/>
      <c r="L370" s="43"/>
      <c r="M370" s="43"/>
      <c r="N370" s="111"/>
      <c r="O370" s="43"/>
      <c r="P370" s="48"/>
      <c r="Q370" s="49"/>
      <c r="R370" s="37"/>
      <c r="S370" s="37"/>
      <c r="T370" s="37"/>
      <c r="U370" s="37"/>
      <c r="V370" s="59"/>
      <c r="W370" s="49"/>
      <c r="X370" s="37"/>
      <c r="Y370" s="37"/>
      <c r="Z370" s="37"/>
      <c r="AA370" s="37"/>
      <c r="AB370" s="37"/>
      <c r="AC370" s="37"/>
      <c r="AD370" s="37"/>
      <c r="AE370" s="37"/>
      <c r="AF370" s="37"/>
      <c r="AG370" s="59"/>
      <c r="AH370" s="49"/>
      <c r="AI370" s="37"/>
      <c r="AJ370" s="37"/>
      <c r="AK370" s="37"/>
      <c r="AL370" s="37"/>
      <c r="AM370" s="37"/>
      <c r="AN370" s="37"/>
      <c r="AO370" s="37"/>
      <c r="AP370" s="37"/>
      <c r="AQ370" s="37"/>
      <c r="AR370" s="37"/>
      <c r="AS370" s="37"/>
      <c r="AT370" s="37"/>
      <c r="AU370" s="37"/>
      <c r="AV370" s="59"/>
      <c r="AW370" s="1" t="str">
        <f>_xlfn.CONCAT(tbl_Ben_Info[[#This Row],[First Name]]," ",tbl_Ben_Info[[#This Row],[Father Name]]," ",tbl_Ben_Info[[#This Row],[Family Name]])</f>
        <v xml:space="preserve">  </v>
      </c>
    </row>
    <row r="371" spans="2:49" ht="25.15" customHeight="1" x14ac:dyDescent="0.25">
      <c r="B371" s="49">
        <v>366</v>
      </c>
      <c r="C371" s="1" t="str">
        <f>_xlfn.CONCAT("181-702-",IF(tbl_Ben_Info[[#This Row],[SN]]&lt;10,"00"&amp;tbl_Ben_Info[[#This Row],[SN]],IF(tbl_Ben_Info[[#This Row],[SN]]&lt;100,"0"&amp;tbl_Ben_Info[[#This Row],[SN]],tbl_Ben_Info[[#This Row],[SN]])))</f>
        <v>181-702-366</v>
      </c>
      <c r="D371" s="37"/>
      <c r="E371" s="40"/>
      <c r="F371" s="41"/>
      <c r="G371" s="42"/>
      <c r="H371" s="43"/>
      <c r="I371" s="73"/>
      <c r="J371" s="43"/>
      <c r="K371" s="43"/>
      <c r="L371" s="43"/>
      <c r="M371" s="43"/>
      <c r="N371" s="111"/>
      <c r="O371" s="43"/>
      <c r="P371" s="48"/>
      <c r="Q371" s="49"/>
      <c r="R371" s="37"/>
      <c r="S371" s="37"/>
      <c r="T371" s="37"/>
      <c r="U371" s="37"/>
      <c r="V371" s="59"/>
      <c r="W371" s="49"/>
      <c r="X371" s="37"/>
      <c r="Y371" s="37"/>
      <c r="Z371" s="37"/>
      <c r="AA371" s="37"/>
      <c r="AB371" s="37"/>
      <c r="AC371" s="37"/>
      <c r="AD371" s="37"/>
      <c r="AE371" s="37"/>
      <c r="AF371" s="37"/>
      <c r="AG371" s="59"/>
      <c r="AH371" s="49"/>
      <c r="AI371" s="37"/>
      <c r="AJ371" s="37"/>
      <c r="AK371" s="37"/>
      <c r="AL371" s="37"/>
      <c r="AM371" s="37"/>
      <c r="AN371" s="37"/>
      <c r="AO371" s="37"/>
      <c r="AP371" s="37"/>
      <c r="AQ371" s="37"/>
      <c r="AR371" s="37"/>
      <c r="AS371" s="37"/>
      <c r="AT371" s="37"/>
      <c r="AU371" s="37"/>
      <c r="AV371" s="59"/>
      <c r="AW371" s="1" t="str">
        <f>_xlfn.CONCAT(tbl_Ben_Info[[#This Row],[First Name]]," ",tbl_Ben_Info[[#This Row],[Father Name]]," ",tbl_Ben_Info[[#This Row],[Family Name]])</f>
        <v xml:space="preserve">  </v>
      </c>
    </row>
    <row r="372" spans="2:49" ht="25.15" customHeight="1" x14ac:dyDescent="0.25">
      <c r="B372" s="49">
        <v>367</v>
      </c>
      <c r="C372" s="1" t="str">
        <f>_xlfn.CONCAT("181-702-",IF(tbl_Ben_Info[[#This Row],[SN]]&lt;10,"00"&amp;tbl_Ben_Info[[#This Row],[SN]],IF(tbl_Ben_Info[[#This Row],[SN]]&lt;100,"0"&amp;tbl_Ben_Info[[#This Row],[SN]],tbl_Ben_Info[[#This Row],[SN]])))</f>
        <v>181-702-367</v>
      </c>
      <c r="D372" s="37"/>
      <c r="E372" s="40"/>
      <c r="F372" s="41"/>
      <c r="G372" s="42"/>
      <c r="H372" s="43"/>
      <c r="I372" s="73"/>
      <c r="J372" s="43"/>
      <c r="K372" s="43"/>
      <c r="L372" s="43"/>
      <c r="M372" s="43"/>
      <c r="N372" s="111"/>
      <c r="O372" s="43"/>
      <c r="P372" s="48"/>
      <c r="Q372" s="49"/>
      <c r="R372" s="37"/>
      <c r="S372" s="37"/>
      <c r="T372" s="37"/>
      <c r="U372" s="37"/>
      <c r="V372" s="59"/>
      <c r="W372" s="49"/>
      <c r="X372" s="37"/>
      <c r="Y372" s="37"/>
      <c r="Z372" s="37"/>
      <c r="AA372" s="37"/>
      <c r="AB372" s="37"/>
      <c r="AC372" s="37"/>
      <c r="AD372" s="37"/>
      <c r="AE372" s="37"/>
      <c r="AF372" s="37"/>
      <c r="AG372" s="59"/>
      <c r="AH372" s="49"/>
      <c r="AI372" s="37"/>
      <c r="AJ372" s="37"/>
      <c r="AK372" s="37"/>
      <c r="AL372" s="37"/>
      <c r="AM372" s="37"/>
      <c r="AN372" s="37"/>
      <c r="AO372" s="37"/>
      <c r="AP372" s="37"/>
      <c r="AQ372" s="37"/>
      <c r="AR372" s="37"/>
      <c r="AS372" s="37"/>
      <c r="AT372" s="37"/>
      <c r="AU372" s="37"/>
      <c r="AV372" s="59"/>
      <c r="AW372" s="1" t="str">
        <f>_xlfn.CONCAT(tbl_Ben_Info[[#This Row],[First Name]]," ",tbl_Ben_Info[[#This Row],[Father Name]]," ",tbl_Ben_Info[[#This Row],[Family Name]])</f>
        <v xml:space="preserve">  </v>
      </c>
    </row>
    <row r="373" spans="2:49" ht="25.15" customHeight="1" x14ac:dyDescent="0.25">
      <c r="B373" s="49">
        <v>368</v>
      </c>
      <c r="C373" s="1" t="str">
        <f>_xlfn.CONCAT("181-702-",IF(tbl_Ben_Info[[#This Row],[SN]]&lt;10,"00"&amp;tbl_Ben_Info[[#This Row],[SN]],IF(tbl_Ben_Info[[#This Row],[SN]]&lt;100,"0"&amp;tbl_Ben_Info[[#This Row],[SN]],tbl_Ben_Info[[#This Row],[SN]])))</f>
        <v>181-702-368</v>
      </c>
      <c r="D373" s="37"/>
      <c r="E373" s="40"/>
      <c r="F373" s="41"/>
      <c r="G373" s="42"/>
      <c r="H373" s="43"/>
      <c r="I373" s="73"/>
      <c r="J373" s="43"/>
      <c r="K373" s="43"/>
      <c r="L373" s="43"/>
      <c r="M373" s="43"/>
      <c r="N373" s="111"/>
      <c r="O373" s="43"/>
      <c r="P373" s="48"/>
      <c r="Q373" s="49"/>
      <c r="R373" s="37"/>
      <c r="S373" s="37"/>
      <c r="T373" s="37"/>
      <c r="U373" s="37"/>
      <c r="V373" s="59"/>
      <c r="W373" s="49"/>
      <c r="X373" s="37"/>
      <c r="Y373" s="37"/>
      <c r="Z373" s="37"/>
      <c r="AA373" s="37"/>
      <c r="AB373" s="37"/>
      <c r="AC373" s="37"/>
      <c r="AD373" s="37"/>
      <c r="AE373" s="37"/>
      <c r="AF373" s="37"/>
      <c r="AG373" s="59"/>
      <c r="AH373" s="49"/>
      <c r="AI373" s="37"/>
      <c r="AJ373" s="37"/>
      <c r="AK373" s="37"/>
      <c r="AL373" s="37"/>
      <c r="AM373" s="37"/>
      <c r="AN373" s="37"/>
      <c r="AO373" s="37"/>
      <c r="AP373" s="37"/>
      <c r="AQ373" s="37"/>
      <c r="AR373" s="37"/>
      <c r="AS373" s="37"/>
      <c r="AT373" s="37"/>
      <c r="AU373" s="37"/>
      <c r="AV373" s="59"/>
      <c r="AW373" s="1" t="str">
        <f>_xlfn.CONCAT(tbl_Ben_Info[[#This Row],[First Name]]," ",tbl_Ben_Info[[#This Row],[Father Name]]," ",tbl_Ben_Info[[#This Row],[Family Name]])</f>
        <v xml:space="preserve">  </v>
      </c>
    </row>
    <row r="374" spans="2:49" ht="25.15" customHeight="1" x14ac:dyDescent="0.25">
      <c r="B374" s="49">
        <v>369</v>
      </c>
      <c r="C374" s="1" t="str">
        <f>_xlfn.CONCAT("181-702-",IF(tbl_Ben_Info[[#This Row],[SN]]&lt;10,"00"&amp;tbl_Ben_Info[[#This Row],[SN]],IF(tbl_Ben_Info[[#This Row],[SN]]&lt;100,"0"&amp;tbl_Ben_Info[[#This Row],[SN]],tbl_Ben_Info[[#This Row],[SN]])))</f>
        <v>181-702-369</v>
      </c>
      <c r="D374" s="37"/>
      <c r="E374" s="40"/>
      <c r="F374" s="41"/>
      <c r="G374" s="42"/>
      <c r="H374" s="43"/>
      <c r="I374" s="73"/>
      <c r="J374" s="43"/>
      <c r="K374" s="43"/>
      <c r="L374" s="43"/>
      <c r="M374" s="43"/>
      <c r="N374" s="111"/>
      <c r="O374" s="43"/>
      <c r="P374" s="48"/>
      <c r="Q374" s="49"/>
      <c r="R374" s="37"/>
      <c r="S374" s="37"/>
      <c r="T374" s="37"/>
      <c r="U374" s="37"/>
      <c r="V374" s="59"/>
      <c r="W374" s="49"/>
      <c r="X374" s="37"/>
      <c r="Y374" s="37"/>
      <c r="Z374" s="37"/>
      <c r="AA374" s="37"/>
      <c r="AB374" s="37"/>
      <c r="AC374" s="37"/>
      <c r="AD374" s="37"/>
      <c r="AE374" s="37"/>
      <c r="AF374" s="37"/>
      <c r="AG374" s="59"/>
      <c r="AH374" s="49"/>
      <c r="AI374" s="37"/>
      <c r="AJ374" s="37"/>
      <c r="AK374" s="37"/>
      <c r="AL374" s="37"/>
      <c r="AM374" s="37"/>
      <c r="AN374" s="37"/>
      <c r="AO374" s="37"/>
      <c r="AP374" s="37"/>
      <c r="AQ374" s="37"/>
      <c r="AR374" s="37"/>
      <c r="AS374" s="37"/>
      <c r="AT374" s="37"/>
      <c r="AU374" s="37"/>
      <c r="AV374" s="59"/>
      <c r="AW374" s="1" t="str">
        <f>_xlfn.CONCAT(tbl_Ben_Info[[#This Row],[First Name]]," ",tbl_Ben_Info[[#This Row],[Father Name]]," ",tbl_Ben_Info[[#This Row],[Family Name]])</f>
        <v xml:space="preserve">  </v>
      </c>
    </row>
    <row r="375" spans="2:49" ht="25.15" customHeight="1" x14ac:dyDescent="0.25">
      <c r="B375" s="49">
        <v>370</v>
      </c>
      <c r="C375" s="1" t="str">
        <f>_xlfn.CONCAT("181-702-",IF(tbl_Ben_Info[[#This Row],[SN]]&lt;10,"00"&amp;tbl_Ben_Info[[#This Row],[SN]],IF(tbl_Ben_Info[[#This Row],[SN]]&lt;100,"0"&amp;tbl_Ben_Info[[#This Row],[SN]],tbl_Ben_Info[[#This Row],[SN]])))</f>
        <v>181-702-370</v>
      </c>
      <c r="D375" s="37"/>
      <c r="E375" s="40"/>
      <c r="F375" s="41"/>
      <c r="G375" s="42"/>
      <c r="H375" s="43"/>
      <c r="I375" s="73"/>
      <c r="J375" s="43"/>
      <c r="K375" s="43"/>
      <c r="L375" s="43"/>
      <c r="M375" s="43"/>
      <c r="N375" s="111"/>
      <c r="O375" s="43"/>
      <c r="P375" s="48"/>
      <c r="Q375" s="49"/>
      <c r="R375" s="37"/>
      <c r="S375" s="37"/>
      <c r="T375" s="37"/>
      <c r="U375" s="37"/>
      <c r="V375" s="59"/>
      <c r="W375" s="49"/>
      <c r="X375" s="37"/>
      <c r="Y375" s="37"/>
      <c r="Z375" s="37"/>
      <c r="AA375" s="37"/>
      <c r="AB375" s="37"/>
      <c r="AC375" s="37"/>
      <c r="AD375" s="37"/>
      <c r="AE375" s="37"/>
      <c r="AF375" s="37"/>
      <c r="AG375" s="59"/>
      <c r="AH375" s="49"/>
      <c r="AI375" s="37"/>
      <c r="AJ375" s="37"/>
      <c r="AK375" s="37"/>
      <c r="AL375" s="37"/>
      <c r="AM375" s="37"/>
      <c r="AN375" s="37"/>
      <c r="AO375" s="37"/>
      <c r="AP375" s="37"/>
      <c r="AQ375" s="37"/>
      <c r="AR375" s="37"/>
      <c r="AS375" s="37"/>
      <c r="AT375" s="37"/>
      <c r="AU375" s="37"/>
      <c r="AV375" s="59"/>
      <c r="AW375" s="1" t="str">
        <f>_xlfn.CONCAT(tbl_Ben_Info[[#This Row],[First Name]]," ",tbl_Ben_Info[[#This Row],[Father Name]]," ",tbl_Ben_Info[[#This Row],[Family Name]])</f>
        <v xml:space="preserve">  </v>
      </c>
    </row>
    <row r="376" spans="2:49" ht="25.15" customHeight="1" x14ac:dyDescent="0.25">
      <c r="B376" s="49">
        <v>371</v>
      </c>
      <c r="C376" s="1" t="str">
        <f>_xlfn.CONCAT("181-702-",IF(tbl_Ben_Info[[#This Row],[SN]]&lt;10,"00"&amp;tbl_Ben_Info[[#This Row],[SN]],IF(tbl_Ben_Info[[#This Row],[SN]]&lt;100,"0"&amp;tbl_Ben_Info[[#This Row],[SN]],tbl_Ben_Info[[#This Row],[SN]])))</f>
        <v>181-702-371</v>
      </c>
      <c r="D376" s="37"/>
      <c r="E376" s="40"/>
      <c r="F376" s="41"/>
      <c r="G376" s="42"/>
      <c r="H376" s="43"/>
      <c r="I376" s="73"/>
      <c r="J376" s="43"/>
      <c r="K376" s="43"/>
      <c r="L376" s="43"/>
      <c r="M376" s="43"/>
      <c r="N376" s="111"/>
      <c r="O376" s="43"/>
      <c r="P376" s="48"/>
      <c r="Q376" s="49"/>
      <c r="R376" s="37"/>
      <c r="S376" s="37"/>
      <c r="T376" s="37"/>
      <c r="U376" s="37"/>
      <c r="V376" s="59"/>
      <c r="W376" s="49"/>
      <c r="X376" s="37"/>
      <c r="Y376" s="37"/>
      <c r="Z376" s="37"/>
      <c r="AA376" s="37"/>
      <c r="AB376" s="37"/>
      <c r="AC376" s="37"/>
      <c r="AD376" s="37"/>
      <c r="AE376" s="37"/>
      <c r="AF376" s="37"/>
      <c r="AG376" s="59"/>
      <c r="AH376" s="49"/>
      <c r="AI376" s="37"/>
      <c r="AJ376" s="37"/>
      <c r="AK376" s="37"/>
      <c r="AL376" s="37"/>
      <c r="AM376" s="37"/>
      <c r="AN376" s="37"/>
      <c r="AO376" s="37"/>
      <c r="AP376" s="37"/>
      <c r="AQ376" s="37"/>
      <c r="AR376" s="37"/>
      <c r="AS376" s="37"/>
      <c r="AT376" s="37"/>
      <c r="AU376" s="37"/>
      <c r="AV376" s="59"/>
      <c r="AW376" s="1" t="str">
        <f>_xlfn.CONCAT(tbl_Ben_Info[[#This Row],[First Name]]," ",tbl_Ben_Info[[#This Row],[Father Name]]," ",tbl_Ben_Info[[#This Row],[Family Name]])</f>
        <v xml:space="preserve">  </v>
      </c>
    </row>
    <row r="377" spans="2:49" ht="25.15" customHeight="1" x14ac:dyDescent="0.25">
      <c r="B377" s="49">
        <v>372</v>
      </c>
      <c r="C377" s="1" t="str">
        <f>_xlfn.CONCAT("181-702-",IF(tbl_Ben_Info[[#This Row],[SN]]&lt;10,"00"&amp;tbl_Ben_Info[[#This Row],[SN]],IF(tbl_Ben_Info[[#This Row],[SN]]&lt;100,"0"&amp;tbl_Ben_Info[[#This Row],[SN]],tbl_Ben_Info[[#This Row],[SN]])))</f>
        <v>181-702-372</v>
      </c>
      <c r="D377" s="37"/>
      <c r="E377" s="40"/>
      <c r="F377" s="41"/>
      <c r="G377" s="42"/>
      <c r="H377" s="43"/>
      <c r="I377" s="73"/>
      <c r="J377" s="43"/>
      <c r="K377" s="43"/>
      <c r="L377" s="43"/>
      <c r="M377" s="43"/>
      <c r="N377" s="111"/>
      <c r="O377" s="43"/>
      <c r="P377" s="48"/>
      <c r="Q377" s="49"/>
      <c r="R377" s="37"/>
      <c r="S377" s="37"/>
      <c r="T377" s="37"/>
      <c r="U377" s="37"/>
      <c r="V377" s="59"/>
      <c r="W377" s="49"/>
      <c r="X377" s="37"/>
      <c r="Y377" s="37"/>
      <c r="Z377" s="37"/>
      <c r="AA377" s="37"/>
      <c r="AB377" s="37"/>
      <c r="AC377" s="37"/>
      <c r="AD377" s="37"/>
      <c r="AE377" s="37"/>
      <c r="AF377" s="37"/>
      <c r="AG377" s="59"/>
      <c r="AH377" s="49"/>
      <c r="AI377" s="37"/>
      <c r="AJ377" s="37"/>
      <c r="AK377" s="37"/>
      <c r="AL377" s="37"/>
      <c r="AM377" s="37"/>
      <c r="AN377" s="37"/>
      <c r="AO377" s="37"/>
      <c r="AP377" s="37"/>
      <c r="AQ377" s="37"/>
      <c r="AR377" s="37"/>
      <c r="AS377" s="37"/>
      <c r="AT377" s="37"/>
      <c r="AU377" s="37"/>
      <c r="AV377" s="59"/>
      <c r="AW377" s="1" t="str">
        <f>_xlfn.CONCAT(tbl_Ben_Info[[#This Row],[First Name]]," ",tbl_Ben_Info[[#This Row],[Father Name]]," ",tbl_Ben_Info[[#This Row],[Family Name]])</f>
        <v xml:space="preserve">  </v>
      </c>
    </row>
    <row r="378" spans="2:49" ht="25.15" customHeight="1" x14ac:dyDescent="0.25">
      <c r="B378" s="49">
        <v>373</v>
      </c>
      <c r="C378" s="1" t="str">
        <f>_xlfn.CONCAT("181-702-",IF(tbl_Ben_Info[[#This Row],[SN]]&lt;10,"00"&amp;tbl_Ben_Info[[#This Row],[SN]],IF(tbl_Ben_Info[[#This Row],[SN]]&lt;100,"0"&amp;tbl_Ben_Info[[#This Row],[SN]],tbl_Ben_Info[[#This Row],[SN]])))</f>
        <v>181-702-373</v>
      </c>
      <c r="D378" s="37"/>
      <c r="E378" s="40"/>
      <c r="F378" s="41"/>
      <c r="G378" s="42"/>
      <c r="H378" s="43"/>
      <c r="I378" s="73"/>
      <c r="J378" s="43"/>
      <c r="K378" s="43"/>
      <c r="L378" s="43"/>
      <c r="M378" s="43"/>
      <c r="N378" s="111"/>
      <c r="O378" s="43"/>
      <c r="P378" s="48"/>
      <c r="Q378" s="49"/>
      <c r="R378" s="37"/>
      <c r="S378" s="37"/>
      <c r="T378" s="37"/>
      <c r="U378" s="37"/>
      <c r="V378" s="59"/>
      <c r="W378" s="49"/>
      <c r="X378" s="37"/>
      <c r="Y378" s="37"/>
      <c r="Z378" s="37"/>
      <c r="AA378" s="37"/>
      <c r="AB378" s="37"/>
      <c r="AC378" s="37"/>
      <c r="AD378" s="37"/>
      <c r="AE378" s="37"/>
      <c r="AF378" s="37"/>
      <c r="AG378" s="59"/>
      <c r="AH378" s="49"/>
      <c r="AI378" s="37"/>
      <c r="AJ378" s="37"/>
      <c r="AK378" s="37"/>
      <c r="AL378" s="37"/>
      <c r="AM378" s="37"/>
      <c r="AN378" s="37"/>
      <c r="AO378" s="37"/>
      <c r="AP378" s="37"/>
      <c r="AQ378" s="37"/>
      <c r="AR378" s="37"/>
      <c r="AS378" s="37"/>
      <c r="AT378" s="37"/>
      <c r="AU378" s="37"/>
      <c r="AV378" s="59"/>
      <c r="AW378" s="1" t="str">
        <f>_xlfn.CONCAT(tbl_Ben_Info[[#This Row],[First Name]]," ",tbl_Ben_Info[[#This Row],[Father Name]]," ",tbl_Ben_Info[[#This Row],[Family Name]])</f>
        <v xml:space="preserve">  </v>
      </c>
    </row>
    <row r="379" spans="2:49" ht="25.15" customHeight="1" x14ac:dyDescent="0.25">
      <c r="B379" s="49">
        <v>374</v>
      </c>
      <c r="C379" s="1" t="str">
        <f>_xlfn.CONCAT("181-702-",IF(tbl_Ben_Info[[#This Row],[SN]]&lt;10,"00"&amp;tbl_Ben_Info[[#This Row],[SN]],IF(tbl_Ben_Info[[#This Row],[SN]]&lt;100,"0"&amp;tbl_Ben_Info[[#This Row],[SN]],tbl_Ben_Info[[#This Row],[SN]])))</f>
        <v>181-702-374</v>
      </c>
      <c r="D379" s="37"/>
      <c r="E379" s="40"/>
      <c r="F379" s="41"/>
      <c r="G379" s="42"/>
      <c r="H379" s="43"/>
      <c r="I379" s="73"/>
      <c r="J379" s="43"/>
      <c r="K379" s="43"/>
      <c r="L379" s="43"/>
      <c r="M379" s="43"/>
      <c r="N379" s="111"/>
      <c r="O379" s="43"/>
      <c r="P379" s="48"/>
      <c r="Q379" s="49"/>
      <c r="R379" s="37"/>
      <c r="S379" s="37"/>
      <c r="T379" s="37"/>
      <c r="U379" s="37"/>
      <c r="V379" s="59"/>
      <c r="W379" s="49"/>
      <c r="X379" s="37"/>
      <c r="Y379" s="37"/>
      <c r="Z379" s="37"/>
      <c r="AA379" s="37"/>
      <c r="AB379" s="37"/>
      <c r="AC379" s="37"/>
      <c r="AD379" s="37"/>
      <c r="AE379" s="37"/>
      <c r="AF379" s="37"/>
      <c r="AG379" s="59"/>
      <c r="AH379" s="49"/>
      <c r="AI379" s="37"/>
      <c r="AJ379" s="37"/>
      <c r="AK379" s="37"/>
      <c r="AL379" s="37"/>
      <c r="AM379" s="37"/>
      <c r="AN379" s="37"/>
      <c r="AO379" s="37"/>
      <c r="AP379" s="37"/>
      <c r="AQ379" s="37"/>
      <c r="AR379" s="37"/>
      <c r="AS379" s="37"/>
      <c r="AT379" s="37"/>
      <c r="AU379" s="37"/>
      <c r="AV379" s="59"/>
      <c r="AW379" s="1" t="str">
        <f>_xlfn.CONCAT(tbl_Ben_Info[[#This Row],[First Name]]," ",tbl_Ben_Info[[#This Row],[Father Name]]," ",tbl_Ben_Info[[#This Row],[Family Name]])</f>
        <v xml:space="preserve">  </v>
      </c>
    </row>
    <row r="380" spans="2:49" ht="25.15" customHeight="1" x14ac:dyDescent="0.25">
      <c r="B380" s="49">
        <v>375</v>
      </c>
      <c r="C380" s="1" t="str">
        <f>_xlfn.CONCAT("181-702-",IF(tbl_Ben_Info[[#This Row],[SN]]&lt;10,"00"&amp;tbl_Ben_Info[[#This Row],[SN]],IF(tbl_Ben_Info[[#This Row],[SN]]&lt;100,"0"&amp;tbl_Ben_Info[[#This Row],[SN]],tbl_Ben_Info[[#This Row],[SN]])))</f>
        <v>181-702-375</v>
      </c>
      <c r="D380" s="37"/>
      <c r="E380" s="40"/>
      <c r="F380" s="41"/>
      <c r="G380" s="42"/>
      <c r="H380" s="43"/>
      <c r="I380" s="73"/>
      <c r="J380" s="43"/>
      <c r="K380" s="43"/>
      <c r="L380" s="43"/>
      <c r="M380" s="43"/>
      <c r="N380" s="111"/>
      <c r="O380" s="43"/>
      <c r="P380" s="48"/>
      <c r="Q380" s="49"/>
      <c r="R380" s="37"/>
      <c r="S380" s="37"/>
      <c r="T380" s="37"/>
      <c r="U380" s="37"/>
      <c r="V380" s="59"/>
      <c r="W380" s="49"/>
      <c r="X380" s="37"/>
      <c r="Y380" s="37"/>
      <c r="Z380" s="37"/>
      <c r="AA380" s="37"/>
      <c r="AB380" s="37"/>
      <c r="AC380" s="37"/>
      <c r="AD380" s="37"/>
      <c r="AE380" s="37"/>
      <c r="AF380" s="37"/>
      <c r="AG380" s="59"/>
      <c r="AH380" s="49"/>
      <c r="AI380" s="37"/>
      <c r="AJ380" s="37"/>
      <c r="AK380" s="37"/>
      <c r="AL380" s="37"/>
      <c r="AM380" s="37"/>
      <c r="AN380" s="37"/>
      <c r="AO380" s="37"/>
      <c r="AP380" s="37"/>
      <c r="AQ380" s="37"/>
      <c r="AR380" s="37"/>
      <c r="AS380" s="37"/>
      <c r="AT380" s="37"/>
      <c r="AU380" s="37"/>
      <c r="AV380" s="59"/>
      <c r="AW380" s="1" t="str">
        <f>_xlfn.CONCAT(tbl_Ben_Info[[#This Row],[First Name]]," ",tbl_Ben_Info[[#This Row],[Father Name]]," ",tbl_Ben_Info[[#This Row],[Family Name]])</f>
        <v xml:space="preserve">  </v>
      </c>
    </row>
    <row r="381" spans="2:49" ht="25.15" customHeight="1" x14ac:dyDescent="0.25">
      <c r="B381" s="49">
        <v>376</v>
      </c>
      <c r="C381" s="1" t="str">
        <f>_xlfn.CONCAT("181-702-",IF(tbl_Ben_Info[[#This Row],[SN]]&lt;10,"00"&amp;tbl_Ben_Info[[#This Row],[SN]],IF(tbl_Ben_Info[[#This Row],[SN]]&lt;100,"0"&amp;tbl_Ben_Info[[#This Row],[SN]],tbl_Ben_Info[[#This Row],[SN]])))</f>
        <v>181-702-376</v>
      </c>
      <c r="D381" s="37"/>
      <c r="E381" s="40"/>
      <c r="F381" s="41"/>
      <c r="G381" s="42"/>
      <c r="H381" s="43"/>
      <c r="I381" s="73"/>
      <c r="J381" s="43"/>
      <c r="K381" s="43"/>
      <c r="L381" s="43"/>
      <c r="M381" s="43"/>
      <c r="N381" s="111"/>
      <c r="O381" s="43"/>
      <c r="P381" s="48"/>
      <c r="Q381" s="49"/>
      <c r="R381" s="37"/>
      <c r="S381" s="37"/>
      <c r="T381" s="37"/>
      <c r="U381" s="37"/>
      <c r="V381" s="59"/>
      <c r="W381" s="49"/>
      <c r="X381" s="37"/>
      <c r="Y381" s="37"/>
      <c r="Z381" s="37"/>
      <c r="AA381" s="37"/>
      <c r="AB381" s="37"/>
      <c r="AC381" s="37"/>
      <c r="AD381" s="37"/>
      <c r="AE381" s="37"/>
      <c r="AF381" s="37"/>
      <c r="AG381" s="59"/>
      <c r="AH381" s="49"/>
      <c r="AI381" s="37"/>
      <c r="AJ381" s="37"/>
      <c r="AK381" s="37"/>
      <c r="AL381" s="37"/>
      <c r="AM381" s="37"/>
      <c r="AN381" s="37"/>
      <c r="AO381" s="37"/>
      <c r="AP381" s="37"/>
      <c r="AQ381" s="37"/>
      <c r="AR381" s="37"/>
      <c r="AS381" s="37"/>
      <c r="AT381" s="37"/>
      <c r="AU381" s="37"/>
      <c r="AV381" s="59"/>
      <c r="AW381" s="1" t="str">
        <f>_xlfn.CONCAT(tbl_Ben_Info[[#This Row],[First Name]]," ",tbl_Ben_Info[[#This Row],[Father Name]]," ",tbl_Ben_Info[[#This Row],[Family Name]])</f>
        <v xml:space="preserve">  </v>
      </c>
    </row>
    <row r="382" spans="2:49" ht="25.15" customHeight="1" x14ac:dyDescent="0.25">
      <c r="B382" s="49">
        <v>377</v>
      </c>
      <c r="C382" s="1" t="str">
        <f>_xlfn.CONCAT("181-702-",IF(tbl_Ben_Info[[#This Row],[SN]]&lt;10,"00"&amp;tbl_Ben_Info[[#This Row],[SN]],IF(tbl_Ben_Info[[#This Row],[SN]]&lt;100,"0"&amp;tbl_Ben_Info[[#This Row],[SN]],tbl_Ben_Info[[#This Row],[SN]])))</f>
        <v>181-702-377</v>
      </c>
      <c r="D382" s="37"/>
      <c r="E382" s="40"/>
      <c r="F382" s="41"/>
      <c r="G382" s="42"/>
      <c r="H382" s="43"/>
      <c r="I382" s="73"/>
      <c r="J382" s="43"/>
      <c r="K382" s="43"/>
      <c r="L382" s="43"/>
      <c r="M382" s="43"/>
      <c r="N382" s="111"/>
      <c r="O382" s="43"/>
      <c r="P382" s="48"/>
      <c r="Q382" s="49"/>
      <c r="R382" s="37"/>
      <c r="S382" s="37"/>
      <c r="T382" s="37"/>
      <c r="U382" s="37"/>
      <c r="V382" s="59"/>
      <c r="W382" s="49"/>
      <c r="X382" s="37"/>
      <c r="Y382" s="37"/>
      <c r="Z382" s="37"/>
      <c r="AA382" s="37"/>
      <c r="AB382" s="37"/>
      <c r="AC382" s="37"/>
      <c r="AD382" s="37"/>
      <c r="AE382" s="37"/>
      <c r="AF382" s="37"/>
      <c r="AG382" s="59"/>
      <c r="AH382" s="49"/>
      <c r="AI382" s="37"/>
      <c r="AJ382" s="37"/>
      <c r="AK382" s="37"/>
      <c r="AL382" s="37"/>
      <c r="AM382" s="37"/>
      <c r="AN382" s="37"/>
      <c r="AO382" s="37"/>
      <c r="AP382" s="37"/>
      <c r="AQ382" s="37"/>
      <c r="AR382" s="37"/>
      <c r="AS382" s="37"/>
      <c r="AT382" s="37"/>
      <c r="AU382" s="37"/>
      <c r="AV382" s="59"/>
      <c r="AW382" s="1" t="str">
        <f>_xlfn.CONCAT(tbl_Ben_Info[[#This Row],[First Name]]," ",tbl_Ben_Info[[#This Row],[Father Name]]," ",tbl_Ben_Info[[#This Row],[Family Name]])</f>
        <v xml:space="preserve">  </v>
      </c>
    </row>
    <row r="383" spans="2:49" ht="25.15" customHeight="1" x14ac:dyDescent="0.25">
      <c r="B383" s="49">
        <v>378</v>
      </c>
      <c r="C383" s="1" t="str">
        <f>_xlfn.CONCAT("181-702-",IF(tbl_Ben_Info[[#This Row],[SN]]&lt;10,"00"&amp;tbl_Ben_Info[[#This Row],[SN]],IF(tbl_Ben_Info[[#This Row],[SN]]&lt;100,"0"&amp;tbl_Ben_Info[[#This Row],[SN]],tbl_Ben_Info[[#This Row],[SN]])))</f>
        <v>181-702-378</v>
      </c>
      <c r="D383" s="37"/>
      <c r="E383" s="40"/>
      <c r="F383" s="41"/>
      <c r="G383" s="42"/>
      <c r="H383" s="43"/>
      <c r="I383" s="73"/>
      <c r="J383" s="43"/>
      <c r="K383" s="43"/>
      <c r="L383" s="43"/>
      <c r="M383" s="43"/>
      <c r="N383" s="111"/>
      <c r="O383" s="43"/>
      <c r="P383" s="48"/>
      <c r="Q383" s="49"/>
      <c r="R383" s="37"/>
      <c r="S383" s="37"/>
      <c r="T383" s="37"/>
      <c r="U383" s="37"/>
      <c r="V383" s="59"/>
      <c r="W383" s="49"/>
      <c r="X383" s="37"/>
      <c r="Y383" s="37"/>
      <c r="Z383" s="37"/>
      <c r="AA383" s="37"/>
      <c r="AB383" s="37"/>
      <c r="AC383" s="37"/>
      <c r="AD383" s="37"/>
      <c r="AE383" s="37"/>
      <c r="AF383" s="37"/>
      <c r="AG383" s="59"/>
      <c r="AH383" s="49"/>
      <c r="AI383" s="37"/>
      <c r="AJ383" s="37"/>
      <c r="AK383" s="37"/>
      <c r="AL383" s="37"/>
      <c r="AM383" s="37"/>
      <c r="AN383" s="37"/>
      <c r="AO383" s="37"/>
      <c r="AP383" s="37"/>
      <c r="AQ383" s="37"/>
      <c r="AR383" s="37"/>
      <c r="AS383" s="37"/>
      <c r="AT383" s="37"/>
      <c r="AU383" s="37"/>
      <c r="AV383" s="59"/>
      <c r="AW383" s="1" t="str">
        <f>_xlfn.CONCAT(tbl_Ben_Info[[#This Row],[First Name]]," ",tbl_Ben_Info[[#This Row],[Father Name]]," ",tbl_Ben_Info[[#This Row],[Family Name]])</f>
        <v xml:space="preserve">  </v>
      </c>
    </row>
    <row r="384" spans="2:49" ht="25.15" customHeight="1" x14ac:dyDescent="0.25">
      <c r="B384" s="49">
        <v>379</v>
      </c>
      <c r="C384" s="1" t="str">
        <f>_xlfn.CONCAT("181-702-",IF(tbl_Ben_Info[[#This Row],[SN]]&lt;10,"00"&amp;tbl_Ben_Info[[#This Row],[SN]],IF(tbl_Ben_Info[[#This Row],[SN]]&lt;100,"0"&amp;tbl_Ben_Info[[#This Row],[SN]],tbl_Ben_Info[[#This Row],[SN]])))</f>
        <v>181-702-379</v>
      </c>
      <c r="D384" s="37"/>
      <c r="E384" s="40"/>
      <c r="F384" s="41"/>
      <c r="G384" s="42"/>
      <c r="H384" s="43"/>
      <c r="I384" s="73"/>
      <c r="J384" s="43"/>
      <c r="K384" s="43"/>
      <c r="L384" s="43"/>
      <c r="M384" s="43"/>
      <c r="N384" s="111"/>
      <c r="O384" s="43"/>
      <c r="P384" s="48"/>
      <c r="Q384" s="49"/>
      <c r="R384" s="37"/>
      <c r="S384" s="37"/>
      <c r="T384" s="37"/>
      <c r="U384" s="37"/>
      <c r="V384" s="59"/>
      <c r="W384" s="49"/>
      <c r="X384" s="37"/>
      <c r="Y384" s="37"/>
      <c r="Z384" s="37"/>
      <c r="AA384" s="37"/>
      <c r="AB384" s="37"/>
      <c r="AC384" s="37"/>
      <c r="AD384" s="37"/>
      <c r="AE384" s="37"/>
      <c r="AF384" s="37"/>
      <c r="AG384" s="59"/>
      <c r="AH384" s="49"/>
      <c r="AI384" s="37"/>
      <c r="AJ384" s="37"/>
      <c r="AK384" s="37"/>
      <c r="AL384" s="37"/>
      <c r="AM384" s="37"/>
      <c r="AN384" s="37"/>
      <c r="AO384" s="37"/>
      <c r="AP384" s="37"/>
      <c r="AQ384" s="37"/>
      <c r="AR384" s="37"/>
      <c r="AS384" s="37"/>
      <c r="AT384" s="37"/>
      <c r="AU384" s="37"/>
      <c r="AV384" s="59"/>
      <c r="AW384" s="1" t="str">
        <f>_xlfn.CONCAT(tbl_Ben_Info[[#This Row],[First Name]]," ",tbl_Ben_Info[[#This Row],[Father Name]]," ",tbl_Ben_Info[[#This Row],[Family Name]])</f>
        <v xml:space="preserve">  </v>
      </c>
    </row>
    <row r="385" spans="2:49" ht="25.15" customHeight="1" x14ac:dyDescent="0.25">
      <c r="B385" s="49">
        <v>380</v>
      </c>
      <c r="C385" s="1" t="str">
        <f>_xlfn.CONCAT("181-702-",IF(tbl_Ben_Info[[#This Row],[SN]]&lt;10,"00"&amp;tbl_Ben_Info[[#This Row],[SN]],IF(tbl_Ben_Info[[#This Row],[SN]]&lt;100,"0"&amp;tbl_Ben_Info[[#This Row],[SN]],tbl_Ben_Info[[#This Row],[SN]])))</f>
        <v>181-702-380</v>
      </c>
      <c r="D385" s="37"/>
      <c r="E385" s="40"/>
      <c r="F385" s="41"/>
      <c r="G385" s="42"/>
      <c r="H385" s="43"/>
      <c r="I385" s="73"/>
      <c r="J385" s="43"/>
      <c r="K385" s="43"/>
      <c r="L385" s="43"/>
      <c r="M385" s="43"/>
      <c r="N385" s="111"/>
      <c r="O385" s="43"/>
      <c r="P385" s="48"/>
      <c r="Q385" s="49"/>
      <c r="R385" s="37"/>
      <c r="S385" s="37"/>
      <c r="T385" s="37"/>
      <c r="U385" s="37"/>
      <c r="V385" s="59"/>
      <c r="W385" s="49"/>
      <c r="X385" s="37"/>
      <c r="Y385" s="37"/>
      <c r="Z385" s="37"/>
      <c r="AA385" s="37"/>
      <c r="AB385" s="37"/>
      <c r="AC385" s="37"/>
      <c r="AD385" s="37"/>
      <c r="AE385" s="37"/>
      <c r="AF385" s="37"/>
      <c r="AG385" s="59"/>
      <c r="AH385" s="49"/>
      <c r="AI385" s="37"/>
      <c r="AJ385" s="37"/>
      <c r="AK385" s="37"/>
      <c r="AL385" s="37"/>
      <c r="AM385" s="37"/>
      <c r="AN385" s="37"/>
      <c r="AO385" s="37"/>
      <c r="AP385" s="37"/>
      <c r="AQ385" s="37"/>
      <c r="AR385" s="37"/>
      <c r="AS385" s="37"/>
      <c r="AT385" s="37"/>
      <c r="AU385" s="37"/>
      <c r="AV385" s="59"/>
      <c r="AW385" s="1" t="str">
        <f>_xlfn.CONCAT(tbl_Ben_Info[[#This Row],[First Name]]," ",tbl_Ben_Info[[#This Row],[Father Name]]," ",tbl_Ben_Info[[#This Row],[Family Name]])</f>
        <v xml:space="preserve">  </v>
      </c>
    </row>
    <row r="386" spans="2:49" ht="25.15" customHeight="1" x14ac:dyDescent="0.25">
      <c r="B386" s="49">
        <v>381</v>
      </c>
      <c r="C386" s="1" t="str">
        <f>_xlfn.CONCAT("181-702-",IF(tbl_Ben_Info[[#This Row],[SN]]&lt;10,"00"&amp;tbl_Ben_Info[[#This Row],[SN]],IF(tbl_Ben_Info[[#This Row],[SN]]&lt;100,"0"&amp;tbl_Ben_Info[[#This Row],[SN]],tbl_Ben_Info[[#This Row],[SN]])))</f>
        <v>181-702-381</v>
      </c>
      <c r="D386" s="37"/>
      <c r="E386" s="40"/>
      <c r="F386" s="41"/>
      <c r="G386" s="42"/>
      <c r="H386" s="43"/>
      <c r="I386" s="73"/>
      <c r="J386" s="43"/>
      <c r="K386" s="43"/>
      <c r="L386" s="43"/>
      <c r="M386" s="43"/>
      <c r="N386" s="111"/>
      <c r="O386" s="43"/>
      <c r="P386" s="48"/>
      <c r="Q386" s="49"/>
      <c r="R386" s="37"/>
      <c r="S386" s="37"/>
      <c r="T386" s="37"/>
      <c r="U386" s="37"/>
      <c r="V386" s="59"/>
      <c r="W386" s="49"/>
      <c r="X386" s="37"/>
      <c r="Y386" s="37"/>
      <c r="Z386" s="37"/>
      <c r="AA386" s="37"/>
      <c r="AB386" s="37"/>
      <c r="AC386" s="37"/>
      <c r="AD386" s="37"/>
      <c r="AE386" s="37"/>
      <c r="AF386" s="37"/>
      <c r="AG386" s="59"/>
      <c r="AH386" s="49"/>
      <c r="AI386" s="37"/>
      <c r="AJ386" s="37"/>
      <c r="AK386" s="37"/>
      <c r="AL386" s="37"/>
      <c r="AM386" s="37"/>
      <c r="AN386" s="37"/>
      <c r="AO386" s="37"/>
      <c r="AP386" s="37"/>
      <c r="AQ386" s="37"/>
      <c r="AR386" s="37"/>
      <c r="AS386" s="37"/>
      <c r="AT386" s="37"/>
      <c r="AU386" s="37"/>
      <c r="AV386" s="59"/>
      <c r="AW386" s="1" t="str">
        <f>_xlfn.CONCAT(tbl_Ben_Info[[#This Row],[First Name]]," ",tbl_Ben_Info[[#This Row],[Father Name]]," ",tbl_Ben_Info[[#This Row],[Family Name]])</f>
        <v xml:space="preserve">  </v>
      </c>
    </row>
    <row r="387" spans="2:49" ht="25.15" customHeight="1" x14ac:dyDescent="0.25">
      <c r="B387" s="49">
        <v>382</v>
      </c>
      <c r="C387" s="1" t="str">
        <f>_xlfn.CONCAT("181-702-",IF(tbl_Ben_Info[[#This Row],[SN]]&lt;10,"00"&amp;tbl_Ben_Info[[#This Row],[SN]],IF(tbl_Ben_Info[[#This Row],[SN]]&lt;100,"0"&amp;tbl_Ben_Info[[#This Row],[SN]],tbl_Ben_Info[[#This Row],[SN]])))</f>
        <v>181-702-382</v>
      </c>
      <c r="D387" s="37"/>
      <c r="E387" s="40"/>
      <c r="F387" s="41"/>
      <c r="G387" s="42"/>
      <c r="H387" s="43"/>
      <c r="I387" s="73"/>
      <c r="J387" s="43"/>
      <c r="K387" s="43"/>
      <c r="L387" s="43"/>
      <c r="M387" s="43"/>
      <c r="N387" s="111"/>
      <c r="O387" s="43"/>
      <c r="P387" s="48"/>
      <c r="Q387" s="49"/>
      <c r="R387" s="37"/>
      <c r="S387" s="37"/>
      <c r="T387" s="37"/>
      <c r="U387" s="37"/>
      <c r="V387" s="59"/>
      <c r="W387" s="49"/>
      <c r="X387" s="37"/>
      <c r="Y387" s="37"/>
      <c r="Z387" s="37"/>
      <c r="AA387" s="37"/>
      <c r="AB387" s="37"/>
      <c r="AC387" s="37"/>
      <c r="AD387" s="37"/>
      <c r="AE387" s="37"/>
      <c r="AF387" s="37"/>
      <c r="AG387" s="59"/>
      <c r="AH387" s="49"/>
      <c r="AI387" s="37"/>
      <c r="AJ387" s="37"/>
      <c r="AK387" s="37"/>
      <c r="AL387" s="37"/>
      <c r="AM387" s="37"/>
      <c r="AN387" s="37"/>
      <c r="AO387" s="37"/>
      <c r="AP387" s="37"/>
      <c r="AQ387" s="37"/>
      <c r="AR387" s="37"/>
      <c r="AS387" s="37"/>
      <c r="AT387" s="37"/>
      <c r="AU387" s="37"/>
      <c r="AV387" s="59"/>
      <c r="AW387" s="1" t="str">
        <f>_xlfn.CONCAT(tbl_Ben_Info[[#This Row],[First Name]]," ",tbl_Ben_Info[[#This Row],[Father Name]]," ",tbl_Ben_Info[[#This Row],[Family Name]])</f>
        <v xml:space="preserve">  </v>
      </c>
    </row>
    <row r="388" spans="2:49" ht="25.15" customHeight="1" x14ac:dyDescent="0.25">
      <c r="B388" s="49">
        <v>383</v>
      </c>
      <c r="C388" s="1" t="str">
        <f>_xlfn.CONCAT("181-702-",IF(tbl_Ben_Info[[#This Row],[SN]]&lt;10,"00"&amp;tbl_Ben_Info[[#This Row],[SN]],IF(tbl_Ben_Info[[#This Row],[SN]]&lt;100,"0"&amp;tbl_Ben_Info[[#This Row],[SN]],tbl_Ben_Info[[#This Row],[SN]])))</f>
        <v>181-702-383</v>
      </c>
      <c r="D388" s="37"/>
      <c r="E388" s="40"/>
      <c r="F388" s="41"/>
      <c r="G388" s="42"/>
      <c r="H388" s="43"/>
      <c r="I388" s="73"/>
      <c r="J388" s="43"/>
      <c r="K388" s="43"/>
      <c r="L388" s="43"/>
      <c r="M388" s="43"/>
      <c r="N388" s="111"/>
      <c r="O388" s="43"/>
      <c r="P388" s="48"/>
      <c r="Q388" s="49"/>
      <c r="R388" s="37"/>
      <c r="S388" s="37"/>
      <c r="T388" s="37"/>
      <c r="U388" s="37"/>
      <c r="V388" s="59"/>
      <c r="W388" s="49"/>
      <c r="X388" s="37"/>
      <c r="Y388" s="37"/>
      <c r="Z388" s="37"/>
      <c r="AA388" s="37"/>
      <c r="AB388" s="37"/>
      <c r="AC388" s="37"/>
      <c r="AD388" s="37"/>
      <c r="AE388" s="37"/>
      <c r="AF388" s="37"/>
      <c r="AG388" s="59"/>
      <c r="AH388" s="49"/>
      <c r="AI388" s="37"/>
      <c r="AJ388" s="37"/>
      <c r="AK388" s="37"/>
      <c r="AL388" s="37"/>
      <c r="AM388" s="37"/>
      <c r="AN388" s="37"/>
      <c r="AO388" s="37"/>
      <c r="AP388" s="37"/>
      <c r="AQ388" s="37"/>
      <c r="AR388" s="37"/>
      <c r="AS388" s="37"/>
      <c r="AT388" s="37"/>
      <c r="AU388" s="37"/>
      <c r="AV388" s="59"/>
      <c r="AW388" s="1" t="str">
        <f>_xlfn.CONCAT(tbl_Ben_Info[[#This Row],[First Name]]," ",tbl_Ben_Info[[#This Row],[Father Name]]," ",tbl_Ben_Info[[#This Row],[Family Name]])</f>
        <v xml:space="preserve">  </v>
      </c>
    </row>
    <row r="389" spans="2:49" ht="25.15" customHeight="1" x14ac:dyDescent="0.25">
      <c r="B389" s="49">
        <v>384</v>
      </c>
      <c r="C389" s="1" t="str">
        <f>_xlfn.CONCAT("181-702-",IF(tbl_Ben_Info[[#This Row],[SN]]&lt;10,"00"&amp;tbl_Ben_Info[[#This Row],[SN]],IF(tbl_Ben_Info[[#This Row],[SN]]&lt;100,"0"&amp;tbl_Ben_Info[[#This Row],[SN]],tbl_Ben_Info[[#This Row],[SN]])))</f>
        <v>181-702-384</v>
      </c>
      <c r="D389" s="37"/>
      <c r="E389" s="40"/>
      <c r="F389" s="41"/>
      <c r="G389" s="42"/>
      <c r="H389" s="43"/>
      <c r="I389" s="73"/>
      <c r="J389" s="43"/>
      <c r="K389" s="43"/>
      <c r="L389" s="43"/>
      <c r="M389" s="43"/>
      <c r="N389" s="111"/>
      <c r="O389" s="43"/>
      <c r="P389" s="48"/>
      <c r="Q389" s="49"/>
      <c r="R389" s="37"/>
      <c r="S389" s="37"/>
      <c r="T389" s="37"/>
      <c r="U389" s="37"/>
      <c r="V389" s="59"/>
      <c r="W389" s="49"/>
      <c r="X389" s="37"/>
      <c r="Y389" s="37"/>
      <c r="Z389" s="37"/>
      <c r="AA389" s="37"/>
      <c r="AB389" s="37"/>
      <c r="AC389" s="37"/>
      <c r="AD389" s="37"/>
      <c r="AE389" s="37"/>
      <c r="AF389" s="37"/>
      <c r="AG389" s="59"/>
      <c r="AH389" s="49"/>
      <c r="AI389" s="37"/>
      <c r="AJ389" s="37"/>
      <c r="AK389" s="37"/>
      <c r="AL389" s="37"/>
      <c r="AM389" s="37"/>
      <c r="AN389" s="37"/>
      <c r="AO389" s="37"/>
      <c r="AP389" s="37"/>
      <c r="AQ389" s="37"/>
      <c r="AR389" s="37"/>
      <c r="AS389" s="37"/>
      <c r="AT389" s="37"/>
      <c r="AU389" s="37"/>
      <c r="AV389" s="59"/>
      <c r="AW389" s="1" t="str">
        <f>_xlfn.CONCAT(tbl_Ben_Info[[#This Row],[First Name]]," ",tbl_Ben_Info[[#This Row],[Father Name]]," ",tbl_Ben_Info[[#This Row],[Family Name]])</f>
        <v xml:space="preserve">  </v>
      </c>
    </row>
    <row r="390" spans="2:49" ht="25.15" customHeight="1" x14ac:dyDescent="0.25">
      <c r="B390" s="49">
        <v>385</v>
      </c>
      <c r="C390" s="1" t="str">
        <f>_xlfn.CONCAT("181-702-",IF(tbl_Ben_Info[[#This Row],[SN]]&lt;10,"00"&amp;tbl_Ben_Info[[#This Row],[SN]],IF(tbl_Ben_Info[[#This Row],[SN]]&lt;100,"0"&amp;tbl_Ben_Info[[#This Row],[SN]],tbl_Ben_Info[[#This Row],[SN]])))</f>
        <v>181-702-385</v>
      </c>
      <c r="D390" s="37"/>
      <c r="E390" s="40"/>
      <c r="F390" s="41"/>
      <c r="G390" s="42"/>
      <c r="H390" s="43"/>
      <c r="I390" s="73"/>
      <c r="J390" s="43"/>
      <c r="K390" s="43"/>
      <c r="L390" s="43"/>
      <c r="M390" s="43"/>
      <c r="N390" s="111"/>
      <c r="O390" s="43"/>
      <c r="P390" s="48"/>
      <c r="Q390" s="49"/>
      <c r="R390" s="37"/>
      <c r="S390" s="37"/>
      <c r="T390" s="37"/>
      <c r="U390" s="37"/>
      <c r="V390" s="59"/>
      <c r="W390" s="49"/>
      <c r="X390" s="37"/>
      <c r="Y390" s="37"/>
      <c r="Z390" s="37"/>
      <c r="AA390" s="37"/>
      <c r="AB390" s="37"/>
      <c r="AC390" s="37"/>
      <c r="AD390" s="37"/>
      <c r="AE390" s="37"/>
      <c r="AF390" s="37"/>
      <c r="AG390" s="59"/>
      <c r="AH390" s="49"/>
      <c r="AI390" s="37"/>
      <c r="AJ390" s="37"/>
      <c r="AK390" s="37"/>
      <c r="AL390" s="37"/>
      <c r="AM390" s="37"/>
      <c r="AN390" s="37"/>
      <c r="AO390" s="37"/>
      <c r="AP390" s="37"/>
      <c r="AQ390" s="37"/>
      <c r="AR390" s="37"/>
      <c r="AS390" s="37"/>
      <c r="AT390" s="37"/>
      <c r="AU390" s="37"/>
      <c r="AV390" s="59"/>
      <c r="AW390" s="1" t="str">
        <f>_xlfn.CONCAT(tbl_Ben_Info[[#This Row],[First Name]]," ",tbl_Ben_Info[[#This Row],[Father Name]]," ",tbl_Ben_Info[[#This Row],[Family Name]])</f>
        <v xml:space="preserve">  </v>
      </c>
    </row>
    <row r="391" spans="2:49" ht="25.15" customHeight="1" x14ac:dyDescent="0.25">
      <c r="B391" s="49">
        <v>386</v>
      </c>
      <c r="C391" s="1" t="str">
        <f>_xlfn.CONCAT("181-702-",IF(tbl_Ben_Info[[#This Row],[SN]]&lt;10,"00"&amp;tbl_Ben_Info[[#This Row],[SN]],IF(tbl_Ben_Info[[#This Row],[SN]]&lt;100,"0"&amp;tbl_Ben_Info[[#This Row],[SN]],tbl_Ben_Info[[#This Row],[SN]])))</f>
        <v>181-702-386</v>
      </c>
      <c r="D391" s="37"/>
      <c r="E391" s="40"/>
      <c r="F391" s="41"/>
      <c r="G391" s="42"/>
      <c r="H391" s="43"/>
      <c r="I391" s="73"/>
      <c r="J391" s="43"/>
      <c r="K391" s="43"/>
      <c r="L391" s="43"/>
      <c r="M391" s="43"/>
      <c r="N391" s="111"/>
      <c r="O391" s="43"/>
      <c r="P391" s="48"/>
      <c r="Q391" s="49"/>
      <c r="R391" s="37"/>
      <c r="S391" s="37"/>
      <c r="T391" s="37"/>
      <c r="U391" s="37"/>
      <c r="V391" s="59"/>
      <c r="W391" s="49"/>
      <c r="X391" s="37"/>
      <c r="Y391" s="37"/>
      <c r="Z391" s="37"/>
      <c r="AA391" s="37"/>
      <c r="AB391" s="37"/>
      <c r="AC391" s="37"/>
      <c r="AD391" s="37"/>
      <c r="AE391" s="37"/>
      <c r="AF391" s="37"/>
      <c r="AG391" s="59"/>
      <c r="AH391" s="49"/>
      <c r="AI391" s="37"/>
      <c r="AJ391" s="37"/>
      <c r="AK391" s="37"/>
      <c r="AL391" s="37"/>
      <c r="AM391" s="37"/>
      <c r="AN391" s="37"/>
      <c r="AO391" s="37"/>
      <c r="AP391" s="37"/>
      <c r="AQ391" s="37"/>
      <c r="AR391" s="37"/>
      <c r="AS391" s="37"/>
      <c r="AT391" s="37"/>
      <c r="AU391" s="37"/>
      <c r="AV391" s="59"/>
      <c r="AW391" s="1" t="str">
        <f>_xlfn.CONCAT(tbl_Ben_Info[[#This Row],[First Name]]," ",tbl_Ben_Info[[#This Row],[Father Name]]," ",tbl_Ben_Info[[#This Row],[Family Name]])</f>
        <v xml:space="preserve">  </v>
      </c>
    </row>
    <row r="392" spans="2:49" ht="25.15" customHeight="1" x14ac:dyDescent="0.25">
      <c r="B392" s="49">
        <v>387</v>
      </c>
      <c r="C392" s="1" t="str">
        <f>_xlfn.CONCAT("181-702-",IF(tbl_Ben_Info[[#This Row],[SN]]&lt;10,"00"&amp;tbl_Ben_Info[[#This Row],[SN]],IF(tbl_Ben_Info[[#This Row],[SN]]&lt;100,"0"&amp;tbl_Ben_Info[[#This Row],[SN]],tbl_Ben_Info[[#This Row],[SN]])))</f>
        <v>181-702-387</v>
      </c>
      <c r="D392" s="37"/>
      <c r="E392" s="40"/>
      <c r="F392" s="41"/>
      <c r="G392" s="42"/>
      <c r="H392" s="43"/>
      <c r="I392" s="73"/>
      <c r="J392" s="43"/>
      <c r="K392" s="43"/>
      <c r="L392" s="43"/>
      <c r="M392" s="43"/>
      <c r="N392" s="111"/>
      <c r="O392" s="43"/>
      <c r="P392" s="48"/>
      <c r="Q392" s="49"/>
      <c r="R392" s="37"/>
      <c r="S392" s="37"/>
      <c r="T392" s="37"/>
      <c r="U392" s="37"/>
      <c r="V392" s="59"/>
      <c r="W392" s="49"/>
      <c r="X392" s="37"/>
      <c r="Y392" s="37"/>
      <c r="Z392" s="37"/>
      <c r="AA392" s="37"/>
      <c r="AB392" s="37"/>
      <c r="AC392" s="37"/>
      <c r="AD392" s="37"/>
      <c r="AE392" s="37"/>
      <c r="AF392" s="37"/>
      <c r="AG392" s="59"/>
      <c r="AH392" s="49"/>
      <c r="AI392" s="37"/>
      <c r="AJ392" s="37"/>
      <c r="AK392" s="37"/>
      <c r="AL392" s="37"/>
      <c r="AM392" s="37"/>
      <c r="AN392" s="37"/>
      <c r="AO392" s="37"/>
      <c r="AP392" s="37"/>
      <c r="AQ392" s="37"/>
      <c r="AR392" s="37"/>
      <c r="AS392" s="37"/>
      <c r="AT392" s="37"/>
      <c r="AU392" s="37"/>
      <c r="AV392" s="59"/>
      <c r="AW392" s="1" t="str">
        <f>_xlfn.CONCAT(tbl_Ben_Info[[#This Row],[First Name]]," ",tbl_Ben_Info[[#This Row],[Father Name]]," ",tbl_Ben_Info[[#This Row],[Family Name]])</f>
        <v xml:space="preserve">  </v>
      </c>
    </row>
    <row r="393" spans="2:49" ht="25.15" customHeight="1" x14ac:dyDescent="0.25">
      <c r="B393" s="49">
        <v>388</v>
      </c>
      <c r="C393" s="1" t="str">
        <f>_xlfn.CONCAT("181-702-",IF(tbl_Ben_Info[[#This Row],[SN]]&lt;10,"00"&amp;tbl_Ben_Info[[#This Row],[SN]],IF(tbl_Ben_Info[[#This Row],[SN]]&lt;100,"0"&amp;tbl_Ben_Info[[#This Row],[SN]],tbl_Ben_Info[[#This Row],[SN]])))</f>
        <v>181-702-388</v>
      </c>
      <c r="D393" s="37"/>
      <c r="E393" s="40"/>
      <c r="F393" s="41"/>
      <c r="G393" s="42"/>
      <c r="H393" s="43"/>
      <c r="I393" s="73"/>
      <c r="J393" s="43"/>
      <c r="K393" s="43"/>
      <c r="L393" s="43"/>
      <c r="M393" s="43"/>
      <c r="N393" s="111"/>
      <c r="O393" s="43"/>
      <c r="P393" s="48"/>
      <c r="Q393" s="49"/>
      <c r="R393" s="37"/>
      <c r="S393" s="37"/>
      <c r="T393" s="37"/>
      <c r="U393" s="37"/>
      <c r="V393" s="59"/>
      <c r="W393" s="49"/>
      <c r="X393" s="37"/>
      <c r="Y393" s="37"/>
      <c r="Z393" s="37"/>
      <c r="AA393" s="37"/>
      <c r="AB393" s="37"/>
      <c r="AC393" s="37"/>
      <c r="AD393" s="37"/>
      <c r="AE393" s="37"/>
      <c r="AF393" s="37"/>
      <c r="AG393" s="59"/>
      <c r="AH393" s="49"/>
      <c r="AI393" s="37"/>
      <c r="AJ393" s="37"/>
      <c r="AK393" s="37"/>
      <c r="AL393" s="37"/>
      <c r="AM393" s="37"/>
      <c r="AN393" s="37"/>
      <c r="AO393" s="37"/>
      <c r="AP393" s="37"/>
      <c r="AQ393" s="37"/>
      <c r="AR393" s="37"/>
      <c r="AS393" s="37"/>
      <c r="AT393" s="37"/>
      <c r="AU393" s="37"/>
      <c r="AV393" s="59"/>
      <c r="AW393" s="1" t="str">
        <f>_xlfn.CONCAT(tbl_Ben_Info[[#This Row],[First Name]]," ",tbl_Ben_Info[[#This Row],[Father Name]]," ",tbl_Ben_Info[[#This Row],[Family Name]])</f>
        <v xml:space="preserve">  </v>
      </c>
    </row>
    <row r="394" spans="2:49" ht="25.15" customHeight="1" x14ac:dyDescent="0.25">
      <c r="B394" s="49">
        <v>389</v>
      </c>
      <c r="C394" s="1" t="str">
        <f>_xlfn.CONCAT("181-702-",IF(tbl_Ben_Info[[#This Row],[SN]]&lt;10,"00"&amp;tbl_Ben_Info[[#This Row],[SN]],IF(tbl_Ben_Info[[#This Row],[SN]]&lt;100,"0"&amp;tbl_Ben_Info[[#This Row],[SN]],tbl_Ben_Info[[#This Row],[SN]])))</f>
        <v>181-702-389</v>
      </c>
      <c r="D394" s="37"/>
      <c r="E394" s="40"/>
      <c r="F394" s="41"/>
      <c r="G394" s="42"/>
      <c r="H394" s="43"/>
      <c r="I394" s="73"/>
      <c r="J394" s="43"/>
      <c r="K394" s="43"/>
      <c r="L394" s="43"/>
      <c r="M394" s="43"/>
      <c r="N394" s="111"/>
      <c r="O394" s="43"/>
      <c r="P394" s="48"/>
      <c r="Q394" s="49"/>
      <c r="R394" s="37"/>
      <c r="S394" s="37"/>
      <c r="T394" s="37"/>
      <c r="U394" s="37"/>
      <c r="V394" s="59"/>
      <c r="W394" s="49"/>
      <c r="X394" s="37"/>
      <c r="Y394" s="37"/>
      <c r="Z394" s="37"/>
      <c r="AA394" s="37"/>
      <c r="AB394" s="37"/>
      <c r="AC394" s="37"/>
      <c r="AD394" s="37"/>
      <c r="AE394" s="37"/>
      <c r="AF394" s="37"/>
      <c r="AG394" s="59"/>
      <c r="AH394" s="49"/>
      <c r="AI394" s="37"/>
      <c r="AJ394" s="37"/>
      <c r="AK394" s="37"/>
      <c r="AL394" s="37"/>
      <c r="AM394" s="37"/>
      <c r="AN394" s="37"/>
      <c r="AO394" s="37"/>
      <c r="AP394" s="37"/>
      <c r="AQ394" s="37"/>
      <c r="AR394" s="37"/>
      <c r="AS394" s="37"/>
      <c r="AT394" s="37"/>
      <c r="AU394" s="37"/>
      <c r="AV394" s="59"/>
      <c r="AW394" s="1" t="str">
        <f>_xlfn.CONCAT(tbl_Ben_Info[[#This Row],[First Name]]," ",tbl_Ben_Info[[#This Row],[Father Name]]," ",tbl_Ben_Info[[#This Row],[Family Name]])</f>
        <v xml:space="preserve">  </v>
      </c>
    </row>
    <row r="395" spans="2:49" ht="25.15" customHeight="1" x14ac:dyDescent="0.25">
      <c r="B395" s="49">
        <v>390</v>
      </c>
      <c r="C395" s="1" t="str">
        <f>_xlfn.CONCAT("181-702-",IF(tbl_Ben_Info[[#This Row],[SN]]&lt;10,"00"&amp;tbl_Ben_Info[[#This Row],[SN]],IF(tbl_Ben_Info[[#This Row],[SN]]&lt;100,"0"&amp;tbl_Ben_Info[[#This Row],[SN]],tbl_Ben_Info[[#This Row],[SN]])))</f>
        <v>181-702-390</v>
      </c>
      <c r="D395" s="37"/>
      <c r="E395" s="40"/>
      <c r="F395" s="41"/>
      <c r="G395" s="42"/>
      <c r="H395" s="43"/>
      <c r="I395" s="73"/>
      <c r="J395" s="43"/>
      <c r="K395" s="43"/>
      <c r="L395" s="43"/>
      <c r="M395" s="43"/>
      <c r="N395" s="111"/>
      <c r="O395" s="43"/>
      <c r="P395" s="48"/>
      <c r="Q395" s="49"/>
      <c r="R395" s="37"/>
      <c r="S395" s="37"/>
      <c r="T395" s="37"/>
      <c r="U395" s="37"/>
      <c r="V395" s="59"/>
      <c r="W395" s="49"/>
      <c r="X395" s="37"/>
      <c r="Y395" s="37"/>
      <c r="Z395" s="37"/>
      <c r="AA395" s="37"/>
      <c r="AB395" s="37"/>
      <c r="AC395" s="37"/>
      <c r="AD395" s="37"/>
      <c r="AE395" s="37"/>
      <c r="AF395" s="37"/>
      <c r="AG395" s="59"/>
      <c r="AH395" s="49"/>
      <c r="AI395" s="37"/>
      <c r="AJ395" s="37"/>
      <c r="AK395" s="37"/>
      <c r="AL395" s="37"/>
      <c r="AM395" s="37"/>
      <c r="AN395" s="37"/>
      <c r="AO395" s="37"/>
      <c r="AP395" s="37"/>
      <c r="AQ395" s="37"/>
      <c r="AR395" s="37"/>
      <c r="AS395" s="37"/>
      <c r="AT395" s="37"/>
      <c r="AU395" s="37"/>
      <c r="AV395" s="59"/>
      <c r="AW395" s="1" t="str">
        <f>_xlfn.CONCAT(tbl_Ben_Info[[#This Row],[First Name]]," ",tbl_Ben_Info[[#This Row],[Father Name]]," ",tbl_Ben_Info[[#This Row],[Family Name]])</f>
        <v xml:space="preserve">  </v>
      </c>
    </row>
    <row r="396" spans="2:49" ht="25.15" customHeight="1" x14ac:dyDescent="0.25">
      <c r="B396" s="49">
        <v>391</v>
      </c>
      <c r="C396" s="1" t="str">
        <f>_xlfn.CONCAT("181-702-",IF(tbl_Ben_Info[[#This Row],[SN]]&lt;10,"00"&amp;tbl_Ben_Info[[#This Row],[SN]],IF(tbl_Ben_Info[[#This Row],[SN]]&lt;100,"0"&amp;tbl_Ben_Info[[#This Row],[SN]],tbl_Ben_Info[[#This Row],[SN]])))</f>
        <v>181-702-391</v>
      </c>
      <c r="D396" s="37"/>
      <c r="E396" s="40"/>
      <c r="F396" s="41"/>
      <c r="G396" s="42"/>
      <c r="H396" s="43"/>
      <c r="I396" s="73"/>
      <c r="J396" s="43"/>
      <c r="K396" s="43"/>
      <c r="L396" s="43"/>
      <c r="M396" s="43"/>
      <c r="N396" s="111"/>
      <c r="O396" s="43"/>
      <c r="P396" s="48"/>
      <c r="Q396" s="49"/>
      <c r="R396" s="37"/>
      <c r="S396" s="37"/>
      <c r="T396" s="37"/>
      <c r="U396" s="37"/>
      <c r="V396" s="59"/>
      <c r="W396" s="49"/>
      <c r="X396" s="37"/>
      <c r="Y396" s="37"/>
      <c r="Z396" s="37"/>
      <c r="AA396" s="37"/>
      <c r="AB396" s="37"/>
      <c r="AC396" s="37"/>
      <c r="AD396" s="37"/>
      <c r="AE396" s="37"/>
      <c r="AF396" s="37"/>
      <c r="AG396" s="59"/>
      <c r="AH396" s="49"/>
      <c r="AI396" s="37"/>
      <c r="AJ396" s="37"/>
      <c r="AK396" s="37"/>
      <c r="AL396" s="37"/>
      <c r="AM396" s="37"/>
      <c r="AN396" s="37"/>
      <c r="AO396" s="37"/>
      <c r="AP396" s="37"/>
      <c r="AQ396" s="37"/>
      <c r="AR396" s="37"/>
      <c r="AS396" s="37"/>
      <c r="AT396" s="37"/>
      <c r="AU396" s="37"/>
      <c r="AV396" s="59"/>
      <c r="AW396" s="1" t="str">
        <f>_xlfn.CONCAT(tbl_Ben_Info[[#This Row],[First Name]]," ",tbl_Ben_Info[[#This Row],[Father Name]]," ",tbl_Ben_Info[[#This Row],[Family Name]])</f>
        <v xml:space="preserve">  </v>
      </c>
    </row>
    <row r="397" spans="2:49" ht="25.15" customHeight="1" x14ac:dyDescent="0.25">
      <c r="B397" s="49">
        <v>392</v>
      </c>
      <c r="C397" s="1" t="str">
        <f>_xlfn.CONCAT("181-702-",IF(tbl_Ben_Info[[#This Row],[SN]]&lt;10,"00"&amp;tbl_Ben_Info[[#This Row],[SN]],IF(tbl_Ben_Info[[#This Row],[SN]]&lt;100,"0"&amp;tbl_Ben_Info[[#This Row],[SN]],tbl_Ben_Info[[#This Row],[SN]])))</f>
        <v>181-702-392</v>
      </c>
      <c r="D397" s="37"/>
      <c r="E397" s="40"/>
      <c r="F397" s="41"/>
      <c r="G397" s="42"/>
      <c r="H397" s="43"/>
      <c r="I397" s="73"/>
      <c r="J397" s="43"/>
      <c r="K397" s="43"/>
      <c r="L397" s="43"/>
      <c r="M397" s="43"/>
      <c r="N397" s="111"/>
      <c r="O397" s="43"/>
      <c r="P397" s="48"/>
      <c r="Q397" s="49"/>
      <c r="R397" s="37"/>
      <c r="S397" s="37"/>
      <c r="T397" s="37"/>
      <c r="U397" s="37"/>
      <c r="V397" s="59"/>
      <c r="W397" s="49"/>
      <c r="X397" s="37"/>
      <c r="Y397" s="37"/>
      <c r="Z397" s="37"/>
      <c r="AA397" s="37"/>
      <c r="AB397" s="37"/>
      <c r="AC397" s="37"/>
      <c r="AD397" s="37"/>
      <c r="AE397" s="37"/>
      <c r="AF397" s="37"/>
      <c r="AG397" s="59"/>
      <c r="AH397" s="49"/>
      <c r="AI397" s="37"/>
      <c r="AJ397" s="37"/>
      <c r="AK397" s="37"/>
      <c r="AL397" s="37"/>
      <c r="AM397" s="37"/>
      <c r="AN397" s="37"/>
      <c r="AO397" s="37"/>
      <c r="AP397" s="37"/>
      <c r="AQ397" s="37"/>
      <c r="AR397" s="37"/>
      <c r="AS397" s="37"/>
      <c r="AT397" s="37"/>
      <c r="AU397" s="37"/>
      <c r="AV397" s="59"/>
      <c r="AW397" s="1" t="str">
        <f>_xlfn.CONCAT(tbl_Ben_Info[[#This Row],[First Name]]," ",tbl_Ben_Info[[#This Row],[Father Name]]," ",tbl_Ben_Info[[#This Row],[Family Name]])</f>
        <v xml:space="preserve">  </v>
      </c>
    </row>
    <row r="398" spans="2:49" ht="25.15" customHeight="1" x14ac:dyDescent="0.25">
      <c r="B398" s="49">
        <v>393</v>
      </c>
      <c r="C398" s="1" t="str">
        <f>_xlfn.CONCAT("181-702-",IF(tbl_Ben_Info[[#This Row],[SN]]&lt;10,"00"&amp;tbl_Ben_Info[[#This Row],[SN]],IF(tbl_Ben_Info[[#This Row],[SN]]&lt;100,"0"&amp;tbl_Ben_Info[[#This Row],[SN]],tbl_Ben_Info[[#This Row],[SN]])))</f>
        <v>181-702-393</v>
      </c>
      <c r="D398" s="37"/>
      <c r="E398" s="40"/>
      <c r="F398" s="41"/>
      <c r="G398" s="42"/>
      <c r="H398" s="43"/>
      <c r="I398" s="73"/>
      <c r="J398" s="43"/>
      <c r="K398" s="43"/>
      <c r="L398" s="43"/>
      <c r="M398" s="43"/>
      <c r="N398" s="111"/>
      <c r="O398" s="43"/>
      <c r="P398" s="48"/>
      <c r="Q398" s="49"/>
      <c r="R398" s="37"/>
      <c r="S398" s="37"/>
      <c r="T398" s="37"/>
      <c r="U398" s="37"/>
      <c r="V398" s="59"/>
      <c r="W398" s="49"/>
      <c r="X398" s="37"/>
      <c r="Y398" s="37"/>
      <c r="Z398" s="37"/>
      <c r="AA398" s="37"/>
      <c r="AB398" s="37"/>
      <c r="AC398" s="37"/>
      <c r="AD398" s="37"/>
      <c r="AE398" s="37"/>
      <c r="AF398" s="37"/>
      <c r="AG398" s="59"/>
      <c r="AH398" s="49"/>
      <c r="AI398" s="37"/>
      <c r="AJ398" s="37"/>
      <c r="AK398" s="37"/>
      <c r="AL398" s="37"/>
      <c r="AM398" s="37"/>
      <c r="AN398" s="37"/>
      <c r="AO398" s="37"/>
      <c r="AP398" s="37"/>
      <c r="AQ398" s="37"/>
      <c r="AR398" s="37"/>
      <c r="AS398" s="37"/>
      <c r="AT398" s="37"/>
      <c r="AU398" s="37"/>
      <c r="AV398" s="59"/>
      <c r="AW398" s="1" t="str">
        <f>_xlfn.CONCAT(tbl_Ben_Info[[#This Row],[First Name]]," ",tbl_Ben_Info[[#This Row],[Father Name]]," ",tbl_Ben_Info[[#This Row],[Family Name]])</f>
        <v xml:space="preserve">  </v>
      </c>
    </row>
    <row r="399" spans="2:49" ht="25.15" customHeight="1" x14ac:dyDescent="0.25">
      <c r="B399" s="49">
        <v>394</v>
      </c>
      <c r="C399" s="1" t="str">
        <f>_xlfn.CONCAT("181-702-",IF(tbl_Ben_Info[[#This Row],[SN]]&lt;10,"00"&amp;tbl_Ben_Info[[#This Row],[SN]],IF(tbl_Ben_Info[[#This Row],[SN]]&lt;100,"0"&amp;tbl_Ben_Info[[#This Row],[SN]],tbl_Ben_Info[[#This Row],[SN]])))</f>
        <v>181-702-394</v>
      </c>
      <c r="D399" s="37"/>
      <c r="E399" s="40"/>
      <c r="F399" s="41"/>
      <c r="G399" s="42"/>
      <c r="H399" s="43"/>
      <c r="I399" s="73"/>
      <c r="J399" s="43"/>
      <c r="K399" s="43"/>
      <c r="L399" s="43"/>
      <c r="M399" s="43"/>
      <c r="N399" s="111"/>
      <c r="O399" s="43"/>
      <c r="P399" s="48"/>
      <c r="Q399" s="49"/>
      <c r="R399" s="37"/>
      <c r="S399" s="37"/>
      <c r="T399" s="37"/>
      <c r="U399" s="37"/>
      <c r="V399" s="59"/>
      <c r="W399" s="49"/>
      <c r="X399" s="37"/>
      <c r="Y399" s="37"/>
      <c r="Z399" s="37"/>
      <c r="AA399" s="37"/>
      <c r="AB399" s="37"/>
      <c r="AC399" s="37"/>
      <c r="AD399" s="37"/>
      <c r="AE399" s="37"/>
      <c r="AF399" s="37"/>
      <c r="AG399" s="59"/>
      <c r="AH399" s="49"/>
      <c r="AI399" s="37"/>
      <c r="AJ399" s="37"/>
      <c r="AK399" s="37"/>
      <c r="AL399" s="37"/>
      <c r="AM399" s="37"/>
      <c r="AN399" s="37"/>
      <c r="AO399" s="37"/>
      <c r="AP399" s="37"/>
      <c r="AQ399" s="37"/>
      <c r="AR399" s="37"/>
      <c r="AS399" s="37"/>
      <c r="AT399" s="37"/>
      <c r="AU399" s="37"/>
      <c r="AV399" s="59"/>
      <c r="AW399" s="1" t="str">
        <f>_xlfn.CONCAT(tbl_Ben_Info[[#This Row],[First Name]]," ",tbl_Ben_Info[[#This Row],[Father Name]]," ",tbl_Ben_Info[[#This Row],[Family Name]])</f>
        <v xml:space="preserve">  </v>
      </c>
    </row>
    <row r="400" spans="2:49" ht="25.15" customHeight="1" x14ac:dyDescent="0.25">
      <c r="B400" s="49">
        <v>395</v>
      </c>
      <c r="C400" s="1" t="str">
        <f>_xlfn.CONCAT("181-702-",IF(tbl_Ben_Info[[#This Row],[SN]]&lt;10,"00"&amp;tbl_Ben_Info[[#This Row],[SN]],IF(tbl_Ben_Info[[#This Row],[SN]]&lt;100,"0"&amp;tbl_Ben_Info[[#This Row],[SN]],tbl_Ben_Info[[#This Row],[SN]])))</f>
        <v>181-702-395</v>
      </c>
      <c r="D400" s="37"/>
      <c r="E400" s="40"/>
      <c r="F400" s="41"/>
      <c r="G400" s="42"/>
      <c r="H400" s="43"/>
      <c r="I400" s="73"/>
      <c r="J400" s="43"/>
      <c r="K400" s="43"/>
      <c r="L400" s="43"/>
      <c r="M400" s="43"/>
      <c r="N400" s="111"/>
      <c r="O400" s="43"/>
      <c r="P400" s="48"/>
      <c r="Q400" s="49"/>
      <c r="R400" s="37"/>
      <c r="S400" s="37"/>
      <c r="T400" s="37"/>
      <c r="U400" s="37"/>
      <c r="V400" s="59"/>
      <c r="W400" s="49"/>
      <c r="X400" s="37"/>
      <c r="Y400" s="37"/>
      <c r="Z400" s="37"/>
      <c r="AA400" s="37"/>
      <c r="AB400" s="37"/>
      <c r="AC400" s="37"/>
      <c r="AD400" s="37"/>
      <c r="AE400" s="37"/>
      <c r="AF400" s="37"/>
      <c r="AG400" s="59"/>
      <c r="AH400" s="49"/>
      <c r="AI400" s="37"/>
      <c r="AJ400" s="37"/>
      <c r="AK400" s="37"/>
      <c r="AL400" s="37"/>
      <c r="AM400" s="37"/>
      <c r="AN400" s="37"/>
      <c r="AO400" s="37"/>
      <c r="AP400" s="37"/>
      <c r="AQ400" s="37"/>
      <c r="AR400" s="37"/>
      <c r="AS400" s="37"/>
      <c r="AT400" s="37"/>
      <c r="AU400" s="37"/>
      <c r="AV400" s="59"/>
      <c r="AW400" s="1" t="str">
        <f>_xlfn.CONCAT(tbl_Ben_Info[[#This Row],[First Name]]," ",tbl_Ben_Info[[#This Row],[Father Name]]," ",tbl_Ben_Info[[#This Row],[Family Name]])</f>
        <v xml:space="preserve">  </v>
      </c>
    </row>
    <row r="401" spans="2:49" ht="25.15" customHeight="1" x14ac:dyDescent="0.25">
      <c r="B401" s="49">
        <v>396</v>
      </c>
      <c r="C401" s="1" t="str">
        <f>_xlfn.CONCAT("181-702-",IF(tbl_Ben_Info[[#This Row],[SN]]&lt;10,"00"&amp;tbl_Ben_Info[[#This Row],[SN]],IF(tbl_Ben_Info[[#This Row],[SN]]&lt;100,"0"&amp;tbl_Ben_Info[[#This Row],[SN]],tbl_Ben_Info[[#This Row],[SN]])))</f>
        <v>181-702-396</v>
      </c>
      <c r="D401" s="37"/>
      <c r="E401" s="40"/>
      <c r="F401" s="41"/>
      <c r="G401" s="42"/>
      <c r="H401" s="43"/>
      <c r="I401" s="73"/>
      <c r="J401" s="43"/>
      <c r="K401" s="43"/>
      <c r="L401" s="43"/>
      <c r="M401" s="43"/>
      <c r="N401" s="111"/>
      <c r="O401" s="43"/>
      <c r="P401" s="48"/>
      <c r="Q401" s="49"/>
      <c r="R401" s="37"/>
      <c r="S401" s="37"/>
      <c r="T401" s="37"/>
      <c r="U401" s="37"/>
      <c r="V401" s="59"/>
      <c r="W401" s="49"/>
      <c r="X401" s="37"/>
      <c r="Y401" s="37"/>
      <c r="Z401" s="37"/>
      <c r="AA401" s="37"/>
      <c r="AB401" s="37"/>
      <c r="AC401" s="37"/>
      <c r="AD401" s="37"/>
      <c r="AE401" s="37"/>
      <c r="AF401" s="37"/>
      <c r="AG401" s="59"/>
      <c r="AH401" s="49"/>
      <c r="AI401" s="37"/>
      <c r="AJ401" s="37"/>
      <c r="AK401" s="37"/>
      <c r="AL401" s="37"/>
      <c r="AM401" s="37"/>
      <c r="AN401" s="37"/>
      <c r="AO401" s="37"/>
      <c r="AP401" s="37"/>
      <c r="AQ401" s="37"/>
      <c r="AR401" s="37"/>
      <c r="AS401" s="37"/>
      <c r="AT401" s="37"/>
      <c r="AU401" s="37"/>
      <c r="AV401" s="59"/>
      <c r="AW401" s="1" t="str">
        <f>_xlfn.CONCAT(tbl_Ben_Info[[#This Row],[First Name]]," ",tbl_Ben_Info[[#This Row],[Father Name]]," ",tbl_Ben_Info[[#This Row],[Family Name]])</f>
        <v xml:space="preserve">  </v>
      </c>
    </row>
    <row r="402" spans="2:49" ht="25.15" customHeight="1" x14ac:dyDescent="0.25">
      <c r="B402" s="49">
        <v>397</v>
      </c>
      <c r="C402" s="1" t="str">
        <f>_xlfn.CONCAT("181-702-",IF(tbl_Ben_Info[[#This Row],[SN]]&lt;10,"00"&amp;tbl_Ben_Info[[#This Row],[SN]],IF(tbl_Ben_Info[[#This Row],[SN]]&lt;100,"0"&amp;tbl_Ben_Info[[#This Row],[SN]],tbl_Ben_Info[[#This Row],[SN]])))</f>
        <v>181-702-397</v>
      </c>
      <c r="D402" s="37"/>
      <c r="E402" s="40"/>
      <c r="F402" s="41"/>
      <c r="G402" s="42"/>
      <c r="H402" s="43"/>
      <c r="I402" s="73"/>
      <c r="J402" s="43"/>
      <c r="K402" s="43"/>
      <c r="L402" s="43"/>
      <c r="M402" s="43"/>
      <c r="N402" s="111"/>
      <c r="O402" s="43"/>
      <c r="P402" s="48"/>
      <c r="Q402" s="49"/>
      <c r="R402" s="37"/>
      <c r="S402" s="37"/>
      <c r="T402" s="37"/>
      <c r="U402" s="37"/>
      <c r="V402" s="59"/>
      <c r="W402" s="49"/>
      <c r="X402" s="37"/>
      <c r="Y402" s="37"/>
      <c r="Z402" s="37"/>
      <c r="AA402" s="37"/>
      <c r="AB402" s="37"/>
      <c r="AC402" s="37"/>
      <c r="AD402" s="37"/>
      <c r="AE402" s="37"/>
      <c r="AF402" s="37"/>
      <c r="AG402" s="59"/>
      <c r="AH402" s="49"/>
      <c r="AI402" s="37"/>
      <c r="AJ402" s="37"/>
      <c r="AK402" s="37"/>
      <c r="AL402" s="37"/>
      <c r="AM402" s="37"/>
      <c r="AN402" s="37"/>
      <c r="AO402" s="37"/>
      <c r="AP402" s="37"/>
      <c r="AQ402" s="37"/>
      <c r="AR402" s="37"/>
      <c r="AS402" s="37"/>
      <c r="AT402" s="37"/>
      <c r="AU402" s="37"/>
      <c r="AV402" s="59"/>
      <c r="AW402" s="1" t="str">
        <f>_xlfn.CONCAT(tbl_Ben_Info[[#This Row],[First Name]]," ",tbl_Ben_Info[[#This Row],[Father Name]]," ",tbl_Ben_Info[[#This Row],[Family Name]])</f>
        <v xml:space="preserve">  </v>
      </c>
    </row>
    <row r="403" spans="2:49" ht="25.15" customHeight="1" x14ac:dyDescent="0.25">
      <c r="B403" s="49">
        <v>398</v>
      </c>
      <c r="C403" s="1" t="str">
        <f>_xlfn.CONCAT("181-702-",IF(tbl_Ben_Info[[#This Row],[SN]]&lt;10,"00"&amp;tbl_Ben_Info[[#This Row],[SN]],IF(tbl_Ben_Info[[#This Row],[SN]]&lt;100,"0"&amp;tbl_Ben_Info[[#This Row],[SN]],tbl_Ben_Info[[#This Row],[SN]])))</f>
        <v>181-702-398</v>
      </c>
      <c r="D403" s="37"/>
      <c r="E403" s="40"/>
      <c r="F403" s="41"/>
      <c r="G403" s="42"/>
      <c r="H403" s="43"/>
      <c r="I403" s="73"/>
      <c r="J403" s="43"/>
      <c r="K403" s="43"/>
      <c r="L403" s="43"/>
      <c r="M403" s="43"/>
      <c r="N403" s="111"/>
      <c r="O403" s="43"/>
      <c r="P403" s="48"/>
      <c r="Q403" s="49"/>
      <c r="R403" s="37"/>
      <c r="S403" s="37"/>
      <c r="T403" s="37"/>
      <c r="U403" s="37"/>
      <c r="V403" s="59"/>
      <c r="W403" s="49"/>
      <c r="X403" s="37"/>
      <c r="Y403" s="37"/>
      <c r="Z403" s="37"/>
      <c r="AA403" s="37"/>
      <c r="AB403" s="37"/>
      <c r="AC403" s="37"/>
      <c r="AD403" s="37"/>
      <c r="AE403" s="37"/>
      <c r="AF403" s="37"/>
      <c r="AG403" s="59"/>
      <c r="AH403" s="49"/>
      <c r="AI403" s="37"/>
      <c r="AJ403" s="37"/>
      <c r="AK403" s="37"/>
      <c r="AL403" s="37"/>
      <c r="AM403" s="37"/>
      <c r="AN403" s="37"/>
      <c r="AO403" s="37"/>
      <c r="AP403" s="37"/>
      <c r="AQ403" s="37"/>
      <c r="AR403" s="37"/>
      <c r="AS403" s="37"/>
      <c r="AT403" s="37"/>
      <c r="AU403" s="37"/>
      <c r="AV403" s="59"/>
      <c r="AW403" s="1" t="str">
        <f>_xlfn.CONCAT(tbl_Ben_Info[[#This Row],[First Name]]," ",tbl_Ben_Info[[#This Row],[Father Name]]," ",tbl_Ben_Info[[#This Row],[Family Name]])</f>
        <v xml:space="preserve">  </v>
      </c>
    </row>
    <row r="404" spans="2:49" ht="25.15" customHeight="1" x14ac:dyDescent="0.25">
      <c r="B404" s="49">
        <v>399</v>
      </c>
      <c r="C404" s="1" t="str">
        <f>_xlfn.CONCAT("181-702-",IF(tbl_Ben_Info[[#This Row],[SN]]&lt;10,"00"&amp;tbl_Ben_Info[[#This Row],[SN]],IF(tbl_Ben_Info[[#This Row],[SN]]&lt;100,"0"&amp;tbl_Ben_Info[[#This Row],[SN]],tbl_Ben_Info[[#This Row],[SN]])))</f>
        <v>181-702-399</v>
      </c>
      <c r="D404" s="37"/>
      <c r="E404" s="40"/>
      <c r="F404" s="41"/>
      <c r="G404" s="42"/>
      <c r="H404" s="43"/>
      <c r="I404" s="73"/>
      <c r="J404" s="43"/>
      <c r="K404" s="43"/>
      <c r="L404" s="43"/>
      <c r="M404" s="43"/>
      <c r="N404" s="111"/>
      <c r="O404" s="43"/>
      <c r="P404" s="48"/>
      <c r="Q404" s="49"/>
      <c r="R404" s="37"/>
      <c r="S404" s="37"/>
      <c r="T404" s="37"/>
      <c r="U404" s="37"/>
      <c r="V404" s="59"/>
      <c r="W404" s="49"/>
      <c r="X404" s="37"/>
      <c r="Y404" s="37"/>
      <c r="Z404" s="37"/>
      <c r="AA404" s="37"/>
      <c r="AB404" s="37"/>
      <c r="AC404" s="37"/>
      <c r="AD404" s="37"/>
      <c r="AE404" s="37"/>
      <c r="AF404" s="37"/>
      <c r="AG404" s="59"/>
      <c r="AH404" s="49"/>
      <c r="AI404" s="37"/>
      <c r="AJ404" s="37"/>
      <c r="AK404" s="37"/>
      <c r="AL404" s="37"/>
      <c r="AM404" s="37"/>
      <c r="AN404" s="37"/>
      <c r="AO404" s="37"/>
      <c r="AP404" s="37"/>
      <c r="AQ404" s="37"/>
      <c r="AR404" s="37"/>
      <c r="AS404" s="37"/>
      <c r="AT404" s="37"/>
      <c r="AU404" s="37"/>
      <c r="AV404" s="59"/>
      <c r="AW404" s="1" t="str">
        <f>_xlfn.CONCAT(tbl_Ben_Info[[#This Row],[First Name]]," ",tbl_Ben_Info[[#This Row],[Father Name]]," ",tbl_Ben_Info[[#This Row],[Family Name]])</f>
        <v xml:space="preserve">  </v>
      </c>
    </row>
    <row r="405" spans="2:49" ht="25.15" customHeight="1" x14ac:dyDescent="0.25">
      <c r="B405" s="49">
        <v>400</v>
      </c>
      <c r="C405" s="1" t="str">
        <f>_xlfn.CONCAT("181-702-",IF(tbl_Ben_Info[[#This Row],[SN]]&lt;10,"00"&amp;tbl_Ben_Info[[#This Row],[SN]],IF(tbl_Ben_Info[[#This Row],[SN]]&lt;100,"0"&amp;tbl_Ben_Info[[#This Row],[SN]],tbl_Ben_Info[[#This Row],[SN]])))</f>
        <v>181-702-400</v>
      </c>
      <c r="D405" s="37"/>
      <c r="E405" s="40"/>
      <c r="F405" s="41"/>
      <c r="G405" s="42"/>
      <c r="H405" s="43"/>
      <c r="I405" s="73"/>
      <c r="J405" s="43"/>
      <c r="K405" s="43"/>
      <c r="L405" s="43"/>
      <c r="M405" s="43"/>
      <c r="N405" s="111"/>
      <c r="O405" s="43"/>
      <c r="P405" s="48"/>
      <c r="Q405" s="49"/>
      <c r="R405" s="37"/>
      <c r="S405" s="37"/>
      <c r="T405" s="37"/>
      <c r="U405" s="37"/>
      <c r="V405" s="59"/>
      <c r="W405" s="49"/>
      <c r="X405" s="37"/>
      <c r="Y405" s="37"/>
      <c r="Z405" s="37"/>
      <c r="AA405" s="37"/>
      <c r="AB405" s="37"/>
      <c r="AC405" s="37"/>
      <c r="AD405" s="37"/>
      <c r="AE405" s="37"/>
      <c r="AF405" s="37"/>
      <c r="AG405" s="59"/>
      <c r="AH405" s="49"/>
      <c r="AI405" s="37"/>
      <c r="AJ405" s="37"/>
      <c r="AK405" s="37"/>
      <c r="AL405" s="37"/>
      <c r="AM405" s="37"/>
      <c r="AN405" s="37"/>
      <c r="AO405" s="37"/>
      <c r="AP405" s="37"/>
      <c r="AQ405" s="37"/>
      <c r="AR405" s="37"/>
      <c r="AS405" s="37"/>
      <c r="AT405" s="37"/>
      <c r="AU405" s="37"/>
      <c r="AV405" s="59"/>
      <c r="AW405" s="1" t="str">
        <f>_xlfn.CONCAT(tbl_Ben_Info[[#This Row],[First Name]]," ",tbl_Ben_Info[[#This Row],[Father Name]]," ",tbl_Ben_Info[[#This Row],[Family Name]])</f>
        <v xml:space="preserve">  </v>
      </c>
    </row>
    <row r="406" spans="2:49" ht="25.15" customHeight="1" x14ac:dyDescent="0.25">
      <c r="B406" s="49">
        <v>401</v>
      </c>
      <c r="C406" s="1" t="str">
        <f>_xlfn.CONCAT("181-702-",IF(tbl_Ben_Info[[#This Row],[SN]]&lt;10,"00"&amp;tbl_Ben_Info[[#This Row],[SN]],IF(tbl_Ben_Info[[#This Row],[SN]]&lt;100,"0"&amp;tbl_Ben_Info[[#This Row],[SN]],tbl_Ben_Info[[#This Row],[SN]])))</f>
        <v>181-702-401</v>
      </c>
      <c r="D406" s="37"/>
      <c r="E406" s="40"/>
      <c r="F406" s="41"/>
      <c r="G406" s="42"/>
      <c r="H406" s="43"/>
      <c r="I406" s="73"/>
      <c r="J406" s="43"/>
      <c r="K406" s="43"/>
      <c r="L406" s="43"/>
      <c r="M406" s="43"/>
      <c r="N406" s="111"/>
      <c r="O406" s="43"/>
      <c r="P406" s="48"/>
      <c r="Q406" s="49"/>
      <c r="R406" s="37"/>
      <c r="S406" s="37"/>
      <c r="T406" s="37"/>
      <c r="U406" s="37"/>
      <c r="V406" s="59"/>
      <c r="W406" s="49"/>
      <c r="X406" s="37"/>
      <c r="Y406" s="37"/>
      <c r="Z406" s="37"/>
      <c r="AA406" s="37"/>
      <c r="AB406" s="37"/>
      <c r="AC406" s="37"/>
      <c r="AD406" s="37"/>
      <c r="AE406" s="37"/>
      <c r="AF406" s="37"/>
      <c r="AG406" s="59"/>
      <c r="AH406" s="49"/>
      <c r="AI406" s="37"/>
      <c r="AJ406" s="37"/>
      <c r="AK406" s="37"/>
      <c r="AL406" s="37"/>
      <c r="AM406" s="37"/>
      <c r="AN406" s="37"/>
      <c r="AO406" s="37"/>
      <c r="AP406" s="37"/>
      <c r="AQ406" s="37"/>
      <c r="AR406" s="37"/>
      <c r="AS406" s="37"/>
      <c r="AT406" s="37"/>
      <c r="AU406" s="37"/>
      <c r="AV406" s="59"/>
      <c r="AW406" s="1" t="str">
        <f>_xlfn.CONCAT(tbl_Ben_Info[[#This Row],[First Name]]," ",tbl_Ben_Info[[#This Row],[Father Name]]," ",tbl_Ben_Info[[#This Row],[Family Name]])</f>
        <v xml:space="preserve">  </v>
      </c>
    </row>
    <row r="407" spans="2:49" ht="25.15" customHeight="1" x14ac:dyDescent="0.25">
      <c r="B407" s="49">
        <v>402</v>
      </c>
      <c r="C407" s="1" t="str">
        <f>_xlfn.CONCAT("181-702-",IF(tbl_Ben_Info[[#This Row],[SN]]&lt;10,"00"&amp;tbl_Ben_Info[[#This Row],[SN]],IF(tbl_Ben_Info[[#This Row],[SN]]&lt;100,"0"&amp;tbl_Ben_Info[[#This Row],[SN]],tbl_Ben_Info[[#This Row],[SN]])))</f>
        <v>181-702-402</v>
      </c>
      <c r="D407" s="37"/>
      <c r="E407" s="40"/>
      <c r="F407" s="41"/>
      <c r="G407" s="42"/>
      <c r="H407" s="43"/>
      <c r="I407" s="73"/>
      <c r="J407" s="43"/>
      <c r="K407" s="43"/>
      <c r="L407" s="43"/>
      <c r="M407" s="43"/>
      <c r="N407" s="111"/>
      <c r="O407" s="43"/>
      <c r="P407" s="48"/>
      <c r="Q407" s="49"/>
      <c r="R407" s="37"/>
      <c r="S407" s="37"/>
      <c r="T407" s="37"/>
      <c r="U407" s="37"/>
      <c r="V407" s="59"/>
      <c r="W407" s="49"/>
      <c r="X407" s="37"/>
      <c r="Y407" s="37"/>
      <c r="Z407" s="37"/>
      <c r="AA407" s="37"/>
      <c r="AB407" s="37"/>
      <c r="AC407" s="37"/>
      <c r="AD407" s="37"/>
      <c r="AE407" s="37"/>
      <c r="AF407" s="37"/>
      <c r="AG407" s="59"/>
      <c r="AH407" s="49"/>
      <c r="AI407" s="37"/>
      <c r="AJ407" s="37"/>
      <c r="AK407" s="37"/>
      <c r="AL407" s="37"/>
      <c r="AM407" s="37"/>
      <c r="AN407" s="37"/>
      <c r="AO407" s="37"/>
      <c r="AP407" s="37"/>
      <c r="AQ407" s="37"/>
      <c r="AR407" s="37"/>
      <c r="AS407" s="37"/>
      <c r="AT407" s="37"/>
      <c r="AU407" s="37"/>
      <c r="AV407" s="59"/>
      <c r="AW407" s="1" t="str">
        <f>_xlfn.CONCAT(tbl_Ben_Info[[#This Row],[First Name]]," ",tbl_Ben_Info[[#This Row],[Father Name]]," ",tbl_Ben_Info[[#This Row],[Family Name]])</f>
        <v xml:space="preserve">  </v>
      </c>
    </row>
    <row r="408" spans="2:49" ht="25.15" customHeight="1" x14ac:dyDescent="0.25">
      <c r="B408" s="49">
        <v>403</v>
      </c>
      <c r="C408" s="1" t="str">
        <f>_xlfn.CONCAT("181-702-",IF(tbl_Ben_Info[[#This Row],[SN]]&lt;10,"00"&amp;tbl_Ben_Info[[#This Row],[SN]],IF(tbl_Ben_Info[[#This Row],[SN]]&lt;100,"0"&amp;tbl_Ben_Info[[#This Row],[SN]],tbl_Ben_Info[[#This Row],[SN]])))</f>
        <v>181-702-403</v>
      </c>
      <c r="D408" s="37"/>
      <c r="E408" s="40"/>
      <c r="F408" s="41"/>
      <c r="G408" s="42"/>
      <c r="H408" s="43"/>
      <c r="I408" s="73"/>
      <c r="J408" s="43"/>
      <c r="K408" s="43"/>
      <c r="L408" s="43"/>
      <c r="M408" s="43"/>
      <c r="N408" s="111"/>
      <c r="O408" s="43"/>
      <c r="P408" s="48"/>
      <c r="Q408" s="49"/>
      <c r="R408" s="37"/>
      <c r="S408" s="37"/>
      <c r="T408" s="37"/>
      <c r="U408" s="37"/>
      <c r="V408" s="59"/>
      <c r="W408" s="49"/>
      <c r="X408" s="37"/>
      <c r="Y408" s="37"/>
      <c r="Z408" s="37"/>
      <c r="AA408" s="37"/>
      <c r="AB408" s="37"/>
      <c r="AC408" s="37"/>
      <c r="AD408" s="37"/>
      <c r="AE408" s="37"/>
      <c r="AF408" s="37"/>
      <c r="AG408" s="59"/>
      <c r="AH408" s="49"/>
      <c r="AI408" s="37"/>
      <c r="AJ408" s="37"/>
      <c r="AK408" s="37"/>
      <c r="AL408" s="37"/>
      <c r="AM408" s="37"/>
      <c r="AN408" s="37"/>
      <c r="AO408" s="37"/>
      <c r="AP408" s="37"/>
      <c r="AQ408" s="37"/>
      <c r="AR408" s="37"/>
      <c r="AS408" s="37"/>
      <c r="AT408" s="37"/>
      <c r="AU408" s="37"/>
      <c r="AV408" s="59"/>
      <c r="AW408" s="1" t="str">
        <f>_xlfn.CONCAT(tbl_Ben_Info[[#This Row],[First Name]]," ",tbl_Ben_Info[[#This Row],[Father Name]]," ",tbl_Ben_Info[[#This Row],[Family Name]])</f>
        <v xml:space="preserve">  </v>
      </c>
    </row>
    <row r="409" spans="2:49" ht="25.15" customHeight="1" x14ac:dyDescent="0.25">
      <c r="B409" s="49">
        <v>404</v>
      </c>
      <c r="C409" s="1" t="str">
        <f>_xlfn.CONCAT("181-702-",IF(tbl_Ben_Info[[#This Row],[SN]]&lt;10,"00"&amp;tbl_Ben_Info[[#This Row],[SN]],IF(tbl_Ben_Info[[#This Row],[SN]]&lt;100,"0"&amp;tbl_Ben_Info[[#This Row],[SN]],tbl_Ben_Info[[#This Row],[SN]])))</f>
        <v>181-702-404</v>
      </c>
      <c r="D409" s="37"/>
      <c r="E409" s="40"/>
      <c r="F409" s="41"/>
      <c r="G409" s="42"/>
      <c r="H409" s="43"/>
      <c r="I409" s="73"/>
      <c r="J409" s="43"/>
      <c r="K409" s="43"/>
      <c r="L409" s="43"/>
      <c r="M409" s="43"/>
      <c r="N409" s="111"/>
      <c r="O409" s="43"/>
      <c r="P409" s="48"/>
      <c r="Q409" s="49"/>
      <c r="R409" s="37"/>
      <c r="S409" s="37"/>
      <c r="T409" s="37"/>
      <c r="U409" s="37"/>
      <c r="V409" s="59"/>
      <c r="W409" s="49"/>
      <c r="X409" s="37"/>
      <c r="Y409" s="37"/>
      <c r="Z409" s="37"/>
      <c r="AA409" s="37"/>
      <c r="AB409" s="37"/>
      <c r="AC409" s="37"/>
      <c r="AD409" s="37"/>
      <c r="AE409" s="37"/>
      <c r="AF409" s="37"/>
      <c r="AG409" s="59"/>
      <c r="AH409" s="49"/>
      <c r="AI409" s="37"/>
      <c r="AJ409" s="37"/>
      <c r="AK409" s="37"/>
      <c r="AL409" s="37"/>
      <c r="AM409" s="37"/>
      <c r="AN409" s="37"/>
      <c r="AO409" s="37"/>
      <c r="AP409" s="37"/>
      <c r="AQ409" s="37"/>
      <c r="AR409" s="37"/>
      <c r="AS409" s="37"/>
      <c r="AT409" s="37"/>
      <c r="AU409" s="37"/>
      <c r="AV409" s="59"/>
      <c r="AW409" s="1" t="str">
        <f>_xlfn.CONCAT(tbl_Ben_Info[[#This Row],[First Name]]," ",tbl_Ben_Info[[#This Row],[Father Name]]," ",tbl_Ben_Info[[#This Row],[Family Name]])</f>
        <v xml:space="preserve">  </v>
      </c>
    </row>
    <row r="410" spans="2:49" ht="25.15" customHeight="1" x14ac:dyDescent="0.25">
      <c r="B410" s="49">
        <v>405</v>
      </c>
      <c r="C410" s="1" t="str">
        <f>_xlfn.CONCAT("181-702-",IF(tbl_Ben_Info[[#This Row],[SN]]&lt;10,"00"&amp;tbl_Ben_Info[[#This Row],[SN]],IF(tbl_Ben_Info[[#This Row],[SN]]&lt;100,"0"&amp;tbl_Ben_Info[[#This Row],[SN]],tbl_Ben_Info[[#This Row],[SN]])))</f>
        <v>181-702-405</v>
      </c>
      <c r="D410" s="37"/>
      <c r="E410" s="40"/>
      <c r="F410" s="41"/>
      <c r="G410" s="42"/>
      <c r="H410" s="43"/>
      <c r="I410" s="73"/>
      <c r="J410" s="43"/>
      <c r="K410" s="43"/>
      <c r="L410" s="43"/>
      <c r="M410" s="43"/>
      <c r="N410" s="111"/>
      <c r="O410" s="43"/>
      <c r="P410" s="48"/>
      <c r="Q410" s="49"/>
      <c r="R410" s="37"/>
      <c r="S410" s="37"/>
      <c r="T410" s="37"/>
      <c r="U410" s="37"/>
      <c r="V410" s="59"/>
      <c r="W410" s="49"/>
      <c r="X410" s="37"/>
      <c r="Y410" s="37"/>
      <c r="Z410" s="37"/>
      <c r="AA410" s="37"/>
      <c r="AB410" s="37"/>
      <c r="AC410" s="37"/>
      <c r="AD410" s="37"/>
      <c r="AE410" s="37"/>
      <c r="AF410" s="37"/>
      <c r="AG410" s="59"/>
      <c r="AH410" s="49"/>
      <c r="AI410" s="37"/>
      <c r="AJ410" s="37"/>
      <c r="AK410" s="37"/>
      <c r="AL410" s="37"/>
      <c r="AM410" s="37"/>
      <c r="AN410" s="37"/>
      <c r="AO410" s="37"/>
      <c r="AP410" s="37"/>
      <c r="AQ410" s="37"/>
      <c r="AR410" s="37"/>
      <c r="AS410" s="37"/>
      <c r="AT410" s="37"/>
      <c r="AU410" s="37"/>
      <c r="AV410" s="59"/>
      <c r="AW410" s="1" t="str">
        <f>_xlfn.CONCAT(tbl_Ben_Info[[#This Row],[First Name]]," ",tbl_Ben_Info[[#This Row],[Father Name]]," ",tbl_Ben_Info[[#This Row],[Family Name]])</f>
        <v xml:space="preserve">  </v>
      </c>
    </row>
    <row r="411" spans="2:49" ht="25.15" customHeight="1" x14ac:dyDescent="0.25">
      <c r="B411" s="49">
        <v>406</v>
      </c>
      <c r="C411" s="1" t="str">
        <f>_xlfn.CONCAT("181-702-",IF(tbl_Ben_Info[[#This Row],[SN]]&lt;10,"00"&amp;tbl_Ben_Info[[#This Row],[SN]],IF(tbl_Ben_Info[[#This Row],[SN]]&lt;100,"0"&amp;tbl_Ben_Info[[#This Row],[SN]],tbl_Ben_Info[[#This Row],[SN]])))</f>
        <v>181-702-406</v>
      </c>
      <c r="D411" s="37"/>
      <c r="E411" s="40"/>
      <c r="F411" s="41"/>
      <c r="G411" s="42"/>
      <c r="H411" s="43"/>
      <c r="I411" s="73"/>
      <c r="J411" s="43"/>
      <c r="K411" s="43"/>
      <c r="L411" s="43"/>
      <c r="M411" s="43"/>
      <c r="N411" s="111"/>
      <c r="O411" s="43"/>
      <c r="P411" s="48"/>
      <c r="Q411" s="49"/>
      <c r="R411" s="37"/>
      <c r="S411" s="37"/>
      <c r="T411" s="37"/>
      <c r="U411" s="37"/>
      <c r="V411" s="59"/>
      <c r="W411" s="49"/>
      <c r="X411" s="37"/>
      <c r="Y411" s="37"/>
      <c r="Z411" s="37"/>
      <c r="AA411" s="37"/>
      <c r="AB411" s="37"/>
      <c r="AC411" s="37"/>
      <c r="AD411" s="37"/>
      <c r="AE411" s="37"/>
      <c r="AF411" s="37"/>
      <c r="AG411" s="59"/>
      <c r="AH411" s="49"/>
      <c r="AI411" s="37"/>
      <c r="AJ411" s="37"/>
      <c r="AK411" s="37"/>
      <c r="AL411" s="37"/>
      <c r="AM411" s="37"/>
      <c r="AN411" s="37"/>
      <c r="AO411" s="37"/>
      <c r="AP411" s="37"/>
      <c r="AQ411" s="37"/>
      <c r="AR411" s="37"/>
      <c r="AS411" s="37"/>
      <c r="AT411" s="37"/>
      <c r="AU411" s="37"/>
      <c r="AV411" s="59"/>
      <c r="AW411" s="1" t="str">
        <f>_xlfn.CONCAT(tbl_Ben_Info[[#This Row],[First Name]]," ",tbl_Ben_Info[[#This Row],[Father Name]]," ",tbl_Ben_Info[[#This Row],[Family Name]])</f>
        <v xml:space="preserve">  </v>
      </c>
    </row>
    <row r="412" spans="2:49" ht="25.15" customHeight="1" x14ac:dyDescent="0.25">
      <c r="B412" s="49">
        <v>407</v>
      </c>
      <c r="C412" s="1" t="str">
        <f>_xlfn.CONCAT("181-702-",IF(tbl_Ben_Info[[#This Row],[SN]]&lt;10,"00"&amp;tbl_Ben_Info[[#This Row],[SN]],IF(tbl_Ben_Info[[#This Row],[SN]]&lt;100,"0"&amp;tbl_Ben_Info[[#This Row],[SN]],tbl_Ben_Info[[#This Row],[SN]])))</f>
        <v>181-702-407</v>
      </c>
      <c r="D412" s="37"/>
      <c r="E412" s="40"/>
      <c r="F412" s="41"/>
      <c r="G412" s="42"/>
      <c r="H412" s="43"/>
      <c r="I412" s="73"/>
      <c r="J412" s="43"/>
      <c r="K412" s="43"/>
      <c r="L412" s="43"/>
      <c r="M412" s="43"/>
      <c r="N412" s="111"/>
      <c r="O412" s="43"/>
      <c r="P412" s="48"/>
      <c r="Q412" s="49"/>
      <c r="R412" s="37"/>
      <c r="S412" s="37"/>
      <c r="T412" s="37"/>
      <c r="U412" s="37"/>
      <c r="V412" s="59"/>
      <c r="W412" s="49"/>
      <c r="X412" s="37"/>
      <c r="Y412" s="37"/>
      <c r="Z412" s="37"/>
      <c r="AA412" s="37"/>
      <c r="AB412" s="37"/>
      <c r="AC412" s="37"/>
      <c r="AD412" s="37"/>
      <c r="AE412" s="37"/>
      <c r="AF412" s="37"/>
      <c r="AG412" s="59"/>
      <c r="AH412" s="49"/>
      <c r="AI412" s="37"/>
      <c r="AJ412" s="37"/>
      <c r="AK412" s="37"/>
      <c r="AL412" s="37"/>
      <c r="AM412" s="37"/>
      <c r="AN412" s="37"/>
      <c r="AO412" s="37"/>
      <c r="AP412" s="37"/>
      <c r="AQ412" s="37"/>
      <c r="AR412" s="37"/>
      <c r="AS412" s="37"/>
      <c r="AT412" s="37"/>
      <c r="AU412" s="37"/>
      <c r="AV412" s="59"/>
      <c r="AW412" s="1" t="str">
        <f>_xlfn.CONCAT(tbl_Ben_Info[[#This Row],[First Name]]," ",tbl_Ben_Info[[#This Row],[Father Name]]," ",tbl_Ben_Info[[#This Row],[Family Name]])</f>
        <v xml:space="preserve">  </v>
      </c>
    </row>
    <row r="413" spans="2:49" ht="25.15" customHeight="1" x14ac:dyDescent="0.25">
      <c r="B413" s="49">
        <v>408</v>
      </c>
      <c r="C413" s="1" t="str">
        <f>_xlfn.CONCAT("181-702-",IF(tbl_Ben_Info[[#This Row],[SN]]&lt;10,"00"&amp;tbl_Ben_Info[[#This Row],[SN]],IF(tbl_Ben_Info[[#This Row],[SN]]&lt;100,"0"&amp;tbl_Ben_Info[[#This Row],[SN]],tbl_Ben_Info[[#This Row],[SN]])))</f>
        <v>181-702-408</v>
      </c>
      <c r="D413" s="37"/>
      <c r="E413" s="40"/>
      <c r="F413" s="41"/>
      <c r="G413" s="42"/>
      <c r="H413" s="43"/>
      <c r="I413" s="73"/>
      <c r="J413" s="43"/>
      <c r="K413" s="43"/>
      <c r="L413" s="43"/>
      <c r="M413" s="43"/>
      <c r="N413" s="111"/>
      <c r="O413" s="43"/>
      <c r="P413" s="48"/>
      <c r="Q413" s="49"/>
      <c r="R413" s="37"/>
      <c r="S413" s="37"/>
      <c r="T413" s="37"/>
      <c r="U413" s="37"/>
      <c r="V413" s="59"/>
      <c r="W413" s="49"/>
      <c r="X413" s="37"/>
      <c r="Y413" s="37"/>
      <c r="Z413" s="37"/>
      <c r="AA413" s="37"/>
      <c r="AB413" s="37"/>
      <c r="AC413" s="37"/>
      <c r="AD413" s="37"/>
      <c r="AE413" s="37"/>
      <c r="AF413" s="37"/>
      <c r="AG413" s="59"/>
      <c r="AH413" s="49"/>
      <c r="AI413" s="37"/>
      <c r="AJ413" s="37"/>
      <c r="AK413" s="37"/>
      <c r="AL413" s="37"/>
      <c r="AM413" s="37"/>
      <c r="AN413" s="37"/>
      <c r="AO413" s="37"/>
      <c r="AP413" s="37"/>
      <c r="AQ413" s="37"/>
      <c r="AR413" s="37"/>
      <c r="AS413" s="37"/>
      <c r="AT413" s="37"/>
      <c r="AU413" s="37"/>
      <c r="AV413" s="59"/>
      <c r="AW413" s="1" t="str">
        <f>_xlfn.CONCAT(tbl_Ben_Info[[#This Row],[First Name]]," ",tbl_Ben_Info[[#This Row],[Father Name]]," ",tbl_Ben_Info[[#This Row],[Family Name]])</f>
        <v xml:space="preserve">  </v>
      </c>
    </row>
    <row r="414" spans="2:49" ht="25.15" customHeight="1" x14ac:dyDescent="0.25">
      <c r="B414" s="49">
        <v>409</v>
      </c>
      <c r="C414" s="1" t="str">
        <f>_xlfn.CONCAT("181-702-",IF(tbl_Ben_Info[[#This Row],[SN]]&lt;10,"00"&amp;tbl_Ben_Info[[#This Row],[SN]],IF(tbl_Ben_Info[[#This Row],[SN]]&lt;100,"0"&amp;tbl_Ben_Info[[#This Row],[SN]],tbl_Ben_Info[[#This Row],[SN]])))</f>
        <v>181-702-409</v>
      </c>
      <c r="D414" s="37"/>
      <c r="E414" s="40"/>
      <c r="F414" s="41"/>
      <c r="G414" s="42"/>
      <c r="H414" s="43"/>
      <c r="I414" s="73"/>
      <c r="J414" s="43"/>
      <c r="K414" s="43"/>
      <c r="L414" s="43"/>
      <c r="M414" s="43"/>
      <c r="N414" s="111"/>
      <c r="O414" s="43"/>
      <c r="P414" s="48"/>
      <c r="Q414" s="49"/>
      <c r="R414" s="37"/>
      <c r="S414" s="37"/>
      <c r="T414" s="37"/>
      <c r="U414" s="37"/>
      <c r="V414" s="59"/>
      <c r="W414" s="49"/>
      <c r="X414" s="37"/>
      <c r="Y414" s="37"/>
      <c r="Z414" s="37"/>
      <c r="AA414" s="37"/>
      <c r="AB414" s="37"/>
      <c r="AC414" s="37"/>
      <c r="AD414" s="37"/>
      <c r="AE414" s="37"/>
      <c r="AF414" s="37"/>
      <c r="AG414" s="59"/>
      <c r="AH414" s="49"/>
      <c r="AI414" s="37"/>
      <c r="AJ414" s="37"/>
      <c r="AK414" s="37"/>
      <c r="AL414" s="37"/>
      <c r="AM414" s="37"/>
      <c r="AN414" s="37"/>
      <c r="AO414" s="37"/>
      <c r="AP414" s="37"/>
      <c r="AQ414" s="37"/>
      <c r="AR414" s="37"/>
      <c r="AS414" s="37"/>
      <c r="AT414" s="37"/>
      <c r="AU414" s="37"/>
      <c r="AV414" s="59"/>
      <c r="AW414" s="1" t="str">
        <f>_xlfn.CONCAT(tbl_Ben_Info[[#This Row],[First Name]]," ",tbl_Ben_Info[[#This Row],[Father Name]]," ",tbl_Ben_Info[[#This Row],[Family Name]])</f>
        <v xml:space="preserve">  </v>
      </c>
    </row>
    <row r="415" spans="2:49" ht="25.15" customHeight="1" x14ac:dyDescent="0.25">
      <c r="B415" s="49">
        <v>410</v>
      </c>
      <c r="C415" s="1" t="str">
        <f>_xlfn.CONCAT("181-702-",IF(tbl_Ben_Info[[#This Row],[SN]]&lt;10,"00"&amp;tbl_Ben_Info[[#This Row],[SN]],IF(tbl_Ben_Info[[#This Row],[SN]]&lt;100,"0"&amp;tbl_Ben_Info[[#This Row],[SN]],tbl_Ben_Info[[#This Row],[SN]])))</f>
        <v>181-702-410</v>
      </c>
      <c r="D415" s="37"/>
      <c r="E415" s="40"/>
      <c r="F415" s="41"/>
      <c r="G415" s="42"/>
      <c r="H415" s="43"/>
      <c r="I415" s="73"/>
      <c r="J415" s="43"/>
      <c r="K415" s="43"/>
      <c r="L415" s="43"/>
      <c r="M415" s="43"/>
      <c r="N415" s="111"/>
      <c r="O415" s="43"/>
      <c r="P415" s="48"/>
      <c r="Q415" s="49"/>
      <c r="R415" s="37"/>
      <c r="S415" s="37"/>
      <c r="T415" s="37"/>
      <c r="U415" s="37"/>
      <c r="V415" s="59"/>
      <c r="W415" s="49"/>
      <c r="X415" s="37"/>
      <c r="Y415" s="37"/>
      <c r="Z415" s="37"/>
      <c r="AA415" s="37"/>
      <c r="AB415" s="37"/>
      <c r="AC415" s="37"/>
      <c r="AD415" s="37"/>
      <c r="AE415" s="37"/>
      <c r="AF415" s="37"/>
      <c r="AG415" s="59"/>
      <c r="AH415" s="49"/>
      <c r="AI415" s="37"/>
      <c r="AJ415" s="37"/>
      <c r="AK415" s="37"/>
      <c r="AL415" s="37"/>
      <c r="AM415" s="37"/>
      <c r="AN415" s="37"/>
      <c r="AO415" s="37"/>
      <c r="AP415" s="37"/>
      <c r="AQ415" s="37"/>
      <c r="AR415" s="37"/>
      <c r="AS415" s="37"/>
      <c r="AT415" s="37"/>
      <c r="AU415" s="37"/>
      <c r="AV415" s="59"/>
      <c r="AW415" s="1" t="str">
        <f>_xlfn.CONCAT(tbl_Ben_Info[[#This Row],[First Name]]," ",tbl_Ben_Info[[#This Row],[Father Name]]," ",tbl_Ben_Info[[#This Row],[Family Name]])</f>
        <v xml:space="preserve">  </v>
      </c>
    </row>
    <row r="416" spans="2:49" ht="25.15" customHeight="1" x14ac:dyDescent="0.25">
      <c r="B416" s="49">
        <v>411</v>
      </c>
      <c r="C416" s="1" t="str">
        <f>_xlfn.CONCAT("181-702-",IF(tbl_Ben_Info[[#This Row],[SN]]&lt;10,"00"&amp;tbl_Ben_Info[[#This Row],[SN]],IF(tbl_Ben_Info[[#This Row],[SN]]&lt;100,"0"&amp;tbl_Ben_Info[[#This Row],[SN]],tbl_Ben_Info[[#This Row],[SN]])))</f>
        <v>181-702-411</v>
      </c>
      <c r="D416" s="37"/>
      <c r="E416" s="40"/>
      <c r="F416" s="41"/>
      <c r="G416" s="42"/>
      <c r="H416" s="43"/>
      <c r="I416" s="73"/>
      <c r="J416" s="43"/>
      <c r="K416" s="43"/>
      <c r="L416" s="43"/>
      <c r="M416" s="43"/>
      <c r="N416" s="111"/>
      <c r="O416" s="43"/>
      <c r="P416" s="48"/>
      <c r="Q416" s="49"/>
      <c r="R416" s="37"/>
      <c r="S416" s="37"/>
      <c r="T416" s="37"/>
      <c r="U416" s="37"/>
      <c r="V416" s="59"/>
      <c r="W416" s="49"/>
      <c r="X416" s="37"/>
      <c r="Y416" s="37"/>
      <c r="Z416" s="37"/>
      <c r="AA416" s="37"/>
      <c r="AB416" s="37"/>
      <c r="AC416" s="37"/>
      <c r="AD416" s="37"/>
      <c r="AE416" s="37"/>
      <c r="AF416" s="37"/>
      <c r="AG416" s="59"/>
      <c r="AH416" s="49"/>
      <c r="AI416" s="37"/>
      <c r="AJ416" s="37"/>
      <c r="AK416" s="37"/>
      <c r="AL416" s="37"/>
      <c r="AM416" s="37"/>
      <c r="AN416" s="37"/>
      <c r="AO416" s="37"/>
      <c r="AP416" s="37"/>
      <c r="AQ416" s="37"/>
      <c r="AR416" s="37"/>
      <c r="AS416" s="37"/>
      <c r="AT416" s="37"/>
      <c r="AU416" s="37"/>
      <c r="AV416" s="59"/>
      <c r="AW416" s="1" t="str">
        <f>_xlfn.CONCAT(tbl_Ben_Info[[#This Row],[First Name]]," ",tbl_Ben_Info[[#This Row],[Father Name]]," ",tbl_Ben_Info[[#This Row],[Family Name]])</f>
        <v xml:space="preserve">  </v>
      </c>
    </row>
    <row r="417" spans="2:49" ht="25.15" customHeight="1" x14ac:dyDescent="0.25">
      <c r="B417" s="49">
        <v>412</v>
      </c>
      <c r="C417" s="1" t="str">
        <f>_xlfn.CONCAT("181-702-",IF(tbl_Ben_Info[[#This Row],[SN]]&lt;10,"00"&amp;tbl_Ben_Info[[#This Row],[SN]],IF(tbl_Ben_Info[[#This Row],[SN]]&lt;100,"0"&amp;tbl_Ben_Info[[#This Row],[SN]],tbl_Ben_Info[[#This Row],[SN]])))</f>
        <v>181-702-412</v>
      </c>
      <c r="D417" s="37"/>
      <c r="E417" s="40"/>
      <c r="F417" s="41"/>
      <c r="G417" s="42"/>
      <c r="H417" s="43"/>
      <c r="I417" s="73"/>
      <c r="J417" s="43"/>
      <c r="K417" s="43"/>
      <c r="L417" s="43"/>
      <c r="M417" s="43"/>
      <c r="N417" s="111"/>
      <c r="O417" s="43"/>
      <c r="P417" s="48"/>
      <c r="Q417" s="49"/>
      <c r="R417" s="37"/>
      <c r="S417" s="37"/>
      <c r="T417" s="37"/>
      <c r="U417" s="37"/>
      <c r="V417" s="59"/>
      <c r="W417" s="49"/>
      <c r="X417" s="37"/>
      <c r="Y417" s="37"/>
      <c r="Z417" s="37"/>
      <c r="AA417" s="37"/>
      <c r="AB417" s="37"/>
      <c r="AC417" s="37"/>
      <c r="AD417" s="37"/>
      <c r="AE417" s="37"/>
      <c r="AF417" s="37"/>
      <c r="AG417" s="59"/>
      <c r="AH417" s="49"/>
      <c r="AI417" s="37"/>
      <c r="AJ417" s="37"/>
      <c r="AK417" s="37"/>
      <c r="AL417" s="37"/>
      <c r="AM417" s="37"/>
      <c r="AN417" s="37"/>
      <c r="AO417" s="37"/>
      <c r="AP417" s="37"/>
      <c r="AQ417" s="37"/>
      <c r="AR417" s="37"/>
      <c r="AS417" s="37"/>
      <c r="AT417" s="37"/>
      <c r="AU417" s="37"/>
      <c r="AV417" s="59"/>
      <c r="AW417" s="1" t="str">
        <f>_xlfn.CONCAT(tbl_Ben_Info[[#This Row],[First Name]]," ",tbl_Ben_Info[[#This Row],[Father Name]]," ",tbl_Ben_Info[[#This Row],[Family Name]])</f>
        <v xml:space="preserve">  </v>
      </c>
    </row>
    <row r="418" spans="2:49" ht="25.15" customHeight="1" x14ac:dyDescent="0.25">
      <c r="B418" s="49">
        <v>413</v>
      </c>
      <c r="C418" s="1" t="str">
        <f>_xlfn.CONCAT("181-702-",IF(tbl_Ben_Info[[#This Row],[SN]]&lt;10,"00"&amp;tbl_Ben_Info[[#This Row],[SN]],IF(tbl_Ben_Info[[#This Row],[SN]]&lt;100,"0"&amp;tbl_Ben_Info[[#This Row],[SN]],tbl_Ben_Info[[#This Row],[SN]])))</f>
        <v>181-702-413</v>
      </c>
      <c r="D418" s="37"/>
      <c r="E418" s="40"/>
      <c r="F418" s="41"/>
      <c r="G418" s="42"/>
      <c r="H418" s="43"/>
      <c r="I418" s="73"/>
      <c r="J418" s="43"/>
      <c r="K418" s="43"/>
      <c r="L418" s="43"/>
      <c r="M418" s="43"/>
      <c r="N418" s="111"/>
      <c r="O418" s="43"/>
      <c r="P418" s="48"/>
      <c r="Q418" s="49"/>
      <c r="R418" s="37"/>
      <c r="S418" s="37"/>
      <c r="T418" s="37"/>
      <c r="U418" s="37"/>
      <c r="V418" s="59"/>
      <c r="W418" s="49"/>
      <c r="X418" s="37"/>
      <c r="Y418" s="37"/>
      <c r="Z418" s="37"/>
      <c r="AA418" s="37"/>
      <c r="AB418" s="37"/>
      <c r="AC418" s="37"/>
      <c r="AD418" s="37"/>
      <c r="AE418" s="37"/>
      <c r="AF418" s="37"/>
      <c r="AG418" s="59"/>
      <c r="AH418" s="49"/>
      <c r="AI418" s="37"/>
      <c r="AJ418" s="37"/>
      <c r="AK418" s="37"/>
      <c r="AL418" s="37"/>
      <c r="AM418" s="37"/>
      <c r="AN418" s="37"/>
      <c r="AO418" s="37"/>
      <c r="AP418" s="37"/>
      <c r="AQ418" s="37"/>
      <c r="AR418" s="37"/>
      <c r="AS418" s="37"/>
      <c r="AT418" s="37"/>
      <c r="AU418" s="37"/>
      <c r="AV418" s="59"/>
      <c r="AW418" s="1" t="str">
        <f>_xlfn.CONCAT(tbl_Ben_Info[[#This Row],[First Name]]," ",tbl_Ben_Info[[#This Row],[Father Name]]," ",tbl_Ben_Info[[#This Row],[Family Name]])</f>
        <v xml:space="preserve">  </v>
      </c>
    </row>
    <row r="419" spans="2:49" ht="25.15" customHeight="1" x14ac:dyDescent="0.25">
      <c r="B419" s="49">
        <v>414</v>
      </c>
      <c r="C419" s="1" t="str">
        <f>_xlfn.CONCAT("181-702-",IF(tbl_Ben_Info[[#This Row],[SN]]&lt;10,"00"&amp;tbl_Ben_Info[[#This Row],[SN]],IF(tbl_Ben_Info[[#This Row],[SN]]&lt;100,"0"&amp;tbl_Ben_Info[[#This Row],[SN]],tbl_Ben_Info[[#This Row],[SN]])))</f>
        <v>181-702-414</v>
      </c>
      <c r="D419" s="37"/>
      <c r="E419" s="40"/>
      <c r="F419" s="41"/>
      <c r="G419" s="42"/>
      <c r="H419" s="43"/>
      <c r="I419" s="73"/>
      <c r="J419" s="43"/>
      <c r="K419" s="43"/>
      <c r="L419" s="43"/>
      <c r="M419" s="43"/>
      <c r="N419" s="111"/>
      <c r="O419" s="43"/>
      <c r="P419" s="48"/>
      <c r="Q419" s="49"/>
      <c r="R419" s="37"/>
      <c r="S419" s="37"/>
      <c r="T419" s="37"/>
      <c r="U419" s="37"/>
      <c r="V419" s="59"/>
      <c r="W419" s="49"/>
      <c r="X419" s="37"/>
      <c r="Y419" s="37"/>
      <c r="Z419" s="37"/>
      <c r="AA419" s="37"/>
      <c r="AB419" s="37"/>
      <c r="AC419" s="37"/>
      <c r="AD419" s="37"/>
      <c r="AE419" s="37"/>
      <c r="AF419" s="37"/>
      <c r="AG419" s="59"/>
      <c r="AH419" s="49"/>
      <c r="AI419" s="37"/>
      <c r="AJ419" s="37"/>
      <c r="AK419" s="37"/>
      <c r="AL419" s="37"/>
      <c r="AM419" s="37"/>
      <c r="AN419" s="37"/>
      <c r="AO419" s="37"/>
      <c r="AP419" s="37"/>
      <c r="AQ419" s="37"/>
      <c r="AR419" s="37"/>
      <c r="AS419" s="37"/>
      <c r="AT419" s="37"/>
      <c r="AU419" s="37"/>
      <c r="AV419" s="59"/>
      <c r="AW419" s="1" t="str">
        <f>_xlfn.CONCAT(tbl_Ben_Info[[#This Row],[First Name]]," ",tbl_Ben_Info[[#This Row],[Father Name]]," ",tbl_Ben_Info[[#This Row],[Family Name]])</f>
        <v xml:space="preserve">  </v>
      </c>
    </row>
    <row r="420" spans="2:49" ht="25.15" customHeight="1" x14ac:dyDescent="0.25">
      <c r="B420" s="49">
        <v>415</v>
      </c>
      <c r="C420" s="1" t="str">
        <f>_xlfn.CONCAT("181-702-",IF(tbl_Ben_Info[[#This Row],[SN]]&lt;10,"00"&amp;tbl_Ben_Info[[#This Row],[SN]],IF(tbl_Ben_Info[[#This Row],[SN]]&lt;100,"0"&amp;tbl_Ben_Info[[#This Row],[SN]],tbl_Ben_Info[[#This Row],[SN]])))</f>
        <v>181-702-415</v>
      </c>
      <c r="D420" s="37"/>
      <c r="E420" s="40"/>
      <c r="F420" s="41"/>
      <c r="G420" s="42"/>
      <c r="H420" s="43"/>
      <c r="I420" s="73"/>
      <c r="J420" s="43"/>
      <c r="K420" s="43"/>
      <c r="L420" s="43"/>
      <c r="M420" s="43"/>
      <c r="N420" s="111"/>
      <c r="O420" s="43"/>
      <c r="P420" s="48"/>
      <c r="Q420" s="49"/>
      <c r="R420" s="37"/>
      <c r="S420" s="37"/>
      <c r="T420" s="37"/>
      <c r="U420" s="37"/>
      <c r="V420" s="59"/>
      <c r="W420" s="49"/>
      <c r="X420" s="37"/>
      <c r="Y420" s="37"/>
      <c r="Z420" s="37"/>
      <c r="AA420" s="37"/>
      <c r="AB420" s="37"/>
      <c r="AC420" s="37"/>
      <c r="AD420" s="37"/>
      <c r="AE420" s="37"/>
      <c r="AF420" s="37"/>
      <c r="AG420" s="59"/>
      <c r="AH420" s="49"/>
      <c r="AI420" s="37"/>
      <c r="AJ420" s="37"/>
      <c r="AK420" s="37"/>
      <c r="AL420" s="37"/>
      <c r="AM420" s="37"/>
      <c r="AN420" s="37"/>
      <c r="AO420" s="37"/>
      <c r="AP420" s="37"/>
      <c r="AQ420" s="37"/>
      <c r="AR420" s="37"/>
      <c r="AS420" s="37"/>
      <c r="AT420" s="37"/>
      <c r="AU420" s="37"/>
      <c r="AV420" s="59"/>
      <c r="AW420" s="1" t="str">
        <f>_xlfn.CONCAT(tbl_Ben_Info[[#This Row],[First Name]]," ",tbl_Ben_Info[[#This Row],[Father Name]]," ",tbl_Ben_Info[[#This Row],[Family Name]])</f>
        <v xml:space="preserve">  </v>
      </c>
    </row>
    <row r="421" spans="2:49" ht="25.15" customHeight="1" x14ac:dyDescent="0.25">
      <c r="B421" s="49">
        <v>416</v>
      </c>
      <c r="C421" s="1" t="str">
        <f>_xlfn.CONCAT("181-702-",IF(tbl_Ben_Info[[#This Row],[SN]]&lt;10,"00"&amp;tbl_Ben_Info[[#This Row],[SN]],IF(tbl_Ben_Info[[#This Row],[SN]]&lt;100,"0"&amp;tbl_Ben_Info[[#This Row],[SN]],tbl_Ben_Info[[#This Row],[SN]])))</f>
        <v>181-702-416</v>
      </c>
      <c r="D421" s="37"/>
      <c r="E421" s="40"/>
      <c r="F421" s="41"/>
      <c r="G421" s="42"/>
      <c r="H421" s="43"/>
      <c r="I421" s="73"/>
      <c r="J421" s="43"/>
      <c r="K421" s="43"/>
      <c r="L421" s="43"/>
      <c r="M421" s="43"/>
      <c r="N421" s="111"/>
      <c r="O421" s="43"/>
      <c r="P421" s="48"/>
      <c r="Q421" s="49"/>
      <c r="R421" s="37"/>
      <c r="S421" s="37"/>
      <c r="T421" s="37"/>
      <c r="U421" s="37"/>
      <c r="V421" s="59"/>
      <c r="W421" s="49"/>
      <c r="X421" s="37"/>
      <c r="Y421" s="37"/>
      <c r="Z421" s="37"/>
      <c r="AA421" s="37"/>
      <c r="AB421" s="37"/>
      <c r="AC421" s="37"/>
      <c r="AD421" s="37"/>
      <c r="AE421" s="37"/>
      <c r="AF421" s="37"/>
      <c r="AG421" s="59"/>
      <c r="AH421" s="49"/>
      <c r="AI421" s="37"/>
      <c r="AJ421" s="37"/>
      <c r="AK421" s="37"/>
      <c r="AL421" s="37"/>
      <c r="AM421" s="37"/>
      <c r="AN421" s="37"/>
      <c r="AO421" s="37"/>
      <c r="AP421" s="37"/>
      <c r="AQ421" s="37"/>
      <c r="AR421" s="37"/>
      <c r="AS421" s="37"/>
      <c r="AT421" s="37"/>
      <c r="AU421" s="37"/>
      <c r="AV421" s="59"/>
      <c r="AW421" s="1" t="str">
        <f>_xlfn.CONCAT(tbl_Ben_Info[[#This Row],[First Name]]," ",tbl_Ben_Info[[#This Row],[Father Name]]," ",tbl_Ben_Info[[#This Row],[Family Name]])</f>
        <v xml:space="preserve">  </v>
      </c>
    </row>
    <row r="422" spans="2:49" ht="25.15" customHeight="1" x14ac:dyDescent="0.25">
      <c r="B422" s="49">
        <v>417</v>
      </c>
      <c r="C422" s="1" t="str">
        <f>_xlfn.CONCAT("181-702-",IF(tbl_Ben_Info[[#This Row],[SN]]&lt;10,"00"&amp;tbl_Ben_Info[[#This Row],[SN]],IF(tbl_Ben_Info[[#This Row],[SN]]&lt;100,"0"&amp;tbl_Ben_Info[[#This Row],[SN]],tbl_Ben_Info[[#This Row],[SN]])))</f>
        <v>181-702-417</v>
      </c>
      <c r="D422" s="37"/>
      <c r="E422" s="40"/>
      <c r="F422" s="41"/>
      <c r="G422" s="42"/>
      <c r="H422" s="43"/>
      <c r="I422" s="73"/>
      <c r="J422" s="43"/>
      <c r="K422" s="43"/>
      <c r="L422" s="43"/>
      <c r="M422" s="43"/>
      <c r="N422" s="111"/>
      <c r="O422" s="43"/>
      <c r="P422" s="48"/>
      <c r="Q422" s="49"/>
      <c r="R422" s="37"/>
      <c r="S422" s="37"/>
      <c r="T422" s="37"/>
      <c r="U422" s="37"/>
      <c r="V422" s="59"/>
      <c r="W422" s="49"/>
      <c r="X422" s="37"/>
      <c r="Y422" s="37"/>
      <c r="Z422" s="37"/>
      <c r="AA422" s="37"/>
      <c r="AB422" s="37"/>
      <c r="AC422" s="37"/>
      <c r="AD422" s="37"/>
      <c r="AE422" s="37"/>
      <c r="AF422" s="37"/>
      <c r="AG422" s="59"/>
      <c r="AH422" s="49"/>
      <c r="AI422" s="37"/>
      <c r="AJ422" s="37"/>
      <c r="AK422" s="37"/>
      <c r="AL422" s="37"/>
      <c r="AM422" s="37"/>
      <c r="AN422" s="37"/>
      <c r="AO422" s="37"/>
      <c r="AP422" s="37"/>
      <c r="AQ422" s="37"/>
      <c r="AR422" s="37"/>
      <c r="AS422" s="37"/>
      <c r="AT422" s="37"/>
      <c r="AU422" s="37"/>
      <c r="AV422" s="59"/>
      <c r="AW422" s="1" t="str">
        <f>_xlfn.CONCAT(tbl_Ben_Info[[#This Row],[First Name]]," ",tbl_Ben_Info[[#This Row],[Father Name]]," ",tbl_Ben_Info[[#This Row],[Family Name]])</f>
        <v xml:space="preserve">  </v>
      </c>
    </row>
    <row r="423" spans="2:49" ht="25.15" customHeight="1" x14ac:dyDescent="0.25">
      <c r="B423" s="49">
        <v>418</v>
      </c>
      <c r="C423" s="1" t="str">
        <f>_xlfn.CONCAT("181-702-",IF(tbl_Ben_Info[[#This Row],[SN]]&lt;10,"00"&amp;tbl_Ben_Info[[#This Row],[SN]],IF(tbl_Ben_Info[[#This Row],[SN]]&lt;100,"0"&amp;tbl_Ben_Info[[#This Row],[SN]],tbl_Ben_Info[[#This Row],[SN]])))</f>
        <v>181-702-418</v>
      </c>
      <c r="D423" s="37"/>
      <c r="E423" s="40"/>
      <c r="F423" s="41"/>
      <c r="G423" s="42"/>
      <c r="H423" s="43"/>
      <c r="I423" s="73"/>
      <c r="J423" s="43"/>
      <c r="K423" s="43"/>
      <c r="L423" s="43"/>
      <c r="M423" s="43"/>
      <c r="N423" s="111"/>
      <c r="O423" s="43"/>
      <c r="P423" s="48"/>
      <c r="Q423" s="49"/>
      <c r="R423" s="37"/>
      <c r="S423" s="37"/>
      <c r="T423" s="37"/>
      <c r="U423" s="37"/>
      <c r="V423" s="59"/>
      <c r="W423" s="49"/>
      <c r="X423" s="37"/>
      <c r="Y423" s="37"/>
      <c r="Z423" s="37"/>
      <c r="AA423" s="37"/>
      <c r="AB423" s="37"/>
      <c r="AC423" s="37"/>
      <c r="AD423" s="37"/>
      <c r="AE423" s="37"/>
      <c r="AF423" s="37"/>
      <c r="AG423" s="59"/>
      <c r="AH423" s="49"/>
      <c r="AI423" s="37"/>
      <c r="AJ423" s="37"/>
      <c r="AK423" s="37"/>
      <c r="AL423" s="37"/>
      <c r="AM423" s="37"/>
      <c r="AN423" s="37"/>
      <c r="AO423" s="37"/>
      <c r="AP423" s="37"/>
      <c r="AQ423" s="37"/>
      <c r="AR423" s="37"/>
      <c r="AS423" s="37"/>
      <c r="AT423" s="37"/>
      <c r="AU423" s="37"/>
      <c r="AV423" s="59"/>
      <c r="AW423" s="1" t="str">
        <f>_xlfn.CONCAT(tbl_Ben_Info[[#This Row],[First Name]]," ",tbl_Ben_Info[[#This Row],[Father Name]]," ",tbl_Ben_Info[[#This Row],[Family Name]])</f>
        <v xml:space="preserve">  </v>
      </c>
    </row>
    <row r="424" spans="2:49" ht="25.15" customHeight="1" x14ac:dyDescent="0.25">
      <c r="B424" s="49">
        <v>419</v>
      </c>
      <c r="C424" s="1" t="str">
        <f>_xlfn.CONCAT("181-702-",IF(tbl_Ben_Info[[#This Row],[SN]]&lt;10,"00"&amp;tbl_Ben_Info[[#This Row],[SN]],IF(tbl_Ben_Info[[#This Row],[SN]]&lt;100,"0"&amp;tbl_Ben_Info[[#This Row],[SN]],tbl_Ben_Info[[#This Row],[SN]])))</f>
        <v>181-702-419</v>
      </c>
      <c r="D424" s="37"/>
      <c r="E424" s="40"/>
      <c r="F424" s="41"/>
      <c r="G424" s="42"/>
      <c r="H424" s="43"/>
      <c r="I424" s="73"/>
      <c r="J424" s="43"/>
      <c r="K424" s="43"/>
      <c r="L424" s="43"/>
      <c r="M424" s="43"/>
      <c r="N424" s="111"/>
      <c r="O424" s="43"/>
      <c r="P424" s="48"/>
      <c r="Q424" s="49"/>
      <c r="R424" s="37"/>
      <c r="S424" s="37"/>
      <c r="T424" s="37"/>
      <c r="U424" s="37"/>
      <c r="V424" s="59"/>
      <c r="W424" s="49"/>
      <c r="X424" s="37"/>
      <c r="Y424" s="37"/>
      <c r="Z424" s="37"/>
      <c r="AA424" s="37"/>
      <c r="AB424" s="37"/>
      <c r="AC424" s="37"/>
      <c r="AD424" s="37"/>
      <c r="AE424" s="37"/>
      <c r="AF424" s="37"/>
      <c r="AG424" s="59"/>
      <c r="AH424" s="49"/>
      <c r="AI424" s="37"/>
      <c r="AJ424" s="37"/>
      <c r="AK424" s="37"/>
      <c r="AL424" s="37"/>
      <c r="AM424" s="37"/>
      <c r="AN424" s="37"/>
      <c r="AO424" s="37"/>
      <c r="AP424" s="37"/>
      <c r="AQ424" s="37"/>
      <c r="AR424" s="37"/>
      <c r="AS424" s="37"/>
      <c r="AT424" s="37"/>
      <c r="AU424" s="37"/>
      <c r="AV424" s="59"/>
      <c r="AW424" s="1" t="str">
        <f>_xlfn.CONCAT(tbl_Ben_Info[[#This Row],[First Name]]," ",tbl_Ben_Info[[#This Row],[Father Name]]," ",tbl_Ben_Info[[#This Row],[Family Name]])</f>
        <v xml:space="preserve">  </v>
      </c>
    </row>
    <row r="425" spans="2:49" ht="25.15" customHeight="1" x14ac:dyDescent="0.25">
      <c r="B425" s="49">
        <v>420</v>
      </c>
      <c r="C425" s="1" t="str">
        <f>_xlfn.CONCAT("181-702-",IF(tbl_Ben_Info[[#This Row],[SN]]&lt;10,"00"&amp;tbl_Ben_Info[[#This Row],[SN]],IF(tbl_Ben_Info[[#This Row],[SN]]&lt;100,"0"&amp;tbl_Ben_Info[[#This Row],[SN]],tbl_Ben_Info[[#This Row],[SN]])))</f>
        <v>181-702-420</v>
      </c>
      <c r="D425" s="37"/>
      <c r="E425" s="40"/>
      <c r="F425" s="41"/>
      <c r="G425" s="42"/>
      <c r="H425" s="43"/>
      <c r="I425" s="73"/>
      <c r="J425" s="43"/>
      <c r="K425" s="43"/>
      <c r="L425" s="43"/>
      <c r="M425" s="43"/>
      <c r="N425" s="111"/>
      <c r="O425" s="43"/>
      <c r="P425" s="48"/>
      <c r="Q425" s="49"/>
      <c r="R425" s="37"/>
      <c r="S425" s="37"/>
      <c r="T425" s="37"/>
      <c r="U425" s="37"/>
      <c r="V425" s="59"/>
      <c r="W425" s="49"/>
      <c r="X425" s="37"/>
      <c r="Y425" s="37"/>
      <c r="Z425" s="37"/>
      <c r="AA425" s="37"/>
      <c r="AB425" s="37"/>
      <c r="AC425" s="37"/>
      <c r="AD425" s="37"/>
      <c r="AE425" s="37"/>
      <c r="AF425" s="37"/>
      <c r="AG425" s="59"/>
      <c r="AH425" s="49"/>
      <c r="AI425" s="37"/>
      <c r="AJ425" s="37"/>
      <c r="AK425" s="37"/>
      <c r="AL425" s="37"/>
      <c r="AM425" s="37"/>
      <c r="AN425" s="37"/>
      <c r="AO425" s="37"/>
      <c r="AP425" s="37"/>
      <c r="AQ425" s="37"/>
      <c r="AR425" s="37"/>
      <c r="AS425" s="37"/>
      <c r="AT425" s="37"/>
      <c r="AU425" s="37"/>
      <c r="AV425" s="59"/>
      <c r="AW425" s="1" t="str">
        <f>_xlfn.CONCAT(tbl_Ben_Info[[#This Row],[First Name]]," ",tbl_Ben_Info[[#This Row],[Father Name]]," ",tbl_Ben_Info[[#This Row],[Family Name]])</f>
        <v xml:space="preserve">  </v>
      </c>
    </row>
    <row r="426" spans="2:49" ht="25.15" customHeight="1" x14ac:dyDescent="0.25">
      <c r="B426" s="49">
        <v>421</v>
      </c>
      <c r="C426" s="1" t="str">
        <f>_xlfn.CONCAT("181-702-",IF(tbl_Ben_Info[[#This Row],[SN]]&lt;10,"00"&amp;tbl_Ben_Info[[#This Row],[SN]],IF(tbl_Ben_Info[[#This Row],[SN]]&lt;100,"0"&amp;tbl_Ben_Info[[#This Row],[SN]],tbl_Ben_Info[[#This Row],[SN]])))</f>
        <v>181-702-421</v>
      </c>
      <c r="D426" s="37"/>
      <c r="E426" s="40"/>
      <c r="F426" s="41"/>
      <c r="G426" s="42"/>
      <c r="H426" s="43"/>
      <c r="I426" s="73"/>
      <c r="J426" s="43"/>
      <c r="K426" s="43"/>
      <c r="L426" s="43"/>
      <c r="M426" s="43"/>
      <c r="N426" s="111"/>
      <c r="O426" s="43"/>
      <c r="P426" s="48"/>
      <c r="Q426" s="49"/>
      <c r="R426" s="37"/>
      <c r="S426" s="37"/>
      <c r="T426" s="37"/>
      <c r="U426" s="37"/>
      <c r="V426" s="59"/>
      <c r="W426" s="49"/>
      <c r="X426" s="37"/>
      <c r="Y426" s="37"/>
      <c r="Z426" s="37"/>
      <c r="AA426" s="37"/>
      <c r="AB426" s="37"/>
      <c r="AC426" s="37"/>
      <c r="AD426" s="37"/>
      <c r="AE426" s="37"/>
      <c r="AF426" s="37"/>
      <c r="AG426" s="59"/>
      <c r="AH426" s="49"/>
      <c r="AI426" s="37"/>
      <c r="AJ426" s="37"/>
      <c r="AK426" s="37"/>
      <c r="AL426" s="37"/>
      <c r="AM426" s="37"/>
      <c r="AN426" s="37"/>
      <c r="AO426" s="37"/>
      <c r="AP426" s="37"/>
      <c r="AQ426" s="37"/>
      <c r="AR426" s="37"/>
      <c r="AS426" s="37"/>
      <c r="AT426" s="37"/>
      <c r="AU426" s="37"/>
      <c r="AV426" s="59"/>
      <c r="AW426" s="1" t="str">
        <f>_xlfn.CONCAT(tbl_Ben_Info[[#This Row],[First Name]]," ",tbl_Ben_Info[[#This Row],[Father Name]]," ",tbl_Ben_Info[[#This Row],[Family Name]])</f>
        <v xml:space="preserve">  </v>
      </c>
    </row>
    <row r="427" spans="2:49" ht="25.15" customHeight="1" x14ac:dyDescent="0.25">
      <c r="B427" s="49">
        <v>422</v>
      </c>
      <c r="C427" s="1" t="str">
        <f>_xlfn.CONCAT("181-702-",IF(tbl_Ben_Info[[#This Row],[SN]]&lt;10,"00"&amp;tbl_Ben_Info[[#This Row],[SN]],IF(tbl_Ben_Info[[#This Row],[SN]]&lt;100,"0"&amp;tbl_Ben_Info[[#This Row],[SN]],tbl_Ben_Info[[#This Row],[SN]])))</f>
        <v>181-702-422</v>
      </c>
      <c r="D427" s="37"/>
      <c r="E427" s="40"/>
      <c r="F427" s="41"/>
      <c r="G427" s="42"/>
      <c r="H427" s="43"/>
      <c r="I427" s="73"/>
      <c r="J427" s="43"/>
      <c r="K427" s="43"/>
      <c r="L427" s="43"/>
      <c r="M427" s="43"/>
      <c r="N427" s="111"/>
      <c r="O427" s="43"/>
      <c r="P427" s="48"/>
      <c r="Q427" s="49"/>
      <c r="R427" s="37"/>
      <c r="S427" s="37"/>
      <c r="T427" s="37"/>
      <c r="U427" s="37"/>
      <c r="V427" s="59"/>
      <c r="W427" s="49"/>
      <c r="X427" s="37"/>
      <c r="Y427" s="37"/>
      <c r="Z427" s="37"/>
      <c r="AA427" s="37"/>
      <c r="AB427" s="37"/>
      <c r="AC427" s="37"/>
      <c r="AD427" s="37"/>
      <c r="AE427" s="37"/>
      <c r="AF427" s="37"/>
      <c r="AG427" s="59"/>
      <c r="AH427" s="49"/>
      <c r="AI427" s="37"/>
      <c r="AJ427" s="37"/>
      <c r="AK427" s="37"/>
      <c r="AL427" s="37"/>
      <c r="AM427" s="37"/>
      <c r="AN427" s="37"/>
      <c r="AO427" s="37"/>
      <c r="AP427" s="37"/>
      <c r="AQ427" s="37"/>
      <c r="AR427" s="37"/>
      <c r="AS427" s="37"/>
      <c r="AT427" s="37"/>
      <c r="AU427" s="37"/>
      <c r="AV427" s="59"/>
      <c r="AW427" s="1" t="str">
        <f>_xlfn.CONCAT(tbl_Ben_Info[[#This Row],[First Name]]," ",tbl_Ben_Info[[#This Row],[Father Name]]," ",tbl_Ben_Info[[#This Row],[Family Name]])</f>
        <v xml:space="preserve">  </v>
      </c>
    </row>
    <row r="428" spans="2:49" ht="25.15" customHeight="1" x14ac:dyDescent="0.25">
      <c r="B428" s="49">
        <v>423</v>
      </c>
      <c r="C428" s="1" t="str">
        <f>_xlfn.CONCAT("181-702-",IF(tbl_Ben_Info[[#This Row],[SN]]&lt;10,"00"&amp;tbl_Ben_Info[[#This Row],[SN]],IF(tbl_Ben_Info[[#This Row],[SN]]&lt;100,"0"&amp;tbl_Ben_Info[[#This Row],[SN]],tbl_Ben_Info[[#This Row],[SN]])))</f>
        <v>181-702-423</v>
      </c>
      <c r="D428" s="37"/>
      <c r="E428" s="40"/>
      <c r="F428" s="41"/>
      <c r="G428" s="42"/>
      <c r="H428" s="43"/>
      <c r="I428" s="73"/>
      <c r="J428" s="43"/>
      <c r="K428" s="43"/>
      <c r="L428" s="43"/>
      <c r="M428" s="43"/>
      <c r="N428" s="111"/>
      <c r="O428" s="43"/>
      <c r="P428" s="48"/>
      <c r="Q428" s="49"/>
      <c r="R428" s="37"/>
      <c r="S428" s="37"/>
      <c r="T428" s="37"/>
      <c r="U428" s="37"/>
      <c r="V428" s="59"/>
      <c r="W428" s="49"/>
      <c r="X428" s="37"/>
      <c r="Y428" s="37"/>
      <c r="Z428" s="37"/>
      <c r="AA428" s="37"/>
      <c r="AB428" s="37"/>
      <c r="AC428" s="37"/>
      <c r="AD428" s="37"/>
      <c r="AE428" s="37"/>
      <c r="AF428" s="37"/>
      <c r="AG428" s="59"/>
      <c r="AH428" s="49"/>
      <c r="AI428" s="37"/>
      <c r="AJ428" s="37"/>
      <c r="AK428" s="37"/>
      <c r="AL428" s="37"/>
      <c r="AM428" s="37"/>
      <c r="AN428" s="37"/>
      <c r="AO428" s="37"/>
      <c r="AP428" s="37"/>
      <c r="AQ428" s="37"/>
      <c r="AR428" s="37"/>
      <c r="AS428" s="37"/>
      <c r="AT428" s="37"/>
      <c r="AU428" s="37"/>
      <c r="AV428" s="59"/>
      <c r="AW428" s="1" t="str">
        <f>_xlfn.CONCAT(tbl_Ben_Info[[#This Row],[First Name]]," ",tbl_Ben_Info[[#This Row],[Father Name]]," ",tbl_Ben_Info[[#This Row],[Family Name]])</f>
        <v xml:space="preserve">  </v>
      </c>
    </row>
    <row r="429" spans="2:49" ht="25.15" customHeight="1" x14ac:dyDescent="0.25">
      <c r="B429" s="49">
        <v>424</v>
      </c>
      <c r="C429" s="1" t="str">
        <f>_xlfn.CONCAT("181-702-",IF(tbl_Ben_Info[[#This Row],[SN]]&lt;10,"00"&amp;tbl_Ben_Info[[#This Row],[SN]],IF(tbl_Ben_Info[[#This Row],[SN]]&lt;100,"0"&amp;tbl_Ben_Info[[#This Row],[SN]],tbl_Ben_Info[[#This Row],[SN]])))</f>
        <v>181-702-424</v>
      </c>
      <c r="D429" s="37"/>
      <c r="E429" s="40"/>
      <c r="F429" s="41"/>
      <c r="G429" s="42"/>
      <c r="H429" s="43"/>
      <c r="I429" s="73"/>
      <c r="J429" s="43"/>
      <c r="K429" s="43"/>
      <c r="L429" s="43"/>
      <c r="M429" s="43"/>
      <c r="N429" s="111"/>
      <c r="O429" s="43"/>
      <c r="P429" s="48"/>
      <c r="Q429" s="49"/>
      <c r="R429" s="37"/>
      <c r="S429" s="37"/>
      <c r="T429" s="37"/>
      <c r="U429" s="37"/>
      <c r="V429" s="59"/>
      <c r="W429" s="49"/>
      <c r="X429" s="37"/>
      <c r="Y429" s="37"/>
      <c r="Z429" s="37"/>
      <c r="AA429" s="37"/>
      <c r="AB429" s="37"/>
      <c r="AC429" s="37"/>
      <c r="AD429" s="37"/>
      <c r="AE429" s="37"/>
      <c r="AF429" s="37"/>
      <c r="AG429" s="59"/>
      <c r="AH429" s="49"/>
      <c r="AI429" s="37"/>
      <c r="AJ429" s="37"/>
      <c r="AK429" s="37"/>
      <c r="AL429" s="37"/>
      <c r="AM429" s="37"/>
      <c r="AN429" s="37"/>
      <c r="AO429" s="37"/>
      <c r="AP429" s="37"/>
      <c r="AQ429" s="37"/>
      <c r="AR429" s="37"/>
      <c r="AS429" s="37"/>
      <c r="AT429" s="37"/>
      <c r="AU429" s="37"/>
      <c r="AV429" s="59"/>
      <c r="AW429" s="1" t="str">
        <f>_xlfn.CONCAT(tbl_Ben_Info[[#This Row],[First Name]]," ",tbl_Ben_Info[[#This Row],[Father Name]]," ",tbl_Ben_Info[[#This Row],[Family Name]])</f>
        <v xml:space="preserve">  </v>
      </c>
    </row>
    <row r="430" spans="2:49" ht="25.15" customHeight="1" x14ac:dyDescent="0.25">
      <c r="B430" s="49">
        <v>425</v>
      </c>
      <c r="C430" s="1" t="str">
        <f>_xlfn.CONCAT("181-702-",IF(tbl_Ben_Info[[#This Row],[SN]]&lt;10,"00"&amp;tbl_Ben_Info[[#This Row],[SN]],IF(tbl_Ben_Info[[#This Row],[SN]]&lt;100,"0"&amp;tbl_Ben_Info[[#This Row],[SN]],tbl_Ben_Info[[#This Row],[SN]])))</f>
        <v>181-702-425</v>
      </c>
      <c r="D430" s="37"/>
      <c r="E430" s="40"/>
      <c r="F430" s="41"/>
      <c r="G430" s="42"/>
      <c r="H430" s="43"/>
      <c r="I430" s="73"/>
      <c r="J430" s="43"/>
      <c r="K430" s="43"/>
      <c r="L430" s="43"/>
      <c r="M430" s="43"/>
      <c r="N430" s="111"/>
      <c r="O430" s="43"/>
      <c r="P430" s="48"/>
      <c r="Q430" s="49"/>
      <c r="R430" s="37"/>
      <c r="S430" s="37"/>
      <c r="T430" s="37"/>
      <c r="U430" s="37"/>
      <c r="V430" s="59"/>
      <c r="W430" s="49"/>
      <c r="X430" s="37"/>
      <c r="Y430" s="37"/>
      <c r="Z430" s="37"/>
      <c r="AA430" s="37"/>
      <c r="AB430" s="37"/>
      <c r="AC430" s="37"/>
      <c r="AD430" s="37"/>
      <c r="AE430" s="37"/>
      <c r="AF430" s="37"/>
      <c r="AG430" s="59"/>
      <c r="AH430" s="49"/>
      <c r="AI430" s="37"/>
      <c r="AJ430" s="37"/>
      <c r="AK430" s="37"/>
      <c r="AL430" s="37"/>
      <c r="AM430" s="37"/>
      <c r="AN430" s="37"/>
      <c r="AO430" s="37"/>
      <c r="AP430" s="37"/>
      <c r="AQ430" s="37"/>
      <c r="AR430" s="37"/>
      <c r="AS430" s="37"/>
      <c r="AT430" s="37"/>
      <c r="AU430" s="37"/>
      <c r="AV430" s="59"/>
      <c r="AW430" s="1" t="str">
        <f>_xlfn.CONCAT(tbl_Ben_Info[[#This Row],[First Name]]," ",tbl_Ben_Info[[#This Row],[Father Name]]," ",tbl_Ben_Info[[#This Row],[Family Name]])</f>
        <v xml:space="preserve">  </v>
      </c>
    </row>
    <row r="431" spans="2:49" ht="25.15" customHeight="1" x14ac:dyDescent="0.25">
      <c r="B431" s="49">
        <v>426</v>
      </c>
      <c r="C431" s="1" t="str">
        <f>_xlfn.CONCAT("181-702-",IF(tbl_Ben_Info[[#This Row],[SN]]&lt;10,"00"&amp;tbl_Ben_Info[[#This Row],[SN]],IF(tbl_Ben_Info[[#This Row],[SN]]&lt;100,"0"&amp;tbl_Ben_Info[[#This Row],[SN]],tbl_Ben_Info[[#This Row],[SN]])))</f>
        <v>181-702-426</v>
      </c>
      <c r="D431" s="37"/>
      <c r="E431" s="40"/>
      <c r="F431" s="41"/>
      <c r="G431" s="42"/>
      <c r="H431" s="43"/>
      <c r="I431" s="73"/>
      <c r="J431" s="43"/>
      <c r="K431" s="43"/>
      <c r="L431" s="43"/>
      <c r="M431" s="43"/>
      <c r="N431" s="111"/>
      <c r="O431" s="43"/>
      <c r="P431" s="48"/>
      <c r="Q431" s="49"/>
      <c r="R431" s="37"/>
      <c r="S431" s="37"/>
      <c r="T431" s="37"/>
      <c r="U431" s="37"/>
      <c r="V431" s="59"/>
      <c r="W431" s="49"/>
      <c r="X431" s="37"/>
      <c r="Y431" s="37"/>
      <c r="Z431" s="37"/>
      <c r="AA431" s="37"/>
      <c r="AB431" s="37"/>
      <c r="AC431" s="37"/>
      <c r="AD431" s="37"/>
      <c r="AE431" s="37"/>
      <c r="AF431" s="37"/>
      <c r="AG431" s="59"/>
      <c r="AH431" s="49"/>
      <c r="AI431" s="37"/>
      <c r="AJ431" s="37"/>
      <c r="AK431" s="37"/>
      <c r="AL431" s="37"/>
      <c r="AM431" s="37"/>
      <c r="AN431" s="37"/>
      <c r="AO431" s="37"/>
      <c r="AP431" s="37"/>
      <c r="AQ431" s="37"/>
      <c r="AR431" s="37"/>
      <c r="AS431" s="37"/>
      <c r="AT431" s="37"/>
      <c r="AU431" s="37"/>
      <c r="AV431" s="59"/>
      <c r="AW431" s="1" t="str">
        <f>_xlfn.CONCAT(tbl_Ben_Info[[#This Row],[First Name]]," ",tbl_Ben_Info[[#This Row],[Father Name]]," ",tbl_Ben_Info[[#This Row],[Family Name]])</f>
        <v xml:space="preserve">  </v>
      </c>
    </row>
    <row r="432" spans="2:49" ht="25.15" customHeight="1" x14ac:dyDescent="0.25">
      <c r="B432" s="49">
        <v>427</v>
      </c>
      <c r="C432" s="1" t="str">
        <f>_xlfn.CONCAT("181-702-",IF(tbl_Ben_Info[[#This Row],[SN]]&lt;10,"00"&amp;tbl_Ben_Info[[#This Row],[SN]],IF(tbl_Ben_Info[[#This Row],[SN]]&lt;100,"0"&amp;tbl_Ben_Info[[#This Row],[SN]],tbl_Ben_Info[[#This Row],[SN]])))</f>
        <v>181-702-427</v>
      </c>
      <c r="D432" s="37"/>
      <c r="E432" s="40"/>
      <c r="F432" s="41"/>
      <c r="G432" s="42"/>
      <c r="H432" s="43"/>
      <c r="I432" s="73"/>
      <c r="J432" s="43"/>
      <c r="K432" s="43"/>
      <c r="L432" s="43"/>
      <c r="M432" s="43"/>
      <c r="N432" s="111"/>
      <c r="O432" s="43"/>
      <c r="P432" s="48"/>
      <c r="Q432" s="49"/>
      <c r="R432" s="37"/>
      <c r="S432" s="37"/>
      <c r="T432" s="37"/>
      <c r="U432" s="37"/>
      <c r="V432" s="59"/>
      <c r="W432" s="49"/>
      <c r="X432" s="37"/>
      <c r="Y432" s="37"/>
      <c r="Z432" s="37"/>
      <c r="AA432" s="37"/>
      <c r="AB432" s="37"/>
      <c r="AC432" s="37"/>
      <c r="AD432" s="37"/>
      <c r="AE432" s="37"/>
      <c r="AF432" s="37"/>
      <c r="AG432" s="59"/>
      <c r="AH432" s="49"/>
      <c r="AI432" s="37"/>
      <c r="AJ432" s="37"/>
      <c r="AK432" s="37"/>
      <c r="AL432" s="37"/>
      <c r="AM432" s="37"/>
      <c r="AN432" s="37"/>
      <c r="AO432" s="37"/>
      <c r="AP432" s="37"/>
      <c r="AQ432" s="37"/>
      <c r="AR432" s="37"/>
      <c r="AS432" s="37"/>
      <c r="AT432" s="37"/>
      <c r="AU432" s="37"/>
      <c r="AV432" s="59"/>
      <c r="AW432" s="1" t="str">
        <f>_xlfn.CONCAT(tbl_Ben_Info[[#This Row],[First Name]]," ",tbl_Ben_Info[[#This Row],[Father Name]]," ",tbl_Ben_Info[[#This Row],[Family Name]])</f>
        <v xml:space="preserve">  </v>
      </c>
    </row>
    <row r="433" spans="2:49" ht="25.15" customHeight="1" x14ac:dyDescent="0.25">
      <c r="B433" s="49">
        <v>428</v>
      </c>
      <c r="C433" s="1" t="str">
        <f>_xlfn.CONCAT("181-702-",IF(tbl_Ben_Info[[#This Row],[SN]]&lt;10,"00"&amp;tbl_Ben_Info[[#This Row],[SN]],IF(tbl_Ben_Info[[#This Row],[SN]]&lt;100,"0"&amp;tbl_Ben_Info[[#This Row],[SN]],tbl_Ben_Info[[#This Row],[SN]])))</f>
        <v>181-702-428</v>
      </c>
      <c r="D433" s="37"/>
      <c r="E433" s="40"/>
      <c r="F433" s="41"/>
      <c r="G433" s="42"/>
      <c r="H433" s="43"/>
      <c r="I433" s="73"/>
      <c r="J433" s="43"/>
      <c r="K433" s="43"/>
      <c r="L433" s="43"/>
      <c r="M433" s="43"/>
      <c r="N433" s="111"/>
      <c r="O433" s="43"/>
      <c r="P433" s="48"/>
      <c r="Q433" s="49"/>
      <c r="R433" s="37"/>
      <c r="S433" s="37"/>
      <c r="T433" s="37"/>
      <c r="U433" s="37"/>
      <c r="V433" s="59"/>
      <c r="W433" s="49"/>
      <c r="X433" s="37"/>
      <c r="Y433" s="37"/>
      <c r="Z433" s="37"/>
      <c r="AA433" s="37"/>
      <c r="AB433" s="37"/>
      <c r="AC433" s="37"/>
      <c r="AD433" s="37"/>
      <c r="AE433" s="37"/>
      <c r="AF433" s="37"/>
      <c r="AG433" s="59"/>
      <c r="AH433" s="49"/>
      <c r="AI433" s="37"/>
      <c r="AJ433" s="37"/>
      <c r="AK433" s="37"/>
      <c r="AL433" s="37"/>
      <c r="AM433" s="37"/>
      <c r="AN433" s="37"/>
      <c r="AO433" s="37"/>
      <c r="AP433" s="37"/>
      <c r="AQ433" s="37"/>
      <c r="AR433" s="37"/>
      <c r="AS433" s="37"/>
      <c r="AT433" s="37"/>
      <c r="AU433" s="37"/>
      <c r="AV433" s="59"/>
      <c r="AW433" s="1" t="str">
        <f>_xlfn.CONCAT(tbl_Ben_Info[[#This Row],[First Name]]," ",tbl_Ben_Info[[#This Row],[Father Name]]," ",tbl_Ben_Info[[#This Row],[Family Name]])</f>
        <v xml:space="preserve">  </v>
      </c>
    </row>
    <row r="434" spans="2:49" ht="25.15" customHeight="1" x14ac:dyDescent="0.25">
      <c r="B434" s="49">
        <v>429</v>
      </c>
      <c r="C434" s="1" t="str">
        <f>_xlfn.CONCAT("181-702-",IF(tbl_Ben_Info[[#This Row],[SN]]&lt;10,"00"&amp;tbl_Ben_Info[[#This Row],[SN]],IF(tbl_Ben_Info[[#This Row],[SN]]&lt;100,"0"&amp;tbl_Ben_Info[[#This Row],[SN]],tbl_Ben_Info[[#This Row],[SN]])))</f>
        <v>181-702-429</v>
      </c>
      <c r="D434" s="37"/>
      <c r="E434" s="40"/>
      <c r="F434" s="41"/>
      <c r="G434" s="42"/>
      <c r="H434" s="43"/>
      <c r="I434" s="73"/>
      <c r="J434" s="43"/>
      <c r="K434" s="43"/>
      <c r="L434" s="43"/>
      <c r="M434" s="43"/>
      <c r="N434" s="111"/>
      <c r="O434" s="43"/>
      <c r="P434" s="48"/>
      <c r="Q434" s="49"/>
      <c r="R434" s="37"/>
      <c r="S434" s="37"/>
      <c r="T434" s="37"/>
      <c r="U434" s="37"/>
      <c r="V434" s="59"/>
      <c r="W434" s="49"/>
      <c r="X434" s="37"/>
      <c r="Y434" s="37"/>
      <c r="Z434" s="37"/>
      <c r="AA434" s="37"/>
      <c r="AB434" s="37"/>
      <c r="AC434" s="37"/>
      <c r="AD434" s="37"/>
      <c r="AE434" s="37"/>
      <c r="AF434" s="37"/>
      <c r="AG434" s="59"/>
      <c r="AH434" s="49"/>
      <c r="AI434" s="37"/>
      <c r="AJ434" s="37"/>
      <c r="AK434" s="37"/>
      <c r="AL434" s="37"/>
      <c r="AM434" s="37"/>
      <c r="AN434" s="37"/>
      <c r="AO434" s="37"/>
      <c r="AP434" s="37"/>
      <c r="AQ434" s="37"/>
      <c r="AR434" s="37"/>
      <c r="AS434" s="37"/>
      <c r="AT434" s="37"/>
      <c r="AU434" s="37"/>
      <c r="AV434" s="59"/>
      <c r="AW434" s="1" t="str">
        <f>_xlfn.CONCAT(tbl_Ben_Info[[#This Row],[First Name]]," ",tbl_Ben_Info[[#This Row],[Father Name]]," ",tbl_Ben_Info[[#This Row],[Family Name]])</f>
        <v xml:space="preserve">  </v>
      </c>
    </row>
    <row r="435" spans="2:49" ht="25.15" customHeight="1" x14ac:dyDescent="0.25">
      <c r="B435" s="49">
        <v>430</v>
      </c>
      <c r="C435" s="1" t="str">
        <f>_xlfn.CONCAT("181-702-",IF(tbl_Ben_Info[[#This Row],[SN]]&lt;10,"00"&amp;tbl_Ben_Info[[#This Row],[SN]],IF(tbl_Ben_Info[[#This Row],[SN]]&lt;100,"0"&amp;tbl_Ben_Info[[#This Row],[SN]],tbl_Ben_Info[[#This Row],[SN]])))</f>
        <v>181-702-430</v>
      </c>
      <c r="D435" s="37"/>
      <c r="E435" s="40"/>
      <c r="F435" s="41"/>
      <c r="G435" s="42"/>
      <c r="H435" s="43"/>
      <c r="I435" s="73"/>
      <c r="J435" s="43"/>
      <c r="K435" s="43"/>
      <c r="L435" s="43"/>
      <c r="M435" s="43"/>
      <c r="N435" s="111"/>
      <c r="O435" s="43"/>
      <c r="P435" s="48"/>
      <c r="Q435" s="49"/>
      <c r="R435" s="37"/>
      <c r="S435" s="37"/>
      <c r="T435" s="37"/>
      <c r="U435" s="37"/>
      <c r="V435" s="59"/>
      <c r="W435" s="49"/>
      <c r="X435" s="37"/>
      <c r="Y435" s="37"/>
      <c r="Z435" s="37"/>
      <c r="AA435" s="37"/>
      <c r="AB435" s="37"/>
      <c r="AC435" s="37"/>
      <c r="AD435" s="37"/>
      <c r="AE435" s="37"/>
      <c r="AF435" s="37"/>
      <c r="AG435" s="59"/>
      <c r="AH435" s="49"/>
      <c r="AI435" s="37"/>
      <c r="AJ435" s="37"/>
      <c r="AK435" s="37"/>
      <c r="AL435" s="37"/>
      <c r="AM435" s="37"/>
      <c r="AN435" s="37"/>
      <c r="AO435" s="37"/>
      <c r="AP435" s="37"/>
      <c r="AQ435" s="37"/>
      <c r="AR435" s="37"/>
      <c r="AS435" s="37"/>
      <c r="AT435" s="37"/>
      <c r="AU435" s="37"/>
      <c r="AV435" s="59"/>
      <c r="AW435" s="1" t="str">
        <f>_xlfn.CONCAT(tbl_Ben_Info[[#This Row],[First Name]]," ",tbl_Ben_Info[[#This Row],[Father Name]]," ",tbl_Ben_Info[[#This Row],[Family Name]])</f>
        <v xml:space="preserve">  </v>
      </c>
    </row>
    <row r="436" spans="2:49" ht="25.15" customHeight="1" x14ac:dyDescent="0.25">
      <c r="B436" s="49">
        <v>431</v>
      </c>
      <c r="C436" s="1" t="str">
        <f>_xlfn.CONCAT("181-702-",IF(tbl_Ben_Info[[#This Row],[SN]]&lt;10,"00"&amp;tbl_Ben_Info[[#This Row],[SN]],IF(tbl_Ben_Info[[#This Row],[SN]]&lt;100,"0"&amp;tbl_Ben_Info[[#This Row],[SN]],tbl_Ben_Info[[#This Row],[SN]])))</f>
        <v>181-702-431</v>
      </c>
      <c r="D436" s="37"/>
      <c r="E436" s="40"/>
      <c r="F436" s="41"/>
      <c r="G436" s="42"/>
      <c r="H436" s="43"/>
      <c r="I436" s="73"/>
      <c r="J436" s="43"/>
      <c r="K436" s="43"/>
      <c r="L436" s="43"/>
      <c r="M436" s="43"/>
      <c r="N436" s="111"/>
      <c r="O436" s="43"/>
      <c r="P436" s="48"/>
      <c r="Q436" s="49"/>
      <c r="R436" s="37"/>
      <c r="S436" s="37"/>
      <c r="T436" s="37"/>
      <c r="U436" s="37"/>
      <c r="V436" s="59"/>
      <c r="W436" s="49"/>
      <c r="X436" s="37"/>
      <c r="Y436" s="37"/>
      <c r="Z436" s="37"/>
      <c r="AA436" s="37"/>
      <c r="AB436" s="37"/>
      <c r="AC436" s="37"/>
      <c r="AD436" s="37"/>
      <c r="AE436" s="37"/>
      <c r="AF436" s="37"/>
      <c r="AG436" s="59"/>
      <c r="AH436" s="49"/>
      <c r="AI436" s="37"/>
      <c r="AJ436" s="37"/>
      <c r="AK436" s="37"/>
      <c r="AL436" s="37"/>
      <c r="AM436" s="37"/>
      <c r="AN436" s="37"/>
      <c r="AO436" s="37"/>
      <c r="AP436" s="37"/>
      <c r="AQ436" s="37"/>
      <c r="AR436" s="37"/>
      <c r="AS436" s="37"/>
      <c r="AT436" s="37"/>
      <c r="AU436" s="37"/>
      <c r="AV436" s="59"/>
      <c r="AW436" s="1" t="str">
        <f>_xlfn.CONCAT(tbl_Ben_Info[[#This Row],[First Name]]," ",tbl_Ben_Info[[#This Row],[Father Name]]," ",tbl_Ben_Info[[#This Row],[Family Name]])</f>
        <v xml:space="preserve">  </v>
      </c>
    </row>
    <row r="437" spans="2:49" ht="25.15" customHeight="1" x14ac:dyDescent="0.25">
      <c r="B437" s="49">
        <v>432</v>
      </c>
      <c r="C437" s="1" t="str">
        <f>_xlfn.CONCAT("181-702-",IF(tbl_Ben_Info[[#This Row],[SN]]&lt;10,"00"&amp;tbl_Ben_Info[[#This Row],[SN]],IF(tbl_Ben_Info[[#This Row],[SN]]&lt;100,"0"&amp;tbl_Ben_Info[[#This Row],[SN]],tbl_Ben_Info[[#This Row],[SN]])))</f>
        <v>181-702-432</v>
      </c>
      <c r="D437" s="37"/>
      <c r="E437" s="40"/>
      <c r="F437" s="41"/>
      <c r="G437" s="42"/>
      <c r="H437" s="43"/>
      <c r="I437" s="73"/>
      <c r="J437" s="43"/>
      <c r="K437" s="43"/>
      <c r="L437" s="43"/>
      <c r="M437" s="43"/>
      <c r="N437" s="111"/>
      <c r="O437" s="43"/>
      <c r="P437" s="48"/>
      <c r="Q437" s="49"/>
      <c r="R437" s="37"/>
      <c r="S437" s="37"/>
      <c r="T437" s="37"/>
      <c r="U437" s="37"/>
      <c r="V437" s="59"/>
      <c r="W437" s="49"/>
      <c r="X437" s="37"/>
      <c r="Y437" s="37"/>
      <c r="Z437" s="37"/>
      <c r="AA437" s="37"/>
      <c r="AB437" s="37"/>
      <c r="AC437" s="37"/>
      <c r="AD437" s="37"/>
      <c r="AE437" s="37"/>
      <c r="AF437" s="37"/>
      <c r="AG437" s="59"/>
      <c r="AH437" s="49"/>
      <c r="AI437" s="37"/>
      <c r="AJ437" s="37"/>
      <c r="AK437" s="37"/>
      <c r="AL437" s="37"/>
      <c r="AM437" s="37"/>
      <c r="AN437" s="37"/>
      <c r="AO437" s="37"/>
      <c r="AP437" s="37"/>
      <c r="AQ437" s="37"/>
      <c r="AR437" s="37"/>
      <c r="AS437" s="37"/>
      <c r="AT437" s="37"/>
      <c r="AU437" s="37"/>
      <c r="AV437" s="59"/>
      <c r="AW437" s="1" t="str">
        <f>_xlfn.CONCAT(tbl_Ben_Info[[#This Row],[First Name]]," ",tbl_Ben_Info[[#This Row],[Father Name]]," ",tbl_Ben_Info[[#This Row],[Family Name]])</f>
        <v xml:space="preserve">  </v>
      </c>
    </row>
    <row r="438" spans="2:49" ht="25.15" customHeight="1" x14ac:dyDescent="0.25">
      <c r="B438" s="49">
        <v>433</v>
      </c>
      <c r="C438" s="1" t="str">
        <f>_xlfn.CONCAT("181-702-",IF(tbl_Ben_Info[[#This Row],[SN]]&lt;10,"00"&amp;tbl_Ben_Info[[#This Row],[SN]],IF(tbl_Ben_Info[[#This Row],[SN]]&lt;100,"0"&amp;tbl_Ben_Info[[#This Row],[SN]],tbl_Ben_Info[[#This Row],[SN]])))</f>
        <v>181-702-433</v>
      </c>
      <c r="D438" s="37"/>
      <c r="E438" s="40"/>
      <c r="F438" s="41"/>
      <c r="G438" s="42"/>
      <c r="H438" s="43"/>
      <c r="I438" s="73"/>
      <c r="J438" s="43"/>
      <c r="K438" s="43"/>
      <c r="L438" s="43"/>
      <c r="M438" s="43"/>
      <c r="N438" s="111"/>
      <c r="O438" s="43"/>
      <c r="P438" s="48"/>
      <c r="Q438" s="49"/>
      <c r="R438" s="37"/>
      <c r="S438" s="37"/>
      <c r="T438" s="37"/>
      <c r="U438" s="37"/>
      <c r="V438" s="59"/>
      <c r="W438" s="49"/>
      <c r="X438" s="37"/>
      <c r="Y438" s="37"/>
      <c r="Z438" s="37"/>
      <c r="AA438" s="37"/>
      <c r="AB438" s="37"/>
      <c r="AC438" s="37"/>
      <c r="AD438" s="37"/>
      <c r="AE438" s="37"/>
      <c r="AF438" s="37"/>
      <c r="AG438" s="59"/>
      <c r="AH438" s="49"/>
      <c r="AI438" s="37"/>
      <c r="AJ438" s="37"/>
      <c r="AK438" s="37"/>
      <c r="AL438" s="37"/>
      <c r="AM438" s="37"/>
      <c r="AN438" s="37"/>
      <c r="AO438" s="37"/>
      <c r="AP438" s="37"/>
      <c r="AQ438" s="37"/>
      <c r="AR438" s="37"/>
      <c r="AS438" s="37"/>
      <c r="AT438" s="37"/>
      <c r="AU438" s="37"/>
      <c r="AV438" s="59"/>
      <c r="AW438" s="1" t="str">
        <f>_xlfn.CONCAT(tbl_Ben_Info[[#This Row],[First Name]]," ",tbl_Ben_Info[[#This Row],[Father Name]]," ",tbl_Ben_Info[[#This Row],[Family Name]])</f>
        <v xml:space="preserve">  </v>
      </c>
    </row>
    <row r="439" spans="2:49" ht="25.15" customHeight="1" x14ac:dyDescent="0.25">
      <c r="B439" s="49">
        <v>434</v>
      </c>
      <c r="C439" s="1" t="str">
        <f>_xlfn.CONCAT("181-702-",IF(tbl_Ben_Info[[#This Row],[SN]]&lt;10,"00"&amp;tbl_Ben_Info[[#This Row],[SN]],IF(tbl_Ben_Info[[#This Row],[SN]]&lt;100,"0"&amp;tbl_Ben_Info[[#This Row],[SN]],tbl_Ben_Info[[#This Row],[SN]])))</f>
        <v>181-702-434</v>
      </c>
      <c r="D439" s="37"/>
      <c r="E439" s="40"/>
      <c r="F439" s="41"/>
      <c r="G439" s="42"/>
      <c r="H439" s="43"/>
      <c r="I439" s="73"/>
      <c r="J439" s="43"/>
      <c r="K439" s="43"/>
      <c r="L439" s="43"/>
      <c r="M439" s="43"/>
      <c r="N439" s="111"/>
      <c r="O439" s="43"/>
      <c r="P439" s="48"/>
      <c r="Q439" s="49"/>
      <c r="R439" s="37"/>
      <c r="S439" s="37"/>
      <c r="T439" s="37"/>
      <c r="U439" s="37"/>
      <c r="V439" s="59"/>
      <c r="W439" s="49"/>
      <c r="X439" s="37"/>
      <c r="Y439" s="37"/>
      <c r="Z439" s="37"/>
      <c r="AA439" s="37"/>
      <c r="AB439" s="37"/>
      <c r="AC439" s="37"/>
      <c r="AD439" s="37"/>
      <c r="AE439" s="37"/>
      <c r="AF439" s="37"/>
      <c r="AG439" s="59"/>
      <c r="AH439" s="49"/>
      <c r="AI439" s="37"/>
      <c r="AJ439" s="37"/>
      <c r="AK439" s="37"/>
      <c r="AL439" s="37"/>
      <c r="AM439" s="37"/>
      <c r="AN439" s="37"/>
      <c r="AO439" s="37"/>
      <c r="AP439" s="37"/>
      <c r="AQ439" s="37"/>
      <c r="AR439" s="37"/>
      <c r="AS439" s="37"/>
      <c r="AT439" s="37"/>
      <c r="AU439" s="37"/>
      <c r="AV439" s="59"/>
      <c r="AW439" s="1" t="str">
        <f>_xlfn.CONCAT(tbl_Ben_Info[[#This Row],[First Name]]," ",tbl_Ben_Info[[#This Row],[Father Name]]," ",tbl_Ben_Info[[#This Row],[Family Name]])</f>
        <v xml:space="preserve">  </v>
      </c>
    </row>
    <row r="440" spans="2:49" ht="25.15" customHeight="1" x14ac:dyDescent="0.25">
      <c r="B440" s="49">
        <v>435</v>
      </c>
      <c r="C440" s="1" t="str">
        <f>_xlfn.CONCAT("181-702-",IF(tbl_Ben_Info[[#This Row],[SN]]&lt;10,"00"&amp;tbl_Ben_Info[[#This Row],[SN]],IF(tbl_Ben_Info[[#This Row],[SN]]&lt;100,"0"&amp;tbl_Ben_Info[[#This Row],[SN]],tbl_Ben_Info[[#This Row],[SN]])))</f>
        <v>181-702-435</v>
      </c>
      <c r="D440" s="37"/>
      <c r="E440" s="40"/>
      <c r="F440" s="41"/>
      <c r="G440" s="42"/>
      <c r="H440" s="43"/>
      <c r="I440" s="73"/>
      <c r="J440" s="43"/>
      <c r="K440" s="43"/>
      <c r="L440" s="43"/>
      <c r="M440" s="43"/>
      <c r="N440" s="111"/>
      <c r="O440" s="43"/>
      <c r="P440" s="48"/>
      <c r="Q440" s="49"/>
      <c r="R440" s="37"/>
      <c r="S440" s="37"/>
      <c r="T440" s="37"/>
      <c r="U440" s="37"/>
      <c r="V440" s="59"/>
      <c r="W440" s="49"/>
      <c r="X440" s="37"/>
      <c r="Y440" s="37"/>
      <c r="Z440" s="37"/>
      <c r="AA440" s="37"/>
      <c r="AB440" s="37"/>
      <c r="AC440" s="37"/>
      <c r="AD440" s="37"/>
      <c r="AE440" s="37"/>
      <c r="AF440" s="37"/>
      <c r="AG440" s="59"/>
      <c r="AH440" s="49"/>
      <c r="AI440" s="37"/>
      <c r="AJ440" s="37"/>
      <c r="AK440" s="37"/>
      <c r="AL440" s="37"/>
      <c r="AM440" s="37"/>
      <c r="AN440" s="37"/>
      <c r="AO440" s="37"/>
      <c r="AP440" s="37"/>
      <c r="AQ440" s="37"/>
      <c r="AR440" s="37"/>
      <c r="AS440" s="37"/>
      <c r="AT440" s="37"/>
      <c r="AU440" s="37"/>
      <c r="AV440" s="59"/>
      <c r="AW440" s="1" t="str">
        <f>_xlfn.CONCAT(tbl_Ben_Info[[#This Row],[First Name]]," ",tbl_Ben_Info[[#This Row],[Father Name]]," ",tbl_Ben_Info[[#This Row],[Family Name]])</f>
        <v xml:space="preserve">  </v>
      </c>
    </row>
    <row r="441" spans="2:49" ht="25.15" customHeight="1" x14ac:dyDescent="0.25">
      <c r="B441" s="49">
        <v>436</v>
      </c>
      <c r="C441" s="1" t="str">
        <f>_xlfn.CONCAT("181-702-",IF(tbl_Ben_Info[[#This Row],[SN]]&lt;10,"00"&amp;tbl_Ben_Info[[#This Row],[SN]],IF(tbl_Ben_Info[[#This Row],[SN]]&lt;100,"0"&amp;tbl_Ben_Info[[#This Row],[SN]],tbl_Ben_Info[[#This Row],[SN]])))</f>
        <v>181-702-436</v>
      </c>
      <c r="D441" s="37"/>
      <c r="E441" s="40"/>
      <c r="F441" s="41"/>
      <c r="G441" s="42"/>
      <c r="H441" s="43"/>
      <c r="I441" s="73"/>
      <c r="J441" s="43"/>
      <c r="K441" s="43"/>
      <c r="L441" s="43"/>
      <c r="M441" s="43"/>
      <c r="N441" s="111"/>
      <c r="O441" s="43"/>
      <c r="P441" s="48"/>
      <c r="Q441" s="49"/>
      <c r="R441" s="37"/>
      <c r="S441" s="37"/>
      <c r="T441" s="37"/>
      <c r="U441" s="37"/>
      <c r="V441" s="59"/>
      <c r="W441" s="49"/>
      <c r="X441" s="37"/>
      <c r="Y441" s="37"/>
      <c r="Z441" s="37"/>
      <c r="AA441" s="37"/>
      <c r="AB441" s="37"/>
      <c r="AC441" s="37"/>
      <c r="AD441" s="37"/>
      <c r="AE441" s="37"/>
      <c r="AF441" s="37"/>
      <c r="AG441" s="59"/>
      <c r="AH441" s="49"/>
      <c r="AI441" s="37"/>
      <c r="AJ441" s="37"/>
      <c r="AK441" s="37"/>
      <c r="AL441" s="37"/>
      <c r="AM441" s="37"/>
      <c r="AN441" s="37"/>
      <c r="AO441" s="37"/>
      <c r="AP441" s="37"/>
      <c r="AQ441" s="37"/>
      <c r="AR441" s="37"/>
      <c r="AS441" s="37"/>
      <c r="AT441" s="37"/>
      <c r="AU441" s="37"/>
      <c r="AV441" s="59"/>
      <c r="AW441" s="1" t="str">
        <f>_xlfn.CONCAT(tbl_Ben_Info[[#This Row],[First Name]]," ",tbl_Ben_Info[[#This Row],[Father Name]]," ",tbl_Ben_Info[[#This Row],[Family Name]])</f>
        <v xml:space="preserve">  </v>
      </c>
    </row>
    <row r="442" spans="2:49" ht="25.15" customHeight="1" x14ac:dyDescent="0.25">
      <c r="B442" s="49">
        <v>437</v>
      </c>
      <c r="C442" s="1" t="str">
        <f>_xlfn.CONCAT("181-702-",IF(tbl_Ben_Info[[#This Row],[SN]]&lt;10,"00"&amp;tbl_Ben_Info[[#This Row],[SN]],IF(tbl_Ben_Info[[#This Row],[SN]]&lt;100,"0"&amp;tbl_Ben_Info[[#This Row],[SN]],tbl_Ben_Info[[#This Row],[SN]])))</f>
        <v>181-702-437</v>
      </c>
      <c r="D442" s="37"/>
      <c r="E442" s="40"/>
      <c r="F442" s="41"/>
      <c r="G442" s="42"/>
      <c r="H442" s="43"/>
      <c r="I442" s="73"/>
      <c r="J442" s="43"/>
      <c r="K442" s="43"/>
      <c r="L442" s="43"/>
      <c r="M442" s="43"/>
      <c r="N442" s="111"/>
      <c r="O442" s="43"/>
      <c r="P442" s="48"/>
      <c r="Q442" s="49"/>
      <c r="R442" s="37"/>
      <c r="S442" s="37"/>
      <c r="T442" s="37"/>
      <c r="U442" s="37"/>
      <c r="V442" s="59"/>
      <c r="W442" s="49"/>
      <c r="X442" s="37"/>
      <c r="Y442" s="37"/>
      <c r="Z442" s="37"/>
      <c r="AA442" s="37"/>
      <c r="AB442" s="37"/>
      <c r="AC442" s="37"/>
      <c r="AD442" s="37"/>
      <c r="AE442" s="37"/>
      <c r="AF442" s="37"/>
      <c r="AG442" s="59"/>
      <c r="AH442" s="49"/>
      <c r="AI442" s="37"/>
      <c r="AJ442" s="37"/>
      <c r="AK442" s="37"/>
      <c r="AL442" s="37"/>
      <c r="AM442" s="37"/>
      <c r="AN442" s="37"/>
      <c r="AO442" s="37"/>
      <c r="AP442" s="37"/>
      <c r="AQ442" s="37"/>
      <c r="AR442" s="37"/>
      <c r="AS442" s="37"/>
      <c r="AT442" s="37"/>
      <c r="AU442" s="37"/>
      <c r="AV442" s="59"/>
      <c r="AW442" s="1" t="str">
        <f>_xlfn.CONCAT(tbl_Ben_Info[[#This Row],[First Name]]," ",tbl_Ben_Info[[#This Row],[Father Name]]," ",tbl_Ben_Info[[#This Row],[Family Name]])</f>
        <v xml:space="preserve">  </v>
      </c>
    </row>
    <row r="443" spans="2:49" ht="25.15" customHeight="1" x14ac:dyDescent="0.25">
      <c r="B443" s="49">
        <v>438</v>
      </c>
      <c r="C443" s="1" t="str">
        <f>_xlfn.CONCAT("181-702-",IF(tbl_Ben_Info[[#This Row],[SN]]&lt;10,"00"&amp;tbl_Ben_Info[[#This Row],[SN]],IF(tbl_Ben_Info[[#This Row],[SN]]&lt;100,"0"&amp;tbl_Ben_Info[[#This Row],[SN]],tbl_Ben_Info[[#This Row],[SN]])))</f>
        <v>181-702-438</v>
      </c>
      <c r="D443" s="37"/>
      <c r="E443" s="40"/>
      <c r="F443" s="41"/>
      <c r="G443" s="42"/>
      <c r="H443" s="43"/>
      <c r="I443" s="73"/>
      <c r="J443" s="43"/>
      <c r="K443" s="43"/>
      <c r="L443" s="43"/>
      <c r="M443" s="43"/>
      <c r="N443" s="111"/>
      <c r="O443" s="43"/>
      <c r="P443" s="48"/>
      <c r="Q443" s="49"/>
      <c r="R443" s="37"/>
      <c r="S443" s="37"/>
      <c r="T443" s="37"/>
      <c r="U443" s="37"/>
      <c r="V443" s="59"/>
      <c r="W443" s="49"/>
      <c r="X443" s="37"/>
      <c r="Y443" s="37"/>
      <c r="Z443" s="37"/>
      <c r="AA443" s="37"/>
      <c r="AB443" s="37"/>
      <c r="AC443" s="37"/>
      <c r="AD443" s="37"/>
      <c r="AE443" s="37"/>
      <c r="AF443" s="37"/>
      <c r="AG443" s="59"/>
      <c r="AH443" s="49"/>
      <c r="AI443" s="37"/>
      <c r="AJ443" s="37"/>
      <c r="AK443" s="37"/>
      <c r="AL443" s="37"/>
      <c r="AM443" s="37"/>
      <c r="AN443" s="37"/>
      <c r="AO443" s="37"/>
      <c r="AP443" s="37"/>
      <c r="AQ443" s="37"/>
      <c r="AR443" s="37"/>
      <c r="AS443" s="37"/>
      <c r="AT443" s="37"/>
      <c r="AU443" s="37"/>
      <c r="AV443" s="59"/>
      <c r="AW443" s="1" t="str">
        <f>_xlfn.CONCAT(tbl_Ben_Info[[#This Row],[First Name]]," ",tbl_Ben_Info[[#This Row],[Father Name]]," ",tbl_Ben_Info[[#This Row],[Family Name]])</f>
        <v xml:space="preserve">  </v>
      </c>
    </row>
    <row r="444" spans="2:49" ht="25.15" customHeight="1" x14ac:dyDescent="0.25">
      <c r="B444" s="49">
        <v>439</v>
      </c>
      <c r="C444" s="1" t="str">
        <f>_xlfn.CONCAT("181-702-",IF(tbl_Ben_Info[[#This Row],[SN]]&lt;10,"00"&amp;tbl_Ben_Info[[#This Row],[SN]],IF(tbl_Ben_Info[[#This Row],[SN]]&lt;100,"0"&amp;tbl_Ben_Info[[#This Row],[SN]],tbl_Ben_Info[[#This Row],[SN]])))</f>
        <v>181-702-439</v>
      </c>
      <c r="D444" s="37"/>
      <c r="E444" s="40"/>
      <c r="F444" s="41"/>
      <c r="G444" s="42"/>
      <c r="H444" s="43"/>
      <c r="I444" s="73"/>
      <c r="J444" s="43"/>
      <c r="K444" s="43"/>
      <c r="L444" s="43"/>
      <c r="M444" s="43"/>
      <c r="N444" s="111"/>
      <c r="O444" s="43"/>
      <c r="P444" s="48"/>
      <c r="Q444" s="49"/>
      <c r="R444" s="37"/>
      <c r="S444" s="37"/>
      <c r="T444" s="37"/>
      <c r="U444" s="37"/>
      <c r="V444" s="59"/>
      <c r="W444" s="49"/>
      <c r="X444" s="37"/>
      <c r="Y444" s="37"/>
      <c r="Z444" s="37"/>
      <c r="AA444" s="37"/>
      <c r="AB444" s="37"/>
      <c r="AC444" s="37"/>
      <c r="AD444" s="37"/>
      <c r="AE444" s="37"/>
      <c r="AF444" s="37"/>
      <c r="AG444" s="59"/>
      <c r="AH444" s="49"/>
      <c r="AI444" s="37"/>
      <c r="AJ444" s="37"/>
      <c r="AK444" s="37"/>
      <c r="AL444" s="37"/>
      <c r="AM444" s="37"/>
      <c r="AN444" s="37"/>
      <c r="AO444" s="37"/>
      <c r="AP444" s="37"/>
      <c r="AQ444" s="37"/>
      <c r="AR444" s="37"/>
      <c r="AS444" s="37"/>
      <c r="AT444" s="37"/>
      <c r="AU444" s="37"/>
      <c r="AV444" s="59"/>
      <c r="AW444" s="1" t="str">
        <f>_xlfn.CONCAT(tbl_Ben_Info[[#This Row],[First Name]]," ",tbl_Ben_Info[[#This Row],[Father Name]]," ",tbl_Ben_Info[[#This Row],[Family Name]])</f>
        <v xml:space="preserve">  </v>
      </c>
    </row>
    <row r="445" spans="2:49" ht="25.15" customHeight="1" x14ac:dyDescent="0.25">
      <c r="B445" s="49">
        <v>440</v>
      </c>
      <c r="C445" s="1" t="str">
        <f>_xlfn.CONCAT("181-702-",IF(tbl_Ben_Info[[#This Row],[SN]]&lt;10,"00"&amp;tbl_Ben_Info[[#This Row],[SN]],IF(tbl_Ben_Info[[#This Row],[SN]]&lt;100,"0"&amp;tbl_Ben_Info[[#This Row],[SN]],tbl_Ben_Info[[#This Row],[SN]])))</f>
        <v>181-702-440</v>
      </c>
      <c r="D445" s="37"/>
      <c r="E445" s="40"/>
      <c r="F445" s="41"/>
      <c r="G445" s="42"/>
      <c r="H445" s="43"/>
      <c r="I445" s="73"/>
      <c r="J445" s="43"/>
      <c r="K445" s="43"/>
      <c r="L445" s="43"/>
      <c r="M445" s="43"/>
      <c r="N445" s="111"/>
      <c r="O445" s="43"/>
      <c r="P445" s="48"/>
      <c r="Q445" s="49"/>
      <c r="R445" s="37"/>
      <c r="S445" s="37"/>
      <c r="T445" s="37"/>
      <c r="U445" s="37"/>
      <c r="V445" s="59"/>
      <c r="W445" s="49"/>
      <c r="X445" s="37"/>
      <c r="Y445" s="37"/>
      <c r="Z445" s="37"/>
      <c r="AA445" s="37"/>
      <c r="AB445" s="37"/>
      <c r="AC445" s="37"/>
      <c r="AD445" s="37"/>
      <c r="AE445" s="37"/>
      <c r="AF445" s="37"/>
      <c r="AG445" s="59"/>
      <c r="AH445" s="49"/>
      <c r="AI445" s="37"/>
      <c r="AJ445" s="37"/>
      <c r="AK445" s="37"/>
      <c r="AL445" s="37"/>
      <c r="AM445" s="37"/>
      <c r="AN445" s="37"/>
      <c r="AO445" s="37"/>
      <c r="AP445" s="37"/>
      <c r="AQ445" s="37"/>
      <c r="AR445" s="37"/>
      <c r="AS445" s="37"/>
      <c r="AT445" s="37"/>
      <c r="AU445" s="37"/>
      <c r="AV445" s="59"/>
      <c r="AW445" s="1" t="str">
        <f>_xlfn.CONCAT(tbl_Ben_Info[[#This Row],[First Name]]," ",tbl_Ben_Info[[#This Row],[Father Name]]," ",tbl_Ben_Info[[#This Row],[Family Name]])</f>
        <v xml:space="preserve">  </v>
      </c>
    </row>
    <row r="446" spans="2:49" ht="25.15" customHeight="1" x14ac:dyDescent="0.25">
      <c r="B446" s="49">
        <v>441</v>
      </c>
      <c r="C446" s="1" t="str">
        <f>_xlfn.CONCAT("181-702-",IF(tbl_Ben_Info[[#This Row],[SN]]&lt;10,"00"&amp;tbl_Ben_Info[[#This Row],[SN]],IF(tbl_Ben_Info[[#This Row],[SN]]&lt;100,"0"&amp;tbl_Ben_Info[[#This Row],[SN]],tbl_Ben_Info[[#This Row],[SN]])))</f>
        <v>181-702-441</v>
      </c>
      <c r="D446" s="37"/>
      <c r="E446" s="40"/>
      <c r="F446" s="41"/>
      <c r="G446" s="42"/>
      <c r="H446" s="43"/>
      <c r="I446" s="73"/>
      <c r="J446" s="43"/>
      <c r="K446" s="43"/>
      <c r="L446" s="43"/>
      <c r="M446" s="43"/>
      <c r="N446" s="111"/>
      <c r="O446" s="43"/>
      <c r="P446" s="48"/>
      <c r="Q446" s="49"/>
      <c r="R446" s="37"/>
      <c r="S446" s="37"/>
      <c r="T446" s="37"/>
      <c r="U446" s="37"/>
      <c r="V446" s="59"/>
      <c r="W446" s="49"/>
      <c r="X446" s="37"/>
      <c r="Y446" s="37"/>
      <c r="Z446" s="37"/>
      <c r="AA446" s="37"/>
      <c r="AB446" s="37"/>
      <c r="AC446" s="37"/>
      <c r="AD446" s="37"/>
      <c r="AE446" s="37"/>
      <c r="AF446" s="37"/>
      <c r="AG446" s="59"/>
      <c r="AH446" s="49"/>
      <c r="AI446" s="37"/>
      <c r="AJ446" s="37"/>
      <c r="AK446" s="37"/>
      <c r="AL446" s="37"/>
      <c r="AM446" s="37"/>
      <c r="AN446" s="37"/>
      <c r="AO446" s="37"/>
      <c r="AP446" s="37"/>
      <c r="AQ446" s="37"/>
      <c r="AR446" s="37"/>
      <c r="AS446" s="37"/>
      <c r="AT446" s="37"/>
      <c r="AU446" s="37"/>
      <c r="AV446" s="59"/>
      <c r="AW446" s="1" t="str">
        <f>_xlfn.CONCAT(tbl_Ben_Info[[#This Row],[First Name]]," ",tbl_Ben_Info[[#This Row],[Father Name]]," ",tbl_Ben_Info[[#This Row],[Family Name]])</f>
        <v xml:space="preserve">  </v>
      </c>
    </row>
    <row r="447" spans="2:49" ht="25.15" customHeight="1" x14ac:dyDescent="0.25">
      <c r="B447" s="49">
        <v>442</v>
      </c>
      <c r="C447" s="1" t="str">
        <f>_xlfn.CONCAT("181-702-",IF(tbl_Ben_Info[[#This Row],[SN]]&lt;10,"00"&amp;tbl_Ben_Info[[#This Row],[SN]],IF(tbl_Ben_Info[[#This Row],[SN]]&lt;100,"0"&amp;tbl_Ben_Info[[#This Row],[SN]],tbl_Ben_Info[[#This Row],[SN]])))</f>
        <v>181-702-442</v>
      </c>
      <c r="D447" s="37"/>
      <c r="E447" s="40"/>
      <c r="F447" s="41"/>
      <c r="G447" s="42"/>
      <c r="H447" s="43"/>
      <c r="I447" s="73"/>
      <c r="J447" s="43"/>
      <c r="K447" s="43"/>
      <c r="L447" s="43"/>
      <c r="M447" s="43"/>
      <c r="N447" s="111"/>
      <c r="O447" s="43"/>
      <c r="P447" s="48"/>
      <c r="Q447" s="49"/>
      <c r="R447" s="37"/>
      <c r="S447" s="37"/>
      <c r="T447" s="37"/>
      <c r="U447" s="37"/>
      <c r="V447" s="59"/>
      <c r="W447" s="49"/>
      <c r="X447" s="37"/>
      <c r="Y447" s="37"/>
      <c r="Z447" s="37"/>
      <c r="AA447" s="37"/>
      <c r="AB447" s="37"/>
      <c r="AC447" s="37"/>
      <c r="AD447" s="37"/>
      <c r="AE447" s="37"/>
      <c r="AF447" s="37"/>
      <c r="AG447" s="59"/>
      <c r="AH447" s="49"/>
      <c r="AI447" s="37"/>
      <c r="AJ447" s="37"/>
      <c r="AK447" s="37"/>
      <c r="AL447" s="37"/>
      <c r="AM447" s="37"/>
      <c r="AN447" s="37"/>
      <c r="AO447" s="37"/>
      <c r="AP447" s="37"/>
      <c r="AQ447" s="37"/>
      <c r="AR447" s="37"/>
      <c r="AS447" s="37"/>
      <c r="AT447" s="37"/>
      <c r="AU447" s="37"/>
      <c r="AV447" s="59"/>
      <c r="AW447" s="1" t="str">
        <f>_xlfn.CONCAT(tbl_Ben_Info[[#This Row],[First Name]]," ",tbl_Ben_Info[[#This Row],[Father Name]]," ",tbl_Ben_Info[[#This Row],[Family Name]])</f>
        <v xml:space="preserve">  </v>
      </c>
    </row>
    <row r="448" spans="2:49" ht="25.15" customHeight="1" x14ac:dyDescent="0.25">
      <c r="B448" s="49">
        <v>443</v>
      </c>
      <c r="C448" s="1" t="str">
        <f>_xlfn.CONCAT("181-702-",IF(tbl_Ben_Info[[#This Row],[SN]]&lt;10,"00"&amp;tbl_Ben_Info[[#This Row],[SN]],IF(tbl_Ben_Info[[#This Row],[SN]]&lt;100,"0"&amp;tbl_Ben_Info[[#This Row],[SN]],tbl_Ben_Info[[#This Row],[SN]])))</f>
        <v>181-702-443</v>
      </c>
      <c r="D448" s="37"/>
      <c r="E448" s="40"/>
      <c r="F448" s="41"/>
      <c r="G448" s="42"/>
      <c r="H448" s="43"/>
      <c r="I448" s="73"/>
      <c r="J448" s="43"/>
      <c r="K448" s="43"/>
      <c r="L448" s="43"/>
      <c r="M448" s="43"/>
      <c r="N448" s="111"/>
      <c r="O448" s="43"/>
      <c r="P448" s="48"/>
      <c r="Q448" s="49"/>
      <c r="R448" s="37"/>
      <c r="S448" s="37"/>
      <c r="T448" s="37"/>
      <c r="U448" s="37"/>
      <c r="V448" s="59"/>
      <c r="W448" s="49"/>
      <c r="X448" s="37"/>
      <c r="Y448" s="37"/>
      <c r="Z448" s="37"/>
      <c r="AA448" s="37"/>
      <c r="AB448" s="37"/>
      <c r="AC448" s="37"/>
      <c r="AD448" s="37"/>
      <c r="AE448" s="37"/>
      <c r="AF448" s="37"/>
      <c r="AG448" s="59"/>
      <c r="AH448" s="49"/>
      <c r="AI448" s="37"/>
      <c r="AJ448" s="37"/>
      <c r="AK448" s="37"/>
      <c r="AL448" s="37"/>
      <c r="AM448" s="37"/>
      <c r="AN448" s="37"/>
      <c r="AO448" s="37"/>
      <c r="AP448" s="37"/>
      <c r="AQ448" s="37"/>
      <c r="AR448" s="37"/>
      <c r="AS448" s="37"/>
      <c r="AT448" s="37"/>
      <c r="AU448" s="37"/>
      <c r="AV448" s="59"/>
      <c r="AW448" s="1" t="str">
        <f>_xlfn.CONCAT(tbl_Ben_Info[[#This Row],[First Name]]," ",tbl_Ben_Info[[#This Row],[Father Name]]," ",tbl_Ben_Info[[#This Row],[Family Name]])</f>
        <v xml:space="preserve">  </v>
      </c>
    </row>
    <row r="449" spans="2:49" ht="25.15" customHeight="1" x14ac:dyDescent="0.25">
      <c r="B449" s="49">
        <v>444</v>
      </c>
      <c r="C449" s="1" t="str">
        <f>_xlfn.CONCAT("181-702-",IF(tbl_Ben_Info[[#This Row],[SN]]&lt;10,"00"&amp;tbl_Ben_Info[[#This Row],[SN]],IF(tbl_Ben_Info[[#This Row],[SN]]&lt;100,"0"&amp;tbl_Ben_Info[[#This Row],[SN]],tbl_Ben_Info[[#This Row],[SN]])))</f>
        <v>181-702-444</v>
      </c>
      <c r="D449" s="37"/>
      <c r="E449" s="40"/>
      <c r="F449" s="41"/>
      <c r="G449" s="42"/>
      <c r="H449" s="43"/>
      <c r="I449" s="73"/>
      <c r="J449" s="43"/>
      <c r="K449" s="43"/>
      <c r="L449" s="43"/>
      <c r="M449" s="43"/>
      <c r="N449" s="111"/>
      <c r="O449" s="43"/>
      <c r="P449" s="48"/>
      <c r="Q449" s="49"/>
      <c r="R449" s="37"/>
      <c r="S449" s="37"/>
      <c r="T449" s="37"/>
      <c r="U449" s="37"/>
      <c r="V449" s="59"/>
      <c r="W449" s="49"/>
      <c r="X449" s="37"/>
      <c r="Y449" s="37"/>
      <c r="Z449" s="37"/>
      <c r="AA449" s="37"/>
      <c r="AB449" s="37"/>
      <c r="AC449" s="37"/>
      <c r="AD449" s="37"/>
      <c r="AE449" s="37"/>
      <c r="AF449" s="37"/>
      <c r="AG449" s="59"/>
      <c r="AH449" s="49"/>
      <c r="AI449" s="37"/>
      <c r="AJ449" s="37"/>
      <c r="AK449" s="37"/>
      <c r="AL449" s="37"/>
      <c r="AM449" s="37"/>
      <c r="AN449" s="37"/>
      <c r="AO449" s="37"/>
      <c r="AP449" s="37"/>
      <c r="AQ449" s="37"/>
      <c r="AR449" s="37"/>
      <c r="AS449" s="37"/>
      <c r="AT449" s="37"/>
      <c r="AU449" s="37"/>
      <c r="AV449" s="59"/>
      <c r="AW449" s="1" t="str">
        <f>_xlfn.CONCAT(tbl_Ben_Info[[#This Row],[First Name]]," ",tbl_Ben_Info[[#This Row],[Father Name]]," ",tbl_Ben_Info[[#This Row],[Family Name]])</f>
        <v xml:space="preserve">  </v>
      </c>
    </row>
    <row r="450" spans="2:49" ht="25.15" customHeight="1" x14ac:dyDescent="0.25">
      <c r="B450" s="49">
        <v>445</v>
      </c>
      <c r="C450" s="1" t="str">
        <f>_xlfn.CONCAT("181-702-",IF(tbl_Ben_Info[[#This Row],[SN]]&lt;10,"00"&amp;tbl_Ben_Info[[#This Row],[SN]],IF(tbl_Ben_Info[[#This Row],[SN]]&lt;100,"0"&amp;tbl_Ben_Info[[#This Row],[SN]],tbl_Ben_Info[[#This Row],[SN]])))</f>
        <v>181-702-445</v>
      </c>
      <c r="D450" s="37"/>
      <c r="E450" s="40"/>
      <c r="F450" s="41"/>
      <c r="G450" s="42"/>
      <c r="H450" s="43"/>
      <c r="I450" s="73"/>
      <c r="J450" s="43"/>
      <c r="K450" s="43"/>
      <c r="L450" s="43"/>
      <c r="M450" s="43"/>
      <c r="N450" s="111"/>
      <c r="O450" s="43"/>
      <c r="P450" s="48"/>
      <c r="Q450" s="49"/>
      <c r="R450" s="37"/>
      <c r="S450" s="37"/>
      <c r="T450" s="37"/>
      <c r="U450" s="37"/>
      <c r="V450" s="59"/>
      <c r="W450" s="49"/>
      <c r="X450" s="37"/>
      <c r="Y450" s="37"/>
      <c r="Z450" s="37"/>
      <c r="AA450" s="37"/>
      <c r="AB450" s="37"/>
      <c r="AC450" s="37"/>
      <c r="AD450" s="37"/>
      <c r="AE450" s="37"/>
      <c r="AF450" s="37"/>
      <c r="AG450" s="59"/>
      <c r="AH450" s="49"/>
      <c r="AI450" s="37"/>
      <c r="AJ450" s="37"/>
      <c r="AK450" s="37"/>
      <c r="AL450" s="37"/>
      <c r="AM450" s="37"/>
      <c r="AN450" s="37"/>
      <c r="AO450" s="37"/>
      <c r="AP450" s="37"/>
      <c r="AQ450" s="37"/>
      <c r="AR450" s="37"/>
      <c r="AS450" s="37"/>
      <c r="AT450" s="37"/>
      <c r="AU450" s="37"/>
      <c r="AV450" s="59"/>
      <c r="AW450" s="1" t="str">
        <f>_xlfn.CONCAT(tbl_Ben_Info[[#This Row],[First Name]]," ",tbl_Ben_Info[[#This Row],[Father Name]]," ",tbl_Ben_Info[[#This Row],[Family Name]])</f>
        <v xml:space="preserve">  </v>
      </c>
    </row>
    <row r="451" spans="2:49" ht="25.15" customHeight="1" x14ac:dyDescent="0.25">
      <c r="B451" s="49">
        <v>446</v>
      </c>
      <c r="C451" s="1" t="str">
        <f>_xlfn.CONCAT("181-702-",IF(tbl_Ben_Info[[#This Row],[SN]]&lt;10,"00"&amp;tbl_Ben_Info[[#This Row],[SN]],IF(tbl_Ben_Info[[#This Row],[SN]]&lt;100,"0"&amp;tbl_Ben_Info[[#This Row],[SN]],tbl_Ben_Info[[#This Row],[SN]])))</f>
        <v>181-702-446</v>
      </c>
      <c r="D451" s="37"/>
      <c r="E451" s="40"/>
      <c r="F451" s="41"/>
      <c r="G451" s="42"/>
      <c r="H451" s="43"/>
      <c r="I451" s="73"/>
      <c r="J451" s="43"/>
      <c r="K451" s="43"/>
      <c r="L451" s="43"/>
      <c r="M451" s="43"/>
      <c r="N451" s="111"/>
      <c r="O451" s="43"/>
      <c r="P451" s="48"/>
      <c r="Q451" s="49"/>
      <c r="R451" s="37"/>
      <c r="S451" s="37"/>
      <c r="T451" s="37"/>
      <c r="U451" s="37"/>
      <c r="V451" s="59"/>
      <c r="W451" s="49"/>
      <c r="X451" s="37"/>
      <c r="Y451" s="37"/>
      <c r="Z451" s="37"/>
      <c r="AA451" s="37"/>
      <c r="AB451" s="37"/>
      <c r="AC451" s="37"/>
      <c r="AD451" s="37"/>
      <c r="AE451" s="37"/>
      <c r="AF451" s="37"/>
      <c r="AG451" s="59"/>
      <c r="AH451" s="49"/>
      <c r="AI451" s="37"/>
      <c r="AJ451" s="37"/>
      <c r="AK451" s="37"/>
      <c r="AL451" s="37"/>
      <c r="AM451" s="37"/>
      <c r="AN451" s="37"/>
      <c r="AO451" s="37"/>
      <c r="AP451" s="37"/>
      <c r="AQ451" s="37"/>
      <c r="AR451" s="37"/>
      <c r="AS451" s="37"/>
      <c r="AT451" s="37"/>
      <c r="AU451" s="37"/>
      <c r="AV451" s="59"/>
      <c r="AW451" s="1" t="str">
        <f>_xlfn.CONCAT(tbl_Ben_Info[[#This Row],[First Name]]," ",tbl_Ben_Info[[#This Row],[Father Name]]," ",tbl_Ben_Info[[#This Row],[Family Name]])</f>
        <v xml:space="preserve">  </v>
      </c>
    </row>
    <row r="452" spans="2:49" ht="25.15" customHeight="1" x14ac:dyDescent="0.25">
      <c r="B452" s="49">
        <v>447</v>
      </c>
      <c r="C452" s="1" t="str">
        <f>_xlfn.CONCAT("181-702-",IF(tbl_Ben_Info[[#This Row],[SN]]&lt;10,"00"&amp;tbl_Ben_Info[[#This Row],[SN]],IF(tbl_Ben_Info[[#This Row],[SN]]&lt;100,"0"&amp;tbl_Ben_Info[[#This Row],[SN]],tbl_Ben_Info[[#This Row],[SN]])))</f>
        <v>181-702-447</v>
      </c>
      <c r="D452" s="37"/>
      <c r="E452" s="40"/>
      <c r="F452" s="41"/>
      <c r="G452" s="42"/>
      <c r="H452" s="43"/>
      <c r="I452" s="73"/>
      <c r="J452" s="43"/>
      <c r="K452" s="43"/>
      <c r="L452" s="43"/>
      <c r="M452" s="43"/>
      <c r="N452" s="111"/>
      <c r="O452" s="43"/>
      <c r="P452" s="48"/>
      <c r="Q452" s="49"/>
      <c r="R452" s="37"/>
      <c r="S452" s="37"/>
      <c r="T452" s="37"/>
      <c r="U452" s="37"/>
      <c r="V452" s="59"/>
      <c r="W452" s="49"/>
      <c r="X452" s="37"/>
      <c r="Y452" s="37"/>
      <c r="Z452" s="37"/>
      <c r="AA452" s="37"/>
      <c r="AB452" s="37"/>
      <c r="AC452" s="37"/>
      <c r="AD452" s="37"/>
      <c r="AE452" s="37"/>
      <c r="AF452" s="37"/>
      <c r="AG452" s="59"/>
      <c r="AH452" s="49"/>
      <c r="AI452" s="37"/>
      <c r="AJ452" s="37"/>
      <c r="AK452" s="37"/>
      <c r="AL452" s="37"/>
      <c r="AM452" s="37"/>
      <c r="AN452" s="37"/>
      <c r="AO452" s="37"/>
      <c r="AP452" s="37"/>
      <c r="AQ452" s="37"/>
      <c r="AR452" s="37"/>
      <c r="AS452" s="37"/>
      <c r="AT452" s="37"/>
      <c r="AU452" s="37"/>
      <c r="AV452" s="59"/>
      <c r="AW452" s="1" t="str">
        <f>_xlfn.CONCAT(tbl_Ben_Info[[#This Row],[First Name]]," ",tbl_Ben_Info[[#This Row],[Father Name]]," ",tbl_Ben_Info[[#This Row],[Family Name]])</f>
        <v xml:space="preserve">  </v>
      </c>
    </row>
    <row r="453" spans="2:49" ht="25.15" customHeight="1" x14ac:dyDescent="0.25">
      <c r="B453" s="49">
        <v>448</v>
      </c>
      <c r="C453" s="1" t="str">
        <f>_xlfn.CONCAT("181-702-",IF(tbl_Ben_Info[[#This Row],[SN]]&lt;10,"00"&amp;tbl_Ben_Info[[#This Row],[SN]],IF(tbl_Ben_Info[[#This Row],[SN]]&lt;100,"0"&amp;tbl_Ben_Info[[#This Row],[SN]],tbl_Ben_Info[[#This Row],[SN]])))</f>
        <v>181-702-448</v>
      </c>
      <c r="D453" s="37"/>
      <c r="E453" s="40"/>
      <c r="F453" s="41"/>
      <c r="G453" s="42"/>
      <c r="H453" s="43"/>
      <c r="I453" s="73"/>
      <c r="J453" s="43"/>
      <c r="K453" s="43"/>
      <c r="L453" s="43"/>
      <c r="M453" s="43"/>
      <c r="N453" s="111"/>
      <c r="O453" s="43"/>
      <c r="P453" s="48"/>
      <c r="Q453" s="49"/>
      <c r="R453" s="37"/>
      <c r="S453" s="37"/>
      <c r="T453" s="37"/>
      <c r="U453" s="37"/>
      <c r="V453" s="59"/>
      <c r="W453" s="49"/>
      <c r="X453" s="37"/>
      <c r="Y453" s="37"/>
      <c r="Z453" s="37"/>
      <c r="AA453" s="37"/>
      <c r="AB453" s="37"/>
      <c r="AC453" s="37"/>
      <c r="AD453" s="37"/>
      <c r="AE453" s="37"/>
      <c r="AF453" s="37"/>
      <c r="AG453" s="59"/>
      <c r="AH453" s="49"/>
      <c r="AI453" s="37"/>
      <c r="AJ453" s="37"/>
      <c r="AK453" s="37"/>
      <c r="AL453" s="37"/>
      <c r="AM453" s="37"/>
      <c r="AN453" s="37"/>
      <c r="AO453" s="37"/>
      <c r="AP453" s="37"/>
      <c r="AQ453" s="37"/>
      <c r="AR453" s="37"/>
      <c r="AS453" s="37"/>
      <c r="AT453" s="37"/>
      <c r="AU453" s="37"/>
      <c r="AV453" s="59"/>
      <c r="AW453" s="1" t="str">
        <f>_xlfn.CONCAT(tbl_Ben_Info[[#This Row],[First Name]]," ",tbl_Ben_Info[[#This Row],[Father Name]]," ",tbl_Ben_Info[[#This Row],[Family Name]])</f>
        <v xml:space="preserve">  </v>
      </c>
    </row>
    <row r="454" spans="2:49" ht="25.15" customHeight="1" x14ac:dyDescent="0.25">
      <c r="B454" s="49">
        <v>449</v>
      </c>
      <c r="C454" s="1" t="str">
        <f>_xlfn.CONCAT("181-702-",IF(tbl_Ben_Info[[#This Row],[SN]]&lt;10,"00"&amp;tbl_Ben_Info[[#This Row],[SN]],IF(tbl_Ben_Info[[#This Row],[SN]]&lt;100,"0"&amp;tbl_Ben_Info[[#This Row],[SN]],tbl_Ben_Info[[#This Row],[SN]])))</f>
        <v>181-702-449</v>
      </c>
      <c r="D454" s="37"/>
      <c r="E454" s="40"/>
      <c r="F454" s="41"/>
      <c r="G454" s="42"/>
      <c r="H454" s="43"/>
      <c r="I454" s="73"/>
      <c r="J454" s="43"/>
      <c r="K454" s="43"/>
      <c r="L454" s="43"/>
      <c r="M454" s="43"/>
      <c r="N454" s="111"/>
      <c r="O454" s="43"/>
      <c r="P454" s="48"/>
      <c r="Q454" s="49"/>
      <c r="R454" s="37"/>
      <c r="S454" s="37"/>
      <c r="T454" s="37"/>
      <c r="U454" s="37"/>
      <c r="V454" s="59"/>
      <c r="W454" s="49"/>
      <c r="X454" s="37"/>
      <c r="Y454" s="37"/>
      <c r="Z454" s="37"/>
      <c r="AA454" s="37"/>
      <c r="AB454" s="37"/>
      <c r="AC454" s="37"/>
      <c r="AD454" s="37"/>
      <c r="AE454" s="37"/>
      <c r="AF454" s="37"/>
      <c r="AG454" s="59"/>
      <c r="AH454" s="49"/>
      <c r="AI454" s="37"/>
      <c r="AJ454" s="37"/>
      <c r="AK454" s="37"/>
      <c r="AL454" s="37"/>
      <c r="AM454" s="37"/>
      <c r="AN454" s="37"/>
      <c r="AO454" s="37"/>
      <c r="AP454" s="37"/>
      <c r="AQ454" s="37"/>
      <c r="AR454" s="37"/>
      <c r="AS454" s="37"/>
      <c r="AT454" s="37"/>
      <c r="AU454" s="37"/>
      <c r="AV454" s="59"/>
      <c r="AW454" s="1" t="str">
        <f>_xlfn.CONCAT(tbl_Ben_Info[[#This Row],[First Name]]," ",tbl_Ben_Info[[#This Row],[Father Name]]," ",tbl_Ben_Info[[#This Row],[Family Name]])</f>
        <v xml:space="preserve">  </v>
      </c>
    </row>
    <row r="455" spans="2:49" ht="25.15" customHeight="1" x14ac:dyDescent="0.25">
      <c r="B455" s="49">
        <v>450</v>
      </c>
      <c r="C455" s="1" t="str">
        <f>_xlfn.CONCAT("181-702-",IF(tbl_Ben_Info[[#This Row],[SN]]&lt;10,"00"&amp;tbl_Ben_Info[[#This Row],[SN]],IF(tbl_Ben_Info[[#This Row],[SN]]&lt;100,"0"&amp;tbl_Ben_Info[[#This Row],[SN]],tbl_Ben_Info[[#This Row],[SN]])))</f>
        <v>181-702-450</v>
      </c>
      <c r="D455" s="37"/>
      <c r="E455" s="40"/>
      <c r="F455" s="41"/>
      <c r="G455" s="42"/>
      <c r="H455" s="43"/>
      <c r="I455" s="73"/>
      <c r="J455" s="43"/>
      <c r="K455" s="43"/>
      <c r="L455" s="43"/>
      <c r="M455" s="43"/>
      <c r="N455" s="111"/>
      <c r="O455" s="43"/>
      <c r="P455" s="48"/>
      <c r="Q455" s="49"/>
      <c r="R455" s="37"/>
      <c r="S455" s="37"/>
      <c r="T455" s="37"/>
      <c r="U455" s="37"/>
      <c r="V455" s="59"/>
      <c r="W455" s="49"/>
      <c r="X455" s="37"/>
      <c r="Y455" s="37"/>
      <c r="Z455" s="37"/>
      <c r="AA455" s="37"/>
      <c r="AB455" s="37"/>
      <c r="AC455" s="37"/>
      <c r="AD455" s="37"/>
      <c r="AE455" s="37"/>
      <c r="AF455" s="37"/>
      <c r="AG455" s="59"/>
      <c r="AH455" s="49"/>
      <c r="AI455" s="37"/>
      <c r="AJ455" s="37"/>
      <c r="AK455" s="37"/>
      <c r="AL455" s="37"/>
      <c r="AM455" s="37"/>
      <c r="AN455" s="37"/>
      <c r="AO455" s="37"/>
      <c r="AP455" s="37"/>
      <c r="AQ455" s="37"/>
      <c r="AR455" s="37"/>
      <c r="AS455" s="37"/>
      <c r="AT455" s="37"/>
      <c r="AU455" s="37"/>
      <c r="AV455" s="59"/>
      <c r="AW455" s="1" t="str">
        <f>_xlfn.CONCAT(tbl_Ben_Info[[#This Row],[First Name]]," ",tbl_Ben_Info[[#This Row],[Father Name]]," ",tbl_Ben_Info[[#This Row],[Family Name]])</f>
        <v xml:space="preserve">  </v>
      </c>
    </row>
    <row r="456" spans="2:49" ht="25.15" customHeight="1" x14ac:dyDescent="0.25">
      <c r="B456" s="49">
        <v>451</v>
      </c>
      <c r="C456" s="1" t="str">
        <f>_xlfn.CONCAT("181-702-",IF(tbl_Ben_Info[[#This Row],[SN]]&lt;10,"00"&amp;tbl_Ben_Info[[#This Row],[SN]],IF(tbl_Ben_Info[[#This Row],[SN]]&lt;100,"0"&amp;tbl_Ben_Info[[#This Row],[SN]],tbl_Ben_Info[[#This Row],[SN]])))</f>
        <v>181-702-451</v>
      </c>
      <c r="D456" s="37"/>
      <c r="E456" s="40"/>
      <c r="F456" s="41"/>
      <c r="G456" s="42"/>
      <c r="H456" s="43"/>
      <c r="I456" s="73"/>
      <c r="J456" s="43"/>
      <c r="K456" s="43"/>
      <c r="L456" s="43"/>
      <c r="M456" s="43"/>
      <c r="N456" s="111"/>
      <c r="O456" s="43"/>
      <c r="P456" s="48"/>
      <c r="Q456" s="49"/>
      <c r="R456" s="37"/>
      <c r="S456" s="37"/>
      <c r="T456" s="37"/>
      <c r="U456" s="37"/>
      <c r="V456" s="59"/>
      <c r="W456" s="49"/>
      <c r="X456" s="37"/>
      <c r="Y456" s="37"/>
      <c r="Z456" s="37"/>
      <c r="AA456" s="37"/>
      <c r="AB456" s="37"/>
      <c r="AC456" s="37"/>
      <c r="AD456" s="37"/>
      <c r="AE456" s="37"/>
      <c r="AF456" s="37"/>
      <c r="AG456" s="59"/>
      <c r="AH456" s="49"/>
      <c r="AI456" s="37"/>
      <c r="AJ456" s="37"/>
      <c r="AK456" s="37"/>
      <c r="AL456" s="37"/>
      <c r="AM456" s="37"/>
      <c r="AN456" s="37"/>
      <c r="AO456" s="37"/>
      <c r="AP456" s="37"/>
      <c r="AQ456" s="37"/>
      <c r="AR456" s="37"/>
      <c r="AS456" s="37"/>
      <c r="AT456" s="37"/>
      <c r="AU456" s="37"/>
      <c r="AV456" s="59"/>
      <c r="AW456" s="1" t="str">
        <f>_xlfn.CONCAT(tbl_Ben_Info[[#This Row],[First Name]]," ",tbl_Ben_Info[[#This Row],[Father Name]]," ",tbl_Ben_Info[[#This Row],[Family Name]])</f>
        <v xml:space="preserve">  </v>
      </c>
    </row>
    <row r="457" spans="2:49" ht="25.15" customHeight="1" x14ac:dyDescent="0.25">
      <c r="B457" s="49">
        <v>452</v>
      </c>
      <c r="C457" s="1" t="str">
        <f>_xlfn.CONCAT("181-702-",IF(tbl_Ben_Info[[#This Row],[SN]]&lt;10,"00"&amp;tbl_Ben_Info[[#This Row],[SN]],IF(tbl_Ben_Info[[#This Row],[SN]]&lt;100,"0"&amp;tbl_Ben_Info[[#This Row],[SN]],tbl_Ben_Info[[#This Row],[SN]])))</f>
        <v>181-702-452</v>
      </c>
      <c r="D457" s="37"/>
      <c r="E457" s="40"/>
      <c r="F457" s="41"/>
      <c r="G457" s="42"/>
      <c r="H457" s="43"/>
      <c r="I457" s="73"/>
      <c r="J457" s="43"/>
      <c r="K457" s="43"/>
      <c r="L457" s="43"/>
      <c r="M457" s="43"/>
      <c r="N457" s="111"/>
      <c r="O457" s="43"/>
      <c r="P457" s="48"/>
      <c r="Q457" s="49"/>
      <c r="R457" s="37"/>
      <c r="S457" s="37"/>
      <c r="T457" s="37"/>
      <c r="U457" s="37"/>
      <c r="V457" s="59"/>
      <c r="W457" s="49"/>
      <c r="X457" s="37"/>
      <c r="Y457" s="37"/>
      <c r="Z457" s="37"/>
      <c r="AA457" s="37"/>
      <c r="AB457" s="37"/>
      <c r="AC457" s="37"/>
      <c r="AD457" s="37"/>
      <c r="AE457" s="37"/>
      <c r="AF457" s="37"/>
      <c r="AG457" s="59"/>
      <c r="AH457" s="49"/>
      <c r="AI457" s="37"/>
      <c r="AJ457" s="37"/>
      <c r="AK457" s="37"/>
      <c r="AL457" s="37"/>
      <c r="AM457" s="37"/>
      <c r="AN457" s="37"/>
      <c r="AO457" s="37"/>
      <c r="AP457" s="37"/>
      <c r="AQ457" s="37"/>
      <c r="AR457" s="37"/>
      <c r="AS457" s="37"/>
      <c r="AT457" s="37"/>
      <c r="AU457" s="37"/>
      <c r="AV457" s="59"/>
      <c r="AW457" s="1" t="str">
        <f>_xlfn.CONCAT(tbl_Ben_Info[[#This Row],[First Name]]," ",tbl_Ben_Info[[#This Row],[Father Name]]," ",tbl_Ben_Info[[#This Row],[Family Name]])</f>
        <v xml:space="preserve">  </v>
      </c>
    </row>
    <row r="458" spans="2:49" ht="25.15" customHeight="1" x14ac:dyDescent="0.25">
      <c r="B458" s="49">
        <v>453</v>
      </c>
      <c r="C458" s="1" t="str">
        <f>_xlfn.CONCAT("181-702-",IF(tbl_Ben_Info[[#This Row],[SN]]&lt;10,"00"&amp;tbl_Ben_Info[[#This Row],[SN]],IF(tbl_Ben_Info[[#This Row],[SN]]&lt;100,"0"&amp;tbl_Ben_Info[[#This Row],[SN]],tbl_Ben_Info[[#This Row],[SN]])))</f>
        <v>181-702-453</v>
      </c>
      <c r="D458" s="37"/>
      <c r="E458" s="40"/>
      <c r="F458" s="41"/>
      <c r="G458" s="42"/>
      <c r="H458" s="43"/>
      <c r="I458" s="73"/>
      <c r="J458" s="43"/>
      <c r="K458" s="43"/>
      <c r="L458" s="43"/>
      <c r="M458" s="43"/>
      <c r="N458" s="111"/>
      <c r="O458" s="43"/>
      <c r="P458" s="48"/>
      <c r="Q458" s="49"/>
      <c r="R458" s="37"/>
      <c r="S458" s="37"/>
      <c r="T458" s="37"/>
      <c r="U458" s="37"/>
      <c r="V458" s="59"/>
      <c r="W458" s="49"/>
      <c r="X458" s="37"/>
      <c r="Y458" s="37"/>
      <c r="Z458" s="37"/>
      <c r="AA458" s="37"/>
      <c r="AB458" s="37"/>
      <c r="AC458" s="37"/>
      <c r="AD458" s="37"/>
      <c r="AE458" s="37"/>
      <c r="AF458" s="37"/>
      <c r="AG458" s="59"/>
      <c r="AH458" s="49"/>
      <c r="AI458" s="37"/>
      <c r="AJ458" s="37"/>
      <c r="AK458" s="37"/>
      <c r="AL458" s="37"/>
      <c r="AM458" s="37"/>
      <c r="AN458" s="37"/>
      <c r="AO458" s="37"/>
      <c r="AP458" s="37"/>
      <c r="AQ458" s="37"/>
      <c r="AR458" s="37"/>
      <c r="AS458" s="37"/>
      <c r="AT458" s="37"/>
      <c r="AU458" s="37"/>
      <c r="AV458" s="59"/>
      <c r="AW458" s="1" t="str">
        <f>_xlfn.CONCAT(tbl_Ben_Info[[#This Row],[First Name]]," ",tbl_Ben_Info[[#This Row],[Father Name]]," ",tbl_Ben_Info[[#This Row],[Family Name]])</f>
        <v xml:space="preserve">  </v>
      </c>
    </row>
    <row r="459" spans="2:49" ht="25.15" customHeight="1" x14ac:dyDescent="0.25">
      <c r="B459" s="49">
        <v>454</v>
      </c>
      <c r="C459" s="1" t="str">
        <f>_xlfn.CONCAT("181-702-",IF(tbl_Ben_Info[[#This Row],[SN]]&lt;10,"00"&amp;tbl_Ben_Info[[#This Row],[SN]],IF(tbl_Ben_Info[[#This Row],[SN]]&lt;100,"0"&amp;tbl_Ben_Info[[#This Row],[SN]],tbl_Ben_Info[[#This Row],[SN]])))</f>
        <v>181-702-454</v>
      </c>
      <c r="D459" s="37"/>
      <c r="E459" s="40"/>
      <c r="F459" s="41"/>
      <c r="G459" s="42"/>
      <c r="H459" s="43"/>
      <c r="I459" s="73"/>
      <c r="J459" s="43"/>
      <c r="K459" s="43"/>
      <c r="L459" s="43"/>
      <c r="M459" s="43"/>
      <c r="N459" s="111"/>
      <c r="O459" s="43"/>
      <c r="P459" s="48"/>
      <c r="Q459" s="49"/>
      <c r="R459" s="37"/>
      <c r="S459" s="37"/>
      <c r="T459" s="37"/>
      <c r="U459" s="37"/>
      <c r="V459" s="59"/>
      <c r="W459" s="49"/>
      <c r="X459" s="37"/>
      <c r="Y459" s="37"/>
      <c r="Z459" s="37"/>
      <c r="AA459" s="37"/>
      <c r="AB459" s="37"/>
      <c r="AC459" s="37"/>
      <c r="AD459" s="37"/>
      <c r="AE459" s="37"/>
      <c r="AF459" s="37"/>
      <c r="AG459" s="59"/>
      <c r="AH459" s="49"/>
      <c r="AI459" s="37"/>
      <c r="AJ459" s="37"/>
      <c r="AK459" s="37"/>
      <c r="AL459" s="37"/>
      <c r="AM459" s="37"/>
      <c r="AN459" s="37"/>
      <c r="AO459" s="37"/>
      <c r="AP459" s="37"/>
      <c r="AQ459" s="37"/>
      <c r="AR459" s="37"/>
      <c r="AS459" s="37"/>
      <c r="AT459" s="37"/>
      <c r="AU459" s="37"/>
      <c r="AV459" s="59"/>
      <c r="AW459" s="1" t="str">
        <f>_xlfn.CONCAT(tbl_Ben_Info[[#This Row],[First Name]]," ",tbl_Ben_Info[[#This Row],[Father Name]]," ",tbl_Ben_Info[[#This Row],[Family Name]])</f>
        <v xml:space="preserve">  </v>
      </c>
    </row>
    <row r="460" spans="2:49" ht="25.15" customHeight="1" x14ac:dyDescent="0.25">
      <c r="B460" s="49">
        <v>455</v>
      </c>
      <c r="C460" s="1" t="str">
        <f>_xlfn.CONCAT("181-702-",IF(tbl_Ben_Info[[#This Row],[SN]]&lt;10,"00"&amp;tbl_Ben_Info[[#This Row],[SN]],IF(tbl_Ben_Info[[#This Row],[SN]]&lt;100,"0"&amp;tbl_Ben_Info[[#This Row],[SN]],tbl_Ben_Info[[#This Row],[SN]])))</f>
        <v>181-702-455</v>
      </c>
      <c r="D460" s="37"/>
      <c r="E460" s="40"/>
      <c r="F460" s="41"/>
      <c r="G460" s="42"/>
      <c r="H460" s="43"/>
      <c r="I460" s="73"/>
      <c r="J460" s="43"/>
      <c r="K460" s="43"/>
      <c r="L460" s="43"/>
      <c r="M460" s="43"/>
      <c r="N460" s="111"/>
      <c r="O460" s="43"/>
      <c r="P460" s="48"/>
      <c r="Q460" s="49"/>
      <c r="R460" s="37"/>
      <c r="S460" s="37"/>
      <c r="T460" s="37"/>
      <c r="U460" s="37"/>
      <c r="V460" s="59"/>
      <c r="W460" s="49"/>
      <c r="X460" s="37"/>
      <c r="Y460" s="37"/>
      <c r="Z460" s="37"/>
      <c r="AA460" s="37"/>
      <c r="AB460" s="37"/>
      <c r="AC460" s="37"/>
      <c r="AD460" s="37"/>
      <c r="AE460" s="37"/>
      <c r="AF460" s="37"/>
      <c r="AG460" s="59"/>
      <c r="AH460" s="49"/>
      <c r="AI460" s="37"/>
      <c r="AJ460" s="37"/>
      <c r="AK460" s="37"/>
      <c r="AL460" s="37"/>
      <c r="AM460" s="37"/>
      <c r="AN460" s="37"/>
      <c r="AO460" s="37"/>
      <c r="AP460" s="37"/>
      <c r="AQ460" s="37"/>
      <c r="AR460" s="37"/>
      <c r="AS460" s="37"/>
      <c r="AT460" s="37"/>
      <c r="AU460" s="37"/>
      <c r="AV460" s="59"/>
      <c r="AW460" s="1" t="str">
        <f>_xlfn.CONCAT(tbl_Ben_Info[[#This Row],[First Name]]," ",tbl_Ben_Info[[#This Row],[Father Name]]," ",tbl_Ben_Info[[#This Row],[Family Name]])</f>
        <v xml:space="preserve">  </v>
      </c>
    </row>
    <row r="461" spans="2:49" ht="25.15" customHeight="1" x14ac:dyDescent="0.25">
      <c r="B461" s="49">
        <v>456</v>
      </c>
      <c r="C461" s="1" t="str">
        <f>_xlfn.CONCAT("181-702-",IF(tbl_Ben_Info[[#This Row],[SN]]&lt;10,"00"&amp;tbl_Ben_Info[[#This Row],[SN]],IF(tbl_Ben_Info[[#This Row],[SN]]&lt;100,"0"&amp;tbl_Ben_Info[[#This Row],[SN]],tbl_Ben_Info[[#This Row],[SN]])))</f>
        <v>181-702-456</v>
      </c>
      <c r="D461" s="37"/>
      <c r="E461" s="40"/>
      <c r="F461" s="41"/>
      <c r="G461" s="42"/>
      <c r="H461" s="43"/>
      <c r="I461" s="73"/>
      <c r="J461" s="43"/>
      <c r="K461" s="43"/>
      <c r="L461" s="43"/>
      <c r="M461" s="43"/>
      <c r="N461" s="111"/>
      <c r="O461" s="43"/>
      <c r="P461" s="48"/>
      <c r="Q461" s="49"/>
      <c r="R461" s="37"/>
      <c r="S461" s="37"/>
      <c r="T461" s="37"/>
      <c r="U461" s="37"/>
      <c r="V461" s="59"/>
      <c r="W461" s="49"/>
      <c r="X461" s="37"/>
      <c r="Y461" s="37"/>
      <c r="Z461" s="37"/>
      <c r="AA461" s="37"/>
      <c r="AB461" s="37"/>
      <c r="AC461" s="37"/>
      <c r="AD461" s="37"/>
      <c r="AE461" s="37"/>
      <c r="AF461" s="37"/>
      <c r="AG461" s="59"/>
      <c r="AH461" s="49"/>
      <c r="AI461" s="37"/>
      <c r="AJ461" s="37"/>
      <c r="AK461" s="37"/>
      <c r="AL461" s="37"/>
      <c r="AM461" s="37"/>
      <c r="AN461" s="37"/>
      <c r="AO461" s="37"/>
      <c r="AP461" s="37"/>
      <c r="AQ461" s="37"/>
      <c r="AR461" s="37"/>
      <c r="AS461" s="37"/>
      <c r="AT461" s="37"/>
      <c r="AU461" s="37"/>
      <c r="AV461" s="59"/>
      <c r="AW461" s="1" t="str">
        <f>_xlfn.CONCAT(tbl_Ben_Info[[#This Row],[First Name]]," ",tbl_Ben_Info[[#This Row],[Father Name]]," ",tbl_Ben_Info[[#This Row],[Family Name]])</f>
        <v xml:space="preserve">  </v>
      </c>
    </row>
    <row r="462" spans="2:49" ht="25.15" customHeight="1" x14ac:dyDescent="0.25">
      <c r="B462" s="49">
        <v>457</v>
      </c>
      <c r="C462" s="1" t="str">
        <f>_xlfn.CONCAT("181-702-",IF(tbl_Ben_Info[[#This Row],[SN]]&lt;10,"00"&amp;tbl_Ben_Info[[#This Row],[SN]],IF(tbl_Ben_Info[[#This Row],[SN]]&lt;100,"0"&amp;tbl_Ben_Info[[#This Row],[SN]],tbl_Ben_Info[[#This Row],[SN]])))</f>
        <v>181-702-457</v>
      </c>
      <c r="D462" s="37"/>
      <c r="E462" s="40"/>
      <c r="F462" s="41"/>
      <c r="G462" s="42"/>
      <c r="H462" s="43"/>
      <c r="I462" s="73"/>
      <c r="J462" s="43"/>
      <c r="K462" s="43"/>
      <c r="L462" s="43"/>
      <c r="M462" s="43"/>
      <c r="N462" s="111"/>
      <c r="O462" s="43"/>
      <c r="P462" s="48"/>
      <c r="Q462" s="49"/>
      <c r="R462" s="37"/>
      <c r="S462" s="37"/>
      <c r="T462" s="37"/>
      <c r="U462" s="37"/>
      <c r="V462" s="59"/>
      <c r="W462" s="49"/>
      <c r="X462" s="37"/>
      <c r="Y462" s="37"/>
      <c r="Z462" s="37"/>
      <c r="AA462" s="37"/>
      <c r="AB462" s="37"/>
      <c r="AC462" s="37"/>
      <c r="AD462" s="37"/>
      <c r="AE462" s="37"/>
      <c r="AF462" s="37"/>
      <c r="AG462" s="59"/>
      <c r="AH462" s="49"/>
      <c r="AI462" s="37"/>
      <c r="AJ462" s="37"/>
      <c r="AK462" s="37"/>
      <c r="AL462" s="37"/>
      <c r="AM462" s="37"/>
      <c r="AN462" s="37"/>
      <c r="AO462" s="37"/>
      <c r="AP462" s="37"/>
      <c r="AQ462" s="37"/>
      <c r="AR462" s="37"/>
      <c r="AS462" s="37"/>
      <c r="AT462" s="37"/>
      <c r="AU462" s="37"/>
      <c r="AV462" s="59"/>
      <c r="AW462" s="1" t="str">
        <f>_xlfn.CONCAT(tbl_Ben_Info[[#This Row],[First Name]]," ",tbl_Ben_Info[[#This Row],[Father Name]]," ",tbl_Ben_Info[[#This Row],[Family Name]])</f>
        <v xml:space="preserve">  </v>
      </c>
    </row>
    <row r="463" spans="2:49" ht="25.15" customHeight="1" x14ac:dyDescent="0.25">
      <c r="B463" s="49">
        <v>458</v>
      </c>
      <c r="C463" s="1" t="str">
        <f>_xlfn.CONCAT("181-702-",IF(tbl_Ben_Info[[#This Row],[SN]]&lt;10,"00"&amp;tbl_Ben_Info[[#This Row],[SN]],IF(tbl_Ben_Info[[#This Row],[SN]]&lt;100,"0"&amp;tbl_Ben_Info[[#This Row],[SN]],tbl_Ben_Info[[#This Row],[SN]])))</f>
        <v>181-702-458</v>
      </c>
      <c r="D463" s="37"/>
      <c r="E463" s="40"/>
      <c r="F463" s="41"/>
      <c r="G463" s="42"/>
      <c r="H463" s="43"/>
      <c r="I463" s="73"/>
      <c r="J463" s="43"/>
      <c r="K463" s="43"/>
      <c r="L463" s="43"/>
      <c r="M463" s="43"/>
      <c r="N463" s="111"/>
      <c r="O463" s="43"/>
      <c r="P463" s="48"/>
      <c r="Q463" s="49"/>
      <c r="R463" s="37"/>
      <c r="S463" s="37"/>
      <c r="T463" s="37"/>
      <c r="U463" s="37"/>
      <c r="V463" s="59"/>
      <c r="W463" s="49"/>
      <c r="X463" s="37"/>
      <c r="Y463" s="37"/>
      <c r="Z463" s="37"/>
      <c r="AA463" s="37"/>
      <c r="AB463" s="37"/>
      <c r="AC463" s="37"/>
      <c r="AD463" s="37"/>
      <c r="AE463" s="37"/>
      <c r="AF463" s="37"/>
      <c r="AG463" s="59"/>
      <c r="AH463" s="49"/>
      <c r="AI463" s="37"/>
      <c r="AJ463" s="37"/>
      <c r="AK463" s="37"/>
      <c r="AL463" s="37"/>
      <c r="AM463" s="37"/>
      <c r="AN463" s="37"/>
      <c r="AO463" s="37"/>
      <c r="AP463" s="37"/>
      <c r="AQ463" s="37"/>
      <c r="AR463" s="37"/>
      <c r="AS463" s="37"/>
      <c r="AT463" s="37"/>
      <c r="AU463" s="37"/>
      <c r="AV463" s="59"/>
      <c r="AW463" s="1" t="str">
        <f>_xlfn.CONCAT(tbl_Ben_Info[[#This Row],[First Name]]," ",tbl_Ben_Info[[#This Row],[Father Name]]," ",tbl_Ben_Info[[#This Row],[Family Name]])</f>
        <v xml:space="preserve">  </v>
      </c>
    </row>
    <row r="464" spans="2:49" ht="25.15" customHeight="1" x14ac:dyDescent="0.25">
      <c r="B464" s="49">
        <v>459</v>
      </c>
      <c r="C464" s="1" t="str">
        <f>_xlfn.CONCAT("181-702-",IF(tbl_Ben_Info[[#This Row],[SN]]&lt;10,"00"&amp;tbl_Ben_Info[[#This Row],[SN]],IF(tbl_Ben_Info[[#This Row],[SN]]&lt;100,"0"&amp;tbl_Ben_Info[[#This Row],[SN]],tbl_Ben_Info[[#This Row],[SN]])))</f>
        <v>181-702-459</v>
      </c>
      <c r="D464" s="37"/>
      <c r="E464" s="40"/>
      <c r="F464" s="41"/>
      <c r="G464" s="42"/>
      <c r="H464" s="43"/>
      <c r="I464" s="73"/>
      <c r="J464" s="43"/>
      <c r="K464" s="43"/>
      <c r="L464" s="43"/>
      <c r="M464" s="43"/>
      <c r="N464" s="111"/>
      <c r="O464" s="43"/>
      <c r="P464" s="48"/>
      <c r="Q464" s="49"/>
      <c r="R464" s="37"/>
      <c r="S464" s="37"/>
      <c r="T464" s="37"/>
      <c r="U464" s="37"/>
      <c r="V464" s="59"/>
      <c r="W464" s="49"/>
      <c r="X464" s="37"/>
      <c r="Y464" s="37"/>
      <c r="Z464" s="37"/>
      <c r="AA464" s="37"/>
      <c r="AB464" s="37"/>
      <c r="AC464" s="37"/>
      <c r="AD464" s="37"/>
      <c r="AE464" s="37"/>
      <c r="AF464" s="37"/>
      <c r="AG464" s="59"/>
      <c r="AH464" s="49"/>
      <c r="AI464" s="37"/>
      <c r="AJ464" s="37"/>
      <c r="AK464" s="37"/>
      <c r="AL464" s="37"/>
      <c r="AM464" s="37"/>
      <c r="AN464" s="37"/>
      <c r="AO464" s="37"/>
      <c r="AP464" s="37"/>
      <c r="AQ464" s="37"/>
      <c r="AR464" s="37"/>
      <c r="AS464" s="37"/>
      <c r="AT464" s="37"/>
      <c r="AU464" s="37"/>
      <c r="AV464" s="59"/>
      <c r="AW464" s="1" t="str">
        <f>_xlfn.CONCAT(tbl_Ben_Info[[#This Row],[First Name]]," ",tbl_Ben_Info[[#This Row],[Father Name]]," ",tbl_Ben_Info[[#This Row],[Family Name]])</f>
        <v xml:space="preserve">  </v>
      </c>
    </row>
    <row r="465" spans="2:49" ht="25.15" customHeight="1" x14ac:dyDescent="0.25">
      <c r="B465" s="49">
        <v>460</v>
      </c>
      <c r="C465" s="1" t="str">
        <f>_xlfn.CONCAT("181-702-",IF(tbl_Ben_Info[[#This Row],[SN]]&lt;10,"00"&amp;tbl_Ben_Info[[#This Row],[SN]],IF(tbl_Ben_Info[[#This Row],[SN]]&lt;100,"0"&amp;tbl_Ben_Info[[#This Row],[SN]],tbl_Ben_Info[[#This Row],[SN]])))</f>
        <v>181-702-460</v>
      </c>
      <c r="D465" s="37"/>
      <c r="E465" s="40"/>
      <c r="F465" s="41"/>
      <c r="G465" s="42"/>
      <c r="H465" s="43"/>
      <c r="I465" s="73"/>
      <c r="J465" s="43"/>
      <c r="K465" s="43"/>
      <c r="L465" s="43"/>
      <c r="M465" s="43"/>
      <c r="N465" s="111"/>
      <c r="O465" s="43"/>
      <c r="P465" s="48"/>
      <c r="Q465" s="49"/>
      <c r="R465" s="37"/>
      <c r="S465" s="37"/>
      <c r="T465" s="37"/>
      <c r="U465" s="37"/>
      <c r="V465" s="59"/>
      <c r="W465" s="49"/>
      <c r="X465" s="37"/>
      <c r="Y465" s="37"/>
      <c r="Z465" s="37"/>
      <c r="AA465" s="37"/>
      <c r="AB465" s="37"/>
      <c r="AC465" s="37"/>
      <c r="AD465" s="37"/>
      <c r="AE465" s="37"/>
      <c r="AF465" s="37"/>
      <c r="AG465" s="59"/>
      <c r="AH465" s="49"/>
      <c r="AI465" s="37"/>
      <c r="AJ465" s="37"/>
      <c r="AK465" s="37"/>
      <c r="AL465" s="37"/>
      <c r="AM465" s="37"/>
      <c r="AN465" s="37"/>
      <c r="AO465" s="37"/>
      <c r="AP465" s="37"/>
      <c r="AQ465" s="37"/>
      <c r="AR465" s="37"/>
      <c r="AS465" s="37"/>
      <c r="AT465" s="37"/>
      <c r="AU465" s="37"/>
      <c r="AV465" s="59"/>
      <c r="AW465" s="1" t="str">
        <f>_xlfn.CONCAT(tbl_Ben_Info[[#This Row],[First Name]]," ",tbl_Ben_Info[[#This Row],[Father Name]]," ",tbl_Ben_Info[[#This Row],[Family Name]])</f>
        <v xml:space="preserve">  </v>
      </c>
    </row>
    <row r="466" spans="2:49" ht="25.15" customHeight="1" x14ac:dyDescent="0.25">
      <c r="B466" s="49">
        <v>461</v>
      </c>
      <c r="C466" s="1" t="str">
        <f>_xlfn.CONCAT("181-702-",IF(tbl_Ben_Info[[#This Row],[SN]]&lt;10,"00"&amp;tbl_Ben_Info[[#This Row],[SN]],IF(tbl_Ben_Info[[#This Row],[SN]]&lt;100,"0"&amp;tbl_Ben_Info[[#This Row],[SN]],tbl_Ben_Info[[#This Row],[SN]])))</f>
        <v>181-702-461</v>
      </c>
      <c r="D466" s="37"/>
      <c r="E466" s="40"/>
      <c r="F466" s="41"/>
      <c r="G466" s="42"/>
      <c r="H466" s="43"/>
      <c r="I466" s="73"/>
      <c r="J466" s="43"/>
      <c r="K466" s="43"/>
      <c r="L466" s="43"/>
      <c r="M466" s="43"/>
      <c r="N466" s="111"/>
      <c r="O466" s="43"/>
      <c r="P466" s="48"/>
      <c r="Q466" s="49"/>
      <c r="R466" s="37"/>
      <c r="S466" s="37"/>
      <c r="T466" s="37"/>
      <c r="U466" s="37"/>
      <c r="V466" s="59"/>
      <c r="W466" s="49"/>
      <c r="X466" s="37"/>
      <c r="Y466" s="37"/>
      <c r="Z466" s="37"/>
      <c r="AA466" s="37"/>
      <c r="AB466" s="37"/>
      <c r="AC466" s="37"/>
      <c r="AD466" s="37"/>
      <c r="AE466" s="37"/>
      <c r="AF466" s="37"/>
      <c r="AG466" s="59"/>
      <c r="AH466" s="49"/>
      <c r="AI466" s="37"/>
      <c r="AJ466" s="37"/>
      <c r="AK466" s="37"/>
      <c r="AL466" s="37"/>
      <c r="AM466" s="37"/>
      <c r="AN466" s="37"/>
      <c r="AO466" s="37"/>
      <c r="AP466" s="37"/>
      <c r="AQ466" s="37"/>
      <c r="AR466" s="37"/>
      <c r="AS466" s="37"/>
      <c r="AT466" s="37"/>
      <c r="AU466" s="37"/>
      <c r="AV466" s="59"/>
      <c r="AW466" s="1" t="str">
        <f>_xlfn.CONCAT(tbl_Ben_Info[[#This Row],[First Name]]," ",tbl_Ben_Info[[#This Row],[Father Name]]," ",tbl_Ben_Info[[#This Row],[Family Name]])</f>
        <v xml:space="preserve">  </v>
      </c>
    </row>
    <row r="467" spans="2:49" ht="25.15" customHeight="1" x14ac:dyDescent="0.25">
      <c r="B467" s="49">
        <v>462</v>
      </c>
      <c r="C467" s="1" t="str">
        <f>_xlfn.CONCAT("181-702-",IF(tbl_Ben_Info[[#This Row],[SN]]&lt;10,"00"&amp;tbl_Ben_Info[[#This Row],[SN]],IF(tbl_Ben_Info[[#This Row],[SN]]&lt;100,"0"&amp;tbl_Ben_Info[[#This Row],[SN]],tbl_Ben_Info[[#This Row],[SN]])))</f>
        <v>181-702-462</v>
      </c>
      <c r="D467" s="37"/>
      <c r="E467" s="40"/>
      <c r="F467" s="41"/>
      <c r="G467" s="42"/>
      <c r="H467" s="43"/>
      <c r="I467" s="73"/>
      <c r="J467" s="43"/>
      <c r="K467" s="43"/>
      <c r="L467" s="43"/>
      <c r="M467" s="43"/>
      <c r="N467" s="111"/>
      <c r="O467" s="43"/>
      <c r="P467" s="48"/>
      <c r="Q467" s="49"/>
      <c r="R467" s="37"/>
      <c r="S467" s="37"/>
      <c r="T467" s="37"/>
      <c r="U467" s="37"/>
      <c r="V467" s="59"/>
      <c r="W467" s="49"/>
      <c r="X467" s="37"/>
      <c r="Y467" s="37"/>
      <c r="Z467" s="37"/>
      <c r="AA467" s="37"/>
      <c r="AB467" s="37"/>
      <c r="AC467" s="37"/>
      <c r="AD467" s="37"/>
      <c r="AE467" s="37"/>
      <c r="AF467" s="37"/>
      <c r="AG467" s="59"/>
      <c r="AH467" s="49"/>
      <c r="AI467" s="37"/>
      <c r="AJ467" s="37"/>
      <c r="AK467" s="37"/>
      <c r="AL467" s="37"/>
      <c r="AM467" s="37"/>
      <c r="AN467" s="37"/>
      <c r="AO467" s="37"/>
      <c r="AP467" s="37"/>
      <c r="AQ467" s="37"/>
      <c r="AR467" s="37"/>
      <c r="AS467" s="37"/>
      <c r="AT467" s="37"/>
      <c r="AU467" s="37"/>
      <c r="AV467" s="59"/>
      <c r="AW467" s="1" t="str">
        <f>_xlfn.CONCAT(tbl_Ben_Info[[#This Row],[First Name]]," ",tbl_Ben_Info[[#This Row],[Father Name]]," ",tbl_Ben_Info[[#This Row],[Family Name]])</f>
        <v xml:space="preserve">  </v>
      </c>
    </row>
    <row r="468" spans="2:49" ht="25.15" customHeight="1" x14ac:dyDescent="0.25">
      <c r="B468" s="49">
        <v>463</v>
      </c>
      <c r="C468" s="1" t="str">
        <f>_xlfn.CONCAT("181-702-",IF(tbl_Ben_Info[[#This Row],[SN]]&lt;10,"00"&amp;tbl_Ben_Info[[#This Row],[SN]],IF(tbl_Ben_Info[[#This Row],[SN]]&lt;100,"0"&amp;tbl_Ben_Info[[#This Row],[SN]],tbl_Ben_Info[[#This Row],[SN]])))</f>
        <v>181-702-463</v>
      </c>
      <c r="D468" s="37"/>
      <c r="E468" s="40"/>
      <c r="F468" s="41"/>
      <c r="G468" s="42"/>
      <c r="H468" s="43"/>
      <c r="I468" s="73"/>
      <c r="J468" s="43"/>
      <c r="K468" s="43"/>
      <c r="L468" s="43"/>
      <c r="M468" s="43"/>
      <c r="N468" s="111"/>
      <c r="O468" s="43"/>
      <c r="P468" s="48"/>
      <c r="Q468" s="49"/>
      <c r="R468" s="37"/>
      <c r="S468" s="37"/>
      <c r="T468" s="37"/>
      <c r="U468" s="37"/>
      <c r="V468" s="59"/>
      <c r="W468" s="49"/>
      <c r="X468" s="37"/>
      <c r="Y468" s="37"/>
      <c r="Z468" s="37"/>
      <c r="AA468" s="37"/>
      <c r="AB468" s="37"/>
      <c r="AC468" s="37"/>
      <c r="AD468" s="37"/>
      <c r="AE468" s="37"/>
      <c r="AF468" s="37"/>
      <c r="AG468" s="59"/>
      <c r="AH468" s="49"/>
      <c r="AI468" s="37"/>
      <c r="AJ468" s="37"/>
      <c r="AK468" s="37"/>
      <c r="AL468" s="37"/>
      <c r="AM468" s="37"/>
      <c r="AN468" s="37"/>
      <c r="AO468" s="37"/>
      <c r="AP468" s="37"/>
      <c r="AQ468" s="37"/>
      <c r="AR468" s="37"/>
      <c r="AS468" s="37"/>
      <c r="AT468" s="37"/>
      <c r="AU468" s="37"/>
      <c r="AV468" s="59"/>
      <c r="AW468" s="1" t="str">
        <f>_xlfn.CONCAT(tbl_Ben_Info[[#This Row],[First Name]]," ",tbl_Ben_Info[[#This Row],[Father Name]]," ",tbl_Ben_Info[[#This Row],[Family Name]])</f>
        <v xml:space="preserve">  </v>
      </c>
    </row>
    <row r="469" spans="2:49" ht="25.15" customHeight="1" x14ac:dyDescent="0.25">
      <c r="B469" s="49">
        <v>464</v>
      </c>
      <c r="C469" s="1" t="str">
        <f>_xlfn.CONCAT("181-702-",IF(tbl_Ben_Info[[#This Row],[SN]]&lt;10,"00"&amp;tbl_Ben_Info[[#This Row],[SN]],IF(tbl_Ben_Info[[#This Row],[SN]]&lt;100,"0"&amp;tbl_Ben_Info[[#This Row],[SN]],tbl_Ben_Info[[#This Row],[SN]])))</f>
        <v>181-702-464</v>
      </c>
      <c r="D469" s="37"/>
      <c r="E469" s="40"/>
      <c r="F469" s="41"/>
      <c r="G469" s="42"/>
      <c r="H469" s="43"/>
      <c r="I469" s="73"/>
      <c r="J469" s="43"/>
      <c r="K469" s="43"/>
      <c r="L469" s="43"/>
      <c r="M469" s="43"/>
      <c r="N469" s="111"/>
      <c r="O469" s="43"/>
      <c r="P469" s="48"/>
      <c r="Q469" s="49"/>
      <c r="R469" s="37"/>
      <c r="S469" s="37"/>
      <c r="T469" s="37"/>
      <c r="U469" s="37"/>
      <c r="V469" s="59"/>
      <c r="W469" s="49"/>
      <c r="X469" s="37"/>
      <c r="Y469" s="37"/>
      <c r="Z469" s="37"/>
      <c r="AA469" s="37"/>
      <c r="AB469" s="37"/>
      <c r="AC469" s="37"/>
      <c r="AD469" s="37"/>
      <c r="AE469" s="37"/>
      <c r="AF469" s="37"/>
      <c r="AG469" s="59"/>
      <c r="AH469" s="49"/>
      <c r="AI469" s="37"/>
      <c r="AJ469" s="37"/>
      <c r="AK469" s="37"/>
      <c r="AL469" s="37"/>
      <c r="AM469" s="37"/>
      <c r="AN469" s="37"/>
      <c r="AO469" s="37"/>
      <c r="AP469" s="37"/>
      <c r="AQ469" s="37"/>
      <c r="AR469" s="37"/>
      <c r="AS469" s="37"/>
      <c r="AT469" s="37"/>
      <c r="AU469" s="37"/>
      <c r="AV469" s="59"/>
      <c r="AW469" s="1" t="str">
        <f>_xlfn.CONCAT(tbl_Ben_Info[[#This Row],[First Name]]," ",tbl_Ben_Info[[#This Row],[Father Name]]," ",tbl_Ben_Info[[#This Row],[Family Name]])</f>
        <v xml:space="preserve">  </v>
      </c>
    </row>
    <row r="470" spans="2:49" ht="25.15" customHeight="1" x14ac:dyDescent="0.25">
      <c r="B470" s="49">
        <v>465</v>
      </c>
      <c r="C470" s="1" t="str">
        <f>_xlfn.CONCAT("181-702-",IF(tbl_Ben_Info[[#This Row],[SN]]&lt;10,"00"&amp;tbl_Ben_Info[[#This Row],[SN]],IF(tbl_Ben_Info[[#This Row],[SN]]&lt;100,"0"&amp;tbl_Ben_Info[[#This Row],[SN]],tbl_Ben_Info[[#This Row],[SN]])))</f>
        <v>181-702-465</v>
      </c>
      <c r="D470" s="37"/>
      <c r="E470" s="40"/>
      <c r="F470" s="41"/>
      <c r="G470" s="42"/>
      <c r="H470" s="43"/>
      <c r="I470" s="73"/>
      <c r="J470" s="43"/>
      <c r="K470" s="43"/>
      <c r="L470" s="43"/>
      <c r="M470" s="43"/>
      <c r="N470" s="111"/>
      <c r="O470" s="43"/>
      <c r="P470" s="48"/>
      <c r="Q470" s="49"/>
      <c r="R470" s="37"/>
      <c r="S470" s="37"/>
      <c r="T470" s="37"/>
      <c r="U470" s="37"/>
      <c r="V470" s="59"/>
      <c r="W470" s="49"/>
      <c r="X470" s="37"/>
      <c r="Y470" s="37"/>
      <c r="Z470" s="37"/>
      <c r="AA470" s="37"/>
      <c r="AB470" s="37"/>
      <c r="AC470" s="37"/>
      <c r="AD470" s="37"/>
      <c r="AE470" s="37"/>
      <c r="AF470" s="37"/>
      <c r="AG470" s="59"/>
      <c r="AH470" s="49"/>
      <c r="AI470" s="37"/>
      <c r="AJ470" s="37"/>
      <c r="AK470" s="37"/>
      <c r="AL470" s="37"/>
      <c r="AM470" s="37"/>
      <c r="AN470" s="37"/>
      <c r="AO470" s="37"/>
      <c r="AP470" s="37"/>
      <c r="AQ470" s="37"/>
      <c r="AR470" s="37"/>
      <c r="AS470" s="37"/>
      <c r="AT470" s="37"/>
      <c r="AU470" s="37"/>
      <c r="AV470" s="59"/>
      <c r="AW470" s="1" t="str">
        <f>_xlfn.CONCAT(tbl_Ben_Info[[#This Row],[First Name]]," ",tbl_Ben_Info[[#This Row],[Father Name]]," ",tbl_Ben_Info[[#This Row],[Family Name]])</f>
        <v xml:space="preserve">  </v>
      </c>
    </row>
    <row r="471" spans="2:49" ht="25.15" customHeight="1" x14ac:dyDescent="0.25">
      <c r="B471" s="49">
        <v>466</v>
      </c>
      <c r="C471" s="1" t="str">
        <f>_xlfn.CONCAT("181-702-",IF(tbl_Ben_Info[[#This Row],[SN]]&lt;10,"00"&amp;tbl_Ben_Info[[#This Row],[SN]],IF(tbl_Ben_Info[[#This Row],[SN]]&lt;100,"0"&amp;tbl_Ben_Info[[#This Row],[SN]],tbl_Ben_Info[[#This Row],[SN]])))</f>
        <v>181-702-466</v>
      </c>
      <c r="D471" s="37"/>
      <c r="E471" s="40"/>
      <c r="F471" s="41"/>
      <c r="G471" s="42"/>
      <c r="H471" s="43"/>
      <c r="I471" s="73"/>
      <c r="J471" s="43"/>
      <c r="K471" s="43"/>
      <c r="L471" s="43"/>
      <c r="M471" s="43"/>
      <c r="N471" s="111"/>
      <c r="O471" s="43"/>
      <c r="P471" s="48"/>
      <c r="Q471" s="49"/>
      <c r="R471" s="37"/>
      <c r="S471" s="37"/>
      <c r="T471" s="37"/>
      <c r="U471" s="37"/>
      <c r="V471" s="59"/>
      <c r="W471" s="49"/>
      <c r="X471" s="37"/>
      <c r="Y471" s="37"/>
      <c r="Z471" s="37"/>
      <c r="AA471" s="37"/>
      <c r="AB471" s="37"/>
      <c r="AC471" s="37"/>
      <c r="AD471" s="37"/>
      <c r="AE471" s="37"/>
      <c r="AF471" s="37"/>
      <c r="AG471" s="59"/>
      <c r="AH471" s="49"/>
      <c r="AI471" s="37"/>
      <c r="AJ471" s="37"/>
      <c r="AK471" s="37"/>
      <c r="AL471" s="37"/>
      <c r="AM471" s="37"/>
      <c r="AN471" s="37"/>
      <c r="AO471" s="37"/>
      <c r="AP471" s="37"/>
      <c r="AQ471" s="37"/>
      <c r="AR471" s="37"/>
      <c r="AS471" s="37"/>
      <c r="AT471" s="37"/>
      <c r="AU471" s="37"/>
      <c r="AV471" s="59"/>
      <c r="AW471" s="1" t="str">
        <f>_xlfn.CONCAT(tbl_Ben_Info[[#This Row],[First Name]]," ",tbl_Ben_Info[[#This Row],[Father Name]]," ",tbl_Ben_Info[[#This Row],[Family Name]])</f>
        <v xml:space="preserve">  </v>
      </c>
    </row>
    <row r="472" spans="2:49" ht="25.15" customHeight="1" x14ac:dyDescent="0.25">
      <c r="B472" s="49">
        <v>467</v>
      </c>
      <c r="C472" s="1" t="str">
        <f>_xlfn.CONCAT("181-702-",IF(tbl_Ben_Info[[#This Row],[SN]]&lt;10,"00"&amp;tbl_Ben_Info[[#This Row],[SN]],IF(tbl_Ben_Info[[#This Row],[SN]]&lt;100,"0"&amp;tbl_Ben_Info[[#This Row],[SN]],tbl_Ben_Info[[#This Row],[SN]])))</f>
        <v>181-702-467</v>
      </c>
      <c r="D472" s="37"/>
      <c r="E472" s="40"/>
      <c r="F472" s="41"/>
      <c r="G472" s="42"/>
      <c r="H472" s="43"/>
      <c r="I472" s="73"/>
      <c r="J472" s="43"/>
      <c r="K472" s="43"/>
      <c r="L472" s="43"/>
      <c r="M472" s="43"/>
      <c r="N472" s="111"/>
      <c r="O472" s="43"/>
      <c r="P472" s="48"/>
      <c r="Q472" s="49"/>
      <c r="R472" s="37"/>
      <c r="S472" s="37"/>
      <c r="T472" s="37"/>
      <c r="U472" s="37"/>
      <c r="V472" s="59"/>
      <c r="W472" s="49"/>
      <c r="X472" s="37"/>
      <c r="Y472" s="37"/>
      <c r="Z472" s="37"/>
      <c r="AA472" s="37"/>
      <c r="AB472" s="37"/>
      <c r="AC472" s="37"/>
      <c r="AD472" s="37"/>
      <c r="AE472" s="37"/>
      <c r="AF472" s="37"/>
      <c r="AG472" s="59"/>
      <c r="AH472" s="49"/>
      <c r="AI472" s="37"/>
      <c r="AJ472" s="37"/>
      <c r="AK472" s="37"/>
      <c r="AL472" s="37"/>
      <c r="AM472" s="37"/>
      <c r="AN472" s="37"/>
      <c r="AO472" s="37"/>
      <c r="AP472" s="37"/>
      <c r="AQ472" s="37"/>
      <c r="AR472" s="37"/>
      <c r="AS472" s="37"/>
      <c r="AT472" s="37"/>
      <c r="AU472" s="37"/>
      <c r="AV472" s="59"/>
      <c r="AW472" s="1" t="str">
        <f>_xlfn.CONCAT(tbl_Ben_Info[[#This Row],[First Name]]," ",tbl_Ben_Info[[#This Row],[Father Name]]," ",tbl_Ben_Info[[#This Row],[Family Name]])</f>
        <v xml:space="preserve">  </v>
      </c>
    </row>
    <row r="473" spans="2:49" ht="25.15" customHeight="1" x14ac:dyDescent="0.25">
      <c r="B473" s="49">
        <v>468</v>
      </c>
      <c r="C473" s="1" t="str">
        <f>_xlfn.CONCAT("181-702-",IF(tbl_Ben_Info[[#This Row],[SN]]&lt;10,"00"&amp;tbl_Ben_Info[[#This Row],[SN]],IF(tbl_Ben_Info[[#This Row],[SN]]&lt;100,"0"&amp;tbl_Ben_Info[[#This Row],[SN]],tbl_Ben_Info[[#This Row],[SN]])))</f>
        <v>181-702-468</v>
      </c>
      <c r="D473" s="37"/>
      <c r="E473" s="40"/>
      <c r="F473" s="41"/>
      <c r="G473" s="42"/>
      <c r="H473" s="43"/>
      <c r="I473" s="73"/>
      <c r="J473" s="43"/>
      <c r="K473" s="43"/>
      <c r="L473" s="43"/>
      <c r="M473" s="43"/>
      <c r="N473" s="111"/>
      <c r="O473" s="43"/>
      <c r="P473" s="48"/>
      <c r="Q473" s="49"/>
      <c r="R473" s="37"/>
      <c r="S473" s="37"/>
      <c r="T473" s="37"/>
      <c r="U473" s="37"/>
      <c r="V473" s="59"/>
      <c r="W473" s="49"/>
      <c r="X473" s="37"/>
      <c r="Y473" s="37"/>
      <c r="Z473" s="37"/>
      <c r="AA473" s="37"/>
      <c r="AB473" s="37"/>
      <c r="AC473" s="37"/>
      <c r="AD473" s="37"/>
      <c r="AE473" s="37"/>
      <c r="AF473" s="37"/>
      <c r="AG473" s="59"/>
      <c r="AH473" s="49"/>
      <c r="AI473" s="37"/>
      <c r="AJ473" s="37"/>
      <c r="AK473" s="37"/>
      <c r="AL473" s="37"/>
      <c r="AM473" s="37"/>
      <c r="AN473" s="37"/>
      <c r="AO473" s="37"/>
      <c r="AP473" s="37"/>
      <c r="AQ473" s="37"/>
      <c r="AR473" s="37"/>
      <c r="AS473" s="37"/>
      <c r="AT473" s="37"/>
      <c r="AU473" s="37"/>
      <c r="AV473" s="59"/>
      <c r="AW473" s="1" t="str">
        <f>_xlfn.CONCAT(tbl_Ben_Info[[#This Row],[First Name]]," ",tbl_Ben_Info[[#This Row],[Father Name]]," ",tbl_Ben_Info[[#This Row],[Family Name]])</f>
        <v xml:space="preserve">  </v>
      </c>
    </row>
    <row r="474" spans="2:49" ht="25.15" customHeight="1" x14ac:dyDescent="0.25">
      <c r="B474" s="49">
        <v>469</v>
      </c>
      <c r="C474" s="1" t="str">
        <f>_xlfn.CONCAT("181-702-",IF(tbl_Ben_Info[[#This Row],[SN]]&lt;10,"00"&amp;tbl_Ben_Info[[#This Row],[SN]],IF(tbl_Ben_Info[[#This Row],[SN]]&lt;100,"0"&amp;tbl_Ben_Info[[#This Row],[SN]],tbl_Ben_Info[[#This Row],[SN]])))</f>
        <v>181-702-469</v>
      </c>
      <c r="D474" s="37"/>
      <c r="E474" s="40"/>
      <c r="F474" s="41"/>
      <c r="G474" s="42"/>
      <c r="H474" s="43"/>
      <c r="I474" s="73"/>
      <c r="J474" s="43"/>
      <c r="K474" s="43"/>
      <c r="L474" s="43"/>
      <c r="M474" s="43"/>
      <c r="N474" s="111"/>
      <c r="O474" s="43"/>
      <c r="P474" s="48"/>
      <c r="Q474" s="49"/>
      <c r="R474" s="37"/>
      <c r="S474" s="37"/>
      <c r="T474" s="37"/>
      <c r="U474" s="37"/>
      <c r="V474" s="59"/>
      <c r="W474" s="49"/>
      <c r="X474" s="37"/>
      <c r="Y474" s="37"/>
      <c r="Z474" s="37"/>
      <c r="AA474" s="37"/>
      <c r="AB474" s="37"/>
      <c r="AC474" s="37"/>
      <c r="AD474" s="37"/>
      <c r="AE474" s="37"/>
      <c r="AF474" s="37"/>
      <c r="AG474" s="59"/>
      <c r="AH474" s="49"/>
      <c r="AI474" s="37"/>
      <c r="AJ474" s="37"/>
      <c r="AK474" s="37"/>
      <c r="AL474" s="37"/>
      <c r="AM474" s="37"/>
      <c r="AN474" s="37"/>
      <c r="AO474" s="37"/>
      <c r="AP474" s="37"/>
      <c r="AQ474" s="37"/>
      <c r="AR474" s="37"/>
      <c r="AS474" s="37"/>
      <c r="AT474" s="37"/>
      <c r="AU474" s="37"/>
      <c r="AV474" s="59"/>
      <c r="AW474" s="1" t="str">
        <f>_xlfn.CONCAT(tbl_Ben_Info[[#This Row],[First Name]]," ",tbl_Ben_Info[[#This Row],[Father Name]]," ",tbl_Ben_Info[[#This Row],[Family Name]])</f>
        <v xml:space="preserve">  </v>
      </c>
    </row>
    <row r="475" spans="2:49" ht="25.15" customHeight="1" x14ac:dyDescent="0.25">
      <c r="B475" s="49">
        <v>470</v>
      </c>
      <c r="C475" s="1" t="str">
        <f>_xlfn.CONCAT("181-702-",IF(tbl_Ben_Info[[#This Row],[SN]]&lt;10,"00"&amp;tbl_Ben_Info[[#This Row],[SN]],IF(tbl_Ben_Info[[#This Row],[SN]]&lt;100,"0"&amp;tbl_Ben_Info[[#This Row],[SN]],tbl_Ben_Info[[#This Row],[SN]])))</f>
        <v>181-702-470</v>
      </c>
      <c r="D475" s="37"/>
      <c r="E475" s="40"/>
      <c r="F475" s="41"/>
      <c r="G475" s="42"/>
      <c r="H475" s="43"/>
      <c r="I475" s="73"/>
      <c r="J475" s="43"/>
      <c r="K475" s="43"/>
      <c r="L475" s="43"/>
      <c r="M475" s="43"/>
      <c r="N475" s="111"/>
      <c r="O475" s="43"/>
      <c r="P475" s="48"/>
      <c r="Q475" s="49"/>
      <c r="R475" s="37"/>
      <c r="S475" s="37"/>
      <c r="T475" s="37"/>
      <c r="U475" s="37"/>
      <c r="V475" s="59"/>
      <c r="W475" s="49"/>
      <c r="X475" s="37"/>
      <c r="Y475" s="37"/>
      <c r="Z475" s="37"/>
      <c r="AA475" s="37"/>
      <c r="AB475" s="37"/>
      <c r="AC475" s="37"/>
      <c r="AD475" s="37"/>
      <c r="AE475" s="37"/>
      <c r="AF475" s="37"/>
      <c r="AG475" s="59"/>
      <c r="AH475" s="49"/>
      <c r="AI475" s="37"/>
      <c r="AJ475" s="37"/>
      <c r="AK475" s="37"/>
      <c r="AL475" s="37"/>
      <c r="AM475" s="37"/>
      <c r="AN475" s="37"/>
      <c r="AO475" s="37"/>
      <c r="AP475" s="37"/>
      <c r="AQ475" s="37"/>
      <c r="AR475" s="37"/>
      <c r="AS475" s="37"/>
      <c r="AT475" s="37"/>
      <c r="AU475" s="37"/>
      <c r="AV475" s="59"/>
      <c r="AW475" s="1" t="str">
        <f>_xlfn.CONCAT(tbl_Ben_Info[[#This Row],[First Name]]," ",tbl_Ben_Info[[#This Row],[Father Name]]," ",tbl_Ben_Info[[#This Row],[Family Name]])</f>
        <v xml:space="preserve">  </v>
      </c>
    </row>
    <row r="476" spans="2:49" ht="25.15" customHeight="1" x14ac:dyDescent="0.25">
      <c r="B476" s="49">
        <v>471</v>
      </c>
      <c r="C476" s="1" t="str">
        <f>_xlfn.CONCAT("181-702-",IF(tbl_Ben_Info[[#This Row],[SN]]&lt;10,"00"&amp;tbl_Ben_Info[[#This Row],[SN]],IF(tbl_Ben_Info[[#This Row],[SN]]&lt;100,"0"&amp;tbl_Ben_Info[[#This Row],[SN]],tbl_Ben_Info[[#This Row],[SN]])))</f>
        <v>181-702-471</v>
      </c>
      <c r="D476" s="37"/>
      <c r="E476" s="40"/>
      <c r="F476" s="41"/>
      <c r="G476" s="42"/>
      <c r="H476" s="43"/>
      <c r="I476" s="73"/>
      <c r="J476" s="43"/>
      <c r="K476" s="43"/>
      <c r="L476" s="43"/>
      <c r="M476" s="43"/>
      <c r="N476" s="111"/>
      <c r="O476" s="43"/>
      <c r="P476" s="48"/>
      <c r="Q476" s="49"/>
      <c r="R476" s="37"/>
      <c r="S476" s="37"/>
      <c r="T476" s="37"/>
      <c r="U476" s="37"/>
      <c r="V476" s="59"/>
      <c r="W476" s="49"/>
      <c r="X476" s="37"/>
      <c r="Y476" s="37"/>
      <c r="Z476" s="37"/>
      <c r="AA476" s="37"/>
      <c r="AB476" s="37"/>
      <c r="AC476" s="37"/>
      <c r="AD476" s="37"/>
      <c r="AE476" s="37"/>
      <c r="AF476" s="37"/>
      <c r="AG476" s="59"/>
      <c r="AH476" s="49"/>
      <c r="AI476" s="37"/>
      <c r="AJ476" s="37"/>
      <c r="AK476" s="37"/>
      <c r="AL476" s="37"/>
      <c r="AM476" s="37"/>
      <c r="AN476" s="37"/>
      <c r="AO476" s="37"/>
      <c r="AP476" s="37"/>
      <c r="AQ476" s="37"/>
      <c r="AR476" s="37"/>
      <c r="AS476" s="37"/>
      <c r="AT476" s="37"/>
      <c r="AU476" s="37"/>
      <c r="AV476" s="59"/>
      <c r="AW476" s="1" t="str">
        <f>_xlfn.CONCAT(tbl_Ben_Info[[#This Row],[First Name]]," ",tbl_Ben_Info[[#This Row],[Father Name]]," ",tbl_Ben_Info[[#This Row],[Family Name]])</f>
        <v xml:space="preserve">  </v>
      </c>
    </row>
    <row r="477" spans="2:49" ht="25.15" customHeight="1" x14ac:dyDescent="0.25">
      <c r="B477" s="49">
        <v>472</v>
      </c>
      <c r="C477" s="1" t="str">
        <f>_xlfn.CONCAT("181-702-",IF(tbl_Ben_Info[[#This Row],[SN]]&lt;10,"00"&amp;tbl_Ben_Info[[#This Row],[SN]],IF(tbl_Ben_Info[[#This Row],[SN]]&lt;100,"0"&amp;tbl_Ben_Info[[#This Row],[SN]],tbl_Ben_Info[[#This Row],[SN]])))</f>
        <v>181-702-472</v>
      </c>
      <c r="D477" s="37"/>
      <c r="E477" s="40"/>
      <c r="F477" s="41"/>
      <c r="G477" s="42"/>
      <c r="H477" s="43"/>
      <c r="I477" s="73"/>
      <c r="J477" s="43"/>
      <c r="K477" s="43"/>
      <c r="L477" s="43"/>
      <c r="M477" s="43"/>
      <c r="N477" s="111"/>
      <c r="O477" s="43"/>
      <c r="P477" s="48"/>
      <c r="Q477" s="49"/>
      <c r="R477" s="37"/>
      <c r="S477" s="37"/>
      <c r="T477" s="37"/>
      <c r="U477" s="37"/>
      <c r="V477" s="59"/>
      <c r="W477" s="49"/>
      <c r="X477" s="37"/>
      <c r="Y477" s="37"/>
      <c r="Z477" s="37"/>
      <c r="AA477" s="37"/>
      <c r="AB477" s="37"/>
      <c r="AC477" s="37"/>
      <c r="AD477" s="37"/>
      <c r="AE477" s="37"/>
      <c r="AF477" s="37"/>
      <c r="AG477" s="59"/>
      <c r="AH477" s="49"/>
      <c r="AI477" s="37"/>
      <c r="AJ477" s="37"/>
      <c r="AK477" s="37"/>
      <c r="AL477" s="37"/>
      <c r="AM477" s="37"/>
      <c r="AN477" s="37"/>
      <c r="AO477" s="37"/>
      <c r="AP477" s="37"/>
      <c r="AQ477" s="37"/>
      <c r="AR477" s="37"/>
      <c r="AS477" s="37"/>
      <c r="AT477" s="37"/>
      <c r="AU477" s="37"/>
      <c r="AV477" s="59"/>
      <c r="AW477" s="1" t="str">
        <f>_xlfn.CONCAT(tbl_Ben_Info[[#This Row],[First Name]]," ",tbl_Ben_Info[[#This Row],[Father Name]]," ",tbl_Ben_Info[[#This Row],[Family Name]])</f>
        <v xml:space="preserve">  </v>
      </c>
    </row>
    <row r="478" spans="2:49" ht="25.15" customHeight="1" x14ac:dyDescent="0.25">
      <c r="B478" s="49">
        <v>473</v>
      </c>
      <c r="C478" s="1" t="str">
        <f>_xlfn.CONCAT("181-702-",IF(tbl_Ben_Info[[#This Row],[SN]]&lt;10,"00"&amp;tbl_Ben_Info[[#This Row],[SN]],IF(tbl_Ben_Info[[#This Row],[SN]]&lt;100,"0"&amp;tbl_Ben_Info[[#This Row],[SN]],tbl_Ben_Info[[#This Row],[SN]])))</f>
        <v>181-702-473</v>
      </c>
      <c r="D478" s="37"/>
      <c r="E478" s="40"/>
      <c r="F478" s="41"/>
      <c r="G478" s="42"/>
      <c r="H478" s="43"/>
      <c r="I478" s="73"/>
      <c r="J478" s="43"/>
      <c r="K478" s="43"/>
      <c r="L478" s="43"/>
      <c r="M478" s="43"/>
      <c r="N478" s="111"/>
      <c r="O478" s="43"/>
      <c r="P478" s="48"/>
      <c r="Q478" s="49"/>
      <c r="R478" s="37"/>
      <c r="S478" s="37"/>
      <c r="T478" s="37"/>
      <c r="U478" s="37"/>
      <c r="V478" s="59"/>
      <c r="W478" s="49"/>
      <c r="X478" s="37"/>
      <c r="Y478" s="37"/>
      <c r="Z478" s="37"/>
      <c r="AA478" s="37"/>
      <c r="AB478" s="37"/>
      <c r="AC478" s="37"/>
      <c r="AD478" s="37"/>
      <c r="AE478" s="37"/>
      <c r="AF478" s="37"/>
      <c r="AG478" s="59"/>
      <c r="AH478" s="49"/>
      <c r="AI478" s="37"/>
      <c r="AJ478" s="37"/>
      <c r="AK478" s="37"/>
      <c r="AL478" s="37"/>
      <c r="AM478" s="37"/>
      <c r="AN478" s="37"/>
      <c r="AO478" s="37"/>
      <c r="AP478" s="37"/>
      <c r="AQ478" s="37"/>
      <c r="AR478" s="37"/>
      <c r="AS478" s="37"/>
      <c r="AT478" s="37"/>
      <c r="AU478" s="37"/>
      <c r="AV478" s="59"/>
      <c r="AW478" s="1" t="str">
        <f>_xlfn.CONCAT(tbl_Ben_Info[[#This Row],[First Name]]," ",tbl_Ben_Info[[#This Row],[Father Name]]," ",tbl_Ben_Info[[#This Row],[Family Name]])</f>
        <v xml:space="preserve">  </v>
      </c>
    </row>
    <row r="479" spans="2:49" ht="25.15" customHeight="1" x14ac:dyDescent="0.25">
      <c r="B479" s="49">
        <v>474</v>
      </c>
      <c r="C479" s="1" t="str">
        <f>_xlfn.CONCAT("181-702-",IF(tbl_Ben_Info[[#This Row],[SN]]&lt;10,"00"&amp;tbl_Ben_Info[[#This Row],[SN]],IF(tbl_Ben_Info[[#This Row],[SN]]&lt;100,"0"&amp;tbl_Ben_Info[[#This Row],[SN]],tbl_Ben_Info[[#This Row],[SN]])))</f>
        <v>181-702-474</v>
      </c>
      <c r="D479" s="37"/>
      <c r="E479" s="40"/>
      <c r="F479" s="41"/>
      <c r="G479" s="42"/>
      <c r="H479" s="43"/>
      <c r="I479" s="73"/>
      <c r="J479" s="43"/>
      <c r="K479" s="43"/>
      <c r="L479" s="43"/>
      <c r="M479" s="43"/>
      <c r="N479" s="111"/>
      <c r="O479" s="43"/>
      <c r="P479" s="48"/>
      <c r="Q479" s="49"/>
      <c r="R479" s="37"/>
      <c r="S479" s="37"/>
      <c r="T479" s="37"/>
      <c r="U479" s="37"/>
      <c r="V479" s="59"/>
      <c r="W479" s="49"/>
      <c r="X479" s="37"/>
      <c r="Y479" s="37"/>
      <c r="Z479" s="37"/>
      <c r="AA479" s="37"/>
      <c r="AB479" s="37"/>
      <c r="AC479" s="37"/>
      <c r="AD479" s="37"/>
      <c r="AE479" s="37"/>
      <c r="AF479" s="37"/>
      <c r="AG479" s="59"/>
      <c r="AH479" s="49"/>
      <c r="AI479" s="37"/>
      <c r="AJ479" s="37"/>
      <c r="AK479" s="37"/>
      <c r="AL479" s="37"/>
      <c r="AM479" s="37"/>
      <c r="AN479" s="37"/>
      <c r="AO479" s="37"/>
      <c r="AP479" s="37"/>
      <c r="AQ479" s="37"/>
      <c r="AR479" s="37"/>
      <c r="AS479" s="37"/>
      <c r="AT479" s="37"/>
      <c r="AU479" s="37"/>
      <c r="AV479" s="59"/>
      <c r="AW479" s="1" t="str">
        <f>_xlfn.CONCAT(tbl_Ben_Info[[#This Row],[First Name]]," ",tbl_Ben_Info[[#This Row],[Father Name]]," ",tbl_Ben_Info[[#This Row],[Family Name]])</f>
        <v xml:space="preserve">  </v>
      </c>
    </row>
    <row r="480" spans="2:49" ht="25.15" customHeight="1" x14ac:dyDescent="0.25">
      <c r="B480" s="49">
        <v>475</v>
      </c>
      <c r="C480" s="1" t="str">
        <f>_xlfn.CONCAT("181-702-",IF(tbl_Ben_Info[[#This Row],[SN]]&lt;10,"00"&amp;tbl_Ben_Info[[#This Row],[SN]],IF(tbl_Ben_Info[[#This Row],[SN]]&lt;100,"0"&amp;tbl_Ben_Info[[#This Row],[SN]],tbl_Ben_Info[[#This Row],[SN]])))</f>
        <v>181-702-475</v>
      </c>
      <c r="D480" s="37"/>
      <c r="E480" s="40"/>
      <c r="F480" s="41"/>
      <c r="G480" s="42"/>
      <c r="H480" s="43"/>
      <c r="I480" s="73"/>
      <c r="J480" s="43"/>
      <c r="K480" s="43"/>
      <c r="L480" s="43"/>
      <c r="M480" s="43"/>
      <c r="N480" s="111"/>
      <c r="O480" s="43"/>
      <c r="P480" s="48"/>
      <c r="Q480" s="49"/>
      <c r="R480" s="37"/>
      <c r="S480" s="37"/>
      <c r="T480" s="37"/>
      <c r="U480" s="37"/>
      <c r="V480" s="59"/>
      <c r="W480" s="49"/>
      <c r="X480" s="37"/>
      <c r="Y480" s="37"/>
      <c r="Z480" s="37"/>
      <c r="AA480" s="37"/>
      <c r="AB480" s="37"/>
      <c r="AC480" s="37"/>
      <c r="AD480" s="37"/>
      <c r="AE480" s="37"/>
      <c r="AF480" s="37"/>
      <c r="AG480" s="59"/>
      <c r="AH480" s="49"/>
      <c r="AI480" s="37"/>
      <c r="AJ480" s="37"/>
      <c r="AK480" s="37"/>
      <c r="AL480" s="37"/>
      <c r="AM480" s="37"/>
      <c r="AN480" s="37"/>
      <c r="AO480" s="37"/>
      <c r="AP480" s="37"/>
      <c r="AQ480" s="37"/>
      <c r="AR480" s="37"/>
      <c r="AS480" s="37"/>
      <c r="AT480" s="37"/>
      <c r="AU480" s="37"/>
      <c r="AV480" s="59"/>
      <c r="AW480" s="1" t="str">
        <f>_xlfn.CONCAT(tbl_Ben_Info[[#This Row],[First Name]]," ",tbl_Ben_Info[[#This Row],[Father Name]]," ",tbl_Ben_Info[[#This Row],[Family Name]])</f>
        <v xml:space="preserve">  </v>
      </c>
    </row>
    <row r="481" spans="2:49" ht="25.15" customHeight="1" x14ac:dyDescent="0.25">
      <c r="B481" s="49">
        <v>476</v>
      </c>
      <c r="C481" s="1" t="str">
        <f>_xlfn.CONCAT("181-702-",IF(tbl_Ben_Info[[#This Row],[SN]]&lt;10,"00"&amp;tbl_Ben_Info[[#This Row],[SN]],IF(tbl_Ben_Info[[#This Row],[SN]]&lt;100,"0"&amp;tbl_Ben_Info[[#This Row],[SN]],tbl_Ben_Info[[#This Row],[SN]])))</f>
        <v>181-702-476</v>
      </c>
      <c r="D481" s="37"/>
      <c r="E481" s="40"/>
      <c r="F481" s="41"/>
      <c r="G481" s="42"/>
      <c r="H481" s="43"/>
      <c r="I481" s="73"/>
      <c r="J481" s="43"/>
      <c r="K481" s="43"/>
      <c r="L481" s="43"/>
      <c r="M481" s="43"/>
      <c r="N481" s="111"/>
      <c r="O481" s="43"/>
      <c r="P481" s="48"/>
      <c r="Q481" s="49"/>
      <c r="R481" s="37"/>
      <c r="S481" s="37"/>
      <c r="T481" s="37"/>
      <c r="U481" s="37"/>
      <c r="V481" s="59"/>
      <c r="W481" s="49"/>
      <c r="X481" s="37"/>
      <c r="Y481" s="37"/>
      <c r="Z481" s="37"/>
      <c r="AA481" s="37"/>
      <c r="AB481" s="37"/>
      <c r="AC481" s="37"/>
      <c r="AD481" s="37"/>
      <c r="AE481" s="37"/>
      <c r="AF481" s="37"/>
      <c r="AG481" s="59"/>
      <c r="AH481" s="49"/>
      <c r="AI481" s="37"/>
      <c r="AJ481" s="37"/>
      <c r="AK481" s="37"/>
      <c r="AL481" s="37"/>
      <c r="AM481" s="37"/>
      <c r="AN481" s="37"/>
      <c r="AO481" s="37"/>
      <c r="AP481" s="37"/>
      <c r="AQ481" s="37"/>
      <c r="AR481" s="37"/>
      <c r="AS481" s="37"/>
      <c r="AT481" s="37"/>
      <c r="AU481" s="37"/>
      <c r="AV481" s="59"/>
      <c r="AW481" s="1" t="str">
        <f>_xlfn.CONCAT(tbl_Ben_Info[[#This Row],[First Name]]," ",tbl_Ben_Info[[#This Row],[Father Name]]," ",tbl_Ben_Info[[#This Row],[Family Name]])</f>
        <v xml:space="preserve">  </v>
      </c>
    </row>
    <row r="482" spans="2:49" ht="25.15" customHeight="1" x14ac:dyDescent="0.25">
      <c r="B482" s="49">
        <v>477</v>
      </c>
      <c r="C482" s="1" t="str">
        <f>_xlfn.CONCAT("181-702-",IF(tbl_Ben_Info[[#This Row],[SN]]&lt;10,"00"&amp;tbl_Ben_Info[[#This Row],[SN]],IF(tbl_Ben_Info[[#This Row],[SN]]&lt;100,"0"&amp;tbl_Ben_Info[[#This Row],[SN]],tbl_Ben_Info[[#This Row],[SN]])))</f>
        <v>181-702-477</v>
      </c>
      <c r="D482" s="37"/>
      <c r="E482" s="40"/>
      <c r="F482" s="41"/>
      <c r="G482" s="42"/>
      <c r="H482" s="43"/>
      <c r="I482" s="73"/>
      <c r="J482" s="43"/>
      <c r="K482" s="43"/>
      <c r="L482" s="43"/>
      <c r="M482" s="43"/>
      <c r="N482" s="111"/>
      <c r="O482" s="43"/>
      <c r="P482" s="48"/>
      <c r="Q482" s="49"/>
      <c r="R482" s="37"/>
      <c r="S482" s="37"/>
      <c r="T482" s="37"/>
      <c r="U482" s="37"/>
      <c r="V482" s="59"/>
      <c r="W482" s="49"/>
      <c r="X482" s="37"/>
      <c r="Y482" s="37"/>
      <c r="Z482" s="37"/>
      <c r="AA482" s="37"/>
      <c r="AB482" s="37"/>
      <c r="AC482" s="37"/>
      <c r="AD482" s="37"/>
      <c r="AE482" s="37"/>
      <c r="AF482" s="37"/>
      <c r="AG482" s="59"/>
      <c r="AH482" s="49"/>
      <c r="AI482" s="37"/>
      <c r="AJ482" s="37"/>
      <c r="AK482" s="37"/>
      <c r="AL482" s="37"/>
      <c r="AM482" s="37"/>
      <c r="AN482" s="37"/>
      <c r="AO482" s="37"/>
      <c r="AP482" s="37"/>
      <c r="AQ482" s="37"/>
      <c r="AR482" s="37"/>
      <c r="AS482" s="37"/>
      <c r="AT482" s="37"/>
      <c r="AU482" s="37"/>
      <c r="AV482" s="59"/>
      <c r="AW482" s="1" t="str">
        <f>_xlfn.CONCAT(tbl_Ben_Info[[#This Row],[First Name]]," ",tbl_Ben_Info[[#This Row],[Father Name]]," ",tbl_Ben_Info[[#This Row],[Family Name]])</f>
        <v xml:space="preserve">  </v>
      </c>
    </row>
    <row r="483" spans="2:49" ht="25.15" customHeight="1" x14ac:dyDescent="0.25">
      <c r="B483" s="49">
        <v>478</v>
      </c>
      <c r="C483" s="1" t="str">
        <f>_xlfn.CONCAT("181-702-",IF(tbl_Ben_Info[[#This Row],[SN]]&lt;10,"00"&amp;tbl_Ben_Info[[#This Row],[SN]],IF(tbl_Ben_Info[[#This Row],[SN]]&lt;100,"0"&amp;tbl_Ben_Info[[#This Row],[SN]],tbl_Ben_Info[[#This Row],[SN]])))</f>
        <v>181-702-478</v>
      </c>
      <c r="D483" s="37"/>
      <c r="E483" s="40"/>
      <c r="F483" s="41"/>
      <c r="G483" s="42"/>
      <c r="H483" s="43"/>
      <c r="I483" s="73"/>
      <c r="J483" s="43"/>
      <c r="K483" s="43"/>
      <c r="L483" s="43"/>
      <c r="M483" s="43"/>
      <c r="N483" s="111"/>
      <c r="O483" s="43"/>
      <c r="P483" s="48"/>
      <c r="Q483" s="49"/>
      <c r="R483" s="37"/>
      <c r="S483" s="37"/>
      <c r="T483" s="37"/>
      <c r="U483" s="37"/>
      <c r="V483" s="59"/>
      <c r="W483" s="49"/>
      <c r="X483" s="37"/>
      <c r="Y483" s="37"/>
      <c r="Z483" s="37"/>
      <c r="AA483" s="37"/>
      <c r="AB483" s="37"/>
      <c r="AC483" s="37"/>
      <c r="AD483" s="37"/>
      <c r="AE483" s="37"/>
      <c r="AF483" s="37"/>
      <c r="AG483" s="59"/>
      <c r="AH483" s="49"/>
      <c r="AI483" s="37"/>
      <c r="AJ483" s="37"/>
      <c r="AK483" s="37"/>
      <c r="AL483" s="37"/>
      <c r="AM483" s="37"/>
      <c r="AN483" s="37"/>
      <c r="AO483" s="37"/>
      <c r="AP483" s="37"/>
      <c r="AQ483" s="37"/>
      <c r="AR483" s="37"/>
      <c r="AS483" s="37"/>
      <c r="AT483" s="37"/>
      <c r="AU483" s="37"/>
      <c r="AV483" s="59"/>
      <c r="AW483" s="1" t="str">
        <f>_xlfn.CONCAT(tbl_Ben_Info[[#This Row],[First Name]]," ",tbl_Ben_Info[[#This Row],[Father Name]]," ",tbl_Ben_Info[[#This Row],[Family Name]])</f>
        <v xml:space="preserve">  </v>
      </c>
    </row>
    <row r="484" spans="2:49" ht="25.15" customHeight="1" x14ac:dyDescent="0.25">
      <c r="B484" s="49">
        <v>479</v>
      </c>
      <c r="C484" s="1" t="str">
        <f>_xlfn.CONCAT("181-702-",IF(tbl_Ben_Info[[#This Row],[SN]]&lt;10,"00"&amp;tbl_Ben_Info[[#This Row],[SN]],IF(tbl_Ben_Info[[#This Row],[SN]]&lt;100,"0"&amp;tbl_Ben_Info[[#This Row],[SN]],tbl_Ben_Info[[#This Row],[SN]])))</f>
        <v>181-702-479</v>
      </c>
      <c r="D484" s="37"/>
      <c r="E484" s="40"/>
      <c r="F484" s="41"/>
      <c r="G484" s="42"/>
      <c r="H484" s="43"/>
      <c r="I484" s="73"/>
      <c r="J484" s="43"/>
      <c r="K484" s="43"/>
      <c r="L484" s="43"/>
      <c r="M484" s="43"/>
      <c r="N484" s="111"/>
      <c r="O484" s="43"/>
      <c r="P484" s="48"/>
      <c r="Q484" s="49"/>
      <c r="R484" s="37"/>
      <c r="S484" s="37"/>
      <c r="T484" s="37"/>
      <c r="U484" s="37"/>
      <c r="V484" s="59"/>
      <c r="W484" s="49"/>
      <c r="X484" s="37"/>
      <c r="Y484" s="37"/>
      <c r="Z484" s="37"/>
      <c r="AA484" s="37"/>
      <c r="AB484" s="37"/>
      <c r="AC484" s="37"/>
      <c r="AD484" s="37"/>
      <c r="AE484" s="37"/>
      <c r="AF484" s="37"/>
      <c r="AG484" s="59"/>
      <c r="AH484" s="49"/>
      <c r="AI484" s="37"/>
      <c r="AJ484" s="37"/>
      <c r="AK484" s="37"/>
      <c r="AL484" s="37"/>
      <c r="AM484" s="37"/>
      <c r="AN484" s="37"/>
      <c r="AO484" s="37"/>
      <c r="AP484" s="37"/>
      <c r="AQ484" s="37"/>
      <c r="AR484" s="37"/>
      <c r="AS484" s="37"/>
      <c r="AT484" s="37"/>
      <c r="AU484" s="37"/>
      <c r="AV484" s="59"/>
      <c r="AW484" s="1" t="str">
        <f>_xlfn.CONCAT(tbl_Ben_Info[[#This Row],[First Name]]," ",tbl_Ben_Info[[#This Row],[Father Name]]," ",tbl_Ben_Info[[#This Row],[Family Name]])</f>
        <v xml:space="preserve">  </v>
      </c>
    </row>
    <row r="485" spans="2:49" ht="25.15" customHeight="1" x14ac:dyDescent="0.25">
      <c r="B485" s="49">
        <v>480</v>
      </c>
      <c r="C485" s="1" t="str">
        <f>_xlfn.CONCAT("181-702-",IF(tbl_Ben_Info[[#This Row],[SN]]&lt;10,"00"&amp;tbl_Ben_Info[[#This Row],[SN]],IF(tbl_Ben_Info[[#This Row],[SN]]&lt;100,"0"&amp;tbl_Ben_Info[[#This Row],[SN]],tbl_Ben_Info[[#This Row],[SN]])))</f>
        <v>181-702-480</v>
      </c>
      <c r="D485" s="37"/>
      <c r="E485" s="40"/>
      <c r="F485" s="41"/>
      <c r="G485" s="42"/>
      <c r="H485" s="43"/>
      <c r="I485" s="73"/>
      <c r="J485" s="43"/>
      <c r="K485" s="43"/>
      <c r="L485" s="43"/>
      <c r="M485" s="43"/>
      <c r="N485" s="111"/>
      <c r="O485" s="43"/>
      <c r="P485" s="48"/>
      <c r="Q485" s="49"/>
      <c r="R485" s="37"/>
      <c r="S485" s="37"/>
      <c r="T485" s="37"/>
      <c r="U485" s="37"/>
      <c r="V485" s="59"/>
      <c r="W485" s="49"/>
      <c r="X485" s="37"/>
      <c r="Y485" s="37"/>
      <c r="Z485" s="37"/>
      <c r="AA485" s="37"/>
      <c r="AB485" s="37"/>
      <c r="AC485" s="37"/>
      <c r="AD485" s="37"/>
      <c r="AE485" s="37"/>
      <c r="AF485" s="37"/>
      <c r="AG485" s="59"/>
      <c r="AH485" s="49"/>
      <c r="AI485" s="37"/>
      <c r="AJ485" s="37"/>
      <c r="AK485" s="37"/>
      <c r="AL485" s="37"/>
      <c r="AM485" s="37"/>
      <c r="AN485" s="37"/>
      <c r="AO485" s="37"/>
      <c r="AP485" s="37"/>
      <c r="AQ485" s="37"/>
      <c r="AR485" s="37"/>
      <c r="AS485" s="37"/>
      <c r="AT485" s="37"/>
      <c r="AU485" s="37"/>
      <c r="AV485" s="59"/>
      <c r="AW485" s="1" t="str">
        <f>_xlfn.CONCAT(tbl_Ben_Info[[#This Row],[First Name]]," ",tbl_Ben_Info[[#This Row],[Father Name]]," ",tbl_Ben_Info[[#This Row],[Family Name]])</f>
        <v xml:space="preserve">  </v>
      </c>
    </row>
    <row r="486" spans="2:49" ht="25.15" customHeight="1" x14ac:dyDescent="0.25">
      <c r="B486" s="49">
        <v>481</v>
      </c>
      <c r="C486" s="1" t="str">
        <f>_xlfn.CONCAT("181-702-",IF(tbl_Ben_Info[[#This Row],[SN]]&lt;10,"00"&amp;tbl_Ben_Info[[#This Row],[SN]],IF(tbl_Ben_Info[[#This Row],[SN]]&lt;100,"0"&amp;tbl_Ben_Info[[#This Row],[SN]],tbl_Ben_Info[[#This Row],[SN]])))</f>
        <v>181-702-481</v>
      </c>
      <c r="D486" s="37"/>
      <c r="E486" s="40"/>
      <c r="F486" s="41"/>
      <c r="G486" s="42"/>
      <c r="H486" s="43"/>
      <c r="I486" s="73"/>
      <c r="J486" s="43"/>
      <c r="K486" s="43"/>
      <c r="L486" s="43"/>
      <c r="M486" s="43"/>
      <c r="N486" s="111"/>
      <c r="O486" s="43"/>
      <c r="P486" s="48"/>
      <c r="Q486" s="49"/>
      <c r="R486" s="37"/>
      <c r="S486" s="37"/>
      <c r="T486" s="37"/>
      <c r="U486" s="37"/>
      <c r="V486" s="59"/>
      <c r="W486" s="49"/>
      <c r="X486" s="37"/>
      <c r="Y486" s="37"/>
      <c r="Z486" s="37"/>
      <c r="AA486" s="37"/>
      <c r="AB486" s="37"/>
      <c r="AC486" s="37"/>
      <c r="AD486" s="37"/>
      <c r="AE486" s="37"/>
      <c r="AF486" s="37"/>
      <c r="AG486" s="59"/>
      <c r="AH486" s="49"/>
      <c r="AI486" s="37"/>
      <c r="AJ486" s="37"/>
      <c r="AK486" s="37"/>
      <c r="AL486" s="37"/>
      <c r="AM486" s="37"/>
      <c r="AN486" s="37"/>
      <c r="AO486" s="37"/>
      <c r="AP486" s="37"/>
      <c r="AQ486" s="37"/>
      <c r="AR486" s="37"/>
      <c r="AS486" s="37"/>
      <c r="AT486" s="37"/>
      <c r="AU486" s="37"/>
      <c r="AV486" s="59"/>
      <c r="AW486" s="1" t="str">
        <f>_xlfn.CONCAT(tbl_Ben_Info[[#This Row],[First Name]]," ",tbl_Ben_Info[[#This Row],[Father Name]]," ",tbl_Ben_Info[[#This Row],[Family Name]])</f>
        <v xml:space="preserve">  </v>
      </c>
    </row>
    <row r="487" spans="2:49" ht="25.15" customHeight="1" x14ac:dyDescent="0.25">
      <c r="B487" s="49">
        <v>482</v>
      </c>
      <c r="C487" s="1" t="str">
        <f>_xlfn.CONCAT("181-702-",IF(tbl_Ben_Info[[#This Row],[SN]]&lt;10,"00"&amp;tbl_Ben_Info[[#This Row],[SN]],IF(tbl_Ben_Info[[#This Row],[SN]]&lt;100,"0"&amp;tbl_Ben_Info[[#This Row],[SN]],tbl_Ben_Info[[#This Row],[SN]])))</f>
        <v>181-702-482</v>
      </c>
      <c r="D487" s="37"/>
      <c r="E487" s="40"/>
      <c r="F487" s="41"/>
      <c r="G487" s="42"/>
      <c r="H487" s="43"/>
      <c r="I487" s="73"/>
      <c r="J487" s="43"/>
      <c r="K487" s="43"/>
      <c r="L487" s="43"/>
      <c r="M487" s="43"/>
      <c r="N487" s="111"/>
      <c r="O487" s="43"/>
      <c r="P487" s="48"/>
      <c r="Q487" s="49"/>
      <c r="R487" s="37"/>
      <c r="S487" s="37"/>
      <c r="T487" s="37"/>
      <c r="U487" s="37"/>
      <c r="V487" s="59"/>
      <c r="W487" s="49"/>
      <c r="X487" s="37"/>
      <c r="Y487" s="37"/>
      <c r="Z487" s="37"/>
      <c r="AA487" s="37"/>
      <c r="AB487" s="37"/>
      <c r="AC487" s="37"/>
      <c r="AD487" s="37"/>
      <c r="AE487" s="37"/>
      <c r="AF487" s="37"/>
      <c r="AG487" s="59"/>
      <c r="AH487" s="49"/>
      <c r="AI487" s="37"/>
      <c r="AJ487" s="37"/>
      <c r="AK487" s="37"/>
      <c r="AL487" s="37"/>
      <c r="AM487" s="37"/>
      <c r="AN487" s="37"/>
      <c r="AO487" s="37"/>
      <c r="AP487" s="37"/>
      <c r="AQ487" s="37"/>
      <c r="AR487" s="37"/>
      <c r="AS487" s="37"/>
      <c r="AT487" s="37"/>
      <c r="AU487" s="37"/>
      <c r="AV487" s="59"/>
      <c r="AW487" s="1" t="str">
        <f>_xlfn.CONCAT(tbl_Ben_Info[[#This Row],[First Name]]," ",tbl_Ben_Info[[#This Row],[Father Name]]," ",tbl_Ben_Info[[#This Row],[Family Name]])</f>
        <v xml:space="preserve">  </v>
      </c>
    </row>
    <row r="488" spans="2:49" ht="25.15" customHeight="1" x14ac:dyDescent="0.25">
      <c r="B488" s="49">
        <v>483</v>
      </c>
      <c r="C488" s="1" t="str">
        <f>_xlfn.CONCAT("181-702-",IF(tbl_Ben_Info[[#This Row],[SN]]&lt;10,"00"&amp;tbl_Ben_Info[[#This Row],[SN]],IF(tbl_Ben_Info[[#This Row],[SN]]&lt;100,"0"&amp;tbl_Ben_Info[[#This Row],[SN]],tbl_Ben_Info[[#This Row],[SN]])))</f>
        <v>181-702-483</v>
      </c>
      <c r="D488" s="37"/>
      <c r="E488" s="40"/>
      <c r="F488" s="41"/>
      <c r="G488" s="42"/>
      <c r="H488" s="43"/>
      <c r="I488" s="73"/>
      <c r="J488" s="43"/>
      <c r="K488" s="43"/>
      <c r="L488" s="43"/>
      <c r="M488" s="43"/>
      <c r="N488" s="111"/>
      <c r="O488" s="43"/>
      <c r="P488" s="48"/>
      <c r="Q488" s="49"/>
      <c r="R488" s="37"/>
      <c r="S488" s="37"/>
      <c r="T488" s="37"/>
      <c r="U488" s="37"/>
      <c r="V488" s="59"/>
      <c r="W488" s="49"/>
      <c r="X488" s="37"/>
      <c r="Y488" s="37"/>
      <c r="Z488" s="37"/>
      <c r="AA488" s="37"/>
      <c r="AB488" s="37"/>
      <c r="AC488" s="37"/>
      <c r="AD488" s="37"/>
      <c r="AE488" s="37"/>
      <c r="AF488" s="37"/>
      <c r="AG488" s="59"/>
      <c r="AH488" s="49"/>
      <c r="AI488" s="37"/>
      <c r="AJ488" s="37"/>
      <c r="AK488" s="37"/>
      <c r="AL488" s="37"/>
      <c r="AM488" s="37"/>
      <c r="AN488" s="37"/>
      <c r="AO488" s="37"/>
      <c r="AP488" s="37"/>
      <c r="AQ488" s="37"/>
      <c r="AR488" s="37"/>
      <c r="AS488" s="37"/>
      <c r="AT488" s="37"/>
      <c r="AU488" s="37"/>
      <c r="AV488" s="59"/>
      <c r="AW488" s="1" t="str">
        <f>_xlfn.CONCAT(tbl_Ben_Info[[#This Row],[First Name]]," ",tbl_Ben_Info[[#This Row],[Father Name]]," ",tbl_Ben_Info[[#This Row],[Family Name]])</f>
        <v xml:space="preserve">  </v>
      </c>
    </row>
    <row r="489" spans="2:49" ht="25.15" customHeight="1" x14ac:dyDescent="0.25">
      <c r="B489" s="49">
        <v>484</v>
      </c>
      <c r="C489" s="1" t="str">
        <f>_xlfn.CONCAT("181-702-",IF(tbl_Ben_Info[[#This Row],[SN]]&lt;10,"00"&amp;tbl_Ben_Info[[#This Row],[SN]],IF(tbl_Ben_Info[[#This Row],[SN]]&lt;100,"0"&amp;tbl_Ben_Info[[#This Row],[SN]],tbl_Ben_Info[[#This Row],[SN]])))</f>
        <v>181-702-484</v>
      </c>
      <c r="D489" s="37"/>
      <c r="E489" s="40"/>
      <c r="F489" s="41"/>
      <c r="G489" s="42"/>
      <c r="H489" s="43"/>
      <c r="I489" s="73"/>
      <c r="J489" s="43"/>
      <c r="K489" s="43"/>
      <c r="L489" s="43"/>
      <c r="M489" s="43"/>
      <c r="N489" s="111"/>
      <c r="O489" s="43"/>
      <c r="P489" s="48"/>
      <c r="Q489" s="49"/>
      <c r="R489" s="37"/>
      <c r="S489" s="37"/>
      <c r="T489" s="37"/>
      <c r="U489" s="37"/>
      <c r="V489" s="59"/>
      <c r="W489" s="49"/>
      <c r="X489" s="37"/>
      <c r="Y489" s="37"/>
      <c r="Z489" s="37"/>
      <c r="AA489" s="37"/>
      <c r="AB489" s="37"/>
      <c r="AC489" s="37"/>
      <c r="AD489" s="37"/>
      <c r="AE489" s="37"/>
      <c r="AF489" s="37"/>
      <c r="AG489" s="59"/>
      <c r="AH489" s="49"/>
      <c r="AI489" s="37"/>
      <c r="AJ489" s="37"/>
      <c r="AK489" s="37"/>
      <c r="AL489" s="37"/>
      <c r="AM489" s="37"/>
      <c r="AN489" s="37"/>
      <c r="AO489" s="37"/>
      <c r="AP489" s="37"/>
      <c r="AQ489" s="37"/>
      <c r="AR489" s="37"/>
      <c r="AS489" s="37"/>
      <c r="AT489" s="37"/>
      <c r="AU489" s="37"/>
      <c r="AV489" s="59"/>
      <c r="AW489" s="1" t="str">
        <f>_xlfn.CONCAT(tbl_Ben_Info[[#This Row],[First Name]]," ",tbl_Ben_Info[[#This Row],[Father Name]]," ",tbl_Ben_Info[[#This Row],[Family Name]])</f>
        <v xml:space="preserve">  </v>
      </c>
    </row>
    <row r="490" spans="2:49" ht="25.15" customHeight="1" x14ac:dyDescent="0.25">
      <c r="B490" s="49">
        <v>485</v>
      </c>
      <c r="C490" s="1" t="str">
        <f>_xlfn.CONCAT("181-702-",IF(tbl_Ben_Info[[#This Row],[SN]]&lt;10,"00"&amp;tbl_Ben_Info[[#This Row],[SN]],IF(tbl_Ben_Info[[#This Row],[SN]]&lt;100,"0"&amp;tbl_Ben_Info[[#This Row],[SN]],tbl_Ben_Info[[#This Row],[SN]])))</f>
        <v>181-702-485</v>
      </c>
      <c r="D490" s="37"/>
      <c r="E490" s="40"/>
      <c r="F490" s="41"/>
      <c r="G490" s="42"/>
      <c r="H490" s="43"/>
      <c r="I490" s="73"/>
      <c r="J490" s="43"/>
      <c r="K490" s="43"/>
      <c r="L490" s="43"/>
      <c r="M490" s="43"/>
      <c r="N490" s="111"/>
      <c r="O490" s="43"/>
      <c r="P490" s="48"/>
      <c r="Q490" s="49"/>
      <c r="R490" s="37"/>
      <c r="S490" s="37"/>
      <c r="T490" s="37"/>
      <c r="U490" s="37"/>
      <c r="V490" s="59"/>
      <c r="W490" s="49"/>
      <c r="X490" s="37"/>
      <c r="Y490" s="37"/>
      <c r="Z490" s="37"/>
      <c r="AA490" s="37"/>
      <c r="AB490" s="37"/>
      <c r="AC490" s="37"/>
      <c r="AD490" s="37"/>
      <c r="AE490" s="37"/>
      <c r="AF490" s="37"/>
      <c r="AG490" s="59"/>
      <c r="AH490" s="49"/>
      <c r="AI490" s="37"/>
      <c r="AJ490" s="37"/>
      <c r="AK490" s="37"/>
      <c r="AL490" s="37"/>
      <c r="AM490" s="37"/>
      <c r="AN490" s="37"/>
      <c r="AO490" s="37"/>
      <c r="AP490" s="37"/>
      <c r="AQ490" s="37"/>
      <c r="AR490" s="37"/>
      <c r="AS490" s="37"/>
      <c r="AT490" s="37"/>
      <c r="AU490" s="37"/>
      <c r="AV490" s="59"/>
      <c r="AW490" s="1" t="str">
        <f>_xlfn.CONCAT(tbl_Ben_Info[[#This Row],[First Name]]," ",tbl_Ben_Info[[#This Row],[Father Name]]," ",tbl_Ben_Info[[#This Row],[Family Name]])</f>
        <v xml:space="preserve">  </v>
      </c>
    </row>
    <row r="491" spans="2:49" ht="25.15" customHeight="1" x14ac:dyDescent="0.25">
      <c r="B491" s="49">
        <v>486</v>
      </c>
      <c r="C491" s="1" t="str">
        <f>_xlfn.CONCAT("181-702-",IF(tbl_Ben_Info[[#This Row],[SN]]&lt;10,"00"&amp;tbl_Ben_Info[[#This Row],[SN]],IF(tbl_Ben_Info[[#This Row],[SN]]&lt;100,"0"&amp;tbl_Ben_Info[[#This Row],[SN]],tbl_Ben_Info[[#This Row],[SN]])))</f>
        <v>181-702-486</v>
      </c>
      <c r="D491" s="37"/>
      <c r="E491" s="40"/>
      <c r="F491" s="41"/>
      <c r="G491" s="42"/>
      <c r="H491" s="43"/>
      <c r="I491" s="73"/>
      <c r="J491" s="43"/>
      <c r="K491" s="43"/>
      <c r="L491" s="43"/>
      <c r="M491" s="43"/>
      <c r="N491" s="111"/>
      <c r="O491" s="43"/>
      <c r="P491" s="48"/>
      <c r="Q491" s="49"/>
      <c r="R491" s="37"/>
      <c r="S491" s="37"/>
      <c r="T491" s="37"/>
      <c r="U491" s="37"/>
      <c r="V491" s="59"/>
      <c r="W491" s="49"/>
      <c r="X491" s="37"/>
      <c r="Y491" s="37"/>
      <c r="Z491" s="37"/>
      <c r="AA491" s="37"/>
      <c r="AB491" s="37"/>
      <c r="AC491" s="37"/>
      <c r="AD491" s="37"/>
      <c r="AE491" s="37"/>
      <c r="AF491" s="37"/>
      <c r="AG491" s="59"/>
      <c r="AH491" s="49"/>
      <c r="AI491" s="37"/>
      <c r="AJ491" s="37"/>
      <c r="AK491" s="37"/>
      <c r="AL491" s="37"/>
      <c r="AM491" s="37"/>
      <c r="AN491" s="37"/>
      <c r="AO491" s="37"/>
      <c r="AP491" s="37"/>
      <c r="AQ491" s="37"/>
      <c r="AR491" s="37"/>
      <c r="AS491" s="37"/>
      <c r="AT491" s="37"/>
      <c r="AU491" s="37"/>
      <c r="AV491" s="59"/>
      <c r="AW491" s="1" t="str">
        <f>_xlfn.CONCAT(tbl_Ben_Info[[#This Row],[First Name]]," ",tbl_Ben_Info[[#This Row],[Father Name]]," ",tbl_Ben_Info[[#This Row],[Family Name]])</f>
        <v xml:space="preserve">  </v>
      </c>
    </row>
    <row r="492" spans="2:49" ht="25.15" customHeight="1" x14ac:dyDescent="0.25">
      <c r="B492" s="49">
        <v>487</v>
      </c>
      <c r="C492" s="1" t="str">
        <f>_xlfn.CONCAT("181-702-",IF(tbl_Ben_Info[[#This Row],[SN]]&lt;10,"00"&amp;tbl_Ben_Info[[#This Row],[SN]],IF(tbl_Ben_Info[[#This Row],[SN]]&lt;100,"0"&amp;tbl_Ben_Info[[#This Row],[SN]],tbl_Ben_Info[[#This Row],[SN]])))</f>
        <v>181-702-487</v>
      </c>
      <c r="D492" s="37"/>
      <c r="E492" s="40"/>
      <c r="F492" s="41"/>
      <c r="G492" s="42"/>
      <c r="H492" s="43"/>
      <c r="I492" s="73"/>
      <c r="J492" s="43"/>
      <c r="K492" s="43"/>
      <c r="L492" s="43"/>
      <c r="M492" s="43"/>
      <c r="N492" s="111"/>
      <c r="O492" s="43"/>
      <c r="P492" s="48"/>
      <c r="Q492" s="49"/>
      <c r="R492" s="37"/>
      <c r="S492" s="37"/>
      <c r="T492" s="37"/>
      <c r="U492" s="37"/>
      <c r="V492" s="59"/>
      <c r="W492" s="49"/>
      <c r="X492" s="37"/>
      <c r="Y492" s="37"/>
      <c r="Z492" s="37"/>
      <c r="AA492" s="37"/>
      <c r="AB492" s="37"/>
      <c r="AC492" s="37"/>
      <c r="AD492" s="37"/>
      <c r="AE492" s="37"/>
      <c r="AF492" s="37"/>
      <c r="AG492" s="59"/>
      <c r="AH492" s="49"/>
      <c r="AI492" s="37"/>
      <c r="AJ492" s="37"/>
      <c r="AK492" s="37"/>
      <c r="AL492" s="37"/>
      <c r="AM492" s="37"/>
      <c r="AN492" s="37"/>
      <c r="AO492" s="37"/>
      <c r="AP492" s="37"/>
      <c r="AQ492" s="37"/>
      <c r="AR492" s="37"/>
      <c r="AS492" s="37"/>
      <c r="AT492" s="37"/>
      <c r="AU492" s="37"/>
      <c r="AV492" s="59"/>
      <c r="AW492" s="1" t="str">
        <f>_xlfn.CONCAT(tbl_Ben_Info[[#This Row],[First Name]]," ",tbl_Ben_Info[[#This Row],[Father Name]]," ",tbl_Ben_Info[[#This Row],[Family Name]])</f>
        <v xml:space="preserve">  </v>
      </c>
    </row>
    <row r="493" spans="2:49" ht="25.15" customHeight="1" x14ac:dyDescent="0.25">
      <c r="B493" s="49">
        <v>488</v>
      </c>
      <c r="C493" s="1" t="str">
        <f>_xlfn.CONCAT("181-702-",IF(tbl_Ben_Info[[#This Row],[SN]]&lt;10,"00"&amp;tbl_Ben_Info[[#This Row],[SN]],IF(tbl_Ben_Info[[#This Row],[SN]]&lt;100,"0"&amp;tbl_Ben_Info[[#This Row],[SN]],tbl_Ben_Info[[#This Row],[SN]])))</f>
        <v>181-702-488</v>
      </c>
      <c r="D493" s="37"/>
      <c r="E493" s="40"/>
      <c r="F493" s="41"/>
      <c r="G493" s="42"/>
      <c r="H493" s="43"/>
      <c r="I493" s="73"/>
      <c r="J493" s="43"/>
      <c r="K493" s="43"/>
      <c r="L493" s="43"/>
      <c r="M493" s="43"/>
      <c r="N493" s="111"/>
      <c r="O493" s="43"/>
      <c r="P493" s="48"/>
      <c r="Q493" s="49"/>
      <c r="R493" s="37"/>
      <c r="S493" s="37"/>
      <c r="T493" s="37"/>
      <c r="U493" s="37"/>
      <c r="V493" s="59"/>
      <c r="W493" s="49"/>
      <c r="X493" s="37"/>
      <c r="Y493" s="37"/>
      <c r="Z493" s="37"/>
      <c r="AA493" s="37"/>
      <c r="AB493" s="37"/>
      <c r="AC493" s="37"/>
      <c r="AD493" s="37"/>
      <c r="AE493" s="37"/>
      <c r="AF493" s="37"/>
      <c r="AG493" s="59"/>
      <c r="AH493" s="49"/>
      <c r="AI493" s="37"/>
      <c r="AJ493" s="37"/>
      <c r="AK493" s="37"/>
      <c r="AL493" s="37"/>
      <c r="AM493" s="37"/>
      <c r="AN493" s="37"/>
      <c r="AO493" s="37"/>
      <c r="AP493" s="37"/>
      <c r="AQ493" s="37"/>
      <c r="AR493" s="37"/>
      <c r="AS493" s="37"/>
      <c r="AT493" s="37"/>
      <c r="AU493" s="37"/>
      <c r="AV493" s="59"/>
      <c r="AW493" s="1" t="str">
        <f>_xlfn.CONCAT(tbl_Ben_Info[[#This Row],[First Name]]," ",tbl_Ben_Info[[#This Row],[Father Name]]," ",tbl_Ben_Info[[#This Row],[Family Name]])</f>
        <v xml:space="preserve">  </v>
      </c>
    </row>
    <row r="494" spans="2:49" ht="25.15" customHeight="1" x14ac:dyDescent="0.25">
      <c r="B494" s="49">
        <v>489</v>
      </c>
      <c r="C494" s="1" t="str">
        <f>_xlfn.CONCAT("181-702-",IF(tbl_Ben_Info[[#This Row],[SN]]&lt;10,"00"&amp;tbl_Ben_Info[[#This Row],[SN]],IF(tbl_Ben_Info[[#This Row],[SN]]&lt;100,"0"&amp;tbl_Ben_Info[[#This Row],[SN]],tbl_Ben_Info[[#This Row],[SN]])))</f>
        <v>181-702-489</v>
      </c>
      <c r="D494" s="37"/>
      <c r="E494" s="40"/>
      <c r="F494" s="41"/>
      <c r="G494" s="42"/>
      <c r="H494" s="43"/>
      <c r="I494" s="73"/>
      <c r="J494" s="43"/>
      <c r="K494" s="43"/>
      <c r="L494" s="43"/>
      <c r="M494" s="43"/>
      <c r="N494" s="111"/>
      <c r="O494" s="43"/>
      <c r="P494" s="48"/>
      <c r="Q494" s="49"/>
      <c r="R494" s="37"/>
      <c r="S494" s="37"/>
      <c r="T494" s="37"/>
      <c r="U494" s="37"/>
      <c r="V494" s="59"/>
      <c r="W494" s="49"/>
      <c r="X494" s="37"/>
      <c r="Y494" s="37"/>
      <c r="Z494" s="37"/>
      <c r="AA494" s="37"/>
      <c r="AB494" s="37"/>
      <c r="AC494" s="37"/>
      <c r="AD494" s="37"/>
      <c r="AE494" s="37"/>
      <c r="AF494" s="37"/>
      <c r="AG494" s="59"/>
      <c r="AH494" s="49"/>
      <c r="AI494" s="37"/>
      <c r="AJ494" s="37"/>
      <c r="AK494" s="37"/>
      <c r="AL494" s="37"/>
      <c r="AM494" s="37"/>
      <c r="AN494" s="37"/>
      <c r="AO494" s="37"/>
      <c r="AP494" s="37"/>
      <c r="AQ494" s="37"/>
      <c r="AR494" s="37"/>
      <c r="AS494" s="37"/>
      <c r="AT494" s="37"/>
      <c r="AU494" s="37"/>
      <c r="AV494" s="59"/>
      <c r="AW494" s="1" t="str">
        <f>_xlfn.CONCAT(tbl_Ben_Info[[#This Row],[First Name]]," ",tbl_Ben_Info[[#This Row],[Father Name]]," ",tbl_Ben_Info[[#This Row],[Family Name]])</f>
        <v xml:space="preserve">  </v>
      </c>
    </row>
    <row r="495" spans="2:49" ht="25.15" customHeight="1" x14ac:dyDescent="0.25">
      <c r="B495" s="49">
        <v>490</v>
      </c>
      <c r="C495" s="1" t="str">
        <f>_xlfn.CONCAT("181-702-",IF(tbl_Ben_Info[[#This Row],[SN]]&lt;10,"00"&amp;tbl_Ben_Info[[#This Row],[SN]],IF(tbl_Ben_Info[[#This Row],[SN]]&lt;100,"0"&amp;tbl_Ben_Info[[#This Row],[SN]],tbl_Ben_Info[[#This Row],[SN]])))</f>
        <v>181-702-490</v>
      </c>
      <c r="D495" s="37"/>
      <c r="E495" s="40"/>
      <c r="F495" s="41"/>
      <c r="G495" s="42"/>
      <c r="H495" s="43"/>
      <c r="I495" s="73"/>
      <c r="J495" s="43"/>
      <c r="K495" s="43"/>
      <c r="L495" s="43"/>
      <c r="M495" s="43"/>
      <c r="N495" s="111"/>
      <c r="O495" s="43"/>
      <c r="P495" s="48"/>
      <c r="Q495" s="49"/>
      <c r="R495" s="37"/>
      <c r="S495" s="37"/>
      <c r="T495" s="37"/>
      <c r="U495" s="37"/>
      <c r="V495" s="59"/>
      <c r="W495" s="49"/>
      <c r="X495" s="37"/>
      <c r="Y495" s="37"/>
      <c r="Z495" s="37"/>
      <c r="AA495" s="37"/>
      <c r="AB495" s="37"/>
      <c r="AC495" s="37"/>
      <c r="AD495" s="37"/>
      <c r="AE495" s="37"/>
      <c r="AF495" s="37"/>
      <c r="AG495" s="59"/>
      <c r="AH495" s="49"/>
      <c r="AI495" s="37"/>
      <c r="AJ495" s="37"/>
      <c r="AK495" s="37"/>
      <c r="AL495" s="37"/>
      <c r="AM495" s="37"/>
      <c r="AN495" s="37"/>
      <c r="AO495" s="37"/>
      <c r="AP495" s="37"/>
      <c r="AQ495" s="37"/>
      <c r="AR495" s="37"/>
      <c r="AS495" s="37"/>
      <c r="AT495" s="37"/>
      <c r="AU495" s="37"/>
      <c r="AV495" s="59"/>
      <c r="AW495" s="1" t="str">
        <f>_xlfn.CONCAT(tbl_Ben_Info[[#This Row],[First Name]]," ",tbl_Ben_Info[[#This Row],[Father Name]]," ",tbl_Ben_Info[[#This Row],[Family Name]])</f>
        <v xml:space="preserve">  </v>
      </c>
    </row>
    <row r="496" spans="2:49" ht="25.15" customHeight="1" x14ac:dyDescent="0.25">
      <c r="B496" s="49">
        <v>491</v>
      </c>
      <c r="C496" s="1" t="str">
        <f>_xlfn.CONCAT("181-702-",IF(tbl_Ben_Info[[#This Row],[SN]]&lt;10,"00"&amp;tbl_Ben_Info[[#This Row],[SN]],IF(tbl_Ben_Info[[#This Row],[SN]]&lt;100,"0"&amp;tbl_Ben_Info[[#This Row],[SN]],tbl_Ben_Info[[#This Row],[SN]])))</f>
        <v>181-702-491</v>
      </c>
      <c r="D496" s="37"/>
      <c r="E496" s="40"/>
      <c r="F496" s="41"/>
      <c r="G496" s="42"/>
      <c r="H496" s="43"/>
      <c r="I496" s="73"/>
      <c r="J496" s="43"/>
      <c r="K496" s="43"/>
      <c r="L496" s="43"/>
      <c r="M496" s="43"/>
      <c r="N496" s="111"/>
      <c r="O496" s="43"/>
      <c r="P496" s="48"/>
      <c r="Q496" s="49"/>
      <c r="R496" s="37"/>
      <c r="S496" s="37"/>
      <c r="T496" s="37"/>
      <c r="U496" s="37"/>
      <c r="V496" s="59"/>
      <c r="W496" s="49"/>
      <c r="X496" s="37"/>
      <c r="Y496" s="37"/>
      <c r="Z496" s="37"/>
      <c r="AA496" s="37"/>
      <c r="AB496" s="37"/>
      <c r="AC496" s="37"/>
      <c r="AD496" s="37"/>
      <c r="AE496" s="37"/>
      <c r="AF496" s="37"/>
      <c r="AG496" s="59"/>
      <c r="AH496" s="49"/>
      <c r="AI496" s="37"/>
      <c r="AJ496" s="37"/>
      <c r="AK496" s="37"/>
      <c r="AL496" s="37"/>
      <c r="AM496" s="37"/>
      <c r="AN496" s="37"/>
      <c r="AO496" s="37"/>
      <c r="AP496" s="37"/>
      <c r="AQ496" s="37"/>
      <c r="AR496" s="37"/>
      <c r="AS496" s="37"/>
      <c r="AT496" s="37"/>
      <c r="AU496" s="37"/>
      <c r="AV496" s="59"/>
      <c r="AW496" s="1" t="str">
        <f>_xlfn.CONCAT(tbl_Ben_Info[[#This Row],[First Name]]," ",tbl_Ben_Info[[#This Row],[Father Name]]," ",tbl_Ben_Info[[#This Row],[Family Name]])</f>
        <v xml:space="preserve">  </v>
      </c>
    </row>
    <row r="497" spans="2:49" ht="25.15" customHeight="1" x14ac:dyDescent="0.25">
      <c r="B497" s="49">
        <v>492</v>
      </c>
      <c r="C497" s="1" t="str">
        <f>_xlfn.CONCAT("181-702-",IF(tbl_Ben_Info[[#This Row],[SN]]&lt;10,"00"&amp;tbl_Ben_Info[[#This Row],[SN]],IF(tbl_Ben_Info[[#This Row],[SN]]&lt;100,"0"&amp;tbl_Ben_Info[[#This Row],[SN]],tbl_Ben_Info[[#This Row],[SN]])))</f>
        <v>181-702-492</v>
      </c>
      <c r="D497" s="37"/>
      <c r="E497" s="40"/>
      <c r="F497" s="41"/>
      <c r="G497" s="42"/>
      <c r="H497" s="43"/>
      <c r="I497" s="73"/>
      <c r="J497" s="43"/>
      <c r="K497" s="43"/>
      <c r="L497" s="43"/>
      <c r="M497" s="43"/>
      <c r="N497" s="111"/>
      <c r="O497" s="43"/>
      <c r="P497" s="48"/>
      <c r="Q497" s="49"/>
      <c r="R497" s="37"/>
      <c r="S497" s="37"/>
      <c r="T497" s="37"/>
      <c r="U497" s="37"/>
      <c r="V497" s="59"/>
      <c r="W497" s="49"/>
      <c r="X497" s="37"/>
      <c r="Y497" s="37"/>
      <c r="Z497" s="37"/>
      <c r="AA497" s="37"/>
      <c r="AB497" s="37"/>
      <c r="AC497" s="37"/>
      <c r="AD497" s="37"/>
      <c r="AE497" s="37"/>
      <c r="AF497" s="37"/>
      <c r="AG497" s="59"/>
      <c r="AH497" s="49"/>
      <c r="AI497" s="37"/>
      <c r="AJ497" s="37"/>
      <c r="AK497" s="37"/>
      <c r="AL497" s="37"/>
      <c r="AM497" s="37"/>
      <c r="AN497" s="37"/>
      <c r="AO497" s="37"/>
      <c r="AP497" s="37"/>
      <c r="AQ497" s="37"/>
      <c r="AR497" s="37"/>
      <c r="AS497" s="37"/>
      <c r="AT497" s="37"/>
      <c r="AU497" s="37"/>
      <c r="AV497" s="59"/>
      <c r="AW497" s="1" t="str">
        <f>_xlfn.CONCAT(tbl_Ben_Info[[#This Row],[First Name]]," ",tbl_Ben_Info[[#This Row],[Father Name]]," ",tbl_Ben_Info[[#This Row],[Family Name]])</f>
        <v xml:space="preserve">  </v>
      </c>
    </row>
    <row r="498" spans="2:49" ht="25.15" customHeight="1" x14ac:dyDescent="0.25">
      <c r="B498" s="49">
        <v>493</v>
      </c>
      <c r="C498" s="1" t="str">
        <f>_xlfn.CONCAT("181-702-",IF(tbl_Ben_Info[[#This Row],[SN]]&lt;10,"00"&amp;tbl_Ben_Info[[#This Row],[SN]],IF(tbl_Ben_Info[[#This Row],[SN]]&lt;100,"0"&amp;tbl_Ben_Info[[#This Row],[SN]],tbl_Ben_Info[[#This Row],[SN]])))</f>
        <v>181-702-493</v>
      </c>
      <c r="D498" s="37"/>
      <c r="E498" s="40"/>
      <c r="F498" s="41"/>
      <c r="G498" s="42"/>
      <c r="H498" s="43"/>
      <c r="I498" s="73"/>
      <c r="J498" s="43"/>
      <c r="K498" s="43"/>
      <c r="L498" s="43"/>
      <c r="M498" s="43"/>
      <c r="N498" s="111"/>
      <c r="O498" s="43"/>
      <c r="P498" s="48"/>
      <c r="Q498" s="49"/>
      <c r="R498" s="37"/>
      <c r="S498" s="37"/>
      <c r="T498" s="37"/>
      <c r="U498" s="37"/>
      <c r="V498" s="59"/>
      <c r="W498" s="49"/>
      <c r="X498" s="37"/>
      <c r="Y498" s="37"/>
      <c r="Z498" s="37"/>
      <c r="AA498" s="37"/>
      <c r="AB498" s="37"/>
      <c r="AC498" s="37"/>
      <c r="AD498" s="37"/>
      <c r="AE498" s="37"/>
      <c r="AF498" s="37"/>
      <c r="AG498" s="59"/>
      <c r="AH498" s="49"/>
      <c r="AI498" s="37"/>
      <c r="AJ498" s="37"/>
      <c r="AK498" s="37"/>
      <c r="AL498" s="37"/>
      <c r="AM498" s="37"/>
      <c r="AN498" s="37"/>
      <c r="AO498" s="37"/>
      <c r="AP498" s="37"/>
      <c r="AQ498" s="37"/>
      <c r="AR498" s="37"/>
      <c r="AS498" s="37"/>
      <c r="AT498" s="37"/>
      <c r="AU498" s="37"/>
      <c r="AV498" s="59"/>
      <c r="AW498" s="1" t="str">
        <f>_xlfn.CONCAT(tbl_Ben_Info[[#This Row],[First Name]]," ",tbl_Ben_Info[[#This Row],[Father Name]]," ",tbl_Ben_Info[[#This Row],[Family Name]])</f>
        <v xml:space="preserve">  </v>
      </c>
    </row>
    <row r="499" spans="2:49" ht="25.15" customHeight="1" x14ac:dyDescent="0.25">
      <c r="B499" s="49">
        <v>494</v>
      </c>
      <c r="C499" s="1" t="str">
        <f>_xlfn.CONCAT("181-702-",IF(tbl_Ben_Info[[#This Row],[SN]]&lt;10,"00"&amp;tbl_Ben_Info[[#This Row],[SN]],IF(tbl_Ben_Info[[#This Row],[SN]]&lt;100,"0"&amp;tbl_Ben_Info[[#This Row],[SN]],tbl_Ben_Info[[#This Row],[SN]])))</f>
        <v>181-702-494</v>
      </c>
      <c r="D499" s="37"/>
      <c r="E499" s="40"/>
      <c r="F499" s="41"/>
      <c r="G499" s="42"/>
      <c r="H499" s="43"/>
      <c r="I499" s="73"/>
      <c r="J499" s="43"/>
      <c r="K499" s="43"/>
      <c r="L499" s="43"/>
      <c r="M499" s="43"/>
      <c r="N499" s="111"/>
      <c r="O499" s="43"/>
      <c r="P499" s="48"/>
      <c r="Q499" s="49"/>
      <c r="R499" s="37"/>
      <c r="S499" s="37"/>
      <c r="T499" s="37"/>
      <c r="U499" s="37"/>
      <c r="V499" s="59"/>
      <c r="W499" s="49"/>
      <c r="X499" s="37"/>
      <c r="Y499" s="37"/>
      <c r="Z499" s="37"/>
      <c r="AA499" s="37"/>
      <c r="AB499" s="37"/>
      <c r="AC499" s="37"/>
      <c r="AD499" s="37"/>
      <c r="AE499" s="37"/>
      <c r="AF499" s="37"/>
      <c r="AG499" s="59"/>
      <c r="AH499" s="49"/>
      <c r="AI499" s="37"/>
      <c r="AJ499" s="37"/>
      <c r="AK499" s="37"/>
      <c r="AL499" s="37"/>
      <c r="AM499" s="37"/>
      <c r="AN499" s="37"/>
      <c r="AO499" s="37"/>
      <c r="AP499" s="37"/>
      <c r="AQ499" s="37"/>
      <c r="AR499" s="37"/>
      <c r="AS499" s="37"/>
      <c r="AT499" s="37"/>
      <c r="AU499" s="37"/>
      <c r="AV499" s="59"/>
      <c r="AW499" s="1" t="str">
        <f>_xlfn.CONCAT(tbl_Ben_Info[[#This Row],[First Name]]," ",tbl_Ben_Info[[#This Row],[Father Name]]," ",tbl_Ben_Info[[#This Row],[Family Name]])</f>
        <v xml:space="preserve">  </v>
      </c>
    </row>
    <row r="500" spans="2:49" ht="25.15" customHeight="1" x14ac:dyDescent="0.25">
      <c r="B500" s="49">
        <v>495</v>
      </c>
      <c r="C500" s="1" t="str">
        <f>_xlfn.CONCAT("181-702-",IF(tbl_Ben_Info[[#This Row],[SN]]&lt;10,"00"&amp;tbl_Ben_Info[[#This Row],[SN]],IF(tbl_Ben_Info[[#This Row],[SN]]&lt;100,"0"&amp;tbl_Ben_Info[[#This Row],[SN]],tbl_Ben_Info[[#This Row],[SN]])))</f>
        <v>181-702-495</v>
      </c>
      <c r="D500" s="37"/>
      <c r="E500" s="40"/>
      <c r="F500" s="41"/>
      <c r="G500" s="42"/>
      <c r="H500" s="43"/>
      <c r="I500" s="73"/>
      <c r="J500" s="43"/>
      <c r="K500" s="43"/>
      <c r="L500" s="43"/>
      <c r="M500" s="43"/>
      <c r="N500" s="111"/>
      <c r="O500" s="43"/>
      <c r="P500" s="48"/>
      <c r="Q500" s="49"/>
      <c r="R500" s="37"/>
      <c r="S500" s="37"/>
      <c r="T500" s="37"/>
      <c r="U500" s="37"/>
      <c r="V500" s="59"/>
      <c r="W500" s="49"/>
      <c r="X500" s="37"/>
      <c r="Y500" s="37"/>
      <c r="Z500" s="37"/>
      <c r="AA500" s="37"/>
      <c r="AB500" s="37"/>
      <c r="AC500" s="37"/>
      <c r="AD500" s="37"/>
      <c r="AE500" s="37"/>
      <c r="AF500" s="37"/>
      <c r="AG500" s="59"/>
      <c r="AH500" s="49"/>
      <c r="AI500" s="37"/>
      <c r="AJ500" s="37"/>
      <c r="AK500" s="37"/>
      <c r="AL500" s="37"/>
      <c r="AM500" s="37"/>
      <c r="AN500" s="37"/>
      <c r="AO500" s="37"/>
      <c r="AP500" s="37"/>
      <c r="AQ500" s="37"/>
      <c r="AR500" s="37"/>
      <c r="AS500" s="37"/>
      <c r="AT500" s="37"/>
      <c r="AU500" s="37"/>
      <c r="AV500" s="59"/>
      <c r="AW500" s="1" t="str">
        <f>_xlfn.CONCAT(tbl_Ben_Info[[#This Row],[First Name]]," ",tbl_Ben_Info[[#This Row],[Father Name]]," ",tbl_Ben_Info[[#This Row],[Family Name]])</f>
        <v xml:space="preserve">  </v>
      </c>
    </row>
    <row r="501" spans="2:49" ht="25.15" customHeight="1" x14ac:dyDescent="0.25">
      <c r="B501" s="49">
        <v>496</v>
      </c>
      <c r="C501" s="1" t="str">
        <f>_xlfn.CONCAT("181-702-",IF(tbl_Ben_Info[[#This Row],[SN]]&lt;10,"00"&amp;tbl_Ben_Info[[#This Row],[SN]],IF(tbl_Ben_Info[[#This Row],[SN]]&lt;100,"0"&amp;tbl_Ben_Info[[#This Row],[SN]],tbl_Ben_Info[[#This Row],[SN]])))</f>
        <v>181-702-496</v>
      </c>
      <c r="D501" s="37"/>
      <c r="E501" s="40"/>
      <c r="F501" s="41"/>
      <c r="G501" s="42"/>
      <c r="H501" s="43"/>
      <c r="I501" s="73"/>
      <c r="J501" s="43"/>
      <c r="K501" s="43"/>
      <c r="L501" s="43"/>
      <c r="M501" s="43"/>
      <c r="N501" s="111"/>
      <c r="O501" s="43"/>
      <c r="P501" s="48"/>
      <c r="Q501" s="49"/>
      <c r="R501" s="37"/>
      <c r="S501" s="37"/>
      <c r="T501" s="37"/>
      <c r="U501" s="37"/>
      <c r="V501" s="59"/>
      <c r="W501" s="49"/>
      <c r="X501" s="37"/>
      <c r="Y501" s="37"/>
      <c r="Z501" s="37"/>
      <c r="AA501" s="37"/>
      <c r="AB501" s="37"/>
      <c r="AC501" s="37"/>
      <c r="AD501" s="37"/>
      <c r="AE501" s="37"/>
      <c r="AF501" s="37"/>
      <c r="AG501" s="59"/>
      <c r="AH501" s="49"/>
      <c r="AI501" s="37"/>
      <c r="AJ501" s="37"/>
      <c r="AK501" s="37"/>
      <c r="AL501" s="37"/>
      <c r="AM501" s="37"/>
      <c r="AN501" s="37"/>
      <c r="AO501" s="37"/>
      <c r="AP501" s="37"/>
      <c r="AQ501" s="37"/>
      <c r="AR501" s="37"/>
      <c r="AS501" s="37"/>
      <c r="AT501" s="37"/>
      <c r="AU501" s="37"/>
      <c r="AV501" s="59"/>
      <c r="AW501" s="1" t="str">
        <f>_xlfn.CONCAT(tbl_Ben_Info[[#This Row],[First Name]]," ",tbl_Ben_Info[[#This Row],[Father Name]]," ",tbl_Ben_Info[[#This Row],[Family Name]])</f>
        <v xml:space="preserve">  </v>
      </c>
    </row>
    <row r="502" spans="2:49" ht="25.15" customHeight="1" x14ac:dyDescent="0.25">
      <c r="B502" s="49">
        <v>497</v>
      </c>
      <c r="C502" s="1" t="str">
        <f>_xlfn.CONCAT("181-702-",IF(tbl_Ben_Info[[#This Row],[SN]]&lt;10,"00"&amp;tbl_Ben_Info[[#This Row],[SN]],IF(tbl_Ben_Info[[#This Row],[SN]]&lt;100,"0"&amp;tbl_Ben_Info[[#This Row],[SN]],tbl_Ben_Info[[#This Row],[SN]])))</f>
        <v>181-702-497</v>
      </c>
      <c r="D502" s="37"/>
      <c r="E502" s="40"/>
      <c r="F502" s="41"/>
      <c r="G502" s="42"/>
      <c r="H502" s="43"/>
      <c r="I502" s="73"/>
      <c r="J502" s="43"/>
      <c r="K502" s="43"/>
      <c r="L502" s="43"/>
      <c r="M502" s="43"/>
      <c r="N502" s="111"/>
      <c r="O502" s="43"/>
      <c r="P502" s="48"/>
      <c r="Q502" s="49"/>
      <c r="R502" s="37"/>
      <c r="S502" s="37"/>
      <c r="T502" s="37"/>
      <c r="U502" s="37"/>
      <c r="V502" s="59"/>
      <c r="W502" s="49"/>
      <c r="X502" s="37"/>
      <c r="Y502" s="37"/>
      <c r="Z502" s="37"/>
      <c r="AA502" s="37"/>
      <c r="AB502" s="37"/>
      <c r="AC502" s="37"/>
      <c r="AD502" s="37"/>
      <c r="AE502" s="37"/>
      <c r="AF502" s="37"/>
      <c r="AG502" s="59"/>
      <c r="AH502" s="49"/>
      <c r="AI502" s="37"/>
      <c r="AJ502" s="37"/>
      <c r="AK502" s="37"/>
      <c r="AL502" s="37"/>
      <c r="AM502" s="37"/>
      <c r="AN502" s="37"/>
      <c r="AO502" s="37"/>
      <c r="AP502" s="37"/>
      <c r="AQ502" s="37"/>
      <c r="AR502" s="37"/>
      <c r="AS502" s="37"/>
      <c r="AT502" s="37"/>
      <c r="AU502" s="37"/>
      <c r="AV502" s="59"/>
      <c r="AW502" s="1" t="str">
        <f>_xlfn.CONCAT(tbl_Ben_Info[[#This Row],[First Name]]," ",tbl_Ben_Info[[#This Row],[Father Name]]," ",tbl_Ben_Info[[#This Row],[Family Name]])</f>
        <v xml:space="preserve">  </v>
      </c>
    </row>
    <row r="503" spans="2:49" ht="25.15" customHeight="1" x14ac:dyDescent="0.25">
      <c r="B503" s="49">
        <v>498</v>
      </c>
      <c r="C503" s="1" t="str">
        <f>_xlfn.CONCAT("181-702-",IF(tbl_Ben_Info[[#This Row],[SN]]&lt;10,"00"&amp;tbl_Ben_Info[[#This Row],[SN]],IF(tbl_Ben_Info[[#This Row],[SN]]&lt;100,"0"&amp;tbl_Ben_Info[[#This Row],[SN]],tbl_Ben_Info[[#This Row],[SN]])))</f>
        <v>181-702-498</v>
      </c>
      <c r="D503" s="37"/>
      <c r="E503" s="40"/>
      <c r="F503" s="41"/>
      <c r="G503" s="42"/>
      <c r="H503" s="43"/>
      <c r="I503" s="73"/>
      <c r="J503" s="43"/>
      <c r="K503" s="43"/>
      <c r="L503" s="43"/>
      <c r="M503" s="43"/>
      <c r="N503" s="111"/>
      <c r="O503" s="43"/>
      <c r="P503" s="48"/>
      <c r="Q503" s="49"/>
      <c r="R503" s="37"/>
      <c r="S503" s="37"/>
      <c r="T503" s="37"/>
      <c r="U503" s="37"/>
      <c r="V503" s="59"/>
      <c r="W503" s="49"/>
      <c r="X503" s="37"/>
      <c r="Y503" s="37"/>
      <c r="Z503" s="37"/>
      <c r="AA503" s="37"/>
      <c r="AB503" s="37"/>
      <c r="AC503" s="37"/>
      <c r="AD503" s="37"/>
      <c r="AE503" s="37"/>
      <c r="AF503" s="37"/>
      <c r="AG503" s="59"/>
      <c r="AH503" s="49"/>
      <c r="AI503" s="37"/>
      <c r="AJ503" s="37"/>
      <c r="AK503" s="37"/>
      <c r="AL503" s="37"/>
      <c r="AM503" s="37"/>
      <c r="AN503" s="37"/>
      <c r="AO503" s="37"/>
      <c r="AP503" s="37"/>
      <c r="AQ503" s="37"/>
      <c r="AR503" s="37"/>
      <c r="AS503" s="37"/>
      <c r="AT503" s="37"/>
      <c r="AU503" s="37"/>
      <c r="AV503" s="59"/>
      <c r="AW503" s="1" t="str">
        <f>_xlfn.CONCAT(tbl_Ben_Info[[#This Row],[First Name]]," ",tbl_Ben_Info[[#This Row],[Father Name]]," ",tbl_Ben_Info[[#This Row],[Family Name]])</f>
        <v xml:space="preserve">  </v>
      </c>
    </row>
    <row r="504" spans="2:49" ht="25.15" customHeight="1" x14ac:dyDescent="0.25">
      <c r="B504" s="49">
        <v>499</v>
      </c>
      <c r="C504" s="1" t="str">
        <f>_xlfn.CONCAT("181-702-",IF(tbl_Ben_Info[[#This Row],[SN]]&lt;10,"00"&amp;tbl_Ben_Info[[#This Row],[SN]],IF(tbl_Ben_Info[[#This Row],[SN]]&lt;100,"0"&amp;tbl_Ben_Info[[#This Row],[SN]],tbl_Ben_Info[[#This Row],[SN]])))</f>
        <v>181-702-499</v>
      </c>
      <c r="D504" s="37"/>
      <c r="E504" s="40"/>
      <c r="F504" s="41"/>
      <c r="G504" s="42"/>
      <c r="H504" s="43"/>
      <c r="I504" s="73"/>
      <c r="J504" s="43"/>
      <c r="K504" s="43"/>
      <c r="L504" s="43"/>
      <c r="M504" s="43"/>
      <c r="N504" s="111"/>
      <c r="O504" s="43"/>
      <c r="P504" s="48"/>
      <c r="Q504" s="49"/>
      <c r="R504" s="37"/>
      <c r="S504" s="37"/>
      <c r="T504" s="37"/>
      <c r="U504" s="37"/>
      <c r="V504" s="59"/>
      <c r="W504" s="49"/>
      <c r="X504" s="37"/>
      <c r="Y504" s="37"/>
      <c r="Z504" s="37"/>
      <c r="AA504" s="37"/>
      <c r="AB504" s="37"/>
      <c r="AC504" s="37"/>
      <c r="AD504" s="37"/>
      <c r="AE504" s="37"/>
      <c r="AF504" s="37"/>
      <c r="AG504" s="59"/>
      <c r="AH504" s="49"/>
      <c r="AI504" s="37"/>
      <c r="AJ504" s="37"/>
      <c r="AK504" s="37"/>
      <c r="AL504" s="37"/>
      <c r="AM504" s="37"/>
      <c r="AN504" s="37"/>
      <c r="AO504" s="37"/>
      <c r="AP504" s="37"/>
      <c r="AQ504" s="37"/>
      <c r="AR504" s="37"/>
      <c r="AS504" s="37"/>
      <c r="AT504" s="37"/>
      <c r="AU504" s="37"/>
      <c r="AV504" s="59"/>
      <c r="AW504" s="1" t="str">
        <f>_xlfn.CONCAT(tbl_Ben_Info[[#This Row],[First Name]]," ",tbl_Ben_Info[[#This Row],[Father Name]]," ",tbl_Ben_Info[[#This Row],[Family Name]])</f>
        <v xml:space="preserve">  </v>
      </c>
    </row>
    <row r="505" spans="2:49" ht="25.15" customHeight="1" x14ac:dyDescent="0.25">
      <c r="B505" s="49">
        <v>500</v>
      </c>
      <c r="C505" s="1" t="str">
        <f>_xlfn.CONCAT("181-702-",IF(tbl_Ben_Info[[#This Row],[SN]]&lt;10,"00"&amp;tbl_Ben_Info[[#This Row],[SN]],IF(tbl_Ben_Info[[#This Row],[SN]]&lt;100,"0"&amp;tbl_Ben_Info[[#This Row],[SN]],tbl_Ben_Info[[#This Row],[SN]])))</f>
        <v>181-702-500</v>
      </c>
      <c r="D505" s="37"/>
      <c r="E505" s="40"/>
      <c r="F505" s="41"/>
      <c r="G505" s="42"/>
      <c r="H505" s="43"/>
      <c r="I505" s="73"/>
      <c r="J505" s="43"/>
      <c r="K505" s="43"/>
      <c r="L505" s="43"/>
      <c r="M505" s="43"/>
      <c r="N505" s="111"/>
      <c r="O505" s="43"/>
      <c r="P505" s="48"/>
      <c r="Q505" s="49"/>
      <c r="R505" s="37"/>
      <c r="S505" s="37"/>
      <c r="T505" s="37"/>
      <c r="U505" s="37"/>
      <c r="V505" s="59"/>
      <c r="W505" s="49"/>
      <c r="X505" s="37"/>
      <c r="Y505" s="37"/>
      <c r="Z505" s="37"/>
      <c r="AA505" s="37"/>
      <c r="AB505" s="37"/>
      <c r="AC505" s="37"/>
      <c r="AD505" s="37"/>
      <c r="AE505" s="37"/>
      <c r="AF505" s="37"/>
      <c r="AG505" s="59"/>
      <c r="AH505" s="49"/>
      <c r="AI505" s="37"/>
      <c r="AJ505" s="37"/>
      <c r="AK505" s="37"/>
      <c r="AL505" s="37"/>
      <c r="AM505" s="37"/>
      <c r="AN505" s="37"/>
      <c r="AO505" s="37"/>
      <c r="AP505" s="37"/>
      <c r="AQ505" s="37"/>
      <c r="AR505" s="37"/>
      <c r="AS505" s="37"/>
      <c r="AT505" s="37"/>
      <c r="AU505" s="37"/>
      <c r="AV505" s="59"/>
      <c r="AW505" s="1" t="str">
        <f>_xlfn.CONCAT(tbl_Ben_Info[[#This Row],[First Name]]," ",tbl_Ben_Info[[#This Row],[Father Name]]," ",tbl_Ben_Info[[#This Row],[Family Name]])</f>
        <v xml:space="preserve">  </v>
      </c>
    </row>
    <row r="506" spans="2:49" ht="25.15" customHeight="1" x14ac:dyDescent="0.25">
      <c r="B506" s="49">
        <v>501</v>
      </c>
      <c r="C506" s="1" t="str">
        <f>_xlfn.CONCAT("181-702-",IF(tbl_Ben_Info[[#This Row],[SN]]&lt;10,"00"&amp;tbl_Ben_Info[[#This Row],[SN]],IF(tbl_Ben_Info[[#This Row],[SN]]&lt;100,"0"&amp;tbl_Ben_Info[[#This Row],[SN]],tbl_Ben_Info[[#This Row],[SN]])))</f>
        <v>181-702-501</v>
      </c>
      <c r="D506" s="37"/>
      <c r="E506" s="40"/>
      <c r="F506" s="41"/>
      <c r="G506" s="42"/>
      <c r="H506" s="43"/>
      <c r="I506" s="73"/>
      <c r="J506" s="43"/>
      <c r="K506" s="43"/>
      <c r="L506" s="43"/>
      <c r="M506" s="43"/>
      <c r="N506" s="111"/>
      <c r="O506" s="43"/>
      <c r="P506" s="48"/>
      <c r="Q506" s="49"/>
      <c r="R506" s="37"/>
      <c r="S506" s="37"/>
      <c r="T506" s="37"/>
      <c r="U506" s="37"/>
      <c r="V506" s="59"/>
      <c r="W506" s="49"/>
      <c r="X506" s="37"/>
      <c r="Y506" s="37"/>
      <c r="Z506" s="37"/>
      <c r="AA506" s="37"/>
      <c r="AB506" s="37"/>
      <c r="AC506" s="37"/>
      <c r="AD506" s="37"/>
      <c r="AE506" s="37"/>
      <c r="AF506" s="37"/>
      <c r="AG506" s="59"/>
      <c r="AH506" s="49"/>
      <c r="AI506" s="37"/>
      <c r="AJ506" s="37"/>
      <c r="AK506" s="37"/>
      <c r="AL506" s="37"/>
      <c r="AM506" s="37"/>
      <c r="AN506" s="37"/>
      <c r="AO506" s="37"/>
      <c r="AP506" s="37"/>
      <c r="AQ506" s="37"/>
      <c r="AR506" s="37"/>
      <c r="AS506" s="37"/>
      <c r="AT506" s="37"/>
      <c r="AU506" s="37"/>
      <c r="AV506" s="59"/>
      <c r="AW506" s="1" t="str">
        <f>_xlfn.CONCAT(tbl_Ben_Info[[#This Row],[First Name]]," ",tbl_Ben_Info[[#This Row],[Father Name]]," ",tbl_Ben_Info[[#This Row],[Family Name]])</f>
        <v xml:space="preserve">  </v>
      </c>
    </row>
    <row r="507" spans="2:49" ht="25.15" customHeight="1" x14ac:dyDescent="0.25">
      <c r="B507" s="49">
        <v>502</v>
      </c>
      <c r="C507" s="1" t="str">
        <f>_xlfn.CONCAT("181-702-",IF(tbl_Ben_Info[[#This Row],[SN]]&lt;10,"00"&amp;tbl_Ben_Info[[#This Row],[SN]],IF(tbl_Ben_Info[[#This Row],[SN]]&lt;100,"0"&amp;tbl_Ben_Info[[#This Row],[SN]],tbl_Ben_Info[[#This Row],[SN]])))</f>
        <v>181-702-502</v>
      </c>
      <c r="D507" s="37"/>
      <c r="E507" s="40"/>
      <c r="F507" s="41"/>
      <c r="G507" s="42"/>
      <c r="H507" s="43"/>
      <c r="I507" s="73"/>
      <c r="J507" s="43"/>
      <c r="K507" s="43"/>
      <c r="L507" s="43"/>
      <c r="M507" s="43"/>
      <c r="N507" s="111"/>
      <c r="O507" s="43"/>
      <c r="P507" s="48"/>
      <c r="Q507" s="49"/>
      <c r="R507" s="37"/>
      <c r="S507" s="37"/>
      <c r="T507" s="37"/>
      <c r="U507" s="37"/>
      <c r="V507" s="59"/>
      <c r="W507" s="49"/>
      <c r="X507" s="37"/>
      <c r="Y507" s="37"/>
      <c r="Z507" s="37"/>
      <c r="AA507" s="37"/>
      <c r="AB507" s="37"/>
      <c r="AC507" s="37"/>
      <c r="AD507" s="37"/>
      <c r="AE507" s="37"/>
      <c r="AF507" s="37"/>
      <c r="AG507" s="59"/>
      <c r="AH507" s="49"/>
      <c r="AI507" s="37"/>
      <c r="AJ507" s="37"/>
      <c r="AK507" s="37"/>
      <c r="AL507" s="37"/>
      <c r="AM507" s="37"/>
      <c r="AN507" s="37"/>
      <c r="AO507" s="37"/>
      <c r="AP507" s="37"/>
      <c r="AQ507" s="37"/>
      <c r="AR507" s="37"/>
      <c r="AS507" s="37"/>
      <c r="AT507" s="37"/>
      <c r="AU507" s="37"/>
      <c r="AV507" s="59"/>
      <c r="AW507" s="1" t="str">
        <f>_xlfn.CONCAT(tbl_Ben_Info[[#This Row],[First Name]]," ",tbl_Ben_Info[[#This Row],[Father Name]]," ",tbl_Ben_Info[[#This Row],[Family Name]])</f>
        <v xml:space="preserve">  </v>
      </c>
    </row>
    <row r="508" spans="2:49" ht="25.15" customHeight="1" x14ac:dyDescent="0.25">
      <c r="B508" s="49">
        <v>503</v>
      </c>
      <c r="C508" s="1" t="str">
        <f>_xlfn.CONCAT("181-702-",IF(tbl_Ben_Info[[#This Row],[SN]]&lt;10,"00"&amp;tbl_Ben_Info[[#This Row],[SN]],IF(tbl_Ben_Info[[#This Row],[SN]]&lt;100,"0"&amp;tbl_Ben_Info[[#This Row],[SN]],tbl_Ben_Info[[#This Row],[SN]])))</f>
        <v>181-702-503</v>
      </c>
      <c r="D508" s="37"/>
      <c r="E508" s="40"/>
      <c r="F508" s="41"/>
      <c r="G508" s="42"/>
      <c r="H508" s="43"/>
      <c r="I508" s="73"/>
      <c r="J508" s="43"/>
      <c r="K508" s="43"/>
      <c r="L508" s="43"/>
      <c r="M508" s="43"/>
      <c r="N508" s="111"/>
      <c r="O508" s="43"/>
      <c r="P508" s="48"/>
      <c r="Q508" s="49"/>
      <c r="R508" s="37"/>
      <c r="S508" s="37"/>
      <c r="T508" s="37"/>
      <c r="U508" s="37"/>
      <c r="V508" s="59"/>
      <c r="W508" s="49"/>
      <c r="X508" s="37"/>
      <c r="Y508" s="37"/>
      <c r="Z508" s="37"/>
      <c r="AA508" s="37"/>
      <c r="AB508" s="37"/>
      <c r="AC508" s="37"/>
      <c r="AD508" s="37"/>
      <c r="AE508" s="37"/>
      <c r="AF508" s="37"/>
      <c r="AG508" s="59"/>
      <c r="AH508" s="49"/>
      <c r="AI508" s="37"/>
      <c r="AJ508" s="37"/>
      <c r="AK508" s="37"/>
      <c r="AL508" s="37"/>
      <c r="AM508" s="37"/>
      <c r="AN508" s="37"/>
      <c r="AO508" s="37"/>
      <c r="AP508" s="37"/>
      <c r="AQ508" s="37"/>
      <c r="AR508" s="37"/>
      <c r="AS508" s="37"/>
      <c r="AT508" s="37"/>
      <c r="AU508" s="37"/>
      <c r="AV508" s="59"/>
      <c r="AW508" s="1" t="str">
        <f>_xlfn.CONCAT(tbl_Ben_Info[[#This Row],[First Name]]," ",tbl_Ben_Info[[#This Row],[Father Name]]," ",tbl_Ben_Info[[#This Row],[Family Name]])</f>
        <v xml:space="preserve">  </v>
      </c>
    </row>
    <row r="509" spans="2:49" ht="25.15" customHeight="1" x14ac:dyDescent="0.25">
      <c r="B509" s="49">
        <v>504</v>
      </c>
      <c r="C509" s="1" t="str">
        <f>_xlfn.CONCAT("181-702-",IF(tbl_Ben_Info[[#This Row],[SN]]&lt;10,"00"&amp;tbl_Ben_Info[[#This Row],[SN]],IF(tbl_Ben_Info[[#This Row],[SN]]&lt;100,"0"&amp;tbl_Ben_Info[[#This Row],[SN]],tbl_Ben_Info[[#This Row],[SN]])))</f>
        <v>181-702-504</v>
      </c>
      <c r="D509" s="37"/>
      <c r="E509" s="40"/>
      <c r="F509" s="41"/>
      <c r="G509" s="42"/>
      <c r="H509" s="43"/>
      <c r="I509" s="73"/>
      <c r="J509" s="43"/>
      <c r="K509" s="43"/>
      <c r="L509" s="43"/>
      <c r="M509" s="43"/>
      <c r="N509" s="111"/>
      <c r="O509" s="43"/>
      <c r="P509" s="48"/>
      <c r="Q509" s="49"/>
      <c r="R509" s="37"/>
      <c r="S509" s="37"/>
      <c r="T509" s="37"/>
      <c r="U509" s="37"/>
      <c r="V509" s="59"/>
      <c r="W509" s="49"/>
      <c r="X509" s="37"/>
      <c r="Y509" s="37"/>
      <c r="Z509" s="37"/>
      <c r="AA509" s="37"/>
      <c r="AB509" s="37"/>
      <c r="AC509" s="37"/>
      <c r="AD509" s="37"/>
      <c r="AE509" s="37"/>
      <c r="AF509" s="37"/>
      <c r="AG509" s="59"/>
      <c r="AH509" s="49"/>
      <c r="AI509" s="37"/>
      <c r="AJ509" s="37"/>
      <c r="AK509" s="37"/>
      <c r="AL509" s="37"/>
      <c r="AM509" s="37"/>
      <c r="AN509" s="37"/>
      <c r="AO509" s="37"/>
      <c r="AP509" s="37"/>
      <c r="AQ509" s="37"/>
      <c r="AR509" s="37"/>
      <c r="AS509" s="37"/>
      <c r="AT509" s="37"/>
      <c r="AU509" s="37"/>
      <c r="AV509" s="59"/>
      <c r="AW509" s="1" t="str">
        <f>_xlfn.CONCAT(tbl_Ben_Info[[#This Row],[First Name]]," ",tbl_Ben_Info[[#This Row],[Father Name]]," ",tbl_Ben_Info[[#This Row],[Family Name]])</f>
        <v xml:space="preserve">  </v>
      </c>
    </row>
    <row r="510" spans="2:49" ht="25.15" customHeight="1" x14ac:dyDescent="0.25">
      <c r="B510" s="49">
        <v>505</v>
      </c>
      <c r="C510" s="1" t="str">
        <f>_xlfn.CONCAT("181-702-",IF(tbl_Ben_Info[[#This Row],[SN]]&lt;10,"00"&amp;tbl_Ben_Info[[#This Row],[SN]],IF(tbl_Ben_Info[[#This Row],[SN]]&lt;100,"0"&amp;tbl_Ben_Info[[#This Row],[SN]],tbl_Ben_Info[[#This Row],[SN]])))</f>
        <v>181-702-505</v>
      </c>
      <c r="D510" s="37"/>
      <c r="E510" s="40"/>
      <c r="F510" s="41"/>
      <c r="G510" s="42"/>
      <c r="H510" s="43"/>
      <c r="I510" s="73"/>
      <c r="J510" s="43"/>
      <c r="K510" s="43"/>
      <c r="L510" s="43"/>
      <c r="M510" s="43"/>
      <c r="N510" s="111"/>
      <c r="O510" s="43"/>
      <c r="P510" s="48"/>
      <c r="Q510" s="49"/>
      <c r="R510" s="37"/>
      <c r="S510" s="37"/>
      <c r="T510" s="37"/>
      <c r="U510" s="37"/>
      <c r="V510" s="59"/>
      <c r="W510" s="49"/>
      <c r="X510" s="37"/>
      <c r="Y510" s="37"/>
      <c r="Z510" s="37"/>
      <c r="AA510" s="37"/>
      <c r="AB510" s="37"/>
      <c r="AC510" s="37"/>
      <c r="AD510" s="37"/>
      <c r="AE510" s="37"/>
      <c r="AF510" s="37"/>
      <c r="AG510" s="59"/>
      <c r="AH510" s="49"/>
      <c r="AI510" s="37"/>
      <c r="AJ510" s="37"/>
      <c r="AK510" s="37"/>
      <c r="AL510" s="37"/>
      <c r="AM510" s="37"/>
      <c r="AN510" s="37"/>
      <c r="AO510" s="37"/>
      <c r="AP510" s="37"/>
      <c r="AQ510" s="37"/>
      <c r="AR510" s="37"/>
      <c r="AS510" s="37"/>
      <c r="AT510" s="37"/>
      <c r="AU510" s="37"/>
      <c r="AV510" s="59"/>
      <c r="AW510" s="1" t="str">
        <f>_xlfn.CONCAT(tbl_Ben_Info[[#This Row],[First Name]]," ",tbl_Ben_Info[[#This Row],[Father Name]]," ",tbl_Ben_Info[[#This Row],[Family Name]])</f>
        <v xml:space="preserve">  </v>
      </c>
    </row>
    <row r="511" spans="2:49" ht="25.15" customHeight="1" x14ac:dyDescent="0.25">
      <c r="B511" s="49">
        <v>506</v>
      </c>
      <c r="C511" s="1" t="str">
        <f>_xlfn.CONCAT("181-702-",IF(tbl_Ben_Info[[#This Row],[SN]]&lt;10,"00"&amp;tbl_Ben_Info[[#This Row],[SN]],IF(tbl_Ben_Info[[#This Row],[SN]]&lt;100,"0"&amp;tbl_Ben_Info[[#This Row],[SN]],tbl_Ben_Info[[#This Row],[SN]])))</f>
        <v>181-702-506</v>
      </c>
      <c r="D511" s="37"/>
      <c r="E511" s="40"/>
      <c r="F511" s="41"/>
      <c r="G511" s="42"/>
      <c r="H511" s="43"/>
      <c r="I511" s="73"/>
      <c r="J511" s="43"/>
      <c r="K511" s="43"/>
      <c r="L511" s="43"/>
      <c r="M511" s="43"/>
      <c r="N511" s="111"/>
      <c r="O511" s="43"/>
      <c r="P511" s="48"/>
      <c r="Q511" s="49"/>
      <c r="R511" s="37"/>
      <c r="S511" s="37"/>
      <c r="T511" s="37"/>
      <c r="U511" s="37"/>
      <c r="V511" s="59"/>
      <c r="W511" s="49"/>
      <c r="X511" s="37"/>
      <c r="Y511" s="37"/>
      <c r="Z511" s="37"/>
      <c r="AA511" s="37"/>
      <c r="AB511" s="37"/>
      <c r="AC511" s="37"/>
      <c r="AD511" s="37"/>
      <c r="AE511" s="37"/>
      <c r="AF511" s="37"/>
      <c r="AG511" s="59"/>
      <c r="AH511" s="49"/>
      <c r="AI511" s="37"/>
      <c r="AJ511" s="37"/>
      <c r="AK511" s="37"/>
      <c r="AL511" s="37"/>
      <c r="AM511" s="37"/>
      <c r="AN511" s="37"/>
      <c r="AO511" s="37"/>
      <c r="AP511" s="37"/>
      <c r="AQ511" s="37"/>
      <c r="AR511" s="37"/>
      <c r="AS511" s="37"/>
      <c r="AT511" s="37"/>
      <c r="AU511" s="37"/>
      <c r="AV511" s="59"/>
      <c r="AW511" s="1" t="str">
        <f>_xlfn.CONCAT(tbl_Ben_Info[[#This Row],[First Name]]," ",tbl_Ben_Info[[#This Row],[Father Name]]," ",tbl_Ben_Info[[#This Row],[Family Name]])</f>
        <v xml:space="preserve">  </v>
      </c>
    </row>
    <row r="512" spans="2:49" ht="25.15" customHeight="1" x14ac:dyDescent="0.25">
      <c r="B512" s="49">
        <v>507</v>
      </c>
      <c r="C512" s="1" t="str">
        <f>_xlfn.CONCAT("181-702-",IF(tbl_Ben_Info[[#This Row],[SN]]&lt;10,"00"&amp;tbl_Ben_Info[[#This Row],[SN]],IF(tbl_Ben_Info[[#This Row],[SN]]&lt;100,"0"&amp;tbl_Ben_Info[[#This Row],[SN]],tbl_Ben_Info[[#This Row],[SN]])))</f>
        <v>181-702-507</v>
      </c>
      <c r="D512" s="37"/>
      <c r="E512" s="40"/>
      <c r="F512" s="41"/>
      <c r="G512" s="42"/>
      <c r="H512" s="43"/>
      <c r="I512" s="73"/>
      <c r="J512" s="43"/>
      <c r="K512" s="43"/>
      <c r="L512" s="43"/>
      <c r="M512" s="43"/>
      <c r="N512" s="111"/>
      <c r="O512" s="43"/>
      <c r="P512" s="48"/>
      <c r="Q512" s="49"/>
      <c r="R512" s="37"/>
      <c r="S512" s="37"/>
      <c r="T512" s="37"/>
      <c r="U512" s="37"/>
      <c r="V512" s="59"/>
      <c r="W512" s="49"/>
      <c r="X512" s="37"/>
      <c r="Y512" s="37"/>
      <c r="Z512" s="37"/>
      <c r="AA512" s="37"/>
      <c r="AB512" s="37"/>
      <c r="AC512" s="37"/>
      <c r="AD512" s="37"/>
      <c r="AE512" s="37"/>
      <c r="AF512" s="37"/>
      <c r="AG512" s="59"/>
      <c r="AH512" s="49"/>
      <c r="AI512" s="37"/>
      <c r="AJ512" s="37"/>
      <c r="AK512" s="37"/>
      <c r="AL512" s="37"/>
      <c r="AM512" s="37"/>
      <c r="AN512" s="37"/>
      <c r="AO512" s="37"/>
      <c r="AP512" s="37"/>
      <c r="AQ512" s="37"/>
      <c r="AR512" s="37"/>
      <c r="AS512" s="37"/>
      <c r="AT512" s="37"/>
      <c r="AU512" s="37"/>
      <c r="AV512" s="59"/>
      <c r="AW512" s="1" t="str">
        <f>_xlfn.CONCAT(tbl_Ben_Info[[#This Row],[First Name]]," ",tbl_Ben_Info[[#This Row],[Father Name]]," ",tbl_Ben_Info[[#This Row],[Family Name]])</f>
        <v xml:space="preserve">  </v>
      </c>
    </row>
    <row r="513" spans="2:49" ht="25.15" customHeight="1" x14ac:dyDescent="0.25">
      <c r="B513" s="49">
        <v>508</v>
      </c>
      <c r="C513" s="1" t="str">
        <f>_xlfn.CONCAT("181-702-",IF(tbl_Ben_Info[[#This Row],[SN]]&lt;10,"00"&amp;tbl_Ben_Info[[#This Row],[SN]],IF(tbl_Ben_Info[[#This Row],[SN]]&lt;100,"0"&amp;tbl_Ben_Info[[#This Row],[SN]],tbl_Ben_Info[[#This Row],[SN]])))</f>
        <v>181-702-508</v>
      </c>
      <c r="D513" s="37"/>
      <c r="E513" s="40"/>
      <c r="F513" s="41"/>
      <c r="G513" s="42"/>
      <c r="H513" s="43"/>
      <c r="I513" s="73"/>
      <c r="J513" s="43"/>
      <c r="K513" s="43"/>
      <c r="L513" s="43"/>
      <c r="M513" s="43"/>
      <c r="N513" s="111"/>
      <c r="O513" s="43"/>
      <c r="P513" s="48"/>
      <c r="Q513" s="49"/>
      <c r="R513" s="37"/>
      <c r="S513" s="37"/>
      <c r="T513" s="37"/>
      <c r="U513" s="37"/>
      <c r="V513" s="59"/>
      <c r="W513" s="49"/>
      <c r="X513" s="37"/>
      <c r="Y513" s="37"/>
      <c r="Z513" s="37"/>
      <c r="AA513" s="37"/>
      <c r="AB513" s="37"/>
      <c r="AC513" s="37"/>
      <c r="AD513" s="37"/>
      <c r="AE513" s="37"/>
      <c r="AF513" s="37"/>
      <c r="AG513" s="59"/>
      <c r="AH513" s="49"/>
      <c r="AI513" s="37"/>
      <c r="AJ513" s="37"/>
      <c r="AK513" s="37"/>
      <c r="AL513" s="37"/>
      <c r="AM513" s="37"/>
      <c r="AN513" s="37"/>
      <c r="AO513" s="37"/>
      <c r="AP513" s="37"/>
      <c r="AQ513" s="37"/>
      <c r="AR513" s="37"/>
      <c r="AS513" s="37"/>
      <c r="AT513" s="37"/>
      <c r="AU513" s="37"/>
      <c r="AV513" s="59"/>
      <c r="AW513" s="1" t="str">
        <f>_xlfn.CONCAT(tbl_Ben_Info[[#This Row],[First Name]]," ",tbl_Ben_Info[[#This Row],[Father Name]]," ",tbl_Ben_Info[[#This Row],[Family Name]])</f>
        <v xml:space="preserve">  </v>
      </c>
    </row>
    <row r="514" spans="2:49" ht="25.15" customHeight="1" x14ac:dyDescent="0.25">
      <c r="B514" s="49">
        <v>509</v>
      </c>
      <c r="C514" s="1" t="str">
        <f>_xlfn.CONCAT("181-702-",IF(tbl_Ben_Info[[#This Row],[SN]]&lt;10,"00"&amp;tbl_Ben_Info[[#This Row],[SN]],IF(tbl_Ben_Info[[#This Row],[SN]]&lt;100,"0"&amp;tbl_Ben_Info[[#This Row],[SN]],tbl_Ben_Info[[#This Row],[SN]])))</f>
        <v>181-702-509</v>
      </c>
      <c r="D514" s="37"/>
      <c r="E514" s="40"/>
      <c r="F514" s="41"/>
      <c r="G514" s="42"/>
      <c r="H514" s="43"/>
      <c r="I514" s="73"/>
      <c r="J514" s="43"/>
      <c r="K514" s="43"/>
      <c r="L514" s="43"/>
      <c r="M514" s="43"/>
      <c r="N514" s="111"/>
      <c r="O514" s="43"/>
      <c r="P514" s="48"/>
      <c r="Q514" s="49"/>
      <c r="R514" s="37"/>
      <c r="S514" s="37"/>
      <c r="T514" s="37"/>
      <c r="U514" s="37"/>
      <c r="V514" s="59"/>
      <c r="W514" s="49"/>
      <c r="X514" s="37"/>
      <c r="Y514" s="37"/>
      <c r="Z514" s="37"/>
      <c r="AA514" s="37"/>
      <c r="AB514" s="37"/>
      <c r="AC514" s="37"/>
      <c r="AD514" s="37"/>
      <c r="AE514" s="37"/>
      <c r="AF514" s="37"/>
      <c r="AG514" s="59"/>
      <c r="AH514" s="49"/>
      <c r="AI514" s="37"/>
      <c r="AJ514" s="37"/>
      <c r="AK514" s="37"/>
      <c r="AL514" s="37"/>
      <c r="AM514" s="37"/>
      <c r="AN514" s="37"/>
      <c r="AO514" s="37"/>
      <c r="AP514" s="37"/>
      <c r="AQ514" s="37"/>
      <c r="AR514" s="37"/>
      <c r="AS514" s="37"/>
      <c r="AT514" s="37"/>
      <c r="AU514" s="37"/>
      <c r="AV514" s="59"/>
      <c r="AW514" s="1" t="str">
        <f>_xlfn.CONCAT(tbl_Ben_Info[[#This Row],[First Name]]," ",tbl_Ben_Info[[#This Row],[Father Name]]," ",tbl_Ben_Info[[#This Row],[Family Name]])</f>
        <v xml:space="preserve">  </v>
      </c>
    </row>
    <row r="515" spans="2:49" ht="25.15" customHeight="1" x14ac:dyDescent="0.25">
      <c r="B515" s="49">
        <v>510</v>
      </c>
      <c r="C515" s="1" t="str">
        <f>_xlfn.CONCAT("181-702-",IF(tbl_Ben_Info[[#This Row],[SN]]&lt;10,"00"&amp;tbl_Ben_Info[[#This Row],[SN]],IF(tbl_Ben_Info[[#This Row],[SN]]&lt;100,"0"&amp;tbl_Ben_Info[[#This Row],[SN]],tbl_Ben_Info[[#This Row],[SN]])))</f>
        <v>181-702-510</v>
      </c>
      <c r="D515" s="37"/>
      <c r="E515" s="40"/>
      <c r="F515" s="41"/>
      <c r="G515" s="42"/>
      <c r="H515" s="43"/>
      <c r="I515" s="73"/>
      <c r="J515" s="43"/>
      <c r="K515" s="43"/>
      <c r="L515" s="43"/>
      <c r="M515" s="43"/>
      <c r="N515" s="111"/>
      <c r="O515" s="43"/>
      <c r="P515" s="48"/>
      <c r="Q515" s="49"/>
      <c r="R515" s="37"/>
      <c r="S515" s="37"/>
      <c r="T515" s="37"/>
      <c r="U515" s="37"/>
      <c r="V515" s="59"/>
      <c r="W515" s="49"/>
      <c r="X515" s="37"/>
      <c r="Y515" s="37"/>
      <c r="Z515" s="37"/>
      <c r="AA515" s="37"/>
      <c r="AB515" s="37"/>
      <c r="AC515" s="37"/>
      <c r="AD515" s="37"/>
      <c r="AE515" s="37"/>
      <c r="AF515" s="37"/>
      <c r="AG515" s="59"/>
      <c r="AH515" s="49"/>
      <c r="AI515" s="37"/>
      <c r="AJ515" s="37"/>
      <c r="AK515" s="37"/>
      <c r="AL515" s="37"/>
      <c r="AM515" s="37"/>
      <c r="AN515" s="37"/>
      <c r="AO515" s="37"/>
      <c r="AP515" s="37"/>
      <c r="AQ515" s="37"/>
      <c r="AR515" s="37"/>
      <c r="AS515" s="37"/>
      <c r="AT515" s="37"/>
      <c r="AU515" s="37"/>
      <c r="AV515" s="59"/>
      <c r="AW515" s="1" t="str">
        <f>_xlfn.CONCAT(tbl_Ben_Info[[#This Row],[First Name]]," ",tbl_Ben_Info[[#This Row],[Father Name]]," ",tbl_Ben_Info[[#This Row],[Family Name]])</f>
        <v xml:space="preserve">  </v>
      </c>
    </row>
    <row r="516" spans="2:49" ht="25.15" customHeight="1" x14ac:dyDescent="0.25">
      <c r="B516" s="49">
        <v>511</v>
      </c>
      <c r="C516" s="1" t="str">
        <f>_xlfn.CONCAT("181-702-",IF(tbl_Ben_Info[[#This Row],[SN]]&lt;10,"00"&amp;tbl_Ben_Info[[#This Row],[SN]],IF(tbl_Ben_Info[[#This Row],[SN]]&lt;100,"0"&amp;tbl_Ben_Info[[#This Row],[SN]],tbl_Ben_Info[[#This Row],[SN]])))</f>
        <v>181-702-511</v>
      </c>
      <c r="D516" s="37"/>
      <c r="E516" s="40"/>
      <c r="F516" s="41"/>
      <c r="G516" s="42"/>
      <c r="H516" s="43"/>
      <c r="I516" s="73"/>
      <c r="J516" s="43"/>
      <c r="K516" s="43"/>
      <c r="L516" s="43"/>
      <c r="M516" s="43"/>
      <c r="N516" s="111"/>
      <c r="O516" s="43"/>
      <c r="P516" s="48"/>
      <c r="Q516" s="49"/>
      <c r="R516" s="37"/>
      <c r="S516" s="37"/>
      <c r="T516" s="37"/>
      <c r="U516" s="37"/>
      <c r="V516" s="59"/>
      <c r="W516" s="49"/>
      <c r="X516" s="37"/>
      <c r="Y516" s="37"/>
      <c r="Z516" s="37"/>
      <c r="AA516" s="37"/>
      <c r="AB516" s="37"/>
      <c r="AC516" s="37"/>
      <c r="AD516" s="37"/>
      <c r="AE516" s="37"/>
      <c r="AF516" s="37"/>
      <c r="AG516" s="59"/>
      <c r="AH516" s="49"/>
      <c r="AI516" s="37"/>
      <c r="AJ516" s="37"/>
      <c r="AK516" s="37"/>
      <c r="AL516" s="37"/>
      <c r="AM516" s="37"/>
      <c r="AN516" s="37"/>
      <c r="AO516" s="37"/>
      <c r="AP516" s="37"/>
      <c r="AQ516" s="37"/>
      <c r="AR516" s="37"/>
      <c r="AS516" s="37"/>
      <c r="AT516" s="37"/>
      <c r="AU516" s="37"/>
      <c r="AV516" s="59"/>
      <c r="AW516" s="1" t="str">
        <f>_xlfn.CONCAT(tbl_Ben_Info[[#This Row],[First Name]]," ",tbl_Ben_Info[[#This Row],[Father Name]]," ",tbl_Ben_Info[[#This Row],[Family Name]])</f>
        <v xml:space="preserve">  </v>
      </c>
    </row>
    <row r="517" spans="2:49" ht="25.15" customHeight="1" x14ac:dyDescent="0.25">
      <c r="B517" s="49">
        <v>512</v>
      </c>
      <c r="C517" s="1" t="str">
        <f>_xlfn.CONCAT("181-702-",IF(tbl_Ben_Info[[#This Row],[SN]]&lt;10,"00"&amp;tbl_Ben_Info[[#This Row],[SN]],IF(tbl_Ben_Info[[#This Row],[SN]]&lt;100,"0"&amp;tbl_Ben_Info[[#This Row],[SN]],tbl_Ben_Info[[#This Row],[SN]])))</f>
        <v>181-702-512</v>
      </c>
      <c r="D517" s="37"/>
      <c r="E517" s="40"/>
      <c r="F517" s="41"/>
      <c r="G517" s="42"/>
      <c r="H517" s="43"/>
      <c r="I517" s="73"/>
      <c r="J517" s="43"/>
      <c r="K517" s="43"/>
      <c r="L517" s="43"/>
      <c r="M517" s="43"/>
      <c r="N517" s="111"/>
      <c r="O517" s="43"/>
      <c r="P517" s="48"/>
      <c r="Q517" s="49"/>
      <c r="R517" s="37"/>
      <c r="S517" s="37"/>
      <c r="T517" s="37"/>
      <c r="U517" s="37"/>
      <c r="V517" s="59"/>
      <c r="W517" s="49"/>
      <c r="X517" s="37"/>
      <c r="Y517" s="37"/>
      <c r="Z517" s="37"/>
      <c r="AA517" s="37"/>
      <c r="AB517" s="37"/>
      <c r="AC517" s="37"/>
      <c r="AD517" s="37"/>
      <c r="AE517" s="37"/>
      <c r="AF517" s="37"/>
      <c r="AG517" s="59"/>
      <c r="AH517" s="49"/>
      <c r="AI517" s="37"/>
      <c r="AJ517" s="37"/>
      <c r="AK517" s="37"/>
      <c r="AL517" s="37"/>
      <c r="AM517" s="37"/>
      <c r="AN517" s="37"/>
      <c r="AO517" s="37"/>
      <c r="AP517" s="37"/>
      <c r="AQ517" s="37"/>
      <c r="AR517" s="37"/>
      <c r="AS517" s="37"/>
      <c r="AT517" s="37"/>
      <c r="AU517" s="37"/>
      <c r="AV517" s="59"/>
      <c r="AW517" s="1" t="str">
        <f>_xlfn.CONCAT(tbl_Ben_Info[[#This Row],[First Name]]," ",tbl_Ben_Info[[#This Row],[Father Name]]," ",tbl_Ben_Info[[#This Row],[Family Name]])</f>
        <v xml:space="preserve">  </v>
      </c>
    </row>
    <row r="518" spans="2:49" ht="25.15" customHeight="1" x14ac:dyDescent="0.25">
      <c r="B518" s="49">
        <v>513</v>
      </c>
      <c r="C518" s="1" t="str">
        <f>_xlfn.CONCAT("181-702-",IF(tbl_Ben_Info[[#This Row],[SN]]&lt;10,"00"&amp;tbl_Ben_Info[[#This Row],[SN]],IF(tbl_Ben_Info[[#This Row],[SN]]&lt;100,"0"&amp;tbl_Ben_Info[[#This Row],[SN]],tbl_Ben_Info[[#This Row],[SN]])))</f>
        <v>181-702-513</v>
      </c>
      <c r="D518" s="37"/>
      <c r="E518" s="40"/>
      <c r="F518" s="41"/>
      <c r="G518" s="42"/>
      <c r="H518" s="43"/>
      <c r="I518" s="73"/>
      <c r="J518" s="43"/>
      <c r="K518" s="43"/>
      <c r="L518" s="43"/>
      <c r="M518" s="43"/>
      <c r="N518" s="111"/>
      <c r="O518" s="43"/>
      <c r="P518" s="48"/>
      <c r="Q518" s="49"/>
      <c r="R518" s="37"/>
      <c r="S518" s="37"/>
      <c r="T518" s="37"/>
      <c r="U518" s="37"/>
      <c r="V518" s="59"/>
      <c r="W518" s="49"/>
      <c r="X518" s="37"/>
      <c r="Y518" s="37"/>
      <c r="Z518" s="37"/>
      <c r="AA518" s="37"/>
      <c r="AB518" s="37"/>
      <c r="AC518" s="37"/>
      <c r="AD518" s="37"/>
      <c r="AE518" s="37"/>
      <c r="AF518" s="37"/>
      <c r="AG518" s="59"/>
      <c r="AH518" s="49"/>
      <c r="AI518" s="37"/>
      <c r="AJ518" s="37"/>
      <c r="AK518" s="37"/>
      <c r="AL518" s="37"/>
      <c r="AM518" s="37"/>
      <c r="AN518" s="37"/>
      <c r="AO518" s="37"/>
      <c r="AP518" s="37"/>
      <c r="AQ518" s="37"/>
      <c r="AR518" s="37"/>
      <c r="AS518" s="37"/>
      <c r="AT518" s="37"/>
      <c r="AU518" s="37"/>
      <c r="AV518" s="59"/>
      <c r="AW518" s="1" t="str">
        <f>_xlfn.CONCAT(tbl_Ben_Info[[#This Row],[First Name]]," ",tbl_Ben_Info[[#This Row],[Father Name]]," ",tbl_Ben_Info[[#This Row],[Family Name]])</f>
        <v xml:space="preserve">  </v>
      </c>
    </row>
    <row r="519" spans="2:49" ht="25.15" customHeight="1" x14ac:dyDescent="0.25">
      <c r="B519" s="49">
        <v>514</v>
      </c>
      <c r="C519" s="1" t="str">
        <f>_xlfn.CONCAT("181-702-",IF(tbl_Ben_Info[[#This Row],[SN]]&lt;10,"00"&amp;tbl_Ben_Info[[#This Row],[SN]],IF(tbl_Ben_Info[[#This Row],[SN]]&lt;100,"0"&amp;tbl_Ben_Info[[#This Row],[SN]],tbl_Ben_Info[[#This Row],[SN]])))</f>
        <v>181-702-514</v>
      </c>
      <c r="D519" s="37"/>
      <c r="E519" s="40"/>
      <c r="F519" s="41"/>
      <c r="G519" s="42"/>
      <c r="H519" s="43"/>
      <c r="I519" s="73"/>
      <c r="J519" s="43"/>
      <c r="K519" s="43"/>
      <c r="L519" s="43"/>
      <c r="M519" s="43"/>
      <c r="N519" s="111"/>
      <c r="O519" s="43"/>
      <c r="P519" s="48"/>
      <c r="Q519" s="49"/>
      <c r="R519" s="37"/>
      <c r="S519" s="37"/>
      <c r="T519" s="37"/>
      <c r="U519" s="37"/>
      <c r="V519" s="59"/>
      <c r="W519" s="49"/>
      <c r="X519" s="37"/>
      <c r="Y519" s="37"/>
      <c r="Z519" s="37"/>
      <c r="AA519" s="37"/>
      <c r="AB519" s="37"/>
      <c r="AC519" s="37"/>
      <c r="AD519" s="37"/>
      <c r="AE519" s="37"/>
      <c r="AF519" s="37"/>
      <c r="AG519" s="59"/>
      <c r="AH519" s="49"/>
      <c r="AI519" s="37"/>
      <c r="AJ519" s="37"/>
      <c r="AK519" s="37"/>
      <c r="AL519" s="37"/>
      <c r="AM519" s="37"/>
      <c r="AN519" s="37"/>
      <c r="AO519" s="37"/>
      <c r="AP519" s="37"/>
      <c r="AQ519" s="37"/>
      <c r="AR519" s="37"/>
      <c r="AS519" s="37"/>
      <c r="AT519" s="37"/>
      <c r="AU519" s="37"/>
      <c r="AV519" s="59"/>
      <c r="AW519" s="1" t="str">
        <f>_xlfn.CONCAT(tbl_Ben_Info[[#This Row],[First Name]]," ",tbl_Ben_Info[[#This Row],[Father Name]]," ",tbl_Ben_Info[[#This Row],[Family Name]])</f>
        <v xml:space="preserve">  </v>
      </c>
    </row>
    <row r="520" spans="2:49" ht="25.15" customHeight="1" x14ac:dyDescent="0.25">
      <c r="B520" s="49">
        <v>515</v>
      </c>
      <c r="C520" s="1" t="str">
        <f>_xlfn.CONCAT("181-702-",IF(tbl_Ben_Info[[#This Row],[SN]]&lt;10,"00"&amp;tbl_Ben_Info[[#This Row],[SN]],IF(tbl_Ben_Info[[#This Row],[SN]]&lt;100,"0"&amp;tbl_Ben_Info[[#This Row],[SN]],tbl_Ben_Info[[#This Row],[SN]])))</f>
        <v>181-702-515</v>
      </c>
      <c r="D520" s="37"/>
      <c r="E520" s="40"/>
      <c r="F520" s="41"/>
      <c r="G520" s="42"/>
      <c r="H520" s="43"/>
      <c r="I520" s="73"/>
      <c r="J520" s="43"/>
      <c r="K520" s="43"/>
      <c r="L520" s="43"/>
      <c r="M520" s="43"/>
      <c r="N520" s="111"/>
      <c r="O520" s="43"/>
      <c r="P520" s="48"/>
      <c r="Q520" s="49"/>
      <c r="R520" s="37"/>
      <c r="S520" s="37"/>
      <c r="T520" s="37"/>
      <c r="U520" s="37"/>
      <c r="V520" s="59"/>
      <c r="W520" s="49"/>
      <c r="X520" s="37"/>
      <c r="Y520" s="37"/>
      <c r="Z520" s="37"/>
      <c r="AA520" s="37"/>
      <c r="AB520" s="37"/>
      <c r="AC520" s="37"/>
      <c r="AD520" s="37"/>
      <c r="AE520" s="37"/>
      <c r="AF520" s="37"/>
      <c r="AG520" s="59"/>
      <c r="AH520" s="49"/>
      <c r="AI520" s="37"/>
      <c r="AJ520" s="37"/>
      <c r="AK520" s="37"/>
      <c r="AL520" s="37"/>
      <c r="AM520" s="37"/>
      <c r="AN520" s="37"/>
      <c r="AO520" s="37"/>
      <c r="AP520" s="37"/>
      <c r="AQ520" s="37"/>
      <c r="AR520" s="37"/>
      <c r="AS520" s="37"/>
      <c r="AT520" s="37"/>
      <c r="AU520" s="37"/>
      <c r="AV520" s="59"/>
      <c r="AW520" s="1" t="str">
        <f>_xlfn.CONCAT(tbl_Ben_Info[[#This Row],[First Name]]," ",tbl_Ben_Info[[#This Row],[Father Name]]," ",tbl_Ben_Info[[#This Row],[Family Name]])</f>
        <v xml:space="preserve">  </v>
      </c>
    </row>
    <row r="521" spans="2:49" ht="25.15" customHeight="1" x14ac:dyDescent="0.25">
      <c r="B521" s="49">
        <v>516</v>
      </c>
      <c r="C521" s="1" t="str">
        <f>_xlfn.CONCAT("181-702-",IF(tbl_Ben_Info[[#This Row],[SN]]&lt;10,"00"&amp;tbl_Ben_Info[[#This Row],[SN]],IF(tbl_Ben_Info[[#This Row],[SN]]&lt;100,"0"&amp;tbl_Ben_Info[[#This Row],[SN]],tbl_Ben_Info[[#This Row],[SN]])))</f>
        <v>181-702-516</v>
      </c>
      <c r="D521" s="37"/>
      <c r="E521" s="40"/>
      <c r="F521" s="41"/>
      <c r="G521" s="42"/>
      <c r="H521" s="43"/>
      <c r="I521" s="73"/>
      <c r="J521" s="43"/>
      <c r="K521" s="43"/>
      <c r="L521" s="43"/>
      <c r="M521" s="43"/>
      <c r="N521" s="111"/>
      <c r="O521" s="43"/>
      <c r="P521" s="48"/>
      <c r="Q521" s="49"/>
      <c r="R521" s="37"/>
      <c r="S521" s="37"/>
      <c r="T521" s="37"/>
      <c r="U521" s="37"/>
      <c r="V521" s="59"/>
      <c r="W521" s="49"/>
      <c r="X521" s="37"/>
      <c r="Y521" s="37"/>
      <c r="Z521" s="37"/>
      <c r="AA521" s="37"/>
      <c r="AB521" s="37"/>
      <c r="AC521" s="37"/>
      <c r="AD521" s="37"/>
      <c r="AE521" s="37"/>
      <c r="AF521" s="37"/>
      <c r="AG521" s="59"/>
      <c r="AH521" s="49"/>
      <c r="AI521" s="37"/>
      <c r="AJ521" s="37"/>
      <c r="AK521" s="37"/>
      <c r="AL521" s="37"/>
      <c r="AM521" s="37"/>
      <c r="AN521" s="37"/>
      <c r="AO521" s="37"/>
      <c r="AP521" s="37"/>
      <c r="AQ521" s="37"/>
      <c r="AR521" s="37"/>
      <c r="AS521" s="37"/>
      <c r="AT521" s="37"/>
      <c r="AU521" s="37"/>
      <c r="AV521" s="59"/>
      <c r="AW521" s="1" t="str">
        <f>_xlfn.CONCAT(tbl_Ben_Info[[#This Row],[First Name]]," ",tbl_Ben_Info[[#This Row],[Father Name]]," ",tbl_Ben_Info[[#This Row],[Family Name]])</f>
        <v xml:space="preserve">  </v>
      </c>
    </row>
    <row r="522" spans="2:49" ht="25.15" customHeight="1" x14ac:dyDescent="0.25">
      <c r="B522" s="49">
        <v>517</v>
      </c>
      <c r="C522" s="1" t="str">
        <f>_xlfn.CONCAT("181-702-",IF(tbl_Ben_Info[[#This Row],[SN]]&lt;10,"00"&amp;tbl_Ben_Info[[#This Row],[SN]],IF(tbl_Ben_Info[[#This Row],[SN]]&lt;100,"0"&amp;tbl_Ben_Info[[#This Row],[SN]],tbl_Ben_Info[[#This Row],[SN]])))</f>
        <v>181-702-517</v>
      </c>
      <c r="D522" s="37"/>
      <c r="E522" s="40"/>
      <c r="F522" s="41"/>
      <c r="G522" s="42"/>
      <c r="H522" s="43"/>
      <c r="I522" s="73"/>
      <c r="J522" s="43"/>
      <c r="K522" s="43"/>
      <c r="L522" s="43"/>
      <c r="M522" s="43"/>
      <c r="N522" s="111"/>
      <c r="O522" s="43"/>
      <c r="P522" s="48"/>
      <c r="Q522" s="49"/>
      <c r="R522" s="37"/>
      <c r="S522" s="37"/>
      <c r="T522" s="37"/>
      <c r="U522" s="37"/>
      <c r="V522" s="59"/>
      <c r="W522" s="49"/>
      <c r="X522" s="37"/>
      <c r="Y522" s="37"/>
      <c r="Z522" s="37"/>
      <c r="AA522" s="37"/>
      <c r="AB522" s="37"/>
      <c r="AC522" s="37"/>
      <c r="AD522" s="37"/>
      <c r="AE522" s="37"/>
      <c r="AF522" s="37"/>
      <c r="AG522" s="59"/>
      <c r="AH522" s="49"/>
      <c r="AI522" s="37"/>
      <c r="AJ522" s="37"/>
      <c r="AK522" s="37"/>
      <c r="AL522" s="37"/>
      <c r="AM522" s="37"/>
      <c r="AN522" s="37"/>
      <c r="AO522" s="37"/>
      <c r="AP522" s="37"/>
      <c r="AQ522" s="37"/>
      <c r="AR522" s="37"/>
      <c r="AS522" s="37"/>
      <c r="AT522" s="37"/>
      <c r="AU522" s="37"/>
      <c r="AV522" s="59"/>
      <c r="AW522" s="1" t="str">
        <f>_xlfn.CONCAT(tbl_Ben_Info[[#This Row],[First Name]]," ",tbl_Ben_Info[[#This Row],[Father Name]]," ",tbl_Ben_Info[[#This Row],[Family Name]])</f>
        <v xml:space="preserve">  </v>
      </c>
    </row>
    <row r="523" spans="2:49" ht="25.15" customHeight="1" x14ac:dyDescent="0.25">
      <c r="B523" s="49">
        <v>518</v>
      </c>
      <c r="C523" s="1" t="str">
        <f>_xlfn.CONCAT("181-702-",IF(tbl_Ben_Info[[#This Row],[SN]]&lt;10,"00"&amp;tbl_Ben_Info[[#This Row],[SN]],IF(tbl_Ben_Info[[#This Row],[SN]]&lt;100,"0"&amp;tbl_Ben_Info[[#This Row],[SN]],tbl_Ben_Info[[#This Row],[SN]])))</f>
        <v>181-702-518</v>
      </c>
      <c r="D523" s="37"/>
      <c r="E523" s="40"/>
      <c r="F523" s="41"/>
      <c r="G523" s="42"/>
      <c r="H523" s="43"/>
      <c r="I523" s="73"/>
      <c r="J523" s="43"/>
      <c r="K523" s="43"/>
      <c r="L523" s="43"/>
      <c r="M523" s="43"/>
      <c r="N523" s="111"/>
      <c r="O523" s="43"/>
      <c r="P523" s="48"/>
      <c r="Q523" s="49"/>
      <c r="R523" s="37"/>
      <c r="S523" s="37"/>
      <c r="T523" s="37"/>
      <c r="U523" s="37"/>
      <c r="V523" s="59"/>
      <c r="W523" s="49"/>
      <c r="X523" s="37"/>
      <c r="Y523" s="37"/>
      <c r="Z523" s="37"/>
      <c r="AA523" s="37"/>
      <c r="AB523" s="37"/>
      <c r="AC523" s="37"/>
      <c r="AD523" s="37"/>
      <c r="AE523" s="37"/>
      <c r="AF523" s="37"/>
      <c r="AG523" s="59"/>
      <c r="AH523" s="49"/>
      <c r="AI523" s="37"/>
      <c r="AJ523" s="37"/>
      <c r="AK523" s="37"/>
      <c r="AL523" s="37"/>
      <c r="AM523" s="37"/>
      <c r="AN523" s="37"/>
      <c r="AO523" s="37"/>
      <c r="AP523" s="37"/>
      <c r="AQ523" s="37"/>
      <c r="AR523" s="37"/>
      <c r="AS523" s="37"/>
      <c r="AT523" s="37"/>
      <c r="AU523" s="37"/>
      <c r="AV523" s="59"/>
      <c r="AW523" s="1" t="str">
        <f>_xlfn.CONCAT(tbl_Ben_Info[[#This Row],[First Name]]," ",tbl_Ben_Info[[#This Row],[Father Name]]," ",tbl_Ben_Info[[#This Row],[Family Name]])</f>
        <v xml:space="preserve">  </v>
      </c>
    </row>
    <row r="524" spans="2:49" ht="25.15" customHeight="1" x14ac:dyDescent="0.25">
      <c r="B524" s="49">
        <v>519</v>
      </c>
      <c r="C524" s="1" t="str">
        <f>_xlfn.CONCAT("181-702-",IF(tbl_Ben_Info[[#This Row],[SN]]&lt;10,"00"&amp;tbl_Ben_Info[[#This Row],[SN]],IF(tbl_Ben_Info[[#This Row],[SN]]&lt;100,"0"&amp;tbl_Ben_Info[[#This Row],[SN]],tbl_Ben_Info[[#This Row],[SN]])))</f>
        <v>181-702-519</v>
      </c>
      <c r="D524" s="37"/>
      <c r="E524" s="40"/>
      <c r="F524" s="41"/>
      <c r="G524" s="42"/>
      <c r="H524" s="43"/>
      <c r="I524" s="73"/>
      <c r="J524" s="43"/>
      <c r="K524" s="43"/>
      <c r="L524" s="43"/>
      <c r="M524" s="43"/>
      <c r="N524" s="111"/>
      <c r="O524" s="43"/>
      <c r="P524" s="48"/>
      <c r="Q524" s="49"/>
      <c r="R524" s="37"/>
      <c r="S524" s="37"/>
      <c r="T524" s="37"/>
      <c r="U524" s="37"/>
      <c r="V524" s="59"/>
      <c r="W524" s="49"/>
      <c r="X524" s="37"/>
      <c r="Y524" s="37"/>
      <c r="Z524" s="37"/>
      <c r="AA524" s="37"/>
      <c r="AB524" s="37"/>
      <c r="AC524" s="37"/>
      <c r="AD524" s="37"/>
      <c r="AE524" s="37"/>
      <c r="AF524" s="37"/>
      <c r="AG524" s="59"/>
      <c r="AH524" s="49"/>
      <c r="AI524" s="37"/>
      <c r="AJ524" s="37"/>
      <c r="AK524" s="37"/>
      <c r="AL524" s="37"/>
      <c r="AM524" s="37"/>
      <c r="AN524" s="37"/>
      <c r="AO524" s="37"/>
      <c r="AP524" s="37"/>
      <c r="AQ524" s="37"/>
      <c r="AR524" s="37"/>
      <c r="AS524" s="37"/>
      <c r="AT524" s="37"/>
      <c r="AU524" s="37"/>
      <c r="AV524" s="59"/>
      <c r="AW524" s="1" t="str">
        <f>_xlfn.CONCAT(tbl_Ben_Info[[#This Row],[First Name]]," ",tbl_Ben_Info[[#This Row],[Father Name]]," ",tbl_Ben_Info[[#This Row],[Family Name]])</f>
        <v xml:space="preserve">  </v>
      </c>
    </row>
    <row r="525" spans="2:49" ht="25.15" customHeight="1" x14ac:dyDescent="0.25">
      <c r="B525" s="49">
        <v>520</v>
      </c>
      <c r="C525" s="1" t="str">
        <f>_xlfn.CONCAT("181-702-",IF(tbl_Ben_Info[[#This Row],[SN]]&lt;10,"00"&amp;tbl_Ben_Info[[#This Row],[SN]],IF(tbl_Ben_Info[[#This Row],[SN]]&lt;100,"0"&amp;tbl_Ben_Info[[#This Row],[SN]],tbl_Ben_Info[[#This Row],[SN]])))</f>
        <v>181-702-520</v>
      </c>
      <c r="D525" s="37"/>
      <c r="E525" s="40"/>
      <c r="F525" s="41"/>
      <c r="G525" s="42"/>
      <c r="H525" s="43"/>
      <c r="I525" s="73"/>
      <c r="J525" s="43"/>
      <c r="K525" s="43"/>
      <c r="L525" s="43"/>
      <c r="M525" s="43"/>
      <c r="N525" s="111"/>
      <c r="O525" s="43"/>
      <c r="P525" s="48"/>
      <c r="Q525" s="49"/>
      <c r="R525" s="37"/>
      <c r="S525" s="37"/>
      <c r="T525" s="37"/>
      <c r="U525" s="37"/>
      <c r="V525" s="59"/>
      <c r="W525" s="49"/>
      <c r="X525" s="37"/>
      <c r="Y525" s="37"/>
      <c r="Z525" s="37"/>
      <c r="AA525" s="37"/>
      <c r="AB525" s="37"/>
      <c r="AC525" s="37"/>
      <c r="AD525" s="37"/>
      <c r="AE525" s="37"/>
      <c r="AF525" s="37"/>
      <c r="AG525" s="59"/>
      <c r="AH525" s="49"/>
      <c r="AI525" s="37"/>
      <c r="AJ525" s="37"/>
      <c r="AK525" s="37"/>
      <c r="AL525" s="37"/>
      <c r="AM525" s="37"/>
      <c r="AN525" s="37"/>
      <c r="AO525" s="37"/>
      <c r="AP525" s="37"/>
      <c r="AQ525" s="37"/>
      <c r="AR525" s="37"/>
      <c r="AS525" s="37"/>
      <c r="AT525" s="37"/>
      <c r="AU525" s="37"/>
      <c r="AV525" s="59"/>
      <c r="AW525" s="1" t="str">
        <f>_xlfn.CONCAT(tbl_Ben_Info[[#This Row],[First Name]]," ",tbl_Ben_Info[[#This Row],[Father Name]]," ",tbl_Ben_Info[[#This Row],[Family Name]])</f>
        <v xml:space="preserve">  </v>
      </c>
    </row>
    <row r="526" spans="2:49" ht="25.15" customHeight="1" x14ac:dyDescent="0.25">
      <c r="B526" s="49">
        <v>521</v>
      </c>
      <c r="C526" s="1" t="str">
        <f>_xlfn.CONCAT("181-702-",IF(tbl_Ben_Info[[#This Row],[SN]]&lt;10,"00"&amp;tbl_Ben_Info[[#This Row],[SN]],IF(tbl_Ben_Info[[#This Row],[SN]]&lt;100,"0"&amp;tbl_Ben_Info[[#This Row],[SN]],tbl_Ben_Info[[#This Row],[SN]])))</f>
        <v>181-702-521</v>
      </c>
      <c r="D526" s="37"/>
      <c r="E526" s="40"/>
      <c r="F526" s="41"/>
      <c r="G526" s="42"/>
      <c r="H526" s="43"/>
      <c r="I526" s="73"/>
      <c r="J526" s="43"/>
      <c r="K526" s="43"/>
      <c r="L526" s="43"/>
      <c r="M526" s="43"/>
      <c r="N526" s="111"/>
      <c r="O526" s="43"/>
      <c r="P526" s="48"/>
      <c r="Q526" s="49"/>
      <c r="R526" s="37"/>
      <c r="S526" s="37"/>
      <c r="T526" s="37"/>
      <c r="U526" s="37"/>
      <c r="V526" s="59"/>
      <c r="W526" s="49"/>
      <c r="X526" s="37"/>
      <c r="Y526" s="37"/>
      <c r="Z526" s="37"/>
      <c r="AA526" s="37"/>
      <c r="AB526" s="37"/>
      <c r="AC526" s="37"/>
      <c r="AD526" s="37"/>
      <c r="AE526" s="37"/>
      <c r="AF526" s="37"/>
      <c r="AG526" s="59"/>
      <c r="AH526" s="49"/>
      <c r="AI526" s="37"/>
      <c r="AJ526" s="37"/>
      <c r="AK526" s="37"/>
      <c r="AL526" s="37"/>
      <c r="AM526" s="37"/>
      <c r="AN526" s="37"/>
      <c r="AO526" s="37"/>
      <c r="AP526" s="37"/>
      <c r="AQ526" s="37"/>
      <c r="AR526" s="37"/>
      <c r="AS526" s="37"/>
      <c r="AT526" s="37"/>
      <c r="AU526" s="37"/>
      <c r="AV526" s="59"/>
      <c r="AW526" s="1" t="str">
        <f>_xlfn.CONCAT(tbl_Ben_Info[[#This Row],[First Name]]," ",tbl_Ben_Info[[#This Row],[Father Name]]," ",tbl_Ben_Info[[#This Row],[Family Name]])</f>
        <v xml:space="preserve">  </v>
      </c>
    </row>
    <row r="527" spans="2:49" ht="25.15" customHeight="1" x14ac:dyDescent="0.25">
      <c r="B527" s="49">
        <v>522</v>
      </c>
      <c r="C527" s="1" t="str">
        <f>_xlfn.CONCAT("181-702-",IF(tbl_Ben_Info[[#This Row],[SN]]&lt;10,"00"&amp;tbl_Ben_Info[[#This Row],[SN]],IF(tbl_Ben_Info[[#This Row],[SN]]&lt;100,"0"&amp;tbl_Ben_Info[[#This Row],[SN]],tbl_Ben_Info[[#This Row],[SN]])))</f>
        <v>181-702-522</v>
      </c>
      <c r="D527" s="37"/>
      <c r="E527" s="40"/>
      <c r="F527" s="41"/>
      <c r="G527" s="42"/>
      <c r="H527" s="43"/>
      <c r="I527" s="73"/>
      <c r="J527" s="43"/>
      <c r="K527" s="43"/>
      <c r="L527" s="43"/>
      <c r="M527" s="43"/>
      <c r="N527" s="111"/>
      <c r="O527" s="43"/>
      <c r="P527" s="48"/>
      <c r="Q527" s="49"/>
      <c r="R527" s="37"/>
      <c r="S527" s="37"/>
      <c r="T527" s="37"/>
      <c r="U527" s="37"/>
      <c r="V527" s="59"/>
      <c r="W527" s="49"/>
      <c r="X527" s="37"/>
      <c r="Y527" s="37"/>
      <c r="Z527" s="37"/>
      <c r="AA527" s="37"/>
      <c r="AB527" s="37"/>
      <c r="AC527" s="37"/>
      <c r="AD527" s="37"/>
      <c r="AE527" s="37"/>
      <c r="AF527" s="37"/>
      <c r="AG527" s="59"/>
      <c r="AH527" s="49"/>
      <c r="AI527" s="37"/>
      <c r="AJ527" s="37"/>
      <c r="AK527" s="37"/>
      <c r="AL527" s="37"/>
      <c r="AM527" s="37"/>
      <c r="AN527" s="37"/>
      <c r="AO527" s="37"/>
      <c r="AP527" s="37"/>
      <c r="AQ527" s="37"/>
      <c r="AR527" s="37"/>
      <c r="AS527" s="37"/>
      <c r="AT527" s="37"/>
      <c r="AU527" s="37"/>
      <c r="AV527" s="59"/>
      <c r="AW527" s="1" t="str">
        <f>_xlfn.CONCAT(tbl_Ben_Info[[#This Row],[First Name]]," ",tbl_Ben_Info[[#This Row],[Father Name]]," ",tbl_Ben_Info[[#This Row],[Family Name]])</f>
        <v xml:space="preserve">  </v>
      </c>
    </row>
    <row r="528" spans="2:49" ht="25.15" customHeight="1" x14ac:dyDescent="0.25">
      <c r="B528" s="49">
        <v>523</v>
      </c>
      <c r="C528" s="1" t="str">
        <f>_xlfn.CONCAT("181-702-",IF(tbl_Ben_Info[[#This Row],[SN]]&lt;10,"00"&amp;tbl_Ben_Info[[#This Row],[SN]],IF(tbl_Ben_Info[[#This Row],[SN]]&lt;100,"0"&amp;tbl_Ben_Info[[#This Row],[SN]],tbl_Ben_Info[[#This Row],[SN]])))</f>
        <v>181-702-523</v>
      </c>
      <c r="D528" s="37"/>
      <c r="E528" s="40"/>
      <c r="F528" s="41"/>
      <c r="G528" s="42"/>
      <c r="H528" s="43"/>
      <c r="I528" s="73"/>
      <c r="J528" s="43"/>
      <c r="K528" s="43"/>
      <c r="L528" s="43"/>
      <c r="M528" s="43"/>
      <c r="N528" s="111"/>
      <c r="O528" s="43"/>
      <c r="P528" s="48"/>
      <c r="Q528" s="49"/>
      <c r="R528" s="37"/>
      <c r="S528" s="37"/>
      <c r="T528" s="37"/>
      <c r="U528" s="37"/>
      <c r="V528" s="59"/>
      <c r="W528" s="49"/>
      <c r="X528" s="37"/>
      <c r="Y528" s="37"/>
      <c r="Z528" s="37"/>
      <c r="AA528" s="37"/>
      <c r="AB528" s="37"/>
      <c r="AC528" s="37"/>
      <c r="AD528" s="37"/>
      <c r="AE528" s="37"/>
      <c r="AF528" s="37"/>
      <c r="AG528" s="59"/>
      <c r="AH528" s="49"/>
      <c r="AI528" s="37"/>
      <c r="AJ528" s="37"/>
      <c r="AK528" s="37"/>
      <c r="AL528" s="37"/>
      <c r="AM528" s="37"/>
      <c r="AN528" s="37"/>
      <c r="AO528" s="37"/>
      <c r="AP528" s="37"/>
      <c r="AQ528" s="37"/>
      <c r="AR528" s="37"/>
      <c r="AS528" s="37"/>
      <c r="AT528" s="37"/>
      <c r="AU528" s="37"/>
      <c r="AV528" s="59"/>
      <c r="AW528" s="1" t="str">
        <f>_xlfn.CONCAT(tbl_Ben_Info[[#This Row],[First Name]]," ",tbl_Ben_Info[[#This Row],[Father Name]]," ",tbl_Ben_Info[[#This Row],[Family Name]])</f>
        <v xml:space="preserve">  </v>
      </c>
    </row>
    <row r="529" spans="2:49" ht="25.15" customHeight="1" x14ac:dyDescent="0.25">
      <c r="B529" s="49">
        <v>524</v>
      </c>
      <c r="C529" s="1" t="str">
        <f>_xlfn.CONCAT("181-702-",IF(tbl_Ben_Info[[#This Row],[SN]]&lt;10,"00"&amp;tbl_Ben_Info[[#This Row],[SN]],IF(tbl_Ben_Info[[#This Row],[SN]]&lt;100,"0"&amp;tbl_Ben_Info[[#This Row],[SN]],tbl_Ben_Info[[#This Row],[SN]])))</f>
        <v>181-702-524</v>
      </c>
      <c r="D529" s="37"/>
      <c r="E529" s="40"/>
      <c r="F529" s="41"/>
      <c r="G529" s="42"/>
      <c r="H529" s="43"/>
      <c r="I529" s="73"/>
      <c r="J529" s="43"/>
      <c r="K529" s="43"/>
      <c r="L529" s="43"/>
      <c r="M529" s="43"/>
      <c r="N529" s="111"/>
      <c r="O529" s="43"/>
      <c r="P529" s="48"/>
      <c r="Q529" s="49"/>
      <c r="R529" s="37"/>
      <c r="S529" s="37"/>
      <c r="T529" s="37"/>
      <c r="U529" s="37"/>
      <c r="V529" s="59"/>
      <c r="W529" s="49"/>
      <c r="X529" s="37"/>
      <c r="Y529" s="37"/>
      <c r="Z529" s="37"/>
      <c r="AA529" s="37"/>
      <c r="AB529" s="37"/>
      <c r="AC529" s="37"/>
      <c r="AD529" s="37"/>
      <c r="AE529" s="37"/>
      <c r="AF529" s="37"/>
      <c r="AG529" s="59"/>
      <c r="AH529" s="49"/>
      <c r="AI529" s="37"/>
      <c r="AJ529" s="37"/>
      <c r="AK529" s="37"/>
      <c r="AL529" s="37"/>
      <c r="AM529" s="37"/>
      <c r="AN529" s="37"/>
      <c r="AO529" s="37"/>
      <c r="AP529" s="37"/>
      <c r="AQ529" s="37"/>
      <c r="AR529" s="37"/>
      <c r="AS529" s="37"/>
      <c r="AT529" s="37"/>
      <c r="AU529" s="37"/>
      <c r="AV529" s="59"/>
      <c r="AW529" s="1" t="str">
        <f>_xlfn.CONCAT(tbl_Ben_Info[[#This Row],[First Name]]," ",tbl_Ben_Info[[#This Row],[Father Name]]," ",tbl_Ben_Info[[#This Row],[Family Name]])</f>
        <v xml:space="preserve">  </v>
      </c>
    </row>
    <row r="530" spans="2:49" ht="25.15" customHeight="1" x14ac:dyDescent="0.25">
      <c r="B530" s="49">
        <v>525</v>
      </c>
      <c r="C530" s="1" t="str">
        <f>_xlfn.CONCAT("181-702-",IF(tbl_Ben_Info[[#This Row],[SN]]&lt;10,"00"&amp;tbl_Ben_Info[[#This Row],[SN]],IF(tbl_Ben_Info[[#This Row],[SN]]&lt;100,"0"&amp;tbl_Ben_Info[[#This Row],[SN]],tbl_Ben_Info[[#This Row],[SN]])))</f>
        <v>181-702-525</v>
      </c>
      <c r="D530" s="37"/>
      <c r="E530" s="40"/>
      <c r="F530" s="41"/>
      <c r="G530" s="42"/>
      <c r="H530" s="43"/>
      <c r="I530" s="73"/>
      <c r="J530" s="43"/>
      <c r="K530" s="43"/>
      <c r="L530" s="43"/>
      <c r="M530" s="43"/>
      <c r="N530" s="111"/>
      <c r="O530" s="43"/>
      <c r="P530" s="48"/>
      <c r="Q530" s="49"/>
      <c r="R530" s="37"/>
      <c r="S530" s="37"/>
      <c r="T530" s="37"/>
      <c r="U530" s="37"/>
      <c r="V530" s="59"/>
      <c r="W530" s="49"/>
      <c r="X530" s="37"/>
      <c r="Y530" s="37"/>
      <c r="Z530" s="37"/>
      <c r="AA530" s="37"/>
      <c r="AB530" s="37"/>
      <c r="AC530" s="37"/>
      <c r="AD530" s="37"/>
      <c r="AE530" s="37"/>
      <c r="AF530" s="37"/>
      <c r="AG530" s="59"/>
      <c r="AH530" s="49"/>
      <c r="AI530" s="37"/>
      <c r="AJ530" s="37"/>
      <c r="AK530" s="37"/>
      <c r="AL530" s="37"/>
      <c r="AM530" s="37"/>
      <c r="AN530" s="37"/>
      <c r="AO530" s="37"/>
      <c r="AP530" s="37"/>
      <c r="AQ530" s="37"/>
      <c r="AR530" s="37"/>
      <c r="AS530" s="37"/>
      <c r="AT530" s="37"/>
      <c r="AU530" s="37"/>
      <c r="AV530" s="59"/>
      <c r="AW530" s="1" t="str">
        <f>_xlfn.CONCAT(tbl_Ben_Info[[#This Row],[First Name]]," ",tbl_Ben_Info[[#This Row],[Father Name]]," ",tbl_Ben_Info[[#This Row],[Family Name]])</f>
        <v xml:space="preserve">  </v>
      </c>
    </row>
    <row r="531" spans="2:49" ht="25.15" customHeight="1" x14ac:dyDescent="0.25">
      <c r="B531" s="49">
        <v>526</v>
      </c>
      <c r="C531" s="1" t="str">
        <f>_xlfn.CONCAT("181-702-",IF(tbl_Ben_Info[[#This Row],[SN]]&lt;10,"00"&amp;tbl_Ben_Info[[#This Row],[SN]],IF(tbl_Ben_Info[[#This Row],[SN]]&lt;100,"0"&amp;tbl_Ben_Info[[#This Row],[SN]],tbl_Ben_Info[[#This Row],[SN]])))</f>
        <v>181-702-526</v>
      </c>
      <c r="D531" s="37"/>
      <c r="E531" s="40"/>
      <c r="F531" s="41"/>
      <c r="G531" s="42"/>
      <c r="H531" s="43"/>
      <c r="I531" s="73"/>
      <c r="J531" s="43"/>
      <c r="K531" s="43"/>
      <c r="L531" s="43"/>
      <c r="M531" s="43"/>
      <c r="N531" s="111"/>
      <c r="O531" s="43"/>
      <c r="P531" s="48"/>
      <c r="Q531" s="49"/>
      <c r="R531" s="37"/>
      <c r="S531" s="37"/>
      <c r="T531" s="37"/>
      <c r="U531" s="37"/>
      <c r="V531" s="59"/>
      <c r="W531" s="49"/>
      <c r="X531" s="37"/>
      <c r="Y531" s="37"/>
      <c r="Z531" s="37"/>
      <c r="AA531" s="37"/>
      <c r="AB531" s="37"/>
      <c r="AC531" s="37"/>
      <c r="AD531" s="37"/>
      <c r="AE531" s="37"/>
      <c r="AF531" s="37"/>
      <c r="AG531" s="59"/>
      <c r="AH531" s="49"/>
      <c r="AI531" s="37"/>
      <c r="AJ531" s="37"/>
      <c r="AK531" s="37"/>
      <c r="AL531" s="37"/>
      <c r="AM531" s="37"/>
      <c r="AN531" s="37"/>
      <c r="AO531" s="37"/>
      <c r="AP531" s="37"/>
      <c r="AQ531" s="37"/>
      <c r="AR531" s="37"/>
      <c r="AS531" s="37"/>
      <c r="AT531" s="37"/>
      <c r="AU531" s="37"/>
      <c r="AV531" s="59"/>
      <c r="AW531" s="1" t="str">
        <f>_xlfn.CONCAT(tbl_Ben_Info[[#This Row],[First Name]]," ",tbl_Ben_Info[[#This Row],[Father Name]]," ",tbl_Ben_Info[[#This Row],[Family Name]])</f>
        <v xml:space="preserve">  </v>
      </c>
    </row>
    <row r="532" spans="2:49" ht="25.15" customHeight="1" x14ac:dyDescent="0.25">
      <c r="B532" s="49">
        <v>527</v>
      </c>
      <c r="C532" s="1" t="str">
        <f>_xlfn.CONCAT("181-702-",IF(tbl_Ben_Info[[#This Row],[SN]]&lt;10,"00"&amp;tbl_Ben_Info[[#This Row],[SN]],IF(tbl_Ben_Info[[#This Row],[SN]]&lt;100,"0"&amp;tbl_Ben_Info[[#This Row],[SN]],tbl_Ben_Info[[#This Row],[SN]])))</f>
        <v>181-702-527</v>
      </c>
      <c r="D532" s="37"/>
      <c r="E532" s="40"/>
      <c r="F532" s="41"/>
      <c r="G532" s="42"/>
      <c r="H532" s="43"/>
      <c r="I532" s="73"/>
      <c r="J532" s="43"/>
      <c r="K532" s="43"/>
      <c r="L532" s="43"/>
      <c r="M532" s="43"/>
      <c r="N532" s="111"/>
      <c r="O532" s="43"/>
      <c r="P532" s="48"/>
      <c r="Q532" s="49"/>
      <c r="R532" s="37"/>
      <c r="S532" s="37"/>
      <c r="T532" s="37"/>
      <c r="U532" s="37"/>
      <c r="V532" s="59"/>
      <c r="W532" s="49"/>
      <c r="X532" s="37"/>
      <c r="Y532" s="37"/>
      <c r="Z532" s="37"/>
      <c r="AA532" s="37"/>
      <c r="AB532" s="37"/>
      <c r="AC532" s="37"/>
      <c r="AD532" s="37"/>
      <c r="AE532" s="37"/>
      <c r="AF532" s="37"/>
      <c r="AG532" s="59"/>
      <c r="AH532" s="49"/>
      <c r="AI532" s="37"/>
      <c r="AJ532" s="37"/>
      <c r="AK532" s="37"/>
      <c r="AL532" s="37"/>
      <c r="AM532" s="37"/>
      <c r="AN532" s="37"/>
      <c r="AO532" s="37"/>
      <c r="AP532" s="37"/>
      <c r="AQ532" s="37"/>
      <c r="AR532" s="37"/>
      <c r="AS532" s="37"/>
      <c r="AT532" s="37"/>
      <c r="AU532" s="37"/>
      <c r="AV532" s="59"/>
      <c r="AW532" s="1" t="str">
        <f>_xlfn.CONCAT(tbl_Ben_Info[[#This Row],[First Name]]," ",tbl_Ben_Info[[#This Row],[Father Name]]," ",tbl_Ben_Info[[#This Row],[Family Name]])</f>
        <v xml:space="preserve">  </v>
      </c>
    </row>
    <row r="533" spans="2:49" ht="25.15" customHeight="1" x14ac:dyDescent="0.25">
      <c r="B533" s="49">
        <v>528</v>
      </c>
      <c r="C533" s="1" t="str">
        <f>_xlfn.CONCAT("181-702-",IF(tbl_Ben_Info[[#This Row],[SN]]&lt;10,"00"&amp;tbl_Ben_Info[[#This Row],[SN]],IF(tbl_Ben_Info[[#This Row],[SN]]&lt;100,"0"&amp;tbl_Ben_Info[[#This Row],[SN]],tbl_Ben_Info[[#This Row],[SN]])))</f>
        <v>181-702-528</v>
      </c>
      <c r="D533" s="37"/>
      <c r="E533" s="40"/>
      <c r="F533" s="41"/>
      <c r="G533" s="42"/>
      <c r="H533" s="43"/>
      <c r="I533" s="73"/>
      <c r="J533" s="43"/>
      <c r="K533" s="43"/>
      <c r="L533" s="43"/>
      <c r="M533" s="43"/>
      <c r="N533" s="111"/>
      <c r="O533" s="43"/>
      <c r="P533" s="48"/>
      <c r="Q533" s="49"/>
      <c r="R533" s="37"/>
      <c r="S533" s="37"/>
      <c r="T533" s="37"/>
      <c r="U533" s="37"/>
      <c r="V533" s="59"/>
      <c r="W533" s="49"/>
      <c r="X533" s="37"/>
      <c r="Y533" s="37"/>
      <c r="Z533" s="37"/>
      <c r="AA533" s="37"/>
      <c r="AB533" s="37"/>
      <c r="AC533" s="37"/>
      <c r="AD533" s="37"/>
      <c r="AE533" s="37"/>
      <c r="AF533" s="37"/>
      <c r="AG533" s="59"/>
      <c r="AH533" s="49"/>
      <c r="AI533" s="37"/>
      <c r="AJ533" s="37"/>
      <c r="AK533" s="37"/>
      <c r="AL533" s="37"/>
      <c r="AM533" s="37"/>
      <c r="AN533" s="37"/>
      <c r="AO533" s="37"/>
      <c r="AP533" s="37"/>
      <c r="AQ533" s="37"/>
      <c r="AR533" s="37"/>
      <c r="AS533" s="37"/>
      <c r="AT533" s="37"/>
      <c r="AU533" s="37"/>
      <c r="AV533" s="59"/>
      <c r="AW533" s="1" t="str">
        <f>_xlfn.CONCAT(tbl_Ben_Info[[#This Row],[First Name]]," ",tbl_Ben_Info[[#This Row],[Father Name]]," ",tbl_Ben_Info[[#This Row],[Family Name]])</f>
        <v xml:space="preserve">  </v>
      </c>
    </row>
    <row r="534" spans="2:49" ht="25.15" customHeight="1" x14ac:dyDescent="0.25">
      <c r="B534" s="49">
        <v>529</v>
      </c>
      <c r="C534" s="1" t="str">
        <f>_xlfn.CONCAT("181-702-",IF(tbl_Ben_Info[[#This Row],[SN]]&lt;10,"00"&amp;tbl_Ben_Info[[#This Row],[SN]],IF(tbl_Ben_Info[[#This Row],[SN]]&lt;100,"0"&amp;tbl_Ben_Info[[#This Row],[SN]],tbl_Ben_Info[[#This Row],[SN]])))</f>
        <v>181-702-529</v>
      </c>
      <c r="D534" s="37"/>
      <c r="E534" s="40"/>
      <c r="F534" s="41"/>
      <c r="G534" s="42"/>
      <c r="H534" s="43"/>
      <c r="I534" s="73"/>
      <c r="J534" s="43"/>
      <c r="K534" s="43"/>
      <c r="L534" s="43"/>
      <c r="M534" s="43"/>
      <c r="N534" s="111"/>
      <c r="O534" s="43"/>
      <c r="P534" s="48"/>
      <c r="Q534" s="49"/>
      <c r="R534" s="37"/>
      <c r="S534" s="37"/>
      <c r="T534" s="37"/>
      <c r="U534" s="37"/>
      <c r="V534" s="59"/>
      <c r="W534" s="49"/>
      <c r="X534" s="37"/>
      <c r="Y534" s="37"/>
      <c r="Z534" s="37"/>
      <c r="AA534" s="37"/>
      <c r="AB534" s="37"/>
      <c r="AC534" s="37"/>
      <c r="AD534" s="37"/>
      <c r="AE534" s="37"/>
      <c r="AF534" s="37"/>
      <c r="AG534" s="59"/>
      <c r="AH534" s="49"/>
      <c r="AI534" s="37"/>
      <c r="AJ534" s="37"/>
      <c r="AK534" s="37"/>
      <c r="AL534" s="37"/>
      <c r="AM534" s="37"/>
      <c r="AN534" s="37"/>
      <c r="AO534" s="37"/>
      <c r="AP534" s="37"/>
      <c r="AQ534" s="37"/>
      <c r="AR534" s="37"/>
      <c r="AS534" s="37"/>
      <c r="AT534" s="37"/>
      <c r="AU534" s="37"/>
      <c r="AV534" s="59"/>
      <c r="AW534" s="1" t="str">
        <f>_xlfn.CONCAT(tbl_Ben_Info[[#This Row],[First Name]]," ",tbl_Ben_Info[[#This Row],[Father Name]]," ",tbl_Ben_Info[[#This Row],[Family Name]])</f>
        <v xml:space="preserve">  </v>
      </c>
    </row>
    <row r="535" spans="2:49" ht="25.15" customHeight="1" x14ac:dyDescent="0.25">
      <c r="B535" s="49">
        <v>530</v>
      </c>
      <c r="C535" s="1" t="str">
        <f>_xlfn.CONCAT("181-702-",IF(tbl_Ben_Info[[#This Row],[SN]]&lt;10,"00"&amp;tbl_Ben_Info[[#This Row],[SN]],IF(tbl_Ben_Info[[#This Row],[SN]]&lt;100,"0"&amp;tbl_Ben_Info[[#This Row],[SN]],tbl_Ben_Info[[#This Row],[SN]])))</f>
        <v>181-702-530</v>
      </c>
      <c r="D535" s="37"/>
      <c r="E535" s="40"/>
      <c r="F535" s="41"/>
      <c r="G535" s="42"/>
      <c r="H535" s="43"/>
      <c r="I535" s="73"/>
      <c r="J535" s="43"/>
      <c r="K535" s="43"/>
      <c r="L535" s="43"/>
      <c r="M535" s="43"/>
      <c r="N535" s="111"/>
      <c r="O535" s="43"/>
      <c r="P535" s="48"/>
      <c r="Q535" s="49"/>
      <c r="R535" s="37"/>
      <c r="S535" s="37"/>
      <c r="T535" s="37"/>
      <c r="U535" s="37"/>
      <c r="V535" s="59"/>
      <c r="W535" s="49"/>
      <c r="X535" s="37"/>
      <c r="Y535" s="37"/>
      <c r="Z535" s="37"/>
      <c r="AA535" s="37"/>
      <c r="AB535" s="37"/>
      <c r="AC535" s="37"/>
      <c r="AD535" s="37"/>
      <c r="AE535" s="37"/>
      <c r="AF535" s="37"/>
      <c r="AG535" s="59"/>
      <c r="AH535" s="49"/>
      <c r="AI535" s="37"/>
      <c r="AJ535" s="37"/>
      <c r="AK535" s="37"/>
      <c r="AL535" s="37"/>
      <c r="AM535" s="37"/>
      <c r="AN535" s="37"/>
      <c r="AO535" s="37"/>
      <c r="AP535" s="37"/>
      <c r="AQ535" s="37"/>
      <c r="AR535" s="37"/>
      <c r="AS535" s="37"/>
      <c r="AT535" s="37"/>
      <c r="AU535" s="37"/>
      <c r="AV535" s="59"/>
      <c r="AW535" s="1" t="str">
        <f>_xlfn.CONCAT(tbl_Ben_Info[[#This Row],[First Name]]," ",tbl_Ben_Info[[#This Row],[Father Name]]," ",tbl_Ben_Info[[#This Row],[Family Name]])</f>
        <v xml:space="preserve">  </v>
      </c>
    </row>
    <row r="536" spans="2:49" ht="25.15" customHeight="1" x14ac:dyDescent="0.25">
      <c r="B536" s="49">
        <v>531</v>
      </c>
      <c r="C536" s="1" t="str">
        <f>_xlfn.CONCAT("181-702-",IF(tbl_Ben_Info[[#This Row],[SN]]&lt;10,"00"&amp;tbl_Ben_Info[[#This Row],[SN]],IF(tbl_Ben_Info[[#This Row],[SN]]&lt;100,"0"&amp;tbl_Ben_Info[[#This Row],[SN]],tbl_Ben_Info[[#This Row],[SN]])))</f>
        <v>181-702-531</v>
      </c>
      <c r="D536" s="37"/>
      <c r="E536" s="40"/>
      <c r="F536" s="41"/>
      <c r="G536" s="42"/>
      <c r="H536" s="43"/>
      <c r="I536" s="73"/>
      <c r="J536" s="43"/>
      <c r="K536" s="43"/>
      <c r="L536" s="43"/>
      <c r="M536" s="43"/>
      <c r="N536" s="111"/>
      <c r="O536" s="43"/>
      <c r="P536" s="48"/>
      <c r="Q536" s="49"/>
      <c r="R536" s="37"/>
      <c r="S536" s="37"/>
      <c r="T536" s="37"/>
      <c r="U536" s="37"/>
      <c r="V536" s="59"/>
      <c r="W536" s="49"/>
      <c r="X536" s="37"/>
      <c r="Y536" s="37"/>
      <c r="Z536" s="37"/>
      <c r="AA536" s="37"/>
      <c r="AB536" s="37"/>
      <c r="AC536" s="37"/>
      <c r="AD536" s="37"/>
      <c r="AE536" s="37"/>
      <c r="AF536" s="37"/>
      <c r="AG536" s="59"/>
      <c r="AH536" s="49"/>
      <c r="AI536" s="37"/>
      <c r="AJ536" s="37"/>
      <c r="AK536" s="37"/>
      <c r="AL536" s="37"/>
      <c r="AM536" s="37"/>
      <c r="AN536" s="37"/>
      <c r="AO536" s="37"/>
      <c r="AP536" s="37"/>
      <c r="AQ536" s="37"/>
      <c r="AR536" s="37"/>
      <c r="AS536" s="37"/>
      <c r="AT536" s="37"/>
      <c r="AU536" s="37"/>
      <c r="AV536" s="59"/>
      <c r="AW536" s="1" t="str">
        <f>_xlfn.CONCAT(tbl_Ben_Info[[#This Row],[First Name]]," ",tbl_Ben_Info[[#This Row],[Father Name]]," ",tbl_Ben_Info[[#This Row],[Family Name]])</f>
        <v xml:space="preserve">  </v>
      </c>
    </row>
    <row r="537" spans="2:49" ht="25.15" customHeight="1" x14ac:dyDescent="0.25">
      <c r="B537" s="49">
        <v>532</v>
      </c>
      <c r="C537" s="1" t="str">
        <f>_xlfn.CONCAT("181-702-",IF(tbl_Ben_Info[[#This Row],[SN]]&lt;10,"00"&amp;tbl_Ben_Info[[#This Row],[SN]],IF(tbl_Ben_Info[[#This Row],[SN]]&lt;100,"0"&amp;tbl_Ben_Info[[#This Row],[SN]],tbl_Ben_Info[[#This Row],[SN]])))</f>
        <v>181-702-532</v>
      </c>
      <c r="D537" s="37"/>
      <c r="E537" s="40"/>
      <c r="F537" s="41"/>
      <c r="G537" s="42"/>
      <c r="H537" s="43"/>
      <c r="I537" s="73"/>
      <c r="J537" s="43"/>
      <c r="K537" s="43"/>
      <c r="L537" s="43"/>
      <c r="M537" s="43"/>
      <c r="N537" s="111"/>
      <c r="O537" s="43"/>
      <c r="P537" s="48"/>
      <c r="Q537" s="49"/>
      <c r="R537" s="37"/>
      <c r="S537" s="37"/>
      <c r="T537" s="37"/>
      <c r="U537" s="37"/>
      <c r="V537" s="59"/>
      <c r="W537" s="49"/>
      <c r="X537" s="37"/>
      <c r="Y537" s="37"/>
      <c r="Z537" s="37"/>
      <c r="AA537" s="37"/>
      <c r="AB537" s="37"/>
      <c r="AC537" s="37"/>
      <c r="AD537" s="37"/>
      <c r="AE537" s="37"/>
      <c r="AF537" s="37"/>
      <c r="AG537" s="59"/>
      <c r="AH537" s="49"/>
      <c r="AI537" s="37"/>
      <c r="AJ537" s="37"/>
      <c r="AK537" s="37"/>
      <c r="AL537" s="37"/>
      <c r="AM537" s="37"/>
      <c r="AN537" s="37"/>
      <c r="AO537" s="37"/>
      <c r="AP537" s="37"/>
      <c r="AQ537" s="37"/>
      <c r="AR537" s="37"/>
      <c r="AS537" s="37"/>
      <c r="AT537" s="37"/>
      <c r="AU537" s="37"/>
      <c r="AV537" s="59"/>
      <c r="AW537" s="1" t="str">
        <f>_xlfn.CONCAT(tbl_Ben_Info[[#This Row],[First Name]]," ",tbl_Ben_Info[[#This Row],[Father Name]]," ",tbl_Ben_Info[[#This Row],[Family Name]])</f>
        <v xml:space="preserve">  </v>
      </c>
    </row>
    <row r="538" spans="2:49" ht="25.15" customHeight="1" x14ac:dyDescent="0.25">
      <c r="B538" s="49">
        <v>533</v>
      </c>
      <c r="C538" s="1" t="str">
        <f>_xlfn.CONCAT("181-702-",IF(tbl_Ben_Info[[#This Row],[SN]]&lt;10,"00"&amp;tbl_Ben_Info[[#This Row],[SN]],IF(tbl_Ben_Info[[#This Row],[SN]]&lt;100,"0"&amp;tbl_Ben_Info[[#This Row],[SN]],tbl_Ben_Info[[#This Row],[SN]])))</f>
        <v>181-702-533</v>
      </c>
      <c r="D538" s="37"/>
      <c r="E538" s="40"/>
      <c r="F538" s="41"/>
      <c r="G538" s="42"/>
      <c r="H538" s="43"/>
      <c r="I538" s="73"/>
      <c r="J538" s="43"/>
      <c r="K538" s="43"/>
      <c r="L538" s="43"/>
      <c r="M538" s="43"/>
      <c r="N538" s="111"/>
      <c r="O538" s="43"/>
      <c r="P538" s="48"/>
      <c r="Q538" s="49"/>
      <c r="R538" s="37"/>
      <c r="S538" s="37"/>
      <c r="T538" s="37"/>
      <c r="U538" s="37"/>
      <c r="V538" s="59"/>
      <c r="W538" s="49"/>
      <c r="X538" s="37"/>
      <c r="Y538" s="37"/>
      <c r="Z538" s="37"/>
      <c r="AA538" s="37"/>
      <c r="AB538" s="37"/>
      <c r="AC538" s="37"/>
      <c r="AD538" s="37"/>
      <c r="AE538" s="37"/>
      <c r="AF538" s="37"/>
      <c r="AG538" s="59"/>
      <c r="AH538" s="49"/>
      <c r="AI538" s="37"/>
      <c r="AJ538" s="37"/>
      <c r="AK538" s="37"/>
      <c r="AL538" s="37"/>
      <c r="AM538" s="37"/>
      <c r="AN538" s="37"/>
      <c r="AO538" s="37"/>
      <c r="AP538" s="37"/>
      <c r="AQ538" s="37"/>
      <c r="AR538" s="37"/>
      <c r="AS538" s="37"/>
      <c r="AT538" s="37"/>
      <c r="AU538" s="37"/>
      <c r="AV538" s="59"/>
      <c r="AW538" s="1" t="str">
        <f>_xlfn.CONCAT(tbl_Ben_Info[[#This Row],[First Name]]," ",tbl_Ben_Info[[#This Row],[Father Name]]," ",tbl_Ben_Info[[#This Row],[Family Name]])</f>
        <v xml:space="preserve">  </v>
      </c>
    </row>
    <row r="539" spans="2:49" ht="25.15" customHeight="1" x14ac:dyDescent="0.25">
      <c r="B539" s="49">
        <v>534</v>
      </c>
      <c r="C539" s="1" t="str">
        <f>_xlfn.CONCAT("181-702-",IF(tbl_Ben_Info[[#This Row],[SN]]&lt;10,"00"&amp;tbl_Ben_Info[[#This Row],[SN]],IF(tbl_Ben_Info[[#This Row],[SN]]&lt;100,"0"&amp;tbl_Ben_Info[[#This Row],[SN]],tbl_Ben_Info[[#This Row],[SN]])))</f>
        <v>181-702-534</v>
      </c>
      <c r="D539" s="37"/>
      <c r="E539" s="40"/>
      <c r="F539" s="41"/>
      <c r="G539" s="42"/>
      <c r="H539" s="43"/>
      <c r="I539" s="73"/>
      <c r="J539" s="43"/>
      <c r="K539" s="43"/>
      <c r="L539" s="43"/>
      <c r="M539" s="43"/>
      <c r="N539" s="111"/>
      <c r="O539" s="43"/>
      <c r="P539" s="48"/>
      <c r="Q539" s="49"/>
      <c r="R539" s="37"/>
      <c r="S539" s="37"/>
      <c r="T539" s="37"/>
      <c r="U539" s="37"/>
      <c r="V539" s="59"/>
      <c r="W539" s="49"/>
      <c r="X539" s="37"/>
      <c r="Y539" s="37"/>
      <c r="Z539" s="37"/>
      <c r="AA539" s="37"/>
      <c r="AB539" s="37"/>
      <c r="AC539" s="37"/>
      <c r="AD539" s="37"/>
      <c r="AE539" s="37"/>
      <c r="AF539" s="37"/>
      <c r="AG539" s="59"/>
      <c r="AH539" s="49"/>
      <c r="AI539" s="37"/>
      <c r="AJ539" s="37"/>
      <c r="AK539" s="37"/>
      <c r="AL539" s="37"/>
      <c r="AM539" s="37"/>
      <c r="AN539" s="37"/>
      <c r="AO539" s="37"/>
      <c r="AP539" s="37"/>
      <c r="AQ539" s="37"/>
      <c r="AR539" s="37"/>
      <c r="AS539" s="37"/>
      <c r="AT539" s="37"/>
      <c r="AU539" s="37"/>
      <c r="AV539" s="59"/>
      <c r="AW539" s="1" t="str">
        <f>_xlfn.CONCAT(tbl_Ben_Info[[#This Row],[First Name]]," ",tbl_Ben_Info[[#This Row],[Father Name]]," ",tbl_Ben_Info[[#This Row],[Family Name]])</f>
        <v xml:space="preserve">  </v>
      </c>
    </row>
    <row r="540" spans="2:49" ht="25.15" customHeight="1" x14ac:dyDescent="0.25">
      <c r="B540" s="49">
        <v>535</v>
      </c>
      <c r="C540" s="1" t="str">
        <f>_xlfn.CONCAT("181-702-",IF(tbl_Ben_Info[[#This Row],[SN]]&lt;10,"00"&amp;tbl_Ben_Info[[#This Row],[SN]],IF(tbl_Ben_Info[[#This Row],[SN]]&lt;100,"0"&amp;tbl_Ben_Info[[#This Row],[SN]],tbl_Ben_Info[[#This Row],[SN]])))</f>
        <v>181-702-535</v>
      </c>
      <c r="D540" s="37"/>
      <c r="E540" s="40"/>
      <c r="F540" s="41"/>
      <c r="G540" s="42"/>
      <c r="H540" s="43"/>
      <c r="I540" s="73"/>
      <c r="J540" s="43"/>
      <c r="K540" s="43"/>
      <c r="L540" s="43"/>
      <c r="M540" s="43"/>
      <c r="N540" s="111"/>
      <c r="O540" s="43"/>
      <c r="P540" s="48"/>
      <c r="Q540" s="49"/>
      <c r="R540" s="37"/>
      <c r="S540" s="37"/>
      <c r="T540" s="37"/>
      <c r="U540" s="37"/>
      <c r="V540" s="59"/>
      <c r="W540" s="49"/>
      <c r="X540" s="37"/>
      <c r="Y540" s="37"/>
      <c r="Z540" s="37"/>
      <c r="AA540" s="37"/>
      <c r="AB540" s="37"/>
      <c r="AC540" s="37"/>
      <c r="AD540" s="37"/>
      <c r="AE540" s="37"/>
      <c r="AF540" s="37"/>
      <c r="AG540" s="59"/>
      <c r="AH540" s="49"/>
      <c r="AI540" s="37"/>
      <c r="AJ540" s="37"/>
      <c r="AK540" s="37"/>
      <c r="AL540" s="37"/>
      <c r="AM540" s="37"/>
      <c r="AN540" s="37"/>
      <c r="AO540" s="37"/>
      <c r="AP540" s="37"/>
      <c r="AQ540" s="37"/>
      <c r="AR540" s="37"/>
      <c r="AS540" s="37"/>
      <c r="AT540" s="37"/>
      <c r="AU540" s="37"/>
      <c r="AV540" s="59"/>
      <c r="AW540" s="1" t="str">
        <f>_xlfn.CONCAT(tbl_Ben_Info[[#This Row],[First Name]]," ",tbl_Ben_Info[[#This Row],[Father Name]]," ",tbl_Ben_Info[[#This Row],[Family Name]])</f>
        <v xml:space="preserve">  </v>
      </c>
    </row>
    <row r="541" spans="2:49" ht="25.15" customHeight="1" x14ac:dyDescent="0.25">
      <c r="B541" s="49">
        <v>536</v>
      </c>
      <c r="C541" s="1" t="str">
        <f>_xlfn.CONCAT("181-702-",IF(tbl_Ben_Info[[#This Row],[SN]]&lt;10,"00"&amp;tbl_Ben_Info[[#This Row],[SN]],IF(tbl_Ben_Info[[#This Row],[SN]]&lt;100,"0"&amp;tbl_Ben_Info[[#This Row],[SN]],tbl_Ben_Info[[#This Row],[SN]])))</f>
        <v>181-702-536</v>
      </c>
      <c r="D541" s="37"/>
      <c r="E541" s="40"/>
      <c r="F541" s="41"/>
      <c r="G541" s="42"/>
      <c r="H541" s="43"/>
      <c r="I541" s="73"/>
      <c r="J541" s="43"/>
      <c r="K541" s="43"/>
      <c r="L541" s="43"/>
      <c r="M541" s="43"/>
      <c r="N541" s="111"/>
      <c r="O541" s="43"/>
      <c r="P541" s="48"/>
      <c r="Q541" s="49"/>
      <c r="R541" s="37"/>
      <c r="S541" s="37"/>
      <c r="T541" s="37"/>
      <c r="U541" s="37"/>
      <c r="V541" s="59"/>
      <c r="W541" s="49"/>
      <c r="X541" s="37"/>
      <c r="Y541" s="37"/>
      <c r="Z541" s="37"/>
      <c r="AA541" s="37"/>
      <c r="AB541" s="37"/>
      <c r="AC541" s="37"/>
      <c r="AD541" s="37"/>
      <c r="AE541" s="37"/>
      <c r="AF541" s="37"/>
      <c r="AG541" s="59"/>
      <c r="AH541" s="49"/>
      <c r="AI541" s="37"/>
      <c r="AJ541" s="37"/>
      <c r="AK541" s="37"/>
      <c r="AL541" s="37"/>
      <c r="AM541" s="37"/>
      <c r="AN541" s="37"/>
      <c r="AO541" s="37"/>
      <c r="AP541" s="37"/>
      <c r="AQ541" s="37"/>
      <c r="AR541" s="37"/>
      <c r="AS541" s="37"/>
      <c r="AT541" s="37"/>
      <c r="AU541" s="37"/>
      <c r="AV541" s="59"/>
      <c r="AW541" s="1" t="str">
        <f>_xlfn.CONCAT(tbl_Ben_Info[[#This Row],[First Name]]," ",tbl_Ben_Info[[#This Row],[Father Name]]," ",tbl_Ben_Info[[#This Row],[Family Name]])</f>
        <v xml:space="preserve">  </v>
      </c>
    </row>
    <row r="542" spans="2:49" ht="25.15" customHeight="1" x14ac:dyDescent="0.25">
      <c r="B542" s="49">
        <v>537</v>
      </c>
      <c r="C542" s="1" t="str">
        <f>_xlfn.CONCAT("181-702-",IF(tbl_Ben_Info[[#This Row],[SN]]&lt;10,"00"&amp;tbl_Ben_Info[[#This Row],[SN]],IF(tbl_Ben_Info[[#This Row],[SN]]&lt;100,"0"&amp;tbl_Ben_Info[[#This Row],[SN]],tbl_Ben_Info[[#This Row],[SN]])))</f>
        <v>181-702-537</v>
      </c>
      <c r="D542" s="37"/>
      <c r="E542" s="40"/>
      <c r="F542" s="41"/>
      <c r="G542" s="42"/>
      <c r="H542" s="43"/>
      <c r="I542" s="73"/>
      <c r="J542" s="43"/>
      <c r="K542" s="43"/>
      <c r="L542" s="43"/>
      <c r="M542" s="43"/>
      <c r="N542" s="111"/>
      <c r="O542" s="43"/>
      <c r="P542" s="48"/>
      <c r="Q542" s="49"/>
      <c r="R542" s="37"/>
      <c r="S542" s="37"/>
      <c r="T542" s="37"/>
      <c r="U542" s="37"/>
      <c r="V542" s="59"/>
      <c r="W542" s="49"/>
      <c r="X542" s="37"/>
      <c r="Y542" s="37"/>
      <c r="Z542" s="37"/>
      <c r="AA542" s="37"/>
      <c r="AB542" s="37"/>
      <c r="AC542" s="37"/>
      <c r="AD542" s="37"/>
      <c r="AE542" s="37"/>
      <c r="AF542" s="37"/>
      <c r="AG542" s="59"/>
      <c r="AH542" s="49"/>
      <c r="AI542" s="37"/>
      <c r="AJ542" s="37"/>
      <c r="AK542" s="37"/>
      <c r="AL542" s="37"/>
      <c r="AM542" s="37"/>
      <c r="AN542" s="37"/>
      <c r="AO542" s="37"/>
      <c r="AP542" s="37"/>
      <c r="AQ542" s="37"/>
      <c r="AR542" s="37"/>
      <c r="AS542" s="37"/>
      <c r="AT542" s="37"/>
      <c r="AU542" s="37"/>
      <c r="AV542" s="59"/>
      <c r="AW542" s="1" t="str">
        <f>_xlfn.CONCAT(tbl_Ben_Info[[#This Row],[First Name]]," ",tbl_Ben_Info[[#This Row],[Father Name]]," ",tbl_Ben_Info[[#This Row],[Family Name]])</f>
        <v xml:space="preserve">  </v>
      </c>
    </row>
    <row r="543" spans="2:49" ht="25.15" customHeight="1" x14ac:dyDescent="0.25">
      <c r="B543" s="49">
        <v>538</v>
      </c>
      <c r="C543" s="1" t="str">
        <f>_xlfn.CONCAT("181-702-",IF(tbl_Ben_Info[[#This Row],[SN]]&lt;10,"00"&amp;tbl_Ben_Info[[#This Row],[SN]],IF(tbl_Ben_Info[[#This Row],[SN]]&lt;100,"0"&amp;tbl_Ben_Info[[#This Row],[SN]],tbl_Ben_Info[[#This Row],[SN]])))</f>
        <v>181-702-538</v>
      </c>
      <c r="D543" s="37"/>
      <c r="E543" s="40"/>
      <c r="F543" s="41"/>
      <c r="G543" s="42"/>
      <c r="H543" s="43"/>
      <c r="I543" s="73"/>
      <c r="J543" s="43"/>
      <c r="K543" s="43"/>
      <c r="L543" s="43"/>
      <c r="M543" s="43"/>
      <c r="N543" s="111"/>
      <c r="O543" s="43"/>
      <c r="P543" s="48"/>
      <c r="Q543" s="49"/>
      <c r="R543" s="37"/>
      <c r="S543" s="37"/>
      <c r="T543" s="37"/>
      <c r="U543" s="37"/>
      <c r="V543" s="59"/>
      <c r="W543" s="49"/>
      <c r="X543" s="37"/>
      <c r="Y543" s="37"/>
      <c r="Z543" s="37"/>
      <c r="AA543" s="37"/>
      <c r="AB543" s="37"/>
      <c r="AC543" s="37"/>
      <c r="AD543" s="37"/>
      <c r="AE543" s="37"/>
      <c r="AF543" s="37"/>
      <c r="AG543" s="59"/>
      <c r="AH543" s="49"/>
      <c r="AI543" s="37"/>
      <c r="AJ543" s="37"/>
      <c r="AK543" s="37"/>
      <c r="AL543" s="37"/>
      <c r="AM543" s="37"/>
      <c r="AN543" s="37"/>
      <c r="AO543" s="37"/>
      <c r="AP543" s="37"/>
      <c r="AQ543" s="37"/>
      <c r="AR543" s="37"/>
      <c r="AS543" s="37"/>
      <c r="AT543" s="37"/>
      <c r="AU543" s="37"/>
      <c r="AV543" s="59"/>
      <c r="AW543" s="1" t="str">
        <f>_xlfn.CONCAT(tbl_Ben_Info[[#This Row],[First Name]]," ",tbl_Ben_Info[[#This Row],[Father Name]]," ",tbl_Ben_Info[[#This Row],[Family Name]])</f>
        <v xml:space="preserve">  </v>
      </c>
    </row>
    <row r="544" spans="2:49" ht="25.15" customHeight="1" x14ac:dyDescent="0.25">
      <c r="B544" s="49">
        <v>539</v>
      </c>
      <c r="C544" s="1" t="str">
        <f>_xlfn.CONCAT("181-702-",IF(tbl_Ben_Info[[#This Row],[SN]]&lt;10,"00"&amp;tbl_Ben_Info[[#This Row],[SN]],IF(tbl_Ben_Info[[#This Row],[SN]]&lt;100,"0"&amp;tbl_Ben_Info[[#This Row],[SN]],tbl_Ben_Info[[#This Row],[SN]])))</f>
        <v>181-702-539</v>
      </c>
      <c r="D544" s="37"/>
      <c r="E544" s="40"/>
      <c r="F544" s="41"/>
      <c r="G544" s="42"/>
      <c r="H544" s="43"/>
      <c r="I544" s="73"/>
      <c r="J544" s="43"/>
      <c r="K544" s="43"/>
      <c r="L544" s="43"/>
      <c r="M544" s="43"/>
      <c r="N544" s="111"/>
      <c r="O544" s="43"/>
      <c r="P544" s="48"/>
      <c r="Q544" s="49"/>
      <c r="R544" s="37"/>
      <c r="S544" s="37"/>
      <c r="T544" s="37"/>
      <c r="U544" s="37"/>
      <c r="V544" s="59"/>
      <c r="W544" s="49"/>
      <c r="X544" s="37"/>
      <c r="Y544" s="37"/>
      <c r="Z544" s="37"/>
      <c r="AA544" s="37"/>
      <c r="AB544" s="37"/>
      <c r="AC544" s="37"/>
      <c r="AD544" s="37"/>
      <c r="AE544" s="37"/>
      <c r="AF544" s="37"/>
      <c r="AG544" s="59"/>
      <c r="AH544" s="49"/>
      <c r="AI544" s="37"/>
      <c r="AJ544" s="37"/>
      <c r="AK544" s="37"/>
      <c r="AL544" s="37"/>
      <c r="AM544" s="37"/>
      <c r="AN544" s="37"/>
      <c r="AO544" s="37"/>
      <c r="AP544" s="37"/>
      <c r="AQ544" s="37"/>
      <c r="AR544" s="37"/>
      <c r="AS544" s="37"/>
      <c r="AT544" s="37"/>
      <c r="AU544" s="37"/>
      <c r="AV544" s="59"/>
      <c r="AW544" s="1" t="str">
        <f>_xlfn.CONCAT(tbl_Ben_Info[[#This Row],[First Name]]," ",tbl_Ben_Info[[#This Row],[Father Name]]," ",tbl_Ben_Info[[#This Row],[Family Name]])</f>
        <v xml:space="preserve">  </v>
      </c>
    </row>
    <row r="545" spans="2:49" ht="25.15" customHeight="1" x14ac:dyDescent="0.25">
      <c r="B545" s="49">
        <v>540</v>
      </c>
      <c r="C545" s="1" t="str">
        <f>_xlfn.CONCAT("181-702-",IF(tbl_Ben_Info[[#This Row],[SN]]&lt;10,"00"&amp;tbl_Ben_Info[[#This Row],[SN]],IF(tbl_Ben_Info[[#This Row],[SN]]&lt;100,"0"&amp;tbl_Ben_Info[[#This Row],[SN]],tbl_Ben_Info[[#This Row],[SN]])))</f>
        <v>181-702-540</v>
      </c>
      <c r="D545" s="37"/>
      <c r="E545" s="40"/>
      <c r="F545" s="41"/>
      <c r="G545" s="42"/>
      <c r="H545" s="43"/>
      <c r="I545" s="73"/>
      <c r="J545" s="43"/>
      <c r="K545" s="43"/>
      <c r="L545" s="43"/>
      <c r="M545" s="43"/>
      <c r="N545" s="111"/>
      <c r="O545" s="43"/>
      <c r="P545" s="48"/>
      <c r="Q545" s="49"/>
      <c r="R545" s="37"/>
      <c r="S545" s="37"/>
      <c r="T545" s="37"/>
      <c r="U545" s="37"/>
      <c r="V545" s="59"/>
      <c r="W545" s="49"/>
      <c r="X545" s="37"/>
      <c r="Y545" s="37"/>
      <c r="Z545" s="37"/>
      <c r="AA545" s="37"/>
      <c r="AB545" s="37"/>
      <c r="AC545" s="37"/>
      <c r="AD545" s="37"/>
      <c r="AE545" s="37"/>
      <c r="AF545" s="37"/>
      <c r="AG545" s="59"/>
      <c r="AH545" s="49"/>
      <c r="AI545" s="37"/>
      <c r="AJ545" s="37"/>
      <c r="AK545" s="37"/>
      <c r="AL545" s="37"/>
      <c r="AM545" s="37"/>
      <c r="AN545" s="37"/>
      <c r="AO545" s="37"/>
      <c r="AP545" s="37"/>
      <c r="AQ545" s="37"/>
      <c r="AR545" s="37"/>
      <c r="AS545" s="37"/>
      <c r="AT545" s="37"/>
      <c r="AU545" s="37"/>
      <c r="AV545" s="59"/>
      <c r="AW545" s="1" t="str">
        <f>_xlfn.CONCAT(tbl_Ben_Info[[#This Row],[First Name]]," ",tbl_Ben_Info[[#This Row],[Father Name]]," ",tbl_Ben_Info[[#This Row],[Family Name]])</f>
        <v xml:space="preserve">  </v>
      </c>
    </row>
    <row r="546" spans="2:49" ht="25.15" customHeight="1" x14ac:dyDescent="0.25">
      <c r="B546" s="49">
        <v>541</v>
      </c>
      <c r="C546" s="1" t="str">
        <f>_xlfn.CONCAT("181-702-",IF(tbl_Ben_Info[[#This Row],[SN]]&lt;10,"00"&amp;tbl_Ben_Info[[#This Row],[SN]],IF(tbl_Ben_Info[[#This Row],[SN]]&lt;100,"0"&amp;tbl_Ben_Info[[#This Row],[SN]],tbl_Ben_Info[[#This Row],[SN]])))</f>
        <v>181-702-541</v>
      </c>
      <c r="D546" s="37"/>
      <c r="E546" s="40"/>
      <c r="F546" s="41"/>
      <c r="G546" s="42"/>
      <c r="H546" s="43"/>
      <c r="I546" s="73"/>
      <c r="J546" s="43"/>
      <c r="K546" s="43"/>
      <c r="L546" s="43"/>
      <c r="M546" s="43"/>
      <c r="N546" s="111"/>
      <c r="O546" s="43"/>
      <c r="P546" s="48"/>
      <c r="Q546" s="49"/>
      <c r="R546" s="37"/>
      <c r="S546" s="37"/>
      <c r="T546" s="37"/>
      <c r="U546" s="37"/>
      <c r="V546" s="59"/>
      <c r="W546" s="49"/>
      <c r="X546" s="37"/>
      <c r="Y546" s="37"/>
      <c r="Z546" s="37"/>
      <c r="AA546" s="37"/>
      <c r="AB546" s="37"/>
      <c r="AC546" s="37"/>
      <c r="AD546" s="37"/>
      <c r="AE546" s="37"/>
      <c r="AF546" s="37"/>
      <c r="AG546" s="59"/>
      <c r="AH546" s="49"/>
      <c r="AI546" s="37"/>
      <c r="AJ546" s="37"/>
      <c r="AK546" s="37"/>
      <c r="AL546" s="37"/>
      <c r="AM546" s="37"/>
      <c r="AN546" s="37"/>
      <c r="AO546" s="37"/>
      <c r="AP546" s="37"/>
      <c r="AQ546" s="37"/>
      <c r="AR546" s="37"/>
      <c r="AS546" s="37"/>
      <c r="AT546" s="37"/>
      <c r="AU546" s="37"/>
      <c r="AV546" s="59"/>
      <c r="AW546" s="1" t="str">
        <f>_xlfn.CONCAT(tbl_Ben_Info[[#This Row],[First Name]]," ",tbl_Ben_Info[[#This Row],[Father Name]]," ",tbl_Ben_Info[[#This Row],[Family Name]])</f>
        <v xml:space="preserve">  </v>
      </c>
    </row>
    <row r="547" spans="2:49" ht="25.15" customHeight="1" x14ac:dyDescent="0.25">
      <c r="B547" s="49">
        <v>542</v>
      </c>
      <c r="C547" s="1" t="str">
        <f>_xlfn.CONCAT("181-702-",IF(tbl_Ben_Info[[#This Row],[SN]]&lt;10,"00"&amp;tbl_Ben_Info[[#This Row],[SN]],IF(tbl_Ben_Info[[#This Row],[SN]]&lt;100,"0"&amp;tbl_Ben_Info[[#This Row],[SN]],tbl_Ben_Info[[#This Row],[SN]])))</f>
        <v>181-702-542</v>
      </c>
      <c r="D547" s="37"/>
      <c r="E547" s="40"/>
      <c r="F547" s="41"/>
      <c r="G547" s="42"/>
      <c r="H547" s="43"/>
      <c r="I547" s="73"/>
      <c r="J547" s="43"/>
      <c r="K547" s="43"/>
      <c r="L547" s="43"/>
      <c r="M547" s="43"/>
      <c r="N547" s="111"/>
      <c r="O547" s="43"/>
      <c r="P547" s="48"/>
      <c r="Q547" s="49"/>
      <c r="R547" s="37"/>
      <c r="S547" s="37"/>
      <c r="T547" s="37"/>
      <c r="U547" s="37"/>
      <c r="V547" s="59"/>
      <c r="W547" s="49"/>
      <c r="X547" s="37"/>
      <c r="Y547" s="37"/>
      <c r="Z547" s="37"/>
      <c r="AA547" s="37"/>
      <c r="AB547" s="37"/>
      <c r="AC547" s="37"/>
      <c r="AD547" s="37"/>
      <c r="AE547" s="37"/>
      <c r="AF547" s="37"/>
      <c r="AG547" s="59"/>
      <c r="AH547" s="49"/>
      <c r="AI547" s="37"/>
      <c r="AJ547" s="37"/>
      <c r="AK547" s="37"/>
      <c r="AL547" s="37"/>
      <c r="AM547" s="37"/>
      <c r="AN547" s="37"/>
      <c r="AO547" s="37"/>
      <c r="AP547" s="37"/>
      <c r="AQ547" s="37"/>
      <c r="AR547" s="37"/>
      <c r="AS547" s="37"/>
      <c r="AT547" s="37"/>
      <c r="AU547" s="37"/>
      <c r="AV547" s="59"/>
      <c r="AW547" s="1" t="str">
        <f>_xlfn.CONCAT(tbl_Ben_Info[[#This Row],[First Name]]," ",tbl_Ben_Info[[#This Row],[Father Name]]," ",tbl_Ben_Info[[#This Row],[Family Name]])</f>
        <v xml:space="preserve">  </v>
      </c>
    </row>
    <row r="548" spans="2:49" ht="25.15" customHeight="1" x14ac:dyDescent="0.25">
      <c r="B548" s="49">
        <v>543</v>
      </c>
      <c r="C548" s="1" t="str">
        <f>_xlfn.CONCAT("181-702-",IF(tbl_Ben_Info[[#This Row],[SN]]&lt;10,"00"&amp;tbl_Ben_Info[[#This Row],[SN]],IF(tbl_Ben_Info[[#This Row],[SN]]&lt;100,"0"&amp;tbl_Ben_Info[[#This Row],[SN]],tbl_Ben_Info[[#This Row],[SN]])))</f>
        <v>181-702-543</v>
      </c>
      <c r="D548" s="37"/>
      <c r="E548" s="40"/>
      <c r="F548" s="41"/>
      <c r="G548" s="42"/>
      <c r="H548" s="43"/>
      <c r="I548" s="73"/>
      <c r="J548" s="43"/>
      <c r="K548" s="43"/>
      <c r="L548" s="43"/>
      <c r="M548" s="43"/>
      <c r="N548" s="111"/>
      <c r="O548" s="43"/>
      <c r="P548" s="48"/>
      <c r="Q548" s="49"/>
      <c r="R548" s="37"/>
      <c r="S548" s="37"/>
      <c r="T548" s="37"/>
      <c r="U548" s="37"/>
      <c r="V548" s="59"/>
      <c r="W548" s="49"/>
      <c r="X548" s="37"/>
      <c r="Y548" s="37"/>
      <c r="Z548" s="37"/>
      <c r="AA548" s="37"/>
      <c r="AB548" s="37"/>
      <c r="AC548" s="37"/>
      <c r="AD548" s="37"/>
      <c r="AE548" s="37"/>
      <c r="AF548" s="37"/>
      <c r="AG548" s="59"/>
      <c r="AH548" s="49"/>
      <c r="AI548" s="37"/>
      <c r="AJ548" s="37"/>
      <c r="AK548" s="37"/>
      <c r="AL548" s="37"/>
      <c r="AM548" s="37"/>
      <c r="AN548" s="37"/>
      <c r="AO548" s="37"/>
      <c r="AP548" s="37"/>
      <c r="AQ548" s="37"/>
      <c r="AR548" s="37"/>
      <c r="AS548" s="37"/>
      <c r="AT548" s="37"/>
      <c r="AU548" s="37"/>
      <c r="AV548" s="59"/>
      <c r="AW548" s="1" t="str">
        <f>_xlfn.CONCAT(tbl_Ben_Info[[#This Row],[First Name]]," ",tbl_Ben_Info[[#This Row],[Father Name]]," ",tbl_Ben_Info[[#This Row],[Family Name]])</f>
        <v xml:space="preserve">  </v>
      </c>
    </row>
    <row r="549" spans="2:49" ht="25.15" customHeight="1" x14ac:dyDescent="0.25">
      <c r="B549" s="49">
        <v>544</v>
      </c>
      <c r="C549" s="1" t="str">
        <f>_xlfn.CONCAT("181-702-",IF(tbl_Ben_Info[[#This Row],[SN]]&lt;10,"00"&amp;tbl_Ben_Info[[#This Row],[SN]],IF(tbl_Ben_Info[[#This Row],[SN]]&lt;100,"0"&amp;tbl_Ben_Info[[#This Row],[SN]],tbl_Ben_Info[[#This Row],[SN]])))</f>
        <v>181-702-544</v>
      </c>
      <c r="D549" s="37"/>
      <c r="E549" s="40"/>
      <c r="F549" s="41"/>
      <c r="G549" s="42"/>
      <c r="H549" s="43"/>
      <c r="I549" s="73"/>
      <c r="J549" s="43"/>
      <c r="K549" s="43"/>
      <c r="L549" s="43"/>
      <c r="M549" s="43"/>
      <c r="N549" s="111"/>
      <c r="O549" s="43"/>
      <c r="P549" s="48"/>
      <c r="Q549" s="49"/>
      <c r="R549" s="37"/>
      <c r="S549" s="37"/>
      <c r="T549" s="37"/>
      <c r="U549" s="37"/>
      <c r="V549" s="59"/>
      <c r="W549" s="49"/>
      <c r="X549" s="37"/>
      <c r="Y549" s="37"/>
      <c r="Z549" s="37"/>
      <c r="AA549" s="37"/>
      <c r="AB549" s="37"/>
      <c r="AC549" s="37"/>
      <c r="AD549" s="37"/>
      <c r="AE549" s="37"/>
      <c r="AF549" s="37"/>
      <c r="AG549" s="59"/>
      <c r="AH549" s="49"/>
      <c r="AI549" s="37"/>
      <c r="AJ549" s="37"/>
      <c r="AK549" s="37"/>
      <c r="AL549" s="37"/>
      <c r="AM549" s="37"/>
      <c r="AN549" s="37"/>
      <c r="AO549" s="37"/>
      <c r="AP549" s="37"/>
      <c r="AQ549" s="37"/>
      <c r="AR549" s="37"/>
      <c r="AS549" s="37"/>
      <c r="AT549" s="37"/>
      <c r="AU549" s="37"/>
      <c r="AV549" s="59"/>
      <c r="AW549" s="1" t="str">
        <f>_xlfn.CONCAT(tbl_Ben_Info[[#This Row],[First Name]]," ",tbl_Ben_Info[[#This Row],[Father Name]]," ",tbl_Ben_Info[[#This Row],[Family Name]])</f>
        <v xml:space="preserve">  </v>
      </c>
    </row>
    <row r="550" spans="2:49" ht="25.15" customHeight="1" x14ac:dyDescent="0.25">
      <c r="B550" s="49">
        <v>545</v>
      </c>
      <c r="C550" s="1" t="str">
        <f>_xlfn.CONCAT("181-702-",IF(tbl_Ben_Info[[#This Row],[SN]]&lt;10,"00"&amp;tbl_Ben_Info[[#This Row],[SN]],IF(tbl_Ben_Info[[#This Row],[SN]]&lt;100,"0"&amp;tbl_Ben_Info[[#This Row],[SN]],tbl_Ben_Info[[#This Row],[SN]])))</f>
        <v>181-702-545</v>
      </c>
      <c r="D550" s="37"/>
      <c r="E550" s="40"/>
      <c r="F550" s="41"/>
      <c r="G550" s="42"/>
      <c r="H550" s="43"/>
      <c r="I550" s="73"/>
      <c r="J550" s="43"/>
      <c r="K550" s="43"/>
      <c r="L550" s="43"/>
      <c r="M550" s="43"/>
      <c r="N550" s="111"/>
      <c r="O550" s="43"/>
      <c r="P550" s="48"/>
      <c r="Q550" s="49"/>
      <c r="R550" s="37"/>
      <c r="S550" s="37"/>
      <c r="T550" s="37"/>
      <c r="U550" s="37"/>
      <c r="V550" s="59"/>
      <c r="W550" s="49"/>
      <c r="X550" s="37"/>
      <c r="Y550" s="37"/>
      <c r="Z550" s="37"/>
      <c r="AA550" s="37"/>
      <c r="AB550" s="37"/>
      <c r="AC550" s="37"/>
      <c r="AD550" s="37"/>
      <c r="AE550" s="37"/>
      <c r="AF550" s="37"/>
      <c r="AG550" s="59"/>
      <c r="AH550" s="49"/>
      <c r="AI550" s="37"/>
      <c r="AJ550" s="37"/>
      <c r="AK550" s="37"/>
      <c r="AL550" s="37"/>
      <c r="AM550" s="37"/>
      <c r="AN550" s="37"/>
      <c r="AO550" s="37"/>
      <c r="AP550" s="37"/>
      <c r="AQ550" s="37"/>
      <c r="AR550" s="37"/>
      <c r="AS550" s="37"/>
      <c r="AT550" s="37"/>
      <c r="AU550" s="37"/>
      <c r="AV550" s="59"/>
      <c r="AW550" s="1" t="str">
        <f>_xlfn.CONCAT(tbl_Ben_Info[[#This Row],[First Name]]," ",tbl_Ben_Info[[#This Row],[Father Name]]," ",tbl_Ben_Info[[#This Row],[Family Name]])</f>
        <v xml:space="preserve">  </v>
      </c>
    </row>
    <row r="551" spans="2:49" ht="25.15" customHeight="1" x14ac:dyDescent="0.25">
      <c r="B551" s="49">
        <v>546</v>
      </c>
      <c r="C551" s="1" t="str">
        <f>_xlfn.CONCAT("181-702-",IF(tbl_Ben_Info[[#This Row],[SN]]&lt;10,"00"&amp;tbl_Ben_Info[[#This Row],[SN]],IF(tbl_Ben_Info[[#This Row],[SN]]&lt;100,"0"&amp;tbl_Ben_Info[[#This Row],[SN]],tbl_Ben_Info[[#This Row],[SN]])))</f>
        <v>181-702-546</v>
      </c>
      <c r="D551" s="37"/>
      <c r="E551" s="40"/>
      <c r="F551" s="41"/>
      <c r="G551" s="42"/>
      <c r="H551" s="43"/>
      <c r="I551" s="73"/>
      <c r="J551" s="43"/>
      <c r="K551" s="43"/>
      <c r="L551" s="43"/>
      <c r="M551" s="43"/>
      <c r="N551" s="111"/>
      <c r="O551" s="43"/>
      <c r="P551" s="48"/>
      <c r="Q551" s="49"/>
      <c r="R551" s="37"/>
      <c r="S551" s="37"/>
      <c r="T551" s="37"/>
      <c r="U551" s="37"/>
      <c r="V551" s="59"/>
      <c r="W551" s="49"/>
      <c r="X551" s="37"/>
      <c r="Y551" s="37"/>
      <c r="Z551" s="37"/>
      <c r="AA551" s="37"/>
      <c r="AB551" s="37"/>
      <c r="AC551" s="37"/>
      <c r="AD551" s="37"/>
      <c r="AE551" s="37"/>
      <c r="AF551" s="37"/>
      <c r="AG551" s="59"/>
      <c r="AH551" s="49"/>
      <c r="AI551" s="37"/>
      <c r="AJ551" s="37"/>
      <c r="AK551" s="37"/>
      <c r="AL551" s="37"/>
      <c r="AM551" s="37"/>
      <c r="AN551" s="37"/>
      <c r="AO551" s="37"/>
      <c r="AP551" s="37"/>
      <c r="AQ551" s="37"/>
      <c r="AR551" s="37"/>
      <c r="AS551" s="37"/>
      <c r="AT551" s="37"/>
      <c r="AU551" s="37"/>
      <c r="AV551" s="59"/>
      <c r="AW551" s="1" t="str">
        <f>_xlfn.CONCAT(tbl_Ben_Info[[#This Row],[First Name]]," ",tbl_Ben_Info[[#This Row],[Father Name]]," ",tbl_Ben_Info[[#This Row],[Family Name]])</f>
        <v xml:space="preserve">  </v>
      </c>
    </row>
    <row r="552" spans="2:49" ht="25.15" customHeight="1" x14ac:dyDescent="0.25">
      <c r="B552" s="49">
        <v>547</v>
      </c>
      <c r="C552" s="1" t="str">
        <f>_xlfn.CONCAT("181-702-",IF(tbl_Ben_Info[[#This Row],[SN]]&lt;10,"00"&amp;tbl_Ben_Info[[#This Row],[SN]],IF(tbl_Ben_Info[[#This Row],[SN]]&lt;100,"0"&amp;tbl_Ben_Info[[#This Row],[SN]],tbl_Ben_Info[[#This Row],[SN]])))</f>
        <v>181-702-547</v>
      </c>
      <c r="D552" s="37"/>
      <c r="E552" s="40"/>
      <c r="F552" s="41"/>
      <c r="G552" s="42"/>
      <c r="H552" s="43"/>
      <c r="I552" s="73"/>
      <c r="J552" s="43"/>
      <c r="K552" s="43"/>
      <c r="L552" s="43"/>
      <c r="M552" s="43"/>
      <c r="N552" s="111"/>
      <c r="O552" s="43"/>
      <c r="P552" s="48"/>
      <c r="Q552" s="49"/>
      <c r="R552" s="37"/>
      <c r="S552" s="37"/>
      <c r="T552" s="37"/>
      <c r="U552" s="37"/>
      <c r="V552" s="59"/>
      <c r="W552" s="49"/>
      <c r="X552" s="37"/>
      <c r="Y552" s="37"/>
      <c r="Z552" s="37"/>
      <c r="AA552" s="37"/>
      <c r="AB552" s="37"/>
      <c r="AC552" s="37"/>
      <c r="AD552" s="37"/>
      <c r="AE552" s="37"/>
      <c r="AF552" s="37"/>
      <c r="AG552" s="59"/>
      <c r="AH552" s="49"/>
      <c r="AI552" s="37"/>
      <c r="AJ552" s="37"/>
      <c r="AK552" s="37"/>
      <c r="AL552" s="37"/>
      <c r="AM552" s="37"/>
      <c r="AN552" s="37"/>
      <c r="AO552" s="37"/>
      <c r="AP552" s="37"/>
      <c r="AQ552" s="37"/>
      <c r="AR552" s="37"/>
      <c r="AS552" s="37"/>
      <c r="AT552" s="37"/>
      <c r="AU552" s="37"/>
      <c r="AV552" s="59"/>
      <c r="AW552" s="1" t="str">
        <f>_xlfn.CONCAT(tbl_Ben_Info[[#This Row],[First Name]]," ",tbl_Ben_Info[[#This Row],[Father Name]]," ",tbl_Ben_Info[[#This Row],[Family Name]])</f>
        <v xml:space="preserve">  </v>
      </c>
    </row>
    <row r="553" spans="2:49" ht="25.15" customHeight="1" x14ac:dyDescent="0.25">
      <c r="B553" s="49">
        <v>548</v>
      </c>
      <c r="C553" s="1" t="str">
        <f>_xlfn.CONCAT("181-702-",IF(tbl_Ben_Info[[#This Row],[SN]]&lt;10,"00"&amp;tbl_Ben_Info[[#This Row],[SN]],IF(tbl_Ben_Info[[#This Row],[SN]]&lt;100,"0"&amp;tbl_Ben_Info[[#This Row],[SN]],tbl_Ben_Info[[#This Row],[SN]])))</f>
        <v>181-702-548</v>
      </c>
      <c r="D553" s="37"/>
      <c r="E553" s="40"/>
      <c r="F553" s="41"/>
      <c r="G553" s="42"/>
      <c r="H553" s="43"/>
      <c r="I553" s="73"/>
      <c r="J553" s="43"/>
      <c r="K553" s="43"/>
      <c r="L553" s="43"/>
      <c r="M553" s="43"/>
      <c r="N553" s="111"/>
      <c r="O553" s="43"/>
      <c r="P553" s="48"/>
      <c r="Q553" s="49"/>
      <c r="R553" s="37"/>
      <c r="S553" s="37"/>
      <c r="T553" s="37"/>
      <c r="U553" s="37"/>
      <c r="V553" s="59"/>
      <c r="W553" s="49"/>
      <c r="X553" s="37"/>
      <c r="Y553" s="37"/>
      <c r="Z553" s="37"/>
      <c r="AA553" s="37"/>
      <c r="AB553" s="37"/>
      <c r="AC553" s="37"/>
      <c r="AD553" s="37"/>
      <c r="AE553" s="37"/>
      <c r="AF553" s="37"/>
      <c r="AG553" s="59"/>
      <c r="AH553" s="49"/>
      <c r="AI553" s="37"/>
      <c r="AJ553" s="37"/>
      <c r="AK553" s="37"/>
      <c r="AL553" s="37"/>
      <c r="AM553" s="37"/>
      <c r="AN553" s="37"/>
      <c r="AO553" s="37"/>
      <c r="AP553" s="37"/>
      <c r="AQ553" s="37"/>
      <c r="AR553" s="37"/>
      <c r="AS553" s="37"/>
      <c r="AT553" s="37"/>
      <c r="AU553" s="37"/>
      <c r="AV553" s="59"/>
      <c r="AW553" s="1" t="str">
        <f>_xlfn.CONCAT(tbl_Ben_Info[[#This Row],[First Name]]," ",tbl_Ben_Info[[#This Row],[Father Name]]," ",tbl_Ben_Info[[#This Row],[Family Name]])</f>
        <v xml:space="preserve">  </v>
      </c>
    </row>
    <row r="554" spans="2:49" ht="25.15" customHeight="1" x14ac:dyDescent="0.25">
      <c r="B554" s="49">
        <v>549</v>
      </c>
      <c r="C554" s="1" t="str">
        <f>_xlfn.CONCAT("181-702-",IF(tbl_Ben_Info[[#This Row],[SN]]&lt;10,"00"&amp;tbl_Ben_Info[[#This Row],[SN]],IF(tbl_Ben_Info[[#This Row],[SN]]&lt;100,"0"&amp;tbl_Ben_Info[[#This Row],[SN]],tbl_Ben_Info[[#This Row],[SN]])))</f>
        <v>181-702-549</v>
      </c>
      <c r="D554" s="37"/>
      <c r="E554" s="40"/>
      <c r="F554" s="41"/>
      <c r="G554" s="42"/>
      <c r="H554" s="43"/>
      <c r="I554" s="73"/>
      <c r="J554" s="43"/>
      <c r="K554" s="43"/>
      <c r="L554" s="43"/>
      <c r="M554" s="43"/>
      <c r="N554" s="111"/>
      <c r="O554" s="43"/>
      <c r="P554" s="48"/>
      <c r="Q554" s="49"/>
      <c r="R554" s="37"/>
      <c r="S554" s="37"/>
      <c r="T554" s="37"/>
      <c r="U554" s="37"/>
      <c r="V554" s="59"/>
      <c r="W554" s="49"/>
      <c r="X554" s="37"/>
      <c r="Y554" s="37"/>
      <c r="Z554" s="37"/>
      <c r="AA554" s="37"/>
      <c r="AB554" s="37"/>
      <c r="AC554" s="37"/>
      <c r="AD554" s="37"/>
      <c r="AE554" s="37"/>
      <c r="AF554" s="37"/>
      <c r="AG554" s="59"/>
      <c r="AH554" s="49"/>
      <c r="AI554" s="37"/>
      <c r="AJ554" s="37"/>
      <c r="AK554" s="37"/>
      <c r="AL554" s="37"/>
      <c r="AM554" s="37"/>
      <c r="AN554" s="37"/>
      <c r="AO554" s="37"/>
      <c r="AP554" s="37"/>
      <c r="AQ554" s="37"/>
      <c r="AR554" s="37"/>
      <c r="AS554" s="37"/>
      <c r="AT554" s="37"/>
      <c r="AU554" s="37"/>
      <c r="AV554" s="59"/>
      <c r="AW554" s="1" t="str">
        <f>_xlfn.CONCAT(tbl_Ben_Info[[#This Row],[First Name]]," ",tbl_Ben_Info[[#This Row],[Father Name]]," ",tbl_Ben_Info[[#This Row],[Family Name]])</f>
        <v xml:space="preserve">  </v>
      </c>
    </row>
    <row r="555" spans="2:49" ht="25.15" customHeight="1" x14ac:dyDescent="0.25">
      <c r="B555" s="49">
        <v>550</v>
      </c>
      <c r="C555" s="1" t="str">
        <f>_xlfn.CONCAT("181-702-",IF(tbl_Ben_Info[[#This Row],[SN]]&lt;10,"00"&amp;tbl_Ben_Info[[#This Row],[SN]],IF(tbl_Ben_Info[[#This Row],[SN]]&lt;100,"0"&amp;tbl_Ben_Info[[#This Row],[SN]],tbl_Ben_Info[[#This Row],[SN]])))</f>
        <v>181-702-550</v>
      </c>
      <c r="D555" s="37"/>
      <c r="E555" s="40"/>
      <c r="F555" s="41"/>
      <c r="G555" s="42"/>
      <c r="H555" s="43"/>
      <c r="I555" s="73"/>
      <c r="J555" s="43"/>
      <c r="K555" s="43"/>
      <c r="L555" s="43"/>
      <c r="M555" s="43"/>
      <c r="N555" s="111"/>
      <c r="O555" s="43"/>
      <c r="P555" s="48"/>
      <c r="Q555" s="49"/>
      <c r="R555" s="37"/>
      <c r="S555" s="37"/>
      <c r="T555" s="37"/>
      <c r="U555" s="37"/>
      <c r="V555" s="59"/>
      <c r="W555" s="49"/>
      <c r="X555" s="37"/>
      <c r="Y555" s="37"/>
      <c r="Z555" s="37"/>
      <c r="AA555" s="37"/>
      <c r="AB555" s="37"/>
      <c r="AC555" s="37"/>
      <c r="AD555" s="37"/>
      <c r="AE555" s="37"/>
      <c r="AF555" s="37"/>
      <c r="AG555" s="59"/>
      <c r="AH555" s="49"/>
      <c r="AI555" s="37"/>
      <c r="AJ555" s="37"/>
      <c r="AK555" s="37"/>
      <c r="AL555" s="37"/>
      <c r="AM555" s="37"/>
      <c r="AN555" s="37"/>
      <c r="AO555" s="37"/>
      <c r="AP555" s="37"/>
      <c r="AQ555" s="37"/>
      <c r="AR555" s="37"/>
      <c r="AS555" s="37"/>
      <c r="AT555" s="37"/>
      <c r="AU555" s="37"/>
      <c r="AV555" s="59"/>
      <c r="AW555" s="1" t="str">
        <f>_xlfn.CONCAT(tbl_Ben_Info[[#This Row],[First Name]]," ",tbl_Ben_Info[[#This Row],[Father Name]]," ",tbl_Ben_Info[[#This Row],[Family Name]])</f>
        <v xml:space="preserve">  </v>
      </c>
    </row>
    <row r="556" spans="2:49" ht="25.15" customHeight="1" x14ac:dyDescent="0.25">
      <c r="B556" s="49">
        <v>551</v>
      </c>
      <c r="C556" s="1" t="str">
        <f>_xlfn.CONCAT("181-702-",IF(tbl_Ben_Info[[#This Row],[SN]]&lt;10,"00"&amp;tbl_Ben_Info[[#This Row],[SN]],IF(tbl_Ben_Info[[#This Row],[SN]]&lt;100,"0"&amp;tbl_Ben_Info[[#This Row],[SN]],tbl_Ben_Info[[#This Row],[SN]])))</f>
        <v>181-702-551</v>
      </c>
      <c r="D556" s="37"/>
      <c r="E556" s="40"/>
      <c r="F556" s="41"/>
      <c r="G556" s="42"/>
      <c r="H556" s="43"/>
      <c r="I556" s="73"/>
      <c r="J556" s="43"/>
      <c r="K556" s="43"/>
      <c r="L556" s="43"/>
      <c r="M556" s="43"/>
      <c r="N556" s="111"/>
      <c r="O556" s="43"/>
      <c r="P556" s="48"/>
      <c r="Q556" s="49"/>
      <c r="R556" s="37"/>
      <c r="S556" s="37"/>
      <c r="T556" s="37"/>
      <c r="U556" s="37"/>
      <c r="V556" s="59"/>
      <c r="W556" s="49"/>
      <c r="X556" s="37"/>
      <c r="Y556" s="37"/>
      <c r="Z556" s="37"/>
      <c r="AA556" s="37"/>
      <c r="AB556" s="37"/>
      <c r="AC556" s="37"/>
      <c r="AD556" s="37"/>
      <c r="AE556" s="37"/>
      <c r="AF556" s="37"/>
      <c r="AG556" s="59"/>
      <c r="AH556" s="49"/>
      <c r="AI556" s="37"/>
      <c r="AJ556" s="37"/>
      <c r="AK556" s="37"/>
      <c r="AL556" s="37"/>
      <c r="AM556" s="37"/>
      <c r="AN556" s="37"/>
      <c r="AO556" s="37"/>
      <c r="AP556" s="37"/>
      <c r="AQ556" s="37"/>
      <c r="AR556" s="37"/>
      <c r="AS556" s="37"/>
      <c r="AT556" s="37"/>
      <c r="AU556" s="37"/>
      <c r="AV556" s="59"/>
      <c r="AW556" s="1" t="str">
        <f>_xlfn.CONCAT(tbl_Ben_Info[[#This Row],[First Name]]," ",tbl_Ben_Info[[#This Row],[Father Name]]," ",tbl_Ben_Info[[#This Row],[Family Name]])</f>
        <v xml:space="preserve">  </v>
      </c>
    </row>
    <row r="557" spans="2:49" ht="25.15" customHeight="1" x14ac:dyDescent="0.25">
      <c r="B557" s="49">
        <v>552</v>
      </c>
      <c r="C557" s="1" t="str">
        <f>_xlfn.CONCAT("181-702-",IF(tbl_Ben_Info[[#This Row],[SN]]&lt;10,"00"&amp;tbl_Ben_Info[[#This Row],[SN]],IF(tbl_Ben_Info[[#This Row],[SN]]&lt;100,"0"&amp;tbl_Ben_Info[[#This Row],[SN]],tbl_Ben_Info[[#This Row],[SN]])))</f>
        <v>181-702-552</v>
      </c>
      <c r="D557" s="37"/>
      <c r="E557" s="40"/>
      <c r="F557" s="41"/>
      <c r="G557" s="42"/>
      <c r="H557" s="43"/>
      <c r="I557" s="73"/>
      <c r="J557" s="43"/>
      <c r="K557" s="43"/>
      <c r="L557" s="43"/>
      <c r="M557" s="43"/>
      <c r="N557" s="111"/>
      <c r="O557" s="43"/>
      <c r="P557" s="48"/>
      <c r="Q557" s="49"/>
      <c r="R557" s="37"/>
      <c r="S557" s="37"/>
      <c r="T557" s="37"/>
      <c r="U557" s="37"/>
      <c r="V557" s="59"/>
      <c r="W557" s="49"/>
      <c r="X557" s="37"/>
      <c r="Y557" s="37"/>
      <c r="Z557" s="37"/>
      <c r="AA557" s="37"/>
      <c r="AB557" s="37"/>
      <c r="AC557" s="37"/>
      <c r="AD557" s="37"/>
      <c r="AE557" s="37"/>
      <c r="AF557" s="37"/>
      <c r="AG557" s="59"/>
      <c r="AH557" s="49"/>
      <c r="AI557" s="37"/>
      <c r="AJ557" s="37"/>
      <c r="AK557" s="37"/>
      <c r="AL557" s="37"/>
      <c r="AM557" s="37"/>
      <c r="AN557" s="37"/>
      <c r="AO557" s="37"/>
      <c r="AP557" s="37"/>
      <c r="AQ557" s="37"/>
      <c r="AR557" s="37"/>
      <c r="AS557" s="37"/>
      <c r="AT557" s="37"/>
      <c r="AU557" s="37"/>
      <c r="AV557" s="59"/>
      <c r="AW557" s="1" t="str">
        <f>_xlfn.CONCAT(tbl_Ben_Info[[#This Row],[First Name]]," ",tbl_Ben_Info[[#This Row],[Father Name]]," ",tbl_Ben_Info[[#This Row],[Family Name]])</f>
        <v xml:space="preserve">  </v>
      </c>
    </row>
    <row r="558" spans="2:49" ht="25.15" customHeight="1" x14ac:dyDescent="0.25">
      <c r="B558" s="49">
        <v>553</v>
      </c>
      <c r="C558" s="1" t="str">
        <f>_xlfn.CONCAT("181-702-",IF(tbl_Ben_Info[[#This Row],[SN]]&lt;10,"00"&amp;tbl_Ben_Info[[#This Row],[SN]],IF(tbl_Ben_Info[[#This Row],[SN]]&lt;100,"0"&amp;tbl_Ben_Info[[#This Row],[SN]],tbl_Ben_Info[[#This Row],[SN]])))</f>
        <v>181-702-553</v>
      </c>
      <c r="D558" s="37"/>
      <c r="E558" s="40"/>
      <c r="F558" s="41"/>
      <c r="G558" s="42"/>
      <c r="H558" s="43"/>
      <c r="I558" s="73"/>
      <c r="J558" s="43"/>
      <c r="K558" s="43"/>
      <c r="L558" s="43"/>
      <c r="M558" s="43"/>
      <c r="N558" s="111"/>
      <c r="O558" s="43"/>
      <c r="P558" s="48"/>
      <c r="Q558" s="49"/>
      <c r="R558" s="37"/>
      <c r="S558" s="37"/>
      <c r="T558" s="37"/>
      <c r="U558" s="37"/>
      <c r="V558" s="59"/>
      <c r="W558" s="49"/>
      <c r="X558" s="37"/>
      <c r="Y558" s="37"/>
      <c r="Z558" s="37"/>
      <c r="AA558" s="37"/>
      <c r="AB558" s="37"/>
      <c r="AC558" s="37"/>
      <c r="AD558" s="37"/>
      <c r="AE558" s="37"/>
      <c r="AF558" s="37"/>
      <c r="AG558" s="59"/>
      <c r="AH558" s="49"/>
      <c r="AI558" s="37"/>
      <c r="AJ558" s="37"/>
      <c r="AK558" s="37"/>
      <c r="AL558" s="37"/>
      <c r="AM558" s="37"/>
      <c r="AN558" s="37"/>
      <c r="AO558" s="37"/>
      <c r="AP558" s="37"/>
      <c r="AQ558" s="37"/>
      <c r="AR558" s="37"/>
      <c r="AS558" s="37"/>
      <c r="AT558" s="37"/>
      <c r="AU558" s="37"/>
      <c r="AV558" s="59"/>
      <c r="AW558" s="1" t="str">
        <f>_xlfn.CONCAT(tbl_Ben_Info[[#This Row],[First Name]]," ",tbl_Ben_Info[[#This Row],[Father Name]]," ",tbl_Ben_Info[[#This Row],[Family Name]])</f>
        <v xml:space="preserve">  </v>
      </c>
    </row>
    <row r="559" spans="2:49" ht="25.15" customHeight="1" x14ac:dyDescent="0.25">
      <c r="B559" s="49">
        <v>554</v>
      </c>
      <c r="C559" s="1" t="str">
        <f>_xlfn.CONCAT("181-702-",IF(tbl_Ben_Info[[#This Row],[SN]]&lt;10,"00"&amp;tbl_Ben_Info[[#This Row],[SN]],IF(tbl_Ben_Info[[#This Row],[SN]]&lt;100,"0"&amp;tbl_Ben_Info[[#This Row],[SN]],tbl_Ben_Info[[#This Row],[SN]])))</f>
        <v>181-702-554</v>
      </c>
      <c r="D559" s="37"/>
      <c r="E559" s="40"/>
      <c r="F559" s="41"/>
      <c r="G559" s="42"/>
      <c r="H559" s="43"/>
      <c r="I559" s="73"/>
      <c r="J559" s="43"/>
      <c r="K559" s="43"/>
      <c r="L559" s="43"/>
      <c r="M559" s="43"/>
      <c r="N559" s="111"/>
      <c r="O559" s="43"/>
      <c r="P559" s="48"/>
      <c r="Q559" s="49"/>
      <c r="R559" s="37"/>
      <c r="S559" s="37"/>
      <c r="T559" s="37"/>
      <c r="U559" s="37"/>
      <c r="V559" s="59"/>
      <c r="W559" s="49"/>
      <c r="X559" s="37"/>
      <c r="Y559" s="37"/>
      <c r="Z559" s="37"/>
      <c r="AA559" s="37"/>
      <c r="AB559" s="37"/>
      <c r="AC559" s="37"/>
      <c r="AD559" s="37"/>
      <c r="AE559" s="37"/>
      <c r="AF559" s="37"/>
      <c r="AG559" s="59"/>
      <c r="AH559" s="49"/>
      <c r="AI559" s="37"/>
      <c r="AJ559" s="37"/>
      <c r="AK559" s="37"/>
      <c r="AL559" s="37"/>
      <c r="AM559" s="37"/>
      <c r="AN559" s="37"/>
      <c r="AO559" s="37"/>
      <c r="AP559" s="37"/>
      <c r="AQ559" s="37"/>
      <c r="AR559" s="37"/>
      <c r="AS559" s="37"/>
      <c r="AT559" s="37"/>
      <c r="AU559" s="37"/>
      <c r="AV559" s="59"/>
      <c r="AW559" s="1" t="str">
        <f>_xlfn.CONCAT(tbl_Ben_Info[[#This Row],[First Name]]," ",tbl_Ben_Info[[#This Row],[Father Name]]," ",tbl_Ben_Info[[#This Row],[Family Name]])</f>
        <v xml:space="preserve">  </v>
      </c>
    </row>
    <row r="560" spans="2:49" ht="25.15" customHeight="1" x14ac:dyDescent="0.25">
      <c r="B560" s="49">
        <v>555</v>
      </c>
      <c r="C560" s="1" t="str">
        <f>_xlfn.CONCAT("181-702-",IF(tbl_Ben_Info[[#This Row],[SN]]&lt;10,"00"&amp;tbl_Ben_Info[[#This Row],[SN]],IF(tbl_Ben_Info[[#This Row],[SN]]&lt;100,"0"&amp;tbl_Ben_Info[[#This Row],[SN]],tbl_Ben_Info[[#This Row],[SN]])))</f>
        <v>181-702-555</v>
      </c>
      <c r="D560" s="37"/>
      <c r="E560" s="40"/>
      <c r="F560" s="41"/>
      <c r="G560" s="42"/>
      <c r="H560" s="43"/>
      <c r="I560" s="73"/>
      <c r="J560" s="43"/>
      <c r="K560" s="43"/>
      <c r="L560" s="43"/>
      <c r="M560" s="43"/>
      <c r="N560" s="111"/>
      <c r="O560" s="43"/>
      <c r="P560" s="48"/>
      <c r="Q560" s="49"/>
      <c r="R560" s="37"/>
      <c r="S560" s="37"/>
      <c r="T560" s="37"/>
      <c r="U560" s="37"/>
      <c r="V560" s="59"/>
      <c r="W560" s="49"/>
      <c r="X560" s="37"/>
      <c r="Y560" s="37"/>
      <c r="Z560" s="37"/>
      <c r="AA560" s="37"/>
      <c r="AB560" s="37"/>
      <c r="AC560" s="37"/>
      <c r="AD560" s="37"/>
      <c r="AE560" s="37"/>
      <c r="AF560" s="37"/>
      <c r="AG560" s="59"/>
      <c r="AH560" s="49"/>
      <c r="AI560" s="37"/>
      <c r="AJ560" s="37"/>
      <c r="AK560" s="37"/>
      <c r="AL560" s="37"/>
      <c r="AM560" s="37"/>
      <c r="AN560" s="37"/>
      <c r="AO560" s="37"/>
      <c r="AP560" s="37"/>
      <c r="AQ560" s="37"/>
      <c r="AR560" s="37"/>
      <c r="AS560" s="37"/>
      <c r="AT560" s="37"/>
      <c r="AU560" s="37"/>
      <c r="AV560" s="59"/>
      <c r="AW560" s="1" t="str">
        <f>_xlfn.CONCAT(tbl_Ben_Info[[#This Row],[First Name]]," ",tbl_Ben_Info[[#This Row],[Father Name]]," ",tbl_Ben_Info[[#This Row],[Family Name]])</f>
        <v xml:space="preserve">  </v>
      </c>
    </row>
    <row r="561" spans="2:49" ht="25.15" customHeight="1" x14ac:dyDescent="0.25">
      <c r="B561" s="49">
        <v>556</v>
      </c>
      <c r="C561" s="1" t="str">
        <f>_xlfn.CONCAT("181-702-",IF(tbl_Ben_Info[[#This Row],[SN]]&lt;10,"00"&amp;tbl_Ben_Info[[#This Row],[SN]],IF(tbl_Ben_Info[[#This Row],[SN]]&lt;100,"0"&amp;tbl_Ben_Info[[#This Row],[SN]],tbl_Ben_Info[[#This Row],[SN]])))</f>
        <v>181-702-556</v>
      </c>
      <c r="D561" s="37"/>
      <c r="E561" s="40"/>
      <c r="F561" s="41"/>
      <c r="G561" s="42"/>
      <c r="H561" s="43"/>
      <c r="I561" s="73"/>
      <c r="J561" s="43"/>
      <c r="K561" s="43"/>
      <c r="L561" s="43"/>
      <c r="M561" s="43"/>
      <c r="N561" s="111"/>
      <c r="O561" s="43"/>
      <c r="P561" s="48"/>
      <c r="Q561" s="49"/>
      <c r="R561" s="37"/>
      <c r="S561" s="37"/>
      <c r="T561" s="37"/>
      <c r="U561" s="37"/>
      <c r="V561" s="59"/>
      <c r="W561" s="49"/>
      <c r="X561" s="37"/>
      <c r="Y561" s="37"/>
      <c r="Z561" s="37"/>
      <c r="AA561" s="37"/>
      <c r="AB561" s="37"/>
      <c r="AC561" s="37"/>
      <c r="AD561" s="37"/>
      <c r="AE561" s="37"/>
      <c r="AF561" s="37"/>
      <c r="AG561" s="59"/>
      <c r="AH561" s="49"/>
      <c r="AI561" s="37"/>
      <c r="AJ561" s="37"/>
      <c r="AK561" s="37"/>
      <c r="AL561" s="37"/>
      <c r="AM561" s="37"/>
      <c r="AN561" s="37"/>
      <c r="AO561" s="37"/>
      <c r="AP561" s="37"/>
      <c r="AQ561" s="37"/>
      <c r="AR561" s="37"/>
      <c r="AS561" s="37"/>
      <c r="AT561" s="37"/>
      <c r="AU561" s="37"/>
      <c r="AV561" s="59"/>
      <c r="AW561" s="1" t="str">
        <f>_xlfn.CONCAT(tbl_Ben_Info[[#This Row],[First Name]]," ",tbl_Ben_Info[[#This Row],[Father Name]]," ",tbl_Ben_Info[[#This Row],[Family Name]])</f>
        <v xml:space="preserve">  </v>
      </c>
    </row>
    <row r="562" spans="2:49" ht="25.15" customHeight="1" x14ac:dyDescent="0.25">
      <c r="B562" s="49">
        <v>557</v>
      </c>
      <c r="C562" s="1" t="str">
        <f>_xlfn.CONCAT("181-702-",IF(tbl_Ben_Info[[#This Row],[SN]]&lt;10,"00"&amp;tbl_Ben_Info[[#This Row],[SN]],IF(tbl_Ben_Info[[#This Row],[SN]]&lt;100,"0"&amp;tbl_Ben_Info[[#This Row],[SN]],tbl_Ben_Info[[#This Row],[SN]])))</f>
        <v>181-702-557</v>
      </c>
      <c r="D562" s="37"/>
      <c r="E562" s="40"/>
      <c r="F562" s="41"/>
      <c r="G562" s="42"/>
      <c r="H562" s="43"/>
      <c r="I562" s="73"/>
      <c r="J562" s="43"/>
      <c r="K562" s="43"/>
      <c r="L562" s="43"/>
      <c r="M562" s="43"/>
      <c r="N562" s="111"/>
      <c r="O562" s="43"/>
      <c r="P562" s="48"/>
      <c r="Q562" s="49"/>
      <c r="R562" s="37"/>
      <c r="S562" s="37"/>
      <c r="T562" s="37"/>
      <c r="U562" s="37"/>
      <c r="V562" s="59"/>
      <c r="W562" s="49"/>
      <c r="X562" s="37"/>
      <c r="Y562" s="37"/>
      <c r="Z562" s="37"/>
      <c r="AA562" s="37"/>
      <c r="AB562" s="37"/>
      <c r="AC562" s="37"/>
      <c r="AD562" s="37"/>
      <c r="AE562" s="37"/>
      <c r="AF562" s="37"/>
      <c r="AG562" s="59"/>
      <c r="AH562" s="49"/>
      <c r="AI562" s="37"/>
      <c r="AJ562" s="37"/>
      <c r="AK562" s="37"/>
      <c r="AL562" s="37"/>
      <c r="AM562" s="37"/>
      <c r="AN562" s="37"/>
      <c r="AO562" s="37"/>
      <c r="AP562" s="37"/>
      <c r="AQ562" s="37"/>
      <c r="AR562" s="37"/>
      <c r="AS562" s="37"/>
      <c r="AT562" s="37"/>
      <c r="AU562" s="37"/>
      <c r="AV562" s="59"/>
      <c r="AW562" s="1" t="str">
        <f>_xlfn.CONCAT(tbl_Ben_Info[[#This Row],[First Name]]," ",tbl_Ben_Info[[#This Row],[Father Name]]," ",tbl_Ben_Info[[#This Row],[Family Name]])</f>
        <v xml:space="preserve">  </v>
      </c>
    </row>
    <row r="563" spans="2:49" ht="25.15" customHeight="1" x14ac:dyDescent="0.25">
      <c r="B563" s="49">
        <v>558</v>
      </c>
      <c r="C563" s="1" t="str">
        <f>_xlfn.CONCAT("181-702-",IF(tbl_Ben_Info[[#This Row],[SN]]&lt;10,"00"&amp;tbl_Ben_Info[[#This Row],[SN]],IF(tbl_Ben_Info[[#This Row],[SN]]&lt;100,"0"&amp;tbl_Ben_Info[[#This Row],[SN]],tbl_Ben_Info[[#This Row],[SN]])))</f>
        <v>181-702-558</v>
      </c>
      <c r="D563" s="37"/>
      <c r="E563" s="40"/>
      <c r="F563" s="41"/>
      <c r="G563" s="42"/>
      <c r="H563" s="43"/>
      <c r="I563" s="73"/>
      <c r="J563" s="43"/>
      <c r="K563" s="43"/>
      <c r="L563" s="43"/>
      <c r="M563" s="43"/>
      <c r="N563" s="111"/>
      <c r="O563" s="43"/>
      <c r="P563" s="48"/>
      <c r="Q563" s="49"/>
      <c r="R563" s="37"/>
      <c r="S563" s="37"/>
      <c r="T563" s="37"/>
      <c r="U563" s="37"/>
      <c r="V563" s="59"/>
      <c r="W563" s="49"/>
      <c r="X563" s="37"/>
      <c r="Y563" s="37"/>
      <c r="Z563" s="37"/>
      <c r="AA563" s="37"/>
      <c r="AB563" s="37"/>
      <c r="AC563" s="37"/>
      <c r="AD563" s="37"/>
      <c r="AE563" s="37"/>
      <c r="AF563" s="37"/>
      <c r="AG563" s="59"/>
      <c r="AH563" s="49"/>
      <c r="AI563" s="37"/>
      <c r="AJ563" s="37"/>
      <c r="AK563" s="37"/>
      <c r="AL563" s="37"/>
      <c r="AM563" s="37"/>
      <c r="AN563" s="37"/>
      <c r="AO563" s="37"/>
      <c r="AP563" s="37"/>
      <c r="AQ563" s="37"/>
      <c r="AR563" s="37"/>
      <c r="AS563" s="37"/>
      <c r="AT563" s="37"/>
      <c r="AU563" s="37"/>
      <c r="AV563" s="59"/>
      <c r="AW563" s="1" t="str">
        <f>_xlfn.CONCAT(tbl_Ben_Info[[#This Row],[First Name]]," ",tbl_Ben_Info[[#This Row],[Father Name]]," ",tbl_Ben_Info[[#This Row],[Family Name]])</f>
        <v xml:space="preserve">  </v>
      </c>
    </row>
    <row r="564" spans="2:49" ht="25.15" customHeight="1" x14ac:dyDescent="0.25">
      <c r="B564" s="49">
        <v>559</v>
      </c>
      <c r="C564" s="1" t="str">
        <f>_xlfn.CONCAT("181-702-",IF(tbl_Ben_Info[[#This Row],[SN]]&lt;10,"00"&amp;tbl_Ben_Info[[#This Row],[SN]],IF(tbl_Ben_Info[[#This Row],[SN]]&lt;100,"0"&amp;tbl_Ben_Info[[#This Row],[SN]],tbl_Ben_Info[[#This Row],[SN]])))</f>
        <v>181-702-559</v>
      </c>
      <c r="D564" s="37"/>
      <c r="E564" s="40"/>
      <c r="F564" s="41"/>
      <c r="G564" s="42"/>
      <c r="H564" s="43"/>
      <c r="I564" s="73"/>
      <c r="J564" s="43"/>
      <c r="K564" s="43"/>
      <c r="L564" s="43"/>
      <c r="M564" s="43"/>
      <c r="N564" s="111"/>
      <c r="O564" s="43"/>
      <c r="P564" s="48"/>
      <c r="Q564" s="49"/>
      <c r="R564" s="37"/>
      <c r="S564" s="37"/>
      <c r="T564" s="37"/>
      <c r="U564" s="37"/>
      <c r="V564" s="59"/>
      <c r="W564" s="49"/>
      <c r="X564" s="37"/>
      <c r="Y564" s="37"/>
      <c r="Z564" s="37"/>
      <c r="AA564" s="37"/>
      <c r="AB564" s="37"/>
      <c r="AC564" s="37"/>
      <c r="AD564" s="37"/>
      <c r="AE564" s="37"/>
      <c r="AF564" s="37"/>
      <c r="AG564" s="59"/>
      <c r="AH564" s="49"/>
      <c r="AI564" s="37"/>
      <c r="AJ564" s="37"/>
      <c r="AK564" s="37"/>
      <c r="AL564" s="37"/>
      <c r="AM564" s="37"/>
      <c r="AN564" s="37"/>
      <c r="AO564" s="37"/>
      <c r="AP564" s="37"/>
      <c r="AQ564" s="37"/>
      <c r="AR564" s="37"/>
      <c r="AS564" s="37"/>
      <c r="AT564" s="37"/>
      <c r="AU564" s="37"/>
      <c r="AV564" s="59"/>
      <c r="AW564" s="1" t="str">
        <f>_xlfn.CONCAT(tbl_Ben_Info[[#This Row],[First Name]]," ",tbl_Ben_Info[[#This Row],[Father Name]]," ",tbl_Ben_Info[[#This Row],[Family Name]])</f>
        <v xml:space="preserve">  </v>
      </c>
    </row>
    <row r="565" spans="2:49" ht="25.15" customHeight="1" x14ac:dyDescent="0.25">
      <c r="B565" s="49">
        <v>560</v>
      </c>
      <c r="C565" s="1" t="str">
        <f>_xlfn.CONCAT("181-702-",IF(tbl_Ben_Info[[#This Row],[SN]]&lt;10,"00"&amp;tbl_Ben_Info[[#This Row],[SN]],IF(tbl_Ben_Info[[#This Row],[SN]]&lt;100,"0"&amp;tbl_Ben_Info[[#This Row],[SN]],tbl_Ben_Info[[#This Row],[SN]])))</f>
        <v>181-702-560</v>
      </c>
      <c r="D565" s="37"/>
      <c r="E565" s="40"/>
      <c r="F565" s="41"/>
      <c r="G565" s="42"/>
      <c r="H565" s="43"/>
      <c r="I565" s="73"/>
      <c r="J565" s="43"/>
      <c r="K565" s="43"/>
      <c r="L565" s="43"/>
      <c r="M565" s="43"/>
      <c r="N565" s="111"/>
      <c r="O565" s="43"/>
      <c r="P565" s="48"/>
      <c r="Q565" s="49"/>
      <c r="R565" s="37"/>
      <c r="S565" s="37"/>
      <c r="T565" s="37"/>
      <c r="U565" s="37"/>
      <c r="V565" s="59"/>
      <c r="W565" s="49"/>
      <c r="X565" s="37"/>
      <c r="Y565" s="37"/>
      <c r="Z565" s="37"/>
      <c r="AA565" s="37"/>
      <c r="AB565" s="37"/>
      <c r="AC565" s="37"/>
      <c r="AD565" s="37"/>
      <c r="AE565" s="37"/>
      <c r="AF565" s="37"/>
      <c r="AG565" s="59"/>
      <c r="AH565" s="49"/>
      <c r="AI565" s="37"/>
      <c r="AJ565" s="37"/>
      <c r="AK565" s="37"/>
      <c r="AL565" s="37"/>
      <c r="AM565" s="37"/>
      <c r="AN565" s="37"/>
      <c r="AO565" s="37"/>
      <c r="AP565" s="37"/>
      <c r="AQ565" s="37"/>
      <c r="AR565" s="37"/>
      <c r="AS565" s="37"/>
      <c r="AT565" s="37"/>
      <c r="AU565" s="37"/>
      <c r="AV565" s="59"/>
      <c r="AW565" s="1" t="str">
        <f>_xlfn.CONCAT(tbl_Ben_Info[[#This Row],[First Name]]," ",tbl_Ben_Info[[#This Row],[Father Name]]," ",tbl_Ben_Info[[#This Row],[Family Name]])</f>
        <v xml:space="preserve">  </v>
      </c>
    </row>
    <row r="566" spans="2:49" ht="25.15" customHeight="1" x14ac:dyDescent="0.25">
      <c r="B566" s="49">
        <v>561</v>
      </c>
      <c r="C566" s="1" t="str">
        <f>_xlfn.CONCAT("181-702-",IF(tbl_Ben_Info[[#This Row],[SN]]&lt;10,"00"&amp;tbl_Ben_Info[[#This Row],[SN]],IF(tbl_Ben_Info[[#This Row],[SN]]&lt;100,"0"&amp;tbl_Ben_Info[[#This Row],[SN]],tbl_Ben_Info[[#This Row],[SN]])))</f>
        <v>181-702-561</v>
      </c>
      <c r="D566" s="37"/>
      <c r="E566" s="40"/>
      <c r="F566" s="41"/>
      <c r="G566" s="42"/>
      <c r="H566" s="43"/>
      <c r="I566" s="73"/>
      <c r="J566" s="43"/>
      <c r="K566" s="43"/>
      <c r="L566" s="43"/>
      <c r="M566" s="43"/>
      <c r="N566" s="111"/>
      <c r="O566" s="43"/>
      <c r="P566" s="48"/>
      <c r="Q566" s="49"/>
      <c r="R566" s="37"/>
      <c r="S566" s="37"/>
      <c r="T566" s="37"/>
      <c r="U566" s="37"/>
      <c r="V566" s="59"/>
      <c r="W566" s="49"/>
      <c r="X566" s="37"/>
      <c r="Y566" s="37"/>
      <c r="Z566" s="37"/>
      <c r="AA566" s="37"/>
      <c r="AB566" s="37"/>
      <c r="AC566" s="37"/>
      <c r="AD566" s="37"/>
      <c r="AE566" s="37"/>
      <c r="AF566" s="37"/>
      <c r="AG566" s="59"/>
      <c r="AH566" s="49"/>
      <c r="AI566" s="37"/>
      <c r="AJ566" s="37"/>
      <c r="AK566" s="37"/>
      <c r="AL566" s="37"/>
      <c r="AM566" s="37"/>
      <c r="AN566" s="37"/>
      <c r="AO566" s="37"/>
      <c r="AP566" s="37"/>
      <c r="AQ566" s="37"/>
      <c r="AR566" s="37"/>
      <c r="AS566" s="37"/>
      <c r="AT566" s="37"/>
      <c r="AU566" s="37"/>
      <c r="AV566" s="59"/>
      <c r="AW566" s="1" t="str">
        <f>_xlfn.CONCAT(tbl_Ben_Info[[#This Row],[First Name]]," ",tbl_Ben_Info[[#This Row],[Father Name]]," ",tbl_Ben_Info[[#This Row],[Family Name]])</f>
        <v xml:space="preserve">  </v>
      </c>
    </row>
    <row r="567" spans="2:49" ht="25.15" customHeight="1" x14ac:dyDescent="0.25">
      <c r="B567" s="49">
        <v>562</v>
      </c>
      <c r="C567" s="1" t="str">
        <f>_xlfn.CONCAT("181-702-",IF(tbl_Ben_Info[[#This Row],[SN]]&lt;10,"00"&amp;tbl_Ben_Info[[#This Row],[SN]],IF(tbl_Ben_Info[[#This Row],[SN]]&lt;100,"0"&amp;tbl_Ben_Info[[#This Row],[SN]],tbl_Ben_Info[[#This Row],[SN]])))</f>
        <v>181-702-562</v>
      </c>
      <c r="D567" s="37"/>
      <c r="E567" s="40"/>
      <c r="F567" s="41"/>
      <c r="G567" s="42"/>
      <c r="H567" s="43"/>
      <c r="I567" s="73"/>
      <c r="J567" s="43"/>
      <c r="K567" s="43"/>
      <c r="L567" s="43"/>
      <c r="M567" s="43"/>
      <c r="N567" s="111"/>
      <c r="O567" s="43"/>
      <c r="P567" s="48"/>
      <c r="Q567" s="49"/>
      <c r="R567" s="37"/>
      <c r="S567" s="37"/>
      <c r="T567" s="37"/>
      <c r="U567" s="37"/>
      <c r="V567" s="59"/>
      <c r="W567" s="49"/>
      <c r="X567" s="37"/>
      <c r="Y567" s="37"/>
      <c r="Z567" s="37"/>
      <c r="AA567" s="37"/>
      <c r="AB567" s="37"/>
      <c r="AC567" s="37"/>
      <c r="AD567" s="37"/>
      <c r="AE567" s="37"/>
      <c r="AF567" s="37"/>
      <c r="AG567" s="59"/>
      <c r="AH567" s="49"/>
      <c r="AI567" s="37"/>
      <c r="AJ567" s="37"/>
      <c r="AK567" s="37"/>
      <c r="AL567" s="37"/>
      <c r="AM567" s="37"/>
      <c r="AN567" s="37"/>
      <c r="AO567" s="37"/>
      <c r="AP567" s="37"/>
      <c r="AQ567" s="37"/>
      <c r="AR567" s="37"/>
      <c r="AS567" s="37"/>
      <c r="AT567" s="37"/>
      <c r="AU567" s="37"/>
      <c r="AV567" s="59"/>
      <c r="AW567" s="1" t="str">
        <f>_xlfn.CONCAT(tbl_Ben_Info[[#This Row],[First Name]]," ",tbl_Ben_Info[[#This Row],[Father Name]]," ",tbl_Ben_Info[[#This Row],[Family Name]])</f>
        <v xml:space="preserve">  </v>
      </c>
    </row>
    <row r="568" spans="2:49" ht="25.15" customHeight="1" x14ac:dyDescent="0.25">
      <c r="B568" s="49">
        <v>563</v>
      </c>
      <c r="C568" s="1" t="str">
        <f>_xlfn.CONCAT("181-702-",IF(tbl_Ben_Info[[#This Row],[SN]]&lt;10,"00"&amp;tbl_Ben_Info[[#This Row],[SN]],IF(tbl_Ben_Info[[#This Row],[SN]]&lt;100,"0"&amp;tbl_Ben_Info[[#This Row],[SN]],tbl_Ben_Info[[#This Row],[SN]])))</f>
        <v>181-702-563</v>
      </c>
      <c r="D568" s="37"/>
      <c r="E568" s="40"/>
      <c r="F568" s="41"/>
      <c r="G568" s="42"/>
      <c r="H568" s="43"/>
      <c r="I568" s="73"/>
      <c r="J568" s="43"/>
      <c r="K568" s="43"/>
      <c r="L568" s="43"/>
      <c r="M568" s="43"/>
      <c r="N568" s="111"/>
      <c r="O568" s="43"/>
      <c r="P568" s="48"/>
      <c r="Q568" s="49"/>
      <c r="R568" s="37"/>
      <c r="S568" s="37"/>
      <c r="T568" s="37"/>
      <c r="U568" s="37"/>
      <c r="V568" s="59"/>
      <c r="W568" s="49"/>
      <c r="X568" s="37"/>
      <c r="Y568" s="37"/>
      <c r="Z568" s="37"/>
      <c r="AA568" s="37"/>
      <c r="AB568" s="37"/>
      <c r="AC568" s="37"/>
      <c r="AD568" s="37"/>
      <c r="AE568" s="37"/>
      <c r="AF568" s="37"/>
      <c r="AG568" s="59"/>
      <c r="AH568" s="49"/>
      <c r="AI568" s="37"/>
      <c r="AJ568" s="37"/>
      <c r="AK568" s="37"/>
      <c r="AL568" s="37"/>
      <c r="AM568" s="37"/>
      <c r="AN568" s="37"/>
      <c r="AO568" s="37"/>
      <c r="AP568" s="37"/>
      <c r="AQ568" s="37"/>
      <c r="AR568" s="37"/>
      <c r="AS568" s="37"/>
      <c r="AT568" s="37"/>
      <c r="AU568" s="37"/>
      <c r="AV568" s="59"/>
      <c r="AW568" s="1" t="str">
        <f>_xlfn.CONCAT(tbl_Ben_Info[[#This Row],[First Name]]," ",tbl_Ben_Info[[#This Row],[Father Name]]," ",tbl_Ben_Info[[#This Row],[Family Name]])</f>
        <v xml:space="preserve">  </v>
      </c>
    </row>
    <row r="569" spans="2:49" ht="25.15" customHeight="1" x14ac:dyDescent="0.25">
      <c r="B569" s="49">
        <v>564</v>
      </c>
      <c r="C569" s="1" t="str">
        <f>_xlfn.CONCAT("181-702-",IF(tbl_Ben_Info[[#This Row],[SN]]&lt;10,"00"&amp;tbl_Ben_Info[[#This Row],[SN]],IF(tbl_Ben_Info[[#This Row],[SN]]&lt;100,"0"&amp;tbl_Ben_Info[[#This Row],[SN]],tbl_Ben_Info[[#This Row],[SN]])))</f>
        <v>181-702-564</v>
      </c>
      <c r="D569" s="37"/>
      <c r="E569" s="40"/>
      <c r="F569" s="41"/>
      <c r="G569" s="42"/>
      <c r="H569" s="43"/>
      <c r="I569" s="73"/>
      <c r="J569" s="43"/>
      <c r="K569" s="43"/>
      <c r="L569" s="43"/>
      <c r="M569" s="43"/>
      <c r="N569" s="111"/>
      <c r="O569" s="43"/>
      <c r="P569" s="48"/>
      <c r="Q569" s="49"/>
      <c r="R569" s="37"/>
      <c r="S569" s="37"/>
      <c r="T569" s="37"/>
      <c r="U569" s="37"/>
      <c r="V569" s="59"/>
      <c r="W569" s="49"/>
      <c r="X569" s="37"/>
      <c r="Y569" s="37"/>
      <c r="Z569" s="37"/>
      <c r="AA569" s="37"/>
      <c r="AB569" s="37"/>
      <c r="AC569" s="37"/>
      <c r="AD569" s="37"/>
      <c r="AE569" s="37"/>
      <c r="AF569" s="37"/>
      <c r="AG569" s="59"/>
      <c r="AH569" s="49"/>
      <c r="AI569" s="37"/>
      <c r="AJ569" s="37"/>
      <c r="AK569" s="37"/>
      <c r="AL569" s="37"/>
      <c r="AM569" s="37"/>
      <c r="AN569" s="37"/>
      <c r="AO569" s="37"/>
      <c r="AP569" s="37"/>
      <c r="AQ569" s="37"/>
      <c r="AR569" s="37"/>
      <c r="AS569" s="37"/>
      <c r="AT569" s="37"/>
      <c r="AU569" s="37"/>
      <c r="AV569" s="59"/>
      <c r="AW569" s="1" t="str">
        <f>_xlfn.CONCAT(tbl_Ben_Info[[#This Row],[First Name]]," ",tbl_Ben_Info[[#This Row],[Father Name]]," ",tbl_Ben_Info[[#This Row],[Family Name]])</f>
        <v xml:space="preserve">  </v>
      </c>
    </row>
    <row r="570" spans="2:49" ht="25.15" customHeight="1" x14ac:dyDescent="0.25">
      <c r="B570" s="49">
        <v>565</v>
      </c>
      <c r="C570" s="1" t="str">
        <f>_xlfn.CONCAT("181-702-",IF(tbl_Ben_Info[[#This Row],[SN]]&lt;10,"00"&amp;tbl_Ben_Info[[#This Row],[SN]],IF(tbl_Ben_Info[[#This Row],[SN]]&lt;100,"0"&amp;tbl_Ben_Info[[#This Row],[SN]],tbl_Ben_Info[[#This Row],[SN]])))</f>
        <v>181-702-565</v>
      </c>
      <c r="D570" s="37"/>
      <c r="E570" s="40"/>
      <c r="F570" s="41"/>
      <c r="G570" s="42"/>
      <c r="H570" s="43"/>
      <c r="I570" s="73"/>
      <c r="J570" s="43"/>
      <c r="K570" s="43"/>
      <c r="L570" s="43"/>
      <c r="M570" s="43"/>
      <c r="N570" s="111"/>
      <c r="O570" s="43"/>
      <c r="P570" s="48"/>
      <c r="Q570" s="49"/>
      <c r="R570" s="37"/>
      <c r="S570" s="37"/>
      <c r="T570" s="37"/>
      <c r="U570" s="37"/>
      <c r="V570" s="59"/>
      <c r="W570" s="49"/>
      <c r="X570" s="37"/>
      <c r="Y570" s="37"/>
      <c r="Z570" s="37"/>
      <c r="AA570" s="37"/>
      <c r="AB570" s="37"/>
      <c r="AC570" s="37"/>
      <c r="AD570" s="37"/>
      <c r="AE570" s="37"/>
      <c r="AF570" s="37"/>
      <c r="AG570" s="59"/>
      <c r="AH570" s="49"/>
      <c r="AI570" s="37"/>
      <c r="AJ570" s="37"/>
      <c r="AK570" s="37"/>
      <c r="AL570" s="37"/>
      <c r="AM570" s="37"/>
      <c r="AN570" s="37"/>
      <c r="AO570" s="37"/>
      <c r="AP570" s="37"/>
      <c r="AQ570" s="37"/>
      <c r="AR570" s="37"/>
      <c r="AS570" s="37"/>
      <c r="AT570" s="37"/>
      <c r="AU570" s="37"/>
      <c r="AV570" s="59"/>
      <c r="AW570" s="1" t="str">
        <f>_xlfn.CONCAT(tbl_Ben_Info[[#This Row],[First Name]]," ",tbl_Ben_Info[[#This Row],[Father Name]]," ",tbl_Ben_Info[[#This Row],[Family Name]])</f>
        <v xml:space="preserve">  </v>
      </c>
    </row>
    <row r="571" spans="2:49" ht="25.15" customHeight="1" x14ac:dyDescent="0.25">
      <c r="B571" s="49">
        <v>566</v>
      </c>
      <c r="C571" s="1" t="str">
        <f>_xlfn.CONCAT("181-702-",IF(tbl_Ben_Info[[#This Row],[SN]]&lt;10,"00"&amp;tbl_Ben_Info[[#This Row],[SN]],IF(tbl_Ben_Info[[#This Row],[SN]]&lt;100,"0"&amp;tbl_Ben_Info[[#This Row],[SN]],tbl_Ben_Info[[#This Row],[SN]])))</f>
        <v>181-702-566</v>
      </c>
      <c r="D571" s="37"/>
      <c r="E571" s="40"/>
      <c r="F571" s="41"/>
      <c r="G571" s="42"/>
      <c r="H571" s="43"/>
      <c r="I571" s="73"/>
      <c r="J571" s="43"/>
      <c r="K571" s="43"/>
      <c r="L571" s="43"/>
      <c r="M571" s="43"/>
      <c r="N571" s="111"/>
      <c r="O571" s="43"/>
      <c r="P571" s="48"/>
      <c r="Q571" s="49"/>
      <c r="R571" s="37"/>
      <c r="S571" s="37"/>
      <c r="T571" s="37"/>
      <c r="U571" s="37"/>
      <c r="V571" s="59"/>
      <c r="W571" s="49"/>
      <c r="X571" s="37"/>
      <c r="Y571" s="37"/>
      <c r="Z571" s="37"/>
      <c r="AA571" s="37"/>
      <c r="AB571" s="37"/>
      <c r="AC571" s="37"/>
      <c r="AD571" s="37"/>
      <c r="AE571" s="37"/>
      <c r="AF571" s="37"/>
      <c r="AG571" s="59"/>
      <c r="AH571" s="49"/>
      <c r="AI571" s="37"/>
      <c r="AJ571" s="37"/>
      <c r="AK571" s="37"/>
      <c r="AL571" s="37"/>
      <c r="AM571" s="37"/>
      <c r="AN571" s="37"/>
      <c r="AO571" s="37"/>
      <c r="AP571" s="37"/>
      <c r="AQ571" s="37"/>
      <c r="AR571" s="37"/>
      <c r="AS571" s="37"/>
      <c r="AT571" s="37"/>
      <c r="AU571" s="37"/>
      <c r="AV571" s="59"/>
      <c r="AW571" s="1" t="str">
        <f>_xlfn.CONCAT(tbl_Ben_Info[[#This Row],[First Name]]," ",tbl_Ben_Info[[#This Row],[Father Name]]," ",tbl_Ben_Info[[#This Row],[Family Name]])</f>
        <v xml:space="preserve">  </v>
      </c>
    </row>
    <row r="572" spans="2:49" ht="25.15" customHeight="1" x14ac:dyDescent="0.25">
      <c r="B572" s="49">
        <v>567</v>
      </c>
      <c r="C572" s="1" t="str">
        <f>_xlfn.CONCAT("181-702-",IF(tbl_Ben_Info[[#This Row],[SN]]&lt;10,"00"&amp;tbl_Ben_Info[[#This Row],[SN]],IF(tbl_Ben_Info[[#This Row],[SN]]&lt;100,"0"&amp;tbl_Ben_Info[[#This Row],[SN]],tbl_Ben_Info[[#This Row],[SN]])))</f>
        <v>181-702-567</v>
      </c>
      <c r="D572" s="37"/>
      <c r="E572" s="40"/>
      <c r="F572" s="41"/>
      <c r="G572" s="42"/>
      <c r="H572" s="43"/>
      <c r="I572" s="73"/>
      <c r="J572" s="43"/>
      <c r="K572" s="43"/>
      <c r="L572" s="43"/>
      <c r="M572" s="43"/>
      <c r="N572" s="111"/>
      <c r="O572" s="43"/>
      <c r="P572" s="48"/>
      <c r="Q572" s="49"/>
      <c r="R572" s="37"/>
      <c r="S572" s="37"/>
      <c r="T572" s="37"/>
      <c r="U572" s="37"/>
      <c r="V572" s="59"/>
      <c r="W572" s="49"/>
      <c r="X572" s="37"/>
      <c r="Y572" s="37"/>
      <c r="Z572" s="37"/>
      <c r="AA572" s="37"/>
      <c r="AB572" s="37"/>
      <c r="AC572" s="37"/>
      <c r="AD572" s="37"/>
      <c r="AE572" s="37"/>
      <c r="AF572" s="37"/>
      <c r="AG572" s="59"/>
      <c r="AH572" s="49"/>
      <c r="AI572" s="37"/>
      <c r="AJ572" s="37"/>
      <c r="AK572" s="37"/>
      <c r="AL572" s="37"/>
      <c r="AM572" s="37"/>
      <c r="AN572" s="37"/>
      <c r="AO572" s="37"/>
      <c r="AP572" s="37"/>
      <c r="AQ572" s="37"/>
      <c r="AR572" s="37"/>
      <c r="AS572" s="37"/>
      <c r="AT572" s="37"/>
      <c r="AU572" s="37"/>
      <c r="AV572" s="59"/>
      <c r="AW572" s="1" t="str">
        <f>_xlfn.CONCAT(tbl_Ben_Info[[#This Row],[First Name]]," ",tbl_Ben_Info[[#This Row],[Father Name]]," ",tbl_Ben_Info[[#This Row],[Family Name]])</f>
        <v xml:space="preserve">  </v>
      </c>
    </row>
    <row r="573" spans="2:49" ht="25.15" customHeight="1" x14ac:dyDescent="0.25">
      <c r="B573" s="49">
        <v>568</v>
      </c>
      <c r="C573" s="1" t="str">
        <f>_xlfn.CONCAT("181-702-",IF(tbl_Ben_Info[[#This Row],[SN]]&lt;10,"00"&amp;tbl_Ben_Info[[#This Row],[SN]],IF(tbl_Ben_Info[[#This Row],[SN]]&lt;100,"0"&amp;tbl_Ben_Info[[#This Row],[SN]],tbl_Ben_Info[[#This Row],[SN]])))</f>
        <v>181-702-568</v>
      </c>
      <c r="D573" s="37"/>
      <c r="E573" s="40"/>
      <c r="F573" s="41"/>
      <c r="G573" s="42"/>
      <c r="H573" s="43"/>
      <c r="I573" s="73"/>
      <c r="J573" s="43"/>
      <c r="K573" s="43"/>
      <c r="L573" s="43"/>
      <c r="M573" s="43"/>
      <c r="N573" s="111"/>
      <c r="O573" s="43"/>
      <c r="P573" s="48"/>
      <c r="Q573" s="49"/>
      <c r="R573" s="37"/>
      <c r="S573" s="37"/>
      <c r="T573" s="37"/>
      <c r="U573" s="37"/>
      <c r="V573" s="59"/>
      <c r="W573" s="49"/>
      <c r="X573" s="37"/>
      <c r="Y573" s="37"/>
      <c r="Z573" s="37"/>
      <c r="AA573" s="37"/>
      <c r="AB573" s="37"/>
      <c r="AC573" s="37"/>
      <c r="AD573" s="37"/>
      <c r="AE573" s="37"/>
      <c r="AF573" s="37"/>
      <c r="AG573" s="59"/>
      <c r="AH573" s="49"/>
      <c r="AI573" s="37"/>
      <c r="AJ573" s="37"/>
      <c r="AK573" s="37"/>
      <c r="AL573" s="37"/>
      <c r="AM573" s="37"/>
      <c r="AN573" s="37"/>
      <c r="AO573" s="37"/>
      <c r="AP573" s="37"/>
      <c r="AQ573" s="37"/>
      <c r="AR573" s="37"/>
      <c r="AS573" s="37"/>
      <c r="AT573" s="37"/>
      <c r="AU573" s="37"/>
      <c r="AV573" s="59"/>
      <c r="AW573" s="1" t="str">
        <f>_xlfn.CONCAT(tbl_Ben_Info[[#This Row],[First Name]]," ",tbl_Ben_Info[[#This Row],[Father Name]]," ",tbl_Ben_Info[[#This Row],[Family Name]])</f>
        <v xml:space="preserve">  </v>
      </c>
    </row>
    <row r="574" spans="2:49" ht="25.15" customHeight="1" x14ac:dyDescent="0.25">
      <c r="B574" s="49">
        <v>569</v>
      </c>
      <c r="C574" s="1" t="str">
        <f>_xlfn.CONCAT("181-702-",IF(tbl_Ben_Info[[#This Row],[SN]]&lt;10,"00"&amp;tbl_Ben_Info[[#This Row],[SN]],IF(tbl_Ben_Info[[#This Row],[SN]]&lt;100,"0"&amp;tbl_Ben_Info[[#This Row],[SN]],tbl_Ben_Info[[#This Row],[SN]])))</f>
        <v>181-702-569</v>
      </c>
      <c r="D574" s="37"/>
      <c r="E574" s="40"/>
      <c r="F574" s="41"/>
      <c r="G574" s="42"/>
      <c r="H574" s="43"/>
      <c r="I574" s="73"/>
      <c r="J574" s="43"/>
      <c r="K574" s="43"/>
      <c r="L574" s="43"/>
      <c r="M574" s="43"/>
      <c r="N574" s="111"/>
      <c r="O574" s="43"/>
      <c r="P574" s="48"/>
      <c r="Q574" s="49"/>
      <c r="R574" s="37"/>
      <c r="S574" s="37"/>
      <c r="T574" s="37"/>
      <c r="U574" s="37"/>
      <c r="V574" s="59"/>
      <c r="W574" s="49"/>
      <c r="X574" s="37"/>
      <c r="Y574" s="37"/>
      <c r="Z574" s="37"/>
      <c r="AA574" s="37"/>
      <c r="AB574" s="37"/>
      <c r="AC574" s="37"/>
      <c r="AD574" s="37"/>
      <c r="AE574" s="37"/>
      <c r="AF574" s="37"/>
      <c r="AG574" s="59"/>
      <c r="AH574" s="49"/>
      <c r="AI574" s="37"/>
      <c r="AJ574" s="37"/>
      <c r="AK574" s="37"/>
      <c r="AL574" s="37"/>
      <c r="AM574" s="37"/>
      <c r="AN574" s="37"/>
      <c r="AO574" s="37"/>
      <c r="AP574" s="37"/>
      <c r="AQ574" s="37"/>
      <c r="AR574" s="37"/>
      <c r="AS574" s="37"/>
      <c r="AT574" s="37"/>
      <c r="AU574" s="37"/>
      <c r="AV574" s="59"/>
      <c r="AW574" s="1" t="str">
        <f>_xlfn.CONCAT(tbl_Ben_Info[[#This Row],[First Name]]," ",tbl_Ben_Info[[#This Row],[Father Name]]," ",tbl_Ben_Info[[#This Row],[Family Name]])</f>
        <v xml:space="preserve">  </v>
      </c>
    </row>
    <row r="575" spans="2:49" ht="25.15" customHeight="1" x14ac:dyDescent="0.25">
      <c r="B575" s="49">
        <v>570</v>
      </c>
      <c r="C575" s="1" t="str">
        <f>_xlfn.CONCAT("181-702-",IF(tbl_Ben_Info[[#This Row],[SN]]&lt;10,"00"&amp;tbl_Ben_Info[[#This Row],[SN]],IF(tbl_Ben_Info[[#This Row],[SN]]&lt;100,"0"&amp;tbl_Ben_Info[[#This Row],[SN]],tbl_Ben_Info[[#This Row],[SN]])))</f>
        <v>181-702-570</v>
      </c>
      <c r="D575" s="37"/>
      <c r="E575" s="40"/>
      <c r="F575" s="41"/>
      <c r="G575" s="42"/>
      <c r="H575" s="43"/>
      <c r="I575" s="73"/>
      <c r="J575" s="43"/>
      <c r="K575" s="43"/>
      <c r="L575" s="43"/>
      <c r="M575" s="43"/>
      <c r="N575" s="111"/>
      <c r="O575" s="43"/>
      <c r="P575" s="48"/>
      <c r="Q575" s="49"/>
      <c r="R575" s="37"/>
      <c r="S575" s="37"/>
      <c r="T575" s="37"/>
      <c r="U575" s="37"/>
      <c r="V575" s="59"/>
      <c r="W575" s="49"/>
      <c r="X575" s="37"/>
      <c r="Y575" s="37"/>
      <c r="Z575" s="37"/>
      <c r="AA575" s="37"/>
      <c r="AB575" s="37"/>
      <c r="AC575" s="37"/>
      <c r="AD575" s="37"/>
      <c r="AE575" s="37"/>
      <c r="AF575" s="37"/>
      <c r="AG575" s="59"/>
      <c r="AH575" s="49"/>
      <c r="AI575" s="37"/>
      <c r="AJ575" s="37"/>
      <c r="AK575" s="37"/>
      <c r="AL575" s="37"/>
      <c r="AM575" s="37"/>
      <c r="AN575" s="37"/>
      <c r="AO575" s="37"/>
      <c r="AP575" s="37"/>
      <c r="AQ575" s="37"/>
      <c r="AR575" s="37"/>
      <c r="AS575" s="37"/>
      <c r="AT575" s="37"/>
      <c r="AU575" s="37"/>
      <c r="AV575" s="59"/>
      <c r="AW575" s="1" t="str">
        <f>_xlfn.CONCAT(tbl_Ben_Info[[#This Row],[First Name]]," ",tbl_Ben_Info[[#This Row],[Father Name]]," ",tbl_Ben_Info[[#This Row],[Family Name]])</f>
        <v xml:space="preserve">  </v>
      </c>
    </row>
    <row r="576" spans="2:49" ht="25.15" customHeight="1" x14ac:dyDescent="0.25">
      <c r="B576" s="49">
        <v>571</v>
      </c>
      <c r="C576" s="1" t="str">
        <f>_xlfn.CONCAT("181-702-",IF(tbl_Ben_Info[[#This Row],[SN]]&lt;10,"00"&amp;tbl_Ben_Info[[#This Row],[SN]],IF(tbl_Ben_Info[[#This Row],[SN]]&lt;100,"0"&amp;tbl_Ben_Info[[#This Row],[SN]],tbl_Ben_Info[[#This Row],[SN]])))</f>
        <v>181-702-571</v>
      </c>
      <c r="D576" s="37"/>
      <c r="E576" s="40"/>
      <c r="F576" s="41"/>
      <c r="G576" s="42"/>
      <c r="H576" s="43"/>
      <c r="I576" s="73"/>
      <c r="J576" s="43"/>
      <c r="K576" s="43"/>
      <c r="L576" s="43"/>
      <c r="M576" s="43"/>
      <c r="N576" s="111"/>
      <c r="O576" s="43"/>
      <c r="P576" s="48"/>
      <c r="Q576" s="49"/>
      <c r="R576" s="37"/>
      <c r="S576" s="37"/>
      <c r="T576" s="37"/>
      <c r="U576" s="37"/>
      <c r="V576" s="59"/>
      <c r="W576" s="49"/>
      <c r="X576" s="37"/>
      <c r="Y576" s="37"/>
      <c r="Z576" s="37"/>
      <c r="AA576" s="37"/>
      <c r="AB576" s="37"/>
      <c r="AC576" s="37"/>
      <c r="AD576" s="37"/>
      <c r="AE576" s="37"/>
      <c r="AF576" s="37"/>
      <c r="AG576" s="59"/>
      <c r="AH576" s="49"/>
      <c r="AI576" s="37"/>
      <c r="AJ576" s="37"/>
      <c r="AK576" s="37"/>
      <c r="AL576" s="37"/>
      <c r="AM576" s="37"/>
      <c r="AN576" s="37"/>
      <c r="AO576" s="37"/>
      <c r="AP576" s="37"/>
      <c r="AQ576" s="37"/>
      <c r="AR576" s="37"/>
      <c r="AS576" s="37"/>
      <c r="AT576" s="37"/>
      <c r="AU576" s="37"/>
      <c r="AV576" s="59"/>
      <c r="AW576" s="1" t="str">
        <f>_xlfn.CONCAT(tbl_Ben_Info[[#This Row],[First Name]]," ",tbl_Ben_Info[[#This Row],[Father Name]]," ",tbl_Ben_Info[[#This Row],[Family Name]])</f>
        <v xml:space="preserve">  </v>
      </c>
    </row>
    <row r="577" spans="2:49" ht="25.15" customHeight="1" x14ac:dyDescent="0.25">
      <c r="B577" s="49">
        <v>572</v>
      </c>
      <c r="C577" s="1" t="str">
        <f>_xlfn.CONCAT("181-702-",IF(tbl_Ben_Info[[#This Row],[SN]]&lt;10,"00"&amp;tbl_Ben_Info[[#This Row],[SN]],IF(tbl_Ben_Info[[#This Row],[SN]]&lt;100,"0"&amp;tbl_Ben_Info[[#This Row],[SN]],tbl_Ben_Info[[#This Row],[SN]])))</f>
        <v>181-702-572</v>
      </c>
      <c r="D577" s="37"/>
      <c r="E577" s="40"/>
      <c r="F577" s="41"/>
      <c r="G577" s="42"/>
      <c r="H577" s="43"/>
      <c r="I577" s="73"/>
      <c r="J577" s="43"/>
      <c r="K577" s="43"/>
      <c r="L577" s="43"/>
      <c r="M577" s="43"/>
      <c r="N577" s="111"/>
      <c r="O577" s="43"/>
      <c r="P577" s="48"/>
      <c r="Q577" s="49"/>
      <c r="R577" s="37"/>
      <c r="S577" s="37"/>
      <c r="T577" s="37"/>
      <c r="U577" s="37"/>
      <c r="V577" s="59"/>
      <c r="W577" s="49"/>
      <c r="X577" s="37"/>
      <c r="Y577" s="37"/>
      <c r="Z577" s="37"/>
      <c r="AA577" s="37"/>
      <c r="AB577" s="37"/>
      <c r="AC577" s="37"/>
      <c r="AD577" s="37"/>
      <c r="AE577" s="37"/>
      <c r="AF577" s="37"/>
      <c r="AG577" s="59"/>
      <c r="AH577" s="49"/>
      <c r="AI577" s="37"/>
      <c r="AJ577" s="37"/>
      <c r="AK577" s="37"/>
      <c r="AL577" s="37"/>
      <c r="AM577" s="37"/>
      <c r="AN577" s="37"/>
      <c r="AO577" s="37"/>
      <c r="AP577" s="37"/>
      <c r="AQ577" s="37"/>
      <c r="AR577" s="37"/>
      <c r="AS577" s="37"/>
      <c r="AT577" s="37"/>
      <c r="AU577" s="37"/>
      <c r="AV577" s="59"/>
      <c r="AW577" s="1" t="str">
        <f>_xlfn.CONCAT(tbl_Ben_Info[[#This Row],[First Name]]," ",tbl_Ben_Info[[#This Row],[Father Name]]," ",tbl_Ben_Info[[#This Row],[Family Name]])</f>
        <v xml:space="preserve">  </v>
      </c>
    </row>
    <row r="578" spans="2:49" ht="25.15" customHeight="1" x14ac:dyDescent="0.25">
      <c r="B578" s="49">
        <v>573</v>
      </c>
      <c r="C578" s="1" t="str">
        <f>_xlfn.CONCAT("181-702-",IF(tbl_Ben_Info[[#This Row],[SN]]&lt;10,"00"&amp;tbl_Ben_Info[[#This Row],[SN]],IF(tbl_Ben_Info[[#This Row],[SN]]&lt;100,"0"&amp;tbl_Ben_Info[[#This Row],[SN]],tbl_Ben_Info[[#This Row],[SN]])))</f>
        <v>181-702-573</v>
      </c>
      <c r="D578" s="37"/>
      <c r="E578" s="40"/>
      <c r="F578" s="41"/>
      <c r="G578" s="42"/>
      <c r="H578" s="43"/>
      <c r="I578" s="73"/>
      <c r="J578" s="43"/>
      <c r="K578" s="43"/>
      <c r="L578" s="43"/>
      <c r="M578" s="43"/>
      <c r="N578" s="111"/>
      <c r="O578" s="43"/>
      <c r="P578" s="48"/>
      <c r="Q578" s="49"/>
      <c r="R578" s="37"/>
      <c r="S578" s="37"/>
      <c r="T578" s="37"/>
      <c r="U578" s="37"/>
      <c r="V578" s="59"/>
      <c r="W578" s="49"/>
      <c r="X578" s="37"/>
      <c r="Y578" s="37"/>
      <c r="Z578" s="37"/>
      <c r="AA578" s="37"/>
      <c r="AB578" s="37"/>
      <c r="AC578" s="37"/>
      <c r="AD578" s="37"/>
      <c r="AE578" s="37"/>
      <c r="AF578" s="37"/>
      <c r="AG578" s="59"/>
      <c r="AH578" s="49"/>
      <c r="AI578" s="37"/>
      <c r="AJ578" s="37"/>
      <c r="AK578" s="37"/>
      <c r="AL578" s="37"/>
      <c r="AM578" s="37"/>
      <c r="AN578" s="37"/>
      <c r="AO578" s="37"/>
      <c r="AP578" s="37"/>
      <c r="AQ578" s="37"/>
      <c r="AR578" s="37"/>
      <c r="AS578" s="37"/>
      <c r="AT578" s="37"/>
      <c r="AU578" s="37"/>
      <c r="AV578" s="59"/>
      <c r="AW578" s="1" t="str">
        <f>_xlfn.CONCAT(tbl_Ben_Info[[#This Row],[First Name]]," ",tbl_Ben_Info[[#This Row],[Father Name]]," ",tbl_Ben_Info[[#This Row],[Family Name]])</f>
        <v xml:space="preserve">  </v>
      </c>
    </row>
    <row r="579" spans="2:49" ht="25.15" customHeight="1" x14ac:dyDescent="0.25">
      <c r="B579" s="49">
        <v>574</v>
      </c>
      <c r="C579" s="1" t="str">
        <f>_xlfn.CONCAT("181-702-",IF(tbl_Ben_Info[[#This Row],[SN]]&lt;10,"00"&amp;tbl_Ben_Info[[#This Row],[SN]],IF(tbl_Ben_Info[[#This Row],[SN]]&lt;100,"0"&amp;tbl_Ben_Info[[#This Row],[SN]],tbl_Ben_Info[[#This Row],[SN]])))</f>
        <v>181-702-574</v>
      </c>
      <c r="D579" s="37"/>
      <c r="E579" s="40"/>
      <c r="F579" s="41"/>
      <c r="G579" s="42"/>
      <c r="H579" s="43"/>
      <c r="I579" s="73"/>
      <c r="J579" s="43"/>
      <c r="K579" s="43"/>
      <c r="L579" s="43"/>
      <c r="M579" s="43"/>
      <c r="N579" s="111"/>
      <c r="O579" s="43"/>
      <c r="P579" s="48"/>
      <c r="Q579" s="49"/>
      <c r="R579" s="37"/>
      <c r="S579" s="37"/>
      <c r="T579" s="37"/>
      <c r="U579" s="37"/>
      <c r="V579" s="59"/>
      <c r="W579" s="49"/>
      <c r="X579" s="37"/>
      <c r="Y579" s="37"/>
      <c r="Z579" s="37"/>
      <c r="AA579" s="37"/>
      <c r="AB579" s="37"/>
      <c r="AC579" s="37"/>
      <c r="AD579" s="37"/>
      <c r="AE579" s="37"/>
      <c r="AF579" s="37"/>
      <c r="AG579" s="59"/>
      <c r="AH579" s="49"/>
      <c r="AI579" s="37"/>
      <c r="AJ579" s="37"/>
      <c r="AK579" s="37"/>
      <c r="AL579" s="37"/>
      <c r="AM579" s="37"/>
      <c r="AN579" s="37"/>
      <c r="AO579" s="37"/>
      <c r="AP579" s="37"/>
      <c r="AQ579" s="37"/>
      <c r="AR579" s="37"/>
      <c r="AS579" s="37"/>
      <c r="AT579" s="37"/>
      <c r="AU579" s="37"/>
      <c r="AV579" s="59"/>
      <c r="AW579" s="1" t="str">
        <f>_xlfn.CONCAT(tbl_Ben_Info[[#This Row],[First Name]]," ",tbl_Ben_Info[[#This Row],[Father Name]]," ",tbl_Ben_Info[[#This Row],[Family Name]])</f>
        <v xml:space="preserve">  </v>
      </c>
    </row>
    <row r="580" spans="2:49" ht="25.15" customHeight="1" x14ac:dyDescent="0.25">
      <c r="B580" s="49">
        <v>575</v>
      </c>
      <c r="C580" s="1" t="str">
        <f>_xlfn.CONCAT("181-702-",IF(tbl_Ben_Info[[#This Row],[SN]]&lt;10,"00"&amp;tbl_Ben_Info[[#This Row],[SN]],IF(tbl_Ben_Info[[#This Row],[SN]]&lt;100,"0"&amp;tbl_Ben_Info[[#This Row],[SN]],tbl_Ben_Info[[#This Row],[SN]])))</f>
        <v>181-702-575</v>
      </c>
      <c r="D580" s="37"/>
      <c r="E580" s="40"/>
      <c r="F580" s="41"/>
      <c r="G580" s="42"/>
      <c r="H580" s="43"/>
      <c r="I580" s="73"/>
      <c r="J580" s="43"/>
      <c r="K580" s="43"/>
      <c r="L580" s="43"/>
      <c r="M580" s="43"/>
      <c r="N580" s="111"/>
      <c r="O580" s="43"/>
      <c r="P580" s="48"/>
      <c r="Q580" s="49"/>
      <c r="R580" s="37"/>
      <c r="S580" s="37"/>
      <c r="T580" s="37"/>
      <c r="U580" s="37"/>
      <c r="V580" s="59"/>
      <c r="W580" s="49"/>
      <c r="X580" s="37"/>
      <c r="Y580" s="37"/>
      <c r="Z580" s="37"/>
      <c r="AA580" s="37"/>
      <c r="AB580" s="37"/>
      <c r="AC580" s="37"/>
      <c r="AD580" s="37"/>
      <c r="AE580" s="37"/>
      <c r="AF580" s="37"/>
      <c r="AG580" s="59"/>
      <c r="AH580" s="49"/>
      <c r="AI580" s="37"/>
      <c r="AJ580" s="37"/>
      <c r="AK580" s="37"/>
      <c r="AL580" s="37"/>
      <c r="AM580" s="37"/>
      <c r="AN580" s="37"/>
      <c r="AO580" s="37"/>
      <c r="AP580" s="37"/>
      <c r="AQ580" s="37"/>
      <c r="AR580" s="37"/>
      <c r="AS580" s="37"/>
      <c r="AT580" s="37"/>
      <c r="AU580" s="37"/>
      <c r="AV580" s="59"/>
      <c r="AW580" s="1" t="str">
        <f>_xlfn.CONCAT(tbl_Ben_Info[[#This Row],[First Name]]," ",tbl_Ben_Info[[#This Row],[Father Name]]," ",tbl_Ben_Info[[#This Row],[Family Name]])</f>
        <v xml:space="preserve">  </v>
      </c>
    </row>
    <row r="581" spans="2:49" ht="25.15" customHeight="1" x14ac:dyDescent="0.25">
      <c r="B581" s="49">
        <v>576</v>
      </c>
      <c r="C581" s="1" t="str">
        <f>_xlfn.CONCAT("181-702-",IF(tbl_Ben_Info[[#This Row],[SN]]&lt;10,"00"&amp;tbl_Ben_Info[[#This Row],[SN]],IF(tbl_Ben_Info[[#This Row],[SN]]&lt;100,"0"&amp;tbl_Ben_Info[[#This Row],[SN]],tbl_Ben_Info[[#This Row],[SN]])))</f>
        <v>181-702-576</v>
      </c>
      <c r="D581" s="37"/>
      <c r="E581" s="40"/>
      <c r="F581" s="41"/>
      <c r="G581" s="42"/>
      <c r="H581" s="43"/>
      <c r="I581" s="73"/>
      <c r="J581" s="43"/>
      <c r="K581" s="43"/>
      <c r="L581" s="43"/>
      <c r="M581" s="43"/>
      <c r="N581" s="111"/>
      <c r="O581" s="43"/>
      <c r="P581" s="48"/>
      <c r="Q581" s="49"/>
      <c r="R581" s="37"/>
      <c r="S581" s="37"/>
      <c r="T581" s="37"/>
      <c r="U581" s="37"/>
      <c r="V581" s="59"/>
      <c r="W581" s="49"/>
      <c r="X581" s="37"/>
      <c r="Y581" s="37"/>
      <c r="Z581" s="37"/>
      <c r="AA581" s="37"/>
      <c r="AB581" s="37"/>
      <c r="AC581" s="37"/>
      <c r="AD581" s="37"/>
      <c r="AE581" s="37"/>
      <c r="AF581" s="37"/>
      <c r="AG581" s="59"/>
      <c r="AH581" s="49"/>
      <c r="AI581" s="37"/>
      <c r="AJ581" s="37"/>
      <c r="AK581" s="37"/>
      <c r="AL581" s="37"/>
      <c r="AM581" s="37"/>
      <c r="AN581" s="37"/>
      <c r="AO581" s="37"/>
      <c r="AP581" s="37"/>
      <c r="AQ581" s="37"/>
      <c r="AR581" s="37"/>
      <c r="AS581" s="37"/>
      <c r="AT581" s="37"/>
      <c r="AU581" s="37"/>
      <c r="AV581" s="59"/>
      <c r="AW581" s="1" t="str">
        <f>_xlfn.CONCAT(tbl_Ben_Info[[#This Row],[First Name]]," ",tbl_Ben_Info[[#This Row],[Father Name]]," ",tbl_Ben_Info[[#This Row],[Family Name]])</f>
        <v xml:space="preserve">  </v>
      </c>
    </row>
    <row r="582" spans="2:49" ht="25.15" customHeight="1" x14ac:dyDescent="0.25">
      <c r="B582" s="49">
        <v>577</v>
      </c>
      <c r="C582" s="1" t="str">
        <f>_xlfn.CONCAT("181-702-",IF(tbl_Ben_Info[[#This Row],[SN]]&lt;10,"00"&amp;tbl_Ben_Info[[#This Row],[SN]],IF(tbl_Ben_Info[[#This Row],[SN]]&lt;100,"0"&amp;tbl_Ben_Info[[#This Row],[SN]],tbl_Ben_Info[[#This Row],[SN]])))</f>
        <v>181-702-577</v>
      </c>
      <c r="D582" s="37"/>
      <c r="E582" s="40"/>
      <c r="F582" s="41"/>
      <c r="G582" s="42"/>
      <c r="H582" s="43"/>
      <c r="I582" s="73"/>
      <c r="J582" s="43"/>
      <c r="K582" s="43"/>
      <c r="L582" s="43"/>
      <c r="M582" s="43"/>
      <c r="N582" s="111"/>
      <c r="O582" s="43"/>
      <c r="P582" s="48"/>
      <c r="Q582" s="49"/>
      <c r="R582" s="37"/>
      <c r="S582" s="37"/>
      <c r="T582" s="37"/>
      <c r="U582" s="37"/>
      <c r="V582" s="59"/>
      <c r="W582" s="49"/>
      <c r="X582" s="37"/>
      <c r="Y582" s="37"/>
      <c r="Z582" s="37"/>
      <c r="AA582" s="37"/>
      <c r="AB582" s="37"/>
      <c r="AC582" s="37"/>
      <c r="AD582" s="37"/>
      <c r="AE582" s="37"/>
      <c r="AF582" s="37"/>
      <c r="AG582" s="59"/>
      <c r="AH582" s="49"/>
      <c r="AI582" s="37"/>
      <c r="AJ582" s="37"/>
      <c r="AK582" s="37"/>
      <c r="AL582" s="37"/>
      <c r="AM582" s="37"/>
      <c r="AN582" s="37"/>
      <c r="AO582" s="37"/>
      <c r="AP582" s="37"/>
      <c r="AQ582" s="37"/>
      <c r="AR582" s="37"/>
      <c r="AS582" s="37"/>
      <c r="AT582" s="37"/>
      <c r="AU582" s="37"/>
      <c r="AV582" s="59"/>
      <c r="AW582" s="1" t="str">
        <f>_xlfn.CONCAT(tbl_Ben_Info[[#This Row],[First Name]]," ",tbl_Ben_Info[[#This Row],[Father Name]]," ",tbl_Ben_Info[[#This Row],[Family Name]])</f>
        <v xml:space="preserve">  </v>
      </c>
    </row>
    <row r="583" spans="2:49" ht="25.15" customHeight="1" x14ac:dyDescent="0.25">
      <c r="B583" s="49">
        <v>578</v>
      </c>
      <c r="C583" s="1" t="str">
        <f>_xlfn.CONCAT("181-702-",IF(tbl_Ben_Info[[#This Row],[SN]]&lt;10,"00"&amp;tbl_Ben_Info[[#This Row],[SN]],IF(tbl_Ben_Info[[#This Row],[SN]]&lt;100,"0"&amp;tbl_Ben_Info[[#This Row],[SN]],tbl_Ben_Info[[#This Row],[SN]])))</f>
        <v>181-702-578</v>
      </c>
      <c r="D583" s="37"/>
      <c r="E583" s="40"/>
      <c r="F583" s="41"/>
      <c r="G583" s="42"/>
      <c r="H583" s="43"/>
      <c r="I583" s="73"/>
      <c r="J583" s="43"/>
      <c r="K583" s="43"/>
      <c r="L583" s="43"/>
      <c r="M583" s="43"/>
      <c r="N583" s="111"/>
      <c r="O583" s="43"/>
      <c r="P583" s="48"/>
      <c r="Q583" s="49"/>
      <c r="R583" s="37"/>
      <c r="S583" s="37"/>
      <c r="T583" s="37"/>
      <c r="U583" s="37"/>
      <c r="V583" s="59"/>
      <c r="W583" s="49"/>
      <c r="X583" s="37"/>
      <c r="Y583" s="37"/>
      <c r="Z583" s="37"/>
      <c r="AA583" s="37"/>
      <c r="AB583" s="37"/>
      <c r="AC583" s="37"/>
      <c r="AD583" s="37"/>
      <c r="AE583" s="37"/>
      <c r="AF583" s="37"/>
      <c r="AG583" s="59"/>
      <c r="AH583" s="49"/>
      <c r="AI583" s="37"/>
      <c r="AJ583" s="37"/>
      <c r="AK583" s="37"/>
      <c r="AL583" s="37"/>
      <c r="AM583" s="37"/>
      <c r="AN583" s="37"/>
      <c r="AO583" s="37"/>
      <c r="AP583" s="37"/>
      <c r="AQ583" s="37"/>
      <c r="AR583" s="37"/>
      <c r="AS583" s="37"/>
      <c r="AT583" s="37"/>
      <c r="AU583" s="37"/>
      <c r="AV583" s="59"/>
      <c r="AW583" s="1" t="str">
        <f>_xlfn.CONCAT(tbl_Ben_Info[[#This Row],[First Name]]," ",tbl_Ben_Info[[#This Row],[Father Name]]," ",tbl_Ben_Info[[#This Row],[Family Name]])</f>
        <v xml:space="preserve">  </v>
      </c>
    </row>
    <row r="584" spans="2:49" ht="25.15" customHeight="1" x14ac:dyDescent="0.25">
      <c r="B584" s="49">
        <v>579</v>
      </c>
      <c r="C584" s="1" t="str">
        <f>_xlfn.CONCAT("181-702-",IF(tbl_Ben_Info[[#This Row],[SN]]&lt;10,"00"&amp;tbl_Ben_Info[[#This Row],[SN]],IF(tbl_Ben_Info[[#This Row],[SN]]&lt;100,"0"&amp;tbl_Ben_Info[[#This Row],[SN]],tbl_Ben_Info[[#This Row],[SN]])))</f>
        <v>181-702-579</v>
      </c>
      <c r="D584" s="37"/>
      <c r="E584" s="40"/>
      <c r="F584" s="41"/>
      <c r="G584" s="42"/>
      <c r="H584" s="43"/>
      <c r="I584" s="73"/>
      <c r="J584" s="43"/>
      <c r="K584" s="43"/>
      <c r="L584" s="43"/>
      <c r="M584" s="43"/>
      <c r="N584" s="111"/>
      <c r="O584" s="43"/>
      <c r="P584" s="48"/>
      <c r="Q584" s="49"/>
      <c r="R584" s="37"/>
      <c r="S584" s="37"/>
      <c r="T584" s="37"/>
      <c r="U584" s="37"/>
      <c r="V584" s="59"/>
      <c r="W584" s="49"/>
      <c r="X584" s="37"/>
      <c r="Y584" s="37"/>
      <c r="Z584" s="37"/>
      <c r="AA584" s="37"/>
      <c r="AB584" s="37"/>
      <c r="AC584" s="37"/>
      <c r="AD584" s="37"/>
      <c r="AE584" s="37"/>
      <c r="AF584" s="37"/>
      <c r="AG584" s="59"/>
      <c r="AH584" s="49"/>
      <c r="AI584" s="37"/>
      <c r="AJ584" s="37"/>
      <c r="AK584" s="37"/>
      <c r="AL584" s="37"/>
      <c r="AM584" s="37"/>
      <c r="AN584" s="37"/>
      <c r="AO584" s="37"/>
      <c r="AP584" s="37"/>
      <c r="AQ584" s="37"/>
      <c r="AR584" s="37"/>
      <c r="AS584" s="37"/>
      <c r="AT584" s="37"/>
      <c r="AU584" s="37"/>
      <c r="AV584" s="59"/>
      <c r="AW584" s="1" t="str">
        <f>_xlfn.CONCAT(tbl_Ben_Info[[#This Row],[First Name]]," ",tbl_Ben_Info[[#This Row],[Father Name]]," ",tbl_Ben_Info[[#This Row],[Family Name]])</f>
        <v xml:space="preserve">  </v>
      </c>
    </row>
    <row r="585" spans="2:49" ht="25.15" customHeight="1" x14ac:dyDescent="0.25">
      <c r="B585" s="49">
        <v>580</v>
      </c>
      <c r="C585" s="1" t="str">
        <f>_xlfn.CONCAT("181-702-",IF(tbl_Ben_Info[[#This Row],[SN]]&lt;10,"00"&amp;tbl_Ben_Info[[#This Row],[SN]],IF(tbl_Ben_Info[[#This Row],[SN]]&lt;100,"0"&amp;tbl_Ben_Info[[#This Row],[SN]],tbl_Ben_Info[[#This Row],[SN]])))</f>
        <v>181-702-580</v>
      </c>
      <c r="D585" s="37"/>
      <c r="E585" s="40"/>
      <c r="F585" s="41"/>
      <c r="G585" s="42"/>
      <c r="H585" s="43"/>
      <c r="I585" s="73"/>
      <c r="J585" s="43"/>
      <c r="K585" s="43"/>
      <c r="L585" s="43"/>
      <c r="M585" s="43"/>
      <c r="N585" s="111"/>
      <c r="O585" s="43"/>
      <c r="P585" s="48"/>
      <c r="Q585" s="49"/>
      <c r="R585" s="37"/>
      <c r="S585" s="37"/>
      <c r="T585" s="37"/>
      <c r="U585" s="37"/>
      <c r="V585" s="59"/>
      <c r="W585" s="49"/>
      <c r="X585" s="37"/>
      <c r="Y585" s="37"/>
      <c r="Z585" s="37"/>
      <c r="AA585" s="37"/>
      <c r="AB585" s="37"/>
      <c r="AC585" s="37"/>
      <c r="AD585" s="37"/>
      <c r="AE585" s="37"/>
      <c r="AF585" s="37"/>
      <c r="AG585" s="59"/>
      <c r="AH585" s="49"/>
      <c r="AI585" s="37"/>
      <c r="AJ585" s="37"/>
      <c r="AK585" s="37"/>
      <c r="AL585" s="37"/>
      <c r="AM585" s="37"/>
      <c r="AN585" s="37"/>
      <c r="AO585" s="37"/>
      <c r="AP585" s="37"/>
      <c r="AQ585" s="37"/>
      <c r="AR585" s="37"/>
      <c r="AS585" s="37"/>
      <c r="AT585" s="37"/>
      <c r="AU585" s="37"/>
      <c r="AV585" s="59"/>
      <c r="AW585" s="1" t="str">
        <f>_xlfn.CONCAT(tbl_Ben_Info[[#This Row],[First Name]]," ",tbl_Ben_Info[[#This Row],[Father Name]]," ",tbl_Ben_Info[[#This Row],[Family Name]])</f>
        <v xml:space="preserve">  </v>
      </c>
    </row>
    <row r="586" spans="2:49" ht="25.15" customHeight="1" x14ac:dyDescent="0.25">
      <c r="B586" s="49">
        <v>581</v>
      </c>
      <c r="C586" s="1" t="str">
        <f>_xlfn.CONCAT("181-702-",IF(tbl_Ben_Info[[#This Row],[SN]]&lt;10,"00"&amp;tbl_Ben_Info[[#This Row],[SN]],IF(tbl_Ben_Info[[#This Row],[SN]]&lt;100,"0"&amp;tbl_Ben_Info[[#This Row],[SN]],tbl_Ben_Info[[#This Row],[SN]])))</f>
        <v>181-702-581</v>
      </c>
      <c r="D586" s="37"/>
      <c r="E586" s="40"/>
      <c r="F586" s="41"/>
      <c r="G586" s="42"/>
      <c r="H586" s="43"/>
      <c r="I586" s="73"/>
      <c r="J586" s="43"/>
      <c r="K586" s="43"/>
      <c r="L586" s="43"/>
      <c r="M586" s="43"/>
      <c r="N586" s="111"/>
      <c r="O586" s="43"/>
      <c r="P586" s="48"/>
      <c r="Q586" s="49"/>
      <c r="R586" s="37"/>
      <c r="S586" s="37"/>
      <c r="T586" s="37"/>
      <c r="U586" s="37"/>
      <c r="V586" s="59"/>
      <c r="W586" s="49"/>
      <c r="X586" s="37"/>
      <c r="Y586" s="37"/>
      <c r="Z586" s="37"/>
      <c r="AA586" s="37"/>
      <c r="AB586" s="37"/>
      <c r="AC586" s="37"/>
      <c r="AD586" s="37"/>
      <c r="AE586" s="37"/>
      <c r="AF586" s="37"/>
      <c r="AG586" s="59"/>
      <c r="AH586" s="49"/>
      <c r="AI586" s="37"/>
      <c r="AJ586" s="37"/>
      <c r="AK586" s="37"/>
      <c r="AL586" s="37"/>
      <c r="AM586" s="37"/>
      <c r="AN586" s="37"/>
      <c r="AO586" s="37"/>
      <c r="AP586" s="37"/>
      <c r="AQ586" s="37"/>
      <c r="AR586" s="37"/>
      <c r="AS586" s="37"/>
      <c r="AT586" s="37"/>
      <c r="AU586" s="37"/>
      <c r="AV586" s="59"/>
      <c r="AW586" s="1" t="str">
        <f>_xlfn.CONCAT(tbl_Ben_Info[[#This Row],[First Name]]," ",tbl_Ben_Info[[#This Row],[Father Name]]," ",tbl_Ben_Info[[#This Row],[Family Name]])</f>
        <v xml:space="preserve">  </v>
      </c>
    </row>
    <row r="587" spans="2:49" ht="25.15" customHeight="1" x14ac:dyDescent="0.25">
      <c r="B587" s="49">
        <v>582</v>
      </c>
      <c r="C587" s="1" t="str">
        <f>_xlfn.CONCAT("181-702-",IF(tbl_Ben_Info[[#This Row],[SN]]&lt;10,"00"&amp;tbl_Ben_Info[[#This Row],[SN]],IF(tbl_Ben_Info[[#This Row],[SN]]&lt;100,"0"&amp;tbl_Ben_Info[[#This Row],[SN]],tbl_Ben_Info[[#This Row],[SN]])))</f>
        <v>181-702-582</v>
      </c>
      <c r="D587" s="37"/>
      <c r="E587" s="40"/>
      <c r="F587" s="41"/>
      <c r="G587" s="42"/>
      <c r="H587" s="43"/>
      <c r="I587" s="73"/>
      <c r="J587" s="43"/>
      <c r="K587" s="43"/>
      <c r="L587" s="43"/>
      <c r="M587" s="43"/>
      <c r="N587" s="111"/>
      <c r="O587" s="43"/>
      <c r="P587" s="48"/>
      <c r="Q587" s="49"/>
      <c r="R587" s="37"/>
      <c r="S587" s="37"/>
      <c r="T587" s="37"/>
      <c r="U587" s="37"/>
      <c r="V587" s="59"/>
      <c r="W587" s="49"/>
      <c r="X587" s="37"/>
      <c r="Y587" s="37"/>
      <c r="Z587" s="37"/>
      <c r="AA587" s="37"/>
      <c r="AB587" s="37"/>
      <c r="AC587" s="37"/>
      <c r="AD587" s="37"/>
      <c r="AE587" s="37"/>
      <c r="AF587" s="37"/>
      <c r="AG587" s="59"/>
      <c r="AH587" s="49"/>
      <c r="AI587" s="37"/>
      <c r="AJ587" s="37"/>
      <c r="AK587" s="37"/>
      <c r="AL587" s="37"/>
      <c r="AM587" s="37"/>
      <c r="AN587" s="37"/>
      <c r="AO587" s="37"/>
      <c r="AP587" s="37"/>
      <c r="AQ587" s="37"/>
      <c r="AR587" s="37"/>
      <c r="AS587" s="37"/>
      <c r="AT587" s="37"/>
      <c r="AU587" s="37"/>
      <c r="AV587" s="59"/>
      <c r="AW587" s="1" t="str">
        <f>_xlfn.CONCAT(tbl_Ben_Info[[#This Row],[First Name]]," ",tbl_Ben_Info[[#This Row],[Father Name]]," ",tbl_Ben_Info[[#This Row],[Family Name]])</f>
        <v xml:space="preserve">  </v>
      </c>
    </row>
    <row r="588" spans="2:49" ht="25.15" customHeight="1" x14ac:dyDescent="0.25">
      <c r="B588" s="49">
        <v>583</v>
      </c>
      <c r="C588" s="1" t="str">
        <f>_xlfn.CONCAT("181-702-",IF(tbl_Ben_Info[[#This Row],[SN]]&lt;10,"00"&amp;tbl_Ben_Info[[#This Row],[SN]],IF(tbl_Ben_Info[[#This Row],[SN]]&lt;100,"0"&amp;tbl_Ben_Info[[#This Row],[SN]],tbl_Ben_Info[[#This Row],[SN]])))</f>
        <v>181-702-583</v>
      </c>
      <c r="D588" s="37"/>
      <c r="E588" s="40"/>
      <c r="F588" s="41"/>
      <c r="G588" s="42"/>
      <c r="H588" s="43"/>
      <c r="I588" s="73"/>
      <c r="J588" s="43"/>
      <c r="K588" s="43"/>
      <c r="L588" s="43"/>
      <c r="M588" s="43"/>
      <c r="N588" s="111"/>
      <c r="O588" s="43"/>
      <c r="P588" s="48"/>
      <c r="Q588" s="49"/>
      <c r="R588" s="37"/>
      <c r="S588" s="37"/>
      <c r="T588" s="37"/>
      <c r="U588" s="37"/>
      <c r="V588" s="59"/>
      <c r="W588" s="49"/>
      <c r="X588" s="37"/>
      <c r="Y588" s="37"/>
      <c r="Z588" s="37"/>
      <c r="AA588" s="37"/>
      <c r="AB588" s="37"/>
      <c r="AC588" s="37"/>
      <c r="AD588" s="37"/>
      <c r="AE588" s="37"/>
      <c r="AF588" s="37"/>
      <c r="AG588" s="59"/>
      <c r="AH588" s="49"/>
      <c r="AI588" s="37"/>
      <c r="AJ588" s="37"/>
      <c r="AK588" s="37"/>
      <c r="AL588" s="37"/>
      <c r="AM588" s="37"/>
      <c r="AN588" s="37"/>
      <c r="AO588" s="37"/>
      <c r="AP588" s="37"/>
      <c r="AQ588" s="37"/>
      <c r="AR588" s="37"/>
      <c r="AS588" s="37"/>
      <c r="AT588" s="37"/>
      <c r="AU588" s="37"/>
      <c r="AV588" s="59"/>
      <c r="AW588" s="1" t="str">
        <f>_xlfn.CONCAT(tbl_Ben_Info[[#This Row],[First Name]]," ",tbl_Ben_Info[[#This Row],[Father Name]]," ",tbl_Ben_Info[[#This Row],[Family Name]])</f>
        <v xml:space="preserve">  </v>
      </c>
    </row>
    <row r="589" spans="2:49" ht="25.15" customHeight="1" x14ac:dyDescent="0.25">
      <c r="B589" s="49">
        <v>584</v>
      </c>
      <c r="C589" s="1" t="str">
        <f>_xlfn.CONCAT("181-702-",IF(tbl_Ben_Info[[#This Row],[SN]]&lt;10,"00"&amp;tbl_Ben_Info[[#This Row],[SN]],IF(tbl_Ben_Info[[#This Row],[SN]]&lt;100,"0"&amp;tbl_Ben_Info[[#This Row],[SN]],tbl_Ben_Info[[#This Row],[SN]])))</f>
        <v>181-702-584</v>
      </c>
      <c r="D589" s="37"/>
      <c r="E589" s="40"/>
      <c r="F589" s="41"/>
      <c r="G589" s="42"/>
      <c r="H589" s="43"/>
      <c r="I589" s="73"/>
      <c r="J589" s="43"/>
      <c r="K589" s="43"/>
      <c r="L589" s="43"/>
      <c r="M589" s="43"/>
      <c r="N589" s="111"/>
      <c r="O589" s="43"/>
      <c r="P589" s="48"/>
      <c r="Q589" s="49"/>
      <c r="R589" s="37"/>
      <c r="S589" s="37"/>
      <c r="T589" s="37"/>
      <c r="U589" s="37"/>
      <c r="V589" s="59"/>
      <c r="W589" s="49"/>
      <c r="X589" s="37"/>
      <c r="Y589" s="37"/>
      <c r="Z589" s="37"/>
      <c r="AA589" s="37"/>
      <c r="AB589" s="37"/>
      <c r="AC589" s="37"/>
      <c r="AD589" s="37"/>
      <c r="AE589" s="37"/>
      <c r="AF589" s="37"/>
      <c r="AG589" s="59"/>
      <c r="AH589" s="49"/>
      <c r="AI589" s="37"/>
      <c r="AJ589" s="37"/>
      <c r="AK589" s="37"/>
      <c r="AL589" s="37"/>
      <c r="AM589" s="37"/>
      <c r="AN589" s="37"/>
      <c r="AO589" s="37"/>
      <c r="AP589" s="37"/>
      <c r="AQ589" s="37"/>
      <c r="AR589" s="37"/>
      <c r="AS589" s="37"/>
      <c r="AT589" s="37"/>
      <c r="AU589" s="37"/>
      <c r="AV589" s="59"/>
      <c r="AW589" s="1" t="str">
        <f>_xlfn.CONCAT(tbl_Ben_Info[[#This Row],[First Name]]," ",tbl_Ben_Info[[#This Row],[Father Name]]," ",tbl_Ben_Info[[#This Row],[Family Name]])</f>
        <v xml:space="preserve">  </v>
      </c>
    </row>
    <row r="590" spans="2:49" ht="25.15" customHeight="1" x14ac:dyDescent="0.25">
      <c r="B590" s="49">
        <v>585</v>
      </c>
      <c r="C590" s="1" t="str">
        <f>_xlfn.CONCAT("181-702-",IF(tbl_Ben_Info[[#This Row],[SN]]&lt;10,"00"&amp;tbl_Ben_Info[[#This Row],[SN]],IF(tbl_Ben_Info[[#This Row],[SN]]&lt;100,"0"&amp;tbl_Ben_Info[[#This Row],[SN]],tbl_Ben_Info[[#This Row],[SN]])))</f>
        <v>181-702-585</v>
      </c>
      <c r="D590" s="37"/>
      <c r="E590" s="40"/>
      <c r="F590" s="41"/>
      <c r="G590" s="42"/>
      <c r="H590" s="43"/>
      <c r="I590" s="73"/>
      <c r="J590" s="43"/>
      <c r="K590" s="43"/>
      <c r="L590" s="43"/>
      <c r="M590" s="43"/>
      <c r="N590" s="111"/>
      <c r="O590" s="43"/>
      <c r="P590" s="48"/>
      <c r="Q590" s="49"/>
      <c r="R590" s="37"/>
      <c r="S590" s="37"/>
      <c r="T590" s="37"/>
      <c r="U590" s="37"/>
      <c r="V590" s="59"/>
      <c r="W590" s="49"/>
      <c r="X590" s="37"/>
      <c r="Y590" s="37"/>
      <c r="Z590" s="37"/>
      <c r="AA590" s="37"/>
      <c r="AB590" s="37"/>
      <c r="AC590" s="37"/>
      <c r="AD590" s="37"/>
      <c r="AE590" s="37"/>
      <c r="AF590" s="37"/>
      <c r="AG590" s="59"/>
      <c r="AH590" s="49"/>
      <c r="AI590" s="37"/>
      <c r="AJ590" s="37"/>
      <c r="AK590" s="37"/>
      <c r="AL590" s="37"/>
      <c r="AM590" s="37"/>
      <c r="AN590" s="37"/>
      <c r="AO590" s="37"/>
      <c r="AP590" s="37"/>
      <c r="AQ590" s="37"/>
      <c r="AR590" s="37"/>
      <c r="AS590" s="37"/>
      <c r="AT590" s="37"/>
      <c r="AU590" s="37"/>
      <c r="AV590" s="59"/>
      <c r="AW590" s="1" t="str">
        <f>_xlfn.CONCAT(tbl_Ben_Info[[#This Row],[First Name]]," ",tbl_Ben_Info[[#This Row],[Father Name]]," ",tbl_Ben_Info[[#This Row],[Family Name]])</f>
        <v xml:space="preserve">  </v>
      </c>
    </row>
    <row r="591" spans="2:49" ht="25.15" customHeight="1" x14ac:dyDescent="0.25">
      <c r="B591" s="49">
        <v>586</v>
      </c>
      <c r="C591" s="1" t="str">
        <f>_xlfn.CONCAT("181-702-",IF(tbl_Ben_Info[[#This Row],[SN]]&lt;10,"00"&amp;tbl_Ben_Info[[#This Row],[SN]],IF(tbl_Ben_Info[[#This Row],[SN]]&lt;100,"0"&amp;tbl_Ben_Info[[#This Row],[SN]],tbl_Ben_Info[[#This Row],[SN]])))</f>
        <v>181-702-586</v>
      </c>
      <c r="D591" s="37"/>
      <c r="E591" s="40"/>
      <c r="F591" s="41"/>
      <c r="G591" s="42"/>
      <c r="H591" s="43"/>
      <c r="I591" s="73"/>
      <c r="J591" s="43"/>
      <c r="K591" s="43"/>
      <c r="L591" s="43"/>
      <c r="M591" s="43"/>
      <c r="N591" s="111"/>
      <c r="O591" s="43"/>
      <c r="P591" s="48"/>
      <c r="Q591" s="49"/>
      <c r="R591" s="37"/>
      <c r="S591" s="37"/>
      <c r="T591" s="37"/>
      <c r="U591" s="37"/>
      <c r="V591" s="59"/>
      <c r="W591" s="49"/>
      <c r="X591" s="37"/>
      <c r="Y591" s="37"/>
      <c r="Z591" s="37"/>
      <c r="AA591" s="37"/>
      <c r="AB591" s="37"/>
      <c r="AC591" s="37"/>
      <c r="AD591" s="37"/>
      <c r="AE591" s="37"/>
      <c r="AF591" s="37"/>
      <c r="AG591" s="59"/>
      <c r="AH591" s="49"/>
      <c r="AI591" s="37"/>
      <c r="AJ591" s="37"/>
      <c r="AK591" s="37"/>
      <c r="AL591" s="37"/>
      <c r="AM591" s="37"/>
      <c r="AN591" s="37"/>
      <c r="AO591" s="37"/>
      <c r="AP591" s="37"/>
      <c r="AQ591" s="37"/>
      <c r="AR591" s="37"/>
      <c r="AS591" s="37"/>
      <c r="AT591" s="37"/>
      <c r="AU591" s="37"/>
      <c r="AV591" s="59"/>
      <c r="AW591" s="1" t="str">
        <f>_xlfn.CONCAT(tbl_Ben_Info[[#This Row],[First Name]]," ",tbl_Ben_Info[[#This Row],[Father Name]]," ",tbl_Ben_Info[[#This Row],[Family Name]])</f>
        <v xml:space="preserve">  </v>
      </c>
    </row>
    <row r="592" spans="2:49" ht="25.15" customHeight="1" x14ac:dyDescent="0.25">
      <c r="B592" s="49">
        <v>587</v>
      </c>
      <c r="C592" s="1" t="str">
        <f>_xlfn.CONCAT("181-702-",IF(tbl_Ben_Info[[#This Row],[SN]]&lt;10,"00"&amp;tbl_Ben_Info[[#This Row],[SN]],IF(tbl_Ben_Info[[#This Row],[SN]]&lt;100,"0"&amp;tbl_Ben_Info[[#This Row],[SN]],tbl_Ben_Info[[#This Row],[SN]])))</f>
        <v>181-702-587</v>
      </c>
      <c r="D592" s="37"/>
      <c r="E592" s="40"/>
      <c r="F592" s="41"/>
      <c r="G592" s="42"/>
      <c r="H592" s="43"/>
      <c r="I592" s="73"/>
      <c r="J592" s="43"/>
      <c r="K592" s="43"/>
      <c r="L592" s="43"/>
      <c r="M592" s="43"/>
      <c r="N592" s="111"/>
      <c r="O592" s="43"/>
      <c r="P592" s="48"/>
      <c r="Q592" s="49"/>
      <c r="R592" s="37"/>
      <c r="S592" s="37"/>
      <c r="T592" s="37"/>
      <c r="U592" s="37"/>
      <c r="V592" s="59"/>
      <c r="W592" s="49"/>
      <c r="X592" s="37"/>
      <c r="Y592" s="37"/>
      <c r="Z592" s="37"/>
      <c r="AA592" s="37"/>
      <c r="AB592" s="37"/>
      <c r="AC592" s="37"/>
      <c r="AD592" s="37"/>
      <c r="AE592" s="37"/>
      <c r="AF592" s="37"/>
      <c r="AG592" s="59"/>
      <c r="AH592" s="49"/>
      <c r="AI592" s="37"/>
      <c r="AJ592" s="37"/>
      <c r="AK592" s="37"/>
      <c r="AL592" s="37"/>
      <c r="AM592" s="37"/>
      <c r="AN592" s="37"/>
      <c r="AO592" s="37"/>
      <c r="AP592" s="37"/>
      <c r="AQ592" s="37"/>
      <c r="AR592" s="37"/>
      <c r="AS592" s="37"/>
      <c r="AT592" s="37"/>
      <c r="AU592" s="37"/>
      <c r="AV592" s="59"/>
      <c r="AW592" s="1" t="str">
        <f>_xlfn.CONCAT(tbl_Ben_Info[[#This Row],[First Name]]," ",tbl_Ben_Info[[#This Row],[Father Name]]," ",tbl_Ben_Info[[#This Row],[Family Name]])</f>
        <v xml:space="preserve">  </v>
      </c>
    </row>
    <row r="593" spans="2:49" ht="25.15" customHeight="1" x14ac:dyDescent="0.25">
      <c r="B593" s="49">
        <v>588</v>
      </c>
      <c r="C593" s="1" t="str">
        <f>_xlfn.CONCAT("181-702-",IF(tbl_Ben_Info[[#This Row],[SN]]&lt;10,"00"&amp;tbl_Ben_Info[[#This Row],[SN]],IF(tbl_Ben_Info[[#This Row],[SN]]&lt;100,"0"&amp;tbl_Ben_Info[[#This Row],[SN]],tbl_Ben_Info[[#This Row],[SN]])))</f>
        <v>181-702-588</v>
      </c>
      <c r="D593" s="37"/>
      <c r="E593" s="40"/>
      <c r="F593" s="41"/>
      <c r="G593" s="42"/>
      <c r="H593" s="43"/>
      <c r="I593" s="73"/>
      <c r="J593" s="43"/>
      <c r="K593" s="43"/>
      <c r="L593" s="43"/>
      <c r="M593" s="43"/>
      <c r="N593" s="111"/>
      <c r="O593" s="43"/>
      <c r="P593" s="48"/>
      <c r="Q593" s="49"/>
      <c r="R593" s="37"/>
      <c r="S593" s="37"/>
      <c r="T593" s="37"/>
      <c r="U593" s="37"/>
      <c r="V593" s="59"/>
      <c r="W593" s="49"/>
      <c r="X593" s="37"/>
      <c r="Y593" s="37"/>
      <c r="Z593" s="37"/>
      <c r="AA593" s="37"/>
      <c r="AB593" s="37"/>
      <c r="AC593" s="37"/>
      <c r="AD593" s="37"/>
      <c r="AE593" s="37"/>
      <c r="AF593" s="37"/>
      <c r="AG593" s="59"/>
      <c r="AH593" s="49"/>
      <c r="AI593" s="37"/>
      <c r="AJ593" s="37"/>
      <c r="AK593" s="37"/>
      <c r="AL593" s="37"/>
      <c r="AM593" s="37"/>
      <c r="AN593" s="37"/>
      <c r="AO593" s="37"/>
      <c r="AP593" s="37"/>
      <c r="AQ593" s="37"/>
      <c r="AR593" s="37"/>
      <c r="AS593" s="37"/>
      <c r="AT593" s="37"/>
      <c r="AU593" s="37"/>
      <c r="AV593" s="59"/>
      <c r="AW593" s="1" t="str">
        <f>_xlfn.CONCAT(tbl_Ben_Info[[#This Row],[First Name]]," ",tbl_Ben_Info[[#This Row],[Father Name]]," ",tbl_Ben_Info[[#This Row],[Family Name]])</f>
        <v xml:space="preserve">  </v>
      </c>
    </row>
    <row r="594" spans="2:49" ht="25.15" customHeight="1" x14ac:dyDescent="0.25">
      <c r="B594" s="49">
        <v>589</v>
      </c>
      <c r="C594" s="1" t="str">
        <f>_xlfn.CONCAT("181-702-",IF(tbl_Ben_Info[[#This Row],[SN]]&lt;10,"00"&amp;tbl_Ben_Info[[#This Row],[SN]],IF(tbl_Ben_Info[[#This Row],[SN]]&lt;100,"0"&amp;tbl_Ben_Info[[#This Row],[SN]],tbl_Ben_Info[[#This Row],[SN]])))</f>
        <v>181-702-589</v>
      </c>
      <c r="D594" s="37"/>
      <c r="E594" s="40"/>
      <c r="F594" s="41"/>
      <c r="G594" s="42"/>
      <c r="H594" s="43"/>
      <c r="I594" s="73"/>
      <c r="J594" s="43"/>
      <c r="K594" s="43"/>
      <c r="L594" s="43"/>
      <c r="M594" s="43"/>
      <c r="N594" s="111"/>
      <c r="O594" s="43"/>
      <c r="P594" s="48"/>
      <c r="Q594" s="49"/>
      <c r="R594" s="37"/>
      <c r="S594" s="37"/>
      <c r="T594" s="37"/>
      <c r="U594" s="37"/>
      <c r="V594" s="59"/>
      <c r="W594" s="49"/>
      <c r="X594" s="37"/>
      <c r="Y594" s="37"/>
      <c r="Z594" s="37"/>
      <c r="AA594" s="37"/>
      <c r="AB594" s="37"/>
      <c r="AC594" s="37"/>
      <c r="AD594" s="37"/>
      <c r="AE594" s="37"/>
      <c r="AF594" s="37"/>
      <c r="AG594" s="59"/>
      <c r="AH594" s="49"/>
      <c r="AI594" s="37"/>
      <c r="AJ594" s="37"/>
      <c r="AK594" s="37"/>
      <c r="AL594" s="37"/>
      <c r="AM594" s="37"/>
      <c r="AN594" s="37"/>
      <c r="AO594" s="37"/>
      <c r="AP594" s="37"/>
      <c r="AQ594" s="37"/>
      <c r="AR594" s="37"/>
      <c r="AS594" s="37"/>
      <c r="AT594" s="37"/>
      <c r="AU594" s="37"/>
      <c r="AV594" s="59"/>
      <c r="AW594" s="1" t="str">
        <f>_xlfn.CONCAT(tbl_Ben_Info[[#This Row],[First Name]]," ",tbl_Ben_Info[[#This Row],[Father Name]]," ",tbl_Ben_Info[[#This Row],[Family Name]])</f>
        <v xml:space="preserve">  </v>
      </c>
    </row>
    <row r="595" spans="2:49" ht="25.15" customHeight="1" x14ac:dyDescent="0.25">
      <c r="B595" s="49">
        <v>590</v>
      </c>
      <c r="C595" s="1" t="str">
        <f>_xlfn.CONCAT("181-702-",IF(tbl_Ben_Info[[#This Row],[SN]]&lt;10,"00"&amp;tbl_Ben_Info[[#This Row],[SN]],IF(tbl_Ben_Info[[#This Row],[SN]]&lt;100,"0"&amp;tbl_Ben_Info[[#This Row],[SN]],tbl_Ben_Info[[#This Row],[SN]])))</f>
        <v>181-702-590</v>
      </c>
      <c r="D595" s="37"/>
      <c r="E595" s="40"/>
      <c r="F595" s="41"/>
      <c r="G595" s="42"/>
      <c r="H595" s="43"/>
      <c r="I595" s="73"/>
      <c r="J595" s="43"/>
      <c r="K595" s="43"/>
      <c r="L595" s="43"/>
      <c r="M595" s="43"/>
      <c r="N595" s="111"/>
      <c r="O595" s="43"/>
      <c r="P595" s="48"/>
      <c r="Q595" s="49"/>
      <c r="R595" s="37"/>
      <c r="S595" s="37"/>
      <c r="T595" s="37"/>
      <c r="U595" s="37"/>
      <c r="V595" s="59"/>
      <c r="W595" s="49"/>
      <c r="X595" s="37"/>
      <c r="Y595" s="37"/>
      <c r="Z595" s="37"/>
      <c r="AA595" s="37"/>
      <c r="AB595" s="37"/>
      <c r="AC595" s="37"/>
      <c r="AD595" s="37"/>
      <c r="AE595" s="37"/>
      <c r="AF595" s="37"/>
      <c r="AG595" s="59"/>
      <c r="AH595" s="49"/>
      <c r="AI595" s="37"/>
      <c r="AJ595" s="37"/>
      <c r="AK595" s="37"/>
      <c r="AL595" s="37"/>
      <c r="AM595" s="37"/>
      <c r="AN595" s="37"/>
      <c r="AO595" s="37"/>
      <c r="AP595" s="37"/>
      <c r="AQ595" s="37"/>
      <c r="AR595" s="37"/>
      <c r="AS595" s="37"/>
      <c r="AT595" s="37"/>
      <c r="AU595" s="37"/>
      <c r="AV595" s="59"/>
      <c r="AW595" s="1" t="str">
        <f>_xlfn.CONCAT(tbl_Ben_Info[[#This Row],[First Name]]," ",tbl_Ben_Info[[#This Row],[Father Name]]," ",tbl_Ben_Info[[#This Row],[Family Name]])</f>
        <v xml:space="preserve">  </v>
      </c>
    </row>
    <row r="596" spans="2:49" ht="25.15" customHeight="1" x14ac:dyDescent="0.25">
      <c r="B596" s="49">
        <v>591</v>
      </c>
      <c r="C596" s="1" t="str">
        <f>_xlfn.CONCAT("181-702-",IF(tbl_Ben_Info[[#This Row],[SN]]&lt;10,"00"&amp;tbl_Ben_Info[[#This Row],[SN]],IF(tbl_Ben_Info[[#This Row],[SN]]&lt;100,"0"&amp;tbl_Ben_Info[[#This Row],[SN]],tbl_Ben_Info[[#This Row],[SN]])))</f>
        <v>181-702-591</v>
      </c>
      <c r="D596" s="37"/>
      <c r="E596" s="40"/>
      <c r="F596" s="41"/>
      <c r="G596" s="42"/>
      <c r="H596" s="43"/>
      <c r="I596" s="73"/>
      <c r="J596" s="43"/>
      <c r="K596" s="43"/>
      <c r="L596" s="43"/>
      <c r="M596" s="43"/>
      <c r="N596" s="111"/>
      <c r="O596" s="43"/>
      <c r="P596" s="48"/>
      <c r="Q596" s="49"/>
      <c r="R596" s="37"/>
      <c r="S596" s="37"/>
      <c r="T596" s="37"/>
      <c r="U596" s="37"/>
      <c r="V596" s="59"/>
      <c r="W596" s="49"/>
      <c r="X596" s="37"/>
      <c r="Y596" s="37"/>
      <c r="Z596" s="37"/>
      <c r="AA596" s="37"/>
      <c r="AB596" s="37"/>
      <c r="AC596" s="37"/>
      <c r="AD596" s="37"/>
      <c r="AE596" s="37"/>
      <c r="AF596" s="37"/>
      <c r="AG596" s="59"/>
      <c r="AH596" s="49"/>
      <c r="AI596" s="37"/>
      <c r="AJ596" s="37"/>
      <c r="AK596" s="37"/>
      <c r="AL596" s="37"/>
      <c r="AM596" s="37"/>
      <c r="AN596" s="37"/>
      <c r="AO596" s="37"/>
      <c r="AP596" s="37"/>
      <c r="AQ596" s="37"/>
      <c r="AR596" s="37"/>
      <c r="AS596" s="37"/>
      <c r="AT596" s="37"/>
      <c r="AU596" s="37"/>
      <c r="AV596" s="59"/>
      <c r="AW596" s="1" t="str">
        <f>_xlfn.CONCAT(tbl_Ben_Info[[#This Row],[First Name]]," ",tbl_Ben_Info[[#This Row],[Father Name]]," ",tbl_Ben_Info[[#This Row],[Family Name]])</f>
        <v xml:space="preserve">  </v>
      </c>
    </row>
    <row r="597" spans="2:49" ht="25.15" customHeight="1" x14ac:dyDescent="0.25">
      <c r="B597" s="49">
        <v>592</v>
      </c>
      <c r="C597" s="1" t="str">
        <f>_xlfn.CONCAT("181-702-",IF(tbl_Ben_Info[[#This Row],[SN]]&lt;10,"00"&amp;tbl_Ben_Info[[#This Row],[SN]],IF(tbl_Ben_Info[[#This Row],[SN]]&lt;100,"0"&amp;tbl_Ben_Info[[#This Row],[SN]],tbl_Ben_Info[[#This Row],[SN]])))</f>
        <v>181-702-592</v>
      </c>
      <c r="D597" s="37"/>
      <c r="E597" s="40"/>
      <c r="F597" s="41"/>
      <c r="G597" s="42"/>
      <c r="H597" s="43"/>
      <c r="I597" s="73"/>
      <c r="J597" s="43"/>
      <c r="K597" s="43"/>
      <c r="L597" s="43"/>
      <c r="M597" s="43"/>
      <c r="N597" s="111"/>
      <c r="O597" s="43"/>
      <c r="P597" s="48"/>
      <c r="Q597" s="49"/>
      <c r="R597" s="37"/>
      <c r="S597" s="37"/>
      <c r="T597" s="37"/>
      <c r="U597" s="37"/>
      <c r="V597" s="59"/>
      <c r="W597" s="49"/>
      <c r="X597" s="37"/>
      <c r="Y597" s="37"/>
      <c r="Z597" s="37"/>
      <c r="AA597" s="37"/>
      <c r="AB597" s="37"/>
      <c r="AC597" s="37"/>
      <c r="AD597" s="37"/>
      <c r="AE597" s="37"/>
      <c r="AF597" s="37"/>
      <c r="AG597" s="59"/>
      <c r="AH597" s="49"/>
      <c r="AI597" s="37"/>
      <c r="AJ597" s="37"/>
      <c r="AK597" s="37"/>
      <c r="AL597" s="37"/>
      <c r="AM597" s="37"/>
      <c r="AN597" s="37"/>
      <c r="AO597" s="37"/>
      <c r="AP597" s="37"/>
      <c r="AQ597" s="37"/>
      <c r="AR597" s="37"/>
      <c r="AS597" s="37"/>
      <c r="AT597" s="37"/>
      <c r="AU597" s="37"/>
      <c r="AV597" s="59"/>
      <c r="AW597" s="1" t="str">
        <f>_xlfn.CONCAT(tbl_Ben_Info[[#This Row],[First Name]]," ",tbl_Ben_Info[[#This Row],[Father Name]]," ",tbl_Ben_Info[[#This Row],[Family Name]])</f>
        <v xml:space="preserve">  </v>
      </c>
    </row>
    <row r="598" spans="2:49" ht="25.15" customHeight="1" x14ac:dyDescent="0.25">
      <c r="B598" s="49">
        <v>593</v>
      </c>
      <c r="C598" s="1" t="str">
        <f>_xlfn.CONCAT("181-702-",IF(tbl_Ben_Info[[#This Row],[SN]]&lt;10,"00"&amp;tbl_Ben_Info[[#This Row],[SN]],IF(tbl_Ben_Info[[#This Row],[SN]]&lt;100,"0"&amp;tbl_Ben_Info[[#This Row],[SN]],tbl_Ben_Info[[#This Row],[SN]])))</f>
        <v>181-702-593</v>
      </c>
      <c r="D598" s="37"/>
      <c r="E598" s="40"/>
      <c r="F598" s="41"/>
      <c r="G598" s="42"/>
      <c r="H598" s="43"/>
      <c r="I598" s="73"/>
      <c r="J598" s="43"/>
      <c r="K598" s="43"/>
      <c r="L598" s="43"/>
      <c r="M598" s="43"/>
      <c r="N598" s="111"/>
      <c r="O598" s="43"/>
      <c r="P598" s="48"/>
      <c r="Q598" s="49"/>
      <c r="R598" s="37"/>
      <c r="S598" s="37"/>
      <c r="T598" s="37"/>
      <c r="U598" s="37"/>
      <c r="V598" s="59"/>
      <c r="W598" s="49"/>
      <c r="X598" s="37"/>
      <c r="Y598" s="37"/>
      <c r="Z598" s="37"/>
      <c r="AA598" s="37"/>
      <c r="AB598" s="37"/>
      <c r="AC598" s="37"/>
      <c r="AD598" s="37"/>
      <c r="AE598" s="37"/>
      <c r="AF598" s="37"/>
      <c r="AG598" s="59"/>
      <c r="AH598" s="49"/>
      <c r="AI598" s="37"/>
      <c r="AJ598" s="37"/>
      <c r="AK598" s="37"/>
      <c r="AL598" s="37"/>
      <c r="AM598" s="37"/>
      <c r="AN598" s="37"/>
      <c r="AO598" s="37"/>
      <c r="AP598" s="37"/>
      <c r="AQ598" s="37"/>
      <c r="AR598" s="37"/>
      <c r="AS598" s="37"/>
      <c r="AT598" s="37"/>
      <c r="AU598" s="37"/>
      <c r="AV598" s="59"/>
      <c r="AW598" s="1" t="str">
        <f>_xlfn.CONCAT(tbl_Ben_Info[[#This Row],[First Name]]," ",tbl_Ben_Info[[#This Row],[Father Name]]," ",tbl_Ben_Info[[#This Row],[Family Name]])</f>
        <v xml:space="preserve">  </v>
      </c>
    </row>
    <row r="599" spans="2:49" ht="25.15" customHeight="1" x14ac:dyDescent="0.25">
      <c r="B599" s="49">
        <v>594</v>
      </c>
      <c r="C599" s="1" t="str">
        <f>_xlfn.CONCAT("181-702-",IF(tbl_Ben_Info[[#This Row],[SN]]&lt;10,"00"&amp;tbl_Ben_Info[[#This Row],[SN]],IF(tbl_Ben_Info[[#This Row],[SN]]&lt;100,"0"&amp;tbl_Ben_Info[[#This Row],[SN]],tbl_Ben_Info[[#This Row],[SN]])))</f>
        <v>181-702-594</v>
      </c>
      <c r="D599" s="37"/>
      <c r="E599" s="40"/>
      <c r="F599" s="41"/>
      <c r="G599" s="42"/>
      <c r="H599" s="43"/>
      <c r="I599" s="73"/>
      <c r="J599" s="43"/>
      <c r="K599" s="43"/>
      <c r="L599" s="43"/>
      <c r="M599" s="43"/>
      <c r="N599" s="111"/>
      <c r="O599" s="43"/>
      <c r="P599" s="48"/>
      <c r="Q599" s="49"/>
      <c r="R599" s="37"/>
      <c r="S599" s="37"/>
      <c r="T599" s="37"/>
      <c r="U599" s="37"/>
      <c r="V599" s="59"/>
      <c r="W599" s="49"/>
      <c r="X599" s="37"/>
      <c r="Y599" s="37"/>
      <c r="Z599" s="37"/>
      <c r="AA599" s="37"/>
      <c r="AB599" s="37"/>
      <c r="AC599" s="37"/>
      <c r="AD599" s="37"/>
      <c r="AE599" s="37"/>
      <c r="AF599" s="37"/>
      <c r="AG599" s="59"/>
      <c r="AH599" s="49"/>
      <c r="AI599" s="37"/>
      <c r="AJ599" s="37"/>
      <c r="AK599" s="37"/>
      <c r="AL599" s="37"/>
      <c r="AM599" s="37"/>
      <c r="AN599" s="37"/>
      <c r="AO599" s="37"/>
      <c r="AP599" s="37"/>
      <c r="AQ599" s="37"/>
      <c r="AR599" s="37"/>
      <c r="AS599" s="37"/>
      <c r="AT599" s="37"/>
      <c r="AU599" s="37"/>
      <c r="AV599" s="59"/>
      <c r="AW599" s="1" t="str">
        <f>_xlfn.CONCAT(tbl_Ben_Info[[#This Row],[First Name]]," ",tbl_Ben_Info[[#This Row],[Father Name]]," ",tbl_Ben_Info[[#This Row],[Family Name]])</f>
        <v xml:space="preserve">  </v>
      </c>
    </row>
    <row r="600" spans="2:49" ht="25.15" customHeight="1" x14ac:dyDescent="0.25">
      <c r="B600" s="49">
        <v>595</v>
      </c>
      <c r="C600" s="1" t="str">
        <f>_xlfn.CONCAT("181-702-",IF(tbl_Ben_Info[[#This Row],[SN]]&lt;10,"00"&amp;tbl_Ben_Info[[#This Row],[SN]],IF(tbl_Ben_Info[[#This Row],[SN]]&lt;100,"0"&amp;tbl_Ben_Info[[#This Row],[SN]],tbl_Ben_Info[[#This Row],[SN]])))</f>
        <v>181-702-595</v>
      </c>
      <c r="D600" s="37"/>
      <c r="E600" s="40"/>
      <c r="F600" s="41"/>
      <c r="G600" s="42"/>
      <c r="H600" s="43"/>
      <c r="I600" s="73"/>
      <c r="J600" s="43"/>
      <c r="K600" s="43"/>
      <c r="L600" s="43"/>
      <c r="M600" s="43"/>
      <c r="N600" s="111"/>
      <c r="O600" s="43"/>
      <c r="P600" s="48"/>
      <c r="Q600" s="49"/>
      <c r="R600" s="37"/>
      <c r="S600" s="37"/>
      <c r="T600" s="37"/>
      <c r="U600" s="37"/>
      <c r="V600" s="59"/>
      <c r="W600" s="49"/>
      <c r="X600" s="37"/>
      <c r="Y600" s="37"/>
      <c r="Z600" s="37"/>
      <c r="AA600" s="37"/>
      <c r="AB600" s="37"/>
      <c r="AC600" s="37"/>
      <c r="AD600" s="37"/>
      <c r="AE600" s="37"/>
      <c r="AF600" s="37"/>
      <c r="AG600" s="59"/>
      <c r="AH600" s="49"/>
      <c r="AI600" s="37"/>
      <c r="AJ600" s="37"/>
      <c r="AK600" s="37"/>
      <c r="AL600" s="37"/>
      <c r="AM600" s="37"/>
      <c r="AN600" s="37"/>
      <c r="AO600" s="37"/>
      <c r="AP600" s="37"/>
      <c r="AQ600" s="37"/>
      <c r="AR600" s="37"/>
      <c r="AS600" s="37"/>
      <c r="AT600" s="37"/>
      <c r="AU600" s="37"/>
      <c r="AV600" s="59"/>
      <c r="AW600" s="1" t="str">
        <f>_xlfn.CONCAT(tbl_Ben_Info[[#This Row],[First Name]]," ",tbl_Ben_Info[[#This Row],[Father Name]]," ",tbl_Ben_Info[[#This Row],[Family Name]])</f>
        <v xml:space="preserve">  </v>
      </c>
    </row>
    <row r="601" spans="2:49" ht="25.15" customHeight="1" x14ac:dyDescent="0.25">
      <c r="B601" s="49">
        <v>596</v>
      </c>
      <c r="C601" s="1" t="str">
        <f>_xlfn.CONCAT("181-702-",IF(tbl_Ben_Info[[#This Row],[SN]]&lt;10,"00"&amp;tbl_Ben_Info[[#This Row],[SN]],IF(tbl_Ben_Info[[#This Row],[SN]]&lt;100,"0"&amp;tbl_Ben_Info[[#This Row],[SN]],tbl_Ben_Info[[#This Row],[SN]])))</f>
        <v>181-702-596</v>
      </c>
      <c r="D601" s="37"/>
      <c r="E601" s="40"/>
      <c r="F601" s="41"/>
      <c r="G601" s="42"/>
      <c r="H601" s="43"/>
      <c r="I601" s="73"/>
      <c r="J601" s="43"/>
      <c r="K601" s="43"/>
      <c r="L601" s="43"/>
      <c r="M601" s="43"/>
      <c r="N601" s="111"/>
      <c r="O601" s="43"/>
      <c r="P601" s="48"/>
      <c r="Q601" s="49"/>
      <c r="R601" s="37"/>
      <c r="S601" s="37"/>
      <c r="T601" s="37"/>
      <c r="U601" s="37"/>
      <c r="V601" s="59"/>
      <c r="W601" s="49"/>
      <c r="X601" s="37"/>
      <c r="Y601" s="37"/>
      <c r="Z601" s="37"/>
      <c r="AA601" s="37"/>
      <c r="AB601" s="37"/>
      <c r="AC601" s="37"/>
      <c r="AD601" s="37"/>
      <c r="AE601" s="37"/>
      <c r="AF601" s="37"/>
      <c r="AG601" s="59"/>
      <c r="AH601" s="49"/>
      <c r="AI601" s="37"/>
      <c r="AJ601" s="37"/>
      <c r="AK601" s="37"/>
      <c r="AL601" s="37"/>
      <c r="AM601" s="37"/>
      <c r="AN601" s="37"/>
      <c r="AO601" s="37"/>
      <c r="AP601" s="37"/>
      <c r="AQ601" s="37"/>
      <c r="AR601" s="37"/>
      <c r="AS601" s="37"/>
      <c r="AT601" s="37"/>
      <c r="AU601" s="37"/>
      <c r="AV601" s="59"/>
      <c r="AW601" s="1" t="str">
        <f>_xlfn.CONCAT(tbl_Ben_Info[[#This Row],[First Name]]," ",tbl_Ben_Info[[#This Row],[Father Name]]," ",tbl_Ben_Info[[#This Row],[Family Name]])</f>
        <v xml:space="preserve">  </v>
      </c>
    </row>
    <row r="602" spans="2:49" ht="25.15" customHeight="1" x14ac:dyDescent="0.25">
      <c r="B602" s="49">
        <v>597</v>
      </c>
      <c r="C602" s="1" t="str">
        <f>_xlfn.CONCAT("181-702-",IF(tbl_Ben_Info[[#This Row],[SN]]&lt;10,"00"&amp;tbl_Ben_Info[[#This Row],[SN]],IF(tbl_Ben_Info[[#This Row],[SN]]&lt;100,"0"&amp;tbl_Ben_Info[[#This Row],[SN]],tbl_Ben_Info[[#This Row],[SN]])))</f>
        <v>181-702-597</v>
      </c>
      <c r="D602" s="37"/>
      <c r="E602" s="40"/>
      <c r="F602" s="41"/>
      <c r="G602" s="42"/>
      <c r="H602" s="43"/>
      <c r="I602" s="73"/>
      <c r="J602" s="43"/>
      <c r="K602" s="43"/>
      <c r="L602" s="43"/>
      <c r="M602" s="43"/>
      <c r="N602" s="111"/>
      <c r="O602" s="43"/>
      <c r="P602" s="48"/>
      <c r="Q602" s="49"/>
      <c r="R602" s="37"/>
      <c r="S602" s="37"/>
      <c r="T602" s="37"/>
      <c r="U602" s="37"/>
      <c r="V602" s="59"/>
      <c r="W602" s="49"/>
      <c r="X602" s="37"/>
      <c r="Y602" s="37"/>
      <c r="Z602" s="37"/>
      <c r="AA602" s="37"/>
      <c r="AB602" s="37"/>
      <c r="AC602" s="37"/>
      <c r="AD602" s="37"/>
      <c r="AE602" s="37"/>
      <c r="AF602" s="37"/>
      <c r="AG602" s="59"/>
      <c r="AH602" s="49"/>
      <c r="AI602" s="37"/>
      <c r="AJ602" s="37"/>
      <c r="AK602" s="37"/>
      <c r="AL602" s="37"/>
      <c r="AM602" s="37"/>
      <c r="AN602" s="37"/>
      <c r="AO602" s="37"/>
      <c r="AP602" s="37"/>
      <c r="AQ602" s="37"/>
      <c r="AR602" s="37"/>
      <c r="AS602" s="37"/>
      <c r="AT602" s="37"/>
      <c r="AU602" s="37"/>
      <c r="AV602" s="59"/>
      <c r="AW602" s="1" t="str">
        <f>_xlfn.CONCAT(tbl_Ben_Info[[#This Row],[First Name]]," ",tbl_Ben_Info[[#This Row],[Father Name]]," ",tbl_Ben_Info[[#This Row],[Family Name]])</f>
        <v xml:space="preserve">  </v>
      </c>
    </row>
    <row r="603" spans="2:49" ht="25.15" customHeight="1" x14ac:dyDescent="0.25">
      <c r="B603" s="49">
        <v>598</v>
      </c>
      <c r="C603" s="1" t="str">
        <f>_xlfn.CONCAT("181-702-",IF(tbl_Ben_Info[[#This Row],[SN]]&lt;10,"00"&amp;tbl_Ben_Info[[#This Row],[SN]],IF(tbl_Ben_Info[[#This Row],[SN]]&lt;100,"0"&amp;tbl_Ben_Info[[#This Row],[SN]],tbl_Ben_Info[[#This Row],[SN]])))</f>
        <v>181-702-598</v>
      </c>
      <c r="D603" s="37"/>
      <c r="E603" s="40"/>
      <c r="F603" s="41"/>
      <c r="G603" s="42"/>
      <c r="H603" s="43"/>
      <c r="I603" s="73"/>
      <c r="J603" s="43"/>
      <c r="K603" s="43"/>
      <c r="L603" s="43"/>
      <c r="M603" s="43"/>
      <c r="N603" s="111"/>
      <c r="O603" s="43"/>
      <c r="P603" s="48"/>
      <c r="Q603" s="49"/>
      <c r="R603" s="37"/>
      <c r="S603" s="37"/>
      <c r="T603" s="37"/>
      <c r="U603" s="37"/>
      <c r="V603" s="59"/>
      <c r="W603" s="49"/>
      <c r="X603" s="37"/>
      <c r="Y603" s="37"/>
      <c r="Z603" s="37"/>
      <c r="AA603" s="37"/>
      <c r="AB603" s="37"/>
      <c r="AC603" s="37"/>
      <c r="AD603" s="37"/>
      <c r="AE603" s="37"/>
      <c r="AF603" s="37"/>
      <c r="AG603" s="59"/>
      <c r="AH603" s="49"/>
      <c r="AI603" s="37"/>
      <c r="AJ603" s="37"/>
      <c r="AK603" s="37"/>
      <c r="AL603" s="37"/>
      <c r="AM603" s="37"/>
      <c r="AN603" s="37"/>
      <c r="AO603" s="37"/>
      <c r="AP603" s="37"/>
      <c r="AQ603" s="37"/>
      <c r="AR603" s="37"/>
      <c r="AS603" s="37"/>
      <c r="AT603" s="37"/>
      <c r="AU603" s="37"/>
      <c r="AV603" s="59"/>
      <c r="AW603" s="1" t="str">
        <f>_xlfn.CONCAT(tbl_Ben_Info[[#This Row],[First Name]]," ",tbl_Ben_Info[[#This Row],[Father Name]]," ",tbl_Ben_Info[[#This Row],[Family Name]])</f>
        <v xml:space="preserve">  </v>
      </c>
    </row>
    <row r="604" spans="2:49" ht="25.15" customHeight="1" x14ac:dyDescent="0.25">
      <c r="B604" s="49">
        <v>599</v>
      </c>
      <c r="C604" s="1" t="str">
        <f>_xlfn.CONCAT("181-702-",IF(tbl_Ben_Info[[#This Row],[SN]]&lt;10,"00"&amp;tbl_Ben_Info[[#This Row],[SN]],IF(tbl_Ben_Info[[#This Row],[SN]]&lt;100,"0"&amp;tbl_Ben_Info[[#This Row],[SN]],tbl_Ben_Info[[#This Row],[SN]])))</f>
        <v>181-702-599</v>
      </c>
      <c r="D604" s="37"/>
      <c r="E604" s="40"/>
      <c r="F604" s="41"/>
      <c r="G604" s="42"/>
      <c r="H604" s="43"/>
      <c r="I604" s="73"/>
      <c r="J604" s="43"/>
      <c r="K604" s="43"/>
      <c r="L604" s="43"/>
      <c r="M604" s="43"/>
      <c r="N604" s="111"/>
      <c r="O604" s="43"/>
      <c r="P604" s="48"/>
      <c r="Q604" s="49"/>
      <c r="R604" s="37"/>
      <c r="S604" s="37"/>
      <c r="T604" s="37"/>
      <c r="U604" s="37"/>
      <c r="V604" s="59"/>
      <c r="W604" s="49"/>
      <c r="X604" s="37"/>
      <c r="Y604" s="37"/>
      <c r="Z604" s="37"/>
      <c r="AA604" s="37"/>
      <c r="AB604" s="37"/>
      <c r="AC604" s="37"/>
      <c r="AD604" s="37"/>
      <c r="AE604" s="37"/>
      <c r="AF604" s="37"/>
      <c r="AG604" s="59"/>
      <c r="AH604" s="49"/>
      <c r="AI604" s="37"/>
      <c r="AJ604" s="37"/>
      <c r="AK604" s="37"/>
      <c r="AL604" s="37"/>
      <c r="AM604" s="37"/>
      <c r="AN604" s="37"/>
      <c r="AO604" s="37"/>
      <c r="AP604" s="37"/>
      <c r="AQ604" s="37"/>
      <c r="AR604" s="37"/>
      <c r="AS604" s="37"/>
      <c r="AT604" s="37"/>
      <c r="AU604" s="37"/>
      <c r="AV604" s="59"/>
      <c r="AW604" s="1" t="str">
        <f>_xlfn.CONCAT(tbl_Ben_Info[[#This Row],[First Name]]," ",tbl_Ben_Info[[#This Row],[Father Name]]," ",tbl_Ben_Info[[#This Row],[Family Name]])</f>
        <v xml:space="preserve">  </v>
      </c>
    </row>
    <row r="605" spans="2:49" ht="25.15" customHeight="1" x14ac:dyDescent="0.25">
      <c r="B605" s="49">
        <v>600</v>
      </c>
      <c r="C605" s="1" t="str">
        <f>_xlfn.CONCAT("181-702-",IF(tbl_Ben_Info[[#This Row],[SN]]&lt;10,"00"&amp;tbl_Ben_Info[[#This Row],[SN]],IF(tbl_Ben_Info[[#This Row],[SN]]&lt;100,"0"&amp;tbl_Ben_Info[[#This Row],[SN]],tbl_Ben_Info[[#This Row],[SN]])))</f>
        <v>181-702-600</v>
      </c>
      <c r="D605" s="37"/>
      <c r="E605" s="40"/>
      <c r="F605" s="41"/>
      <c r="G605" s="42"/>
      <c r="H605" s="43"/>
      <c r="I605" s="73"/>
      <c r="J605" s="43"/>
      <c r="K605" s="43"/>
      <c r="L605" s="43"/>
      <c r="M605" s="43"/>
      <c r="N605" s="111"/>
      <c r="O605" s="43"/>
      <c r="P605" s="48"/>
      <c r="Q605" s="49"/>
      <c r="R605" s="37"/>
      <c r="S605" s="37"/>
      <c r="T605" s="37"/>
      <c r="U605" s="37"/>
      <c r="V605" s="59"/>
      <c r="W605" s="49"/>
      <c r="X605" s="37"/>
      <c r="Y605" s="37"/>
      <c r="Z605" s="37"/>
      <c r="AA605" s="37"/>
      <c r="AB605" s="37"/>
      <c r="AC605" s="37"/>
      <c r="AD605" s="37"/>
      <c r="AE605" s="37"/>
      <c r="AF605" s="37"/>
      <c r="AG605" s="59"/>
      <c r="AH605" s="49"/>
      <c r="AI605" s="37"/>
      <c r="AJ605" s="37"/>
      <c r="AK605" s="37"/>
      <c r="AL605" s="37"/>
      <c r="AM605" s="37"/>
      <c r="AN605" s="37"/>
      <c r="AO605" s="37"/>
      <c r="AP605" s="37"/>
      <c r="AQ605" s="37"/>
      <c r="AR605" s="37"/>
      <c r="AS605" s="37"/>
      <c r="AT605" s="37"/>
      <c r="AU605" s="37"/>
      <c r="AV605" s="59"/>
      <c r="AW605" s="1" t="str">
        <f>_xlfn.CONCAT(tbl_Ben_Info[[#This Row],[First Name]]," ",tbl_Ben_Info[[#This Row],[Father Name]]," ",tbl_Ben_Info[[#This Row],[Family Name]])</f>
        <v xml:space="preserve">  </v>
      </c>
    </row>
    <row r="606" spans="2:49" ht="25.15" customHeight="1" x14ac:dyDescent="0.25">
      <c r="B606" s="49">
        <v>601</v>
      </c>
      <c r="C606" s="1" t="str">
        <f>_xlfn.CONCAT("181-702-",IF(tbl_Ben_Info[[#This Row],[SN]]&lt;10,"00"&amp;tbl_Ben_Info[[#This Row],[SN]],IF(tbl_Ben_Info[[#This Row],[SN]]&lt;100,"0"&amp;tbl_Ben_Info[[#This Row],[SN]],tbl_Ben_Info[[#This Row],[SN]])))</f>
        <v>181-702-601</v>
      </c>
      <c r="D606" s="37"/>
      <c r="E606" s="40"/>
      <c r="F606" s="41"/>
      <c r="G606" s="42"/>
      <c r="H606" s="43"/>
      <c r="I606" s="73"/>
      <c r="J606" s="43"/>
      <c r="K606" s="43"/>
      <c r="L606" s="43"/>
      <c r="M606" s="43"/>
      <c r="N606" s="111"/>
      <c r="O606" s="43"/>
      <c r="P606" s="48"/>
      <c r="Q606" s="49"/>
      <c r="R606" s="37"/>
      <c r="S606" s="37"/>
      <c r="T606" s="37"/>
      <c r="U606" s="37"/>
      <c r="V606" s="59"/>
      <c r="W606" s="49"/>
      <c r="X606" s="37"/>
      <c r="Y606" s="37"/>
      <c r="Z606" s="37"/>
      <c r="AA606" s="37"/>
      <c r="AB606" s="37"/>
      <c r="AC606" s="37"/>
      <c r="AD606" s="37"/>
      <c r="AE606" s="37"/>
      <c r="AF606" s="37"/>
      <c r="AG606" s="59"/>
      <c r="AH606" s="49"/>
      <c r="AI606" s="37"/>
      <c r="AJ606" s="37"/>
      <c r="AK606" s="37"/>
      <c r="AL606" s="37"/>
      <c r="AM606" s="37"/>
      <c r="AN606" s="37"/>
      <c r="AO606" s="37"/>
      <c r="AP606" s="37"/>
      <c r="AQ606" s="37"/>
      <c r="AR606" s="37"/>
      <c r="AS606" s="37"/>
      <c r="AT606" s="37"/>
      <c r="AU606" s="37"/>
      <c r="AV606" s="59"/>
      <c r="AW606" s="1" t="str">
        <f>_xlfn.CONCAT(tbl_Ben_Info[[#This Row],[First Name]]," ",tbl_Ben_Info[[#This Row],[Father Name]]," ",tbl_Ben_Info[[#This Row],[Family Name]])</f>
        <v xml:space="preserve">  </v>
      </c>
    </row>
    <row r="607" spans="2:49" ht="25.15" customHeight="1" x14ac:dyDescent="0.25">
      <c r="B607" s="49">
        <v>602</v>
      </c>
      <c r="C607" s="1" t="str">
        <f>_xlfn.CONCAT("181-702-",IF(tbl_Ben_Info[[#This Row],[SN]]&lt;10,"00"&amp;tbl_Ben_Info[[#This Row],[SN]],IF(tbl_Ben_Info[[#This Row],[SN]]&lt;100,"0"&amp;tbl_Ben_Info[[#This Row],[SN]],tbl_Ben_Info[[#This Row],[SN]])))</f>
        <v>181-702-602</v>
      </c>
      <c r="D607" s="37"/>
      <c r="E607" s="40"/>
      <c r="F607" s="41"/>
      <c r="G607" s="42"/>
      <c r="H607" s="43"/>
      <c r="I607" s="73"/>
      <c r="J607" s="43"/>
      <c r="K607" s="43"/>
      <c r="L607" s="43"/>
      <c r="M607" s="43"/>
      <c r="N607" s="111"/>
      <c r="O607" s="43"/>
      <c r="P607" s="48"/>
      <c r="Q607" s="49"/>
      <c r="R607" s="37"/>
      <c r="S607" s="37"/>
      <c r="T607" s="37"/>
      <c r="U607" s="37"/>
      <c r="V607" s="59"/>
      <c r="W607" s="49"/>
      <c r="X607" s="37"/>
      <c r="Y607" s="37"/>
      <c r="Z607" s="37"/>
      <c r="AA607" s="37"/>
      <c r="AB607" s="37"/>
      <c r="AC607" s="37"/>
      <c r="AD607" s="37"/>
      <c r="AE607" s="37"/>
      <c r="AF607" s="37"/>
      <c r="AG607" s="59"/>
      <c r="AH607" s="49"/>
      <c r="AI607" s="37"/>
      <c r="AJ607" s="37"/>
      <c r="AK607" s="37"/>
      <c r="AL607" s="37"/>
      <c r="AM607" s="37"/>
      <c r="AN607" s="37"/>
      <c r="AO607" s="37"/>
      <c r="AP607" s="37"/>
      <c r="AQ607" s="37"/>
      <c r="AR607" s="37"/>
      <c r="AS607" s="37"/>
      <c r="AT607" s="37"/>
      <c r="AU607" s="37"/>
      <c r="AV607" s="59"/>
      <c r="AW607" s="1" t="str">
        <f>_xlfn.CONCAT(tbl_Ben_Info[[#This Row],[First Name]]," ",tbl_Ben_Info[[#This Row],[Father Name]]," ",tbl_Ben_Info[[#This Row],[Family Name]])</f>
        <v xml:space="preserve">  </v>
      </c>
    </row>
    <row r="608" spans="2:49" ht="25.15" customHeight="1" x14ac:dyDescent="0.25">
      <c r="B608" s="49">
        <v>603</v>
      </c>
      <c r="C608" s="1" t="str">
        <f>_xlfn.CONCAT("181-702-",IF(tbl_Ben_Info[[#This Row],[SN]]&lt;10,"00"&amp;tbl_Ben_Info[[#This Row],[SN]],IF(tbl_Ben_Info[[#This Row],[SN]]&lt;100,"0"&amp;tbl_Ben_Info[[#This Row],[SN]],tbl_Ben_Info[[#This Row],[SN]])))</f>
        <v>181-702-603</v>
      </c>
      <c r="D608" s="37"/>
      <c r="E608" s="40"/>
      <c r="F608" s="41"/>
      <c r="G608" s="42"/>
      <c r="H608" s="43"/>
      <c r="I608" s="73"/>
      <c r="J608" s="43"/>
      <c r="K608" s="43"/>
      <c r="L608" s="43"/>
      <c r="M608" s="43"/>
      <c r="N608" s="111"/>
      <c r="O608" s="43"/>
      <c r="P608" s="48"/>
      <c r="Q608" s="49"/>
      <c r="R608" s="37"/>
      <c r="S608" s="37"/>
      <c r="T608" s="37"/>
      <c r="U608" s="37"/>
      <c r="V608" s="59"/>
      <c r="W608" s="49"/>
      <c r="X608" s="37"/>
      <c r="Y608" s="37"/>
      <c r="Z608" s="37"/>
      <c r="AA608" s="37"/>
      <c r="AB608" s="37"/>
      <c r="AC608" s="37"/>
      <c r="AD608" s="37"/>
      <c r="AE608" s="37"/>
      <c r="AF608" s="37"/>
      <c r="AG608" s="59"/>
      <c r="AH608" s="49"/>
      <c r="AI608" s="37"/>
      <c r="AJ608" s="37"/>
      <c r="AK608" s="37"/>
      <c r="AL608" s="37"/>
      <c r="AM608" s="37"/>
      <c r="AN608" s="37"/>
      <c r="AO608" s="37"/>
      <c r="AP608" s="37"/>
      <c r="AQ608" s="37"/>
      <c r="AR608" s="37"/>
      <c r="AS608" s="37"/>
      <c r="AT608" s="37"/>
      <c r="AU608" s="37"/>
      <c r="AV608" s="59"/>
      <c r="AW608" s="1" t="str">
        <f>_xlfn.CONCAT(tbl_Ben_Info[[#This Row],[First Name]]," ",tbl_Ben_Info[[#This Row],[Father Name]]," ",tbl_Ben_Info[[#This Row],[Family Name]])</f>
        <v xml:space="preserve">  </v>
      </c>
    </row>
    <row r="609" spans="2:49" ht="25.15" customHeight="1" x14ac:dyDescent="0.25">
      <c r="B609" s="49">
        <v>604</v>
      </c>
      <c r="C609" s="1" t="str">
        <f>_xlfn.CONCAT("181-702-",IF(tbl_Ben_Info[[#This Row],[SN]]&lt;10,"00"&amp;tbl_Ben_Info[[#This Row],[SN]],IF(tbl_Ben_Info[[#This Row],[SN]]&lt;100,"0"&amp;tbl_Ben_Info[[#This Row],[SN]],tbl_Ben_Info[[#This Row],[SN]])))</f>
        <v>181-702-604</v>
      </c>
      <c r="D609" s="37"/>
      <c r="E609" s="40"/>
      <c r="F609" s="41"/>
      <c r="G609" s="42"/>
      <c r="H609" s="43"/>
      <c r="I609" s="73"/>
      <c r="J609" s="43"/>
      <c r="K609" s="43"/>
      <c r="L609" s="43"/>
      <c r="M609" s="43"/>
      <c r="N609" s="111"/>
      <c r="O609" s="43"/>
      <c r="P609" s="48"/>
      <c r="Q609" s="49"/>
      <c r="R609" s="37"/>
      <c r="S609" s="37"/>
      <c r="T609" s="37"/>
      <c r="U609" s="37"/>
      <c r="V609" s="59"/>
      <c r="W609" s="49"/>
      <c r="X609" s="37"/>
      <c r="Y609" s="37"/>
      <c r="Z609" s="37"/>
      <c r="AA609" s="37"/>
      <c r="AB609" s="37"/>
      <c r="AC609" s="37"/>
      <c r="AD609" s="37"/>
      <c r="AE609" s="37"/>
      <c r="AF609" s="37"/>
      <c r="AG609" s="59"/>
      <c r="AH609" s="49"/>
      <c r="AI609" s="37"/>
      <c r="AJ609" s="37"/>
      <c r="AK609" s="37"/>
      <c r="AL609" s="37"/>
      <c r="AM609" s="37"/>
      <c r="AN609" s="37"/>
      <c r="AO609" s="37"/>
      <c r="AP609" s="37"/>
      <c r="AQ609" s="37"/>
      <c r="AR609" s="37"/>
      <c r="AS609" s="37"/>
      <c r="AT609" s="37"/>
      <c r="AU609" s="37"/>
      <c r="AV609" s="59"/>
      <c r="AW609" s="1" t="str">
        <f>_xlfn.CONCAT(tbl_Ben_Info[[#This Row],[First Name]]," ",tbl_Ben_Info[[#This Row],[Father Name]]," ",tbl_Ben_Info[[#This Row],[Family Name]])</f>
        <v xml:space="preserve">  </v>
      </c>
    </row>
    <row r="610" spans="2:49" ht="25.15" customHeight="1" x14ac:dyDescent="0.25">
      <c r="B610" s="49">
        <v>605</v>
      </c>
      <c r="C610" s="1" t="str">
        <f>_xlfn.CONCAT("181-702-",IF(tbl_Ben_Info[[#This Row],[SN]]&lt;10,"00"&amp;tbl_Ben_Info[[#This Row],[SN]],IF(tbl_Ben_Info[[#This Row],[SN]]&lt;100,"0"&amp;tbl_Ben_Info[[#This Row],[SN]],tbl_Ben_Info[[#This Row],[SN]])))</f>
        <v>181-702-605</v>
      </c>
      <c r="D610" s="37"/>
      <c r="E610" s="40"/>
      <c r="F610" s="41"/>
      <c r="G610" s="42"/>
      <c r="H610" s="43"/>
      <c r="I610" s="73"/>
      <c r="J610" s="43"/>
      <c r="K610" s="43"/>
      <c r="L610" s="43"/>
      <c r="M610" s="43"/>
      <c r="N610" s="111"/>
      <c r="O610" s="43"/>
      <c r="P610" s="48"/>
      <c r="Q610" s="49"/>
      <c r="R610" s="37"/>
      <c r="S610" s="37"/>
      <c r="T610" s="37"/>
      <c r="U610" s="37"/>
      <c r="V610" s="59"/>
      <c r="W610" s="49"/>
      <c r="X610" s="37"/>
      <c r="Y610" s="37"/>
      <c r="Z610" s="37"/>
      <c r="AA610" s="37"/>
      <c r="AB610" s="37"/>
      <c r="AC610" s="37"/>
      <c r="AD610" s="37"/>
      <c r="AE610" s="37"/>
      <c r="AF610" s="37"/>
      <c r="AG610" s="59"/>
      <c r="AH610" s="49"/>
      <c r="AI610" s="37"/>
      <c r="AJ610" s="37"/>
      <c r="AK610" s="37"/>
      <c r="AL610" s="37"/>
      <c r="AM610" s="37"/>
      <c r="AN610" s="37"/>
      <c r="AO610" s="37"/>
      <c r="AP610" s="37"/>
      <c r="AQ610" s="37"/>
      <c r="AR610" s="37"/>
      <c r="AS610" s="37"/>
      <c r="AT610" s="37"/>
      <c r="AU610" s="37"/>
      <c r="AV610" s="59"/>
      <c r="AW610" s="1" t="str">
        <f>_xlfn.CONCAT(tbl_Ben_Info[[#This Row],[First Name]]," ",tbl_Ben_Info[[#This Row],[Father Name]]," ",tbl_Ben_Info[[#This Row],[Family Name]])</f>
        <v xml:space="preserve">  </v>
      </c>
    </row>
    <row r="611" spans="2:49" ht="25.15" customHeight="1" x14ac:dyDescent="0.25">
      <c r="B611" s="49">
        <v>606</v>
      </c>
      <c r="C611" s="1" t="str">
        <f>_xlfn.CONCAT("181-702-",IF(tbl_Ben_Info[[#This Row],[SN]]&lt;10,"00"&amp;tbl_Ben_Info[[#This Row],[SN]],IF(tbl_Ben_Info[[#This Row],[SN]]&lt;100,"0"&amp;tbl_Ben_Info[[#This Row],[SN]],tbl_Ben_Info[[#This Row],[SN]])))</f>
        <v>181-702-606</v>
      </c>
      <c r="D611" s="37"/>
      <c r="E611" s="40"/>
      <c r="F611" s="41"/>
      <c r="G611" s="42"/>
      <c r="H611" s="43"/>
      <c r="I611" s="73"/>
      <c r="J611" s="43"/>
      <c r="K611" s="43"/>
      <c r="L611" s="43"/>
      <c r="M611" s="43"/>
      <c r="N611" s="111"/>
      <c r="O611" s="43"/>
      <c r="P611" s="48"/>
      <c r="Q611" s="49"/>
      <c r="R611" s="37"/>
      <c r="S611" s="37"/>
      <c r="T611" s="37"/>
      <c r="U611" s="37"/>
      <c r="V611" s="59"/>
      <c r="W611" s="49"/>
      <c r="X611" s="37"/>
      <c r="Y611" s="37"/>
      <c r="Z611" s="37"/>
      <c r="AA611" s="37"/>
      <c r="AB611" s="37"/>
      <c r="AC611" s="37"/>
      <c r="AD611" s="37"/>
      <c r="AE611" s="37"/>
      <c r="AF611" s="37"/>
      <c r="AG611" s="59"/>
      <c r="AH611" s="49"/>
      <c r="AI611" s="37"/>
      <c r="AJ611" s="37"/>
      <c r="AK611" s="37"/>
      <c r="AL611" s="37"/>
      <c r="AM611" s="37"/>
      <c r="AN611" s="37"/>
      <c r="AO611" s="37"/>
      <c r="AP611" s="37"/>
      <c r="AQ611" s="37"/>
      <c r="AR611" s="37"/>
      <c r="AS611" s="37"/>
      <c r="AT611" s="37"/>
      <c r="AU611" s="37"/>
      <c r="AV611" s="59"/>
      <c r="AW611" s="1" t="str">
        <f>_xlfn.CONCAT(tbl_Ben_Info[[#This Row],[First Name]]," ",tbl_Ben_Info[[#This Row],[Father Name]]," ",tbl_Ben_Info[[#This Row],[Family Name]])</f>
        <v xml:space="preserve">  </v>
      </c>
    </row>
    <row r="612" spans="2:49" ht="25.15" customHeight="1" x14ac:dyDescent="0.25">
      <c r="B612" s="49">
        <v>607</v>
      </c>
      <c r="C612" s="1" t="str">
        <f>_xlfn.CONCAT("181-702-",IF(tbl_Ben_Info[[#This Row],[SN]]&lt;10,"00"&amp;tbl_Ben_Info[[#This Row],[SN]],IF(tbl_Ben_Info[[#This Row],[SN]]&lt;100,"0"&amp;tbl_Ben_Info[[#This Row],[SN]],tbl_Ben_Info[[#This Row],[SN]])))</f>
        <v>181-702-607</v>
      </c>
      <c r="D612" s="37"/>
      <c r="E612" s="40"/>
      <c r="F612" s="41"/>
      <c r="G612" s="42"/>
      <c r="H612" s="43"/>
      <c r="I612" s="73"/>
      <c r="J612" s="43"/>
      <c r="K612" s="43"/>
      <c r="L612" s="43"/>
      <c r="M612" s="43"/>
      <c r="N612" s="111"/>
      <c r="O612" s="43"/>
      <c r="P612" s="48"/>
      <c r="Q612" s="49"/>
      <c r="R612" s="37"/>
      <c r="S612" s="37"/>
      <c r="T612" s="37"/>
      <c r="U612" s="37"/>
      <c r="V612" s="59"/>
      <c r="W612" s="49"/>
      <c r="X612" s="37"/>
      <c r="Y612" s="37"/>
      <c r="Z612" s="37"/>
      <c r="AA612" s="37"/>
      <c r="AB612" s="37"/>
      <c r="AC612" s="37"/>
      <c r="AD612" s="37"/>
      <c r="AE612" s="37"/>
      <c r="AF612" s="37"/>
      <c r="AG612" s="59"/>
      <c r="AH612" s="49"/>
      <c r="AI612" s="37"/>
      <c r="AJ612" s="37"/>
      <c r="AK612" s="37"/>
      <c r="AL612" s="37"/>
      <c r="AM612" s="37"/>
      <c r="AN612" s="37"/>
      <c r="AO612" s="37"/>
      <c r="AP612" s="37"/>
      <c r="AQ612" s="37"/>
      <c r="AR612" s="37"/>
      <c r="AS612" s="37"/>
      <c r="AT612" s="37"/>
      <c r="AU612" s="37"/>
      <c r="AV612" s="59"/>
      <c r="AW612" s="1" t="str">
        <f>_xlfn.CONCAT(tbl_Ben_Info[[#This Row],[First Name]]," ",tbl_Ben_Info[[#This Row],[Father Name]]," ",tbl_Ben_Info[[#This Row],[Family Name]])</f>
        <v xml:space="preserve">  </v>
      </c>
    </row>
    <row r="613" spans="2:49" ht="25.15" customHeight="1" x14ac:dyDescent="0.25">
      <c r="B613" s="49">
        <v>608</v>
      </c>
      <c r="C613" s="1" t="str">
        <f>_xlfn.CONCAT("181-702-",IF(tbl_Ben_Info[[#This Row],[SN]]&lt;10,"00"&amp;tbl_Ben_Info[[#This Row],[SN]],IF(tbl_Ben_Info[[#This Row],[SN]]&lt;100,"0"&amp;tbl_Ben_Info[[#This Row],[SN]],tbl_Ben_Info[[#This Row],[SN]])))</f>
        <v>181-702-608</v>
      </c>
      <c r="D613" s="37"/>
      <c r="E613" s="40"/>
      <c r="F613" s="41"/>
      <c r="G613" s="42"/>
      <c r="H613" s="43"/>
      <c r="I613" s="73"/>
      <c r="J613" s="43"/>
      <c r="K613" s="43"/>
      <c r="L613" s="43"/>
      <c r="M613" s="43"/>
      <c r="N613" s="111"/>
      <c r="O613" s="43"/>
      <c r="P613" s="48"/>
      <c r="Q613" s="49"/>
      <c r="R613" s="37"/>
      <c r="S613" s="37"/>
      <c r="T613" s="37"/>
      <c r="U613" s="37"/>
      <c r="V613" s="59"/>
      <c r="W613" s="49"/>
      <c r="X613" s="37"/>
      <c r="Y613" s="37"/>
      <c r="Z613" s="37"/>
      <c r="AA613" s="37"/>
      <c r="AB613" s="37"/>
      <c r="AC613" s="37"/>
      <c r="AD613" s="37"/>
      <c r="AE613" s="37"/>
      <c r="AF613" s="37"/>
      <c r="AG613" s="59"/>
      <c r="AH613" s="49"/>
      <c r="AI613" s="37"/>
      <c r="AJ613" s="37"/>
      <c r="AK613" s="37"/>
      <c r="AL613" s="37"/>
      <c r="AM613" s="37"/>
      <c r="AN613" s="37"/>
      <c r="AO613" s="37"/>
      <c r="AP613" s="37"/>
      <c r="AQ613" s="37"/>
      <c r="AR613" s="37"/>
      <c r="AS613" s="37"/>
      <c r="AT613" s="37"/>
      <c r="AU613" s="37"/>
      <c r="AV613" s="59"/>
      <c r="AW613" s="1" t="str">
        <f>_xlfn.CONCAT(tbl_Ben_Info[[#This Row],[First Name]]," ",tbl_Ben_Info[[#This Row],[Father Name]]," ",tbl_Ben_Info[[#This Row],[Family Name]])</f>
        <v xml:space="preserve">  </v>
      </c>
    </row>
    <row r="614" spans="2:49" ht="25.15" customHeight="1" x14ac:dyDescent="0.25">
      <c r="B614" s="49">
        <v>609</v>
      </c>
      <c r="C614" s="1" t="str">
        <f>_xlfn.CONCAT("181-702-",IF(tbl_Ben_Info[[#This Row],[SN]]&lt;10,"00"&amp;tbl_Ben_Info[[#This Row],[SN]],IF(tbl_Ben_Info[[#This Row],[SN]]&lt;100,"0"&amp;tbl_Ben_Info[[#This Row],[SN]],tbl_Ben_Info[[#This Row],[SN]])))</f>
        <v>181-702-609</v>
      </c>
      <c r="D614" s="37"/>
      <c r="E614" s="40"/>
      <c r="F614" s="41"/>
      <c r="G614" s="42"/>
      <c r="H614" s="43"/>
      <c r="I614" s="73"/>
      <c r="J614" s="43"/>
      <c r="K614" s="43"/>
      <c r="L614" s="43"/>
      <c r="M614" s="43"/>
      <c r="N614" s="111"/>
      <c r="O614" s="43"/>
      <c r="P614" s="48"/>
      <c r="Q614" s="49"/>
      <c r="R614" s="37"/>
      <c r="S614" s="37"/>
      <c r="T614" s="37"/>
      <c r="U614" s="37"/>
      <c r="V614" s="59"/>
      <c r="W614" s="49"/>
      <c r="X614" s="37"/>
      <c r="Y614" s="37"/>
      <c r="Z614" s="37"/>
      <c r="AA614" s="37"/>
      <c r="AB614" s="37"/>
      <c r="AC614" s="37"/>
      <c r="AD614" s="37"/>
      <c r="AE614" s="37"/>
      <c r="AF614" s="37"/>
      <c r="AG614" s="59"/>
      <c r="AH614" s="49"/>
      <c r="AI614" s="37"/>
      <c r="AJ614" s="37"/>
      <c r="AK614" s="37"/>
      <c r="AL614" s="37"/>
      <c r="AM614" s="37"/>
      <c r="AN614" s="37"/>
      <c r="AO614" s="37"/>
      <c r="AP614" s="37"/>
      <c r="AQ614" s="37"/>
      <c r="AR614" s="37"/>
      <c r="AS614" s="37"/>
      <c r="AT614" s="37"/>
      <c r="AU614" s="37"/>
      <c r="AV614" s="59"/>
      <c r="AW614" s="1" t="str">
        <f>_xlfn.CONCAT(tbl_Ben_Info[[#This Row],[First Name]]," ",tbl_Ben_Info[[#This Row],[Father Name]]," ",tbl_Ben_Info[[#This Row],[Family Name]])</f>
        <v xml:space="preserve">  </v>
      </c>
    </row>
    <row r="615" spans="2:49" ht="25.15" customHeight="1" x14ac:dyDescent="0.25">
      <c r="B615" s="49">
        <v>610</v>
      </c>
      <c r="C615" s="1" t="str">
        <f>_xlfn.CONCAT("181-702-",IF(tbl_Ben_Info[[#This Row],[SN]]&lt;10,"00"&amp;tbl_Ben_Info[[#This Row],[SN]],IF(tbl_Ben_Info[[#This Row],[SN]]&lt;100,"0"&amp;tbl_Ben_Info[[#This Row],[SN]],tbl_Ben_Info[[#This Row],[SN]])))</f>
        <v>181-702-610</v>
      </c>
      <c r="D615" s="37"/>
      <c r="E615" s="40"/>
      <c r="F615" s="41"/>
      <c r="G615" s="42"/>
      <c r="H615" s="43"/>
      <c r="I615" s="73"/>
      <c r="J615" s="43"/>
      <c r="K615" s="43"/>
      <c r="L615" s="43"/>
      <c r="M615" s="43"/>
      <c r="N615" s="111"/>
      <c r="O615" s="43"/>
      <c r="P615" s="48"/>
      <c r="Q615" s="49"/>
      <c r="R615" s="37"/>
      <c r="S615" s="37"/>
      <c r="T615" s="37"/>
      <c r="U615" s="37"/>
      <c r="V615" s="59"/>
      <c r="W615" s="49"/>
      <c r="X615" s="37"/>
      <c r="Y615" s="37"/>
      <c r="Z615" s="37"/>
      <c r="AA615" s="37"/>
      <c r="AB615" s="37"/>
      <c r="AC615" s="37"/>
      <c r="AD615" s="37"/>
      <c r="AE615" s="37"/>
      <c r="AF615" s="37"/>
      <c r="AG615" s="59"/>
      <c r="AH615" s="49"/>
      <c r="AI615" s="37"/>
      <c r="AJ615" s="37"/>
      <c r="AK615" s="37"/>
      <c r="AL615" s="37"/>
      <c r="AM615" s="37"/>
      <c r="AN615" s="37"/>
      <c r="AO615" s="37"/>
      <c r="AP615" s="37"/>
      <c r="AQ615" s="37"/>
      <c r="AR615" s="37"/>
      <c r="AS615" s="37"/>
      <c r="AT615" s="37"/>
      <c r="AU615" s="37"/>
      <c r="AV615" s="59"/>
      <c r="AW615" s="1" t="str">
        <f>_xlfn.CONCAT(tbl_Ben_Info[[#This Row],[First Name]]," ",tbl_Ben_Info[[#This Row],[Father Name]]," ",tbl_Ben_Info[[#This Row],[Family Name]])</f>
        <v xml:space="preserve">  </v>
      </c>
    </row>
    <row r="616" spans="2:49" ht="25.15" customHeight="1" x14ac:dyDescent="0.25">
      <c r="B616" s="49">
        <v>611</v>
      </c>
      <c r="C616" s="1" t="str">
        <f>_xlfn.CONCAT("181-702-",IF(tbl_Ben_Info[[#This Row],[SN]]&lt;10,"00"&amp;tbl_Ben_Info[[#This Row],[SN]],IF(tbl_Ben_Info[[#This Row],[SN]]&lt;100,"0"&amp;tbl_Ben_Info[[#This Row],[SN]],tbl_Ben_Info[[#This Row],[SN]])))</f>
        <v>181-702-611</v>
      </c>
      <c r="D616" s="37"/>
      <c r="E616" s="40"/>
      <c r="F616" s="41"/>
      <c r="G616" s="42"/>
      <c r="H616" s="43"/>
      <c r="I616" s="73"/>
      <c r="J616" s="43"/>
      <c r="K616" s="43"/>
      <c r="L616" s="43"/>
      <c r="M616" s="43"/>
      <c r="N616" s="111"/>
      <c r="O616" s="43"/>
      <c r="P616" s="48"/>
      <c r="Q616" s="49"/>
      <c r="R616" s="37"/>
      <c r="S616" s="37"/>
      <c r="T616" s="37"/>
      <c r="U616" s="37"/>
      <c r="V616" s="59"/>
      <c r="W616" s="49"/>
      <c r="X616" s="37"/>
      <c r="Y616" s="37"/>
      <c r="Z616" s="37"/>
      <c r="AA616" s="37"/>
      <c r="AB616" s="37"/>
      <c r="AC616" s="37"/>
      <c r="AD616" s="37"/>
      <c r="AE616" s="37"/>
      <c r="AF616" s="37"/>
      <c r="AG616" s="59"/>
      <c r="AH616" s="49"/>
      <c r="AI616" s="37"/>
      <c r="AJ616" s="37"/>
      <c r="AK616" s="37"/>
      <c r="AL616" s="37"/>
      <c r="AM616" s="37"/>
      <c r="AN616" s="37"/>
      <c r="AO616" s="37"/>
      <c r="AP616" s="37"/>
      <c r="AQ616" s="37"/>
      <c r="AR616" s="37"/>
      <c r="AS616" s="37"/>
      <c r="AT616" s="37"/>
      <c r="AU616" s="37"/>
      <c r="AV616" s="59"/>
      <c r="AW616" s="1" t="str">
        <f>_xlfn.CONCAT(tbl_Ben_Info[[#This Row],[First Name]]," ",tbl_Ben_Info[[#This Row],[Father Name]]," ",tbl_Ben_Info[[#This Row],[Family Name]])</f>
        <v xml:space="preserve">  </v>
      </c>
    </row>
    <row r="617" spans="2:49" ht="25.15" customHeight="1" x14ac:dyDescent="0.25">
      <c r="B617" s="49">
        <v>612</v>
      </c>
      <c r="C617" s="1" t="str">
        <f>_xlfn.CONCAT("181-702-",IF(tbl_Ben_Info[[#This Row],[SN]]&lt;10,"00"&amp;tbl_Ben_Info[[#This Row],[SN]],IF(tbl_Ben_Info[[#This Row],[SN]]&lt;100,"0"&amp;tbl_Ben_Info[[#This Row],[SN]],tbl_Ben_Info[[#This Row],[SN]])))</f>
        <v>181-702-612</v>
      </c>
      <c r="D617" s="37"/>
      <c r="E617" s="40"/>
      <c r="F617" s="41"/>
      <c r="G617" s="42"/>
      <c r="H617" s="43"/>
      <c r="I617" s="73"/>
      <c r="J617" s="43"/>
      <c r="K617" s="43"/>
      <c r="L617" s="43"/>
      <c r="M617" s="43"/>
      <c r="N617" s="111"/>
      <c r="O617" s="43"/>
      <c r="P617" s="48"/>
      <c r="Q617" s="49"/>
      <c r="R617" s="37"/>
      <c r="S617" s="37"/>
      <c r="T617" s="37"/>
      <c r="U617" s="37"/>
      <c r="V617" s="59"/>
      <c r="W617" s="49"/>
      <c r="X617" s="37"/>
      <c r="Y617" s="37"/>
      <c r="Z617" s="37"/>
      <c r="AA617" s="37"/>
      <c r="AB617" s="37"/>
      <c r="AC617" s="37"/>
      <c r="AD617" s="37"/>
      <c r="AE617" s="37"/>
      <c r="AF617" s="37"/>
      <c r="AG617" s="59"/>
      <c r="AH617" s="49"/>
      <c r="AI617" s="37"/>
      <c r="AJ617" s="37"/>
      <c r="AK617" s="37"/>
      <c r="AL617" s="37"/>
      <c r="AM617" s="37"/>
      <c r="AN617" s="37"/>
      <c r="AO617" s="37"/>
      <c r="AP617" s="37"/>
      <c r="AQ617" s="37"/>
      <c r="AR617" s="37"/>
      <c r="AS617" s="37"/>
      <c r="AT617" s="37"/>
      <c r="AU617" s="37"/>
      <c r="AV617" s="59"/>
      <c r="AW617" s="1" t="str">
        <f>_xlfn.CONCAT(tbl_Ben_Info[[#This Row],[First Name]]," ",tbl_Ben_Info[[#This Row],[Father Name]]," ",tbl_Ben_Info[[#This Row],[Family Name]])</f>
        <v xml:space="preserve">  </v>
      </c>
    </row>
    <row r="618" spans="2:49" ht="25.15" customHeight="1" x14ac:dyDescent="0.25">
      <c r="B618" s="49">
        <v>613</v>
      </c>
      <c r="C618" s="1" t="str">
        <f>_xlfn.CONCAT("181-702-",IF(tbl_Ben_Info[[#This Row],[SN]]&lt;10,"00"&amp;tbl_Ben_Info[[#This Row],[SN]],IF(tbl_Ben_Info[[#This Row],[SN]]&lt;100,"0"&amp;tbl_Ben_Info[[#This Row],[SN]],tbl_Ben_Info[[#This Row],[SN]])))</f>
        <v>181-702-613</v>
      </c>
      <c r="D618" s="37"/>
      <c r="E618" s="40"/>
      <c r="F618" s="41"/>
      <c r="G618" s="42"/>
      <c r="H618" s="43"/>
      <c r="I618" s="73"/>
      <c r="J618" s="43"/>
      <c r="K618" s="43"/>
      <c r="L618" s="43"/>
      <c r="M618" s="43"/>
      <c r="N618" s="111"/>
      <c r="O618" s="43"/>
      <c r="P618" s="48"/>
      <c r="Q618" s="49"/>
      <c r="R618" s="37"/>
      <c r="S618" s="37"/>
      <c r="T618" s="37"/>
      <c r="U618" s="37"/>
      <c r="V618" s="59"/>
      <c r="W618" s="49"/>
      <c r="X618" s="37"/>
      <c r="Y618" s="37"/>
      <c r="Z618" s="37"/>
      <c r="AA618" s="37"/>
      <c r="AB618" s="37"/>
      <c r="AC618" s="37"/>
      <c r="AD618" s="37"/>
      <c r="AE618" s="37"/>
      <c r="AF618" s="37"/>
      <c r="AG618" s="59"/>
      <c r="AH618" s="49"/>
      <c r="AI618" s="37"/>
      <c r="AJ618" s="37"/>
      <c r="AK618" s="37"/>
      <c r="AL618" s="37"/>
      <c r="AM618" s="37"/>
      <c r="AN618" s="37"/>
      <c r="AO618" s="37"/>
      <c r="AP618" s="37"/>
      <c r="AQ618" s="37"/>
      <c r="AR618" s="37"/>
      <c r="AS618" s="37"/>
      <c r="AT618" s="37"/>
      <c r="AU618" s="37"/>
      <c r="AV618" s="59"/>
      <c r="AW618" s="1" t="str">
        <f>_xlfn.CONCAT(tbl_Ben_Info[[#This Row],[First Name]]," ",tbl_Ben_Info[[#This Row],[Father Name]]," ",tbl_Ben_Info[[#This Row],[Family Name]])</f>
        <v xml:space="preserve">  </v>
      </c>
    </row>
    <row r="619" spans="2:49" ht="25.15" customHeight="1" x14ac:dyDescent="0.25">
      <c r="B619" s="49">
        <v>614</v>
      </c>
      <c r="C619" s="1" t="str">
        <f>_xlfn.CONCAT("181-702-",IF(tbl_Ben_Info[[#This Row],[SN]]&lt;10,"00"&amp;tbl_Ben_Info[[#This Row],[SN]],IF(tbl_Ben_Info[[#This Row],[SN]]&lt;100,"0"&amp;tbl_Ben_Info[[#This Row],[SN]],tbl_Ben_Info[[#This Row],[SN]])))</f>
        <v>181-702-614</v>
      </c>
      <c r="D619" s="37"/>
      <c r="E619" s="40"/>
      <c r="F619" s="41"/>
      <c r="G619" s="42"/>
      <c r="H619" s="43"/>
      <c r="I619" s="73"/>
      <c r="J619" s="43"/>
      <c r="K619" s="43"/>
      <c r="L619" s="43"/>
      <c r="M619" s="43"/>
      <c r="N619" s="111"/>
      <c r="O619" s="43"/>
      <c r="P619" s="48"/>
      <c r="Q619" s="49"/>
      <c r="R619" s="37"/>
      <c r="S619" s="37"/>
      <c r="T619" s="37"/>
      <c r="U619" s="37"/>
      <c r="V619" s="59"/>
      <c r="W619" s="49"/>
      <c r="X619" s="37"/>
      <c r="Y619" s="37"/>
      <c r="Z619" s="37"/>
      <c r="AA619" s="37"/>
      <c r="AB619" s="37"/>
      <c r="AC619" s="37"/>
      <c r="AD619" s="37"/>
      <c r="AE619" s="37"/>
      <c r="AF619" s="37"/>
      <c r="AG619" s="59"/>
      <c r="AH619" s="49"/>
      <c r="AI619" s="37"/>
      <c r="AJ619" s="37"/>
      <c r="AK619" s="37"/>
      <c r="AL619" s="37"/>
      <c r="AM619" s="37"/>
      <c r="AN619" s="37"/>
      <c r="AO619" s="37"/>
      <c r="AP619" s="37"/>
      <c r="AQ619" s="37"/>
      <c r="AR619" s="37"/>
      <c r="AS619" s="37"/>
      <c r="AT619" s="37"/>
      <c r="AU619" s="37"/>
      <c r="AV619" s="59"/>
      <c r="AW619" s="1" t="str">
        <f>_xlfn.CONCAT(tbl_Ben_Info[[#This Row],[First Name]]," ",tbl_Ben_Info[[#This Row],[Father Name]]," ",tbl_Ben_Info[[#This Row],[Family Name]])</f>
        <v xml:space="preserve">  </v>
      </c>
    </row>
    <row r="620" spans="2:49" ht="25.15" customHeight="1" x14ac:dyDescent="0.25">
      <c r="B620" s="49">
        <v>615</v>
      </c>
      <c r="C620" s="1" t="str">
        <f>_xlfn.CONCAT("181-702-",IF(tbl_Ben_Info[[#This Row],[SN]]&lt;10,"00"&amp;tbl_Ben_Info[[#This Row],[SN]],IF(tbl_Ben_Info[[#This Row],[SN]]&lt;100,"0"&amp;tbl_Ben_Info[[#This Row],[SN]],tbl_Ben_Info[[#This Row],[SN]])))</f>
        <v>181-702-615</v>
      </c>
      <c r="D620" s="37"/>
      <c r="E620" s="40"/>
      <c r="F620" s="41"/>
      <c r="G620" s="42"/>
      <c r="H620" s="43"/>
      <c r="I620" s="73"/>
      <c r="J620" s="43"/>
      <c r="K620" s="43"/>
      <c r="L620" s="43"/>
      <c r="M620" s="43"/>
      <c r="N620" s="111"/>
      <c r="O620" s="43"/>
      <c r="P620" s="48"/>
      <c r="Q620" s="49"/>
      <c r="R620" s="37"/>
      <c r="S620" s="37"/>
      <c r="T620" s="37"/>
      <c r="U620" s="37"/>
      <c r="V620" s="59"/>
      <c r="W620" s="49"/>
      <c r="X620" s="37"/>
      <c r="Y620" s="37"/>
      <c r="Z620" s="37"/>
      <c r="AA620" s="37"/>
      <c r="AB620" s="37"/>
      <c r="AC620" s="37"/>
      <c r="AD620" s="37"/>
      <c r="AE620" s="37"/>
      <c r="AF620" s="37"/>
      <c r="AG620" s="59"/>
      <c r="AH620" s="49"/>
      <c r="AI620" s="37"/>
      <c r="AJ620" s="37"/>
      <c r="AK620" s="37"/>
      <c r="AL620" s="37"/>
      <c r="AM620" s="37"/>
      <c r="AN620" s="37"/>
      <c r="AO620" s="37"/>
      <c r="AP620" s="37"/>
      <c r="AQ620" s="37"/>
      <c r="AR620" s="37"/>
      <c r="AS620" s="37"/>
      <c r="AT620" s="37"/>
      <c r="AU620" s="37"/>
      <c r="AV620" s="59"/>
      <c r="AW620" s="1" t="str">
        <f>_xlfn.CONCAT(tbl_Ben_Info[[#This Row],[First Name]]," ",tbl_Ben_Info[[#This Row],[Father Name]]," ",tbl_Ben_Info[[#This Row],[Family Name]])</f>
        <v xml:space="preserve">  </v>
      </c>
    </row>
    <row r="621" spans="2:49" ht="25.15" customHeight="1" x14ac:dyDescent="0.25">
      <c r="B621" s="49">
        <v>616</v>
      </c>
      <c r="C621" s="1" t="str">
        <f>_xlfn.CONCAT("181-702-",IF(tbl_Ben_Info[[#This Row],[SN]]&lt;10,"00"&amp;tbl_Ben_Info[[#This Row],[SN]],IF(tbl_Ben_Info[[#This Row],[SN]]&lt;100,"0"&amp;tbl_Ben_Info[[#This Row],[SN]],tbl_Ben_Info[[#This Row],[SN]])))</f>
        <v>181-702-616</v>
      </c>
      <c r="D621" s="37"/>
      <c r="E621" s="40"/>
      <c r="F621" s="41"/>
      <c r="G621" s="42"/>
      <c r="H621" s="43"/>
      <c r="I621" s="73"/>
      <c r="J621" s="43"/>
      <c r="K621" s="43"/>
      <c r="L621" s="43"/>
      <c r="M621" s="43"/>
      <c r="N621" s="111"/>
      <c r="O621" s="43"/>
      <c r="P621" s="48"/>
      <c r="Q621" s="49"/>
      <c r="R621" s="37"/>
      <c r="S621" s="37"/>
      <c r="T621" s="37"/>
      <c r="U621" s="37"/>
      <c r="V621" s="59"/>
      <c r="W621" s="49"/>
      <c r="X621" s="37"/>
      <c r="Y621" s="37"/>
      <c r="Z621" s="37"/>
      <c r="AA621" s="37"/>
      <c r="AB621" s="37"/>
      <c r="AC621" s="37"/>
      <c r="AD621" s="37"/>
      <c r="AE621" s="37"/>
      <c r="AF621" s="37"/>
      <c r="AG621" s="59"/>
      <c r="AH621" s="49"/>
      <c r="AI621" s="37"/>
      <c r="AJ621" s="37"/>
      <c r="AK621" s="37"/>
      <c r="AL621" s="37"/>
      <c r="AM621" s="37"/>
      <c r="AN621" s="37"/>
      <c r="AO621" s="37"/>
      <c r="AP621" s="37"/>
      <c r="AQ621" s="37"/>
      <c r="AR621" s="37"/>
      <c r="AS621" s="37"/>
      <c r="AT621" s="37"/>
      <c r="AU621" s="37"/>
      <c r="AV621" s="59"/>
      <c r="AW621" s="1" t="str">
        <f>_xlfn.CONCAT(tbl_Ben_Info[[#This Row],[First Name]]," ",tbl_Ben_Info[[#This Row],[Father Name]]," ",tbl_Ben_Info[[#This Row],[Family Name]])</f>
        <v xml:space="preserve">  </v>
      </c>
    </row>
    <row r="622" spans="2:49" ht="25.15" customHeight="1" x14ac:dyDescent="0.25">
      <c r="B622" s="49">
        <v>617</v>
      </c>
      <c r="C622" s="1" t="str">
        <f>_xlfn.CONCAT("181-702-",IF(tbl_Ben_Info[[#This Row],[SN]]&lt;10,"00"&amp;tbl_Ben_Info[[#This Row],[SN]],IF(tbl_Ben_Info[[#This Row],[SN]]&lt;100,"0"&amp;tbl_Ben_Info[[#This Row],[SN]],tbl_Ben_Info[[#This Row],[SN]])))</f>
        <v>181-702-617</v>
      </c>
      <c r="D622" s="37"/>
      <c r="E622" s="40"/>
      <c r="F622" s="41"/>
      <c r="G622" s="42"/>
      <c r="H622" s="43"/>
      <c r="I622" s="73"/>
      <c r="J622" s="43"/>
      <c r="K622" s="43"/>
      <c r="L622" s="43"/>
      <c r="M622" s="43"/>
      <c r="N622" s="111"/>
      <c r="O622" s="43"/>
      <c r="P622" s="48"/>
      <c r="Q622" s="49"/>
      <c r="R622" s="37"/>
      <c r="S622" s="37"/>
      <c r="T622" s="37"/>
      <c r="U622" s="37"/>
      <c r="V622" s="59"/>
      <c r="W622" s="49"/>
      <c r="X622" s="37"/>
      <c r="Y622" s="37"/>
      <c r="Z622" s="37"/>
      <c r="AA622" s="37"/>
      <c r="AB622" s="37"/>
      <c r="AC622" s="37"/>
      <c r="AD622" s="37"/>
      <c r="AE622" s="37"/>
      <c r="AF622" s="37"/>
      <c r="AG622" s="59"/>
      <c r="AH622" s="49"/>
      <c r="AI622" s="37"/>
      <c r="AJ622" s="37"/>
      <c r="AK622" s="37"/>
      <c r="AL622" s="37"/>
      <c r="AM622" s="37"/>
      <c r="AN622" s="37"/>
      <c r="AO622" s="37"/>
      <c r="AP622" s="37"/>
      <c r="AQ622" s="37"/>
      <c r="AR622" s="37"/>
      <c r="AS622" s="37"/>
      <c r="AT622" s="37"/>
      <c r="AU622" s="37"/>
      <c r="AV622" s="59"/>
      <c r="AW622" s="1" t="str">
        <f>_xlfn.CONCAT(tbl_Ben_Info[[#This Row],[First Name]]," ",tbl_Ben_Info[[#This Row],[Father Name]]," ",tbl_Ben_Info[[#This Row],[Family Name]])</f>
        <v xml:space="preserve">  </v>
      </c>
    </row>
    <row r="623" spans="2:49" ht="25.15" customHeight="1" x14ac:dyDescent="0.25">
      <c r="B623" s="49">
        <v>618</v>
      </c>
      <c r="C623" s="1" t="str">
        <f>_xlfn.CONCAT("181-702-",IF(tbl_Ben_Info[[#This Row],[SN]]&lt;10,"00"&amp;tbl_Ben_Info[[#This Row],[SN]],IF(tbl_Ben_Info[[#This Row],[SN]]&lt;100,"0"&amp;tbl_Ben_Info[[#This Row],[SN]],tbl_Ben_Info[[#This Row],[SN]])))</f>
        <v>181-702-618</v>
      </c>
      <c r="D623" s="37"/>
      <c r="E623" s="40"/>
      <c r="F623" s="41"/>
      <c r="G623" s="42"/>
      <c r="H623" s="43"/>
      <c r="I623" s="73"/>
      <c r="J623" s="43"/>
      <c r="K623" s="43"/>
      <c r="L623" s="43"/>
      <c r="M623" s="43"/>
      <c r="N623" s="111"/>
      <c r="O623" s="43"/>
      <c r="P623" s="48"/>
      <c r="Q623" s="49"/>
      <c r="R623" s="37"/>
      <c r="S623" s="37"/>
      <c r="T623" s="37"/>
      <c r="U623" s="37"/>
      <c r="V623" s="59"/>
      <c r="W623" s="49"/>
      <c r="X623" s="37"/>
      <c r="Y623" s="37"/>
      <c r="Z623" s="37"/>
      <c r="AA623" s="37"/>
      <c r="AB623" s="37"/>
      <c r="AC623" s="37"/>
      <c r="AD623" s="37"/>
      <c r="AE623" s="37"/>
      <c r="AF623" s="37"/>
      <c r="AG623" s="59"/>
      <c r="AH623" s="49"/>
      <c r="AI623" s="37"/>
      <c r="AJ623" s="37"/>
      <c r="AK623" s="37"/>
      <c r="AL623" s="37"/>
      <c r="AM623" s="37"/>
      <c r="AN623" s="37"/>
      <c r="AO623" s="37"/>
      <c r="AP623" s="37"/>
      <c r="AQ623" s="37"/>
      <c r="AR623" s="37"/>
      <c r="AS623" s="37"/>
      <c r="AT623" s="37"/>
      <c r="AU623" s="37"/>
      <c r="AV623" s="59"/>
      <c r="AW623" s="1" t="str">
        <f>_xlfn.CONCAT(tbl_Ben_Info[[#This Row],[First Name]]," ",tbl_Ben_Info[[#This Row],[Father Name]]," ",tbl_Ben_Info[[#This Row],[Family Name]])</f>
        <v xml:space="preserve">  </v>
      </c>
    </row>
    <row r="624" spans="2:49" ht="25.15" customHeight="1" x14ac:dyDescent="0.25">
      <c r="B624" s="49">
        <v>619</v>
      </c>
      <c r="C624" s="1" t="str">
        <f>_xlfn.CONCAT("181-702-",IF(tbl_Ben_Info[[#This Row],[SN]]&lt;10,"00"&amp;tbl_Ben_Info[[#This Row],[SN]],IF(tbl_Ben_Info[[#This Row],[SN]]&lt;100,"0"&amp;tbl_Ben_Info[[#This Row],[SN]],tbl_Ben_Info[[#This Row],[SN]])))</f>
        <v>181-702-619</v>
      </c>
      <c r="D624" s="37"/>
      <c r="E624" s="40"/>
      <c r="F624" s="41"/>
      <c r="G624" s="42"/>
      <c r="H624" s="43"/>
      <c r="I624" s="73"/>
      <c r="J624" s="43"/>
      <c r="K624" s="43"/>
      <c r="L624" s="43"/>
      <c r="M624" s="43"/>
      <c r="N624" s="111"/>
      <c r="O624" s="43"/>
      <c r="P624" s="48"/>
      <c r="Q624" s="49"/>
      <c r="R624" s="37"/>
      <c r="S624" s="37"/>
      <c r="T624" s="37"/>
      <c r="U624" s="37"/>
      <c r="V624" s="59"/>
      <c r="W624" s="49"/>
      <c r="X624" s="37"/>
      <c r="Y624" s="37"/>
      <c r="Z624" s="37"/>
      <c r="AA624" s="37"/>
      <c r="AB624" s="37"/>
      <c r="AC624" s="37"/>
      <c r="AD624" s="37"/>
      <c r="AE624" s="37"/>
      <c r="AF624" s="37"/>
      <c r="AG624" s="59"/>
      <c r="AH624" s="49"/>
      <c r="AI624" s="37"/>
      <c r="AJ624" s="37"/>
      <c r="AK624" s="37"/>
      <c r="AL624" s="37"/>
      <c r="AM624" s="37"/>
      <c r="AN624" s="37"/>
      <c r="AO624" s="37"/>
      <c r="AP624" s="37"/>
      <c r="AQ624" s="37"/>
      <c r="AR624" s="37"/>
      <c r="AS624" s="37"/>
      <c r="AT624" s="37"/>
      <c r="AU624" s="37"/>
      <c r="AV624" s="59"/>
      <c r="AW624" s="1" t="str">
        <f>_xlfn.CONCAT(tbl_Ben_Info[[#This Row],[First Name]]," ",tbl_Ben_Info[[#This Row],[Father Name]]," ",tbl_Ben_Info[[#This Row],[Family Name]])</f>
        <v xml:space="preserve">  </v>
      </c>
    </row>
    <row r="625" spans="2:49" ht="25.15" customHeight="1" x14ac:dyDescent="0.25">
      <c r="B625" s="49">
        <v>620</v>
      </c>
      <c r="C625" s="1" t="str">
        <f>_xlfn.CONCAT("181-702-",IF(tbl_Ben_Info[[#This Row],[SN]]&lt;10,"00"&amp;tbl_Ben_Info[[#This Row],[SN]],IF(tbl_Ben_Info[[#This Row],[SN]]&lt;100,"0"&amp;tbl_Ben_Info[[#This Row],[SN]],tbl_Ben_Info[[#This Row],[SN]])))</f>
        <v>181-702-620</v>
      </c>
      <c r="D625" s="37"/>
      <c r="E625" s="40"/>
      <c r="F625" s="41"/>
      <c r="G625" s="42"/>
      <c r="H625" s="43"/>
      <c r="I625" s="73"/>
      <c r="J625" s="43"/>
      <c r="K625" s="43"/>
      <c r="L625" s="43"/>
      <c r="M625" s="43"/>
      <c r="N625" s="111"/>
      <c r="O625" s="43"/>
      <c r="P625" s="48"/>
      <c r="Q625" s="49"/>
      <c r="R625" s="37"/>
      <c r="S625" s="37"/>
      <c r="T625" s="37"/>
      <c r="U625" s="37"/>
      <c r="V625" s="59"/>
      <c r="W625" s="49"/>
      <c r="X625" s="37"/>
      <c r="Y625" s="37"/>
      <c r="Z625" s="37"/>
      <c r="AA625" s="37"/>
      <c r="AB625" s="37"/>
      <c r="AC625" s="37"/>
      <c r="AD625" s="37"/>
      <c r="AE625" s="37"/>
      <c r="AF625" s="37"/>
      <c r="AG625" s="59"/>
      <c r="AH625" s="49"/>
      <c r="AI625" s="37"/>
      <c r="AJ625" s="37"/>
      <c r="AK625" s="37"/>
      <c r="AL625" s="37"/>
      <c r="AM625" s="37"/>
      <c r="AN625" s="37"/>
      <c r="AO625" s="37"/>
      <c r="AP625" s="37"/>
      <c r="AQ625" s="37"/>
      <c r="AR625" s="37"/>
      <c r="AS625" s="37"/>
      <c r="AT625" s="37"/>
      <c r="AU625" s="37"/>
      <c r="AV625" s="59"/>
      <c r="AW625" s="1" t="str">
        <f>_xlfn.CONCAT(tbl_Ben_Info[[#This Row],[First Name]]," ",tbl_Ben_Info[[#This Row],[Father Name]]," ",tbl_Ben_Info[[#This Row],[Family Name]])</f>
        <v xml:space="preserve">  </v>
      </c>
    </row>
    <row r="626" spans="2:49" ht="25.15" customHeight="1" x14ac:dyDescent="0.25">
      <c r="B626" s="49">
        <v>621</v>
      </c>
      <c r="C626" s="1" t="str">
        <f>_xlfn.CONCAT("181-702-",IF(tbl_Ben_Info[[#This Row],[SN]]&lt;10,"00"&amp;tbl_Ben_Info[[#This Row],[SN]],IF(tbl_Ben_Info[[#This Row],[SN]]&lt;100,"0"&amp;tbl_Ben_Info[[#This Row],[SN]],tbl_Ben_Info[[#This Row],[SN]])))</f>
        <v>181-702-621</v>
      </c>
      <c r="D626" s="37"/>
      <c r="E626" s="40"/>
      <c r="F626" s="41"/>
      <c r="G626" s="42"/>
      <c r="H626" s="43"/>
      <c r="I626" s="73"/>
      <c r="J626" s="43"/>
      <c r="K626" s="43"/>
      <c r="L626" s="43"/>
      <c r="M626" s="43"/>
      <c r="N626" s="111"/>
      <c r="O626" s="43"/>
      <c r="P626" s="48"/>
      <c r="Q626" s="49"/>
      <c r="R626" s="37"/>
      <c r="S626" s="37"/>
      <c r="T626" s="37"/>
      <c r="U626" s="37"/>
      <c r="V626" s="59"/>
      <c r="W626" s="49"/>
      <c r="X626" s="37"/>
      <c r="Y626" s="37"/>
      <c r="Z626" s="37"/>
      <c r="AA626" s="37"/>
      <c r="AB626" s="37"/>
      <c r="AC626" s="37"/>
      <c r="AD626" s="37"/>
      <c r="AE626" s="37"/>
      <c r="AF626" s="37"/>
      <c r="AG626" s="59"/>
      <c r="AH626" s="49"/>
      <c r="AI626" s="37"/>
      <c r="AJ626" s="37"/>
      <c r="AK626" s="37"/>
      <c r="AL626" s="37"/>
      <c r="AM626" s="37"/>
      <c r="AN626" s="37"/>
      <c r="AO626" s="37"/>
      <c r="AP626" s="37"/>
      <c r="AQ626" s="37"/>
      <c r="AR626" s="37"/>
      <c r="AS626" s="37"/>
      <c r="AT626" s="37"/>
      <c r="AU626" s="37"/>
      <c r="AV626" s="59"/>
      <c r="AW626" s="1" t="str">
        <f>_xlfn.CONCAT(tbl_Ben_Info[[#This Row],[First Name]]," ",tbl_Ben_Info[[#This Row],[Father Name]]," ",tbl_Ben_Info[[#This Row],[Family Name]])</f>
        <v xml:space="preserve">  </v>
      </c>
    </row>
    <row r="627" spans="2:49" ht="25.15" customHeight="1" x14ac:dyDescent="0.25">
      <c r="B627" s="49">
        <v>622</v>
      </c>
      <c r="C627" s="1" t="str">
        <f>_xlfn.CONCAT("181-702-",IF(tbl_Ben_Info[[#This Row],[SN]]&lt;10,"00"&amp;tbl_Ben_Info[[#This Row],[SN]],IF(tbl_Ben_Info[[#This Row],[SN]]&lt;100,"0"&amp;tbl_Ben_Info[[#This Row],[SN]],tbl_Ben_Info[[#This Row],[SN]])))</f>
        <v>181-702-622</v>
      </c>
      <c r="D627" s="37"/>
      <c r="E627" s="40"/>
      <c r="F627" s="41"/>
      <c r="G627" s="42"/>
      <c r="H627" s="43"/>
      <c r="I627" s="73"/>
      <c r="J627" s="43"/>
      <c r="K627" s="43"/>
      <c r="L627" s="43"/>
      <c r="M627" s="43"/>
      <c r="N627" s="111"/>
      <c r="O627" s="43"/>
      <c r="P627" s="48"/>
      <c r="Q627" s="49"/>
      <c r="R627" s="37"/>
      <c r="S627" s="37"/>
      <c r="T627" s="37"/>
      <c r="U627" s="37"/>
      <c r="V627" s="59"/>
      <c r="W627" s="49"/>
      <c r="X627" s="37"/>
      <c r="Y627" s="37"/>
      <c r="Z627" s="37"/>
      <c r="AA627" s="37"/>
      <c r="AB627" s="37"/>
      <c r="AC627" s="37"/>
      <c r="AD627" s="37"/>
      <c r="AE627" s="37"/>
      <c r="AF627" s="37"/>
      <c r="AG627" s="59"/>
      <c r="AH627" s="49"/>
      <c r="AI627" s="37"/>
      <c r="AJ627" s="37"/>
      <c r="AK627" s="37"/>
      <c r="AL627" s="37"/>
      <c r="AM627" s="37"/>
      <c r="AN627" s="37"/>
      <c r="AO627" s="37"/>
      <c r="AP627" s="37"/>
      <c r="AQ627" s="37"/>
      <c r="AR627" s="37"/>
      <c r="AS627" s="37"/>
      <c r="AT627" s="37"/>
      <c r="AU627" s="37"/>
      <c r="AV627" s="59"/>
      <c r="AW627" s="1" t="str">
        <f>_xlfn.CONCAT(tbl_Ben_Info[[#This Row],[First Name]]," ",tbl_Ben_Info[[#This Row],[Father Name]]," ",tbl_Ben_Info[[#This Row],[Family Name]])</f>
        <v xml:space="preserve">  </v>
      </c>
    </row>
    <row r="628" spans="2:49" ht="25.15" customHeight="1" x14ac:dyDescent="0.25">
      <c r="B628" s="49">
        <v>623</v>
      </c>
      <c r="C628" s="1" t="str">
        <f>_xlfn.CONCAT("181-702-",IF(tbl_Ben_Info[[#This Row],[SN]]&lt;10,"00"&amp;tbl_Ben_Info[[#This Row],[SN]],IF(tbl_Ben_Info[[#This Row],[SN]]&lt;100,"0"&amp;tbl_Ben_Info[[#This Row],[SN]],tbl_Ben_Info[[#This Row],[SN]])))</f>
        <v>181-702-623</v>
      </c>
      <c r="D628" s="37"/>
      <c r="E628" s="40"/>
      <c r="F628" s="41"/>
      <c r="G628" s="42"/>
      <c r="H628" s="43"/>
      <c r="I628" s="73"/>
      <c r="J628" s="43"/>
      <c r="K628" s="43"/>
      <c r="L628" s="43"/>
      <c r="M628" s="43"/>
      <c r="N628" s="111"/>
      <c r="O628" s="43"/>
      <c r="P628" s="48"/>
      <c r="Q628" s="49"/>
      <c r="R628" s="37"/>
      <c r="S628" s="37"/>
      <c r="T628" s="37"/>
      <c r="U628" s="37"/>
      <c r="V628" s="59"/>
      <c r="W628" s="49"/>
      <c r="X628" s="37"/>
      <c r="Y628" s="37"/>
      <c r="Z628" s="37"/>
      <c r="AA628" s="37"/>
      <c r="AB628" s="37"/>
      <c r="AC628" s="37"/>
      <c r="AD628" s="37"/>
      <c r="AE628" s="37"/>
      <c r="AF628" s="37"/>
      <c r="AG628" s="59"/>
      <c r="AH628" s="49"/>
      <c r="AI628" s="37"/>
      <c r="AJ628" s="37"/>
      <c r="AK628" s="37"/>
      <c r="AL628" s="37"/>
      <c r="AM628" s="37"/>
      <c r="AN628" s="37"/>
      <c r="AO628" s="37"/>
      <c r="AP628" s="37"/>
      <c r="AQ628" s="37"/>
      <c r="AR628" s="37"/>
      <c r="AS628" s="37"/>
      <c r="AT628" s="37"/>
      <c r="AU628" s="37"/>
      <c r="AV628" s="59"/>
      <c r="AW628" s="1" t="str">
        <f>_xlfn.CONCAT(tbl_Ben_Info[[#This Row],[First Name]]," ",tbl_Ben_Info[[#This Row],[Father Name]]," ",tbl_Ben_Info[[#This Row],[Family Name]])</f>
        <v xml:space="preserve">  </v>
      </c>
    </row>
    <row r="629" spans="2:49" ht="25.15" customHeight="1" x14ac:dyDescent="0.25">
      <c r="B629" s="49">
        <v>624</v>
      </c>
      <c r="C629" s="1" t="str">
        <f>_xlfn.CONCAT("181-702-",IF(tbl_Ben_Info[[#This Row],[SN]]&lt;10,"00"&amp;tbl_Ben_Info[[#This Row],[SN]],IF(tbl_Ben_Info[[#This Row],[SN]]&lt;100,"0"&amp;tbl_Ben_Info[[#This Row],[SN]],tbl_Ben_Info[[#This Row],[SN]])))</f>
        <v>181-702-624</v>
      </c>
      <c r="D629" s="37"/>
      <c r="E629" s="40"/>
      <c r="F629" s="41"/>
      <c r="G629" s="42"/>
      <c r="H629" s="43"/>
      <c r="I629" s="73"/>
      <c r="J629" s="43"/>
      <c r="K629" s="43"/>
      <c r="L629" s="43"/>
      <c r="M629" s="43"/>
      <c r="N629" s="111"/>
      <c r="O629" s="43"/>
      <c r="P629" s="48"/>
      <c r="Q629" s="49"/>
      <c r="R629" s="37"/>
      <c r="S629" s="37"/>
      <c r="T629" s="37"/>
      <c r="U629" s="37"/>
      <c r="V629" s="59"/>
      <c r="W629" s="49"/>
      <c r="X629" s="37"/>
      <c r="Y629" s="37"/>
      <c r="Z629" s="37"/>
      <c r="AA629" s="37"/>
      <c r="AB629" s="37"/>
      <c r="AC629" s="37"/>
      <c r="AD629" s="37"/>
      <c r="AE629" s="37"/>
      <c r="AF629" s="37"/>
      <c r="AG629" s="59"/>
      <c r="AH629" s="49"/>
      <c r="AI629" s="37"/>
      <c r="AJ629" s="37"/>
      <c r="AK629" s="37"/>
      <c r="AL629" s="37"/>
      <c r="AM629" s="37"/>
      <c r="AN629" s="37"/>
      <c r="AO629" s="37"/>
      <c r="AP629" s="37"/>
      <c r="AQ629" s="37"/>
      <c r="AR629" s="37"/>
      <c r="AS629" s="37"/>
      <c r="AT629" s="37"/>
      <c r="AU629" s="37"/>
      <c r="AV629" s="59"/>
      <c r="AW629" s="1" t="str">
        <f>_xlfn.CONCAT(tbl_Ben_Info[[#This Row],[First Name]]," ",tbl_Ben_Info[[#This Row],[Father Name]]," ",tbl_Ben_Info[[#This Row],[Family Name]])</f>
        <v xml:space="preserve">  </v>
      </c>
    </row>
    <row r="630" spans="2:49" ht="25.15" customHeight="1" x14ac:dyDescent="0.25">
      <c r="B630" s="49">
        <v>625</v>
      </c>
      <c r="C630" s="1" t="str">
        <f>_xlfn.CONCAT("181-702-",IF(tbl_Ben_Info[[#This Row],[SN]]&lt;10,"00"&amp;tbl_Ben_Info[[#This Row],[SN]],IF(tbl_Ben_Info[[#This Row],[SN]]&lt;100,"0"&amp;tbl_Ben_Info[[#This Row],[SN]],tbl_Ben_Info[[#This Row],[SN]])))</f>
        <v>181-702-625</v>
      </c>
      <c r="D630" s="37"/>
      <c r="E630" s="40"/>
      <c r="F630" s="41"/>
      <c r="G630" s="42"/>
      <c r="H630" s="43"/>
      <c r="I630" s="73"/>
      <c r="J630" s="43"/>
      <c r="K630" s="43"/>
      <c r="L630" s="43"/>
      <c r="M630" s="43"/>
      <c r="N630" s="111"/>
      <c r="O630" s="43"/>
      <c r="P630" s="48"/>
      <c r="Q630" s="49"/>
      <c r="R630" s="37"/>
      <c r="S630" s="37"/>
      <c r="T630" s="37"/>
      <c r="U630" s="37"/>
      <c r="V630" s="59"/>
      <c r="W630" s="49"/>
      <c r="X630" s="37"/>
      <c r="Y630" s="37"/>
      <c r="Z630" s="37"/>
      <c r="AA630" s="37"/>
      <c r="AB630" s="37"/>
      <c r="AC630" s="37"/>
      <c r="AD630" s="37"/>
      <c r="AE630" s="37"/>
      <c r="AF630" s="37"/>
      <c r="AG630" s="59"/>
      <c r="AH630" s="49"/>
      <c r="AI630" s="37"/>
      <c r="AJ630" s="37"/>
      <c r="AK630" s="37"/>
      <c r="AL630" s="37"/>
      <c r="AM630" s="37"/>
      <c r="AN630" s="37"/>
      <c r="AO630" s="37"/>
      <c r="AP630" s="37"/>
      <c r="AQ630" s="37"/>
      <c r="AR630" s="37"/>
      <c r="AS630" s="37"/>
      <c r="AT630" s="37"/>
      <c r="AU630" s="37"/>
      <c r="AV630" s="59"/>
      <c r="AW630" s="1" t="str">
        <f>_xlfn.CONCAT(tbl_Ben_Info[[#This Row],[First Name]]," ",tbl_Ben_Info[[#This Row],[Father Name]]," ",tbl_Ben_Info[[#This Row],[Family Name]])</f>
        <v xml:space="preserve">  </v>
      </c>
    </row>
    <row r="631" spans="2:49" ht="25.15" customHeight="1" x14ac:dyDescent="0.25">
      <c r="B631" s="49">
        <v>626</v>
      </c>
      <c r="C631" s="1" t="str">
        <f>_xlfn.CONCAT("181-702-",IF(tbl_Ben_Info[[#This Row],[SN]]&lt;10,"00"&amp;tbl_Ben_Info[[#This Row],[SN]],IF(tbl_Ben_Info[[#This Row],[SN]]&lt;100,"0"&amp;tbl_Ben_Info[[#This Row],[SN]],tbl_Ben_Info[[#This Row],[SN]])))</f>
        <v>181-702-626</v>
      </c>
      <c r="D631" s="37"/>
      <c r="E631" s="40"/>
      <c r="F631" s="41"/>
      <c r="G631" s="42"/>
      <c r="H631" s="43"/>
      <c r="I631" s="73"/>
      <c r="J631" s="43"/>
      <c r="K631" s="43"/>
      <c r="L631" s="43"/>
      <c r="M631" s="43"/>
      <c r="N631" s="111"/>
      <c r="O631" s="43"/>
      <c r="P631" s="48"/>
      <c r="Q631" s="49"/>
      <c r="R631" s="37"/>
      <c r="S631" s="37"/>
      <c r="T631" s="37"/>
      <c r="U631" s="37"/>
      <c r="V631" s="59"/>
      <c r="W631" s="49"/>
      <c r="X631" s="37"/>
      <c r="Y631" s="37"/>
      <c r="Z631" s="37"/>
      <c r="AA631" s="37"/>
      <c r="AB631" s="37"/>
      <c r="AC631" s="37"/>
      <c r="AD631" s="37"/>
      <c r="AE631" s="37"/>
      <c r="AF631" s="37"/>
      <c r="AG631" s="59"/>
      <c r="AH631" s="49"/>
      <c r="AI631" s="37"/>
      <c r="AJ631" s="37"/>
      <c r="AK631" s="37"/>
      <c r="AL631" s="37"/>
      <c r="AM631" s="37"/>
      <c r="AN631" s="37"/>
      <c r="AO631" s="37"/>
      <c r="AP631" s="37"/>
      <c r="AQ631" s="37"/>
      <c r="AR631" s="37"/>
      <c r="AS631" s="37"/>
      <c r="AT631" s="37"/>
      <c r="AU631" s="37"/>
      <c r="AV631" s="59"/>
      <c r="AW631" s="1" t="str">
        <f>_xlfn.CONCAT(tbl_Ben_Info[[#This Row],[First Name]]," ",tbl_Ben_Info[[#This Row],[Father Name]]," ",tbl_Ben_Info[[#This Row],[Family Name]])</f>
        <v xml:space="preserve">  </v>
      </c>
    </row>
    <row r="632" spans="2:49" ht="25.15" customHeight="1" x14ac:dyDescent="0.25">
      <c r="B632" s="49">
        <v>627</v>
      </c>
      <c r="C632" s="1" t="str">
        <f>_xlfn.CONCAT("181-702-",IF(tbl_Ben_Info[[#This Row],[SN]]&lt;10,"00"&amp;tbl_Ben_Info[[#This Row],[SN]],IF(tbl_Ben_Info[[#This Row],[SN]]&lt;100,"0"&amp;tbl_Ben_Info[[#This Row],[SN]],tbl_Ben_Info[[#This Row],[SN]])))</f>
        <v>181-702-627</v>
      </c>
      <c r="D632" s="37"/>
      <c r="E632" s="40"/>
      <c r="F632" s="41"/>
      <c r="G632" s="42"/>
      <c r="H632" s="43"/>
      <c r="I632" s="73"/>
      <c r="J632" s="43"/>
      <c r="K632" s="43"/>
      <c r="L632" s="43"/>
      <c r="M632" s="43"/>
      <c r="N632" s="111"/>
      <c r="O632" s="43"/>
      <c r="P632" s="48"/>
      <c r="Q632" s="49"/>
      <c r="R632" s="37"/>
      <c r="S632" s="37"/>
      <c r="T632" s="37"/>
      <c r="U632" s="37"/>
      <c r="V632" s="59"/>
      <c r="W632" s="49"/>
      <c r="X632" s="37"/>
      <c r="Y632" s="37"/>
      <c r="Z632" s="37"/>
      <c r="AA632" s="37"/>
      <c r="AB632" s="37"/>
      <c r="AC632" s="37"/>
      <c r="AD632" s="37"/>
      <c r="AE632" s="37"/>
      <c r="AF632" s="37"/>
      <c r="AG632" s="59"/>
      <c r="AH632" s="49"/>
      <c r="AI632" s="37"/>
      <c r="AJ632" s="37"/>
      <c r="AK632" s="37"/>
      <c r="AL632" s="37"/>
      <c r="AM632" s="37"/>
      <c r="AN632" s="37"/>
      <c r="AO632" s="37"/>
      <c r="AP632" s="37"/>
      <c r="AQ632" s="37"/>
      <c r="AR632" s="37"/>
      <c r="AS632" s="37"/>
      <c r="AT632" s="37"/>
      <c r="AU632" s="37"/>
      <c r="AV632" s="59"/>
      <c r="AW632" s="1" t="str">
        <f>_xlfn.CONCAT(tbl_Ben_Info[[#This Row],[First Name]]," ",tbl_Ben_Info[[#This Row],[Father Name]]," ",tbl_Ben_Info[[#This Row],[Family Name]])</f>
        <v xml:space="preserve">  </v>
      </c>
    </row>
    <row r="633" spans="2:49" ht="25.15" customHeight="1" x14ac:dyDescent="0.25">
      <c r="B633" s="49">
        <v>628</v>
      </c>
      <c r="C633" s="1" t="str">
        <f>_xlfn.CONCAT("181-702-",IF(tbl_Ben_Info[[#This Row],[SN]]&lt;10,"00"&amp;tbl_Ben_Info[[#This Row],[SN]],IF(tbl_Ben_Info[[#This Row],[SN]]&lt;100,"0"&amp;tbl_Ben_Info[[#This Row],[SN]],tbl_Ben_Info[[#This Row],[SN]])))</f>
        <v>181-702-628</v>
      </c>
      <c r="D633" s="37"/>
      <c r="E633" s="40"/>
      <c r="F633" s="41"/>
      <c r="G633" s="42"/>
      <c r="H633" s="43"/>
      <c r="I633" s="73"/>
      <c r="J633" s="43"/>
      <c r="K633" s="43"/>
      <c r="L633" s="43"/>
      <c r="M633" s="43"/>
      <c r="N633" s="111"/>
      <c r="O633" s="43"/>
      <c r="P633" s="48"/>
      <c r="Q633" s="49"/>
      <c r="R633" s="37"/>
      <c r="S633" s="37"/>
      <c r="T633" s="37"/>
      <c r="U633" s="37"/>
      <c r="V633" s="59"/>
      <c r="W633" s="49"/>
      <c r="X633" s="37"/>
      <c r="Y633" s="37"/>
      <c r="Z633" s="37"/>
      <c r="AA633" s="37"/>
      <c r="AB633" s="37"/>
      <c r="AC633" s="37"/>
      <c r="AD633" s="37"/>
      <c r="AE633" s="37"/>
      <c r="AF633" s="37"/>
      <c r="AG633" s="59"/>
      <c r="AH633" s="49"/>
      <c r="AI633" s="37"/>
      <c r="AJ633" s="37"/>
      <c r="AK633" s="37"/>
      <c r="AL633" s="37"/>
      <c r="AM633" s="37"/>
      <c r="AN633" s="37"/>
      <c r="AO633" s="37"/>
      <c r="AP633" s="37"/>
      <c r="AQ633" s="37"/>
      <c r="AR633" s="37"/>
      <c r="AS633" s="37"/>
      <c r="AT633" s="37"/>
      <c r="AU633" s="37"/>
      <c r="AV633" s="59"/>
      <c r="AW633" s="1" t="str">
        <f>_xlfn.CONCAT(tbl_Ben_Info[[#This Row],[First Name]]," ",tbl_Ben_Info[[#This Row],[Father Name]]," ",tbl_Ben_Info[[#This Row],[Family Name]])</f>
        <v xml:space="preserve">  </v>
      </c>
    </row>
    <row r="634" spans="2:49" ht="25.15" customHeight="1" x14ac:dyDescent="0.25">
      <c r="B634" s="49">
        <v>629</v>
      </c>
      <c r="C634" s="1" t="str">
        <f>_xlfn.CONCAT("181-702-",IF(tbl_Ben_Info[[#This Row],[SN]]&lt;10,"00"&amp;tbl_Ben_Info[[#This Row],[SN]],IF(tbl_Ben_Info[[#This Row],[SN]]&lt;100,"0"&amp;tbl_Ben_Info[[#This Row],[SN]],tbl_Ben_Info[[#This Row],[SN]])))</f>
        <v>181-702-629</v>
      </c>
      <c r="D634" s="37"/>
      <c r="E634" s="40"/>
      <c r="F634" s="41"/>
      <c r="G634" s="42"/>
      <c r="H634" s="43"/>
      <c r="I634" s="73"/>
      <c r="J634" s="43"/>
      <c r="K634" s="43"/>
      <c r="L634" s="43"/>
      <c r="M634" s="43"/>
      <c r="N634" s="111"/>
      <c r="O634" s="43"/>
      <c r="P634" s="48"/>
      <c r="Q634" s="49"/>
      <c r="R634" s="37"/>
      <c r="S634" s="37"/>
      <c r="T634" s="37"/>
      <c r="U634" s="37"/>
      <c r="V634" s="59"/>
      <c r="W634" s="49"/>
      <c r="X634" s="37"/>
      <c r="Y634" s="37"/>
      <c r="Z634" s="37"/>
      <c r="AA634" s="37"/>
      <c r="AB634" s="37"/>
      <c r="AC634" s="37"/>
      <c r="AD634" s="37"/>
      <c r="AE634" s="37"/>
      <c r="AF634" s="37"/>
      <c r="AG634" s="59"/>
      <c r="AH634" s="49"/>
      <c r="AI634" s="37"/>
      <c r="AJ634" s="37"/>
      <c r="AK634" s="37"/>
      <c r="AL634" s="37"/>
      <c r="AM634" s="37"/>
      <c r="AN634" s="37"/>
      <c r="AO634" s="37"/>
      <c r="AP634" s="37"/>
      <c r="AQ634" s="37"/>
      <c r="AR634" s="37"/>
      <c r="AS634" s="37"/>
      <c r="AT634" s="37"/>
      <c r="AU634" s="37"/>
      <c r="AV634" s="59"/>
      <c r="AW634" s="1" t="str">
        <f>_xlfn.CONCAT(tbl_Ben_Info[[#This Row],[First Name]]," ",tbl_Ben_Info[[#This Row],[Father Name]]," ",tbl_Ben_Info[[#This Row],[Family Name]])</f>
        <v xml:space="preserve">  </v>
      </c>
    </row>
    <row r="635" spans="2:49" ht="25.15" customHeight="1" x14ac:dyDescent="0.25">
      <c r="B635" s="49">
        <v>630</v>
      </c>
      <c r="C635" s="1" t="str">
        <f>_xlfn.CONCAT("181-702-",IF(tbl_Ben_Info[[#This Row],[SN]]&lt;10,"00"&amp;tbl_Ben_Info[[#This Row],[SN]],IF(tbl_Ben_Info[[#This Row],[SN]]&lt;100,"0"&amp;tbl_Ben_Info[[#This Row],[SN]],tbl_Ben_Info[[#This Row],[SN]])))</f>
        <v>181-702-630</v>
      </c>
      <c r="D635" s="37"/>
      <c r="E635" s="40"/>
      <c r="F635" s="41"/>
      <c r="G635" s="42"/>
      <c r="H635" s="43"/>
      <c r="I635" s="73"/>
      <c r="J635" s="43"/>
      <c r="K635" s="43"/>
      <c r="L635" s="43"/>
      <c r="M635" s="43"/>
      <c r="N635" s="111"/>
      <c r="O635" s="43"/>
      <c r="P635" s="48"/>
      <c r="Q635" s="49"/>
      <c r="R635" s="37"/>
      <c r="S635" s="37"/>
      <c r="T635" s="37"/>
      <c r="U635" s="37"/>
      <c r="V635" s="59"/>
      <c r="W635" s="49"/>
      <c r="X635" s="37"/>
      <c r="Y635" s="37"/>
      <c r="Z635" s="37"/>
      <c r="AA635" s="37"/>
      <c r="AB635" s="37"/>
      <c r="AC635" s="37"/>
      <c r="AD635" s="37"/>
      <c r="AE635" s="37"/>
      <c r="AF635" s="37"/>
      <c r="AG635" s="59"/>
      <c r="AH635" s="49"/>
      <c r="AI635" s="37"/>
      <c r="AJ635" s="37"/>
      <c r="AK635" s="37"/>
      <c r="AL635" s="37"/>
      <c r="AM635" s="37"/>
      <c r="AN635" s="37"/>
      <c r="AO635" s="37"/>
      <c r="AP635" s="37"/>
      <c r="AQ635" s="37"/>
      <c r="AR635" s="37"/>
      <c r="AS635" s="37"/>
      <c r="AT635" s="37"/>
      <c r="AU635" s="37"/>
      <c r="AV635" s="59"/>
      <c r="AW635" s="1" t="str">
        <f>_xlfn.CONCAT(tbl_Ben_Info[[#This Row],[First Name]]," ",tbl_Ben_Info[[#This Row],[Father Name]]," ",tbl_Ben_Info[[#This Row],[Family Name]])</f>
        <v xml:space="preserve">  </v>
      </c>
    </row>
    <row r="636" spans="2:49" ht="25.15" customHeight="1" x14ac:dyDescent="0.25">
      <c r="B636" s="49">
        <v>631</v>
      </c>
      <c r="C636" s="1" t="str">
        <f>_xlfn.CONCAT("181-702-",IF(tbl_Ben_Info[[#This Row],[SN]]&lt;10,"00"&amp;tbl_Ben_Info[[#This Row],[SN]],IF(tbl_Ben_Info[[#This Row],[SN]]&lt;100,"0"&amp;tbl_Ben_Info[[#This Row],[SN]],tbl_Ben_Info[[#This Row],[SN]])))</f>
        <v>181-702-631</v>
      </c>
      <c r="D636" s="37"/>
      <c r="E636" s="40"/>
      <c r="F636" s="41"/>
      <c r="G636" s="42"/>
      <c r="H636" s="43"/>
      <c r="I636" s="73"/>
      <c r="J636" s="43"/>
      <c r="K636" s="43"/>
      <c r="L636" s="43"/>
      <c r="M636" s="43"/>
      <c r="N636" s="111"/>
      <c r="O636" s="43"/>
      <c r="P636" s="48"/>
      <c r="Q636" s="49"/>
      <c r="R636" s="37"/>
      <c r="S636" s="37"/>
      <c r="T636" s="37"/>
      <c r="U636" s="37"/>
      <c r="V636" s="59"/>
      <c r="W636" s="49"/>
      <c r="X636" s="37"/>
      <c r="Y636" s="37"/>
      <c r="Z636" s="37"/>
      <c r="AA636" s="37"/>
      <c r="AB636" s="37"/>
      <c r="AC636" s="37"/>
      <c r="AD636" s="37"/>
      <c r="AE636" s="37"/>
      <c r="AF636" s="37"/>
      <c r="AG636" s="59"/>
      <c r="AH636" s="49"/>
      <c r="AI636" s="37"/>
      <c r="AJ636" s="37"/>
      <c r="AK636" s="37"/>
      <c r="AL636" s="37"/>
      <c r="AM636" s="37"/>
      <c r="AN636" s="37"/>
      <c r="AO636" s="37"/>
      <c r="AP636" s="37"/>
      <c r="AQ636" s="37"/>
      <c r="AR636" s="37"/>
      <c r="AS636" s="37"/>
      <c r="AT636" s="37"/>
      <c r="AU636" s="37"/>
      <c r="AV636" s="59"/>
      <c r="AW636" s="1" t="str">
        <f>_xlfn.CONCAT(tbl_Ben_Info[[#This Row],[First Name]]," ",tbl_Ben_Info[[#This Row],[Father Name]]," ",tbl_Ben_Info[[#This Row],[Family Name]])</f>
        <v xml:space="preserve">  </v>
      </c>
    </row>
    <row r="637" spans="2:49" ht="25.15" customHeight="1" x14ac:dyDescent="0.25">
      <c r="B637" s="49">
        <v>632</v>
      </c>
      <c r="C637" s="1" t="str">
        <f>_xlfn.CONCAT("181-702-",IF(tbl_Ben_Info[[#This Row],[SN]]&lt;10,"00"&amp;tbl_Ben_Info[[#This Row],[SN]],IF(tbl_Ben_Info[[#This Row],[SN]]&lt;100,"0"&amp;tbl_Ben_Info[[#This Row],[SN]],tbl_Ben_Info[[#This Row],[SN]])))</f>
        <v>181-702-632</v>
      </c>
      <c r="D637" s="37"/>
      <c r="E637" s="40"/>
      <c r="F637" s="41"/>
      <c r="G637" s="42"/>
      <c r="H637" s="43"/>
      <c r="I637" s="73"/>
      <c r="J637" s="43"/>
      <c r="K637" s="43"/>
      <c r="L637" s="43"/>
      <c r="M637" s="43"/>
      <c r="N637" s="111"/>
      <c r="O637" s="43"/>
      <c r="P637" s="48"/>
      <c r="Q637" s="49"/>
      <c r="R637" s="37"/>
      <c r="S637" s="37"/>
      <c r="T637" s="37"/>
      <c r="U637" s="37"/>
      <c r="V637" s="59"/>
      <c r="W637" s="49"/>
      <c r="X637" s="37"/>
      <c r="Y637" s="37"/>
      <c r="Z637" s="37"/>
      <c r="AA637" s="37"/>
      <c r="AB637" s="37"/>
      <c r="AC637" s="37"/>
      <c r="AD637" s="37"/>
      <c r="AE637" s="37"/>
      <c r="AF637" s="37"/>
      <c r="AG637" s="59"/>
      <c r="AH637" s="49"/>
      <c r="AI637" s="37"/>
      <c r="AJ637" s="37"/>
      <c r="AK637" s="37"/>
      <c r="AL637" s="37"/>
      <c r="AM637" s="37"/>
      <c r="AN637" s="37"/>
      <c r="AO637" s="37"/>
      <c r="AP637" s="37"/>
      <c r="AQ637" s="37"/>
      <c r="AR637" s="37"/>
      <c r="AS637" s="37"/>
      <c r="AT637" s="37"/>
      <c r="AU637" s="37"/>
      <c r="AV637" s="59"/>
      <c r="AW637" s="1" t="str">
        <f>_xlfn.CONCAT(tbl_Ben_Info[[#This Row],[First Name]]," ",tbl_Ben_Info[[#This Row],[Father Name]]," ",tbl_Ben_Info[[#This Row],[Family Name]])</f>
        <v xml:space="preserve">  </v>
      </c>
    </row>
    <row r="638" spans="2:49" ht="25.15" customHeight="1" x14ac:dyDescent="0.25">
      <c r="B638" s="49">
        <v>633</v>
      </c>
      <c r="C638" s="1" t="str">
        <f>_xlfn.CONCAT("181-702-",IF(tbl_Ben_Info[[#This Row],[SN]]&lt;10,"00"&amp;tbl_Ben_Info[[#This Row],[SN]],IF(tbl_Ben_Info[[#This Row],[SN]]&lt;100,"0"&amp;tbl_Ben_Info[[#This Row],[SN]],tbl_Ben_Info[[#This Row],[SN]])))</f>
        <v>181-702-633</v>
      </c>
      <c r="D638" s="37"/>
      <c r="E638" s="40"/>
      <c r="F638" s="41"/>
      <c r="G638" s="42"/>
      <c r="H638" s="43"/>
      <c r="I638" s="73"/>
      <c r="J638" s="43"/>
      <c r="K638" s="43"/>
      <c r="L638" s="43"/>
      <c r="M638" s="43"/>
      <c r="N638" s="111"/>
      <c r="O638" s="43"/>
      <c r="P638" s="48"/>
      <c r="Q638" s="49"/>
      <c r="R638" s="37"/>
      <c r="S638" s="37"/>
      <c r="T638" s="37"/>
      <c r="U638" s="37"/>
      <c r="V638" s="59"/>
      <c r="W638" s="49"/>
      <c r="X638" s="37"/>
      <c r="Y638" s="37"/>
      <c r="Z638" s="37"/>
      <c r="AA638" s="37"/>
      <c r="AB638" s="37"/>
      <c r="AC638" s="37"/>
      <c r="AD638" s="37"/>
      <c r="AE638" s="37"/>
      <c r="AF638" s="37"/>
      <c r="AG638" s="59"/>
      <c r="AH638" s="49"/>
      <c r="AI638" s="37"/>
      <c r="AJ638" s="37"/>
      <c r="AK638" s="37"/>
      <c r="AL638" s="37"/>
      <c r="AM638" s="37"/>
      <c r="AN638" s="37"/>
      <c r="AO638" s="37"/>
      <c r="AP638" s="37"/>
      <c r="AQ638" s="37"/>
      <c r="AR638" s="37"/>
      <c r="AS638" s="37"/>
      <c r="AT638" s="37"/>
      <c r="AU638" s="37"/>
      <c r="AV638" s="59"/>
      <c r="AW638" s="1" t="str">
        <f>_xlfn.CONCAT(tbl_Ben_Info[[#This Row],[First Name]]," ",tbl_Ben_Info[[#This Row],[Father Name]]," ",tbl_Ben_Info[[#This Row],[Family Name]])</f>
        <v xml:space="preserve">  </v>
      </c>
    </row>
    <row r="639" spans="2:49" ht="25.15" customHeight="1" x14ac:dyDescent="0.25">
      <c r="B639" s="49">
        <v>634</v>
      </c>
      <c r="C639" s="1" t="str">
        <f>_xlfn.CONCAT("181-702-",IF(tbl_Ben_Info[[#This Row],[SN]]&lt;10,"00"&amp;tbl_Ben_Info[[#This Row],[SN]],IF(tbl_Ben_Info[[#This Row],[SN]]&lt;100,"0"&amp;tbl_Ben_Info[[#This Row],[SN]],tbl_Ben_Info[[#This Row],[SN]])))</f>
        <v>181-702-634</v>
      </c>
      <c r="D639" s="37"/>
      <c r="E639" s="40"/>
      <c r="F639" s="41"/>
      <c r="G639" s="42"/>
      <c r="H639" s="43"/>
      <c r="I639" s="73"/>
      <c r="J639" s="43"/>
      <c r="K639" s="43"/>
      <c r="L639" s="43"/>
      <c r="M639" s="43"/>
      <c r="N639" s="111"/>
      <c r="O639" s="43"/>
      <c r="P639" s="48"/>
      <c r="Q639" s="49"/>
      <c r="R639" s="37"/>
      <c r="S639" s="37"/>
      <c r="T639" s="37"/>
      <c r="U639" s="37"/>
      <c r="V639" s="59"/>
      <c r="W639" s="49"/>
      <c r="X639" s="37"/>
      <c r="Y639" s="37"/>
      <c r="Z639" s="37"/>
      <c r="AA639" s="37"/>
      <c r="AB639" s="37"/>
      <c r="AC639" s="37"/>
      <c r="AD639" s="37"/>
      <c r="AE639" s="37"/>
      <c r="AF639" s="37"/>
      <c r="AG639" s="59"/>
      <c r="AH639" s="49"/>
      <c r="AI639" s="37"/>
      <c r="AJ639" s="37"/>
      <c r="AK639" s="37"/>
      <c r="AL639" s="37"/>
      <c r="AM639" s="37"/>
      <c r="AN639" s="37"/>
      <c r="AO639" s="37"/>
      <c r="AP639" s="37"/>
      <c r="AQ639" s="37"/>
      <c r="AR639" s="37"/>
      <c r="AS639" s="37"/>
      <c r="AT639" s="37"/>
      <c r="AU639" s="37"/>
      <c r="AV639" s="59"/>
      <c r="AW639" s="1" t="str">
        <f>_xlfn.CONCAT(tbl_Ben_Info[[#This Row],[First Name]]," ",tbl_Ben_Info[[#This Row],[Father Name]]," ",tbl_Ben_Info[[#This Row],[Family Name]])</f>
        <v xml:space="preserve">  </v>
      </c>
    </row>
    <row r="640" spans="2:49" ht="25.15" customHeight="1" x14ac:dyDescent="0.25">
      <c r="B640" s="49">
        <v>635</v>
      </c>
      <c r="C640" s="1" t="str">
        <f>_xlfn.CONCAT("181-702-",IF(tbl_Ben_Info[[#This Row],[SN]]&lt;10,"00"&amp;tbl_Ben_Info[[#This Row],[SN]],IF(tbl_Ben_Info[[#This Row],[SN]]&lt;100,"0"&amp;tbl_Ben_Info[[#This Row],[SN]],tbl_Ben_Info[[#This Row],[SN]])))</f>
        <v>181-702-635</v>
      </c>
      <c r="D640" s="37"/>
      <c r="E640" s="40"/>
      <c r="F640" s="41"/>
      <c r="G640" s="42"/>
      <c r="H640" s="43"/>
      <c r="I640" s="73"/>
      <c r="J640" s="43"/>
      <c r="K640" s="43"/>
      <c r="L640" s="43"/>
      <c r="M640" s="43"/>
      <c r="N640" s="111"/>
      <c r="O640" s="43"/>
      <c r="P640" s="48"/>
      <c r="Q640" s="49"/>
      <c r="R640" s="37"/>
      <c r="S640" s="37"/>
      <c r="T640" s="37"/>
      <c r="U640" s="37"/>
      <c r="V640" s="59"/>
      <c r="W640" s="49"/>
      <c r="X640" s="37"/>
      <c r="Y640" s="37"/>
      <c r="Z640" s="37"/>
      <c r="AA640" s="37"/>
      <c r="AB640" s="37"/>
      <c r="AC640" s="37"/>
      <c r="AD640" s="37"/>
      <c r="AE640" s="37"/>
      <c r="AF640" s="37"/>
      <c r="AG640" s="59"/>
      <c r="AH640" s="49"/>
      <c r="AI640" s="37"/>
      <c r="AJ640" s="37"/>
      <c r="AK640" s="37"/>
      <c r="AL640" s="37"/>
      <c r="AM640" s="37"/>
      <c r="AN640" s="37"/>
      <c r="AO640" s="37"/>
      <c r="AP640" s="37"/>
      <c r="AQ640" s="37"/>
      <c r="AR640" s="37"/>
      <c r="AS640" s="37"/>
      <c r="AT640" s="37"/>
      <c r="AU640" s="37"/>
      <c r="AV640" s="59"/>
      <c r="AW640" s="1" t="str">
        <f>_xlfn.CONCAT(tbl_Ben_Info[[#This Row],[First Name]]," ",tbl_Ben_Info[[#This Row],[Father Name]]," ",tbl_Ben_Info[[#This Row],[Family Name]])</f>
        <v xml:space="preserve">  </v>
      </c>
    </row>
    <row r="641" spans="2:49" ht="25.15" customHeight="1" x14ac:dyDescent="0.25">
      <c r="B641" s="49">
        <v>636</v>
      </c>
      <c r="C641" s="1" t="str">
        <f>_xlfn.CONCAT("181-702-",IF(tbl_Ben_Info[[#This Row],[SN]]&lt;10,"00"&amp;tbl_Ben_Info[[#This Row],[SN]],IF(tbl_Ben_Info[[#This Row],[SN]]&lt;100,"0"&amp;tbl_Ben_Info[[#This Row],[SN]],tbl_Ben_Info[[#This Row],[SN]])))</f>
        <v>181-702-636</v>
      </c>
      <c r="D641" s="37"/>
      <c r="E641" s="40"/>
      <c r="F641" s="41"/>
      <c r="G641" s="42"/>
      <c r="H641" s="43"/>
      <c r="I641" s="73"/>
      <c r="J641" s="43"/>
      <c r="K641" s="43"/>
      <c r="L641" s="43"/>
      <c r="M641" s="43"/>
      <c r="N641" s="111"/>
      <c r="O641" s="43"/>
      <c r="P641" s="48"/>
      <c r="Q641" s="49"/>
      <c r="R641" s="37"/>
      <c r="S641" s="37"/>
      <c r="T641" s="37"/>
      <c r="U641" s="37"/>
      <c r="V641" s="59"/>
      <c r="W641" s="49"/>
      <c r="X641" s="37"/>
      <c r="Y641" s="37"/>
      <c r="Z641" s="37"/>
      <c r="AA641" s="37"/>
      <c r="AB641" s="37"/>
      <c r="AC641" s="37"/>
      <c r="AD641" s="37"/>
      <c r="AE641" s="37"/>
      <c r="AF641" s="37"/>
      <c r="AG641" s="59"/>
      <c r="AH641" s="49"/>
      <c r="AI641" s="37"/>
      <c r="AJ641" s="37"/>
      <c r="AK641" s="37"/>
      <c r="AL641" s="37"/>
      <c r="AM641" s="37"/>
      <c r="AN641" s="37"/>
      <c r="AO641" s="37"/>
      <c r="AP641" s="37"/>
      <c r="AQ641" s="37"/>
      <c r="AR641" s="37"/>
      <c r="AS641" s="37"/>
      <c r="AT641" s="37"/>
      <c r="AU641" s="37"/>
      <c r="AV641" s="59"/>
      <c r="AW641" s="1" t="str">
        <f>_xlfn.CONCAT(tbl_Ben_Info[[#This Row],[First Name]]," ",tbl_Ben_Info[[#This Row],[Father Name]]," ",tbl_Ben_Info[[#This Row],[Family Name]])</f>
        <v xml:space="preserve">  </v>
      </c>
    </row>
    <row r="642" spans="2:49" ht="25.15" customHeight="1" x14ac:dyDescent="0.25">
      <c r="B642" s="49">
        <v>637</v>
      </c>
      <c r="C642" s="1" t="str">
        <f>_xlfn.CONCAT("181-702-",IF(tbl_Ben_Info[[#This Row],[SN]]&lt;10,"00"&amp;tbl_Ben_Info[[#This Row],[SN]],IF(tbl_Ben_Info[[#This Row],[SN]]&lt;100,"0"&amp;tbl_Ben_Info[[#This Row],[SN]],tbl_Ben_Info[[#This Row],[SN]])))</f>
        <v>181-702-637</v>
      </c>
      <c r="D642" s="37"/>
      <c r="E642" s="40"/>
      <c r="F642" s="41"/>
      <c r="G642" s="42"/>
      <c r="H642" s="43"/>
      <c r="I642" s="73"/>
      <c r="J642" s="43"/>
      <c r="K642" s="43"/>
      <c r="L642" s="43"/>
      <c r="M642" s="43"/>
      <c r="N642" s="111"/>
      <c r="O642" s="43"/>
      <c r="P642" s="48"/>
      <c r="Q642" s="49"/>
      <c r="R642" s="37"/>
      <c r="S642" s="37"/>
      <c r="T642" s="37"/>
      <c r="U642" s="37"/>
      <c r="V642" s="59"/>
      <c r="W642" s="49"/>
      <c r="X642" s="37"/>
      <c r="Y642" s="37"/>
      <c r="Z642" s="37"/>
      <c r="AA642" s="37"/>
      <c r="AB642" s="37"/>
      <c r="AC642" s="37"/>
      <c r="AD642" s="37"/>
      <c r="AE642" s="37"/>
      <c r="AF642" s="37"/>
      <c r="AG642" s="59"/>
      <c r="AH642" s="49"/>
      <c r="AI642" s="37"/>
      <c r="AJ642" s="37"/>
      <c r="AK642" s="37"/>
      <c r="AL642" s="37"/>
      <c r="AM642" s="37"/>
      <c r="AN642" s="37"/>
      <c r="AO642" s="37"/>
      <c r="AP642" s="37"/>
      <c r="AQ642" s="37"/>
      <c r="AR642" s="37"/>
      <c r="AS642" s="37"/>
      <c r="AT642" s="37"/>
      <c r="AU642" s="37"/>
      <c r="AV642" s="59"/>
      <c r="AW642" s="1" t="str">
        <f>_xlfn.CONCAT(tbl_Ben_Info[[#This Row],[First Name]]," ",tbl_Ben_Info[[#This Row],[Father Name]]," ",tbl_Ben_Info[[#This Row],[Family Name]])</f>
        <v xml:space="preserve">  </v>
      </c>
    </row>
    <row r="643" spans="2:49" ht="25.15" customHeight="1" x14ac:dyDescent="0.25">
      <c r="B643" s="49">
        <v>638</v>
      </c>
      <c r="C643" s="1" t="str">
        <f>_xlfn.CONCAT("181-702-",IF(tbl_Ben_Info[[#This Row],[SN]]&lt;10,"00"&amp;tbl_Ben_Info[[#This Row],[SN]],IF(tbl_Ben_Info[[#This Row],[SN]]&lt;100,"0"&amp;tbl_Ben_Info[[#This Row],[SN]],tbl_Ben_Info[[#This Row],[SN]])))</f>
        <v>181-702-638</v>
      </c>
      <c r="D643" s="37"/>
      <c r="E643" s="40"/>
      <c r="F643" s="41"/>
      <c r="G643" s="42"/>
      <c r="H643" s="43"/>
      <c r="I643" s="73"/>
      <c r="J643" s="43"/>
      <c r="K643" s="43"/>
      <c r="L643" s="43"/>
      <c r="M643" s="43"/>
      <c r="N643" s="111"/>
      <c r="O643" s="43"/>
      <c r="P643" s="48"/>
      <c r="Q643" s="49"/>
      <c r="R643" s="37"/>
      <c r="S643" s="37"/>
      <c r="T643" s="37"/>
      <c r="U643" s="37"/>
      <c r="V643" s="59"/>
      <c r="W643" s="49"/>
      <c r="X643" s="37"/>
      <c r="Y643" s="37"/>
      <c r="Z643" s="37"/>
      <c r="AA643" s="37"/>
      <c r="AB643" s="37"/>
      <c r="AC643" s="37"/>
      <c r="AD643" s="37"/>
      <c r="AE643" s="37"/>
      <c r="AF643" s="37"/>
      <c r="AG643" s="59"/>
      <c r="AH643" s="49"/>
      <c r="AI643" s="37"/>
      <c r="AJ643" s="37"/>
      <c r="AK643" s="37"/>
      <c r="AL643" s="37"/>
      <c r="AM643" s="37"/>
      <c r="AN643" s="37"/>
      <c r="AO643" s="37"/>
      <c r="AP643" s="37"/>
      <c r="AQ643" s="37"/>
      <c r="AR643" s="37"/>
      <c r="AS643" s="37"/>
      <c r="AT643" s="37"/>
      <c r="AU643" s="37"/>
      <c r="AV643" s="59"/>
      <c r="AW643" s="1" t="str">
        <f>_xlfn.CONCAT(tbl_Ben_Info[[#This Row],[First Name]]," ",tbl_Ben_Info[[#This Row],[Father Name]]," ",tbl_Ben_Info[[#This Row],[Family Name]])</f>
        <v xml:space="preserve">  </v>
      </c>
    </row>
    <row r="644" spans="2:49" ht="25.15" customHeight="1" x14ac:dyDescent="0.25">
      <c r="B644" s="49">
        <v>639</v>
      </c>
      <c r="C644" s="1" t="str">
        <f>_xlfn.CONCAT("181-702-",IF(tbl_Ben_Info[[#This Row],[SN]]&lt;10,"00"&amp;tbl_Ben_Info[[#This Row],[SN]],IF(tbl_Ben_Info[[#This Row],[SN]]&lt;100,"0"&amp;tbl_Ben_Info[[#This Row],[SN]],tbl_Ben_Info[[#This Row],[SN]])))</f>
        <v>181-702-639</v>
      </c>
      <c r="D644" s="37"/>
      <c r="E644" s="40"/>
      <c r="F644" s="41"/>
      <c r="G644" s="42"/>
      <c r="H644" s="43"/>
      <c r="I644" s="73"/>
      <c r="J644" s="43"/>
      <c r="K644" s="43"/>
      <c r="L644" s="43"/>
      <c r="M644" s="43"/>
      <c r="N644" s="111"/>
      <c r="O644" s="43"/>
      <c r="P644" s="48"/>
      <c r="Q644" s="49"/>
      <c r="R644" s="37"/>
      <c r="S644" s="37"/>
      <c r="T644" s="37"/>
      <c r="U644" s="37"/>
      <c r="V644" s="59"/>
      <c r="W644" s="49"/>
      <c r="X644" s="37"/>
      <c r="Y644" s="37"/>
      <c r="Z644" s="37"/>
      <c r="AA644" s="37"/>
      <c r="AB644" s="37"/>
      <c r="AC644" s="37"/>
      <c r="AD644" s="37"/>
      <c r="AE644" s="37"/>
      <c r="AF644" s="37"/>
      <c r="AG644" s="59"/>
      <c r="AH644" s="49"/>
      <c r="AI644" s="37"/>
      <c r="AJ644" s="37"/>
      <c r="AK644" s="37"/>
      <c r="AL644" s="37"/>
      <c r="AM644" s="37"/>
      <c r="AN644" s="37"/>
      <c r="AO644" s="37"/>
      <c r="AP644" s="37"/>
      <c r="AQ644" s="37"/>
      <c r="AR644" s="37"/>
      <c r="AS644" s="37"/>
      <c r="AT644" s="37"/>
      <c r="AU644" s="37"/>
      <c r="AV644" s="59"/>
      <c r="AW644" s="1" t="str">
        <f>_xlfn.CONCAT(tbl_Ben_Info[[#This Row],[First Name]]," ",tbl_Ben_Info[[#This Row],[Father Name]]," ",tbl_Ben_Info[[#This Row],[Family Name]])</f>
        <v xml:space="preserve">  </v>
      </c>
    </row>
    <row r="645" spans="2:49" ht="25.15" customHeight="1" x14ac:dyDescent="0.25">
      <c r="B645" s="49">
        <v>640</v>
      </c>
      <c r="C645" s="1" t="str">
        <f>_xlfn.CONCAT("181-702-",IF(tbl_Ben_Info[[#This Row],[SN]]&lt;10,"00"&amp;tbl_Ben_Info[[#This Row],[SN]],IF(tbl_Ben_Info[[#This Row],[SN]]&lt;100,"0"&amp;tbl_Ben_Info[[#This Row],[SN]],tbl_Ben_Info[[#This Row],[SN]])))</f>
        <v>181-702-640</v>
      </c>
      <c r="D645" s="37"/>
      <c r="E645" s="40"/>
      <c r="F645" s="41"/>
      <c r="G645" s="42"/>
      <c r="H645" s="43"/>
      <c r="I645" s="73"/>
      <c r="J645" s="43"/>
      <c r="K645" s="43"/>
      <c r="L645" s="43"/>
      <c r="M645" s="43"/>
      <c r="N645" s="111"/>
      <c r="O645" s="43"/>
      <c r="P645" s="48"/>
      <c r="Q645" s="49"/>
      <c r="R645" s="37"/>
      <c r="S645" s="37"/>
      <c r="T645" s="37"/>
      <c r="U645" s="37"/>
      <c r="V645" s="59"/>
      <c r="W645" s="49"/>
      <c r="X645" s="37"/>
      <c r="Y645" s="37"/>
      <c r="Z645" s="37"/>
      <c r="AA645" s="37"/>
      <c r="AB645" s="37"/>
      <c r="AC645" s="37"/>
      <c r="AD645" s="37"/>
      <c r="AE645" s="37"/>
      <c r="AF645" s="37"/>
      <c r="AG645" s="59"/>
      <c r="AH645" s="49"/>
      <c r="AI645" s="37"/>
      <c r="AJ645" s="37"/>
      <c r="AK645" s="37"/>
      <c r="AL645" s="37"/>
      <c r="AM645" s="37"/>
      <c r="AN645" s="37"/>
      <c r="AO645" s="37"/>
      <c r="AP645" s="37"/>
      <c r="AQ645" s="37"/>
      <c r="AR645" s="37"/>
      <c r="AS645" s="37"/>
      <c r="AT645" s="37"/>
      <c r="AU645" s="37"/>
      <c r="AV645" s="59"/>
      <c r="AW645" s="1" t="str">
        <f>_xlfn.CONCAT(tbl_Ben_Info[[#This Row],[First Name]]," ",tbl_Ben_Info[[#This Row],[Father Name]]," ",tbl_Ben_Info[[#This Row],[Family Name]])</f>
        <v xml:space="preserve">  </v>
      </c>
    </row>
    <row r="646" spans="2:49" ht="25.15" customHeight="1" x14ac:dyDescent="0.25">
      <c r="B646" s="49">
        <v>641</v>
      </c>
      <c r="C646" s="1" t="str">
        <f>_xlfn.CONCAT("181-702-",IF(tbl_Ben_Info[[#This Row],[SN]]&lt;10,"00"&amp;tbl_Ben_Info[[#This Row],[SN]],IF(tbl_Ben_Info[[#This Row],[SN]]&lt;100,"0"&amp;tbl_Ben_Info[[#This Row],[SN]],tbl_Ben_Info[[#This Row],[SN]])))</f>
        <v>181-702-641</v>
      </c>
      <c r="D646" s="37"/>
      <c r="E646" s="40"/>
      <c r="F646" s="41"/>
      <c r="G646" s="42"/>
      <c r="H646" s="43"/>
      <c r="I646" s="73"/>
      <c r="J646" s="43"/>
      <c r="K646" s="43"/>
      <c r="L646" s="43"/>
      <c r="M646" s="43"/>
      <c r="N646" s="111"/>
      <c r="O646" s="43"/>
      <c r="P646" s="48"/>
      <c r="Q646" s="49"/>
      <c r="R646" s="37"/>
      <c r="S646" s="37"/>
      <c r="T646" s="37"/>
      <c r="U646" s="37"/>
      <c r="V646" s="59"/>
      <c r="W646" s="49"/>
      <c r="X646" s="37"/>
      <c r="Y646" s="37"/>
      <c r="Z646" s="37"/>
      <c r="AA646" s="37"/>
      <c r="AB646" s="37"/>
      <c r="AC646" s="37"/>
      <c r="AD646" s="37"/>
      <c r="AE646" s="37"/>
      <c r="AF646" s="37"/>
      <c r="AG646" s="59"/>
      <c r="AH646" s="49"/>
      <c r="AI646" s="37"/>
      <c r="AJ646" s="37"/>
      <c r="AK646" s="37"/>
      <c r="AL646" s="37"/>
      <c r="AM646" s="37"/>
      <c r="AN646" s="37"/>
      <c r="AO646" s="37"/>
      <c r="AP646" s="37"/>
      <c r="AQ646" s="37"/>
      <c r="AR646" s="37"/>
      <c r="AS646" s="37"/>
      <c r="AT646" s="37"/>
      <c r="AU646" s="37"/>
      <c r="AV646" s="59"/>
      <c r="AW646" s="1" t="str">
        <f>_xlfn.CONCAT(tbl_Ben_Info[[#This Row],[First Name]]," ",tbl_Ben_Info[[#This Row],[Father Name]]," ",tbl_Ben_Info[[#This Row],[Family Name]])</f>
        <v xml:space="preserve">  </v>
      </c>
    </row>
    <row r="647" spans="2:49" ht="25.15" customHeight="1" x14ac:dyDescent="0.25">
      <c r="B647" s="49">
        <v>642</v>
      </c>
      <c r="C647" s="1" t="str">
        <f>_xlfn.CONCAT("181-702-",IF(tbl_Ben_Info[[#This Row],[SN]]&lt;10,"00"&amp;tbl_Ben_Info[[#This Row],[SN]],IF(tbl_Ben_Info[[#This Row],[SN]]&lt;100,"0"&amp;tbl_Ben_Info[[#This Row],[SN]],tbl_Ben_Info[[#This Row],[SN]])))</f>
        <v>181-702-642</v>
      </c>
      <c r="D647" s="37"/>
      <c r="E647" s="40"/>
      <c r="F647" s="41"/>
      <c r="G647" s="42"/>
      <c r="H647" s="43"/>
      <c r="I647" s="73"/>
      <c r="J647" s="43"/>
      <c r="K647" s="43"/>
      <c r="L647" s="43"/>
      <c r="M647" s="43"/>
      <c r="N647" s="111"/>
      <c r="O647" s="43"/>
      <c r="P647" s="48"/>
      <c r="Q647" s="49"/>
      <c r="R647" s="37"/>
      <c r="S647" s="37"/>
      <c r="T647" s="37"/>
      <c r="U647" s="37"/>
      <c r="V647" s="59"/>
      <c r="W647" s="49"/>
      <c r="X647" s="37"/>
      <c r="Y647" s="37"/>
      <c r="Z647" s="37"/>
      <c r="AA647" s="37"/>
      <c r="AB647" s="37"/>
      <c r="AC647" s="37"/>
      <c r="AD647" s="37"/>
      <c r="AE647" s="37"/>
      <c r="AF647" s="37"/>
      <c r="AG647" s="59"/>
      <c r="AH647" s="49"/>
      <c r="AI647" s="37"/>
      <c r="AJ647" s="37"/>
      <c r="AK647" s="37"/>
      <c r="AL647" s="37"/>
      <c r="AM647" s="37"/>
      <c r="AN647" s="37"/>
      <c r="AO647" s="37"/>
      <c r="AP647" s="37"/>
      <c r="AQ647" s="37"/>
      <c r="AR647" s="37"/>
      <c r="AS647" s="37"/>
      <c r="AT647" s="37"/>
      <c r="AU647" s="37"/>
      <c r="AV647" s="59"/>
      <c r="AW647" s="1" t="str">
        <f>_xlfn.CONCAT(tbl_Ben_Info[[#This Row],[First Name]]," ",tbl_Ben_Info[[#This Row],[Father Name]]," ",tbl_Ben_Info[[#This Row],[Family Name]])</f>
        <v xml:space="preserve">  </v>
      </c>
    </row>
    <row r="648" spans="2:49" ht="25.15" customHeight="1" x14ac:dyDescent="0.25">
      <c r="B648" s="49">
        <v>643</v>
      </c>
      <c r="C648" s="1" t="str">
        <f>_xlfn.CONCAT("181-702-",IF(tbl_Ben_Info[[#This Row],[SN]]&lt;10,"00"&amp;tbl_Ben_Info[[#This Row],[SN]],IF(tbl_Ben_Info[[#This Row],[SN]]&lt;100,"0"&amp;tbl_Ben_Info[[#This Row],[SN]],tbl_Ben_Info[[#This Row],[SN]])))</f>
        <v>181-702-643</v>
      </c>
      <c r="D648" s="37"/>
      <c r="E648" s="40"/>
      <c r="F648" s="41"/>
      <c r="G648" s="42"/>
      <c r="H648" s="43"/>
      <c r="I648" s="73"/>
      <c r="J648" s="43"/>
      <c r="K648" s="43"/>
      <c r="L648" s="43"/>
      <c r="M648" s="43"/>
      <c r="N648" s="111"/>
      <c r="O648" s="43"/>
      <c r="P648" s="48"/>
      <c r="Q648" s="49"/>
      <c r="R648" s="37"/>
      <c r="S648" s="37"/>
      <c r="T648" s="37"/>
      <c r="U648" s="37"/>
      <c r="V648" s="59"/>
      <c r="W648" s="49"/>
      <c r="X648" s="37"/>
      <c r="Y648" s="37"/>
      <c r="Z648" s="37"/>
      <c r="AA648" s="37"/>
      <c r="AB648" s="37"/>
      <c r="AC648" s="37"/>
      <c r="AD648" s="37"/>
      <c r="AE648" s="37"/>
      <c r="AF648" s="37"/>
      <c r="AG648" s="59"/>
      <c r="AH648" s="49"/>
      <c r="AI648" s="37"/>
      <c r="AJ648" s="37"/>
      <c r="AK648" s="37"/>
      <c r="AL648" s="37"/>
      <c r="AM648" s="37"/>
      <c r="AN648" s="37"/>
      <c r="AO648" s="37"/>
      <c r="AP648" s="37"/>
      <c r="AQ648" s="37"/>
      <c r="AR648" s="37"/>
      <c r="AS648" s="37"/>
      <c r="AT648" s="37"/>
      <c r="AU648" s="37"/>
      <c r="AV648" s="59"/>
      <c r="AW648" s="1" t="str">
        <f>_xlfn.CONCAT(tbl_Ben_Info[[#This Row],[First Name]]," ",tbl_Ben_Info[[#This Row],[Father Name]]," ",tbl_Ben_Info[[#This Row],[Family Name]])</f>
        <v xml:space="preserve">  </v>
      </c>
    </row>
    <row r="649" spans="2:49" ht="25.15" customHeight="1" x14ac:dyDescent="0.25">
      <c r="B649" s="49">
        <v>644</v>
      </c>
      <c r="C649" s="1" t="str">
        <f>_xlfn.CONCAT("181-702-",IF(tbl_Ben_Info[[#This Row],[SN]]&lt;10,"00"&amp;tbl_Ben_Info[[#This Row],[SN]],IF(tbl_Ben_Info[[#This Row],[SN]]&lt;100,"0"&amp;tbl_Ben_Info[[#This Row],[SN]],tbl_Ben_Info[[#This Row],[SN]])))</f>
        <v>181-702-644</v>
      </c>
      <c r="D649" s="37"/>
      <c r="E649" s="40"/>
      <c r="F649" s="41"/>
      <c r="G649" s="42"/>
      <c r="H649" s="43"/>
      <c r="I649" s="73"/>
      <c r="J649" s="43"/>
      <c r="K649" s="43"/>
      <c r="L649" s="43"/>
      <c r="M649" s="43"/>
      <c r="N649" s="111"/>
      <c r="O649" s="43"/>
      <c r="P649" s="48"/>
      <c r="Q649" s="49"/>
      <c r="R649" s="37"/>
      <c r="S649" s="37"/>
      <c r="T649" s="37"/>
      <c r="U649" s="37"/>
      <c r="V649" s="59"/>
      <c r="W649" s="49"/>
      <c r="X649" s="37"/>
      <c r="Y649" s="37"/>
      <c r="Z649" s="37"/>
      <c r="AA649" s="37"/>
      <c r="AB649" s="37"/>
      <c r="AC649" s="37"/>
      <c r="AD649" s="37"/>
      <c r="AE649" s="37"/>
      <c r="AF649" s="37"/>
      <c r="AG649" s="59"/>
      <c r="AH649" s="49"/>
      <c r="AI649" s="37"/>
      <c r="AJ649" s="37"/>
      <c r="AK649" s="37"/>
      <c r="AL649" s="37"/>
      <c r="AM649" s="37"/>
      <c r="AN649" s="37"/>
      <c r="AO649" s="37"/>
      <c r="AP649" s="37"/>
      <c r="AQ649" s="37"/>
      <c r="AR649" s="37"/>
      <c r="AS649" s="37"/>
      <c r="AT649" s="37"/>
      <c r="AU649" s="37"/>
      <c r="AV649" s="59"/>
      <c r="AW649" s="1" t="str">
        <f>_xlfn.CONCAT(tbl_Ben_Info[[#This Row],[First Name]]," ",tbl_Ben_Info[[#This Row],[Father Name]]," ",tbl_Ben_Info[[#This Row],[Family Name]])</f>
        <v xml:space="preserve">  </v>
      </c>
    </row>
    <row r="650" spans="2:49" ht="25.15" customHeight="1" x14ac:dyDescent="0.25">
      <c r="B650" s="49">
        <v>645</v>
      </c>
      <c r="C650" s="1" t="str">
        <f>_xlfn.CONCAT("181-702-",IF(tbl_Ben_Info[[#This Row],[SN]]&lt;10,"00"&amp;tbl_Ben_Info[[#This Row],[SN]],IF(tbl_Ben_Info[[#This Row],[SN]]&lt;100,"0"&amp;tbl_Ben_Info[[#This Row],[SN]],tbl_Ben_Info[[#This Row],[SN]])))</f>
        <v>181-702-645</v>
      </c>
      <c r="D650" s="37"/>
      <c r="E650" s="40"/>
      <c r="F650" s="41"/>
      <c r="G650" s="42"/>
      <c r="H650" s="43"/>
      <c r="I650" s="73"/>
      <c r="J650" s="43"/>
      <c r="K650" s="43"/>
      <c r="L650" s="43"/>
      <c r="M650" s="43"/>
      <c r="N650" s="111"/>
      <c r="O650" s="43"/>
      <c r="P650" s="48"/>
      <c r="Q650" s="49"/>
      <c r="R650" s="37"/>
      <c r="S650" s="37"/>
      <c r="T650" s="37"/>
      <c r="U650" s="37"/>
      <c r="V650" s="59"/>
      <c r="W650" s="49"/>
      <c r="X650" s="37"/>
      <c r="Y650" s="37"/>
      <c r="Z650" s="37"/>
      <c r="AA650" s="37"/>
      <c r="AB650" s="37"/>
      <c r="AC650" s="37"/>
      <c r="AD650" s="37"/>
      <c r="AE650" s="37"/>
      <c r="AF650" s="37"/>
      <c r="AG650" s="59"/>
      <c r="AH650" s="49"/>
      <c r="AI650" s="37"/>
      <c r="AJ650" s="37"/>
      <c r="AK650" s="37"/>
      <c r="AL650" s="37"/>
      <c r="AM650" s="37"/>
      <c r="AN650" s="37"/>
      <c r="AO650" s="37"/>
      <c r="AP650" s="37"/>
      <c r="AQ650" s="37"/>
      <c r="AR650" s="37"/>
      <c r="AS650" s="37"/>
      <c r="AT650" s="37"/>
      <c r="AU650" s="37"/>
      <c r="AV650" s="59"/>
      <c r="AW650" s="1" t="str">
        <f>_xlfn.CONCAT(tbl_Ben_Info[[#This Row],[First Name]]," ",tbl_Ben_Info[[#This Row],[Father Name]]," ",tbl_Ben_Info[[#This Row],[Family Name]])</f>
        <v xml:space="preserve">  </v>
      </c>
    </row>
    <row r="651" spans="2:49" ht="25.15" customHeight="1" x14ac:dyDescent="0.25">
      <c r="B651" s="49">
        <v>646</v>
      </c>
      <c r="C651" s="1" t="str">
        <f>_xlfn.CONCAT("181-702-",IF(tbl_Ben_Info[[#This Row],[SN]]&lt;10,"00"&amp;tbl_Ben_Info[[#This Row],[SN]],IF(tbl_Ben_Info[[#This Row],[SN]]&lt;100,"0"&amp;tbl_Ben_Info[[#This Row],[SN]],tbl_Ben_Info[[#This Row],[SN]])))</f>
        <v>181-702-646</v>
      </c>
      <c r="D651" s="37"/>
      <c r="E651" s="40"/>
      <c r="F651" s="41"/>
      <c r="G651" s="42"/>
      <c r="H651" s="43"/>
      <c r="I651" s="73"/>
      <c r="J651" s="43"/>
      <c r="K651" s="43"/>
      <c r="L651" s="43"/>
      <c r="M651" s="43"/>
      <c r="N651" s="111"/>
      <c r="O651" s="43"/>
      <c r="P651" s="48"/>
      <c r="Q651" s="49"/>
      <c r="R651" s="37"/>
      <c r="S651" s="37"/>
      <c r="T651" s="37"/>
      <c r="U651" s="37"/>
      <c r="V651" s="59"/>
      <c r="W651" s="49"/>
      <c r="X651" s="37"/>
      <c r="Y651" s="37"/>
      <c r="Z651" s="37"/>
      <c r="AA651" s="37"/>
      <c r="AB651" s="37"/>
      <c r="AC651" s="37"/>
      <c r="AD651" s="37"/>
      <c r="AE651" s="37"/>
      <c r="AF651" s="37"/>
      <c r="AG651" s="59"/>
      <c r="AH651" s="49"/>
      <c r="AI651" s="37"/>
      <c r="AJ651" s="37"/>
      <c r="AK651" s="37"/>
      <c r="AL651" s="37"/>
      <c r="AM651" s="37"/>
      <c r="AN651" s="37"/>
      <c r="AO651" s="37"/>
      <c r="AP651" s="37"/>
      <c r="AQ651" s="37"/>
      <c r="AR651" s="37"/>
      <c r="AS651" s="37"/>
      <c r="AT651" s="37"/>
      <c r="AU651" s="37"/>
      <c r="AV651" s="59"/>
      <c r="AW651" s="1" t="str">
        <f>_xlfn.CONCAT(tbl_Ben_Info[[#This Row],[First Name]]," ",tbl_Ben_Info[[#This Row],[Father Name]]," ",tbl_Ben_Info[[#This Row],[Family Name]])</f>
        <v xml:space="preserve">  </v>
      </c>
    </row>
    <row r="652" spans="2:49" ht="25.15" customHeight="1" x14ac:dyDescent="0.25">
      <c r="B652" s="49">
        <v>647</v>
      </c>
      <c r="C652" s="1" t="str">
        <f>_xlfn.CONCAT("181-702-",IF(tbl_Ben_Info[[#This Row],[SN]]&lt;10,"00"&amp;tbl_Ben_Info[[#This Row],[SN]],IF(tbl_Ben_Info[[#This Row],[SN]]&lt;100,"0"&amp;tbl_Ben_Info[[#This Row],[SN]],tbl_Ben_Info[[#This Row],[SN]])))</f>
        <v>181-702-647</v>
      </c>
      <c r="D652" s="37"/>
      <c r="E652" s="40"/>
      <c r="F652" s="41"/>
      <c r="G652" s="42"/>
      <c r="H652" s="43"/>
      <c r="I652" s="73"/>
      <c r="J652" s="43"/>
      <c r="K652" s="43"/>
      <c r="L652" s="43"/>
      <c r="M652" s="43"/>
      <c r="N652" s="111"/>
      <c r="O652" s="43"/>
      <c r="P652" s="48"/>
      <c r="Q652" s="49"/>
      <c r="R652" s="37"/>
      <c r="S652" s="37"/>
      <c r="T652" s="37"/>
      <c r="U652" s="37"/>
      <c r="V652" s="59"/>
      <c r="W652" s="49"/>
      <c r="X652" s="37"/>
      <c r="Y652" s="37"/>
      <c r="Z652" s="37"/>
      <c r="AA652" s="37"/>
      <c r="AB652" s="37"/>
      <c r="AC652" s="37"/>
      <c r="AD652" s="37"/>
      <c r="AE652" s="37"/>
      <c r="AF652" s="37"/>
      <c r="AG652" s="59"/>
      <c r="AH652" s="49"/>
      <c r="AI652" s="37"/>
      <c r="AJ652" s="37"/>
      <c r="AK652" s="37"/>
      <c r="AL652" s="37"/>
      <c r="AM652" s="37"/>
      <c r="AN652" s="37"/>
      <c r="AO652" s="37"/>
      <c r="AP652" s="37"/>
      <c r="AQ652" s="37"/>
      <c r="AR652" s="37"/>
      <c r="AS652" s="37"/>
      <c r="AT652" s="37"/>
      <c r="AU652" s="37"/>
      <c r="AV652" s="59"/>
      <c r="AW652" s="1" t="str">
        <f>_xlfn.CONCAT(tbl_Ben_Info[[#This Row],[First Name]]," ",tbl_Ben_Info[[#This Row],[Father Name]]," ",tbl_Ben_Info[[#This Row],[Family Name]])</f>
        <v xml:space="preserve">  </v>
      </c>
    </row>
    <row r="653" spans="2:49" ht="25.15" customHeight="1" x14ac:dyDescent="0.25">
      <c r="B653" s="49">
        <v>648</v>
      </c>
      <c r="C653" s="1" t="str">
        <f>_xlfn.CONCAT("181-702-",IF(tbl_Ben_Info[[#This Row],[SN]]&lt;10,"00"&amp;tbl_Ben_Info[[#This Row],[SN]],IF(tbl_Ben_Info[[#This Row],[SN]]&lt;100,"0"&amp;tbl_Ben_Info[[#This Row],[SN]],tbl_Ben_Info[[#This Row],[SN]])))</f>
        <v>181-702-648</v>
      </c>
      <c r="D653" s="37"/>
      <c r="E653" s="40"/>
      <c r="F653" s="41"/>
      <c r="G653" s="42"/>
      <c r="H653" s="43"/>
      <c r="I653" s="73"/>
      <c r="J653" s="43"/>
      <c r="K653" s="43"/>
      <c r="L653" s="43"/>
      <c r="M653" s="43"/>
      <c r="N653" s="111"/>
      <c r="O653" s="43"/>
      <c r="P653" s="48"/>
      <c r="Q653" s="49"/>
      <c r="R653" s="37"/>
      <c r="S653" s="37"/>
      <c r="T653" s="37"/>
      <c r="U653" s="37"/>
      <c r="V653" s="59"/>
      <c r="W653" s="49"/>
      <c r="X653" s="37"/>
      <c r="Y653" s="37"/>
      <c r="Z653" s="37"/>
      <c r="AA653" s="37"/>
      <c r="AB653" s="37"/>
      <c r="AC653" s="37"/>
      <c r="AD653" s="37"/>
      <c r="AE653" s="37"/>
      <c r="AF653" s="37"/>
      <c r="AG653" s="59"/>
      <c r="AH653" s="49"/>
      <c r="AI653" s="37"/>
      <c r="AJ653" s="37"/>
      <c r="AK653" s="37"/>
      <c r="AL653" s="37"/>
      <c r="AM653" s="37"/>
      <c r="AN653" s="37"/>
      <c r="AO653" s="37"/>
      <c r="AP653" s="37"/>
      <c r="AQ653" s="37"/>
      <c r="AR653" s="37"/>
      <c r="AS653" s="37"/>
      <c r="AT653" s="37"/>
      <c r="AU653" s="37"/>
      <c r="AV653" s="59"/>
      <c r="AW653" s="1" t="str">
        <f>_xlfn.CONCAT(tbl_Ben_Info[[#This Row],[First Name]]," ",tbl_Ben_Info[[#This Row],[Father Name]]," ",tbl_Ben_Info[[#This Row],[Family Name]])</f>
        <v xml:space="preserve">  </v>
      </c>
    </row>
    <row r="654" spans="2:49" ht="25.15" customHeight="1" x14ac:dyDescent="0.25">
      <c r="B654" s="49">
        <v>649</v>
      </c>
      <c r="C654" s="1" t="str">
        <f>_xlfn.CONCAT("181-702-",IF(tbl_Ben_Info[[#This Row],[SN]]&lt;10,"00"&amp;tbl_Ben_Info[[#This Row],[SN]],IF(tbl_Ben_Info[[#This Row],[SN]]&lt;100,"0"&amp;tbl_Ben_Info[[#This Row],[SN]],tbl_Ben_Info[[#This Row],[SN]])))</f>
        <v>181-702-649</v>
      </c>
      <c r="D654" s="37"/>
      <c r="E654" s="40"/>
      <c r="F654" s="41"/>
      <c r="G654" s="42"/>
      <c r="H654" s="43"/>
      <c r="I654" s="73"/>
      <c r="J654" s="43"/>
      <c r="K654" s="43"/>
      <c r="L654" s="43"/>
      <c r="M654" s="43"/>
      <c r="N654" s="111"/>
      <c r="O654" s="43"/>
      <c r="P654" s="48"/>
      <c r="Q654" s="49"/>
      <c r="R654" s="37"/>
      <c r="S654" s="37"/>
      <c r="T654" s="37"/>
      <c r="U654" s="37"/>
      <c r="V654" s="59"/>
      <c r="W654" s="49"/>
      <c r="X654" s="37"/>
      <c r="Y654" s="37"/>
      <c r="Z654" s="37"/>
      <c r="AA654" s="37"/>
      <c r="AB654" s="37"/>
      <c r="AC654" s="37"/>
      <c r="AD654" s="37"/>
      <c r="AE654" s="37"/>
      <c r="AF654" s="37"/>
      <c r="AG654" s="59"/>
      <c r="AH654" s="49"/>
      <c r="AI654" s="37"/>
      <c r="AJ654" s="37"/>
      <c r="AK654" s="37"/>
      <c r="AL654" s="37"/>
      <c r="AM654" s="37"/>
      <c r="AN654" s="37"/>
      <c r="AO654" s="37"/>
      <c r="AP654" s="37"/>
      <c r="AQ654" s="37"/>
      <c r="AR654" s="37"/>
      <c r="AS654" s="37"/>
      <c r="AT654" s="37"/>
      <c r="AU654" s="37"/>
      <c r="AV654" s="59"/>
      <c r="AW654" s="1" t="str">
        <f>_xlfn.CONCAT(tbl_Ben_Info[[#This Row],[First Name]]," ",tbl_Ben_Info[[#This Row],[Father Name]]," ",tbl_Ben_Info[[#This Row],[Family Name]])</f>
        <v xml:space="preserve">  </v>
      </c>
    </row>
    <row r="655" spans="2:49" ht="25.15" customHeight="1" x14ac:dyDescent="0.25">
      <c r="B655" s="49">
        <v>650</v>
      </c>
      <c r="C655" s="1" t="str">
        <f>_xlfn.CONCAT("181-702-",IF(tbl_Ben_Info[[#This Row],[SN]]&lt;10,"00"&amp;tbl_Ben_Info[[#This Row],[SN]],IF(tbl_Ben_Info[[#This Row],[SN]]&lt;100,"0"&amp;tbl_Ben_Info[[#This Row],[SN]],tbl_Ben_Info[[#This Row],[SN]])))</f>
        <v>181-702-650</v>
      </c>
      <c r="D655" s="37"/>
      <c r="E655" s="40"/>
      <c r="F655" s="41"/>
      <c r="G655" s="42"/>
      <c r="H655" s="43"/>
      <c r="I655" s="73"/>
      <c r="J655" s="43"/>
      <c r="K655" s="43"/>
      <c r="L655" s="43"/>
      <c r="M655" s="43"/>
      <c r="N655" s="111"/>
      <c r="O655" s="43"/>
      <c r="P655" s="48"/>
      <c r="Q655" s="49"/>
      <c r="R655" s="37"/>
      <c r="S655" s="37"/>
      <c r="T655" s="37"/>
      <c r="U655" s="37"/>
      <c r="V655" s="59"/>
      <c r="W655" s="49"/>
      <c r="X655" s="37"/>
      <c r="Y655" s="37"/>
      <c r="Z655" s="37"/>
      <c r="AA655" s="37"/>
      <c r="AB655" s="37"/>
      <c r="AC655" s="37"/>
      <c r="AD655" s="37"/>
      <c r="AE655" s="37"/>
      <c r="AF655" s="37"/>
      <c r="AG655" s="59"/>
      <c r="AH655" s="49"/>
      <c r="AI655" s="37"/>
      <c r="AJ655" s="37"/>
      <c r="AK655" s="37"/>
      <c r="AL655" s="37"/>
      <c r="AM655" s="37"/>
      <c r="AN655" s="37"/>
      <c r="AO655" s="37"/>
      <c r="AP655" s="37"/>
      <c r="AQ655" s="37"/>
      <c r="AR655" s="37"/>
      <c r="AS655" s="37"/>
      <c r="AT655" s="37"/>
      <c r="AU655" s="37"/>
      <c r="AV655" s="59"/>
      <c r="AW655" s="1" t="str">
        <f>_xlfn.CONCAT(tbl_Ben_Info[[#This Row],[First Name]]," ",tbl_Ben_Info[[#This Row],[Father Name]]," ",tbl_Ben_Info[[#This Row],[Family Name]])</f>
        <v xml:space="preserve">  </v>
      </c>
    </row>
    <row r="656" spans="2:49" ht="25.15" customHeight="1" x14ac:dyDescent="0.25">
      <c r="B656" s="49">
        <v>651</v>
      </c>
      <c r="C656" s="1" t="str">
        <f>_xlfn.CONCAT("181-702-",IF(tbl_Ben_Info[[#This Row],[SN]]&lt;10,"00"&amp;tbl_Ben_Info[[#This Row],[SN]],IF(tbl_Ben_Info[[#This Row],[SN]]&lt;100,"0"&amp;tbl_Ben_Info[[#This Row],[SN]],tbl_Ben_Info[[#This Row],[SN]])))</f>
        <v>181-702-651</v>
      </c>
      <c r="D656" s="37"/>
      <c r="E656" s="40"/>
      <c r="F656" s="41"/>
      <c r="G656" s="42"/>
      <c r="H656" s="43"/>
      <c r="I656" s="73"/>
      <c r="J656" s="43"/>
      <c r="K656" s="43"/>
      <c r="L656" s="43"/>
      <c r="M656" s="43"/>
      <c r="N656" s="111"/>
      <c r="O656" s="43"/>
      <c r="P656" s="48"/>
      <c r="Q656" s="49"/>
      <c r="R656" s="37"/>
      <c r="S656" s="37"/>
      <c r="T656" s="37"/>
      <c r="U656" s="37"/>
      <c r="V656" s="59"/>
      <c r="W656" s="49"/>
      <c r="X656" s="37"/>
      <c r="Y656" s="37"/>
      <c r="Z656" s="37"/>
      <c r="AA656" s="37"/>
      <c r="AB656" s="37"/>
      <c r="AC656" s="37"/>
      <c r="AD656" s="37"/>
      <c r="AE656" s="37"/>
      <c r="AF656" s="37"/>
      <c r="AG656" s="59"/>
      <c r="AH656" s="49"/>
      <c r="AI656" s="37"/>
      <c r="AJ656" s="37"/>
      <c r="AK656" s="37"/>
      <c r="AL656" s="37"/>
      <c r="AM656" s="37"/>
      <c r="AN656" s="37"/>
      <c r="AO656" s="37"/>
      <c r="AP656" s="37"/>
      <c r="AQ656" s="37"/>
      <c r="AR656" s="37"/>
      <c r="AS656" s="37"/>
      <c r="AT656" s="37"/>
      <c r="AU656" s="37"/>
      <c r="AV656" s="59"/>
      <c r="AW656" s="1" t="str">
        <f>_xlfn.CONCAT(tbl_Ben_Info[[#This Row],[First Name]]," ",tbl_Ben_Info[[#This Row],[Father Name]]," ",tbl_Ben_Info[[#This Row],[Family Name]])</f>
        <v xml:space="preserve">  </v>
      </c>
    </row>
    <row r="657" spans="2:49" ht="25.15" customHeight="1" x14ac:dyDescent="0.25">
      <c r="B657" s="49">
        <v>652</v>
      </c>
      <c r="C657" s="1" t="str">
        <f>_xlfn.CONCAT("181-702-",IF(tbl_Ben_Info[[#This Row],[SN]]&lt;10,"00"&amp;tbl_Ben_Info[[#This Row],[SN]],IF(tbl_Ben_Info[[#This Row],[SN]]&lt;100,"0"&amp;tbl_Ben_Info[[#This Row],[SN]],tbl_Ben_Info[[#This Row],[SN]])))</f>
        <v>181-702-652</v>
      </c>
      <c r="D657" s="37"/>
      <c r="E657" s="40"/>
      <c r="F657" s="41"/>
      <c r="G657" s="42"/>
      <c r="H657" s="43"/>
      <c r="I657" s="73"/>
      <c r="J657" s="43"/>
      <c r="K657" s="43"/>
      <c r="L657" s="43"/>
      <c r="M657" s="43"/>
      <c r="N657" s="111"/>
      <c r="O657" s="43"/>
      <c r="P657" s="48"/>
      <c r="Q657" s="49"/>
      <c r="R657" s="37"/>
      <c r="S657" s="37"/>
      <c r="T657" s="37"/>
      <c r="U657" s="37"/>
      <c r="V657" s="59"/>
      <c r="W657" s="49"/>
      <c r="X657" s="37"/>
      <c r="Y657" s="37"/>
      <c r="Z657" s="37"/>
      <c r="AA657" s="37"/>
      <c r="AB657" s="37"/>
      <c r="AC657" s="37"/>
      <c r="AD657" s="37"/>
      <c r="AE657" s="37"/>
      <c r="AF657" s="37"/>
      <c r="AG657" s="59"/>
      <c r="AH657" s="49"/>
      <c r="AI657" s="37"/>
      <c r="AJ657" s="37"/>
      <c r="AK657" s="37"/>
      <c r="AL657" s="37"/>
      <c r="AM657" s="37"/>
      <c r="AN657" s="37"/>
      <c r="AO657" s="37"/>
      <c r="AP657" s="37"/>
      <c r="AQ657" s="37"/>
      <c r="AR657" s="37"/>
      <c r="AS657" s="37"/>
      <c r="AT657" s="37"/>
      <c r="AU657" s="37"/>
      <c r="AV657" s="59"/>
      <c r="AW657" s="1" t="str">
        <f>_xlfn.CONCAT(tbl_Ben_Info[[#This Row],[First Name]]," ",tbl_Ben_Info[[#This Row],[Father Name]]," ",tbl_Ben_Info[[#This Row],[Family Name]])</f>
        <v xml:space="preserve">  </v>
      </c>
    </row>
    <row r="658" spans="2:49" ht="25.15" customHeight="1" x14ac:dyDescent="0.25">
      <c r="B658" s="49">
        <v>653</v>
      </c>
      <c r="C658" s="1" t="str">
        <f>_xlfn.CONCAT("181-702-",IF(tbl_Ben_Info[[#This Row],[SN]]&lt;10,"00"&amp;tbl_Ben_Info[[#This Row],[SN]],IF(tbl_Ben_Info[[#This Row],[SN]]&lt;100,"0"&amp;tbl_Ben_Info[[#This Row],[SN]],tbl_Ben_Info[[#This Row],[SN]])))</f>
        <v>181-702-653</v>
      </c>
      <c r="D658" s="37"/>
      <c r="E658" s="40"/>
      <c r="F658" s="41"/>
      <c r="G658" s="42"/>
      <c r="H658" s="43"/>
      <c r="I658" s="73"/>
      <c r="J658" s="43"/>
      <c r="K658" s="43"/>
      <c r="L658" s="43"/>
      <c r="M658" s="43"/>
      <c r="N658" s="111"/>
      <c r="O658" s="43"/>
      <c r="P658" s="48"/>
      <c r="Q658" s="49"/>
      <c r="R658" s="37"/>
      <c r="S658" s="37"/>
      <c r="T658" s="37"/>
      <c r="U658" s="37"/>
      <c r="V658" s="59"/>
      <c r="W658" s="49"/>
      <c r="X658" s="37"/>
      <c r="Y658" s="37"/>
      <c r="Z658" s="37"/>
      <c r="AA658" s="37"/>
      <c r="AB658" s="37"/>
      <c r="AC658" s="37"/>
      <c r="AD658" s="37"/>
      <c r="AE658" s="37"/>
      <c r="AF658" s="37"/>
      <c r="AG658" s="59"/>
      <c r="AH658" s="49"/>
      <c r="AI658" s="37"/>
      <c r="AJ658" s="37"/>
      <c r="AK658" s="37"/>
      <c r="AL658" s="37"/>
      <c r="AM658" s="37"/>
      <c r="AN658" s="37"/>
      <c r="AO658" s="37"/>
      <c r="AP658" s="37"/>
      <c r="AQ658" s="37"/>
      <c r="AR658" s="37"/>
      <c r="AS658" s="37"/>
      <c r="AT658" s="37"/>
      <c r="AU658" s="37"/>
      <c r="AV658" s="59"/>
      <c r="AW658" s="1" t="str">
        <f>_xlfn.CONCAT(tbl_Ben_Info[[#This Row],[First Name]]," ",tbl_Ben_Info[[#This Row],[Father Name]]," ",tbl_Ben_Info[[#This Row],[Family Name]])</f>
        <v xml:space="preserve">  </v>
      </c>
    </row>
    <row r="659" spans="2:49" ht="25.15" customHeight="1" x14ac:dyDescent="0.25">
      <c r="B659" s="49">
        <v>654</v>
      </c>
      <c r="C659" s="1" t="str">
        <f>_xlfn.CONCAT("181-702-",IF(tbl_Ben_Info[[#This Row],[SN]]&lt;10,"00"&amp;tbl_Ben_Info[[#This Row],[SN]],IF(tbl_Ben_Info[[#This Row],[SN]]&lt;100,"0"&amp;tbl_Ben_Info[[#This Row],[SN]],tbl_Ben_Info[[#This Row],[SN]])))</f>
        <v>181-702-654</v>
      </c>
      <c r="D659" s="37"/>
      <c r="E659" s="40"/>
      <c r="F659" s="41"/>
      <c r="G659" s="42"/>
      <c r="H659" s="43"/>
      <c r="I659" s="73"/>
      <c r="J659" s="43"/>
      <c r="K659" s="43"/>
      <c r="L659" s="43"/>
      <c r="M659" s="43"/>
      <c r="N659" s="111"/>
      <c r="O659" s="43"/>
      <c r="P659" s="48"/>
      <c r="Q659" s="49"/>
      <c r="R659" s="37"/>
      <c r="S659" s="37"/>
      <c r="T659" s="37"/>
      <c r="U659" s="37"/>
      <c r="V659" s="59"/>
      <c r="W659" s="49"/>
      <c r="X659" s="37"/>
      <c r="Y659" s="37"/>
      <c r="Z659" s="37"/>
      <c r="AA659" s="37"/>
      <c r="AB659" s="37"/>
      <c r="AC659" s="37"/>
      <c r="AD659" s="37"/>
      <c r="AE659" s="37"/>
      <c r="AF659" s="37"/>
      <c r="AG659" s="59"/>
      <c r="AH659" s="49"/>
      <c r="AI659" s="37"/>
      <c r="AJ659" s="37"/>
      <c r="AK659" s="37"/>
      <c r="AL659" s="37"/>
      <c r="AM659" s="37"/>
      <c r="AN659" s="37"/>
      <c r="AO659" s="37"/>
      <c r="AP659" s="37"/>
      <c r="AQ659" s="37"/>
      <c r="AR659" s="37"/>
      <c r="AS659" s="37"/>
      <c r="AT659" s="37"/>
      <c r="AU659" s="37"/>
      <c r="AV659" s="59"/>
      <c r="AW659" s="1" t="str">
        <f>_xlfn.CONCAT(tbl_Ben_Info[[#This Row],[First Name]]," ",tbl_Ben_Info[[#This Row],[Father Name]]," ",tbl_Ben_Info[[#This Row],[Family Name]])</f>
        <v xml:space="preserve">  </v>
      </c>
    </row>
    <row r="660" spans="2:49" ht="25.15" customHeight="1" x14ac:dyDescent="0.25">
      <c r="B660" s="49">
        <v>655</v>
      </c>
      <c r="C660" s="1" t="str">
        <f>_xlfn.CONCAT("181-702-",IF(tbl_Ben_Info[[#This Row],[SN]]&lt;10,"00"&amp;tbl_Ben_Info[[#This Row],[SN]],IF(tbl_Ben_Info[[#This Row],[SN]]&lt;100,"0"&amp;tbl_Ben_Info[[#This Row],[SN]],tbl_Ben_Info[[#This Row],[SN]])))</f>
        <v>181-702-655</v>
      </c>
      <c r="D660" s="37"/>
      <c r="E660" s="40"/>
      <c r="F660" s="41"/>
      <c r="G660" s="42"/>
      <c r="H660" s="43"/>
      <c r="I660" s="73"/>
      <c r="J660" s="43"/>
      <c r="K660" s="43"/>
      <c r="L660" s="43"/>
      <c r="M660" s="43"/>
      <c r="N660" s="111"/>
      <c r="O660" s="43"/>
      <c r="P660" s="48"/>
      <c r="Q660" s="49"/>
      <c r="R660" s="37"/>
      <c r="S660" s="37"/>
      <c r="T660" s="37"/>
      <c r="U660" s="37"/>
      <c r="V660" s="59"/>
      <c r="W660" s="49"/>
      <c r="X660" s="37"/>
      <c r="Y660" s="37"/>
      <c r="Z660" s="37"/>
      <c r="AA660" s="37"/>
      <c r="AB660" s="37"/>
      <c r="AC660" s="37"/>
      <c r="AD660" s="37"/>
      <c r="AE660" s="37"/>
      <c r="AF660" s="37"/>
      <c r="AG660" s="59"/>
      <c r="AH660" s="49"/>
      <c r="AI660" s="37"/>
      <c r="AJ660" s="37"/>
      <c r="AK660" s="37"/>
      <c r="AL660" s="37"/>
      <c r="AM660" s="37"/>
      <c r="AN660" s="37"/>
      <c r="AO660" s="37"/>
      <c r="AP660" s="37"/>
      <c r="AQ660" s="37"/>
      <c r="AR660" s="37"/>
      <c r="AS660" s="37"/>
      <c r="AT660" s="37"/>
      <c r="AU660" s="37"/>
      <c r="AV660" s="59"/>
      <c r="AW660" s="1" t="str">
        <f>_xlfn.CONCAT(tbl_Ben_Info[[#This Row],[First Name]]," ",tbl_Ben_Info[[#This Row],[Father Name]]," ",tbl_Ben_Info[[#This Row],[Family Name]])</f>
        <v xml:space="preserve">  </v>
      </c>
    </row>
    <row r="661" spans="2:49" ht="25.15" customHeight="1" x14ac:dyDescent="0.25">
      <c r="B661" s="49">
        <v>656</v>
      </c>
      <c r="C661" s="1" t="str">
        <f>_xlfn.CONCAT("181-702-",IF(tbl_Ben_Info[[#This Row],[SN]]&lt;10,"00"&amp;tbl_Ben_Info[[#This Row],[SN]],IF(tbl_Ben_Info[[#This Row],[SN]]&lt;100,"0"&amp;tbl_Ben_Info[[#This Row],[SN]],tbl_Ben_Info[[#This Row],[SN]])))</f>
        <v>181-702-656</v>
      </c>
      <c r="D661" s="37"/>
      <c r="E661" s="40"/>
      <c r="F661" s="41"/>
      <c r="G661" s="42"/>
      <c r="H661" s="43"/>
      <c r="I661" s="73"/>
      <c r="J661" s="43"/>
      <c r="K661" s="43"/>
      <c r="L661" s="43"/>
      <c r="M661" s="43"/>
      <c r="N661" s="111"/>
      <c r="O661" s="43"/>
      <c r="P661" s="48"/>
      <c r="Q661" s="49"/>
      <c r="R661" s="37"/>
      <c r="S661" s="37"/>
      <c r="T661" s="37"/>
      <c r="U661" s="37"/>
      <c r="V661" s="59"/>
      <c r="W661" s="49"/>
      <c r="X661" s="37"/>
      <c r="Y661" s="37"/>
      <c r="Z661" s="37"/>
      <c r="AA661" s="37"/>
      <c r="AB661" s="37"/>
      <c r="AC661" s="37"/>
      <c r="AD661" s="37"/>
      <c r="AE661" s="37"/>
      <c r="AF661" s="37"/>
      <c r="AG661" s="59"/>
      <c r="AH661" s="49"/>
      <c r="AI661" s="37"/>
      <c r="AJ661" s="37"/>
      <c r="AK661" s="37"/>
      <c r="AL661" s="37"/>
      <c r="AM661" s="37"/>
      <c r="AN661" s="37"/>
      <c r="AO661" s="37"/>
      <c r="AP661" s="37"/>
      <c r="AQ661" s="37"/>
      <c r="AR661" s="37"/>
      <c r="AS661" s="37"/>
      <c r="AT661" s="37"/>
      <c r="AU661" s="37"/>
      <c r="AV661" s="59"/>
      <c r="AW661" s="1" t="str">
        <f>_xlfn.CONCAT(tbl_Ben_Info[[#This Row],[First Name]]," ",tbl_Ben_Info[[#This Row],[Father Name]]," ",tbl_Ben_Info[[#This Row],[Family Name]])</f>
        <v xml:space="preserve">  </v>
      </c>
    </row>
    <row r="662" spans="2:49" ht="25.15" customHeight="1" x14ac:dyDescent="0.25">
      <c r="B662" s="49">
        <v>657</v>
      </c>
      <c r="C662" s="1" t="str">
        <f>_xlfn.CONCAT("181-702-",IF(tbl_Ben_Info[[#This Row],[SN]]&lt;10,"00"&amp;tbl_Ben_Info[[#This Row],[SN]],IF(tbl_Ben_Info[[#This Row],[SN]]&lt;100,"0"&amp;tbl_Ben_Info[[#This Row],[SN]],tbl_Ben_Info[[#This Row],[SN]])))</f>
        <v>181-702-657</v>
      </c>
      <c r="D662" s="37"/>
      <c r="E662" s="40"/>
      <c r="F662" s="41"/>
      <c r="G662" s="42"/>
      <c r="H662" s="43"/>
      <c r="I662" s="73"/>
      <c r="J662" s="43"/>
      <c r="K662" s="43"/>
      <c r="L662" s="43"/>
      <c r="M662" s="43"/>
      <c r="N662" s="111"/>
      <c r="O662" s="43"/>
      <c r="P662" s="48"/>
      <c r="Q662" s="49"/>
      <c r="R662" s="37"/>
      <c r="S662" s="37"/>
      <c r="T662" s="37"/>
      <c r="U662" s="37"/>
      <c r="V662" s="59"/>
      <c r="W662" s="49"/>
      <c r="X662" s="37"/>
      <c r="Y662" s="37"/>
      <c r="Z662" s="37"/>
      <c r="AA662" s="37"/>
      <c r="AB662" s="37"/>
      <c r="AC662" s="37"/>
      <c r="AD662" s="37"/>
      <c r="AE662" s="37"/>
      <c r="AF662" s="37"/>
      <c r="AG662" s="59"/>
      <c r="AH662" s="49"/>
      <c r="AI662" s="37"/>
      <c r="AJ662" s="37"/>
      <c r="AK662" s="37"/>
      <c r="AL662" s="37"/>
      <c r="AM662" s="37"/>
      <c r="AN662" s="37"/>
      <c r="AO662" s="37"/>
      <c r="AP662" s="37"/>
      <c r="AQ662" s="37"/>
      <c r="AR662" s="37"/>
      <c r="AS662" s="37"/>
      <c r="AT662" s="37"/>
      <c r="AU662" s="37"/>
      <c r="AV662" s="59"/>
      <c r="AW662" s="1" t="str">
        <f>_xlfn.CONCAT(tbl_Ben_Info[[#This Row],[First Name]]," ",tbl_Ben_Info[[#This Row],[Father Name]]," ",tbl_Ben_Info[[#This Row],[Family Name]])</f>
        <v xml:space="preserve">  </v>
      </c>
    </row>
    <row r="663" spans="2:49" ht="25.15" customHeight="1" x14ac:dyDescent="0.25">
      <c r="B663" s="49">
        <v>658</v>
      </c>
      <c r="C663" s="1" t="str">
        <f>_xlfn.CONCAT("181-702-",IF(tbl_Ben_Info[[#This Row],[SN]]&lt;10,"00"&amp;tbl_Ben_Info[[#This Row],[SN]],IF(tbl_Ben_Info[[#This Row],[SN]]&lt;100,"0"&amp;tbl_Ben_Info[[#This Row],[SN]],tbl_Ben_Info[[#This Row],[SN]])))</f>
        <v>181-702-658</v>
      </c>
      <c r="D663" s="37"/>
      <c r="E663" s="40"/>
      <c r="F663" s="41"/>
      <c r="G663" s="42"/>
      <c r="H663" s="43"/>
      <c r="I663" s="73"/>
      <c r="J663" s="43"/>
      <c r="K663" s="43"/>
      <c r="L663" s="43"/>
      <c r="M663" s="43"/>
      <c r="N663" s="111"/>
      <c r="O663" s="43"/>
      <c r="P663" s="48"/>
      <c r="Q663" s="49"/>
      <c r="R663" s="37"/>
      <c r="S663" s="37"/>
      <c r="T663" s="37"/>
      <c r="U663" s="37"/>
      <c r="V663" s="59"/>
      <c r="W663" s="49"/>
      <c r="X663" s="37"/>
      <c r="Y663" s="37"/>
      <c r="Z663" s="37"/>
      <c r="AA663" s="37"/>
      <c r="AB663" s="37"/>
      <c r="AC663" s="37"/>
      <c r="AD663" s="37"/>
      <c r="AE663" s="37"/>
      <c r="AF663" s="37"/>
      <c r="AG663" s="59"/>
      <c r="AH663" s="49"/>
      <c r="AI663" s="37"/>
      <c r="AJ663" s="37"/>
      <c r="AK663" s="37"/>
      <c r="AL663" s="37"/>
      <c r="AM663" s="37"/>
      <c r="AN663" s="37"/>
      <c r="AO663" s="37"/>
      <c r="AP663" s="37"/>
      <c r="AQ663" s="37"/>
      <c r="AR663" s="37"/>
      <c r="AS663" s="37"/>
      <c r="AT663" s="37"/>
      <c r="AU663" s="37"/>
      <c r="AV663" s="59"/>
      <c r="AW663" s="1" t="str">
        <f>_xlfn.CONCAT(tbl_Ben_Info[[#This Row],[First Name]]," ",tbl_Ben_Info[[#This Row],[Father Name]]," ",tbl_Ben_Info[[#This Row],[Family Name]])</f>
        <v xml:space="preserve">  </v>
      </c>
    </row>
    <row r="664" spans="2:49" ht="25.15" customHeight="1" x14ac:dyDescent="0.25">
      <c r="B664" s="49">
        <v>659</v>
      </c>
      <c r="C664" s="1" t="str">
        <f>_xlfn.CONCAT("181-702-",IF(tbl_Ben_Info[[#This Row],[SN]]&lt;10,"00"&amp;tbl_Ben_Info[[#This Row],[SN]],IF(tbl_Ben_Info[[#This Row],[SN]]&lt;100,"0"&amp;tbl_Ben_Info[[#This Row],[SN]],tbl_Ben_Info[[#This Row],[SN]])))</f>
        <v>181-702-659</v>
      </c>
      <c r="D664" s="37"/>
      <c r="E664" s="40"/>
      <c r="F664" s="41"/>
      <c r="G664" s="42"/>
      <c r="H664" s="43"/>
      <c r="I664" s="73"/>
      <c r="J664" s="43"/>
      <c r="K664" s="43"/>
      <c r="L664" s="43"/>
      <c r="M664" s="43"/>
      <c r="N664" s="111"/>
      <c r="O664" s="43"/>
      <c r="P664" s="48"/>
      <c r="Q664" s="49"/>
      <c r="R664" s="37"/>
      <c r="S664" s="37"/>
      <c r="T664" s="37"/>
      <c r="U664" s="37"/>
      <c r="V664" s="59"/>
      <c r="W664" s="49"/>
      <c r="X664" s="37"/>
      <c r="Y664" s="37"/>
      <c r="Z664" s="37"/>
      <c r="AA664" s="37"/>
      <c r="AB664" s="37"/>
      <c r="AC664" s="37"/>
      <c r="AD664" s="37"/>
      <c r="AE664" s="37"/>
      <c r="AF664" s="37"/>
      <c r="AG664" s="59"/>
      <c r="AH664" s="49"/>
      <c r="AI664" s="37"/>
      <c r="AJ664" s="37"/>
      <c r="AK664" s="37"/>
      <c r="AL664" s="37"/>
      <c r="AM664" s="37"/>
      <c r="AN664" s="37"/>
      <c r="AO664" s="37"/>
      <c r="AP664" s="37"/>
      <c r="AQ664" s="37"/>
      <c r="AR664" s="37"/>
      <c r="AS664" s="37"/>
      <c r="AT664" s="37"/>
      <c r="AU664" s="37"/>
      <c r="AV664" s="59"/>
      <c r="AW664" s="1" t="str">
        <f>_xlfn.CONCAT(tbl_Ben_Info[[#This Row],[First Name]]," ",tbl_Ben_Info[[#This Row],[Father Name]]," ",tbl_Ben_Info[[#This Row],[Family Name]])</f>
        <v xml:space="preserve">  </v>
      </c>
    </row>
    <row r="665" spans="2:49" ht="25.15" customHeight="1" x14ac:dyDescent="0.25">
      <c r="B665" s="49">
        <v>660</v>
      </c>
      <c r="C665" s="1" t="str">
        <f>_xlfn.CONCAT("181-702-",IF(tbl_Ben_Info[[#This Row],[SN]]&lt;10,"00"&amp;tbl_Ben_Info[[#This Row],[SN]],IF(tbl_Ben_Info[[#This Row],[SN]]&lt;100,"0"&amp;tbl_Ben_Info[[#This Row],[SN]],tbl_Ben_Info[[#This Row],[SN]])))</f>
        <v>181-702-660</v>
      </c>
      <c r="D665" s="37"/>
      <c r="E665" s="40"/>
      <c r="F665" s="41"/>
      <c r="G665" s="42"/>
      <c r="H665" s="43"/>
      <c r="I665" s="73"/>
      <c r="J665" s="43"/>
      <c r="K665" s="43"/>
      <c r="L665" s="43"/>
      <c r="M665" s="43"/>
      <c r="N665" s="111"/>
      <c r="O665" s="43"/>
      <c r="P665" s="48"/>
      <c r="Q665" s="49"/>
      <c r="R665" s="37"/>
      <c r="S665" s="37"/>
      <c r="T665" s="37"/>
      <c r="U665" s="37"/>
      <c r="V665" s="59"/>
      <c r="W665" s="49"/>
      <c r="X665" s="37"/>
      <c r="Y665" s="37"/>
      <c r="Z665" s="37"/>
      <c r="AA665" s="37"/>
      <c r="AB665" s="37"/>
      <c r="AC665" s="37"/>
      <c r="AD665" s="37"/>
      <c r="AE665" s="37"/>
      <c r="AF665" s="37"/>
      <c r="AG665" s="59"/>
      <c r="AH665" s="49"/>
      <c r="AI665" s="37"/>
      <c r="AJ665" s="37"/>
      <c r="AK665" s="37"/>
      <c r="AL665" s="37"/>
      <c r="AM665" s="37"/>
      <c r="AN665" s="37"/>
      <c r="AO665" s="37"/>
      <c r="AP665" s="37"/>
      <c r="AQ665" s="37"/>
      <c r="AR665" s="37"/>
      <c r="AS665" s="37"/>
      <c r="AT665" s="37"/>
      <c r="AU665" s="37"/>
      <c r="AV665" s="59"/>
      <c r="AW665" s="1" t="str">
        <f>_xlfn.CONCAT(tbl_Ben_Info[[#This Row],[First Name]]," ",tbl_Ben_Info[[#This Row],[Father Name]]," ",tbl_Ben_Info[[#This Row],[Family Name]])</f>
        <v xml:space="preserve">  </v>
      </c>
    </row>
    <row r="666" spans="2:49" ht="25.15" customHeight="1" x14ac:dyDescent="0.25">
      <c r="B666" s="49">
        <v>661</v>
      </c>
      <c r="C666" s="1" t="str">
        <f>_xlfn.CONCAT("181-702-",IF(tbl_Ben_Info[[#This Row],[SN]]&lt;10,"00"&amp;tbl_Ben_Info[[#This Row],[SN]],IF(tbl_Ben_Info[[#This Row],[SN]]&lt;100,"0"&amp;tbl_Ben_Info[[#This Row],[SN]],tbl_Ben_Info[[#This Row],[SN]])))</f>
        <v>181-702-661</v>
      </c>
      <c r="D666" s="37"/>
      <c r="E666" s="40"/>
      <c r="F666" s="41"/>
      <c r="G666" s="42"/>
      <c r="H666" s="43"/>
      <c r="I666" s="73"/>
      <c r="J666" s="43"/>
      <c r="K666" s="43"/>
      <c r="L666" s="43"/>
      <c r="M666" s="43"/>
      <c r="N666" s="111"/>
      <c r="O666" s="43"/>
      <c r="P666" s="48"/>
      <c r="Q666" s="49"/>
      <c r="R666" s="37"/>
      <c r="S666" s="37"/>
      <c r="T666" s="37"/>
      <c r="U666" s="37"/>
      <c r="V666" s="59"/>
      <c r="W666" s="49"/>
      <c r="X666" s="37"/>
      <c r="Y666" s="37"/>
      <c r="Z666" s="37"/>
      <c r="AA666" s="37"/>
      <c r="AB666" s="37"/>
      <c r="AC666" s="37"/>
      <c r="AD666" s="37"/>
      <c r="AE666" s="37"/>
      <c r="AF666" s="37"/>
      <c r="AG666" s="59"/>
      <c r="AH666" s="49"/>
      <c r="AI666" s="37"/>
      <c r="AJ666" s="37"/>
      <c r="AK666" s="37"/>
      <c r="AL666" s="37"/>
      <c r="AM666" s="37"/>
      <c r="AN666" s="37"/>
      <c r="AO666" s="37"/>
      <c r="AP666" s="37"/>
      <c r="AQ666" s="37"/>
      <c r="AR666" s="37"/>
      <c r="AS666" s="37"/>
      <c r="AT666" s="37"/>
      <c r="AU666" s="37"/>
      <c r="AV666" s="59"/>
      <c r="AW666" s="1" t="str">
        <f>_xlfn.CONCAT(tbl_Ben_Info[[#This Row],[First Name]]," ",tbl_Ben_Info[[#This Row],[Father Name]]," ",tbl_Ben_Info[[#This Row],[Family Name]])</f>
        <v xml:space="preserve">  </v>
      </c>
    </row>
    <row r="667" spans="2:49" ht="25.15" customHeight="1" x14ac:dyDescent="0.25">
      <c r="B667" s="49">
        <v>662</v>
      </c>
      <c r="C667" s="1" t="str">
        <f>_xlfn.CONCAT("181-702-",IF(tbl_Ben_Info[[#This Row],[SN]]&lt;10,"00"&amp;tbl_Ben_Info[[#This Row],[SN]],IF(tbl_Ben_Info[[#This Row],[SN]]&lt;100,"0"&amp;tbl_Ben_Info[[#This Row],[SN]],tbl_Ben_Info[[#This Row],[SN]])))</f>
        <v>181-702-662</v>
      </c>
      <c r="D667" s="37"/>
      <c r="E667" s="40"/>
      <c r="F667" s="41"/>
      <c r="G667" s="42"/>
      <c r="H667" s="43"/>
      <c r="I667" s="73"/>
      <c r="J667" s="43"/>
      <c r="K667" s="43"/>
      <c r="L667" s="43"/>
      <c r="M667" s="43"/>
      <c r="N667" s="111"/>
      <c r="O667" s="43"/>
      <c r="P667" s="48"/>
      <c r="Q667" s="49"/>
      <c r="R667" s="37"/>
      <c r="S667" s="37"/>
      <c r="T667" s="37"/>
      <c r="U667" s="37"/>
      <c r="V667" s="59"/>
      <c r="W667" s="49"/>
      <c r="X667" s="37"/>
      <c r="Y667" s="37"/>
      <c r="Z667" s="37"/>
      <c r="AA667" s="37"/>
      <c r="AB667" s="37"/>
      <c r="AC667" s="37"/>
      <c r="AD667" s="37"/>
      <c r="AE667" s="37"/>
      <c r="AF667" s="37"/>
      <c r="AG667" s="59"/>
      <c r="AH667" s="49"/>
      <c r="AI667" s="37"/>
      <c r="AJ667" s="37"/>
      <c r="AK667" s="37"/>
      <c r="AL667" s="37"/>
      <c r="AM667" s="37"/>
      <c r="AN667" s="37"/>
      <c r="AO667" s="37"/>
      <c r="AP667" s="37"/>
      <c r="AQ667" s="37"/>
      <c r="AR667" s="37"/>
      <c r="AS667" s="37"/>
      <c r="AT667" s="37"/>
      <c r="AU667" s="37"/>
      <c r="AV667" s="59"/>
      <c r="AW667" s="1" t="str">
        <f>_xlfn.CONCAT(tbl_Ben_Info[[#This Row],[First Name]]," ",tbl_Ben_Info[[#This Row],[Father Name]]," ",tbl_Ben_Info[[#This Row],[Family Name]])</f>
        <v xml:space="preserve">  </v>
      </c>
    </row>
    <row r="668" spans="2:49" ht="25.15" customHeight="1" x14ac:dyDescent="0.25">
      <c r="B668" s="49">
        <v>663</v>
      </c>
      <c r="C668" s="1" t="str">
        <f>_xlfn.CONCAT("181-702-",IF(tbl_Ben_Info[[#This Row],[SN]]&lt;10,"00"&amp;tbl_Ben_Info[[#This Row],[SN]],IF(tbl_Ben_Info[[#This Row],[SN]]&lt;100,"0"&amp;tbl_Ben_Info[[#This Row],[SN]],tbl_Ben_Info[[#This Row],[SN]])))</f>
        <v>181-702-663</v>
      </c>
      <c r="D668" s="37"/>
      <c r="E668" s="40"/>
      <c r="F668" s="41"/>
      <c r="G668" s="42"/>
      <c r="H668" s="43"/>
      <c r="I668" s="73"/>
      <c r="J668" s="43"/>
      <c r="K668" s="43"/>
      <c r="L668" s="43"/>
      <c r="M668" s="43"/>
      <c r="N668" s="111"/>
      <c r="O668" s="43"/>
      <c r="P668" s="48"/>
      <c r="Q668" s="49"/>
      <c r="R668" s="37"/>
      <c r="S668" s="37"/>
      <c r="T668" s="37"/>
      <c r="U668" s="37"/>
      <c r="V668" s="59"/>
      <c r="W668" s="49"/>
      <c r="X668" s="37"/>
      <c r="Y668" s="37"/>
      <c r="Z668" s="37"/>
      <c r="AA668" s="37"/>
      <c r="AB668" s="37"/>
      <c r="AC668" s="37"/>
      <c r="AD668" s="37"/>
      <c r="AE668" s="37"/>
      <c r="AF668" s="37"/>
      <c r="AG668" s="59"/>
      <c r="AH668" s="49"/>
      <c r="AI668" s="37"/>
      <c r="AJ668" s="37"/>
      <c r="AK668" s="37"/>
      <c r="AL668" s="37"/>
      <c r="AM668" s="37"/>
      <c r="AN668" s="37"/>
      <c r="AO668" s="37"/>
      <c r="AP668" s="37"/>
      <c r="AQ668" s="37"/>
      <c r="AR668" s="37"/>
      <c r="AS668" s="37"/>
      <c r="AT668" s="37"/>
      <c r="AU668" s="37"/>
      <c r="AV668" s="59"/>
      <c r="AW668" s="1" t="str">
        <f>_xlfn.CONCAT(tbl_Ben_Info[[#This Row],[First Name]]," ",tbl_Ben_Info[[#This Row],[Father Name]]," ",tbl_Ben_Info[[#This Row],[Family Name]])</f>
        <v xml:space="preserve">  </v>
      </c>
    </row>
    <row r="669" spans="2:49" ht="25.15" customHeight="1" x14ac:dyDescent="0.25">
      <c r="B669" s="49">
        <v>664</v>
      </c>
      <c r="C669" s="1" t="str">
        <f>_xlfn.CONCAT("181-702-",IF(tbl_Ben_Info[[#This Row],[SN]]&lt;10,"00"&amp;tbl_Ben_Info[[#This Row],[SN]],IF(tbl_Ben_Info[[#This Row],[SN]]&lt;100,"0"&amp;tbl_Ben_Info[[#This Row],[SN]],tbl_Ben_Info[[#This Row],[SN]])))</f>
        <v>181-702-664</v>
      </c>
      <c r="D669" s="37"/>
      <c r="E669" s="40"/>
      <c r="F669" s="41"/>
      <c r="G669" s="42"/>
      <c r="H669" s="43"/>
      <c r="I669" s="73"/>
      <c r="J669" s="43"/>
      <c r="K669" s="43"/>
      <c r="L669" s="43"/>
      <c r="M669" s="43"/>
      <c r="N669" s="111"/>
      <c r="O669" s="43"/>
      <c r="P669" s="48"/>
      <c r="Q669" s="49"/>
      <c r="R669" s="37"/>
      <c r="S669" s="37"/>
      <c r="T669" s="37"/>
      <c r="U669" s="37"/>
      <c r="V669" s="59"/>
      <c r="W669" s="49"/>
      <c r="X669" s="37"/>
      <c r="Y669" s="37"/>
      <c r="Z669" s="37"/>
      <c r="AA669" s="37"/>
      <c r="AB669" s="37"/>
      <c r="AC669" s="37"/>
      <c r="AD669" s="37"/>
      <c r="AE669" s="37"/>
      <c r="AF669" s="37"/>
      <c r="AG669" s="59"/>
      <c r="AH669" s="49"/>
      <c r="AI669" s="37"/>
      <c r="AJ669" s="37"/>
      <c r="AK669" s="37"/>
      <c r="AL669" s="37"/>
      <c r="AM669" s="37"/>
      <c r="AN669" s="37"/>
      <c r="AO669" s="37"/>
      <c r="AP669" s="37"/>
      <c r="AQ669" s="37"/>
      <c r="AR669" s="37"/>
      <c r="AS669" s="37"/>
      <c r="AT669" s="37"/>
      <c r="AU669" s="37"/>
      <c r="AV669" s="59"/>
      <c r="AW669" s="1" t="str">
        <f>_xlfn.CONCAT(tbl_Ben_Info[[#This Row],[First Name]]," ",tbl_Ben_Info[[#This Row],[Father Name]]," ",tbl_Ben_Info[[#This Row],[Family Name]])</f>
        <v xml:space="preserve">  </v>
      </c>
    </row>
    <row r="670" spans="2:49" ht="25.15" customHeight="1" x14ac:dyDescent="0.25">
      <c r="B670" s="49">
        <v>665</v>
      </c>
      <c r="C670" s="1" t="str">
        <f>_xlfn.CONCAT("181-702-",IF(tbl_Ben_Info[[#This Row],[SN]]&lt;10,"00"&amp;tbl_Ben_Info[[#This Row],[SN]],IF(tbl_Ben_Info[[#This Row],[SN]]&lt;100,"0"&amp;tbl_Ben_Info[[#This Row],[SN]],tbl_Ben_Info[[#This Row],[SN]])))</f>
        <v>181-702-665</v>
      </c>
      <c r="D670" s="37"/>
      <c r="E670" s="40"/>
      <c r="F670" s="41"/>
      <c r="G670" s="42"/>
      <c r="H670" s="43"/>
      <c r="I670" s="73"/>
      <c r="J670" s="43"/>
      <c r="K670" s="43"/>
      <c r="L670" s="43"/>
      <c r="M670" s="43"/>
      <c r="N670" s="111"/>
      <c r="O670" s="43"/>
      <c r="P670" s="48"/>
      <c r="Q670" s="49"/>
      <c r="R670" s="37"/>
      <c r="S670" s="37"/>
      <c r="T670" s="37"/>
      <c r="U670" s="37"/>
      <c r="V670" s="59"/>
      <c r="W670" s="49"/>
      <c r="X670" s="37"/>
      <c r="Y670" s="37"/>
      <c r="Z670" s="37"/>
      <c r="AA670" s="37"/>
      <c r="AB670" s="37"/>
      <c r="AC670" s="37"/>
      <c r="AD670" s="37"/>
      <c r="AE670" s="37"/>
      <c r="AF670" s="37"/>
      <c r="AG670" s="59"/>
      <c r="AH670" s="49"/>
      <c r="AI670" s="37"/>
      <c r="AJ670" s="37"/>
      <c r="AK670" s="37"/>
      <c r="AL670" s="37"/>
      <c r="AM670" s="37"/>
      <c r="AN670" s="37"/>
      <c r="AO670" s="37"/>
      <c r="AP670" s="37"/>
      <c r="AQ670" s="37"/>
      <c r="AR670" s="37"/>
      <c r="AS670" s="37"/>
      <c r="AT670" s="37"/>
      <c r="AU670" s="37"/>
      <c r="AV670" s="59"/>
      <c r="AW670" s="1" t="str">
        <f>_xlfn.CONCAT(tbl_Ben_Info[[#This Row],[First Name]]," ",tbl_Ben_Info[[#This Row],[Father Name]]," ",tbl_Ben_Info[[#This Row],[Family Name]])</f>
        <v xml:space="preserve">  </v>
      </c>
    </row>
    <row r="671" spans="2:49" ht="25.15" customHeight="1" x14ac:dyDescent="0.25">
      <c r="B671" s="49">
        <v>666</v>
      </c>
      <c r="C671" s="1" t="str">
        <f>_xlfn.CONCAT("181-702-",IF(tbl_Ben_Info[[#This Row],[SN]]&lt;10,"00"&amp;tbl_Ben_Info[[#This Row],[SN]],IF(tbl_Ben_Info[[#This Row],[SN]]&lt;100,"0"&amp;tbl_Ben_Info[[#This Row],[SN]],tbl_Ben_Info[[#This Row],[SN]])))</f>
        <v>181-702-666</v>
      </c>
      <c r="D671" s="37"/>
      <c r="E671" s="40"/>
      <c r="F671" s="41"/>
      <c r="G671" s="42"/>
      <c r="H671" s="43"/>
      <c r="I671" s="73"/>
      <c r="J671" s="43"/>
      <c r="K671" s="43"/>
      <c r="L671" s="43"/>
      <c r="M671" s="43"/>
      <c r="N671" s="111"/>
      <c r="O671" s="43"/>
      <c r="P671" s="48"/>
      <c r="Q671" s="49"/>
      <c r="R671" s="37"/>
      <c r="S671" s="37"/>
      <c r="T671" s="37"/>
      <c r="U671" s="37"/>
      <c r="V671" s="59"/>
      <c r="W671" s="49"/>
      <c r="X671" s="37"/>
      <c r="Y671" s="37"/>
      <c r="Z671" s="37"/>
      <c r="AA671" s="37"/>
      <c r="AB671" s="37"/>
      <c r="AC671" s="37"/>
      <c r="AD671" s="37"/>
      <c r="AE671" s="37"/>
      <c r="AF671" s="37"/>
      <c r="AG671" s="59"/>
      <c r="AH671" s="49"/>
      <c r="AI671" s="37"/>
      <c r="AJ671" s="37"/>
      <c r="AK671" s="37"/>
      <c r="AL671" s="37"/>
      <c r="AM671" s="37"/>
      <c r="AN671" s="37"/>
      <c r="AO671" s="37"/>
      <c r="AP671" s="37"/>
      <c r="AQ671" s="37"/>
      <c r="AR671" s="37"/>
      <c r="AS671" s="37"/>
      <c r="AT671" s="37"/>
      <c r="AU671" s="37"/>
      <c r="AV671" s="59"/>
      <c r="AW671" s="1" t="str">
        <f>_xlfn.CONCAT(tbl_Ben_Info[[#This Row],[First Name]]," ",tbl_Ben_Info[[#This Row],[Father Name]]," ",tbl_Ben_Info[[#This Row],[Family Name]])</f>
        <v xml:space="preserve">  </v>
      </c>
    </row>
    <row r="672" spans="2:49" ht="25.15" customHeight="1" x14ac:dyDescent="0.25">
      <c r="B672" s="49">
        <v>667</v>
      </c>
      <c r="C672" s="1" t="str">
        <f>_xlfn.CONCAT("181-702-",IF(tbl_Ben_Info[[#This Row],[SN]]&lt;10,"00"&amp;tbl_Ben_Info[[#This Row],[SN]],IF(tbl_Ben_Info[[#This Row],[SN]]&lt;100,"0"&amp;tbl_Ben_Info[[#This Row],[SN]],tbl_Ben_Info[[#This Row],[SN]])))</f>
        <v>181-702-667</v>
      </c>
      <c r="D672" s="37"/>
      <c r="E672" s="40"/>
      <c r="F672" s="41"/>
      <c r="G672" s="42"/>
      <c r="H672" s="43"/>
      <c r="I672" s="73"/>
      <c r="J672" s="43"/>
      <c r="K672" s="43"/>
      <c r="L672" s="43"/>
      <c r="M672" s="43"/>
      <c r="N672" s="111"/>
      <c r="O672" s="43"/>
      <c r="P672" s="48"/>
      <c r="Q672" s="49"/>
      <c r="R672" s="37"/>
      <c r="S672" s="37"/>
      <c r="T672" s="37"/>
      <c r="U672" s="37"/>
      <c r="V672" s="59"/>
      <c r="W672" s="49"/>
      <c r="X672" s="37"/>
      <c r="Y672" s="37"/>
      <c r="Z672" s="37"/>
      <c r="AA672" s="37"/>
      <c r="AB672" s="37"/>
      <c r="AC672" s="37"/>
      <c r="AD672" s="37"/>
      <c r="AE672" s="37"/>
      <c r="AF672" s="37"/>
      <c r="AG672" s="59"/>
      <c r="AH672" s="49"/>
      <c r="AI672" s="37"/>
      <c r="AJ672" s="37"/>
      <c r="AK672" s="37"/>
      <c r="AL672" s="37"/>
      <c r="AM672" s="37"/>
      <c r="AN672" s="37"/>
      <c r="AO672" s="37"/>
      <c r="AP672" s="37"/>
      <c r="AQ672" s="37"/>
      <c r="AR672" s="37"/>
      <c r="AS672" s="37"/>
      <c r="AT672" s="37"/>
      <c r="AU672" s="37"/>
      <c r="AV672" s="59"/>
      <c r="AW672" s="1" t="str">
        <f>_xlfn.CONCAT(tbl_Ben_Info[[#This Row],[First Name]]," ",tbl_Ben_Info[[#This Row],[Father Name]]," ",tbl_Ben_Info[[#This Row],[Family Name]])</f>
        <v xml:space="preserve">  </v>
      </c>
    </row>
    <row r="673" spans="2:49" ht="25.15" customHeight="1" x14ac:dyDescent="0.25">
      <c r="B673" s="49">
        <v>668</v>
      </c>
      <c r="C673" s="1" t="str">
        <f>_xlfn.CONCAT("181-702-",IF(tbl_Ben_Info[[#This Row],[SN]]&lt;10,"00"&amp;tbl_Ben_Info[[#This Row],[SN]],IF(tbl_Ben_Info[[#This Row],[SN]]&lt;100,"0"&amp;tbl_Ben_Info[[#This Row],[SN]],tbl_Ben_Info[[#This Row],[SN]])))</f>
        <v>181-702-668</v>
      </c>
      <c r="D673" s="37"/>
      <c r="E673" s="40"/>
      <c r="F673" s="41"/>
      <c r="G673" s="42"/>
      <c r="H673" s="43"/>
      <c r="I673" s="73"/>
      <c r="J673" s="43"/>
      <c r="K673" s="43"/>
      <c r="L673" s="43"/>
      <c r="M673" s="43"/>
      <c r="N673" s="111"/>
      <c r="O673" s="43"/>
      <c r="P673" s="48"/>
      <c r="Q673" s="49"/>
      <c r="R673" s="37"/>
      <c r="S673" s="37"/>
      <c r="T673" s="37"/>
      <c r="U673" s="37"/>
      <c r="V673" s="59"/>
      <c r="W673" s="49"/>
      <c r="X673" s="37"/>
      <c r="Y673" s="37"/>
      <c r="Z673" s="37"/>
      <c r="AA673" s="37"/>
      <c r="AB673" s="37"/>
      <c r="AC673" s="37"/>
      <c r="AD673" s="37"/>
      <c r="AE673" s="37"/>
      <c r="AF673" s="37"/>
      <c r="AG673" s="59"/>
      <c r="AH673" s="49"/>
      <c r="AI673" s="37"/>
      <c r="AJ673" s="37"/>
      <c r="AK673" s="37"/>
      <c r="AL673" s="37"/>
      <c r="AM673" s="37"/>
      <c r="AN673" s="37"/>
      <c r="AO673" s="37"/>
      <c r="AP673" s="37"/>
      <c r="AQ673" s="37"/>
      <c r="AR673" s="37"/>
      <c r="AS673" s="37"/>
      <c r="AT673" s="37"/>
      <c r="AU673" s="37"/>
      <c r="AV673" s="59"/>
      <c r="AW673" s="1" t="str">
        <f>_xlfn.CONCAT(tbl_Ben_Info[[#This Row],[First Name]]," ",tbl_Ben_Info[[#This Row],[Father Name]]," ",tbl_Ben_Info[[#This Row],[Family Name]])</f>
        <v xml:space="preserve">  </v>
      </c>
    </row>
    <row r="674" spans="2:49" ht="25.15" customHeight="1" x14ac:dyDescent="0.25">
      <c r="B674" s="49">
        <v>669</v>
      </c>
      <c r="C674" s="1" t="str">
        <f>_xlfn.CONCAT("181-702-",IF(tbl_Ben_Info[[#This Row],[SN]]&lt;10,"00"&amp;tbl_Ben_Info[[#This Row],[SN]],IF(tbl_Ben_Info[[#This Row],[SN]]&lt;100,"0"&amp;tbl_Ben_Info[[#This Row],[SN]],tbl_Ben_Info[[#This Row],[SN]])))</f>
        <v>181-702-669</v>
      </c>
      <c r="D674" s="37"/>
      <c r="E674" s="40"/>
      <c r="F674" s="41"/>
      <c r="G674" s="42"/>
      <c r="H674" s="43"/>
      <c r="I674" s="73"/>
      <c r="J674" s="43"/>
      <c r="K674" s="43"/>
      <c r="L674" s="43"/>
      <c r="M674" s="43"/>
      <c r="N674" s="111"/>
      <c r="O674" s="43"/>
      <c r="P674" s="48"/>
      <c r="Q674" s="49"/>
      <c r="R674" s="37"/>
      <c r="S674" s="37"/>
      <c r="T674" s="37"/>
      <c r="U674" s="37"/>
      <c r="V674" s="59"/>
      <c r="W674" s="49"/>
      <c r="X674" s="37"/>
      <c r="Y674" s="37"/>
      <c r="Z674" s="37"/>
      <c r="AA674" s="37"/>
      <c r="AB674" s="37"/>
      <c r="AC674" s="37"/>
      <c r="AD674" s="37"/>
      <c r="AE674" s="37"/>
      <c r="AF674" s="37"/>
      <c r="AG674" s="59"/>
      <c r="AH674" s="49"/>
      <c r="AI674" s="37"/>
      <c r="AJ674" s="37"/>
      <c r="AK674" s="37"/>
      <c r="AL674" s="37"/>
      <c r="AM674" s="37"/>
      <c r="AN674" s="37"/>
      <c r="AO674" s="37"/>
      <c r="AP674" s="37"/>
      <c r="AQ674" s="37"/>
      <c r="AR674" s="37"/>
      <c r="AS674" s="37"/>
      <c r="AT674" s="37"/>
      <c r="AU674" s="37"/>
      <c r="AV674" s="59"/>
      <c r="AW674" s="1" t="str">
        <f>_xlfn.CONCAT(tbl_Ben_Info[[#This Row],[First Name]]," ",tbl_Ben_Info[[#This Row],[Father Name]]," ",tbl_Ben_Info[[#This Row],[Family Name]])</f>
        <v xml:space="preserve">  </v>
      </c>
    </row>
    <row r="675" spans="2:49" ht="25.15" customHeight="1" x14ac:dyDescent="0.25">
      <c r="B675" s="49">
        <v>670</v>
      </c>
      <c r="C675" s="1" t="str">
        <f>_xlfn.CONCAT("181-702-",IF(tbl_Ben_Info[[#This Row],[SN]]&lt;10,"00"&amp;tbl_Ben_Info[[#This Row],[SN]],IF(tbl_Ben_Info[[#This Row],[SN]]&lt;100,"0"&amp;tbl_Ben_Info[[#This Row],[SN]],tbl_Ben_Info[[#This Row],[SN]])))</f>
        <v>181-702-670</v>
      </c>
      <c r="D675" s="37"/>
      <c r="E675" s="40"/>
      <c r="F675" s="41"/>
      <c r="G675" s="42"/>
      <c r="H675" s="43"/>
      <c r="I675" s="73"/>
      <c r="J675" s="43"/>
      <c r="K675" s="43"/>
      <c r="L675" s="43"/>
      <c r="M675" s="43"/>
      <c r="N675" s="111"/>
      <c r="O675" s="43"/>
      <c r="P675" s="48"/>
      <c r="Q675" s="49"/>
      <c r="R675" s="37"/>
      <c r="S675" s="37"/>
      <c r="T675" s="37"/>
      <c r="U675" s="37"/>
      <c r="V675" s="59"/>
      <c r="W675" s="49"/>
      <c r="X675" s="37"/>
      <c r="Y675" s="37"/>
      <c r="Z675" s="37"/>
      <c r="AA675" s="37"/>
      <c r="AB675" s="37"/>
      <c r="AC675" s="37"/>
      <c r="AD675" s="37"/>
      <c r="AE675" s="37"/>
      <c r="AF675" s="37"/>
      <c r="AG675" s="59"/>
      <c r="AH675" s="49"/>
      <c r="AI675" s="37"/>
      <c r="AJ675" s="37"/>
      <c r="AK675" s="37"/>
      <c r="AL675" s="37"/>
      <c r="AM675" s="37"/>
      <c r="AN675" s="37"/>
      <c r="AO675" s="37"/>
      <c r="AP675" s="37"/>
      <c r="AQ675" s="37"/>
      <c r="AR675" s="37"/>
      <c r="AS675" s="37"/>
      <c r="AT675" s="37"/>
      <c r="AU675" s="37"/>
      <c r="AV675" s="59"/>
      <c r="AW675" s="1" t="str">
        <f>_xlfn.CONCAT(tbl_Ben_Info[[#This Row],[First Name]]," ",tbl_Ben_Info[[#This Row],[Father Name]]," ",tbl_Ben_Info[[#This Row],[Family Name]])</f>
        <v xml:space="preserve">  </v>
      </c>
    </row>
    <row r="676" spans="2:49" ht="25.15" customHeight="1" x14ac:dyDescent="0.25">
      <c r="B676" s="49">
        <v>671</v>
      </c>
      <c r="C676" s="1" t="str">
        <f>_xlfn.CONCAT("181-702-",IF(tbl_Ben_Info[[#This Row],[SN]]&lt;10,"00"&amp;tbl_Ben_Info[[#This Row],[SN]],IF(tbl_Ben_Info[[#This Row],[SN]]&lt;100,"0"&amp;tbl_Ben_Info[[#This Row],[SN]],tbl_Ben_Info[[#This Row],[SN]])))</f>
        <v>181-702-671</v>
      </c>
      <c r="D676" s="37"/>
      <c r="E676" s="40"/>
      <c r="F676" s="41"/>
      <c r="G676" s="42"/>
      <c r="H676" s="43"/>
      <c r="I676" s="73"/>
      <c r="J676" s="43"/>
      <c r="K676" s="43"/>
      <c r="L676" s="43"/>
      <c r="M676" s="43"/>
      <c r="N676" s="111"/>
      <c r="O676" s="43"/>
      <c r="P676" s="48"/>
      <c r="Q676" s="49"/>
      <c r="R676" s="37"/>
      <c r="S676" s="37"/>
      <c r="T676" s="37"/>
      <c r="U676" s="37"/>
      <c r="V676" s="59"/>
      <c r="W676" s="49"/>
      <c r="X676" s="37"/>
      <c r="Y676" s="37"/>
      <c r="Z676" s="37"/>
      <c r="AA676" s="37"/>
      <c r="AB676" s="37"/>
      <c r="AC676" s="37"/>
      <c r="AD676" s="37"/>
      <c r="AE676" s="37"/>
      <c r="AF676" s="37"/>
      <c r="AG676" s="59"/>
      <c r="AH676" s="49"/>
      <c r="AI676" s="37"/>
      <c r="AJ676" s="37"/>
      <c r="AK676" s="37"/>
      <c r="AL676" s="37"/>
      <c r="AM676" s="37"/>
      <c r="AN676" s="37"/>
      <c r="AO676" s="37"/>
      <c r="AP676" s="37"/>
      <c r="AQ676" s="37"/>
      <c r="AR676" s="37"/>
      <c r="AS676" s="37"/>
      <c r="AT676" s="37"/>
      <c r="AU676" s="37"/>
      <c r="AV676" s="59"/>
      <c r="AW676" s="1" t="str">
        <f>_xlfn.CONCAT(tbl_Ben_Info[[#This Row],[First Name]]," ",tbl_Ben_Info[[#This Row],[Father Name]]," ",tbl_Ben_Info[[#This Row],[Family Name]])</f>
        <v xml:space="preserve">  </v>
      </c>
    </row>
    <row r="677" spans="2:49" ht="25.15" customHeight="1" x14ac:dyDescent="0.25">
      <c r="B677" s="49">
        <v>672</v>
      </c>
      <c r="C677" s="1" t="str">
        <f>_xlfn.CONCAT("181-702-",IF(tbl_Ben_Info[[#This Row],[SN]]&lt;10,"00"&amp;tbl_Ben_Info[[#This Row],[SN]],IF(tbl_Ben_Info[[#This Row],[SN]]&lt;100,"0"&amp;tbl_Ben_Info[[#This Row],[SN]],tbl_Ben_Info[[#This Row],[SN]])))</f>
        <v>181-702-672</v>
      </c>
      <c r="D677" s="37"/>
      <c r="E677" s="40"/>
      <c r="F677" s="41"/>
      <c r="G677" s="42"/>
      <c r="H677" s="43"/>
      <c r="I677" s="73"/>
      <c r="J677" s="43"/>
      <c r="K677" s="43"/>
      <c r="L677" s="43"/>
      <c r="M677" s="43"/>
      <c r="N677" s="111"/>
      <c r="O677" s="43"/>
      <c r="P677" s="48"/>
      <c r="Q677" s="49"/>
      <c r="R677" s="37"/>
      <c r="S677" s="37"/>
      <c r="T677" s="37"/>
      <c r="U677" s="37"/>
      <c r="V677" s="59"/>
      <c r="W677" s="49"/>
      <c r="X677" s="37"/>
      <c r="Y677" s="37"/>
      <c r="Z677" s="37"/>
      <c r="AA677" s="37"/>
      <c r="AB677" s="37"/>
      <c r="AC677" s="37"/>
      <c r="AD677" s="37"/>
      <c r="AE677" s="37"/>
      <c r="AF677" s="37"/>
      <c r="AG677" s="59"/>
      <c r="AH677" s="49"/>
      <c r="AI677" s="37"/>
      <c r="AJ677" s="37"/>
      <c r="AK677" s="37"/>
      <c r="AL677" s="37"/>
      <c r="AM677" s="37"/>
      <c r="AN677" s="37"/>
      <c r="AO677" s="37"/>
      <c r="AP677" s="37"/>
      <c r="AQ677" s="37"/>
      <c r="AR677" s="37"/>
      <c r="AS677" s="37"/>
      <c r="AT677" s="37"/>
      <c r="AU677" s="37"/>
      <c r="AV677" s="59"/>
      <c r="AW677" s="1" t="str">
        <f>_xlfn.CONCAT(tbl_Ben_Info[[#This Row],[First Name]]," ",tbl_Ben_Info[[#This Row],[Father Name]]," ",tbl_Ben_Info[[#This Row],[Family Name]])</f>
        <v xml:space="preserve">  </v>
      </c>
    </row>
    <row r="678" spans="2:49" ht="25.15" customHeight="1" x14ac:dyDescent="0.25">
      <c r="B678" s="49">
        <v>673</v>
      </c>
      <c r="C678" s="1" t="str">
        <f>_xlfn.CONCAT("181-702-",IF(tbl_Ben_Info[[#This Row],[SN]]&lt;10,"00"&amp;tbl_Ben_Info[[#This Row],[SN]],IF(tbl_Ben_Info[[#This Row],[SN]]&lt;100,"0"&amp;tbl_Ben_Info[[#This Row],[SN]],tbl_Ben_Info[[#This Row],[SN]])))</f>
        <v>181-702-673</v>
      </c>
      <c r="D678" s="37"/>
      <c r="E678" s="40"/>
      <c r="F678" s="41"/>
      <c r="G678" s="42"/>
      <c r="H678" s="43"/>
      <c r="I678" s="73"/>
      <c r="J678" s="43"/>
      <c r="K678" s="43"/>
      <c r="L678" s="43"/>
      <c r="M678" s="43"/>
      <c r="N678" s="111"/>
      <c r="O678" s="43"/>
      <c r="P678" s="48"/>
      <c r="Q678" s="49"/>
      <c r="R678" s="37"/>
      <c r="S678" s="37"/>
      <c r="T678" s="37"/>
      <c r="U678" s="37"/>
      <c r="V678" s="59"/>
      <c r="W678" s="49"/>
      <c r="X678" s="37"/>
      <c r="Y678" s="37"/>
      <c r="Z678" s="37"/>
      <c r="AA678" s="37"/>
      <c r="AB678" s="37"/>
      <c r="AC678" s="37"/>
      <c r="AD678" s="37"/>
      <c r="AE678" s="37"/>
      <c r="AF678" s="37"/>
      <c r="AG678" s="59"/>
      <c r="AH678" s="49"/>
      <c r="AI678" s="37"/>
      <c r="AJ678" s="37"/>
      <c r="AK678" s="37"/>
      <c r="AL678" s="37"/>
      <c r="AM678" s="37"/>
      <c r="AN678" s="37"/>
      <c r="AO678" s="37"/>
      <c r="AP678" s="37"/>
      <c r="AQ678" s="37"/>
      <c r="AR678" s="37"/>
      <c r="AS678" s="37"/>
      <c r="AT678" s="37"/>
      <c r="AU678" s="37"/>
      <c r="AV678" s="59"/>
      <c r="AW678" s="1" t="str">
        <f>_xlfn.CONCAT(tbl_Ben_Info[[#This Row],[First Name]]," ",tbl_Ben_Info[[#This Row],[Father Name]]," ",tbl_Ben_Info[[#This Row],[Family Name]])</f>
        <v xml:space="preserve">  </v>
      </c>
    </row>
    <row r="679" spans="2:49" ht="25.15" customHeight="1" x14ac:dyDescent="0.25">
      <c r="B679" s="49">
        <v>674</v>
      </c>
      <c r="C679" s="1" t="str">
        <f>_xlfn.CONCAT("181-702-",IF(tbl_Ben_Info[[#This Row],[SN]]&lt;10,"00"&amp;tbl_Ben_Info[[#This Row],[SN]],IF(tbl_Ben_Info[[#This Row],[SN]]&lt;100,"0"&amp;tbl_Ben_Info[[#This Row],[SN]],tbl_Ben_Info[[#This Row],[SN]])))</f>
        <v>181-702-674</v>
      </c>
      <c r="D679" s="37"/>
      <c r="E679" s="40"/>
      <c r="F679" s="41"/>
      <c r="G679" s="42"/>
      <c r="H679" s="43"/>
      <c r="I679" s="73"/>
      <c r="J679" s="43"/>
      <c r="K679" s="43"/>
      <c r="L679" s="43"/>
      <c r="M679" s="43"/>
      <c r="N679" s="111"/>
      <c r="O679" s="43"/>
      <c r="P679" s="48"/>
      <c r="Q679" s="49"/>
      <c r="R679" s="37"/>
      <c r="S679" s="37"/>
      <c r="T679" s="37"/>
      <c r="U679" s="37"/>
      <c r="V679" s="59"/>
      <c r="W679" s="49"/>
      <c r="X679" s="37"/>
      <c r="Y679" s="37"/>
      <c r="Z679" s="37"/>
      <c r="AA679" s="37"/>
      <c r="AB679" s="37"/>
      <c r="AC679" s="37"/>
      <c r="AD679" s="37"/>
      <c r="AE679" s="37"/>
      <c r="AF679" s="37"/>
      <c r="AG679" s="59"/>
      <c r="AH679" s="49"/>
      <c r="AI679" s="37"/>
      <c r="AJ679" s="37"/>
      <c r="AK679" s="37"/>
      <c r="AL679" s="37"/>
      <c r="AM679" s="37"/>
      <c r="AN679" s="37"/>
      <c r="AO679" s="37"/>
      <c r="AP679" s="37"/>
      <c r="AQ679" s="37"/>
      <c r="AR679" s="37"/>
      <c r="AS679" s="37"/>
      <c r="AT679" s="37"/>
      <c r="AU679" s="37"/>
      <c r="AV679" s="59"/>
      <c r="AW679" s="1" t="str">
        <f>_xlfn.CONCAT(tbl_Ben_Info[[#This Row],[First Name]]," ",tbl_Ben_Info[[#This Row],[Father Name]]," ",tbl_Ben_Info[[#This Row],[Family Name]])</f>
        <v xml:space="preserve">  </v>
      </c>
    </row>
    <row r="680" spans="2:49" ht="25.15" customHeight="1" x14ac:dyDescent="0.25">
      <c r="B680" s="49">
        <v>675</v>
      </c>
      <c r="C680" s="1" t="str">
        <f>_xlfn.CONCAT("181-702-",IF(tbl_Ben_Info[[#This Row],[SN]]&lt;10,"00"&amp;tbl_Ben_Info[[#This Row],[SN]],IF(tbl_Ben_Info[[#This Row],[SN]]&lt;100,"0"&amp;tbl_Ben_Info[[#This Row],[SN]],tbl_Ben_Info[[#This Row],[SN]])))</f>
        <v>181-702-675</v>
      </c>
      <c r="D680" s="37"/>
      <c r="E680" s="40"/>
      <c r="F680" s="41"/>
      <c r="G680" s="42"/>
      <c r="H680" s="43"/>
      <c r="I680" s="73"/>
      <c r="J680" s="43"/>
      <c r="K680" s="43"/>
      <c r="L680" s="43"/>
      <c r="M680" s="43"/>
      <c r="N680" s="111"/>
      <c r="O680" s="43"/>
      <c r="P680" s="48"/>
      <c r="Q680" s="49"/>
      <c r="R680" s="37"/>
      <c r="S680" s="37"/>
      <c r="T680" s="37"/>
      <c r="U680" s="37"/>
      <c r="V680" s="59"/>
      <c r="W680" s="49"/>
      <c r="X680" s="37"/>
      <c r="Y680" s="37"/>
      <c r="Z680" s="37"/>
      <c r="AA680" s="37"/>
      <c r="AB680" s="37"/>
      <c r="AC680" s="37"/>
      <c r="AD680" s="37"/>
      <c r="AE680" s="37"/>
      <c r="AF680" s="37"/>
      <c r="AG680" s="59"/>
      <c r="AH680" s="49"/>
      <c r="AI680" s="37"/>
      <c r="AJ680" s="37"/>
      <c r="AK680" s="37"/>
      <c r="AL680" s="37"/>
      <c r="AM680" s="37"/>
      <c r="AN680" s="37"/>
      <c r="AO680" s="37"/>
      <c r="AP680" s="37"/>
      <c r="AQ680" s="37"/>
      <c r="AR680" s="37"/>
      <c r="AS680" s="37"/>
      <c r="AT680" s="37"/>
      <c r="AU680" s="37"/>
      <c r="AV680" s="59"/>
      <c r="AW680" s="1" t="str">
        <f>_xlfn.CONCAT(tbl_Ben_Info[[#This Row],[First Name]]," ",tbl_Ben_Info[[#This Row],[Father Name]]," ",tbl_Ben_Info[[#This Row],[Family Name]])</f>
        <v xml:space="preserve">  </v>
      </c>
    </row>
    <row r="681" spans="2:49" ht="25.15" customHeight="1" x14ac:dyDescent="0.25">
      <c r="B681" s="49">
        <v>676</v>
      </c>
      <c r="C681" s="1" t="str">
        <f>_xlfn.CONCAT("181-702-",IF(tbl_Ben_Info[[#This Row],[SN]]&lt;10,"00"&amp;tbl_Ben_Info[[#This Row],[SN]],IF(tbl_Ben_Info[[#This Row],[SN]]&lt;100,"0"&amp;tbl_Ben_Info[[#This Row],[SN]],tbl_Ben_Info[[#This Row],[SN]])))</f>
        <v>181-702-676</v>
      </c>
      <c r="D681" s="37"/>
      <c r="E681" s="40"/>
      <c r="F681" s="41"/>
      <c r="G681" s="42"/>
      <c r="H681" s="43"/>
      <c r="I681" s="73"/>
      <c r="J681" s="43"/>
      <c r="K681" s="43"/>
      <c r="L681" s="43"/>
      <c r="M681" s="43"/>
      <c r="N681" s="111"/>
      <c r="O681" s="43"/>
      <c r="P681" s="48"/>
      <c r="Q681" s="49"/>
      <c r="R681" s="37"/>
      <c r="S681" s="37"/>
      <c r="T681" s="37"/>
      <c r="U681" s="37"/>
      <c r="V681" s="59"/>
      <c r="W681" s="49"/>
      <c r="X681" s="37"/>
      <c r="Y681" s="37"/>
      <c r="Z681" s="37"/>
      <c r="AA681" s="37"/>
      <c r="AB681" s="37"/>
      <c r="AC681" s="37"/>
      <c r="AD681" s="37"/>
      <c r="AE681" s="37"/>
      <c r="AF681" s="37"/>
      <c r="AG681" s="59"/>
      <c r="AH681" s="49"/>
      <c r="AI681" s="37"/>
      <c r="AJ681" s="37"/>
      <c r="AK681" s="37"/>
      <c r="AL681" s="37"/>
      <c r="AM681" s="37"/>
      <c r="AN681" s="37"/>
      <c r="AO681" s="37"/>
      <c r="AP681" s="37"/>
      <c r="AQ681" s="37"/>
      <c r="AR681" s="37"/>
      <c r="AS681" s="37"/>
      <c r="AT681" s="37"/>
      <c r="AU681" s="37"/>
      <c r="AV681" s="59"/>
      <c r="AW681" s="1" t="str">
        <f>_xlfn.CONCAT(tbl_Ben_Info[[#This Row],[First Name]]," ",tbl_Ben_Info[[#This Row],[Father Name]]," ",tbl_Ben_Info[[#This Row],[Family Name]])</f>
        <v xml:space="preserve">  </v>
      </c>
    </row>
    <row r="682" spans="2:49" ht="25.15" customHeight="1" x14ac:dyDescent="0.25">
      <c r="B682" s="49">
        <v>677</v>
      </c>
      <c r="C682" s="1" t="str">
        <f>_xlfn.CONCAT("181-702-",IF(tbl_Ben_Info[[#This Row],[SN]]&lt;10,"00"&amp;tbl_Ben_Info[[#This Row],[SN]],IF(tbl_Ben_Info[[#This Row],[SN]]&lt;100,"0"&amp;tbl_Ben_Info[[#This Row],[SN]],tbl_Ben_Info[[#This Row],[SN]])))</f>
        <v>181-702-677</v>
      </c>
      <c r="D682" s="37"/>
      <c r="E682" s="40"/>
      <c r="F682" s="41"/>
      <c r="G682" s="42"/>
      <c r="H682" s="43"/>
      <c r="I682" s="73"/>
      <c r="J682" s="43"/>
      <c r="K682" s="43"/>
      <c r="L682" s="43"/>
      <c r="M682" s="43"/>
      <c r="N682" s="111"/>
      <c r="O682" s="43"/>
      <c r="P682" s="48"/>
      <c r="Q682" s="49"/>
      <c r="R682" s="37"/>
      <c r="S682" s="37"/>
      <c r="T682" s="37"/>
      <c r="U682" s="37"/>
      <c r="V682" s="59"/>
      <c r="W682" s="49"/>
      <c r="X682" s="37"/>
      <c r="Y682" s="37"/>
      <c r="Z682" s="37"/>
      <c r="AA682" s="37"/>
      <c r="AB682" s="37"/>
      <c r="AC682" s="37"/>
      <c r="AD682" s="37"/>
      <c r="AE682" s="37"/>
      <c r="AF682" s="37"/>
      <c r="AG682" s="59"/>
      <c r="AH682" s="49"/>
      <c r="AI682" s="37"/>
      <c r="AJ682" s="37"/>
      <c r="AK682" s="37"/>
      <c r="AL682" s="37"/>
      <c r="AM682" s="37"/>
      <c r="AN682" s="37"/>
      <c r="AO682" s="37"/>
      <c r="AP682" s="37"/>
      <c r="AQ682" s="37"/>
      <c r="AR682" s="37"/>
      <c r="AS682" s="37"/>
      <c r="AT682" s="37"/>
      <c r="AU682" s="37"/>
      <c r="AV682" s="59"/>
      <c r="AW682" s="1" t="str">
        <f>_xlfn.CONCAT(tbl_Ben_Info[[#This Row],[First Name]]," ",tbl_Ben_Info[[#This Row],[Father Name]]," ",tbl_Ben_Info[[#This Row],[Family Name]])</f>
        <v xml:space="preserve">  </v>
      </c>
    </row>
    <row r="683" spans="2:49" ht="25.15" customHeight="1" x14ac:dyDescent="0.25">
      <c r="B683" s="49">
        <v>678</v>
      </c>
      <c r="C683" s="1" t="str">
        <f>_xlfn.CONCAT("181-702-",IF(tbl_Ben_Info[[#This Row],[SN]]&lt;10,"00"&amp;tbl_Ben_Info[[#This Row],[SN]],IF(tbl_Ben_Info[[#This Row],[SN]]&lt;100,"0"&amp;tbl_Ben_Info[[#This Row],[SN]],tbl_Ben_Info[[#This Row],[SN]])))</f>
        <v>181-702-678</v>
      </c>
      <c r="D683" s="37"/>
      <c r="E683" s="40"/>
      <c r="F683" s="41"/>
      <c r="G683" s="42"/>
      <c r="H683" s="43"/>
      <c r="I683" s="73"/>
      <c r="J683" s="43"/>
      <c r="K683" s="43"/>
      <c r="L683" s="43"/>
      <c r="M683" s="43"/>
      <c r="N683" s="111"/>
      <c r="O683" s="43"/>
      <c r="P683" s="48"/>
      <c r="Q683" s="49"/>
      <c r="R683" s="37"/>
      <c r="S683" s="37"/>
      <c r="T683" s="37"/>
      <c r="U683" s="37"/>
      <c r="V683" s="59"/>
      <c r="W683" s="49"/>
      <c r="X683" s="37"/>
      <c r="Y683" s="37"/>
      <c r="Z683" s="37"/>
      <c r="AA683" s="37"/>
      <c r="AB683" s="37"/>
      <c r="AC683" s="37"/>
      <c r="AD683" s="37"/>
      <c r="AE683" s="37"/>
      <c r="AF683" s="37"/>
      <c r="AG683" s="59"/>
      <c r="AH683" s="49"/>
      <c r="AI683" s="37"/>
      <c r="AJ683" s="37"/>
      <c r="AK683" s="37"/>
      <c r="AL683" s="37"/>
      <c r="AM683" s="37"/>
      <c r="AN683" s="37"/>
      <c r="AO683" s="37"/>
      <c r="AP683" s="37"/>
      <c r="AQ683" s="37"/>
      <c r="AR683" s="37"/>
      <c r="AS683" s="37"/>
      <c r="AT683" s="37"/>
      <c r="AU683" s="37"/>
      <c r="AV683" s="59"/>
      <c r="AW683" s="1" t="str">
        <f>_xlfn.CONCAT(tbl_Ben_Info[[#This Row],[First Name]]," ",tbl_Ben_Info[[#This Row],[Father Name]]," ",tbl_Ben_Info[[#This Row],[Family Name]])</f>
        <v xml:space="preserve">  </v>
      </c>
    </row>
    <row r="684" spans="2:49" ht="25.15" customHeight="1" x14ac:dyDescent="0.25">
      <c r="B684" s="49">
        <v>679</v>
      </c>
      <c r="C684" s="1" t="str">
        <f>_xlfn.CONCAT("181-702-",IF(tbl_Ben_Info[[#This Row],[SN]]&lt;10,"00"&amp;tbl_Ben_Info[[#This Row],[SN]],IF(tbl_Ben_Info[[#This Row],[SN]]&lt;100,"0"&amp;tbl_Ben_Info[[#This Row],[SN]],tbl_Ben_Info[[#This Row],[SN]])))</f>
        <v>181-702-679</v>
      </c>
      <c r="D684" s="37"/>
      <c r="E684" s="40"/>
      <c r="F684" s="41"/>
      <c r="G684" s="42"/>
      <c r="H684" s="43"/>
      <c r="I684" s="73"/>
      <c r="J684" s="43"/>
      <c r="K684" s="43"/>
      <c r="L684" s="43"/>
      <c r="M684" s="43"/>
      <c r="N684" s="111"/>
      <c r="O684" s="43"/>
      <c r="P684" s="48"/>
      <c r="Q684" s="49"/>
      <c r="R684" s="37"/>
      <c r="S684" s="37"/>
      <c r="T684" s="37"/>
      <c r="U684" s="37"/>
      <c r="V684" s="59"/>
      <c r="W684" s="49"/>
      <c r="X684" s="37"/>
      <c r="Y684" s="37"/>
      <c r="Z684" s="37"/>
      <c r="AA684" s="37"/>
      <c r="AB684" s="37"/>
      <c r="AC684" s="37"/>
      <c r="AD684" s="37"/>
      <c r="AE684" s="37"/>
      <c r="AF684" s="37"/>
      <c r="AG684" s="59"/>
      <c r="AH684" s="49"/>
      <c r="AI684" s="37"/>
      <c r="AJ684" s="37"/>
      <c r="AK684" s="37"/>
      <c r="AL684" s="37"/>
      <c r="AM684" s="37"/>
      <c r="AN684" s="37"/>
      <c r="AO684" s="37"/>
      <c r="AP684" s="37"/>
      <c r="AQ684" s="37"/>
      <c r="AR684" s="37"/>
      <c r="AS684" s="37"/>
      <c r="AT684" s="37"/>
      <c r="AU684" s="37"/>
      <c r="AV684" s="59"/>
      <c r="AW684" s="1" t="str">
        <f>_xlfn.CONCAT(tbl_Ben_Info[[#This Row],[First Name]]," ",tbl_Ben_Info[[#This Row],[Father Name]]," ",tbl_Ben_Info[[#This Row],[Family Name]])</f>
        <v xml:space="preserve">  </v>
      </c>
    </row>
    <row r="685" spans="2:49" ht="25.15" customHeight="1" x14ac:dyDescent="0.25">
      <c r="B685" s="49">
        <v>680</v>
      </c>
      <c r="C685" s="1" t="str">
        <f>_xlfn.CONCAT("181-702-",IF(tbl_Ben_Info[[#This Row],[SN]]&lt;10,"00"&amp;tbl_Ben_Info[[#This Row],[SN]],IF(tbl_Ben_Info[[#This Row],[SN]]&lt;100,"0"&amp;tbl_Ben_Info[[#This Row],[SN]],tbl_Ben_Info[[#This Row],[SN]])))</f>
        <v>181-702-680</v>
      </c>
      <c r="D685" s="37"/>
      <c r="E685" s="40"/>
      <c r="F685" s="41"/>
      <c r="G685" s="42"/>
      <c r="H685" s="43"/>
      <c r="I685" s="73"/>
      <c r="J685" s="43"/>
      <c r="K685" s="43"/>
      <c r="L685" s="43"/>
      <c r="M685" s="43"/>
      <c r="N685" s="111"/>
      <c r="O685" s="43"/>
      <c r="P685" s="48"/>
      <c r="Q685" s="49"/>
      <c r="R685" s="37"/>
      <c r="S685" s="37"/>
      <c r="T685" s="37"/>
      <c r="U685" s="37"/>
      <c r="V685" s="59"/>
      <c r="W685" s="49"/>
      <c r="X685" s="37"/>
      <c r="Y685" s="37"/>
      <c r="Z685" s="37"/>
      <c r="AA685" s="37"/>
      <c r="AB685" s="37"/>
      <c r="AC685" s="37"/>
      <c r="AD685" s="37"/>
      <c r="AE685" s="37"/>
      <c r="AF685" s="37"/>
      <c r="AG685" s="59"/>
      <c r="AH685" s="49"/>
      <c r="AI685" s="37"/>
      <c r="AJ685" s="37"/>
      <c r="AK685" s="37"/>
      <c r="AL685" s="37"/>
      <c r="AM685" s="37"/>
      <c r="AN685" s="37"/>
      <c r="AO685" s="37"/>
      <c r="AP685" s="37"/>
      <c r="AQ685" s="37"/>
      <c r="AR685" s="37"/>
      <c r="AS685" s="37"/>
      <c r="AT685" s="37"/>
      <c r="AU685" s="37"/>
      <c r="AV685" s="59"/>
      <c r="AW685" s="1" t="str">
        <f>_xlfn.CONCAT(tbl_Ben_Info[[#This Row],[First Name]]," ",tbl_Ben_Info[[#This Row],[Father Name]]," ",tbl_Ben_Info[[#This Row],[Family Name]])</f>
        <v xml:space="preserve">  </v>
      </c>
    </row>
    <row r="686" spans="2:49" ht="25.15" customHeight="1" x14ac:dyDescent="0.25">
      <c r="B686" s="49">
        <v>681</v>
      </c>
      <c r="C686" s="1" t="str">
        <f>_xlfn.CONCAT("181-702-",IF(tbl_Ben_Info[[#This Row],[SN]]&lt;10,"00"&amp;tbl_Ben_Info[[#This Row],[SN]],IF(tbl_Ben_Info[[#This Row],[SN]]&lt;100,"0"&amp;tbl_Ben_Info[[#This Row],[SN]],tbl_Ben_Info[[#This Row],[SN]])))</f>
        <v>181-702-681</v>
      </c>
      <c r="D686" s="37"/>
      <c r="E686" s="40"/>
      <c r="F686" s="41"/>
      <c r="G686" s="42"/>
      <c r="H686" s="43"/>
      <c r="I686" s="73"/>
      <c r="J686" s="43"/>
      <c r="K686" s="43"/>
      <c r="L686" s="43"/>
      <c r="M686" s="43"/>
      <c r="N686" s="111"/>
      <c r="O686" s="43"/>
      <c r="P686" s="48"/>
      <c r="Q686" s="49"/>
      <c r="R686" s="37"/>
      <c r="S686" s="37"/>
      <c r="T686" s="37"/>
      <c r="U686" s="37"/>
      <c r="V686" s="59"/>
      <c r="W686" s="49"/>
      <c r="X686" s="37"/>
      <c r="Y686" s="37"/>
      <c r="Z686" s="37"/>
      <c r="AA686" s="37"/>
      <c r="AB686" s="37"/>
      <c r="AC686" s="37"/>
      <c r="AD686" s="37"/>
      <c r="AE686" s="37"/>
      <c r="AF686" s="37"/>
      <c r="AG686" s="59"/>
      <c r="AH686" s="49"/>
      <c r="AI686" s="37"/>
      <c r="AJ686" s="37"/>
      <c r="AK686" s="37"/>
      <c r="AL686" s="37"/>
      <c r="AM686" s="37"/>
      <c r="AN686" s="37"/>
      <c r="AO686" s="37"/>
      <c r="AP686" s="37"/>
      <c r="AQ686" s="37"/>
      <c r="AR686" s="37"/>
      <c r="AS686" s="37"/>
      <c r="AT686" s="37"/>
      <c r="AU686" s="37"/>
      <c r="AV686" s="59"/>
      <c r="AW686" s="1" t="str">
        <f>_xlfn.CONCAT(tbl_Ben_Info[[#This Row],[First Name]]," ",tbl_Ben_Info[[#This Row],[Father Name]]," ",tbl_Ben_Info[[#This Row],[Family Name]])</f>
        <v xml:space="preserve">  </v>
      </c>
    </row>
    <row r="687" spans="2:49" ht="25.15" customHeight="1" x14ac:dyDescent="0.25">
      <c r="B687" s="49">
        <v>682</v>
      </c>
      <c r="C687" s="1" t="str">
        <f>_xlfn.CONCAT("181-702-",IF(tbl_Ben_Info[[#This Row],[SN]]&lt;10,"00"&amp;tbl_Ben_Info[[#This Row],[SN]],IF(tbl_Ben_Info[[#This Row],[SN]]&lt;100,"0"&amp;tbl_Ben_Info[[#This Row],[SN]],tbl_Ben_Info[[#This Row],[SN]])))</f>
        <v>181-702-682</v>
      </c>
      <c r="D687" s="37"/>
      <c r="E687" s="40"/>
      <c r="F687" s="41"/>
      <c r="G687" s="42"/>
      <c r="H687" s="43"/>
      <c r="I687" s="73"/>
      <c r="J687" s="43"/>
      <c r="K687" s="43"/>
      <c r="L687" s="43"/>
      <c r="M687" s="43"/>
      <c r="N687" s="111"/>
      <c r="O687" s="43"/>
      <c r="P687" s="48"/>
      <c r="Q687" s="49"/>
      <c r="R687" s="37"/>
      <c r="S687" s="37"/>
      <c r="T687" s="37"/>
      <c r="U687" s="37"/>
      <c r="V687" s="59"/>
      <c r="W687" s="49"/>
      <c r="X687" s="37"/>
      <c r="Y687" s="37"/>
      <c r="Z687" s="37"/>
      <c r="AA687" s="37"/>
      <c r="AB687" s="37"/>
      <c r="AC687" s="37"/>
      <c r="AD687" s="37"/>
      <c r="AE687" s="37"/>
      <c r="AF687" s="37"/>
      <c r="AG687" s="59"/>
      <c r="AH687" s="49"/>
      <c r="AI687" s="37"/>
      <c r="AJ687" s="37"/>
      <c r="AK687" s="37"/>
      <c r="AL687" s="37"/>
      <c r="AM687" s="37"/>
      <c r="AN687" s="37"/>
      <c r="AO687" s="37"/>
      <c r="AP687" s="37"/>
      <c r="AQ687" s="37"/>
      <c r="AR687" s="37"/>
      <c r="AS687" s="37"/>
      <c r="AT687" s="37"/>
      <c r="AU687" s="37"/>
      <c r="AV687" s="59"/>
      <c r="AW687" s="1" t="str">
        <f>_xlfn.CONCAT(tbl_Ben_Info[[#This Row],[First Name]]," ",tbl_Ben_Info[[#This Row],[Father Name]]," ",tbl_Ben_Info[[#This Row],[Family Name]])</f>
        <v xml:space="preserve">  </v>
      </c>
    </row>
    <row r="688" spans="2:49" ht="25.15" customHeight="1" x14ac:dyDescent="0.25">
      <c r="B688" s="49">
        <v>683</v>
      </c>
      <c r="C688" s="1" t="str">
        <f>_xlfn.CONCAT("181-702-",IF(tbl_Ben_Info[[#This Row],[SN]]&lt;10,"00"&amp;tbl_Ben_Info[[#This Row],[SN]],IF(tbl_Ben_Info[[#This Row],[SN]]&lt;100,"0"&amp;tbl_Ben_Info[[#This Row],[SN]],tbl_Ben_Info[[#This Row],[SN]])))</f>
        <v>181-702-683</v>
      </c>
      <c r="D688" s="37"/>
      <c r="E688" s="40"/>
      <c r="F688" s="41"/>
      <c r="G688" s="42"/>
      <c r="H688" s="43"/>
      <c r="I688" s="73"/>
      <c r="J688" s="43"/>
      <c r="K688" s="43"/>
      <c r="L688" s="43"/>
      <c r="M688" s="43"/>
      <c r="N688" s="111"/>
      <c r="O688" s="43"/>
      <c r="P688" s="48"/>
      <c r="Q688" s="49"/>
      <c r="R688" s="37"/>
      <c r="S688" s="37"/>
      <c r="T688" s="37"/>
      <c r="U688" s="37"/>
      <c r="V688" s="59"/>
      <c r="W688" s="49"/>
      <c r="X688" s="37"/>
      <c r="Y688" s="37"/>
      <c r="Z688" s="37"/>
      <c r="AA688" s="37"/>
      <c r="AB688" s="37"/>
      <c r="AC688" s="37"/>
      <c r="AD688" s="37"/>
      <c r="AE688" s="37"/>
      <c r="AF688" s="37"/>
      <c r="AG688" s="59"/>
      <c r="AH688" s="49"/>
      <c r="AI688" s="37"/>
      <c r="AJ688" s="37"/>
      <c r="AK688" s="37"/>
      <c r="AL688" s="37"/>
      <c r="AM688" s="37"/>
      <c r="AN688" s="37"/>
      <c r="AO688" s="37"/>
      <c r="AP688" s="37"/>
      <c r="AQ688" s="37"/>
      <c r="AR688" s="37"/>
      <c r="AS688" s="37"/>
      <c r="AT688" s="37"/>
      <c r="AU688" s="37"/>
      <c r="AV688" s="59"/>
      <c r="AW688" s="1" t="str">
        <f>_xlfn.CONCAT(tbl_Ben_Info[[#This Row],[First Name]]," ",tbl_Ben_Info[[#This Row],[Father Name]]," ",tbl_Ben_Info[[#This Row],[Family Name]])</f>
        <v xml:space="preserve">  </v>
      </c>
    </row>
    <row r="689" spans="2:49" ht="25.15" customHeight="1" x14ac:dyDescent="0.25">
      <c r="B689" s="49">
        <v>684</v>
      </c>
      <c r="C689" s="1" t="str">
        <f>_xlfn.CONCAT("181-702-",IF(tbl_Ben_Info[[#This Row],[SN]]&lt;10,"00"&amp;tbl_Ben_Info[[#This Row],[SN]],IF(tbl_Ben_Info[[#This Row],[SN]]&lt;100,"0"&amp;tbl_Ben_Info[[#This Row],[SN]],tbl_Ben_Info[[#This Row],[SN]])))</f>
        <v>181-702-684</v>
      </c>
      <c r="D689" s="37"/>
      <c r="E689" s="40"/>
      <c r="F689" s="41"/>
      <c r="G689" s="42"/>
      <c r="H689" s="43"/>
      <c r="I689" s="73"/>
      <c r="J689" s="43"/>
      <c r="K689" s="43"/>
      <c r="L689" s="43"/>
      <c r="M689" s="43"/>
      <c r="N689" s="111"/>
      <c r="O689" s="43"/>
      <c r="P689" s="48"/>
      <c r="Q689" s="49"/>
      <c r="R689" s="37"/>
      <c r="S689" s="37"/>
      <c r="T689" s="37"/>
      <c r="U689" s="37"/>
      <c r="V689" s="59"/>
      <c r="W689" s="49"/>
      <c r="X689" s="37"/>
      <c r="Y689" s="37"/>
      <c r="Z689" s="37"/>
      <c r="AA689" s="37"/>
      <c r="AB689" s="37"/>
      <c r="AC689" s="37"/>
      <c r="AD689" s="37"/>
      <c r="AE689" s="37"/>
      <c r="AF689" s="37"/>
      <c r="AG689" s="59"/>
      <c r="AH689" s="49"/>
      <c r="AI689" s="37"/>
      <c r="AJ689" s="37"/>
      <c r="AK689" s="37"/>
      <c r="AL689" s="37"/>
      <c r="AM689" s="37"/>
      <c r="AN689" s="37"/>
      <c r="AO689" s="37"/>
      <c r="AP689" s="37"/>
      <c r="AQ689" s="37"/>
      <c r="AR689" s="37"/>
      <c r="AS689" s="37"/>
      <c r="AT689" s="37"/>
      <c r="AU689" s="37"/>
      <c r="AV689" s="59"/>
      <c r="AW689" s="1" t="str">
        <f>_xlfn.CONCAT(tbl_Ben_Info[[#This Row],[First Name]]," ",tbl_Ben_Info[[#This Row],[Father Name]]," ",tbl_Ben_Info[[#This Row],[Family Name]])</f>
        <v xml:space="preserve">  </v>
      </c>
    </row>
    <row r="690" spans="2:49" ht="25.15" customHeight="1" x14ac:dyDescent="0.25">
      <c r="B690" s="49">
        <v>685</v>
      </c>
      <c r="C690" s="1" t="str">
        <f>_xlfn.CONCAT("181-702-",IF(tbl_Ben_Info[[#This Row],[SN]]&lt;10,"00"&amp;tbl_Ben_Info[[#This Row],[SN]],IF(tbl_Ben_Info[[#This Row],[SN]]&lt;100,"0"&amp;tbl_Ben_Info[[#This Row],[SN]],tbl_Ben_Info[[#This Row],[SN]])))</f>
        <v>181-702-685</v>
      </c>
      <c r="D690" s="37"/>
      <c r="E690" s="40"/>
      <c r="F690" s="41"/>
      <c r="G690" s="42"/>
      <c r="H690" s="43"/>
      <c r="I690" s="73"/>
      <c r="J690" s="43"/>
      <c r="K690" s="43"/>
      <c r="L690" s="43"/>
      <c r="M690" s="43"/>
      <c r="N690" s="111"/>
      <c r="O690" s="43"/>
      <c r="P690" s="48"/>
      <c r="Q690" s="49"/>
      <c r="R690" s="37"/>
      <c r="S690" s="37"/>
      <c r="T690" s="37"/>
      <c r="U690" s="37"/>
      <c r="V690" s="59"/>
      <c r="W690" s="49"/>
      <c r="X690" s="37"/>
      <c r="Y690" s="37"/>
      <c r="Z690" s="37"/>
      <c r="AA690" s="37"/>
      <c r="AB690" s="37"/>
      <c r="AC690" s="37"/>
      <c r="AD690" s="37"/>
      <c r="AE690" s="37"/>
      <c r="AF690" s="37"/>
      <c r="AG690" s="59"/>
      <c r="AH690" s="49"/>
      <c r="AI690" s="37"/>
      <c r="AJ690" s="37"/>
      <c r="AK690" s="37"/>
      <c r="AL690" s="37"/>
      <c r="AM690" s="37"/>
      <c r="AN690" s="37"/>
      <c r="AO690" s="37"/>
      <c r="AP690" s="37"/>
      <c r="AQ690" s="37"/>
      <c r="AR690" s="37"/>
      <c r="AS690" s="37"/>
      <c r="AT690" s="37"/>
      <c r="AU690" s="37"/>
      <c r="AV690" s="59"/>
      <c r="AW690" s="1" t="str">
        <f>_xlfn.CONCAT(tbl_Ben_Info[[#This Row],[First Name]]," ",tbl_Ben_Info[[#This Row],[Father Name]]," ",tbl_Ben_Info[[#This Row],[Family Name]])</f>
        <v xml:space="preserve">  </v>
      </c>
    </row>
    <row r="691" spans="2:49" ht="25.15" customHeight="1" x14ac:dyDescent="0.25">
      <c r="B691" s="49">
        <v>686</v>
      </c>
      <c r="C691" s="1" t="str">
        <f>_xlfn.CONCAT("181-702-",IF(tbl_Ben_Info[[#This Row],[SN]]&lt;10,"00"&amp;tbl_Ben_Info[[#This Row],[SN]],IF(tbl_Ben_Info[[#This Row],[SN]]&lt;100,"0"&amp;tbl_Ben_Info[[#This Row],[SN]],tbl_Ben_Info[[#This Row],[SN]])))</f>
        <v>181-702-686</v>
      </c>
      <c r="D691" s="37"/>
      <c r="E691" s="40"/>
      <c r="F691" s="41"/>
      <c r="G691" s="42"/>
      <c r="H691" s="43"/>
      <c r="I691" s="73"/>
      <c r="J691" s="43"/>
      <c r="K691" s="43"/>
      <c r="L691" s="43"/>
      <c r="M691" s="43"/>
      <c r="N691" s="111"/>
      <c r="O691" s="43"/>
      <c r="P691" s="48"/>
      <c r="Q691" s="49"/>
      <c r="R691" s="37"/>
      <c r="S691" s="37"/>
      <c r="T691" s="37"/>
      <c r="U691" s="37"/>
      <c r="V691" s="59"/>
      <c r="W691" s="49"/>
      <c r="X691" s="37"/>
      <c r="Y691" s="37"/>
      <c r="Z691" s="37"/>
      <c r="AA691" s="37"/>
      <c r="AB691" s="37"/>
      <c r="AC691" s="37"/>
      <c r="AD691" s="37"/>
      <c r="AE691" s="37"/>
      <c r="AF691" s="37"/>
      <c r="AG691" s="59"/>
      <c r="AH691" s="49"/>
      <c r="AI691" s="37"/>
      <c r="AJ691" s="37"/>
      <c r="AK691" s="37"/>
      <c r="AL691" s="37"/>
      <c r="AM691" s="37"/>
      <c r="AN691" s="37"/>
      <c r="AO691" s="37"/>
      <c r="AP691" s="37"/>
      <c r="AQ691" s="37"/>
      <c r="AR691" s="37"/>
      <c r="AS691" s="37"/>
      <c r="AT691" s="37"/>
      <c r="AU691" s="37"/>
      <c r="AV691" s="59"/>
      <c r="AW691" s="1" t="str">
        <f>_xlfn.CONCAT(tbl_Ben_Info[[#This Row],[First Name]]," ",tbl_Ben_Info[[#This Row],[Father Name]]," ",tbl_Ben_Info[[#This Row],[Family Name]])</f>
        <v xml:space="preserve">  </v>
      </c>
    </row>
    <row r="692" spans="2:49" ht="25.15" customHeight="1" x14ac:dyDescent="0.25">
      <c r="B692" s="49">
        <v>687</v>
      </c>
      <c r="C692" s="1" t="str">
        <f>_xlfn.CONCAT("181-702-",IF(tbl_Ben_Info[[#This Row],[SN]]&lt;10,"00"&amp;tbl_Ben_Info[[#This Row],[SN]],IF(tbl_Ben_Info[[#This Row],[SN]]&lt;100,"0"&amp;tbl_Ben_Info[[#This Row],[SN]],tbl_Ben_Info[[#This Row],[SN]])))</f>
        <v>181-702-687</v>
      </c>
      <c r="D692" s="37"/>
      <c r="E692" s="40"/>
      <c r="F692" s="41"/>
      <c r="G692" s="42"/>
      <c r="H692" s="43"/>
      <c r="I692" s="73"/>
      <c r="J692" s="43"/>
      <c r="K692" s="43"/>
      <c r="L692" s="43"/>
      <c r="M692" s="43"/>
      <c r="N692" s="111"/>
      <c r="O692" s="43"/>
      <c r="P692" s="48"/>
      <c r="Q692" s="49"/>
      <c r="R692" s="37"/>
      <c r="S692" s="37"/>
      <c r="T692" s="37"/>
      <c r="U692" s="37"/>
      <c r="V692" s="59"/>
      <c r="W692" s="49"/>
      <c r="X692" s="37"/>
      <c r="Y692" s="37"/>
      <c r="Z692" s="37"/>
      <c r="AA692" s="37"/>
      <c r="AB692" s="37"/>
      <c r="AC692" s="37"/>
      <c r="AD692" s="37"/>
      <c r="AE692" s="37"/>
      <c r="AF692" s="37"/>
      <c r="AG692" s="59"/>
      <c r="AH692" s="49"/>
      <c r="AI692" s="37"/>
      <c r="AJ692" s="37"/>
      <c r="AK692" s="37"/>
      <c r="AL692" s="37"/>
      <c r="AM692" s="37"/>
      <c r="AN692" s="37"/>
      <c r="AO692" s="37"/>
      <c r="AP692" s="37"/>
      <c r="AQ692" s="37"/>
      <c r="AR692" s="37"/>
      <c r="AS692" s="37"/>
      <c r="AT692" s="37"/>
      <c r="AU692" s="37"/>
      <c r="AV692" s="59"/>
      <c r="AW692" s="1" t="str">
        <f>_xlfn.CONCAT(tbl_Ben_Info[[#This Row],[First Name]]," ",tbl_Ben_Info[[#This Row],[Father Name]]," ",tbl_Ben_Info[[#This Row],[Family Name]])</f>
        <v xml:space="preserve">  </v>
      </c>
    </row>
    <row r="693" spans="2:49" ht="25.15" customHeight="1" x14ac:dyDescent="0.25">
      <c r="B693" s="49">
        <v>688</v>
      </c>
      <c r="C693" s="1" t="str">
        <f>_xlfn.CONCAT("181-702-",IF(tbl_Ben_Info[[#This Row],[SN]]&lt;10,"00"&amp;tbl_Ben_Info[[#This Row],[SN]],IF(tbl_Ben_Info[[#This Row],[SN]]&lt;100,"0"&amp;tbl_Ben_Info[[#This Row],[SN]],tbl_Ben_Info[[#This Row],[SN]])))</f>
        <v>181-702-688</v>
      </c>
      <c r="D693" s="37"/>
      <c r="E693" s="40"/>
      <c r="F693" s="41"/>
      <c r="G693" s="42"/>
      <c r="H693" s="43"/>
      <c r="I693" s="73"/>
      <c r="J693" s="43"/>
      <c r="K693" s="43"/>
      <c r="L693" s="43"/>
      <c r="M693" s="43"/>
      <c r="N693" s="111"/>
      <c r="O693" s="43"/>
      <c r="P693" s="48"/>
      <c r="Q693" s="49"/>
      <c r="R693" s="37"/>
      <c r="S693" s="37"/>
      <c r="T693" s="37"/>
      <c r="U693" s="37"/>
      <c r="V693" s="59"/>
      <c r="W693" s="49"/>
      <c r="X693" s="37"/>
      <c r="Y693" s="37"/>
      <c r="Z693" s="37"/>
      <c r="AA693" s="37"/>
      <c r="AB693" s="37"/>
      <c r="AC693" s="37"/>
      <c r="AD693" s="37"/>
      <c r="AE693" s="37"/>
      <c r="AF693" s="37"/>
      <c r="AG693" s="59"/>
      <c r="AH693" s="49"/>
      <c r="AI693" s="37"/>
      <c r="AJ693" s="37"/>
      <c r="AK693" s="37"/>
      <c r="AL693" s="37"/>
      <c r="AM693" s="37"/>
      <c r="AN693" s="37"/>
      <c r="AO693" s="37"/>
      <c r="AP693" s="37"/>
      <c r="AQ693" s="37"/>
      <c r="AR693" s="37"/>
      <c r="AS693" s="37"/>
      <c r="AT693" s="37"/>
      <c r="AU693" s="37"/>
      <c r="AV693" s="59"/>
      <c r="AW693" s="1" t="str">
        <f>_xlfn.CONCAT(tbl_Ben_Info[[#This Row],[First Name]]," ",tbl_Ben_Info[[#This Row],[Father Name]]," ",tbl_Ben_Info[[#This Row],[Family Name]])</f>
        <v xml:space="preserve">  </v>
      </c>
    </row>
    <row r="694" spans="2:49" ht="25.15" customHeight="1" x14ac:dyDescent="0.25">
      <c r="B694" s="49">
        <v>689</v>
      </c>
      <c r="C694" s="1" t="str">
        <f>_xlfn.CONCAT("181-702-",IF(tbl_Ben_Info[[#This Row],[SN]]&lt;10,"00"&amp;tbl_Ben_Info[[#This Row],[SN]],IF(tbl_Ben_Info[[#This Row],[SN]]&lt;100,"0"&amp;tbl_Ben_Info[[#This Row],[SN]],tbl_Ben_Info[[#This Row],[SN]])))</f>
        <v>181-702-689</v>
      </c>
      <c r="D694" s="37"/>
      <c r="E694" s="40"/>
      <c r="F694" s="41"/>
      <c r="G694" s="42"/>
      <c r="H694" s="43"/>
      <c r="I694" s="73"/>
      <c r="J694" s="43"/>
      <c r="K694" s="43"/>
      <c r="L694" s="43"/>
      <c r="M694" s="43"/>
      <c r="N694" s="111"/>
      <c r="O694" s="43"/>
      <c r="P694" s="48"/>
      <c r="Q694" s="49"/>
      <c r="R694" s="37"/>
      <c r="S694" s="37"/>
      <c r="T694" s="37"/>
      <c r="U694" s="37"/>
      <c r="V694" s="59"/>
      <c r="W694" s="49"/>
      <c r="X694" s="37"/>
      <c r="Y694" s="37"/>
      <c r="Z694" s="37"/>
      <c r="AA694" s="37"/>
      <c r="AB694" s="37"/>
      <c r="AC694" s="37"/>
      <c r="AD694" s="37"/>
      <c r="AE694" s="37"/>
      <c r="AF694" s="37"/>
      <c r="AG694" s="59"/>
      <c r="AH694" s="49"/>
      <c r="AI694" s="37"/>
      <c r="AJ694" s="37"/>
      <c r="AK694" s="37"/>
      <c r="AL694" s="37"/>
      <c r="AM694" s="37"/>
      <c r="AN694" s="37"/>
      <c r="AO694" s="37"/>
      <c r="AP694" s="37"/>
      <c r="AQ694" s="37"/>
      <c r="AR694" s="37"/>
      <c r="AS694" s="37"/>
      <c r="AT694" s="37"/>
      <c r="AU694" s="37"/>
      <c r="AV694" s="59"/>
      <c r="AW694" s="1" t="str">
        <f>_xlfn.CONCAT(tbl_Ben_Info[[#This Row],[First Name]]," ",tbl_Ben_Info[[#This Row],[Father Name]]," ",tbl_Ben_Info[[#This Row],[Family Name]])</f>
        <v xml:space="preserve">  </v>
      </c>
    </row>
    <row r="695" spans="2:49" ht="25.15" customHeight="1" x14ac:dyDescent="0.25">
      <c r="B695" s="49">
        <v>690</v>
      </c>
      <c r="C695" s="1" t="str">
        <f>_xlfn.CONCAT("181-702-",IF(tbl_Ben_Info[[#This Row],[SN]]&lt;10,"00"&amp;tbl_Ben_Info[[#This Row],[SN]],IF(tbl_Ben_Info[[#This Row],[SN]]&lt;100,"0"&amp;tbl_Ben_Info[[#This Row],[SN]],tbl_Ben_Info[[#This Row],[SN]])))</f>
        <v>181-702-690</v>
      </c>
      <c r="D695" s="37"/>
      <c r="E695" s="40"/>
      <c r="F695" s="41"/>
      <c r="G695" s="42"/>
      <c r="H695" s="43"/>
      <c r="I695" s="73"/>
      <c r="J695" s="43"/>
      <c r="K695" s="43"/>
      <c r="L695" s="43"/>
      <c r="M695" s="43"/>
      <c r="N695" s="111"/>
      <c r="O695" s="43"/>
      <c r="P695" s="48"/>
      <c r="Q695" s="49"/>
      <c r="R695" s="37"/>
      <c r="S695" s="37"/>
      <c r="T695" s="37"/>
      <c r="U695" s="37"/>
      <c r="V695" s="59"/>
      <c r="W695" s="49"/>
      <c r="X695" s="37"/>
      <c r="Y695" s="37"/>
      <c r="Z695" s="37"/>
      <c r="AA695" s="37"/>
      <c r="AB695" s="37"/>
      <c r="AC695" s="37"/>
      <c r="AD695" s="37"/>
      <c r="AE695" s="37"/>
      <c r="AF695" s="37"/>
      <c r="AG695" s="59"/>
      <c r="AH695" s="49"/>
      <c r="AI695" s="37"/>
      <c r="AJ695" s="37"/>
      <c r="AK695" s="37"/>
      <c r="AL695" s="37"/>
      <c r="AM695" s="37"/>
      <c r="AN695" s="37"/>
      <c r="AO695" s="37"/>
      <c r="AP695" s="37"/>
      <c r="AQ695" s="37"/>
      <c r="AR695" s="37"/>
      <c r="AS695" s="37"/>
      <c r="AT695" s="37"/>
      <c r="AU695" s="37"/>
      <c r="AV695" s="59"/>
      <c r="AW695" s="1" t="str">
        <f>_xlfn.CONCAT(tbl_Ben_Info[[#This Row],[First Name]]," ",tbl_Ben_Info[[#This Row],[Father Name]]," ",tbl_Ben_Info[[#This Row],[Family Name]])</f>
        <v xml:space="preserve">  </v>
      </c>
    </row>
    <row r="696" spans="2:49" ht="25.15" customHeight="1" x14ac:dyDescent="0.25">
      <c r="B696" s="49">
        <v>691</v>
      </c>
      <c r="C696" s="1" t="str">
        <f>_xlfn.CONCAT("181-702-",IF(tbl_Ben_Info[[#This Row],[SN]]&lt;10,"00"&amp;tbl_Ben_Info[[#This Row],[SN]],IF(tbl_Ben_Info[[#This Row],[SN]]&lt;100,"0"&amp;tbl_Ben_Info[[#This Row],[SN]],tbl_Ben_Info[[#This Row],[SN]])))</f>
        <v>181-702-691</v>
      </c>
      <c r="D696" s="37"/>
      <c r="E696" s="40"/>
      <c r="F696" s="41"/>
      <c r="G696" s="42"/>
      <c r="H696" s="43"/>
      <c r="I696" s="73"/>
      <c r="J696" s="43"/>
      <c r="K696" s="43"/>
      <c r="L696" s="43"/>
      <c r="M696" s="43"/>
      <c r="N696" s="111"/>
      <c r="O696" s="43"/>
      <c r="P696" s="48"/>
      <c r="Q696" s="49"/>
      <c r="R696" s="37"/>
      <c r="S696" s="37"/>
      <c r="T696" s="37"/>
      <c r="U696" s="37"/>
      <c r="V696" s="59"/>
      <c r="W696" s="49"/>
      <c r="X696" s="37"/>
      <c r="Y696" s="37"/>
      <c r="Z696" s="37"/>
      <c r="AA696" s="37"/>
      <c r="AB696" s="37"/>
      <c r="AC696" s="37"/>
      <c r="AD696" s="37"/>
      <c r="AE696" s="37"/>
      <c r="AF696" s="37"/>
      <c r="AG696" s="59"/>
      <c r="AH696" s="49"/>
      <c r="AI696" s="37"/>
      <c r="AJ696" s="37"/>
      <c r="AK696" s="37"/>
      <c r="AL696" s="37"/>
      <c r="AM696" s="37"/>
      <c r="AN696" s="37"/>
      <c r="AO696" s="37"/>
      <c r="AP696" s="37"/>
      <c r="AQ696" s="37"/>
      <c r="AR696" s="37"/>
      <c r="AS696" s="37"/>
      <c r="AT696" s="37"/>
      <c r="AU696" s="37"/>
      <c r="AV696" s="59"/>
      <c r="AW696" s="1" t="str">
        <f>_xlfn.CONCAT(tbl_Ben_Info[[#This Row],[First Name]]," ",tbl_Ben_Info[[#This Row],[Father Name]]," ",tbl_Ben_Info[[#This Row],[Family Name]])</f>
        <v xml:space="preserve">  </v>
      </c>
    </row>
    <row r="697" spans="2:49" ht="25.15" customHeight="1" x14ac:dyDescent="0.25">
      <c r="B697" s="49">
        <v>692</v>
      </c>
      <c r="C697" s="1" t="str">
        <f>_xlfn.CONCAT("181-702-",IF(tbl_Ben_Info[[#This Row],[SN]]&lt;10,"00"&amp;tbl_Ben_Info[[#This Row],[SN]],IF(tbl_Ben_Info[[#This Row],[SN]]&lt;100,"0"&amp;tbl_Ben_Info[[#This Row],[SN]],tbl_Ben_Info[[#This Row],[SN]])))</f>
        <v>181-702-692</v>
      </c>
      <c r="D697" s="37"/>
      <c r="E697" s="40"/>
      <c r="F697" s="41"/>
      <c r="G697" s="42"/>
      <c r="H697" s="43"/>
      <c r="I697" s="73"/>
      <c r="J697" s="43"/>
      <c r="K697" s="43"/>
      <c r="L697" s="43"/>
      <c r="M697" s="43"/>
      <c r="N697" s="111"/>
      <c r="O697" s="43"/>
      <c r="P697" s="48"/>
      <c r="Q697" s="49"/>
      <c r="R697" s="37"/>
      <c r="S697" s="37"/>
      <c r="T697" s="37"/>
      <c r="U697" s="37"/>
      <c r="V697" s="59"/>
      <c r="W697" s="49"/>
      <c r="X697" s="37"/>
      <c r="Y697" s="37"/>
      <c r="Z697" s="37"/>
      <c r="AA697" s="37"/>
      <c r="AB697" s="37"/>
      <c r="AC697" s="37"/>
      <c r="AD697" s="37"/>
      <c r="AE697" s="37"/>
      <c r="AF697" s="37"/>
      <c r="AG697" s="59"/>
      <c r="AH697" s="49"/>
      <c r="AI697" s="37"/>
      <c r="AJ697" s="37"/>
      <c r="AK697" s="37"/>
      <c r="AL697" s="37"/>
      <c r="AM697" s="37"/>
      <c r="AN697" s="37"/>
      <c r="AO697" s="37"/>
      <c r="AP697" s="37"/>
      <c r="AQ697" s="37"/>
      <c r="AR697" s="37"/>
      <c r="AS697" s="37"/>
      <c r="AT697" s="37"/>
      <c r="AU697" s="37"/>
      <c r="AV697" s="59"/>
      <c r="AW697" s="1" t="str">
        <f>_xlfn.CONCAT(tbl_Ben_Info[[#This Row],[First Name]]," ",tbl_Ben_Info[[#This Row],[Father Name]]," ",tbl_Ben_Info[[#This Row],[Family Name]])</f>
        <v xml:space="preserve">  </v>
      </c>
    </row>
    <row r="698" spans="2:49" ht="25.15" customHeight="1" x14ac:dyDescent="0.25">
      <c r="B698" s="49">
        <v>693</v>
      </c>
      <c r="C698" s="1" t="str">
        <f>_xlfn.CONCAT("181-702-",IF(tbl_Ben_Info[[#This Row],[SN]]&lt;10,"00"&amp;tbl_Ben_Info[[#This Row],[SN]],IF(tbl_Ben_Info[[#This Row],[SN]]&lt;100,"0"&amp;tbl_Ben_Info[[#This Row],[SN]],tbl_Ben_Info[[#This Row],[SN]])))</f>
        <v>181-702-693</v>
      </c>
      <c r="D698" s="37"/>
      <c r="E698" s="40"/>
      <c r="F698" s="41"/>
      <c r="G698" s="42"/>
      <c r="H698" s="43"/>
      <c r="I698" s="73"/>
      <c r="J698" s="43"/>
      <c r="K698" s="43"/>
      <c r="L698" s="43"/>
      <c r="M698" s="43"/>
      <c r="N698" s="111"/>
      <c r="O698" s="43"/>
      <c r="P698" s="48"/>
      <c r="Q698" s="49"/>
      <c r="R698" s="37"/>
      <c r="S698" s="37"/>
      <c r="T698" s="37"/>
      <c r="U698" s="37"/>
      <c r="V698" s="59"/>
      <c r="W698" s="49"/>
      <c r="X698" s="37"/>
      <c r="Y698" s="37"/>
      <c r="Z698" s="37"/>
      <c r="AA698" s="37"/>
      <c r="AB698" s="37"/>
      <c r="AC698" s="37"/>
      <c r="AD698" s="37"/>
      <c r="AE698" s="37"/>
      <c r="AF698" s="37"/>
      <c r="AG698" s="59"/>
      <c r="AH698" s="49"/>
      <c r="AI698" s="37"/>
      <c r="AJ698" s="37"/>
      <c r="AK698" s="37"/>
      <c r="AL698" s="37"/>
      <c r="AM698" s="37"/>
      <c r="AN698" s="37"/>
      <c r="AO698" s="37"/>
      <c r="AP698" s="37"/>
      <c r="AQ698" s="37"/>
      <c r="AR698" s="37"/>
      <c r="AS698" s="37"/>
      <c r="AT698" s="37"/>
      <c r="AU698" s="37"/>
      <c r="AV698" s="59"/>
      <c r="AW698" s="1" t="str">
        <f>_xlfn.CONCAT(tbl_Ben_Info[[#This Row],[First Name]]," ",tbl_Ben_Info[[#This Row],[Father Name]]," ",tbl_Ben_Info[[#This Row],[Family Name]])</f>
        <v xml:space="preserve">  </v>
      </c>
    </row>
    <row r="699" spans="2:49" ht="25.15" customHeight="1" x14ac:dyDescent="0.25">
      <c r="B699" s="49">
        <v>694</v>
      </c>
      <c r="C699" s="1" t="str">
        <f>_xlfn.CONCAT("181-702-",IF(tbl_Ben_Info[[#This Row],[SN]]&lt;10,"00"&amp;tbl_Ben_Info[[#This Row],[SN]],IF(tbl_Ben_Info[[#This Row],[SN]]&lt;100,"0"&amp;tbl_Ben_Info[[#This Row],[SN]],tbl_Ben_Info[[#This Row],[SN]])))</f>
        <v>181-702-694</v>
      </c>
      <c r="D699" s="37"/>
      <c r="E699" s="40"/>
      <c r="F699" s="41"/>
      <c r="G699" s="42"/>
      <c r="H699" s="43"/>
      <c r="I699" s="73"/>
      <c r="J699" s="43"/>
      <c r="K699" s="43"/>
      <c r="L699" s="43"/>
      <c r="M699" s="43"/>
      <c r="N699" s="111"/>
      <c r="O699" s="43"/>
      <c r="P699" s="48"/>
      <c r="Q699" s="49"/>
      <c r="R699" s="37"/>
      <c r="S699" s="37"/>
      <c r="T699" s="37"/>
      <c r="U699" s="37"/>
      <c r="V699" s="59"/>
      <c r="W699" s="49"/>
      <c r="X699" s="37"/>
      <c r="Y699" s="37"/>
      <c r="Z699" s="37"/>
      <c r="AA699" s="37"/>
      <c r="AB699" s="37"/>
      <c r="AC699" s="37"/>
      <c r="AD699" s="37"/>
      <c r="AE699" s="37"/>
      <c r="AF699" s="37"/>
      <c r="AG699" s="59"/>
      <c r="AH699" s="49"/>
      <c r="AI699" s="37"/>
      <c r="AJ699" s="37"/>
      <c r="AK699" s="37"/>
      <c r="AL699" s="37"/>
      <c r="AM699" s="37"/>
      <c r="AN699" s="37"/>
      <c r="AO699" s="37"/>
      <c r="AP699" s="37"/>
      <c r="AQ699" s="37"/>
      <c r="AR699" s="37"/>
      <c r="AS699" s="37"/>
      <c r="AT699" s="37"/>
      <c r="AU699" s="37"/>
      <c r="AV699" s="59"/>
      <c r="AW699" s="1" t="str">
        <f>_xlfn.CONCAT(tbl_Ben_Info[[#This Row],[First Name]]," ",tbl_Ben_Info[[#This Row],[Father Name]]," ",tbl_Ben_Info[[#This Row],[Family Name]])</f>
        <v xml:space="preserve">  </v>
      </c>
    </row>
    <row r="700" spans="2:49" ht="25.15" customHeight="1" x14ac:dyDescent="0.25">
      <c r="B700" s="49">
        <v>695</v>
      </c>
      <c r="C700" s="1" t="str">
        <f>_xlfn.CONCAT("181-702-",IF(tbl_Ben_Info[[#This Row],[SN]]&lt;10,"00"&amp;tbl_Ben_Info[[#This Row],[SN]],IF(tbl_Ben_Info[[#This Row],[SN]]&lt;100,"0"&amp;tbl_Ben_Info[[#This Row],[SN]],tbl_Ben_Info[[#This Row],[SN]])))</f>
        <v>181-702-695</v>
      </c>
      <c r="D700" s="37"/>
      <c r="E700" s="40"/>
      <c r="F700" s="41"/>
      <c r="G700" s="42"/>
      <c r="H700" s="43"/>
      <c r="I700" s="73"/>
      <c r="J700" s="43"/>
      <c r="K700" s="43"/>
      <c r="L700" s="43"/>
      <c r="M700" s="43"/>
      <c r="N700" s="111"/>
      <c r="O700" s="43"/>
      <c r="P700" s="48"/>
      <c r="Q700" s="49"/>
      <c r="R700" s="37"/>
      <c r="S700" s="37"/>
      <c r="T700" s="37"/>
      <c r="U700" s="37"/>
      <c r="V700" s="59"/>
      <c r="W700" s="49"/>
      <c r="X700" s="37"/>
      <c r="Y700" s="37"/>
      <c r="Z700" s="37"/>
      <c r="AA700" s="37"/>
      <c r="AB700" s="37"/>
      <c r="AC700" s="37"/>
      <c r="AD700" s="37"/>
      <c r="AE700" s="37"/>
      <c r="AF700" s="37"/>
      <c r="AG700" s="59"/>
      <c r="AH700" s="49"/>
      <c r="AI700" s="37"/>
      <c r="AJ700" s="37"/>
      <c r="AK700" s="37"/>
      <c r="AL700" s="37"/>
      <c r="AM700" s="37"/>
      <c r="AN700" s="37"/>
      <c r="AO700" s="37"/>
      <c r="AP700" s="37"/>
      <c r="AQ700" s="37"/>
      <c r="AR700" s="37"/>
      <c r="AS700" s="37"/>
      <c r="AT700" s="37"/>
      <c r="AU700" s="37"/>
      <c r="AV700" s="59"/>
      <c r="AW700" s="1" t="str">
        <f>_xlfn.CONCAT(tbl_Ben_Info[[#This Row],[First Name]]," ",tbl_Ben_Info[[#This Row],[Father Name]]," ",tbl_Ben_Info[[#This Row],[Family Name]])</f>
        <v xml:space="preserve">  </v>
      </c>
    </row>
    <row r="701" spans="2:49" ht="25.15" customHeight="1" x14ac:dyDescent="0.25">
      <c r="B701" s="49">
        <v>696</v>
      </c>
      <c r="C701" s="1" t="str">
        <f>_xlfn.CONCAT("181-702-",IF(tbl_Ben_Info[[#This Row],[SN]]&lt;10,"00"&amp;tbl_Ben_Info[[#This Row],[SN]],IF(tbl_Ben_Info[[#This Row],[SN]]&lt;100,"0"&amp;tbl_Ben_Info[[#This Row],[SN]],tbl_Ben_Info[[#This Row],[SN]])))</f>
        <v>181-702-696</v>
      </c>
      <c r="D701" s="37"/>
      <c r="E701" s="40"/>
      <c r="F701" s="41"/>
      <c r="G701" s="42"/>
      <c r="H701" s="43"/>
      <c r="I701" s="73"/>
      <c r="J701" s="43"/>
      <c r="K701" s="43"/>
      <c r="L701" s="43"/>
      <c r="M701" s="43"/>
      <c r="N701" s="111"/>
      <c r="O701" s="43"/>
      <c r="P701" s="48"/>
      <c r="Q701" s="49"/>
      <c r="R701" s="37"/>
      <c r="S701" s="37"/>
      <c r="T701" s="37"/>
      <c r="U701" s="37"/>
      <c r="V701" s="59"/>
      <c r="W701" s="49"/>
      <c r="X701" s="37"/>
      <c r="Y701" s="37"/>
      <c r="Z701" s="37"/>
      <c r="AA701" s="37"/>
      <c r="AB701" s="37"/>
      <c r="AC701" s="37"/>
      <c r="AD701" s="37"/>
      <c r="AE701" s="37"/>
      <c r="AF701" s="37"/>
      <c r="AG701" s="59"/>
      <c r="AH701" s="49"/>
      <c r="AI701" s="37"/>
      <c r="AJ701" s="37"/>
      <c r="AK701" s="37"/>
      <c r="AL701" s="37"/>
      <c r="AM701" s="37"/>
      <c r="AN701" s="37"/>
      <c r="AO701" s="37"/>
      <c r="AP701" s="37"/>
      <c r="AQ701" s="37"/>
      <c r="AR701" s="37"/>
      <c r="AS701" s="37"/>
      <c r="AT701" s="37"/>
      <c r="AU701" s="37"/>
      <c r="AV701" s="59"/>
      <c r="AW701" s="1" t="str">
        <f>_xlfn.CONCAT(tbl_Ben_Info[[#This Row],[First Name]]," ",tbl_Ben_Info[[#This Row],[Father Name]]," ",tbl_Ben_Info[[#This Row],[Family Name]])</f>
        <v xml:space="preserve">  </v>
      </c>
    </row>
    <row r="702" spans="2:49" ht="25.15" customHeight="1" x14ac:dyDescent="0.25">
      <c r="B702" s="49">
        <v>697</v>
      </c>
      <c r="C702" s="1" t="str">
        <f>_xlfn.CONCAT("181-702-",IF(tbl_Ben_Info[[#This Row],[SN]]&lt;10,"00"&amp;tbl_Ben_Info[[#This Row],[SN]],IF(tbl_Ben_Info[[#This Row],[SN]]&lt;100,"0"&amp;tbl_Ben_Info[[#This Row],[SN]],tbl_Ben_Info[[#This Row],[SN]])))</f>
        <v>181-702-697</v>
      </c>
      <c r="D702" s="37"/>
      <c r="E702" s="40"/>
      <c r="F702" s="41"/>
      <c r="G702" s="42"/>
      <c r="H702" s="43"/>
      <c r="I702" s="73"/>
      <c r="J702" s="43"/>
      <c r="K702" s="43"/>
      <c r="L702" s="43"/>
      <c r="M702" s="43"/>
      <c r="N702" s="111"/>
      <c r="O702" s="43"/>
      <c r="P702" s="48"/>
      <c r="Q702" s="49"/>
      <c r="R702" s="37"/>
      <c r="S702" s="37"/>
      <c r="T702" s="37"/>
      <c r="U702" s="37"/>
      <c r="V702" s="59"/>
      <c r="W702" s="49"/>
      <c r="X702" s="37"/>
      <c r="Y702" s="37"/>
      <c r="Z702" s="37"/>
      <c r="AA702" s="37"/>
      <c r="AB702" s="37"/>
      <c r="AC702" s="37"/>
      <c r="AD702" s="37"/>
      <c r="AE702" s="37"/>
      <c r="AF702" s="37"/>
      <c r="AG702" s="59"/>
      <c r="AH702" s="49"/>
      <c r="AI702" s="37"/>
      <c r="AJ702" s="37"/>
      <c r="AK702" s="37"/>
      <c r="AL702" s="37"/>
      <c r="AM702" s="37"/>
      <c r="AN702" s="37"/>
      <c r="AO702" s="37"/>
      <c r="AP702" s="37"/>
      <c r="AQ702" s="37"/>
      <c r="AR702" s="37"/>
      <c r="AS702" s="37"/>
      <c r="AT702" s="37"/>
      <c r="AU702" s="37"/>
      <c r="AV702" s="59"/>
      <c r="AW702" s="1" t="str">
        <f>_xlfn.CONCAT(tbl_Ben_Info[[#This Row],[First Name]]," ",tbl_Ben_Info[[#This Row],[Father Name]]," ",tbl_Ben_Info[[#This Row],[Family Name]])</f>
        <v xml:space="preserve">  </v>
      </c>
    </row>
    <row r="703" spans="2:49" ht="25.15" customHeight="1" x14ac:dyDescent="0.25">
      <c r="B703" s="49">
        <v>698</v>
      </c>
      <c r="C703" s="1" t="str">
        <f>_xlfn.CONCAT("181-702-",IF(tbl_Ben_Info[[#This Row],[SN]]&lt;10,"00"&amp;tbl_Ben_Info[[#This Row],[SN]],IF(tbl_Ben_Info[[#This Row],[SN]]&lt;100,"0"&amp;tbl_Ben_Info[[#This Row],[SN]],tbl_Ben_Info[[#This Row],[SN]])))</f>
        <v>181-702-698</v>
      </c>
      <c r="D703" s="37"/>
      <c r="E703" s="40"/>
      <c r="F703" s="41"/>
      <c r="G703" s="42"/>
      <c r="H703" s="43"/>
      <c r="I703" s="73"/>
      <c r="J703" s="43"/>
      <c r="K703" s="43"/>
      <c r="L703" s="43"/>
      <c r="M703" s="43"/>
      <c r="N703" s="111"/>
      <c r="O703" s="43"/>
      <c r="P703" s="48"/>
      <c r="Q703" s="49"/>
      <c r="R703" s="37"/>
      <c r="S703" s="37"/>
      <c r="T703" s="37"/>
      <c r="U703" s="37"/>
      <c r="V703" s="59"/>
      <c r="W703" s="49"/>
      <c r="X703" s="37"/>
      <c r="Y703" s="37"/>
      <c r="Z703" s="37"/>
      <c r="AA703" s="37"/>
      <c r="AB703" s="37"/>
      <c r="AC703" s="37"/>
      <c r="AD703" s="37"/>
      <c r="AE703" s="37"/>
      <c r="AF703" s="37"/>
      <c r="AG703" s="59"/>
      <c r="AH703" s="49"/>
      <c r="AI703" s="37"/>
      <c r="AJ703" s="37"/>
      <c r="AK703" s="37"/>
      <c r="AL703" s="37"/>
      <c r="AM703" s="37"/>
      <c r="AN703" s="37"/>
      <c r="AO703" s="37"/>
      <c r="AP703" s="37"/>
      <c r="AQ703" s="37"/>
      <c r="AR703" s="37"/>
      <c r="AS703" s="37"/>
      <c r="AT703" s="37"/>
      <c r="AU703" s="37"/>
      <c r="AV703" s="59"/>
      <c r="AW703" s="1" t="str">
        <f>_xlfn.CONCAT(tbl_Ben_Info[[#This Row],[First Name]]," ",tbl_Ben_Info[[#This Row],[Father Name]]," ",tbl_Ben_Info[[#This Row],[Family Name]])</f>
        <v xml:space="preserve">  </v>
      </c>
    </row>
    <row r="704" spans="2:49" ht="25.15" customHeight="1" x14ac:dyDescent="0.25">
      <c r="B704" s="49">
        <v>699</v>
      </c>
      <c r="C704" s="1" t="str">
        <f>_xlfn.CONCAT("181-702-",IF(tbl_Ben_Info[[#This Row],[SN]]&lt;10,"00"&amp;tbl_Ben_Info[[#This Row],[SN]],IF(tbl_Ben_Info[[#This Row],[SN]]&lt;100,"0"&amp;tbl_Ben_Info[[#This Row],[SN]],tbl_Ben_Info[[#This Row],[SN]])))</f>
        <v>181-702-699</v>
      </c>
      <c r="D704" s="37"/>
      <c r="E704" s="40"/>
      <c r="F704" s="41"/>
      <c r="G704" s="42"/>
      <c r="H704" s="43"/>
      <c r="I704" s="73"/>
      <c r="J704" s="43"/>
      <c r="K704" s="43"/>
      <c r="L704" s="43"/>
      <c r="M704" s="43"/>
      <c r="N704" s="111"/>
      <c r="O704" s="43"/>
      <c r="P704" s="48"/>
      <c r="Q704" s="49"/>
      <c r="R704" s="37"/>
      <c r="S704" s="37"/>
      <c r="T704" s="37"/>
      <c r="U704" s="37"/>
      <c r="V704" s="59"/>
      <c r="W704" s="49"/>
      <c r="X704" s="37"/>
      <c r="Y704" s="37"/>
      <c r="Z704" s="37"/>
      <c r="AA704" s="37"/>
      <c r="AB704" s="37"/>
      <c r="AC704" s="37"/>
      <c r="AD704" s="37"/>
      <c r="AE704" s="37"/>
      <c r="AF704" s="37"/>
      <c r="AG704" s="59"/>
      <c r="AH704" s="49"/>
      <c r="AI704" s="37"/>
      <c r="AJ704" s="37"/>
      <c r="AK704" s="37"/>
      <c r="AL704" s="37"/>
      <c r="AM704" s="37"/>
      <c r="AN704" s="37"/>
      <c r="AO704" s="37"/>
      <c r="AP704" s="37"/>
      <c r="AQ704" s="37"/>
      <c r="AR704" s="37"/>
      <c r="AS704" s="37"/>
      <c r="AT704" s="37"/>
      <c r="AU704" s="37"/>
      <c r="AV704" s="59"/>
      <c r="AW704" s="1" t="str">
        <f>_xlfn.CONCAT(tbl_Ben_Info[[#This Row],[First Name]]," ",tbl_Ben_Info[[#This Row],[Father Name]]," ",tbl_Ben_Info[[#This Row],[Family Name]])</f>
        <v xml:space="preserve">  </v>
      </c>
    </row>
    <row r="705" spans="2:49" ht="25.15" customHeight="1" thickBot="1" x14ac:dyDescent="0.3">
      <c r="B705" s="49">
        <v>700</v>
      </c>
      <c r="C705" s="95" t="str">
        <f>_xlfn.CONCAT("181-702-",IF(tbl_Ben_Info[[#This Row],[SN]]&lt;10,"00"&amp;tbl_Ben_Info[[#This Row],[SN]],IF(tbl_Ben_Info[[#This Row],[SN]]&lt;100,"0"&amp;tbl_Ben_Info[[#This Row],[SN]],tbl_Ben_Info[[#This Row],[SN]])))</f>
        <v>181-702-700</v>
      </c>
      <c r="D705" s="51"/>
      <c r="E705" s="52"/>
      <c r="F705" s="53"/>
      <c r="G705" s="54"/>
      <c r="H705" s="55"/>
      <c r="I705" s="98"/>
      <c r="J705" s="55"/>
      <c r="K705" s="55"/>
      <c r="L705" s="55"/>
      <c r="M705" s="55"/>
      <c r="N705" s="112"/>
      <c r="O705" s="55"/>
      <c r="P705" s="56"/>
      <c r="Q705" s="50"/>
      <c r="R705" s="51"/>
      <c r="S705" s="51"/>
      <c r="T705" s="51"/>
      <c r="U705" s="51"/>
      <c r="V705" s="60"/>
      <c r="W705" s="50"/>
      <c r="X705" s="51"/>
      <c r="Y705" s="51"/>
      <c r="Z705" s="51"/>
      <c r="AA705" s="51"/>
      <c r="AB705" s="51"/>
      <c r="AC705" s="51"/>
      <c r="AD705" s="51"/>
      <c r="AE705" s="51"/>
      <c r="AF705" s="51"/>
      <c r="AG705" s="60"/>
      <c r="AH705" s="50"/>
      <c r="AI705" s="51"/>
      <c r="AJ705" s="51"/>
      <c r="AK705" s="51"/>
      <c r="AL705" s="51"/>
      <c r="AM705" s="51"/>
      <c r="AN705" s="51"/>
      <c r="AO705" s="51"/>
      <c r="AP705" s="51"/>
      <c r="AQ705" s="51"/>
      <c r="AR705" s="51"/>
      <c r="AS705" s="51"/>
      <c r="AT705" s="51"/>
      <c r="AU705" s="51"/>
      <c r="AV705" s="60"/>
      <c r="AW705" s="1" t="str">
        <f>_xlfn.CONCAT(tbl_Ben_Info[[#This Row],[First Name]]," ",tbl_Ben_Info[[#This Row],[Father Name]]," ",tbl_Ben_Info[[#This Row],[Family Name]])</f>
        <v xml:space="preserve">  </v>
      </c>
    </row>
    <row r="706" spans="2:49" x14ac:dyDescent="0.25">
      <c r="B706" s="21"/>
      <c r="C706" s="21"/>
      <c r="D706" s="21"/>
      <c r="E706" s="21"/>
      <c r="F706" s="21"/>
      <c r="G706" s="21"/>
      <c r="H706" s="21"/>
      <c r="I706" s="21"/>
      <c r="J706" s="21"/>
      <c r="K706" s="21"/>
      <c r="L706" s="21"/>
      <c r="M706" s="21"/>
      <c r="N706" s="21"/>
      <c r="O706" s="21"/>
      <c r="P706" s="21"/>
      <c r="Q706" s="21"/>
      <c r="R706" s="21"/>
    </row>
    <row r="707" spans="2:49" ht="15" customHeight="1" x14ac:dyDescent="0.25">
      <c r="B707" s="21"/>
      <c r="C707" s="21"/>
      <c r="D707" s="21"/>
      <c r="E707" s="21"/>
      <c r="F707" s="21"/>
      <c r="G707" s="21"/>
      <c r="H707" s="21"/>
      <c r="I707" s="21"/>
      <c r="J707" s="21"/>
      <c r="K707" s="21"/>
      <c r="L707" s="21"/>
      <c r="M707" s="21"/>
      <c r="N707" s="21"/>
      <c r="O707" s="21"/>
      <c r="P707" s="21"/>
      <c r="Q707" s="21"/>
      <c r="R707" s="21"/>
    </row>
    <row r="708" spans="2:49" ht="15" customHeight="1" x14ac:dyDescent="0.25">
      <c r="B708" s="21"/>
      <c r="C708" s="21"/>
      <c r="D708" s="21"/>
      <c r="E708" s="21"/>
      <c r="F708" s="21"/>
      <c r="G708" s="21"/>
      <c r="H708" s="21"/>
      <c r="I708" s="21"/>
      <c r="J708" s="21"/>
      <c r="K708" s="21"/>
      <c r="L708" s="21"/>
      <c r="M708" s="21"/>
      <c r="N708" s="21"/>
      <c r="O708" s="21"/>
      <c r="P708" s="21"/>
      <c r="Q708" s="21"/>
      <c r="R708" s="21"/>
    </row>
    <row r="709" spans="2:49" ht="15" customHeight="1" x14ac:dyDescent="0.25">
      <c r="B709" s="21"/>
      <c r="C709" s="21"/>
      <c r="D709" s="21"/>
      <c r="E709" s="21"/>
      <c r="F709" s="21"/>
      <c r="G709" s="21"/>
      <c r="H709" s="21"/>
      <c r="I709" s="21"/>
      <c r="J709" s="21"/>
      <c r="K709" s="21"/>
      <c r="L709" s="21"/>
      <c r="M709" s="21"/>
      <c r="N709" s="21"/>
      <c r="O709" s="21"/>
      <c r="P709" s="21"/>
      <c r="Q709" s="21"/>
      <c r="R709" s="21"/>
    </row>
    <row r="710" spans="2:49" ht="15" customHeight="1" x14ac:dyDescent="0.25">
      <c r="B710" s="21"/>
      <c r="C710" s="21"/>
      <c r="D710" s="21"/>
      <c r="E710" s="21"/>
      <c r="F710" s="21"/>
      <c r="G710" s="21"/>
      <c r="H710" s="21"/>
      <c r="I710" s="21"/>
      <c r="J710" s="21"/>
      <c r="K710" s="21"/>
      <c r="L710" s="21"/>
      <c r="M710" s="21"/>
      <c r="N710" s="21"/>
      <c r="O710" s="21"/>
      <c r="P710" s="21"/>
      <c r="Q710" s="21"/>
      <c r="R710" s="21"/>
    </row>
    <row r="711" spans="2:49" ht="15" customHeight="1" x14ac:dyDescent="0.25">
      <c r="B711" s="21"/>
      <c r="C711" s="21"/>
      <c r="D711" s="21"/>
      <c r="E711" s="21"/>
      <c r="F711" s="21"/>
      <c r="G711" s="21"/>
      <c r="H711" s="21"/>
      <c r="I711" s="21"/>
      <c r="J711" s="21"/>
      <c r="K711" s="21"/>
      <c r="L711" s="21"/>
      <c r="M711" s="21"/>
      <c r="N711" s="21"/>
      <c r="O711" s="21"/>
      <c r="P711" s="21"/>
      <c r="Q711" s="21"/>
      <c r="R711" s="21"/>
    </row>
    <row r="712" spans="2:49" ht="15" customHeight="1" x14ac:dyDescent="0.25">
      <c r="B712" s="21"/>
      <c r="C712" s="21"/>
      <c r="D712" s="21"/>
      <c r="E712" s="21"/>
      <c r="F712" s="21"/>
      <c r="G712" s="21"/>
      <c r="H712" s="21"/>
      <c r="I712" s="21"/>
      <c r="J712" s="21"/>
      <c r="K712" s="21"/>
      <c r="L712" s="21"/>
      <c r="M712" s="21"/>
      <c r="N712" s="21"/>
      <c r="O712" s="21"/>
      <c r="P712" s="21"/>
      <c r="Q712" s="21"/>
      <c r="R712" s="21"/>
    </row>
    <row r="713" spans="2:49" ht="15" customHeight="1" x14ac:dyDescent="0.25">
      <c r="B713" s="21"/>
      <c r="C713" s="21"/>
      <c r="D713" s="21"/>
      <c r="E713" s="21"/>
      <c r="F713" s="21"/>
      <c r="G713" s="21"/>
      <c r="H713" s="21"/>
      <c r="I713" s="21"/>
      <c r="J713" s="21"/>
      <c r="K713" s="21"/>
      <c r="L713" s="21"/>
      <c r="M713" s="21"/>
      <c r="N713" s="21"/>
      <c r="O713" s="21"/>
      <c r="P713" s="21"/>
      <c r="Q713" s="21"/>
      <c r="R713" s="21"/>
    </row>
    <row r="714" spans="2:49" ht="15" customHeight="1" x14ac:dyDescent="0.25">
      <c r="B714" s="21"/>
      <c r="C714" s="21"/>
      <c r="D714" s="21"/>
      <c r="E714" s="21"/>
      <c r="F714" s="21"/>
      <c r="G714" s="21"/>
      <c r="H714" s="21"/>
      <c r="I714" s="21"/>
      <c r="J714" s="21"/>
      <c r="K714" s="21"/>
      <c r="L714" s="21"/>
      <c r="M714" s="21"/>
      <c r="N714" s="21"/>
      <c r="O714" s="21"/>
      <c r="P714" s="21"/>
      <c r="Q714" s="21"/>
      <c r="R714" s="21"/>
    </row>
    <row r="715" spans="2:49" ht="15" customHeight="1" x14ac:dyDescent="0.25">
      <c r="B715" s="21"/>
      <c r="C715" s="21"/>
      <c r="D715" s="21"/>
      <c r="E715" s="21"/>
      <c r="F715" s="21"/>
      <c r="G715" s="21"/>
      <c r="H715" s="21"/>
      <c r="I715" s="21"/>
      <c r="J715" s="21"/>
      <c r="K715" s="21"/>
      <c r="L715" s="21"/>
      <c r="M715" s="21"/>
      <c r="N715" s="21"/>
      <c r="O715" s="21"/>
      <c r="P715" s="21"/>
      <c r="Q715" s="21"/>
      <c r="R715" s="21"/>
    </row>
    <row r="716" spans="2:49" ht="15" customHeight="1" x14ac:dyDescent="0.25">
      <c r="B716" s="21"/>
      <c r="C716" s="21"/>
      <c r="D716" s="21"/>
      <c r="E716" s="21"/>
      <c r="F716" s="21"/>
      <c r="G716" s="21"/>
      <c r="H716" s="21"/>
      <c r="I716" s="21"/>
      <c r="J716" s="21"/>
      <c r="K716" s="21"/>
      <c r="L716" s="21"/>
      <c r="M716" s="21"/>
      <c r="N716" s="21"/>
      <c r="O716" s="21"/>
      <c r="P716" s="21"/>
      <c r="Q716" s="21"/>
      <c r="R716" s="21"/>
    </row>
    <row r="717" spans="2:49" ht="15" customHeight="1" x14ac:dyDescent="0.25">
      <c r="B717" s="21"/>
      <c r="C717" s="21"/>
      <c r="D717" s="21"/>
      <c r="E717" s="21"/>
      <c r="F717" s="21"/>
      <c r="G717" s="21"/>
      <c r="H717" s="21"/>
      <c r="I717" s="21"/>
      <c r="J717" s="21"/>
      <c r="K717" s="21"/>
      <c r="L717" s="21"/>
      <c r="M717" s="21"/>
      <c r="N717" s="21"/>
      <c r="O717" s="21"/>
      <c r="P717" s="21"/>
      <c r="Q717" s="21"/>
      <c r="R717" s="21"/>
    </row>
    <row r="718" spans="2:49" ht="15" customHeight="1" x14ac:dyDescent="0.25">
      <c r="B718" s="21"/>
      <c r="C718" s="21"/>
      <c r="D718" s="21"/>
      <c r="E718" s="21"/>
      <c r="F718" s="21"/>
      <c r="G718" s="21"/>
      <c r="H718" s="21"/>
      <c r="I718" s="21"/>
      <c r="J718" s="21"/>
      <c r="K718" s="21"/>
      <c r="L718" s="21"/>
      <c r="M718" s="21"/>
      <c r="N718" s="21"/>
      <c r="O718" s="21"/>
      <c r="P718" s="21"/>
      <c r="Q718" s="21"/>
      <c r="R718" s="21"/>
    </row>
    <row r="719" spans="2:49" ht="15" customHeight="1" x14ac:dyDescent="0.25">
      <c r="B719" s="21"/>
      <c r="C719" s="21"/>
      <c r="D719" s="21"/>
      <c r="E719" s="21"/>
      <c r="F719" s="21"/>
      <c r="G719" s="21"/>
      <c r="H719" s="21"/>
      <c r="I719" s="21"/>
      <c r="J719" s="21"/>
      <c r="K719" s="21"/>
      <c r="L719" s="21"/>
      <c r="M719" s="21"/>
      <c r="N719" s="21"/>
      <c r="O719" s="21"/>
      <c r="P719" s="21"/>
      <c r="Q719" s="21"/>
      <c r="R719" s="21"/>
    </row>
    <row r="720" spans="2:49" ht="15" customHeight="1" x14ac:dyDescent="0.25">
      <c r="B720" s="21"/>
      <c r="C720" s="21"/>
      <c r="D720" s="21"/>
      <c r="E720" s="21"/>
      <c r="F720" s="21"/>
      <c r="G720" s="21"/>
      <c r="H720" s="21"/>
      <c r="I720" s="21"/>
      <c r="J720" s="21"/>
      <c r="K720" s="21"/>
      <c r="L720" s="21"/>
      <c r="M720" s="21"/>
      <c r="N720" s="21"/>
      <c r="O720" s="21"/>
      <c r="P720" s="21"/>
      <c r="Q720" s="21"/>
      <c r="R720" s="21"/>
    </row>
    <row r="721" s="21" customFormat="1" ht="15" customHeight="1" x14ac:dyDescent="0.25"/>
    <row r="722" s="21" customFormat="1" ht="15" customHeight="1" x14ac:dyDescent="0.25"/>
    <row r="723" s="21" customFormat="1" ht="15" customHeight="1" x14ac:dyDescent="0.25"/>
    <row r="724" s="21" customFormat="1" ht="15" customHeight="1" x14ac:dyDescent="0.25"/>
    <row r="725" s="21" customFormat="1" ht="15" customHeight="1" x14ac:dyDescent="0.25"/>
    <row r="726" s="21" customFormat="1" ht="15" customHeight="1" x14ac:dyDescent="0.25"/>
    <row r="727" s="21" customFormat="1" ht="15" customHeight="1" x14ac:dyDescent="0.25"/>
    <row r="728" s="21" customFormat="1" ht="15" customHeight="1" x14ac:dyDescent="0.25"/>
    <row r="729" s="21" customFormat="1" ht="15" customHeight="1" x14ac:dyDescent="0.25"/>
    <row r="730" s="21" customFormat="1" ht="15" customHeight="1" x14ac:dyDescent="0.25"/>
    <row r="731" s="21" customFormat="1" ht="15" customHeight="1" x14ac:dyDescent="0.25"/>
    <row r="732" s="21" customFormat="1" ht="15" customHeight="1" x14ac:dyDescent="0.25"/>
    <row r="733" s="21" customFormat="1" ht="15" customHeight="1" x14ac:dyDescent="0.25"/>
    <row r="734" s="21" customFormat="1" ht="15" customHeight="1" x14ac:dyDescent="0.25"/>
    <row r="735" s="21" customFormat="1" ht="15" customHeight="1" x14ac:dyDescent="0.25"/>
    <row r="736" s="21" customFormat="1" ht="15" customHeight="1" x14ac:dyDescent="0.25"/>
    <row r="737" s="21" customFormat="1" ht="15" customHeight="1" x14ac:dyDescent="0.25"/>
    <row r="738" s="21" customFormat="1" ht="15" customHeight="1" x14ac:dyDescent="0.25"/>
    <row r="739" s="21" customFormat="1" ht="15" customHeight="1" x14ac:dyDescent="0.25"/>
    <row r="740" s="21" customFormat="1" ht="15" customHeight="1" x14ac:dyDescent="0.25"/>
    <row r="741" s="21" customFormat="1" ht="15" customHeight="1" x14ac:dyDescent="0.25"/>
    <row r="742" s="21" customFormat="1" ht="15" customHeight="1" x14ac:dyDescent="0.25"/>
    <row r="743" s="21" customFormat="1" ht="15" customHeight="1" x14ac:dyDescent="0.25"/>
    <row r="744" s="21" customFormat="1" ht="15" customHeight="1" x14ac:dyDescent="0.25"/>
    <row r="745" s="21" customFormat="1" ht="15" customHeight="1" x14ac:dyDescent="0.25"/>
    <row r="746" s="21" customFormat="1" ht="15" customHeight="1" x14ac:dyDescent="0.25"/>
    <row r="747" s="21" customFormat="1" ht="15" customHeight="1" x14ac:dyDescent="0.25"/>
    <row r="748" s="21" customFormat="1" ht="15" customHeight="1" x14ac:dyDescent="0.25"/>
    <row r="749" s="21" customFormat="1" ht="15" customHeight="1" x14ac:dyDescent="0.25"/>
    <row r="750" s="21" customFormat="1" ht="15" customHeight="1" x14ac:dyDescent="0.25"/>
    <row r="751" s="21" customFormat="1" ht="15" customHeight="1" x14ac:dyDescent="0.25"/>
    <row r="752" s="21" customFormat="1" ht="15" customHeight="1" x14ac:dyDescent="0.25"/>
    <row r="753" s="21" customFormat="1" ht="15" customHeight="1" x14ac:dyDescent="0.25"/>
    <row r="754" s="21" customFormat="1" ht="15" customHeight="1" x14ac:dyDescent="0.25"/>
    <row r="755" s="21" customFormat="1" ht="15" customHeight="1" x14ac:dyDescent="0.25"/>
    <row r="756" s="21" customFormat="1" ht="15" customHeight="1" x14ac:dyDescent="0.25"/>
    <row r="757" s="21" customFormat="1" ht="15" customHeight="1" x14ac:dyDescent="0.25"/>
    <row r="758" s="21" customFormat="1" ht="15" customHeight="1" x14ac:dyDescent="0.25"/>
    <row r="759" s="21" customFormat="1" ht="15" customHeight="1" x14ac:dyDescent="0.25"/>
    <row r="760" s="21" customFormat="1" ht="15" customHeight="1" x14ac:dyDescent="0.25"/>
    <row r="761" s="21" customFormat="1" ht="15" customHeight="1" x14ac:dyDescent="0.25"/>
    <row r="762" s="21" customFormat="1" ht="15" customHeight="1" x14ac:dyDescent="0.25"/>
    <row r="763" s="21" customFormat="1" ht="15" customHeight="1" x14ac:dyDescent="0.25"/>
    <row r="764" s="21" customFormat="1" ht="15" customHeight="1" x14ac:dyDescent="0.25"/>
    <row r="765" s="21" customFormat="1" ht="15" customHeight="1" x14ac:dyDescent="0.25"/>
    <row r="766" s="21" customFormat="1" ht="15" customHeight="1" x14ac:dyDescent="0.25"/>
    <row r="767" s="21" customFormat="1" ht="15" customHeight="1" x14ac:dyDescent="0.25"/>
    <row r="768" s="21" customFormat="1" ht="15" customHeight="1" x14ac:dyDescent="0.25"/>
    <row r="769" s="21" customFormat="1" ht="15" customHeight="1" x14ac:dyDescent="0.25"/>
    <row r="770" s="21" customFormat="1" ht="15" customHeight="1" x14ac:dyDescent="0.25"/>
    <row r="771" s="21" customFormat="1" ht="15" customHeight="1" x14ac:dyDescent="0.25"/>
    <row r="772" s="21" customFormat="1" ht="15" customHeight="1" x14ac:dyDescent="0.25"/>
    <row r="773" s="21" customFormat="1" ht="15" customHeight="1" x14ac:dyDescent="0.25"/>
    <row r="774" s="21" customFormat="1" ht="15" customHeight="1" x14ac:dyDescent="0.25"/>
    <row r="775" s="21" customFormat="1" ht="15" customHeight="1" x14ac:dyDescent="0.25"/>
    <row r="776" s="21" customFormat="1" ht="15" customHeight="1" x14ac:dyDescent="0.25"/>
    <row r="777" s="21" customFormat="1" ht="15" customHeight="1" x14ac:dyDescent="0.25"/>
    <row r="778" s="21" customFormat="1" ht="15" customHeight="1" x14ac:dyDescent="0.25"/>
    <row r="779" s="21" customFormat="1" ht="15" customHeight="1" x14ac:dyDescent="0.25"/>
    <row r="780" s="21" customFormat="1" ht="15" customHeight="1" x14ac:dyDescent="0.25"/>
    <row r="781" s="21" customFormat="1" ht="15" customHeight="1" x14ac:dyDescent="0.25"/>
    <row r="782" s="21" customFormat="1" ht="15" customHeight="1" x14ac:dyDescent="0.25"/>
    <row r="783" s="21" customFormat="1" ht="15" customHeight="1" x14ac:dyDescent="0.25"/>
    <row r="784" s="21" customFormat="1" ht="15" customHeight="1" x14ac:dyDescent="0.25"/>
    <row r="785" s="21" customFormat="1" ht="15" customHeight="1" x14ac:dyDescent="0.25"/>
    <row r="786" s="21" customFormat="1" ht="15" customHeight="1" x14ac:dyDescent="0.25"/>
    <row r="787" s="21" customFormat="1" ht="15" customHeight="1" x14ac:dyDescent="0.25"/>
    <row r="788" s="21" customFormat="1" ht="15" customHeight="1" x14ac:dyDescent="0.25"/>
    <row r="789" s="21" customFormat="1" ht="15" customHeight="1" x14ac:dyDescent="0.25"/>
    <row r="790" s="21" customFormat="1" ht="15" customHeight="1" x14ac:dyDescent="0.25"/>
    <row r="791" s="21" customFormat="1" ht="15" customHeight="1" x14ac:dyDescent="0.25"/>
    <row r="792" s="21" customFormat="1" ht="15" customHeight="1" x14ac:dyDescent="0.25"/>
    <row r="793" s="21" customFormat="1" ht="15" customHeight="1" x14ac:dyDescent="0.25"/>
    <row r="794" s="21" customFormat="1" ht="15" customHeight="1" x14ac:dyDescent="0.25"/>
    <row r="795" s="21" customFormat="1" ht="15" customHeight="1" x14ac:dyDescent="0.25"/>
    <row r="796" s="21" customFormat="1" ht="15" customHeight="1" x14ac:dyDescent="0.25"/>
    <row r="797" s="21" customFormat="1" ht="15" customHeight="1" x14ac:dyDescent="0.25"/>
    <row r="798" s="21" customFormat="1" ht="15" customHeight="1" x14ac:dyDescent="0.25"/>
    <row r="799" s="21" customFormat="1" ht="15" customHeight="1" x14ac:dyDescent="0.25"/>
    <row r="800" s="21" customFormat="1" ht="15" customHeight="1" x14ac:dyDescent="0.25"/>
    <row r="801" s="21" customFormat="1" ht="15" customHeight="1" x14ac:dyDescent="0.25"/>
    <row r="802" s="21" customFormat="1" ht="15" customHeight="1" x14ac:dyDescent="0.25"/>
    <row r="803" s="21" customFormat="1" ht="15" customHeight="1" x14ac:dyDescent="0.25"/>
    <row r="804" s="21" customFormat="1" ht="15" customHeight="1" x14ac:dyDescent="0.25"/>
    <row r="805" s="21" customFormat="1" ht="15" customHeight="1" x14ac:dyDescent="0.25"/>
    <row r="806" s="21" customFormat="1" ht="15" customHeight="1" x14ac:dyDescent="0.25"/>
    <row r="807" s="21" customFormat="1" ht="15" customHeight="1" x14ac:dyDescent="0.25"/>
    <row r="808" s="21" customFormat="1" ht="15" customHeight="1" x14ac:dyDescent="0.25"/>
    <row r="809" s="21" customFormat="1" ht="15" customHeight="1" x14ac:dyDescent="0.25"/>
    <row r="810" s="21" customFormat="1" ht="15" customHeight="1" x14ac:dyDescent="0.25"/>
    <row r="811" s="21" customFormat="1" ht="15" customHeight="1" x14ac:dyDescent="0.25"/>
    <row r="812" s="21" customFormat="1" ht="15" customHeight="1" x14ac:dyDescent="0.25"/>
    <row r="813" s="21" customFormat="1" ht="15" customHeight="1" x14ac:dyDescent="0.25"/>
    <row r="814" s="21" customFormat="1" ht="15" customHeight="1" x14ac:dyDescent="0.25"/>
    <row r="815" s="21" customFormat="1" ht="15" customHeight="1" x14ac:dyDescent="0.25"/>
    <row r="816" s="21" customFormat="1" ht="15" customHeight="1" x14ac:dyDescent="0.25"/>
    <row r="817" s="21" customFormat="1" ht="15" customHeight="1" x14ac:dyDescent="0.25"/>
    <row r="818" s="21" customFormat="1" ht="15" customHeight="1" x14ac:dyDescent="0.25"/>
    <row r="819" s="21" customFormat="1" ht="15" customHeight="1" x14ac:dyDescent="0.25"/>
    <row r="820" s="21" customFormat="1" ht="15" customHeight="1" x14ac:dyDescent="0.25"/>
    <row r="821" s="21" customFormat="1" ht="15" customHeight="1" x14ac:dyDescent="0.25"/>
    <row r="822" s="21" customFormat="1" ht="15" customHeight="1" x14ac:dyDescent="0.25"/>
    <row r="823" s="21" customFormat="1" ht="15" customHeight="1" x14ac:dyDescent="0.25"/>
    <row r="824" s="21" customFormat="1" ht="15" customHeight="1" x14ac:dyDescent="0.25"/>
    <row r="825" s="21" customFormat="1" ht="15" customHeight="1" x14ac:dyDescent="0.25"/>
    <row r="826" s="21" customFormat="1" ht="15" customHeight="1" x14ac:dyDescent="0.25"/>
    <row r="827" s="21" customFormat="1" ht="15" customHeight="1" x14ac:dyDescent="0.25"/>
    <row r="828" s="21" customFormat="1" ht="15" customHeight="1" x14ac:dyDescent="0.25"/>
    <row r="829" s="21" customFormat="1" ht="15" customHeight="1" x14ac:dyDescent="0.25"/>
    <row r="830" s="21" customFormat="1" ht="15" customHeight="1" x14ac:dyDescent="0.25"/>
    <row r="831" s="21" customFormat="1" ht="15" customHeight="1" x14ac:dyDescent="0.25"/>
    <row r="832" s="21" customFormat="1" ht="15" customHeight="1" x14ac:dyDescent="0.25"/>
    <row r="833" s="21" customFormat="1" ht="15" customHeight="1" x14ac:dyDescent="0.25"/>
    <row r="834" s="21" customFormat="1" ht="15" customHeight="1" x14ac:dyDescent="0.25"/>
    <row r="835" s="21" customFormat="1" ht="15" customHeight="1" x14ac:dyDescent="0.25"/>
    <row r="836" s="21" customFormat="1" ht="15" customHeight="1" x14ac:dyDescent="0.25"/>
    <row r="837" s="21" customFormat="1" ht="15" customHeight="1" x14ac:dyDescent="0.25"/>
    <row r="838" s="21" customFormat="1" ht="15" customHeight="1" x14ac:dyDescent="0.25"/>
    <row r="839" s="21" customFormat="1" ht="15" customHeight="1" x14ac:dyDescent="0.25"/>
    <row r="840" s="21" customFormat="1" ht="15" customHeight="1" x14ac:dyDescent="0.25"/>
    <row r="841" s="21" customFormat="1" ht="15" customHeight="1" x14ac:dyDescent="0.25"/>
    <row r="842" s="21" customFormat="1" ht="15" customHeight="1" x14ac:dyDescent="0.25"/>
    <row r="843" s="21" customFormat="1" ht="15" customHeight="1" x14ac:dyDescent="0.25"/>
    <row r="844" s="21" customFormat="1" ht="15" customHeight="1" x14ac:dyDescent="0.25"/>
    <row r="845" s="21" customFormat="1" ht="15" customHeight="1" x14ac:dyDescent="0.25"/>
    <row r="846" s="21" customFormat="1" ht="15" customHeight="1" x14ac:dyDescent="0.25"/>
    <row r="847" s="21" customFormat="1" ht="15" customHeight="1" x14ac:dyDescent="0.25"/>
    <row r="848" s="21" customFormat="1" ht="15" customHeight="1" x14ac:dyDescent="0.25"/>
    <row r="849" s="21" customFormat="1" ht="15" customHeight="1" x14ac:dyDescent="0.25"/>
    <row r="850" s="21" customFormat="1" ht="15" customHeight="1" x14ac:dyDescent="0.25"/>
    <row r="851" s="21" customFormat="1" ht="15" customHeight="1" x14ac:dyDescent="0.25"/>
    <row r="852" s="21" customFormat="1" ht="15" customHeight="1" x14ac:dyDescent="0.25"/>
    <row r="853" s="21" customFormat="1" ht="15" customHeight="1" x14ac:dyDescent="0.25"/>
    <row r="854" s="21" customFormat="1" ht="15" customHeight="1" x14ac:dyDescent="0.25"/>
    <row r="855" s="21" customFormat="1" ht="15" customHeight="1" x14ac:dyDescent="0.25"/>
    <row r="856" s="21" customFormat="1" ht="15" customHeight="1" x14ac:dyDescent="0.25"/>
    <row r="857" s="21" customFormat="1" ht="15" customHeight="1" x14ac:dyDescent="0.25"/>
    <row r="858" s="21" customFormat="1" ht="15" customHeight="1" x14ac:dyDescent="0.25"/>
    <row r="859" s="21" customFormat="1" ht="15" customHeight="1" x14ac:dyDescent="0.25"/>
    <row r="860" s="21" customFormat="1" ht="15" customHeight="1" x14ac:dyDescent="0.25"/>
    <row r="861" s="21" customFormat="1" ht="15" customHeight="1" x14ac:dyDescent="0.25"/>
    <row r="862" s="21" customFormat="1" ht="15" customHeight="1" x14ac:dyDescent="0.25"/>
    <row r="863" s="21" customFormat="1" ht="15" customHeight="1" x14ac:dyDescent="0.25"/>
    <row r="864" s="21" customFormat="1" ht="15" customHeight="1" x14ac:dyDescent="0.25"/>
    <row r="865" s="21" customFormat="1" ht="15" customHeight="1" x14ac:dyDescent="0.25"/>
    <row r="866" s="21" customFormat="1" ht="15" customHeight="1" x14ac:dyDescent="0.25"/>
    <row r="867" s="21" customFormat="1" ht="15" customHeight="1" x14ac:dyDescent="0.25"/>
    <row r="868" s="21" customFormat="1" ht="15" customHeight="1" x14ac:dyDescent="0.25"/>
    <row r="869" s="21" customFormat="1" ht="15" customHeight="1" x14ac:dyDescent="0.25"/>
    <row r="870" s="21" customFormat="1" ht="15" customHeight="1" x14ac:dyDescent="0.25"/>
    <row r="871" s="21" customFormat="1" ht="15" customHeight="1" x14ac:dyDescent="0.25"/>
    <row r="872" s="21" customFormat="1" ht="15" customHeight="1" x14ac:dyDescent="0.25"/>
    <row r="873" s="21" customFormat="1" ht="15" customHeight="1" x14ac:dyDescent="0.25"/>
    <row r="874" s="21" customFormat="1" ht="15" customHeight="1" x14ac:dyDescent="0.25"/>
    <row r="875" s="21" customFormat="1" ht="15" customHeight="1" x14ac:dyDescent="0.25"/>
    <row r="876" s="21" customFormat="1" ht="15" customHeight="1" x14ac:dyDescent="0.25"/>
    <row r="877" s="21" customFormat="1" ht="15" customHeight="1" x14ac:dyDescent="0.25"/>
    <row r="878" s="21" customFormat="1" ht="15" customHeight="1" x14ac:dyDescent="0.25"/>
    <row r="879" s="21" customFormat="1" ht="15" customHeight="1" x14ac:dyDescent="0.25"/>
    <row r="880" s="21" customFormat="1" ht="15" customHeight="1" x14ac:dyDescent="0.25"/>
    <row r="881" s="21" customFormat="1" ht="15" customHeight="1" x14ac:dyDescent="0.25"/>
    <row r="882" s="21" customFormat="1" ht="15" customHeight="1" x14ac:dyDescent="0.25"/>
    <row r="883" s="21" customFormat="1" ht="15" customHeight="1" x14ac:dyDescent="0.25"/>
    <row r="884" s="21" customFormat="1" ht="15" customHeight="1" x14ac:dyDescent="0.25"/>
    <row r="885" s="21" customFormat="1" ht="15" customHeight="1" x14ac:dyDescent="0.25"/>
    <row r="886" s="21" customFormat="1" ht="15" customHeight="1" x14ac:dyDescent="0.25"/>
    <row r="887" s="21" customFormat="1" ht="15" customHeight="1" x14ac:dyDescent="0.25"/>
    <row r="888" s="21" customFormat="1" ht="15" customHeight="1" x14ac:dyDescent="0.25"/>
    <row r="889" s="21" customFormat="1" ht="15" customHeight="1" x14ac:dyDescent="0.25"/>
    <row r="890" s="21" customFormat="1" ht="15" customHeight="1" x14ac:dyDescent="0.25"/>
    <row r="891" s="21" customFormat="1" ht="15" customHeight="1" x14ac:dyDescent="0.25"/>
    <row r="892" s="21" customFormat="1" ht="15" customHeight="1" x14ac:dyDescent="0.25"/>
    <row r="893" s="21" customFormat="1" ht="15" customHeight="1" x14ac:dyDescent="0.25"/>
    <row r="894" s="21" customFormat="1" ht="15" customHeight="1" x14ac:dyDescent="0.25"/>
    <row r="895" s="21" customFormat="1" ht="15" customHeight="1" x14ac:dyDescent="0.25"/>
    <row r="896" s="21" customFormat="1" ht="15" customHeight="1" x14ac:dyDescent="0.25"/>
    <row r="897" s="21" customFormat="1" ht="15" customHeight="1" x14ac:dyDescent="0.25"/>
    <row r="898" s="21" customFormat="1" ht="15" customHeight="1" x14ac:dyDescent="0.25"/>
    <row r="899" s="21" customFormat="1" ht="15" customHeight="1" x14ac:dyDescent="0.25"/>
    <row r="900" s="21" customFormat="1" ht="15" customHeight="1" x14ac:dyDescent="0.25"/>
    <row r="901" s="21" customFormat="1" ht="15" customHeight="1" x14ac:dyDescent="0.25"/>
    <row r="902" s="21" customFormat="1" ht="15" customHeight="1" x14ac:dyDescent="0.25"/>
    <row r="903" s="21" customFormat="1" ht="15" customHeight="1" x14ac:dyDescent="0.25"/>
    <row r="904" s="21" customFormat="1" ht="15" customHeight="1" x14ac:dyDescent="0.25"/>
    <row r="905" s="21" customFormat="1" ht="15" customHeight="1" x14ac:dyDescent="0.25"/>
    <row r="906" s="21" customFormat="1" ht="15" customHeight="1" x14ac:dyDescent="0.25"/>
    <row r="907" s="21" customFormat="1" ht="15" customHeight="1" x14ac:dyDescent="0.25"/>
    <row r="908" s="21" customFormat="1" ht="15" customHeight="1" x14ac:dyDescent="0.25"/>
    <row r="909" s="21" customFormat="1" ht="15" customHeight="1" x14ac:dyDescent="0.25"/>
    <row r="910" s="21" customFormat="1" ht="15" customHeight="1" x14ac:dyDescent="0.25"/>
    <row r="911" s="21" customFormat="1" ht="15" customHeight="1" x14ac:dyDescent="0.25"/>
    <row r="912" s="21" customFormat="1" ht="15" customHeight="1" x14ac:dyDescent="0.25"/>
    <row r="913" s="21" customFormat="1" ht="15" customHeight="1" x14ac:dyDescent="0.25"/>
    <row r="914" s="21" customFormat="1" ht="15" customHeight="1" x14ac:dyDescent="0.25"/>
    <row r="915" s="21" customFormat="1" ht="15" customHeight="1" x14ac:dyDescent="0.25"/>
    <row r="916" s="21" customFormat="1" ht="15" customHeight="1" x14ac:dyDescent="0.25"/>
    <row r="917" s="21" customFormat="1" ht="15" customHeight="1" x14ac:dyDescent="0.25"/>
    <row r="918" s="21" customFormat="1" ht="15" customHeight="1" x14ac:dyDescent="0.25"/>
    <row r="919" s="21" customFormat="1" ht="15" customHeight="1" x14ac:dyDescent="0.25"/>
    <row r="920" s="21" customFormat="1" ht="15" customHeight="1" x14ac:dyDescent="0.25"/>
    <row r="921" s="21" customFormat="1" ht="15" customHeight="1" x14ac:dyDescent="0.25"/>
    <row r="922" s="21" customFormat="1" ht="15" customHeight="1" x14ac:dyDescent="0.25"/>
    <row r="923" s="21" customFormat="1" ht="15" customHeight="1" x14ac:dyDescent="0.25"/>
    <row r="924" s="21" customFormat="1" ht="15" customHeight="1" x14ac:dyDescent="0.25"/>
    <row r="925" s="21" customFormat="1" ht="15" customHeight="1" x14ac:dyDescent="0.25"/>
    <row r="926" s="21" customFormat="1" ht="15" customHeight="1" x14ac:dyDescent="0.25"/>
    <row r="927" s="21" customFormat="1" ht="15" customHeight="1" x14ac:dyDescent="0.25"/>
    <row r="928" s="21" customFormat="1" ht="15" customHeight="1" x14ac:dyDescent="0.25"/>
    <row r="929" s="21" customFormat="1" ht="15" customHeight="1" x14ac:dyDescent="0.25"/>
    <row r="930" s="21" customFormat="1" ht="15" customHeight="1" x14ac:dyDescent="0.25"/>
    <row r="931" s="21" customFormat="1" ht="15" customHeight="1" x14ac:dyDescent="0.25"/>
    <row r="932" s="21" customFormat="1" ht="15" customHeight="1" x14ac:dyDescent="0.25"/>
    <row r="933" s="21" customFormat="1" ht="15" customHeight="1" x14ac:dyDescent="0.25"/>
    <row r="934" s="21" customFormat="1" ht="15" customHeight="1" x14ac:dyDescent="0.25"/>
    <row r="935" s="21" customFormat="1" ht="15" customHeight="1" x14ac:dyDescent="0.25"/>
    <row r="936" s="21" customFormat="1" ht="15" customHeight="1" x14ac:dyDescent="0.25"/>
    <row r="937" s="21" customFormat="1" ht="15" customHeight="1" x14ac:dyDescent="0.25"/>
    <row r="938" s="21" customFormat="1" ht="15" customHeight="1" x14ac:dyDescent="0.25"/>
    <row r="939" s="21" customFormat="1" ht="15" customHeight="1" x14ac:dyDescent="0.25"/>
    <row r="940" s="21" customFormat="1" ht="15" customHeight="1" x14ac:dyDescent="0.25"/>
    <row r="941" s="21" customFormat="1" ht="15" customHeight="1" x14ac:dyDescent="0.25"/>
    <row r="942" s="21" customFormat="1" ht="15" customHeight="1" x14ac:dyDescent="0.25"/>
    <row r="943" s="21" customFormat="1" ht="15" customHeight="1" x14ac:dyDescent="0.25"/>
    <row r="944" s="21" customFormat="1" ht="15" customHeight="1" x14ac:dyDescent="0.25"/>
    <row r="945" s="21" customFormat="1" ht="15" customHeight="1" x14ac:dyDescent="0.25"/>
    <row r="946" s="21" customFormat="1" ht="15" customHeight="1" x14ac:dyDescent="0.25"/>
    <row r="947" s="21" customFormat="1" ht="15" customHeight="1" x14ac:dyDescent="0.25"/>
    <row r="948" s="21" customFormat="1" ht="15" customHeight="1" x14ac:dyDescent="0.25"/>
    <row r="949" s="21" customFormat="1" ht="15" customHeight="1" x14ac:dyDescent="0.25"/>
    <row r="950" s="21" customFormat="1" ht="15" customHeight="1" x14ac:dyDescent="0.25"/>
    <row r="951" s="21" customFormat="1" ht="15" customHeight="1" x14ac:dyDescent="0.25"/>
    <row r="952" s="21" customFormat="1" ht="15" customHeight="1" x14ac:dyDescent="0.25"/>
    <row r="953" s="21" customFormat="1" ht="15" customHeight="1" x14ac:dyDescent="0.25"/>
    <row r="954" s="21" customFormat="1" ht="15" customHeight="1" x14ac:dyDescent="0.25"/>
    <row r="955" s="21" customFormat="1" ht="15" customHeight="1" x14ac:dyDescent="0.25"/>
    <row r="956" s="21" customFormat="1" ht="15" customHeight="1" x14ac:dyDescent="0.25"/>
    <row r="957" s="21" customFormat="1" ht="15" customHeight="1" x14ac:dyDescent="0.25"/>
    <row r="958" s="21" customFormat="1" ht="15" customHeight="1" x14ac:dyDescent="0.25"/>
    <row r="959" s="21" customFormat="1" ht="15" customHeight="1" x14ac:dyDescent="0.25"/>
    <row r="960" s="21" customFormat="1" ht="15" customHeight="1" x14ac:dyDescent="0.25"/>
    <row r="961" s="21" customFormat="1" ht="15" customHeight="1" x14ac:dyDescent="0.25"/>
    <row r="962" s="21" customFormat="1" ht="15" customHeight="1" x14ac:dyDescent="0.25"/>
    <row r="963" s="21" customFormat="1" ht="15" customHeight="1" x14ac:dyDescent="0.25"/>
    <row r="964" s="21" customFormat="1" ht="15" customHeight="1" x14ac:dyDescent="0.25"/>
    <row r="965" s="21" customFormat="1" ht="15" customHeight="1" x14ac:dyDescent="0.25"/>
    <row r="966" s="21" customFormat="1" ht="15" customHeight="1" x14ac:dyDescent="0.25"/>
    <row r="967" s="21" customFormat="1" ht="15" customHeight="1" x14ac:dyDescent="0.25"/>
    <row r="968" s="21" customFormat="1" ht="15" customHeight="1" x14ac:dyDescent="0.25"/>
    <row r="969" s="21" customFormat="1" ht="15" customHeight="1" x14ac:dyDescent="0.25"/>
    <row r="970" s="21" customFormat="1" ht="15" customHeight="1" x14ac:dyDescent="0.25"/>
    <row r="971" s="21" customFormat="1" ht="15" customHeight="1" x14ac:dyDescent="0.25"/>
    <row r="972" s="21" customFormat="1" ht="15" customHeight="1" x14ac:dyDescent="0.25"/>
    <row r="973" s="21" customFormat="1" ht="15" customHeight="1" x14ac:dyDescent="0.25"/>
    <row r="974" s="21" customFormat="1" ht="15" customHeight="1" x14ac:dyDescent="0.25"/>
    <row r="975" s="21" customFormat="1" ht="15" customHeight="1" x14ac:dyDescent="0.25"/>
    <row r="976" s="21" customFormat="1" ht="15" customHeight="1" x14ac:dyDescent="0.25"/>
    <row r="977" s="21" customFormat="1" ht="15" customHeight="1" x14ac:dyDescent="0.25"/>
    <row r="978" s="21" customFormat="1" ht="15" customHeight="1" x14ac:dyDescent="0.25"/>
    <row r="979" s="21" customFormat="1" ht="15" customHeight="1" x14ac:dyDescent="0.25"/>
    <row r="980" s="21" customFormat="1" ht="15" customHeight="1" x14ac:dyDescent="0.25"/>
    <row r="981" s="21" customFormat="1" ht="15" customHeight="1" x14ac:dyDescent="0.25"/>
    <row r="982" s="21" customFormat="1" ht="15" customHeight="1" x14ac:dyDescent="0.25"/>
    <row r="983" s="21" customFormat="1" ht="15" customHeight="1" x14ac:dyDescent="0.25"/>
    <row r="984" s="21" customFormat="1" ht="15" customHeight="1" x14ac:dyDescent="0.25"/>
    <row r="985" s="21" customFormat="1" ht="15" customHeight="1" x14ac:dyDescent="0.25"/>
    <row r="986" s="21" customFormat="1" ht="15" customHeight="1" x14ac:dyDescent="0.25"/>
    <row r="987" s="21" customFormat="1" ht="15" customHeight="1" x14ac:dyDescent="0.25"/>
    <row r="988" s="21" customFormat="1" ht="15" customHeight="1" x14ac:dyDescent="0.25"/>
    <row r="989" s="21" customFormat="1" ht="15" customHeight="1" x14ac:dyDescent="0.25"/>
    <row r="990" s="21" customFormat="1" ht="15" customHeight="1" x14ac:dyDescent="0.25"/>
    <row r="991" s="21" customFormat="1" ht="15" customHeight="1" x14ac:dyDescent="0.25"/>
    <row r="992" s="21" customFormat="1" ht="15" customHeight="1" x14ac:dyDescent="0.25"/>
    <row r="993" s="21" customFormat="1" ht="15" customHeight="1" x14ac:dyDescent="0.25"/>
    <row r="994" s="21" customFormat="1" ht="15" customHeight="1" x14ac:dyDescent="0.25"/>
    <row r="995" s="21" customFormat="1" ht="15" customHeight="1" x14ac:dyDescent="0.25"/>
    <row r="996" s="21" customFormat="1" ht="15" customHeight="1" x14ac:dyDescent="0.25"/>
    <row r="997" s="21" customFormat="1" ht="15" customHeight="1" x14ac:dyDescent="0.25"/>
    <row r="998" s="21" customFormat="1" ht="15" customHeight="1" x14ac:dyDescent="0.25"/>
    <row r="999" s="21" customFormat="1" ht="15" customHeight="1" x14ac:dyDescent="0.25"/>
    <row r="1000" s="21" customFormat="1" ht="15" customHeight="1" x14ac:dyDescent="0.25"/>
    <row r="1001" s="21" customFormat="1" ht="15" customHeight="1" x14ac:dyDescent="0.25"/>
    <row r="1002" s="21" customFormat="1" ht="15" customHeight="1" x14ac:dyDescent="0.25"/>
    <row r="1003" s="21" customFormat="1" ht="15" customHeight="1" x14ac:dyDescent="0.25"/>
    <row r="1004" s="21" customFormat="1" ht="15" customHeight="1" x14ac:dyDescent="0.25"/>
    <row r="1005" s="21" customFormat="1" ht="15" customHeight="1" x14ac:dyDescent="0.25"/>
    <row r="1006" s="21" customFormat="1" ht="15" customHeight="1" x14ac:dyDescent="0.25"/>
    <row r="1007" s="21" customFormat="1" ht="15" customHeight="1" x14ac:dyDescent="0.25"/>
    <row r="1008" s="21" customFormat="1" ht="15" customHeight="1" x14ac:dyDescent="0.25"/>
    <row r="1009" s="21" customFormat="1" ht="15" customHeight="1" x14ac:dyDescent="0.25"/>
    <row r="1010" s="21" customFormat="1" ht="15" customHeight="1" x14ac:dyDescent="0.25"/>
    <row r="1011" s="21" customFormat="1" ht="15" customHeight="1" x14ac:dyDescent="0.25"/>
    <row r="1012" s="21" customFormat="1" ht="15" customHeight="1" x14ac:dyDescent="0.25"/>
    <row r="1013" s="21" customFormat="1" ht="15" customHeight="1" x14ac:dyDescent="0.25"/>
    <row r="1014" s="21" customFormat="1" ht="15" customHeight="1" x14ac:dyDescent="0.25"/>
    <row r="1015" s="21" customFormat="1" ht="15" customHeight="1" x14ac:dyDescent="0.25"/>
    <row r="1016" s="21" customFormat="1" ht="15" customHeight="1" x14ac:dyDescent="0.25"/>
    <row r="1017" s="21" customFormat="1" ht="15" customHeight="1" x14ac:dyDescent="0.25"/>
    <row r="1018" s="21" customFormat="1" ht="15" customHeight="1" x14ac:dyDescent="0.25"/>
    <row r="1019" s="21" customFormat="1" ht="15" customHeight="1" x14ac:dyDescent="0.25"/>
    <row r="1020" s="21" customFormat="1" ht="15" customHeight="1" x14ac:dyDescent="0.25"/>
    <row r="1021" s="21" customFormat="1" ht="15" customHeight="1" x14ac:dyDescent="0.25"/>
    <row r="1022" s="21" customFormat="1" ht="15" customHeight="1" x14ac:dyDescent="0.25"/>
    <row r="1023" s="21" customFormat="1" ht="15" customHeight="1" x14ac:dyDescent="0.25"/>
    <row r="1024" s="21" customFormat="1" ht="15" customHeight="1" x14ac:dyDescent="0.25"/>
    <row r="1025" s="21" customFormat="1" ht="15" customHeight="1" x14ac:dyDescent="0.25"/>
    <row r="1026" s="21" customFormat="1" ht="15" customHeight="1" x14ac:dyDescent="0.25"/>
    <row r="1027" s="21" customFormat="1" ht="15" customHeight="1" x14ac:dyDescent="0.25"/>
    <row r="1028" s="21" customFormat="1" ht="15" customHeight="1" x14ac:dyDescent="0.25"/>
    <row r="1029" s="21" customFormat="1" ht="15" customHeight="1" x14ac:dyDescent="0.25"/>
    <row r="1030" s="21" customFormat="1" ht="15" customHeight="1" x14ac:dyDescent="0.25"/>
    <row r="1031" s="21" customFormat="1" ht="15" customHeight="1" x14ac:dyDescent="0.25"/>
    <row r="1032" s="21" customFormat="1" ht="15" customHeight="1" x14ac:dyDescent="0.25"/>
    <row r="1033" s="21" customFormat="1" ht="15" customHeight="1" x14ac:dyDescent="0.25"/>
    <row r="1034" s="21" customFormat="1" ht="15" customHeight="1" x14ac:dyDescent="0.25"/>
    <row r="1035" s="21" customFormat="1" ht="15" customHeight="1" x14ac:dyDescent="0.25"/>
    <row r="1036" s="21" customFormat="1" ht="15" customHeight="1" x14ac:dyDescent="0.25"/>
    <row r="1037" s="21" customFormat="1" ht="15" customHeight="1" x14ac:dyDescent="0.25"/>
    <row r="1038" s="21" customFormat="1" ht="15" customHeight="1" x14ac:dyDescent="0.25"/>
    <row r="1039" s="21" customFormat="1" ht="15" customHeight="1" x14ac:dyDescent="0.25"/>
    <row r="1040" s="21" customFormat="1" ht="15" customHeight="1" x14ac:dyDescent="0.25"/>
    <row r="1041" s="21" customFormat="1" ht="15" customHeight="1" x14ac:dyDescent="0.25"/>
    <row r="1042" s="21" customFormat="1" ht="15" customHeight="1" x14ac:dyDescent="0.25"/>
    <row r="1043" s="21" customFormat="1" ht="15" customHeight="1" x14ac:dyDescent="0.25"/>
    <row r="1044" s="21" customFormat="1" ht="15" customHeight="1" x14ac:dyDescent="0.25"/>
    <row r="1045" s="21" customFormat="1" ht="15" customHeight="1" x14ac:dyDescent="0.25"/>
    <row r="1046" s="21" customFormat="1" ht="15" customHeight="1" x14ac:dyDescent="0.25"/>
    <row r="1047" s="21" customFormat="1" ht="15" customHeight="1" x14ac:dyDescent="0.25"/>
    <row r="1048" s="21" customFormat="1" ht="15" customHeight="1" x14ac:dyDescent="0.25"/>
    <row r="1049" s="21" customFormat="1" ht="15" customHeight="1" x14ac:dyDescent="0.25"/>
    <row r="1050" s="21" customFormat="1" ht="15" customHeight="1" x14ac:dyDescent="0.25"/>
    <row r="1051" s="21" customFormat="1" ht="15" customHeight="1" x14ac:dyDescent="0.25"/>
    <row r="1052" s="21" customFormat="1" ht="15" customHeight="1" x14ac:dyDescent="0.25"/>
    <row r="1053" s="21" customFormat="1" ht="15" customHeight="1" x14ac:dyDescent="0.25"/>
    <row r="1054" s="21" customFormat="1" ht="15" customHeight="1" x14ac:dyDescent="0.25"/>
    <row r="1055" s="21" customFormat="1" ht="15" customHeight="1" x14ac:dyDescent="0.25"/>
    <row r="1056" s="21" customFormat="1" ht="15" customHeight="1" x14ac:dyDescent="0.25"/>
    <row r="1057" s="21" customFormat="1" ht="15" customHeight="1" x14ac:dyDescent="0.25"/>
    <row r="1058" s="21" customFormat="1" ht="15" customHeight="1" x14ac:dyDescent="0.25"/>
    <row r="1059" s="21" customFormat="1" ht="15" customHeight="1" x14ac:dyDescent="0.25"/>
    <row r="1060" s="21" customFormat="1" ht="15" customHeight="1" x14ac:dyDescent="0.25"/>
    <row r="1061" s="21" customFormat="1" ht="15" customHeight="1" x14ac:dyDescent="0.25"/>
    <row r="1062" s="21" customFormat="1" ht="15" customHeight="1" x14ac:dyDescent="0.25"/>
    <row r="1063" s="21" customFormat="1" ht="15" customHeight="1" x14ac:dyDescent="0.25"/>
    <row r="1064" s="21" customFormat="1" ht="15" customHeight="1" x14ac:dyDescent="0.25"/>
    <row r="1065" s="21" customFormat="1" ht="15" customHeight="1" x14ac:dyDescent="0.25"/>
    <row r="1066" s="21" customFormat="1" ht="15" customHeight="1" x14ac:dyDescent="0.25"/>
    <row r="1067" s="21" customFormat="1" ht="15" customHeight="1" x14ac:dyDescent="0.25"/>
    <row r="1068" s="21" customFormat="1" ht="15" customHeight="1" x14ac:dyDescent="0.25"/>
    <row r="1069" s="21" customFormat="1" ht="15" customHeight="1" x14ac:dyDescent="0.25"/>
    <row r="1070" s="21" customFormat="1" ht="15" customHeight="1" x14ac:dyDescent="0.25"/>
    <row r="1071" s="21" customFormat="1" ht="15" customHeight="1" x14ac:dyDescent="0.25"/>
    <row r="1072" s="21" customFormat="1" ht="15" customHeight="1" x14ac:dyDescent="0.25"/>
    <row r="1073" s="21" customFormat="1" ht="15" customHeight="1" x14ac:dyDescent="0.25"/>
    <row r="1074" s="21" customFormat="1" ht="15" customHeight="1" x14ac:dyDescent="0.25"/>
    <row r="1075" s="21" customFormat="1" ht="15" customHeight="1" x14ac:dyDescent="0.25"/>
    <row r="1076" s="21" customFormat="1" ht="15" customHeight="1" x14ac:dyDescent="0.25"/>
    <row r="1077" s="21" customFormat="1" ht="15" customHeight="1" x14ac:dyDescent="0.25"/>
    <row r="1078" s="21" customFormat="1" ht="15" customHeight="1" x14ac:dyDescent="0.25"/>
    <row r="1079" s="21" customFormat="1" ht="15" customHeight="1" x14ac:dyDescent="0.25"/>
    <row r="1080" s="21" customFormat="1" ht="15" customHeight="1" x14ac:dyDescent="0.25"/>
    <row r="1081" s="21" customFormat="1" ht="15" customHeight="1" x14ac:dyDescent="0.25"/>
    <row r="1082" s="21" customFormat="1" ht="15" customHeight="1" x14ac:dyDescent="0.25"/>
    <row r="1083" s="21" customFormat="1" ht="15" customHeight="1" x14ac:dyDescent="0.25"/>
    <row r="1084" s="21" customFormat="1" ht="15" customHeight="1" x14ac:dyDescent="0.25"/>
    <row r="1085" s="21" customFormat="1" ht="15" customHeight="1" x14ac:dyDescent="0.25"/>
    <row r="1086" s="21" customFormat="1" ht="15" customHeight="1" x14ac:dyDescent="0.25"/>
    <row r="1087" s="21" customFormat="1" ht="15" customHeight="1" x14ac:dyDescent="0.25"/>
    <row r="1088" s="21" customFormat="1" ht="15" customHeight="1" x14ac:dyDescent="0.25"/>
    <row r="1089" s="21" customFormat="1" ht="15" customHeight="1" x14ac:dyDescent="0.25"/>
    <row r="1090" s="21" customFormat="1" ht="15" customHeight="1" x14ac:dyDescent="0.25"/>
    <row r="1091" s="21" customFormat="1" ht="15" customHeight="1" x14ac:dyDescent="0.25"/>
    <row r="1092" s="21" customFormat="1" ht="15" customHeight="1" x14ac:dyDescent="0.25"/>
    <row r="1093" s="21" customFormat="1" ht="15" customHeight="1" x14ac:dyDescent="0.25"/>
    <row r="1094" s="21" customFormat="1" ht="15" customHeight="1" x14ac:dyDescent="0.25"/>
    <row r="1095" s="21" customFormat="1" ht="15" customHeight="1" x14ac:dyDescent="0.25"/>
    <row r="1096" s="21" customFormat="1" ht="15" customHeight="1" x14ac:dyDescent="0.25"/>
    <row r="1097" s="21" customFormat="1" ht="15" customHeight="1" x14ac:dyDescent="0.25"/>
    <row r="1098" s="21" customFormat="1" ht="15" customHeight="1" x14ac:dyDescent="0.25"/>
    <row r="1099" s="21" customFormat="1" ht="15" customHeight="1" x14ac:dyDescent="0.25"/>
    <row r="1100" s="21" customFormat="1" ht="15" customHeight="1" x14ac:dyDescent="0.25"/>
    <row r="1101" s="21" customFormat="1" ht="15" customHeight="1" x14ac:dyDescent="0.25"/>
    <row r="1102" s="21" customFormat="1" ht="15" customHeight="1" x14ac:dyDescent="0.25"/>
    <row r="1103" s="21" customFormat="1" ht="15" customHeight="1" x14ac:dyDescent="0.25"/>
    <row r="1104" s="21" customFormat="1" ht="15" customHeight="1" x14ac:dyDescent="0.25"/>
    <row r="1105" s="21" customFormat="1" ht="15" customHeight="1" x14ac:dyDescent="0.25"/>
    <row r="1106" s="21" customFormat="1" ht="15" customHeight="1" x14ac:dyDescent="0.25"/>
    <row r="1107" s="21" customFormat="1" ht="15" customHeight="1" x14ac:dyDescent="0.25"/>
    <row r="1108" s="21" customFormat="1" ht="15" customHeight="1" x14ac:dyDescent="0.25"/>
    <row r="1109" s="21" customFormat="1" ht="15" customHeight="1" x14ac:dyDescent="0.25"/>
    <row r="1110" s="21" customFormat="1" ht="15" customHeight="1" x14ac:dyDescent="0.25"/>
    <row r="1111" s="21" customFormat="1" ht="15" customHeight="1" x14ac:dyDescent="0.25"/>
    <row r="1112" s="21" customFormat="1" ht="15" customHeight="1" x14ac:dyDescent="0.25"/>
    <row r="1113" s="21" customFormat="1" ht="15" customHeight="1" x14ac:dyDescent="0.25"/>
    <row r="1114" s="21" customFormat="1" ht="15" customHeight="1" x14ac:dyDescent="0.25"/>
    <row r="1115" s="21" customFormat="1" ht="15" customHeight="1" x14ac:dyDescent="0.25"/>
    <row r="1116" s="21" customFormat="1" ht="15" customHeight="1" x14ac:dyDescent="0.25"/>
    <row r="1117" s="21" customFormat="1" ht="15" customHeight="1" x14ac:dyDescent="0.25"/>
    <row r="1118" s="21" customFormat="1" ht="15" customHeight="1" x14ac:dyDescent="0.25"/>
    <row r="1119" s="21" customFormat="1" ht="15" customHeight="1" x14ac:dyDescent="0.25"/>
    <row r="1120" s="21" customFormat="1" ht="15" customHeight="1" x14ac:dyDescent="0.25"/>
    <row r="1121" s="21" customFormat="1" ht="15" customHeight="1" x14ac:dyDescent="0.25"/>
    <row r="1122" s="21" customFormat="1" ht="15" customHeight="1" x14ac:dyDescent="0.25"/>
    <row r="1123" s="21" customFormat="1" ht="15" customHeight="1" x14ac:dyDescent="0.25"/>
    <row r="1124" s="21" customFormat="1" ht="15" customHeight="1" x14ac:dyDescent="0.25"/>
    <row r="1125" s="21" customFormat="1" ht="15" customHeight="1" x14ac:dyDescent="0.25"/>
    <row r="1126" s="21" customFormat="1" ht="15" customHeight="1" x14ac:dyDescent="0.25"/>
    <row r="1127" s="21" customFormat="1" ht="15" customHeight="1" x14ac:dyDescent="0.25"/>
    <row r="1128" s="21" customFormat="1" ht="15" customHeight="1" x14ac:dyDescent="0.25"/>
    <row r="1129" s="21" customFormat="1" ht="15" customHeight="1" x14ac:dyDescent="0.25"/>
    <row r="1130" s="21" customFormat="1" ht="15" customHeight="1" x14ac:dyDescent="0.25"/>
    <row r="1131" s="21" customFormat="1" ht="15" customHeight="1" x14ac:dyDescent="0.25"/>
    <row r="1132" s="21" customFormat="1" ht="15" customHeight="1" x14ac:dyDescent="0.25"/>
    <row r="1133" s="21" customFormat="1" ht="15" customHeight="1" x14ac:dyDescent="0.25"/>
    <row r="1134" s="21" customFormat="1" ht="15" customHeight="1" x14ac:dyDescent="0.25"/>
    <row r="1135" s="21" customFormat="1" ht="15" customHeight="1" x14ac:dyDescent="0.25"/>
    <row r="1136" s="21" customFormat="1" ht="15" customHeight="1" x14ac:dyDescent="0.25"/>
    <row r="1137" s="21" customFormat="1" ht="15" customHeight="1" x14ac:dyDescent="0.25"/>
    <row r="1138" s="21" customFormat="1" ht="15" customHeight="1" x14ac:dyDescent="0.25"/>
    <row r="1139" s="21" customFormat="1" ht="15" customHeight="1" x14ac:dyDescent="0.25"/>
    <row r="1140" s="21" customFormat="1" ht="15" customHeight="1" x14ac:dyDescent="0.25"/>
    <row r="1141" s="21" customFormat="1" ht="15" customHeight="1" x14ac:dyDescent="0.25"/>
    <row r="1142" s="21" customFormat="1" ht="15" customHeight="1" x14ac:dyDescent="0.25"/>
    <row r="1143" s="21" customFormat="1" ht="15" customHeight="1" x14ac:dyDescent="0.25"/>
    <row r="1144" s="21" customFormat="1" ht="15" customHeight="1" x14ac:dyDescent="0.25"/>
    <row r="1145" s="21" customFormat="1" ht="15" customHeight="1" x14ac:dyDescent="0.25"/>
    <row r="1146" s="21" customFormat="1" ht="15" customHeight="1" x14ac:dyDescent="0.25"/>
    <row r="1147" s="21" customFormat="1" ht="15" customHeight="1" x14ac:dyDescent="0.25"/>
    <row r="1148" s="21" customFormat="1" ht="15" customHeight="1" x14ac:dyDescent="0.25"/>
    <row r="1149" s="21" customFormat="1" ht="15" customHeight="1" x14ac:dyDescent="0.25"/>
    <row r="1150" s="21" customFormat="1" ht="15" customHeight="1" x14ac:dyDescent="0.25"/>
    <row r="1151" s="21" customFormat="1" ht="15" customHeight="1" x14ac:dyDescent="0.25"/>
    <row r="1152" s="21" customFormat="1" ht="15" customHeight="1" x14ac:dyDescent="0.25"/>
    <row r="1153" s="21" customFormat="1" ht="15" customHeight="1" x14ac:dyDescent="0.25"/>
    <row r="1154" s="21" customFormat="1" ht="15" customHeight="1" x14ac:dyDescent="0.25"/>
    <row r="1155" s="21" customFormat="1" ht="15" customHeight="1" x14ac:dyDescent="0.25"/>
    <row r="1156" s="21" customFormat="1" ht="15" customHeight="1" x14ac:dyDescent="0.25"/>
    <row r="1157" s="21" customFormat="1" ht="15" customHeight="1" x14ac:dyDescent="0.25"/>
    <row r="1158" s="21" customFormat="1" ht="15" customHeight="1" x14ac:dyDescent="0.25"/>
    <row r="1159" s="21" customFormat="1" ht="15" customHeight="1" x14ac:dyDescent="0.25"/>
    <row r="1160" s="21" customFormat="1" ht="15" customHeight="1" x14ac:dyDescent="0.25"/>
    <row r="1161" s="21" customFormat="1" ht="15" customHeight="1" x14ac:dyDescent="0.25"/>
    <row r="1162" s="21" customFormat="1" ht="15" customHeight="1" x14ac:dyDescent="0.25"/>
    <row r="1163" s="21" customFormat="1" ht="15" customHeight="1" x14ac:dyDescent="0.25"/>
    <row r="1164" s="21" customFormat="1" ht="15" customHeight="1" x14ac:dyDescent="0.25"/>
    <row r="1165" s="21" customFormat="1" ht="15" customHeight="1" x14ac:dyDescent="0.25"/>
    <row r="1166" s="21" customFormat="1" ht="15" customHeight="1" x14ac:dyDescent="0.25"/>
    <row r="1167" s="21" customFormat="1" ht="15" customHeight="1" x14ac:dyDescent="0.25"/>
    <row r="1168" s="21" customFormat="1" ht="15" customHeight="1" x14ac:dyDescent="0.25"/>
    <row r="1169" s="21" customFormat="1" ht="15" customHeight="1" x14ac:dyDescent="0.25"/>
    <row r="1170" s="21" customFormat="1" ht="15" customHeight="1" x14ac:dyDescent="0.25"/>
    <row r="1171" s="21" customFormat="1" ht="15" customHeight="1" x14ac:dyDescent="0.25"/>
    <row r="1172" s="21" customFormat="1" ht="15" customHeight="1" x14ac:dyDescent="0.25"/>
    <row r="1173" s="21" customFormat="1" ht="15" customHeight="1" x14ac:dyDescent="0.25"/>
    <row r="1174" s="21" customFormat="1" ht="15" customHeight="1" x14ac:dyDescent="0.25"/>
    <row r="1175" s="21" customFormat="1" ht="15" customHeight="1" x14ac:dyDescent="0.25"/>
    <row r="1176" s="21" customFormat="1" ht="15" customHeight="1" x14ac:dyDescent="0.25"/>
    <row r="1177" s="21" customFormat="1" ht="15" customHeight="1" x14ac:dyDescent="0.25"/>
    <row r="1178" s="21" customFormat="1" ht="15" customHeight="1" x14ac:dyDescent="0.25"/>
    <row r="1179" s="21" customFormat="1" ht="15" customHeight="1" x14ac:dyDescent="0.25"/>
    <row r="1180" s="21" customFormat="1" ht="15" customHeight="1" x14ac:dyDescent="0.25"/>
    <row r="1181" s="21" customFormat="1" ht="15" customHeight="1" x14ac:dyDescent="0.25"/>
    <row r="1182" s="21" customFormat="1" ht="15" customHeight="1" x14ac:dyDescent="0.25"/>
    <row r="1183" s="21" customFormat="1" ht="15" customHeight="1" x14ac:dyDescent="0.25"/>
    <row r="1184" s="21" customFormat="1" ht="15" customHeight="1" x14ac:dyDescent="0.25"/>
    <row r="1185" s="21" customFormat="1" ht="15" customHeight="1" x14ac:dyDescent="0.25"/>
    <row r="1186" s="21" customFormat="1" ht="15" customHeight="1" x14ac:dyDescent="0.25"/>
    <row r="1187" s="21" customFormat="1" ht="15" customHeight="1" x14ac:dyDescent="0.25"/>
    <row r="1188" s="21" customFormat="1" ht="15" customHeight="1" x14ac:dyDescent="0.25"/>
    <row r="1189" s="21" customFormat="1" ht="15" customHeight="1" x14ac:dyDescent="0.25"/>
    <row r="1190" s="21" customFormat="1" ht="15" customHeight="1" x14ac:dyDescent="0.25"/>
    <row r="1191" s="21" customFormat="1" ht="15" customHeight="1" x14ac:dyDescent="0.25"/>
    <row r="1192" s="21" customFormat="1" ht="15" customHeight="1" x14ac:dyDescent="0.25"/>
    <row r="1193" s="21" customFormat="1" ht="15" customHeight="1" x14ac:dyDescent="0.25"/>
    <row r="1194" s="21" customFormat="1" ht="15" customHeight="1" x14ac:dyDescent="0.25"/>
    <row r="1195" s="21" customFormat="1" ht="15" customHeight="1" x14ac:dyDescent="0.25"/>
    <row r="1196" s="21" customFormat="1" ht="15" customHeight="1" x14ac:dyDescent="0.25"/>
    <row r="1197" s="21" customFormat="1" ht="15" customHeight="1" x14ac:dyDescent="0.25"/>
    <row r="1198" s="21" customFormat="1" ht="15" customHeight="1" x14ac:dyDescent="0.25"/>
    <row r="1199" s="21" customFormat="1" ht="15" customHeight="1" x14ac:dyDescent="0.25"/>
    <row r="1200" s="21" customFormat="1" ht="15" customHeight="1" x14ac:dyDescent="0.25"/>
    <row r="1201" s="21" customFormat="1" ht="15" customHeight="1" x14ac:dyDescent="0.25"/>
    <row r="1202" s="21" customFormat="1" ht="15" customHeight="1" x14ac:dyDescent="0.25"/>
    <row r="1203" s="21" customFormat="1" ht="15" customHeight="1" x14ac:dyDescent="0.25"/>
    <row r="1204" s="21" customFormat="1" ht="15" customHeight="1" x14ac:dyDescent="0.25"/>
    <row r="1205" s="21" customFormat="1" ht="15" customHeight="1" x14ac:dyDescent="0.25"/>
    <row r="1206" s="21" customFormat="1" ht="15" customHeight="1" x14ac:dyDescent="0.25"/>
    <row r="1207" s="21" customFormat="1" ht="15" customHeight="1" x14ac:dyDescent="0.25"/>
    <row r="1208" s="21" customFormat="1" ht="15" customHeight="1" x14ac:dyDescent="0.25"/>
    <row r="1209" s="21" customFormat="1" ht="15" customHeight="1" x14ac:dyDescent="0.25"/>
    <row r="1210" s="21" customFormat="1" ht="15" customHeight="1" x14ac:dyDescent="0.25"/>
    <row r="1211" s="21" customFormat="1" ht="15" customHeight="1" x14ac:dyDescent="0.25"/>
    <row r="1212" s="21" customFormat="1" ht="15" customHeight="1" x14ac:dyDescent="0.25"/>
    <row r="1213" s="21" customFormat="1" ht="15" customHeight="1" x14ac:dyDescent="0.25"/>
    <row r="1214" s="21" customFormat="1" ht="15" customHeight="1" x14ac:dyDescent="0.25"/>
    <row r="1215" s="21" customFormat="1" ht="15" customHeight="1" x14ac:dyDescent="0.25"/>
    <row r="1216" s="21" customFormat="1" ht="15" customHeight="1" x14ac:dyDescent="0.25"/>
    <row r="1217" s="21" customFormat="1" ht="15" customHeight="1" x14ac:dyDescent="0.25"/>
    <row r="1218" s="21" customFormat="1" ht="15" customHeight="1" x14ac:dyDescent="0.25"/>
    <row r="1219" s="21" customFormat="1" ht="15" customHeight="1" x14ac:dyDescent="0.25"/>
    <row r="1220" s="21" customFormat="1" ht="15" customHeight="1" x14ac:dyDescent="0.25"/>
    <row r="1221" s="21" customFormat="1" ht="15" customHeight="1" x14ac:dyDescent="0.25"/>
    <row r="1222" s="21" customFormat="1" ht="15" customHeight="1" x14ac:dyDescent="0.25"/>
    <row r="1223" s="21" customFormat="1" ht="15" customHeight="1" x14ac:dyDescent="0.25"/>
    <row r="1224" s="21" customFormat="1" ht="15" customHeight="1" x14ac:dyDescent="0.25"/>
    <row r="1225" s="21" customFormat="1" ht="15" customHeight="1" x14ac:dyDescent="0.25"/>
    <row r="1226" s="21" customFormat="1" ht="15" customHeight="1" x14ac:dyDescent="0.25"/>
    <row r="1227" s="21" customFormat="1" ht="15" customHeight="1" x14ac:dyDescent="0.25"/>
    <row r="1228" s="21" customFormat="1" ht="15" customHeight="1" x14ac:dyDescent="0.25"/>
    <row r="1229" s="21" customFormat="1" ht="15" customHeight="1" x14ac:dyDescent="0.25"/>
    <row r="1230" s="21" customFormat="1" ht="15" customHeight="1" x14ac:dyDescent="0.25"/>
    <row r="1231" s="21" customFormat="1" ht="15" customHeight="1" x14ac:dyDescent="0.25"/>
    <row r="1232" s="21" customFormat="1" ht="15" customHeight="1" x14ac:dyDescent="0.25"/>
    <row r="1233" s="21" customFormat="1" ht="15" customHeight="1" x14ac:dyDescent="0.25"/>
    <row r="1234" s="21" customFormat="1" ht="15" customHeight="1" x14ac:dyDescent="0.25"/>
    <row r="1235" s="21" customFormat="1" ht="15" customHeight="1" x14ac:dyDescent="0.25"/>
    <row r="1236" s="21" customFormat="1" ht="15" customHeight="1" x14ac:dyDescent="0.25"/>
    <row r="1237" s="21" customFormat="1" ht="15" customHeight="1" x14ac:dyDescent="0.25"/>
    <row r="1238" s="21" customFormat="1" ht="15" customHeight="1" x14ac:dyDescent="0.25"/>
    <row r="1239" s="21" customFormat="1" ht="15" customHeight="1" x14ac:dyDescent="0.25"/>
    <row r="1240" s="21" customFormat="1" ht="15" customHeight="1" x14ac:dyDescent="0.25"/>
    <row r="1241" s="21" customFormat="1" ht="15" customHeight="1" x14ac:dyDescent="0.25"/>
    <row r="1242" s="21" customFormat="1" ht="15" customHeight="1" x14ac:dyDescent="0.25"/>
    <row r="1243" s="21" customFormat="1" ht="15" customHeight="1" x14ac:dyDescent="0.25"/>
    <row r="1244" s="21" customFormat="1" ht="15" customHeight="1" x14ac:dyDescent="0.25"/>
    <row r="1245" s="21" customFormat="1" ht="15" customHeight="1" x14ac:dyDescent="0.25"/>
    <row r="1246" s="21" customFormat="1" ht="15" customHeight="1" x14ac:dyDescent="0.25"/>
    <row r="1247" s="21" customFormat="1" ht="15" customHeight="1" x14ac:dyDescent="0.25"/>
    <row r="1248" s="21" customFormat="1" ht="15" customHeight="1" x14ac:dyDescent="0.25"/>
    <row r="1249" s="21" customFormat="1" ht="15" customHeight="1" x14ac:dyDescent="0.25"/>
    <row r="1250" s="21" customFormat="1" ht="15" customHeight="1" x14ac:dyDescent="0.25"/>
    <row r="1251" s="21" customFormat="1" ht="15" customHeight="1" x14ac:dyDescent="0.25"/>
    <row r="1252" s="21" customFormat="1" ht="15" customHeight="1" x14ac:dyDescent="0.25"/>
    <row r="1253" s="21" customFormat="1" ht="15" customHeight="1" x14ac:dyDescent="0.25"/>
    <row r="1254" s="21" customFormat="1" ht="15" customHeight="1" x14ac:dyDescent="0.25"/>
    <row r="1255" s="21" customFormat="1" ht="15" customHeight="1" x14ac:dyDescent="0.25"/>
    <row r="1256" s="21" customFormat="1" ht="15" customHeight="1" x14ac:dyDescent="0.25"/>
    <row r="1257" s="21" customFormat="1" ht="15" customHeight="1" x14ac:dyDescent="0.25"/>
    <row r="1258" s="21" customFormat="1" ht="15" customHeight="1" x14ac:dyDescent="0.25"/>
    <row r="1259" s="21" customFormat="1" ht="15" customHeight="1" x14ac:dyDescent="0.25"/>
    <row r="1260" s="21" customFormat="1" ht="15" customHeight="1" x14ac:dyDescent="0.25"/>
    <row r="1261" s="21" customFormat="1" ht="15" customHeight="1" x14ac:dyDescent="0.25"/>
    <row r="1262" s="21" customFormat="1" ht="15" customHeight="1" x14ac:dyDescent="0.25"/>
    <row r="1263" s="21" customFormat="1" ht="15" customHeight="1" x14ac:dyDescent="0.25"/>
    <row r="1264" s="21" customFormat="1" ht="15" customHeight="1" x14ac:dyDescent="0.25"/>
    <row r="1265" s="21" customFormat="1" ht="15" customHeight="1" x14ac:dyDescent="0.25"/>
    <row r="1266" s="21" customFormat="1" ht="15" customHeight="1" x14ac:dyDescent="0.25"/>
    <row r="1267" s="21" customFormat="1" ht="15" customHeight="1" x14ac:dyDescent="0.25"/>
    <row r="1268" s="21" customFormat="1" ht="15" customHeight="1" x14ac:dyDescent="0.25"/>
    <row r="1269" s="21" customFormat="1" ht="15" customHeight="1" x14ac:dyDescent="0.25"/>
    <row r="1270" s="21" customFormat="1" ht="15" customHeight="1" x14ac:dyDescent="0.25"/>
    <row r="1271" s="21" customFormat="1" ht="15" customHeight="1" x14ac:dyDescent="0.25"/>
    <row r="1272" s="21" customFormat="1" ht="15" customHeight="1" x14ac:dyDescent="0.25"/>
    <row r="1273" s="21" customFormat="1" ht="15" customHeight="1" x14ac:dyDescent="0.25"/>
    <row r="1274" s="21" customFormat="1" ht="15" customHeight="1" x14ac:dyDescent="0.25"/>
    <row r="1275" s="21" customFormat="1" ht="15" customHeight="1" x14ac:dyDescent="0.25"/>
    <row r="1276" s="21" customFormat="1" ht="15" customHeight="1" x14ac:dyDescent="0.25"/>
    <row r="1277" s="21" customFormat="1" ht="15" customHeight="1" x14ac:dyDescent="0.25"/>
    <row r="1278" s="21" customFormat="1" ht="15" customHeight="1" x14ac:dyDescent="0.25"/>
    <row r="1279" s="21" customFormat="1" ht="15" customHeight="1" x14ac:dyDescent="0.25"/>
    <row r="1280" s="21" customFormat="1" ht="15" customHeight="1" x14ac:dyDescent="0.25"/>
    <row r="1281" s="21" customFormat="1" ht="15" customHeight="1" x14ac:dyDescent="0.25"/>
    <row r="1282" s="21" customFormat="1" ht="15" customHeight="1" x14ac:dyDescent="0.25"/>
    <row r="1283" s="21" customFormat="1" ht="15" customHeight="1" x14ac:dyDescent="0.25"/>
    <row r="1284" s="21" customFormat="1" ht="15" customHeight="1" x14ac:dyDescent="0.25"/>
    <row r="1285" s="21" customFormat="1" ht="15" customHeight="1" x14ac:dyDescent="0.25"/>
    <row r="1286" s="21" customFormat="1" ht="15" customHeight="1" x14ac:dyDescent="0.25"/>
    <row r="1287" s="21" customFormat="1" ht="15" customHeight="1" x14ac:dyDescent="0.25"/>
    <row r="1288" s="21" customFormat="1" ht="15" customHeight="1" x14ac:dyDescent="0.25"/>
    <row r="1289" s="21" customFormat="1" ht="15" customHeight="1" x14ac:dyDescent="0.25"/>
    <row r="1290" s="21" customFormat="1" ht="15" customHeight="1" x14ac:dyDescent="0.25"/>
    <row r="1291" s="21" customFormat="1" ht="15" customHeight="1" x14ac:dyDescent="0.25"/>
    <row r="1292" s="21" customFormat="1" ht="15" customHeight="1" x14ac:dyDescent="0.25"/>
    <row r="1293" s="21" customFormat="1" ht="15" customHeight="1" x14ac:dyDescent="0.25"/>
    <row r="1294" s="21" customFormat="1" ht="15" customHeight="1" x14ac:dyDescent="0.25"/>
    <row r="1295" s="21" customFormat="1" ht="15" customHeight="1" x14ac:dyDescent="0.25"/>
    <row r="1296" s="21" customFormat="1" ht="15" customHeight="1" x14ac:dyDescent="0.25"/>
    <row r="1297" s="21" customFormat="1" ht="15" customHeight="1" x14ac:dyDescent="0.25"/>
    <row r="1298" s="21" customFormat="1" ht="15" customHeight="1" x14ac:dyDescent="0.25"/>
    <row r="1299" s="21" customFormat="1" ht="15" customHeight="1" x14ac:dyDescent="0.25"/>
    <row r="1300" s="21" customFormat="1" ht="15" customHeight="1" x14ac:dyDescent="0.25"/>
    <row r="1301" s="21" customFormat="1" ht="15" customHeight="1" x14ac:dyDescent="0.25"/>
    <row r="1302" s="21" customFormat="1" ht="15" customHeight="1" x14ac:dyDescent="0.25"/>
    <row r="1303" s="21" customFormat="1" ht="15" customHeight="1" x14ac:dyDescent="0.25"/>
    <row r="1304" s="21" customFormat="1" ht="15" customHeight="1" x14ac:dyDescent="0.25"/>
    <row r="1305" s="21" customFormat="1" ht="15" customHeight="1" x14ac:dyDescent="0.25"/>
    <row r="1306" s="21" customFormat="1" ht="15" customHeight="1" x14ac:dyDescent="0.25"/>
    <row r="1307" s="21" customFormat="1" ht="15" customHeight="1" x14ac:dyDescent="0.25"/>
    <row r="1308" s="21" customFormat="1" ht="15" customHeight="1" x14ac:dyDescent="0.25"/>
    <row r="1309" s="21" customFormat="1" ht="15" customHeight="1" x14ac:dyDescent="0.25"/>
    <row r="1310" s="21" customFormat="1" ht="15" customHeight="1" x14ac:dyDescent="0.25"/>
    <row r="1311" s="21" customFormat="1" ht="15" customHeight="1" x14ac:dyDescent="0.25"/>
    <row r="1312" s="21" customFormat="1" ht="15" customHeight="1" x14ac:dyDescent="0.25"/>
    <row r="1313" s="21" customFormat="1" ht="15" customHeight="1" x14ac:dyDescent="0.25"/>
    <row r="1314" s="21" customFormat="1" ht="15" customHeight="1" x14ac:dyDescent="0.25"/>
    <row r="1315" s="21" customFormat="1" ht="15" customHeight="1" x14ac:dyDescent="0.25"/>
    <row r="1316" s="21" customFormat="1" ht="15" customHeight="1" x14ac:dyDescent="0.25"/>
    <row r="1317" s="21" customFormat="1" ht="15" customHeight="1" x14ac:dyDescent="0.25"/>
    <row r="1318" s="21" customFormat="1" ht="15" customHeight="1" x14ac:dyDescent="0.25"/>
    <row r="1319" s="21" customFormat="1" ht="15" customHeight="1" x14ac:dyDescent="0.25"/>
    <row r="1320" s="21" customFormat="1" ht="15" customHeight="1" x14ac:dyDescent="0.25"/>
    <row r="1321" s="21" customFormat="1" ht="15" customHeight="1" x14ac:dyDescent="0.25"/>
    <row r="1322" s="21" customFormat="1" ht="15" customHeight="1" x14ac:dyDescent="0.25"/>
    <row r="1323" s="21" customFormat="1" ht="15" customHeight="1" x14ac:dyDescent="0.25"/>
    <row r="1324" s="21" customFormat="1" ht="15" customHeight="1" x14ac:dyDescent="0.25"/>
    <row r="1325" s="21" customFormat="1" ht="15" customHeight="1" x14ac:dyDescent="0.25"/>
    <row r="1326" s="21" customFormat="1" ht="15" customHeight="1" x14ac:dyDescent="0.25"/>
    <row r="1327" s="21" customFormat="1" ht="15" customHeight="1" x14ac:dyDescent="0.25"/>
    <row r="1328" s="21" customFormat="1" ht="15" customHeight="1" x14ac:dyDescent="0.25"/>
    <row r="1329" s="21" customFormat="1" ht="15" customHeight="1" x14ac:dyDescent="0.25"/>
    <row r="1330" s="21" customFormat="1" ht="15" customHeight="1" x14ac:dyDescent="0.25"/>
    <row r="1331" s="21" customFormat="1" ht="15" customHeight="1" x14ac:dyDescent="0.25"/>
    <row r="1332" s="21" customFormat="1" ht="15" customHeight="1" x14ac:dyDescent="0.25"/>
    <row r="1333" s="21" customFormat="1" ht="15" customHeight="1" x14ac:dyDescent="0.25"/>
    <row r="1334" s="21" customFormat="1" ht="15" customHeight="1" x14ac:dyDescent="0.25"/>
    <row r="1335" s="21" customFormat="1" ht="15" customHeight="1" x14ac:dyDescent="0.25"/>
    <row r="1336" s="21" customFormat="1" ht="15" customHeight="1" x14ac:dyDescent="0.25"/>
    <row r="1337" s="21" customFormat="1" ht="15" customHeight="1" x14ac:dyDescent="0.25"/>
    <row r="1338" s="21" customFormat="1" ht="15" customHeight="1" x14ac:dyDescent="0.25"/>
    <row r="1339" s="21" customFormat="1" ht="15" customHeight="1" x14ac:dyDescent="0.25"/>
    <row r="1340" s="21" customFormat="1" ht="15" customHeight="1" x14ac:dyDescent="0.25"/>
    <row r="1341" s="21" customFormat="1" ht="15" customHeight="1" x14ac:dyDescent="0.25"/>
    <row r="1342" s="21" customFormat="1" ht="15" customHeight="1" x14ac:dyDescent="0.25"/>
    <row r="1343" s="21" customFormat="1" ht="15" customHeight="1" x14ac:dyDescent="0.25"/>
    <row r="1344" s="21" customFormat="1" ht="15" customHeight="1" x14ac:dyDescent="0.25"/>
    <row r="1345" s="21" customFormat="1" ht="15" customHeight="1" x14ac:dyDescent="0.25"/>
    <row r="1346" s="21" customFormat="1" ht="15" customHeight="1" x14ac:dyDescent="0.25"/>
    <row r="1347" s="21" customFormat="1" ht="15" customHeight="1" x14ac:dyDescent="0.25"/>
    <row r="1348" s="21" customFormat="1" ht="15" customHeight="1" x14ac:dyDescent="0.25"/>
    <row r="1349" s="21" customFormat="1" ht="15" customHeight="1" x14ac:dyDescent="0.25"/>
    <row r="1350" s="21" customFormat="1" ht="15" customHeight="1" x14ac:dyDescent="0.25"/>
    <row r="1351" s="21" customFormat="1" ht="15" customHeight="1" x14ac:dyDescent="0.25"/>
    <row r="1352" s="21" customFormat="1" ht="15" customHeight="1" x14ac:dyDescent="0.25"/>
    <row r="1353" s="21" customFormat="1" ht="15" customHeight="1" x14ac:dyDescent="0.25"/>
    <row r="1354" s="21" customFormat="1" ht="15" customHeight="1" x14ac:dyDescent="0.25"/>
    <row r="1355" s="21" customFormat="1" ht="15" customHeight="1" x14ac:dyDescent="0.25"/>
    <row r="1356" s="21" customFormat="1" ht="15" customHeight="1" x14ac:dyDescent="0.25"/>
    <row r="1357" s="21" customFormat="1" ht="15" customHeight="1" x14ac:dyDescent="0.25"/>
    <row r="1358" s="21" customFormat="1" ht="15" customHeight="1" x14ac:dyDescent="0.25"/>
    <row r="1359" s="21" customFormat="1" ht="15" customHeight="1" x14ac:dyDescent="0.25"/>
    <row r="1360" s="21" customFormat="1" ht="15" customHeight="1" x14ac:dyDescent="0.25"/>
    <row r="1361" s="21" customFormat="1" ht="15" customHeight="1" x14ac:dyDescent="0.25"/>
    <row r="1362" s="21" customFormat="1" ht="15" customHeight="1" x14ac:dyDescent="0.25"/>
    <row r="1363" s="21" customFormat="1" ht="15" customHeight="1" x14ac:dyDescent="0.25"/>
    <row r="1364" s="21" customFormat="1" ht="15" customHeight="1" x14ac:dyDescent="0.25"/>
    <row r="1365" s="21" customFormat="1" ht="15" customHeight="1" x14ac:dyDescent="0.25"/>
    <row r="1366" s="21" customFormat="1" ht="15" customHeight="1" x14ac:dyDescent="0.25"/>
    <row r="1367" s="21" customFormat="1" ht="15" customHeight="1" x14ac:dyDescent="0.25"/>
    <row r="1368" s="21" customFormat="1" ht="15" customHeight="1" x14ac:dyDescent="0.25"/>
    <row r="1369" s="21" customFormat="1" ht="15" customHeight="1" x14ac:dyDescent="0.25"/>
    <row r="1370" s="21" customFormat="1" ht="15" customHeight="1" x14ac:dyDescent="0.25"/>
    <row r="1371" s="21" customFormat="1" ht="15" customHeight="1" x14ac:dyDescent="0.25"/>
    <row r="1372" s="21" customFormat="1" ht="15" customHeight="1" x14ac:dyDescent="0.25"/>
    <row r="1373" s="21" customFormat="1" ht="15" customHeight="1" x14ac:dyDescent="0.25"/>
    <row r="1374" s="21" customFormat="1" ht="15" customHeight="1" x14ac:dyDescent="0.25"/>
    <row r="1375" s="21" customFormat="1" ht="15" customHeight="1" x14ac:dyDescent="0.25"/>
    <row r="1376" s="21" customFormat="1" ht="15" customHeight="1" x14ac:dyDescent="0.25"/>
    <row r="1377" s="21" customFormat="1" ht="15" customHeight="1" x14ac:dyDescent="0.25"/>
    <row r="1378" s="21" customFormat="1" ht="15" customHeight="1" x14ac:dyDescent="0.25"/>
    <row r="1379" s="21" customFormat="1" ht="15" customHeight="1" x14ac:dyDescent="0.25"/>
    <row r="1380" s="21" customFormat="1" ht="15" customHeight="1" x14ac:dyDescent="0.25"/>
    <row r="1381" s="21" customFormat="1" ht="15" customHeight="1" x14ac:dyDescent="0.25"/>
    <row r="1382" s="21" customFormat="1" ht="15" customHeight="1" x14ac:dyDescent="0.25"/>
    <row r="1383" s="21" customFormat="1" ht="15" customHeight="1" x14ac:dyDescent="0.25"/>
    <row r="1384" s="21" customFormat="1" ht="15" customHeight="1" x14ac:dyDescent="0.25"/>
    <row r="1385" s="21" customFormat="1" ht="15" customHeight="1" x14ac:dyDescent="0.25"/>
    <row r="1386" s="21" customFormat="1" ht="15" customHeight="1" x14ac:dyDescent="0.25"/>
    <row r="1387" s="21" customFormat="1" ht="15" customHeight="1" x14ac:dyDescent="0.25"/>
    <row r="1388" s="21" customFormat="1" ht="15" customHeight="1" x14ac:dyDescent="0.25"/>
    <row r="1389" s="21" customFormat="1" ht="15" customHeight="1" x14ac:dyDescent="0.25"/>
    <row r="1390" s="21" customFormat="1" ht="15" customHeight="1" x14ac:dyDescent="0.25"/>
    <row r="1391" s="21" customFormat="1" ht="15" customHeight="1" x14ac:dyDescent="0.25"/>
    <row r="1392" s="21" customFormat="1" ht="15" customHeight="1" x14ac:dyDescent="0.25"/>
    <row r="1393" s="21" customFormat="1" ht="15" customHeight="1" x14ac:dyDescent="0.25"/>
    <row r="1394" s="21" customFormat="1" ht="15" customHeight="1" x14ac:dyDescent="0.25"/>
    <row r="1395" s="21" customFormat="1" ht="15" customHeight="1" x14ac:dyDescent="0.25"/>
    <row r="1396" s="21" customFormat="1" ht="15" customHeight="1" x14ac:dyDescent="0.25"/>
    <row r="1397" s="21" customFormat="1" ht="15" customHeight="1" x14ac:dyDescent="0.25"/>
    <row r="1398" s="21" customFormat="1" ht="15" customHeight="1" x14ac:dyDescent="0.25"/>
    <row r="1399" s="21" customFormat="1" ht="15" customHeight="1" x14ac:dyDescent="0.25"/>
    <row r="1400" s="21" customFormat="1" ht="15" customHeight="1" x14ac:dyDescent="0.25"/>
    <row r="1401" s="21" customFormat="1" ht="15" customHeight="1" x14ac:dyDescent="0.25"/>
    <row r="1402" s="21" customFormat="1" ht="15" customHeight="1" x14ac:dyDescent="0.25"/>
    <row r="1403" s="21" customFormat="1" ht="15" customHeight="1" x14ac:dyDescent="0.25"/>
    <row r="1404" s="21" customFormat="1" ht="15" customHeight="1" x14ac:dyDescent="0.25"/>
    <row r="1405" s="21" customFormat="1" ht="15" customHeight="1" x14ac:dyDescent="0.25"/>
    <row r="1406" s="21" customFormat="1" ht="15" customHeight="1" x14ac:dyDescent="0.25"/>
    <row r="1407" s="21" customFormat="1" ht="15" customHeight="1" x14ac:dyDescent="0.25"/>
    <row r="1408" s="21" customFormat="1" ht="15" customHeight="1" x14ac:dyDescent="0.25"/>
    <row r="1409" s="21" customFormat="1" ht="15" customHeight="1" x14ac:dyDescent="0.25"/>
    <row r="1410" s="21" customFormat="1" ht="15" customHeight="1" x14ac:dyDescent="0.25"/>
    <row r="1411" s="21" customFormat="1" ht="15" customHeight="1" x14ac:dyDescent="0.25"/>
    <row r="1412" s="21" customFormat="1" ht="15" customHeight="1" x14ac:dyDescent="0.25"/>
    <row r="1413" s="21" customFormat="1" ht="15" customHeight="1" x14ac:dyDescent="0.25"/>
    <row r="1414" s="21" customFormat="1" ht="15" customHeight="1" x14ac:dyDescent="0.25"/>
    <row r="1415" s="21" customFormat="1" ht="15" customHeight="1" x14ac:dyDescent="0.25"/>
    <row r="1416" s="21" customFormat="1" ht="15" customHeight="1" x14ac:dyDescent="0.25"/>
    <row r="1417" s="21" customFormat="1" ht="15" customHeight="1" x14ac:dyDescent="0.25"/>
    <row r="1418" s="21" customFormat="1" ht="15" customHeight="1" x14ac:dyDescent="0.25"/>
    <row r="1419" s="21" customFormat="1" ht="15" customHeight="1" x14ac:dyDescent="0.25"/>
    <row r="1420" s="21" customFormat="1" ht="15" customHeight="1" x14ac:dyDescent="0.25"/>
    <row r="1421" s="21" customFormat="1" ht="15" customHeight="1" x14ac:dyDescent="0.25"/>
    <row r="1422" s="21" customFormat="1" ht="15" customHeight="1" x14ac:dyDescent="0.25"/>
    <row r="1423" s="21" customFormat="1" ht="15" customHeight="1" x14ac:dyDescent="0.25"/>
    <row r="1424" s="21" customFormat="1" ht="15" customHeight="1" x14ac:dyDescent="0.25"/>
    <row r="1425" s="21" customFormat="1" ht="15" customHeight="1" x14ac:dyDescent="0.25"/>
    <row r="1426" s="21" customFormat="1" ht="15" customHeight="1" x14ac:dyDescent="0.25"/>
    <row r="1427" s="21" customFormat="1" ht="15" customHeight="1" x14ac:dyDescent="0.25"/>
    <row r="1428" s="21" customFormat="1" ht="15" customHeight="1" x14ac:dyDescent="0.25"/>
    <row r="1429" s="21" customFormat="1" ht="15" customHeight="1" x14ac:dyDescent="0.25"/>
    <row r="1430" s="21" customFormat="1" ht="15" customHeight="1" x14ac:dyDescent="0.25"/>
    <row r="1431" s="21" customFormat="1" ht="15" customHeight="1" x14ac:dyDescent="0.25"/>
    <row r="1432" s="21" customFormat="1" ht="15" customHeight="1" x14ac:dyDescent="0.25"/>
    <row r="1433" s="21" customFormat="1" ht="15" customHeight="1" x14ac:dyDescent="0.25"/>
    <row r="1434" s="21" customFormat="1" ht="15" customHeight="1" x14ac:dyDescent="0.25"/>
    <row r="1435" s="21" customFormat="1" ht="15" customHeight="1" x14ac:dyDescent="0.25"/>
    <row r="1436" s="21" customFormat="1" ht="15" customHeight="1" x14ac:dyDescent="0.25"/>
    <row r="1437" s="21" customFormat="1" ht="15" customHeight="1" x14ac:dyDescent="0.25"/>
    <row r="1438" s="21" customFormat="1" ht="15" customHeight="1" x14ac:dyDescent="0.25"/>
    <row r="1439" s="21" customFormat="1" ht="15" customHeight="1" x14ac:dyDescent="0.25"/>
    <row r="1440" s="21" customFormat="1" ht="15" customHeight="1" x14ac:dyDescent="0.25"/>
    <row r="1441" s="21" customFormat="1" ht="15" customHeight="1" x14ac:dyDescent="0.25"/>
    <row r="1442" s="21" customFormat="1" ht="15" customHeight="1" x14ac:dyDescent="0.25"/>
    <row r="1443" s="21" customFormat="1" ht="15" customHeight="1" x14ac:dyDescent="0.25"/>
    <row r="1444" s="21" customFormat="1" ht="15" customHeight="1" x14ac:dyDescent="0.25"/>
    <row r="1445" s="21" customFormat="1" ht="15" customHeight="1" x14ac:dyDescent="0.25"/>
    <row r="1446" s="21" customFormat="1" ht="15" customHeight="1" x14ac:dyDescent="0.25"/>
    <row r="1447" s="21" customFormat="1" ht="15" customHeight="1" x14ac:dyDescent="0.25"/>
    <row r="1448" s="21" customFormat="1" ht="15" customHeight="1" x14ac:dyDescent="0.25"/>
    <row r="1449" s="21" customFormat="1" ht="15" customHeight="1" x14ac:dyDescent="0.25"/>
    <row r="1450" s="21" customFormat="1" ht="15" customHeight="1" x14ac:dyDescent="0.25"/>
    <row r="1451" s="21" customFormat="1" ht="15" customHeight="1" x14ac:dyDescent="0.25"/>
    <row r="1452" s="21" customFormat="1" ht="15" customHeight="1" x14ac:dyDescent="0.25"/>
    <row r="1453" s="21" customFormat="1" ht="15" customHeight="1" x14ac:dyDescent="0.25"/>
    <row r="1454" s="21" customFormat="1" ht="15" customHeight="1" x14ac:dyDescent="0.25"/>
    <row r="1455" s="21" customFormat="1" ht="15" customHeight="1" x14ac:dyDescent="0.25"/>
    <row r="1456" s="21" customFormat="1" ht="15" customHeight="1" x14ac:dyDescent="0.25"/>
    <row r="1457" s="21" customFormat="1" ht="15" customHeight="1" x14ac:dyDescent="0.25"/>
    <row r="1458" s="21" customFormat="1" ht="15" customHeight="1" x14ac:dyDescent="0.25"/>
    <row r="1459" s="21" customFormat="1" ht="15" customHeight="1" x14ac:dyDescent="0.25"/>
    <row r="1460" s="21" customFormat="1" ht="15" customHeight="1" x14ac:dyDescent="0.25"/>
    <row r="1461" s="21" customFormat="1" ht="15" customHeight="1" x14ac:dyDescent="0.25"/>
    <row r="1462" s="21" customFormat="1" ht="15" customHeight="1" x14ac:dyDescent="0.25"/>
    <row r="1463" s="21" customFormat="1" ht="15" customHeight="1" x14ac:dyDescent="0.25"/>
    <row r="1464" s="21" customFormat="1" ht="15" customHeight="1" x14ac:dyDescent="0.25"/>
    <row r="1465" s="21" customFormat="1" ht="15" customHeight="1" x14ac:dyDescent="0.25"/>
    <row r="1466" s="21" customFormat="1" ht="15" customHeight="1" x14ac:dyDescent="0.25"/>
    <row r="1467" s="21" customFormat="1" ht="15" customHeight="1" x14ac:dyDescent="0.25"/>
    <row r="1468" s="21" customFormat="1" ht="15" customHeight="1" x14ac:dyDescent="0.25"/>
    <row r="1469" s="21" customFormat="1" ht="15" customHeight="1" x14ac:dyDescent="0.25"/>
    <row r="1470" s="21" customFormat="1" ht="15" customHeight="1" x14ac:dyDescent="0.25"/>
    <row r="1471" s="21" customFormat="1" ht="15" customHeight="1" x14ac:dyDescent="0.25"/>
    <row r="1472" s="21" customFormat="1" ht="15" customHeight="1" x14ac:dyDescent="0.25"/>
    <row r="1473" s="21" customFormat="1" ht="15" customHeight="1" x14ac:dyDescent="0.25"/>
    <row r="1474" s="21" customFormat="1" ht="15" customHeight="1" x14ac:dyDescent="0.25"/>
    <row r="1475" s="21" customFormat="1" ht="15" customHeight="1" x14ac:dyDescent="0.25"/>
    <row r="1476" s="21" customFormat="1" ht="15" customHeight="1" x14ac:dyDescent="0.25"/>
    <row r="1477" s="21" customFormat="1" ht="15" customHeight="1" x14ac:dyDescent="0.25"/>
    <row r="1478" s="21" customFormat="1" ht="15" customHeight="1" x14ac:dyDescent="0.25"/>
    <row r="1479" s="21" customFormat="1" ht="15" customHeight="1" x14ac:dyDescent="0.25"/>
    <row r="1480" s="21" customFormat="1" ht="15" customHeight="1" x14ac:dyDescent="0.25"/>
    <row r="1481" s="21" customFormat="1" ht="15" customHeight="1" x14ac:dyDescent="0.25"/>
    <row r="1482" s="21" customFormat="1" ht="15" customHeight="1" x14ac:dyDescent="0.25"/>
    <row r="1483" s="21" customFormat="1" ht="15" customHeight="1" x14ac:dyDescent="0.25"/>
    <row r="1484" s="21" customFormat="1" ht="15" customHeight="1" x14ac:dyDescent="0.25"/>
    <row r="1485" s="21" customFormat="1" ht="15" customHeight="1" x14ac:dyDescent="0.25"/>
    <row r="1486" s="21" customFormat="1" ht="15" customHeight="1" x14ac:dyDescent="0.25"/>
    <row r="1487" s="21" customFormat="1" ht="15" customHeight="1" x14ac:dyDescent="0.25"/>
    <row r="1488" s="21" customFormat="1" ht="15" customHeight="1" x14ac:dyDescent="0.25"/>
    <row r="1489" s="21" customFormat="1" ht="15" customHeight="1" x14ac:dyDescent="0.25"/>
    <row r="1490" s="21" customFormat="1" ht="15" customHeight="1" x14ac:dyDescent="0.25"/>
    <row r="1491" s="21" customFormat="1" ht="15" customHeight="1" x14ac:dyDescent="0.25"/>
    <row r="1492" s="21" customFormat="1" ht="15" customHeight="1" x14ac:dyDescent="0.25"/>
    <row r="1493" s="21" customFormat="1" ht="15" customHeight="1" x14ac:dyDescent="0.25"/>
    <row r="1494" s="21" customFormat="1" ht="15" customHeight="1" x14ac:dyDescent="0.25"/>
    <row r="1495" s="21" customFormat="1" ht="15" customHeight="1" x14ac:dyDescent="0.25"/>
    <row r="1496" s="21" customFormat="1" ht="15" customHeight="1" x14ac:dyDescent="0.25"/>
    <row r="1497" s="21" customFormat="1" ht="15" customHeight="1" x14ac:dyDescent="0.25"/>
    <row r="1498" s="21" customFormat="1" ht="15" customHeight="1" x14ac:dyDescent="0.25"/>
    <row r="1499" s="21" customFormat="1" ht="15" customHeight="1" x14ac:dyDescent="0.25"/>
    <row r="1500" s="21" customFormat="1" ht="15" customHeight="1" x14ac:dyDescent="0.25"/>
    <row r="1501" s="21" customFormat="1" ht="15" customHeight="1" x14ac:dyDescent="0.25"/>
    <row r="1502" s="21" customFormat="1" ht="15" customHeight="1" x14ac:dyDescent="0.25"/>
    <row r="1503" s="21" customFormat="1" ht="15" customHeight="1" x14ac:dyDescent="0.25"/>
    <row r="1504" s="21" customFormat="1" ht="15" customHeight="1" x14ac:dyDescent="0.25"/>
    <row r="1505" s="21" customFormat="1" ht="15" customHeight="1" x14ac:dyDescent="0.25"/>
    <row r="1506" s="21" customFormat="1" ht="15" customHeight="1" x14ac:dyDescent="0.25"/>
    <row r="1507" s="21" customFormat="1" ht="15" customHeight="1" x14ac:dyDescent="0.25"/>
    <row r="1508" s="21" customFormat="1" ht="15" customHeight="1" x14ac:dyDescent="0.25"/>
    <row r="1509" s="21" customFormat="1" ht="15" customHeight="1" x14ac:dyDescent="0.25"/>
    <row r="1510" s="21" customFormat="1" ht="15" customHeight="1" x14ac:dyDescent="0.25"/>
    <row r="1511" s="21" customFormat="1" ht="15" customHeight="1" x14ac:dyDescent="0.25"/>
    <row r="1512" s="21" customFormat="1" ht="15" customHeight="1" x14ac:dyDescent="0.25"/>
    <row r="1513" s="21" customFormat="1" ht="15" customHeight="1" x14ac:dyDescent="0.25"/>
    <row r="1514" s="21" customFormat="1" ht="15" customHeight="1" x14ac:dyDescent="0.25"/>
    <row r="1515" s="21" customFormat="1" ht="15" customHeight="1" x14ac:dyDescent="0.25"/>
    <row r="1516" s="21" customFormat="1" ht="15" customHeight="1" x14ac:dyDescent="0.25"/>
    <row r="1517" s="21" customFormat="1" ht="15" customHeight="1" x14ac:dyDescent="0.25"/>
    <row r="1518" s="21" customFormat="1" ht="15" customHeight="1" x14ac:dyDescent="0.25"/>
    <row r="1519" s="21" customFormat="1" ht="15" customHeight="1" x14ac:dyDescent="0.25"/>
    <row r="1520" s="21" customFormat="1" ht="15" customHeight="1" x14ac:dyDescent="0.25"/>
    <row r="1521" s="21" customFormat="1" ht="15" customHeight="1" x14ac:dyDescent="0.25"/>
    <row r="1522" s="21" customFormat="1" ht="15" customHeight="1" x14ac:dyDescent="0.25"/>
    <row r="1523" s="21" customFormat="1" ht="15" customHeight="1" x14ac:dyDescent="0.25"/>
    <row r="1524" s="21" customFormat="1" ht="15" customHeight="1" x14ac:dyDescent="0.25"/>
    <row r="1525" s="21" customFormat="1" ht="15" customHeight="1" x14ac:dyDescent="0.25"/>
    <row r="1526" s="21" customFormat="1" ht="15" customHeight="1" x14ac:dyDescent="0.25"/>
    <row r="1527" s="21" customFormat="1" ht="15" customHeight="1" x14ac:dyDescent="0.25"/>
    <row r="1528" s="21" customFormat="1" ht="15" customHeight="1" x14ac:dyDescent="0.25"/>
    <row r="1529" s="21" customFormat="1" ht="15" customHeight="1" x14ac:dyDescent="0.25"/>
    <row r="1530" s="21" customFormat="1" ht="15" customHeight="1" x14ac:dyDescent="0.25"/>
    <row r="1531" s="21" customFormat="1" ht="15" customHeight="1" x14ac:dyDescent="0.25"/>
    <row r="1532" s="21" customFormat="1" ht="15" customHeight="1" x14ac:dyDescent="0.25"/>
    <row r="1533" s="21" customFormat="1" ht="15" customHeight="1" x14ac:dyDescent="0.25"/>
    <row r="1534" s="21" customFormat="1" ht="15" customHeight="1" x14ac:dyDescent="0.25"/>
    <row r="1535" s="21" customFormat="1" ht="15" customHeight="1" x14ac:dyDescent="0.25"/>
    <row r="1536" s="21" customFormat="1" ht="15" customHeight="1" x14ac:dyDescent="0.25"/>
    <row r="1537" s="21" customFormat="1" ht="15" customHeight="1" x14ac:dyDescent="0.25"/>
    <row r="1538" s="21" customFormat="1" ht="15" customHeight="1" x14ac:dyDescent="0.25"/>
    <row r="1539" s="21" customFormat="1" ht="15" customHeight="1" x14ac:dyDescent="0.25"/>
    <row r="1540" s="21" customFormat="1" ht="15" customHeight="1" x14ac:dyDescent="0.25"/>
    <row r="1541" s="21" customFormat="1" ht="15" customHeight="1" x14ac:dyDescent="0.25"/>
    <row r="1542" s="21" customFormat="1" ht="15" customHeight="1" x14ac:dyDescent="0.25"/>
    <row r="1543" s="21" customFormat="1" ht="15" customHeight="1" x14ac:dyDescent="0.25"/>
    <row r="1544" s="21" customFormat="1" ht="15" customHeight="1" x14ac:dyDescent="0.25"/>
    <row r="1545" s="21" customFormat="1" ht="15" customHeight="1" x14ac:dyDescent="0.25"/>
    <row r="1546" s="21" customFormat="1" ht="15" customHeight="1" x14ac:dyDescent="0.25"/>
    <row r="1547" s="21" customFormat="1" ht="15" customHeight="1" x14ac:dyDescent="0.25"/>
    <row r="1548" s="21" customFormat="1" ht="15" customHeight="1" x14ac:dyDescent="0.25"/>
    <row r="1549" s="21" customFormat="1" ht="15" customHeight="1" x14ac:dyDescent="0.25"/>
    <row r="1550" s="21" customFormat="1" ht="15" customHeight="1" x14ac:dyDescent="0.25"/>
    <row r="1551" s="21" customFormat="1" ht="15" customHeight="1" x14ac:dyDescent="0.25"/>
    <row r="1552" s="21" customFormat="1" ht="15" customHeight="1" x14ac:dyDescent="0.25"/>
    <row r="1553" s="21" customFormat="1" ht="15" customHeight="1" x14ac:dyDescent="0.25"/>
    <row r="1554" s="21" customFormat="1" ht="15" customHeight="1" x14ac:dyDescent="0.25"/>
    <row r="1555" s="21" customFormat="1" ht="15" customHeight="1" x14ac:dyDescent="0.25"/>
    <row r="1556" s="21" customFormat="1" ht="15" customHeight="1" x14ac:dyDescent="0.25"/>
    <row r="1557" s="21" customFormat="1" ht="15" customHeight="1" x14ac:dyDescent="0.25"/>
    <row r="1558" s="21" customFormat="1" ht="15" customHeight="1" x14ac:dyDescent="0.25"/>
    <row r="1559" s="21" customFormat="1" ht="15" customHeight="1" x14ac:dyDescent="0.25"/>
    <row r="1560" s="21" customFormat="1" ht="15" customHeight="1" x14ac:dyDescent="0.25"/>
    <row r="1561" s="21" customFormat="1" ht="15" customHeight="1" x14ac:dyDescent="0.25"/>
    <row r="1562" s="21" customFormat="1" ht="15" customHeight="1" x14ac:dyDescent="0.25"/>
    <row r="1563" s="21" customFormat="1" ht="15" customHeight="1" x14ac:dyDescent="0.25"/>
    <row r="1564" s="21" customFormat="1" ht="15" customHeight="1" x14ac:dyDescent="0.25"/>
    <row r="1565" s="21" customFormat="1" ht="15" customHeight="1" x14ac:dyDescent="0.25"/>
    <row r="1566" s="21" customFormat="1" ht="15" customHeight="1" x14ac:dyDescent="0.25"/>
    <row r="1567" s="21" customFormat="1" ht="15" customHeight="1" x14ac:dyDescent="0.25"/>
    <row r="1568" s="21" customFormat="1" ht="15" customHeight="1" x14ac:dyDescent="0.25"/>
    <row r="1569" s="21" customFormat="1" ht="15" customHeight="1" x14ac:dyDescent="0.25"/>
    <row r="1570" s="21" customFormat="1" ht="15" customHeight="1" x14ac:dyDescent="0.25"/>
    <row r="1571" s="21" customFormat="1" ht="15" customHeight="1" x14ac:dyDescent="0.25"/>
    <row r="1572" s="21" customFormat="1" ht="15" customHeight="1" x14ac:dyDescent="0.25"/>
    <row r="1573" s="21" customFormat="1" ht="15" customHeight="1" x14ac:dyDescent="0.25"/>
    <row r="1574" s="21" customFormat="1" ht="15" customHeight="1" x14ac:dyDescent="0.25"/>
    <row r="1575" s="21" customFormat="1" ht="15" customHeight="1" x14ac:dyDescent="0.25"/>
    <row r="1576" s="21" customFormat="1" ht="15" customHeight="1" x14ac:dyDescent="0.25"/>
    <row r="1577" s="21" customFormat="1" ht="15" customHeight="1" x14ac:dyDescent="0.25"/>
    <row r="1578" s="21" customFormat="1" ht="15" customHeight="1" x14ac:dyDescent="0.25"/>
    <row r="1579" s="21" customFormat="1" ht="15" customHeight="1" x14ac:dyDescent="0.25"/>
    <row r="1580" s="21" customFormat="1" ht="15" customHeight="1" x14ac:dyDescent="0.25"/>
    <row r="1581" s="21" customFormat="1" ht="15" customHeight="1" x14ac:dyDescent="0.25"/>
    <row r="1582" s="21" customFormat="1" ht="15" customHeight="1" x14ac:dyDescent="0.25"/>
    <row r="1583" s="21" customFormat="1" ht="15" customHeight="1" x14ac:dyDescent="0.25"/>
    <row r="1584" s="21" customFormat="1" ht="15" customHeight="1" x14ac:dyDescent="0.25"/>
    <row r="1585" s="21" customFormat="1" ht="15" customHeight="1" x14ac:dyDescent="0.25"/>
    <row r="1586" s="21" customFormat="1" ht="15" customHeight="1" x14ac:dyDescent="0.25"/>
    <row r="1587" s="21" customFormat="1" ht="15" customHeight="1" x14ac:dyDescent="0.25"/>
    <row r="1588" s="21" customFormat="1" ht="15" customHeight="1" x14ac:dyDescent="0.25"/>
    <row r="1589" s="21" customFormat="1" ht="15" customHeight="1" x14ac:dyDescent="0.25"/>
    <row r="1590" s="21" customFormat="1" ht="15" customHeight="1" x14ac:dyDescent="0.25"/>
    <row r="1591" s="21" customFormat="1" ht="15" customHeight="1" x14ac:dyDescent="0.25"/>
    <row r="1592" s="21" customFormat="1" ht="15" customHeight="1" x14ac:dyDescent="0.25"/>
    <row r="1593" s="21" customFormat="1" ht="15" customHeight="1" x14ac:dyDescent="0.25"/>
    <row r="1594" s="21" customFormat="1" ht="15" customHeight="1" x14ac:dyDescent="0.25"/>
    <row r="1595" s="21" customFormat="1" ht="15" customHeight="1" x14ac:dyDescent="0.25"/>
    <row r="1596" s="21" customFormat="1" ht="15" customHeight="1" x14ac:dyDescent="0.25"/>
    <row r="1597" s="21" customFormat="1" ht="15" customHeight="1" x14ac:dyDescent="0.25"/>
    <row r="1598" s="21" customFormat="1" ht="15" customHeight="1" x14ac:dyDescent="0.25"/>
    <row r="1599" s="21" customFormat="1" ht="15" customHeight="1" x14ac:dyDescent="0.25"/>
    <row r="1600" s="21" customFormat="1" ht="15" customHeight="1" x14ac:dyDescent="0.25"/>
    <row r="1601" s="21" customFormat="1" ht="15" customHeight="1" x14ac:dyDescent="0.25"/>
    <row r="1602" s="21" customFormat="1" ht="15" customHeight="1" x14ac:dyDescent="0.25"/>
    <row r="1603" s="21" customFormat="1" ht="15" customHeight="1" x14ac:dyDescent="0.25"/>
    <row r="1604" s="21" customFormat="1" ht="15" customHeight="1" x14ac:dyDescent="0.25"/>
    <row r="1605" s="21" customFormat="1" ht="15" customHeight="1" x14ac:dyDescent="0.25"/>
    <row r="1606" s="21" customFormat="1" ht="15" customHeight="1" x14ac:dyDescent="0.25"/>
    <row r="1607" s="21" customFormat="1" ht="15" customHeight="1" x14ac:dyDescent="0.25"/>
    <row r="1608" s="21" customFormat="1" ht="15" customHeight="1" x14ac:dyDescent="0.25"/>
    <row r="1609" s="21" customFormat="1" ht="15" customHeight="1" x14ac:dyDescent="0.25"/>
    <row r="1610" s="21" customFormat="1" ht="15" customHeight="1" x14ac:dyDescent="0.25"/>
    <row r="1611" s="21" customFormat="1" ht="15" customHeight="1" x14ac:dyDescent="0.25"/>
    <row r="1612" s="21" customFormat="1" ht="15" customHeight="1" x14ac:dyDescent="0.25"/>
    <row r="1613" s="21" customFormat="1" ht="15" customHeight="1" x14ac:dyDescent="0.25"/>
    <row r="1614" s="21" customFormat="1" ht="15" customHeight="1" x14ac:dyDescent="0.25"/>
    <row r="1615" s="21" customFormat="1" ht="15" customHeight="1" x14ac:dyDescent="0.25"/>
    <row r="1616" s="21" customFormat="1" ht="15" customHeight="1" x14ac:dyDescent="0.25"/>
    <row r="1617" s="21" customFormat="1" ht="15" customHeight="1" x14ac:dyDescent="0.25"/>
    <row r="1618" s="21" customFormat="1" ht="15" customHeight="1" x14ac:dyDescent="0.25"/>
    <row r="1619" s="21" customFormat="1" ht="15" customHeight="1" x14ac:dyDescent="0.25"/>
    <row r="1620" s="21" customFormat="1" ht="15" customHeight="1" x14ac:dyDescent="0.25"/>
    <row r="1621" s="21" customFormat="1" ht="15" customHeight="1" x14ac:dyDescent="0.25"/>
    <row r="1622" s="21" customFormat="1" ht="15" customHeight="1" x14ac:dyDescent="0.25"/>
    <row r="1623" s="21" customFormat="1" ht="15" customHeight="1" x14ac:dyDescent="0.25"/>
    <row r="1624" s="21" customFormat="1" ht="15" customHeight="1" x14ac:dyDescent="0.25"/>
    <row r="1625" s="21" customFormat="1" ht="15" customHeight="1" x14ac:dyDescent="0.25"/>
    <row r="1626" s="21" customFormat="1" ht="15" customHeight="1" x14ac:dyDescent="0.25"/>
    <row r="1627" s="21" customFormat="1" ht="15" customHeight="1" x14ac:dyDescent="0.25"/>
    <row r="1628" s="21" customFormat="1" ht="15" customHeight="1" x14ac:dyDescent="0.25"/>
    <row r="1629" s="21" customFormat="1" ht="15" customHeight="1" x14ac:dyDescent="0.25"/>
    <row r="1630" s="21" customFormat="1" ht="15" customHeight="1" x14ac:dyDescent="0.25"/>
    <row r="1631" s="21" customFormat="1" ht="15" customHeight="1" x14ac:dyDescent="0.25"/>
    <row r="1632" s="21" customFormat="1" ht="15" customHeight="1" x14ac:dyDescent="0.25"/>
    <row r="1633" s="21" customFormat="1" ht="15" customHeight="1" x14ac:dyDescent="0.25"/>
    <row r="1634" s="21" customFormat="1" ht="15" customHeight="1" x14ac:dyDescent="0.25"/>
    <row r="1635" s="21" customFormat="1" ht="15" customHeight="1" x14ac:dyDescent="0.25"/>
    <row r="1636" s="21" customFormat="1" ht="15" customHeight="1" x14ac:dyDescent="0.25"/>
    <row r="1637" s="21" customFormat="1" ht="15" customHeight="1" x14ac:dyDescent="0.25"/>
    <row r="1638" s="21" customFormat="1" ht="15" customHeight="1" x14ac:dyDescent="0.25"/>
    <row r="1639" s="21" customFormat="1" ht="15" customHeight="1" x14ac:dyDescent="0.25"/>
    <row r="1640" s="21" customFormat="1" ht="15" customHeight="1" x14ac:dyDescent="0.25"/>
    <row r="1641" s="21" customFormat="1" ht="15" customHeight="1" x14ac:dyDescent="0.25"/>
    <row r="1642" s="21" customFormat="1" ht="15" customHeight="1" x14ac:dyDescent="0.25"/>
    <row r="1643" s="21" customFormat="1" ht="15" customHeight="1" x14ac:dyDescent="0.25"/>
    <row r="1644" s="21" customFormat="1" ht="15" customHeight="1" x14ac:dyDescent="0.25"/>
    <row r="1645" s="21" customFormat="1" ht="15" customHeight="1" x14ac:dyDescent="0.25"/>
    <row r="1646" s="21" customFormat="1" ht="15" customHeight="1" x14ac:dyDescent="0.25"/>
    <row r="1647" s="21" customFormat="1" ht="15" customHeight="1" x14ac:dyDescent="0.25"/>
    <row r="1648" s="21" customFormat="1" ht="15" customHeight="1" x14ac:dyDescent="0.25"/>
    <row r="1649" s="21" customFormat="1" ht="15" customHeight="1" x14ac:dyDescent="0.25"/>
    <row r="1650" s="21" customFormat="1" ht="15" customHeight="1" x14ac:dyDescent="0.25"/>
    <row r="1651" s="21" customFormat="1" ht="15" customHeight="1" x14ac:dyDescent="0.25"/>
    <row r="1652" s="21" customFormat="1" ht="15" customHeight="1" x14ac:dyDescent="0.25"/>
    <row r="1653" s="21" customFormat="1" ht="15" customHeight="1" x14ac:dyDescent="0.25"/>
    <row r="1654" s="21" customFormat="1" ht="15" customHeight="1" x14ac:dyDescent="0.25"/>
    <row r="1655" s="21" customFormat="1" ht="15" customHeight="1" x14ac:dyDescent="0.25"/>
    <row r="1656" s="21" customFormat="1" ht="15" customHeight="1" x14ac:dyDescent="0.25"/>
    <row r="1657" s="21" customFormat="1" ht="15" customHeight="1" x14ac:dyDescent="0.25"/>
    <row r="1658" s="21" customFormat="1" ht="15" customHeight="1" x14ac:dyDescent="0.25"/>
    <row r="1659" s="21" customFormat="1" ht="15" customHeight="1" x14ac:dyDescent="0.25"/>
    <row r="1660" s="21" customFormat="1" ht="15" customHeight="1" x14ac:dyDescent="0.25"/>
    <row r="1661" s="21" customFormat="1" ht="15" customHeight="1" x14ac:dyDescent="0.25"/>
    <row r="1662" s="21" customFormat="1" ht="15" customHeight="1" x14ac:dyDescent="0.25"/>
    <row r="1663" s="21" customFormat="1" ht="15" customHeight="1" x14ac:dyDescent="0.25"/>
    <row r="1664" s="21" customFormat="1" ht="15" customHeight="1" x14ac:dyDescent="0.25"/>
    <row r="1665" s="21" customFormat="1" ht="15" customHeight="1" x14ac:dyDescent="0.25"/>
    <row r="1666" s="21" customFormat="1" ht="15" customHeight="1" x14ac:dyDescent="0.25"/>
    <row r="1667" s="21" customFormat="1" ht="15" customHeight="1" x14ac:dyDescent="0.25"/>
    <row r="1668" s="21" customFormat="1" ht="15" customHeight="1" x14ac:dyDescent="0.25"/>
    <row r="1669" s="21" customFormat="1" ht="15" customHeight="1" x14ac:dyDescent="0.25"/>
    <row r="1670" s="21" customFormat="1" ht="15" customHeight="1" x14ac:dyDescent="0.25"/>
    <row r="1671" s="21" customFormat="1" ht="15" customHeight="1" x14ac:dyDescent="0.25"/>
    <row r="1672" s="21" customFormat="1" ht="15" customHeight="1" x14ac:dyDescent="0.25"/>
    <row r="1673" s="21" customFormat="1" ht="15" customHeight="1" x14ac:dyDescent="0.25"/>
    <row r="1674" s="21" customFormat="1" ht="15" customHeight="1" x14ac:dyDescent="0.25"/>
    <row r="1675" s="21" customFormat="1" ht="15" customHeight="1" x14ac:dyDescent="0.25"/>
    <row r="1676" s="21" customFormat="1" ht="15" customHeight="1" x14ac:dyDescent="0.25"/>
    <row r="1677" s="21" customFormat="1" ht="15" customHeight="1" x14ac:dyDescent="0.25"/>
    <row r="1678" s="21" customFormat="1" ht="15" customHeight="1" x14ac:dyDescent="0.25"/>
    <row r="1679" s="21" customFormat="1" ht="15" customHeight="1" x14ac:dyDescent="0.25"/>
    <row r="1680" s="21" customFormat="1" ht="15" customHeight="1" x14ac:dyDescent="0.25"/>
    <row r="1681" s="21" customFormat="1" ht="15" customHeight="1" x14ac:dyDescent="0.25"/>
    <row r="1682" s="21" customFormat="1" ht="15" customHeight="1" x14ac:dyDescent="0.25"/>
    <row r="1683" s="21" customFormat="1" ht="15" customHeight="1" x14ac:dyDescent="0.25"/>
    <row r="1684" s="21" customFormat="1" ht="15" customHeight="1" x14ac:dyDescent="0.25"/>
    <row r="1685" s="21" customFormat="1" ht="15" customHeight="1" x14ac:dyDescent="0.25"/>
    <row r="1686" s="21" customFormat="1" ht="15" customHeight="1" x14ac:dyDescent="0.25"/>
    <row r="1687" s="21" customFormat="1" ht="15" customHeight="1" x14ac:dyDescent="0.25"/>
    <row r="1688" s="21" customFormat="1" ht="15" customHeight="1" x14ac:dyDescent="0.25"/>
    <row r="1689" s="21" customFormat="1" ht="15" customHeight="1" x14ac:dyDescent="0.25"/>
    <row r="1690" s="21" customFormat="1" ht="15" customHeight="1" x14ac:dyDescent="0.25"/>
    <row r="1691" s="21" customFormat="1" ht="15" customHeight="1" x14ac:dyDescent="0.25"/>
    <row r="1692" s="21" customFormat="1" ht="15" customHeight="1" x14ac:dyDescent="0.25"/>
    <row r="1693" s="21" customFormat="1" ht="15" customHeight="1" x14ac:dyDescent="0.25"/>
    <row r="1694" s="21" customFormat="1" ht="15" customHeight="1" x14ac:dyDescent="0.25"/>
    <row r="1695" s="21" customFormat="1" ht="15" customHeight="1" x14ac:dyDescent="0.25"/>
    <row r="1696" s="21" customFormat="1" ht="15" customHeight="1" x14ac:dyDescent="0.25"/>
    <row r="1697" s="21" customFormat="1" ht="15" customHeight="1" x14ac:dyDescent="0.25"/>
    <row r="1698" s="21" customFormat="1" ht="15" customHeight="1" x14ac:dyDescent="0.25"/>
    <row r="1699" s="21" customFormat="1" ht="15" customHeight="1" x14ac:dyDescent="0.25"/>
    <row r="1700" s="21" customFormat="1" ht="15" customHeight="1" x14ac:dyDescent="0.25"/>
    <row r="1701" s="21" customFormat="1" ht="15" customHeight="1" x14ac:dyDescent="0.25"/>
    <row r="1702" s="21" customFormat="1" ht="15" customHeight="1" x14ac:dyDescent="0.25"/>
    <row r="1703" s="21" customFormat="1" ht="15" customHeight="1" x14ac:dyDescent="0.25"/>
    <row r="1704" s="21" customFormat="1" ht="15" customHeight="1" x14ac:dyDescent="0.25"/>
    <row r="1705" s="21" customFormat="1" ht="15" customHeight="1" x14ac:dyDescent="0.25"/>
    <row r="1706" s="21" customFormat="1" ht="15" customHeight="1" x14ac:dyDescent="0.25"/>
    <row r="1707" s="21" customFormat="1" ht="15" customHeight="1" x14ac:dyDescent="0.25"/>
    <row r="1708" s="21" customFormat="1" ht="15" customHeight="1" x14ac:dyDescent="0.25"/>
    <row r="1709" s="21" customFormat="1" ht="15" customHeight="1" x14ac:dyDescent="0.25"/>
    <row r="1710" s="21" customFormat="1" ht="15" customHeight="1" x14ac:dyDescent="0.25"/>
    <row r="1711" s="21" customFormat="1" ht="15" customHeight="1" x14ac:dyDescent="0.25"/>
    <row r="1712" s="21" customFormat="1" ht="15" customHeight="1" x14ac:dyDescent="0.25"/>
    <row r="1713" s="21" customFormat="1" ht="15" customHeight="1" x14ac:dyDescent="0.25"/>
    <row r="1714" s="21" customFormat="1" ht="15" customHeight="1" x14ac:dyDescent="0.25"/>
    <row r="1715" s="21" customFormat="1" ht="15" customHeight="1" x14ac:dyDescent="0.25"/>
    <row r="1716" s="21" customFormat="1" ht="15" customHeight="1" x14ac:dyDescent="0.25"/>
    <row r="1717" s="21" customFormat="1" ht="15" customHeight="1" x14ac:dyDescent="0.25"/>
    <row r="1718" s="21" customFormat="1" ht="15" customHeight="1" x14ac:dyDescent="0.25"/>
    <row r="1719" s="21" customFormat="1" ht="15" customHeight="1" x14ac:dyDescent="0.25"/>
    <row r="1720" s="21" customFormat="1" ht="15" customHeight="1" x14ac:dyDescent="0.25"/>
    <row r="1721" s="21" customFormat="1" ht="15" customHeight="1" x14ac:dyDescent="0.25"/>
    <row r="1722" s="21" customFormat="1" ht="15" customHeight="1" x14ac:dyDescent="0.25"/>
    <row r="1723" s="21" customFormat="1" ht="15" customHeight="1" x14ac:dyDescent="0.25"/>
    <row r="1724" s="21" customFormat="1" ht="15" customHeight="1" x14ac:dyDescent="0.25"/>
    <row r="1725" s="21" customFormat="1" ht="15" customHeight="1" x14ac:dyDescent="0.25"/>
    <row r="1726" s="21" customFormat="1" ht="15" customHeight="1" x14ac:dyDescent="0.25"/>
    <row r="1727" s="21" customFormat="1" ht="15" customHeight="1" x14ac:dyDescent="0.25"/>
    <row r="1728" s="21" customFormat="1" ht="15" customHeight="1" x14ac:dyDescent="0.25"/>
    <row r="1729" s="21" customFormat="1" ht="15" customHeight="1" x14ac:dyDescent="0.25"/>
    <row r="1730" s="21" customFormat="1" ht="15" customHeight="1" x14ac:dyDescent="0.25"/>
    <row r="1731" s="21" customFormat="1" ht="15" customHeight="1" x14ac:dyDescent="0.25"/>
    <row r="1732" s="21" customFormat="1" ht="15" customHeight="1" x14ac:dyDescent="0.25"/>
    <row r="1733" s="21" customFormat="1" ht="15" customHeight="1" x14ac:dyDescent="0.25"/>
    <row r="1734" s="21" customFormat="1" ht="15" customHeight="1" x14ac:dyDescent="0.25"/>
    <row r="1735" s="21" customFormat="1" ht="15" customHeight="1" x14ac:dyDescent="0.25"/>
    <row r="1736" s="21" customFormat="1" ht="15" customHeight="1" x14ac:dyDescent="0.25"/>
    <row r="1737" s="21" customFormat="1" ht="15" customHeight="1" x14ac:dyDescent="0.25"/>
    <row r="1738" s="21" customFormat="1" ht="15" customHeight="1" x14ac:dyDescent="0.25"/>
    <row r="1739" s="21" customFormat="1" ht="15" customHeight="1" x14ac:dyDescent="0.25"/>
    <row r="1740" s="21" customFormat="1" ht="15" customHeight="1" x14ac:dyDescent="0.25"/>
    <row r="1741" s="21" customFormat="1" ht="15" customHeight="1" x14ac:dyDescent="0.25"/>
    <row r="1742" s="21" customFormat="1" ht="15" customHeight="1" x14ac:dyDescent="0.25"/>
    <row r="1743" s="21" customFormat="1" ht="15" customHeight="1" x14ac:dyDescent="0.25"/>
    <row r="1744" s="21" customFormat="1" ht="15" customHeight="1" x14ac:dyDescent="0.25"/>
    <row r="1745" s="21" customFormat="1" ht="15" customHeight="1" x14ac:dyDescent="0.25"/>
    <row r="1746" s="21" customFormat="1" ht="15" customHeight="1" x14ac:dyDescent="0.25"/>
    <row r="1747" s="21" customFormat="1" ht="15" customHeight="1" x14ac:dyDescent="0.25"/>
    <row r="1748" s="21" customFormat="1" ht="15" customHeight="1" x14ac:dyDescent="0.25"/>
    <row r="1749" s="21" customFormat="1" ht="15" customHeight="1" x14ac:dyDescent="0.25"/>
    <row r="1750" s="21" customFormat="1" ht="15" customHeight="1" x14ac:dyDescent="0.25"/>
    <row r="1751" s="21" customFormat="1" ht="15" customHeight="1" x14ac:dyDescent="0.25"/>
    <row r="1752" s="21" customFormat="1" ht="15" customHeight="1" x14ac:dyDescent="0.25"/>
    <row r="1753" s="21" customFormat="1" ht="15" customHeight="1" x14ac:dyDescent="0.25"/>
    <row r="1754" s="21" customFormat="1" ht="15" customHeight="1" x14ac:dyDescent="0.25"/>
    <row r="1755" s="21" customFormat="1" ht="15" customHeight="1" x14ac:dyDescent="0.25"/>
    <row r="1756" s="21" customFormat="1" ht="15" customHeight="1" x14ac:dyDescent="0.25"/>
    <row r="1757" s="21" customFormat="1" ht="15" customHeight="1" x14ac:dyDescent="0.25"/>
    <row r="1758" s="21" customFormat="1" ht="15" customHeight="1" x14ac:dyDescent="0.25"/>
    <row r="1759" s="21" customFormat="1" ht="15" customHeight="1" x14ac:dyDescent="0.25"/>
    <row r="1760" s="21" customFormat="1" ht="15" customHeight="1" x14ac:dyDescent="0.25"/>
    <row r="1761" s="21" customFormat="1" ht="15" customHeight="1" x14ac:dyDescent="0.25"/>
    <row r="1762" s="21" customFormat="1" ht="15" customHeight="1" x14ac:dyDescent="0.25"/>
    <row r="1763" s="21" customFormat="1" ht="15" customHeight="1" x14ac:dyDescent="0.25"/>
    <row r="1764" s="21" customFormat="1" ht="15" customHeight="1" x14ac:dyDescent="0.25"/>
    <row r="1765" s="21" customFormat="1" ht="15" customHeight="1" x14ac:dyDescent="0.25"/>
    <row r="1766" s="21" customFormat="1" ht="15" customHeight="1" x14ac:dyDescent="0.25"/>
    <row r="1767" s="21" customFormat="1" ht="15" customHeight="1" x14ac:dyDescent="0.25"/>
    <row r="1768" s="21" customFormat="1" ht="15" customHeight="1" x14ac:dyDescent="0.25"/>
    <row r="1769" s="21" customFormat="1" ht="15" customHeight="1" x14ac:dyDescent="0.25"/>
    <row r="1770" s="21" customFormat="1" ht="15" customHeight="1" x14ac:dyDescent="0.25"/>
    <row r="1771" s="21" customFormat="1" ht="15" customHeight="1" x14ac:dyDescent="0.25"/>
    <row r="1772" s="21" customFormat="1" ht="15" customHeight="1" x14ac:dyDescent="0.25"/>
    <row r="1773" s="21" customFormat="1" ht="15" customHeight="1" x14ac:dyDescent="0.25"/>
    <row r="1774" s="21" customFormat="1" ht="15" customHeight="1" x14ac:dyDescent="0.25"/>
    <row r="1775" s="21" customFormat="1" ht="15" customHeight="1" x14ac:dyDescent="0.25"/>
    <row r="1776" s="21" customFormat="1" ht="15" customHeight="1" x14ac:dyDescent="0.25"/>
    <row r="1777" s="21" customFormat="1" ht="15" customHeight="1" x14ac:dyDescent="0.25"/>
    <row r="1778" s="21" customFormat="1" ht="15" customHeight="1" x14ac:dyDescent="0.25"/>
    <row r="1779" s="21" customFormat="1" ht="15" customHeight="1" x14ac:dyDescent="0.25"/>
    <row r="1780" s="21" customFormat="1" ht="15" customHeight="1" x14ac:dyDescent="0.25"/>
    <row r="1781" s="21" customFormat="1" ht="15" customHeight="1" x14ac:dyDescent="0.25"/>
    <row r="1782" s="21" customFormat="1" ht="15" customHeight="1" x14ac:dyDescent="0.25"/>
    <row r="1783" s="21" customFormat="1" ht="15" customHeight="1" x14ac:dyDescent="0.25"/>
    <row r="1784" s="21" customFormat="1" ht="15" customHeight="1" x14ac:dyDescent="0.25"/>
    <row r="1785" s="21" customFormat="1" ht="15" customHeight="1" x14ac:dyDescent="0.25"/>
    <row r="1786" s="21" customFormat="1" ht="15" customHeight="1" x14ac:dyDescent="0.25"/>
    <row r="1787" s="21" customFormat="1" ht="15" customHeight="1" x14ac:dyDescent="0.25"/>
    <row r="1788" s="21" customFormat="1" ht="15" customHeight="1" x14ac:dyDescent="0.25"/>
    <row r="1789" s="21" customFormat="1" ht="15" customHeight="1" x14ac:dyDescent="0.25"/>
    <row r="1790" s="21" customFormat="1" ht="15" customHeight="1" x14ac:dyDescent="0.25"/>
    <row r="1791" s="21" customFormat="1" ht="15" customHeight="1" x14ac:dyDescent="0.25"/>
    <row r="1792" s="21" customFormat="1" ht="15" customHeight="1" x14ac:dyDescent="0.25"/>
    <row r="1793" s="21" customFormat="1" ht="15" customHeight="1" x14ac:dyDescent="0.25"/>
    <row r="1794" s="21" customFormat="1" ht="15" customHeight="1" x14ac:dyDescent="0.25"/>
    <row r="1795" s="21" customFormat="1" ht="15" customHeight="1" x14ac:dyDescent="0.25"/>
    <row r="1796" s="21" customFormat="1" ht="15" customHeight="1" x14ac:dyDescent="0.25"/>
    <row r="1797" s="21" customFormat="1" ht="15" customHeight="1" x14ac:dyDescent="0.25"/>
    <row r="1798" s="21" customFormat="1" ht="15" customHeight="1" x14ac:dyDescent="0.25"/>
    <row r="1799" s="21" customFormat="1" ht="15" customHeight="1" x14ac:dyDescent="0.25"/>
    <row r="1800" s="21" customFormat="1" ht="15" customHeight="1" x14ac:dyDescent="0.25"/>
    <row r="1801" s="21" customFormat="1" ht="15" customHeight="1" x14ac:dyDescent="0.25"/>
    <row r="1802" s="21" customFormat="1" ht="15" customHeight="1" x14ac:dyDescent="0.25"/>
    <row r="1803" s="21" customFormat="1" ht="15" customHeight="1" x14ac:dyDescent="0.25"/>
    <row r="1804" s="21" customFormat="1" ht="15" customHeight="1" x14ac:dyDescent="0.25"/>
    <row r="1805" s="21" customFormat="1" ht="15" customHeight="1" x14ac:dyDescent="0.25"/>
    <row r="1806" s="21" customFormat="1" ht="15" customHeight="1" x14ac:dyDescent="0.25"/>
    <row r="1807" s="21" customFormat="1" ht="15" customHeight="1" x14ac:dyDescent="0.25"/>
    <row r="1808" s="21" customFormat="1" ht="15" customHeight="1" x14ac:dyDescent="0.25"/>
    <row r="1809" s="21" customFormat="1" ht="15" customHeight="1" x14ac:dyDescent="0.25"/>
    <row r="1810" s="21" customFormat="1" ht="15" customHeight="1" x14ac:dyDescent="0.25"/>
    <row r="1811" s="21" customFormat="1" ht="15" customHeight="1" x14ac:dyDescent="0.25"/>
    <row r="1812" s="21" customFormat="1" ht="15" customHeight="1" x14ac:dyDescent="0.25"/>
    <row r="1813" s="21" customFormat="1" ht="15" customHeight="1" x14ac:dyDescent="0.25"/>
    <row r="1814" s="21" customFormat="1" ht="15" customHeight="1" x14ac:dyDescent="0.25"/>
    <row r="1815" s="21" customFormat="1" ht="15" customHeight="1" x14ac:dyDescent="0.25"/>
    <row r="1816" s="21" customFormat="1" ht="15" customHeight="1" x14ac:dyDescent="0.25"/>
    <row r="1817" s="21" customFormat="1" ht="15" customHeight="1" x14ac:dyDescent="0.25"/>
    <row r="1818" s="21" customFormat="1" ht="15" customHeight="1" x14ac:dyDescent="0.25"/>
    <row r="1819" s="21" customFormat="1" ht="15" customHeight="1" x14ac:dyDescent="0.25"/>
    <row r="1820" s="21" customFormat="1" ht="15" customHeight="1" x14ac:dyDescent="0.25"/>
    <row r="1821" s="21" customFormat="1" ht="15" customHeight="1" x14ac:dyDescent="0.25"/>
    <row r="1822" s="21" customFormat="1" ht="15" customHeight="1" x14ac:dyDescent="0.25"/>
    <row r="1823" s="21" customFormat="1" ht="15" customHeight="1" x14ac:dyDescent="0.25"/>
    <row r="1824" s="21" customFormat="1" ht="15" customHeight="1" x14ac:dyDescent="0.25"/>
    <row r="1825" s="21" customFormat="1" ht="15" customHeight="1" x14ac:dyDescent="0.25"/>
    <row r="1826" s="21" customFormat="1" ht="15" customHeight="1" x14ac:dyDescent="0.25"/>
    <row r="1827" s="21" customFormat="1" ht="15" customHeight="1" x14ac:dyDescent="0.25"/>
    <row r="1828" s="21" customFormat="1" ht="15" customHeight="1" x14ac:dyDescent="0.25"/>
    <row r="1829" s="21" customFormat="1" ht="15" customHeight="1" x14ac:dyDescent="0.25"/>
    <row r="1830" s="21" customFormat="1" ht="15" customHeight="1" x14ac:dyDescent="0.25"/>
    <row r="1831" s="21" customFormat="1" ht="15" customHeight="1" x14ac:dyDescent="0.25"/>
    <row r="1832" s="21" customFormat="1" ht="15" customHeight="1" x14ac:dyDescent="0.25"/>
    <row r="1833" s="21" customFormat="1" ht="15" customHeight="1" x14ac:dyDescent="0.25"/>
    <row r="1834" s="21" customFormat="1" ht="15" customHeight="1" x14ac:dyDescent="0.25"/>
    <row r="1835" s="21" customFormat="1" ht="15" customHeight="1" x14ac:dyDescent="0.25"/>
    <row r="1836" s="21" customFormat="1" ht="15" customHeight="1" x14ac:dyDescent="0.25"/>
    <row r="1837" s="21" customFormat="1" ht="15" customHeight="1" x14ac:dyDescent="0.25"/>
    <row r="1838" s="21" customFormat="1" ht="15" customHeight="1" x14ac:dyDescent="0.25"/>
    <row r="1839" s="21" customFormat="1" ht="15" customHeight="1" x14ac:dyDescent="0.25"/>
    <row r="1840" s="21" customFormat="1" ht="15" customHeight="1" x14ac:dyDescent="0.25"/>
    <row r="1841" s="21" customFormat="1" ht="15" customHeight="1" x14ac:dyDescent="0.25"/>
    <row r="1842" s="21" customFormat="1" ht="15" customHeight="1" x14ac:dyDescent="0.25"/>
    <row r="1843" s="21" customFormat="1" ht="15" customHeight="1" x14ac:dyDescent="0.25"/>
    <row r="1844" s="21" customFormat="1" ht="15" customHeight="1" x14ac:dyDescent="0.25"/>
    <row r="1845" s="21" customFormat="1" ht="15" customHeight="1" x14ac:dyDescent="0.25"/>
    <row r="1846" s="21" customFormat="1" ht="15" customHeight="1" x14ac:dyDescent="0.25"/>
    <row r="1847" s="21" customFormat="1" ht="15" customHeight="1" x14ac:dyDescent="0.25"/>
    <row r="1848" s="21" customFormat="1" ht="15" customHeight="1" x14ac:dyDescent="0.25"/>
    <row r="1849" s="21" customFormat="1" ht="15" customHeight="1" x14ac:dyDescent="0.25"/>
    <row r="1850" s="21" customFormat="1" ht="15" customHeight="1" x14ac:dyDescent="0.25"/>
    <row r="1851" s="21" customFormat="1" ht="15" customHeight="1" x14ac:dyDescent="0.25"/>
    <row r="1852" s="21" customFormat="1" ht="15" customHeight="1" x14ac:dyDescent="0.25"/>
    <row r="1853" s="21" customFormat="1" ht="15" customHeight="1" x14ac:dyDescent="0.25"/>
    <row r="1854" s="21" customFormat="1" ht="15" customHeight="1" x14ac:dyDescent="0.25"/>
    <row r="1855" s="21" customFormat="1" ht="15" customHeight="1" x14ac:dyDescent="0.25"/>
    <row r="1856" s="21" customFormat="1" ht="15" customHeight="1" x14ac:dyDescent="0.25"/>
    <row r="1857" s="21" customFormat="1" ht="15" customHeight="1" x14ac:dyDescent="0.25"/>
    <row r="1858" s="21" customFormat="1" ht="15" customHeight="1" x14ac:dyDescent="0.25"/>
    <row r="1859" s="21" customFormat="1" ht="15" customHeight="1" x14ac:dyDescent="0.25"/>
    <row r="1860" s="21" customFormat="1" ht="15" customHeight="1" x14ac:dyDescent="0.25"/>
    <row r="1861" s="21" customFormat="1" ht="15" customHeight="1" x14ac:dyDescent="0.25"/>
    <row r="1862" s="21" customFormat="1" ht="15" customHeight="1" x14ac:dyDescent="0.25"/>
    <row r="1863" s="21" customFormat="1" ht="15" customHeight="1" x14ac:dyDescent="0.25"/>
    <row r="1864" s="21" customFormat="1" ht="15" customHeight="1" x14ac:dyDescent="0.25"/>
    <row r="1865" s="21" customFormat="1" ht="15" customHeight="1" x14ac:dyDescent="0.25"/>
    <row r="1866" s="21" customFormat="1" ht="15" customHeight="1" x14ac:dyDescent="0.25"/>
    <row r="1867" s="21" customFormat="1" ht="15" customHeight="1" x14ac:dyDescent="0.25"/>
    <row r="1868" s="21" customFormat="1" ht="15" customHeight="1" x14ac:dyDescent="0.25"/>
    <row r="1869" s="21" customFormat="1" ht="15" customHeight="1" x14ac:dyDescent="0.25"/>
    <row r="1870" s="21" customFormat="1" ht="15" customHeight="1" x14ac:dyDescent="0.25"/>
    <row r="1871" s="21" customFormat="1" ht="15" customHeight="1" x14ac:dyDescent="0.25"/>
    <row r="1872" s="21" customFormat="1" ht="15" customHeight="1" x14ac:dyDescent="0.25"/>
    <row r="1873" s="21" customFormat="1" ht="15" customHeight="1" x14ac:dyDescent="0.25"/>
    <row r="1874" s="21" customFormat="1" ht="15" customHeight="1" x14ac:dyDescent="0.25"/>
    <row r="1875" s="21" customFormat="1" ht="15" customHeight="1" x14ac:dyDescent="0.25"/>
    <row r="1876" s="21" customFormat="1" ht="15" customHeight="1" x14ac:dyDescent="0.25"/>
    <row r="1877" s="21" customFormat="1" ht="15" customHeight="1" x14ac:dyDescent="0.25"/>
    <row r="1878" s="21" customFormat="1" ht="15" customHeight="1" x14ac:dyDescent="0.25"/>
    <row r="1879" s="21" customFormat="1" ht="15" customHeight="1" x14ac:dyDescent="0.25"/>
    <row r="1880" s="21" customFormat="1" ht="15" customHeight="1" x14ac:dyDescent="0.25"/>
    <row r="1881" s="21" customFormat="1" ht="15" customHeight="1" x14ac:dyDescent="0.25"/>
    <row r="1882" s="21" customFormat="1" ht="15" customHeight="1" x14ac:dyDescent="0.25"/>
    <row r="1883" s="21" customFormat="1" ht="15" customHeight="1" x14ac:dyDescent="0.25"/>
    <row r="1884" s="21" customFormat="1" ht="15" customHeight="1" x14ac:dyDescent="0.25"/>
    <row r="1885" s="21" customFormat="1" ht="15" customHeight="1" x14ac:dyDescent="0.25"/>
    <row r="1886" s="21" customFormat="1" ht="15" customHeight="1" x14ac:dyDescent="0.25"/>
    <row r="1887" s="21" customFormat="1" ht="15" customHeight="1" x14ac:dyDescent="0.25"/>
    <row r="1888" s="21" customFormat="1" ht="15" customHeight="1" x14ac:dyDescent="0.25"/>
    <row r="1889" s="21" customFormat="1" ht="15" customHeight="1" x14ac:dyDescent="0.25"/>
    <row r="1890" s="21" customFormat="1" ht="15" customHeight="1" x14ac:dyDescent="0.25"/>
    <row r="1891" s="21" customFormat="1" ht="15" customHeight="1" x14ac:dyDescent="0.25"/>
    <row r="1892" s="21" customFormat="1" ht="15" customHeight="1" x14ac:dyDescent="0.25"/>
    <row r="1893" s="21" customFormat="1" ht="15" customHeight="1" x14ac:dyDescent="0.25"/>
    <row r="1894" s="21" customFormat="1" ht="15" customHeight="1" x14ac:dyDescent="0.25"/>
    <row r="1895" s="21" customFormat="1" ht="15" customHeight="1" x14ac:dyDescent="0.25"/>
    <row r="1896" s="21" customFormat="1" ht="15" customHeight="1" x14ac:dyDescent="0.25"/>
    <row r="1897" s="21" customFormat="1" ht="15" customHeight="1" x14ac:dyDescent="0.25"/>
    <row r="1898" s="21" customFormat="1" ht="15" customHeight="1" x14ac:dyDescent="0.25"/>
    <row r="1899" s="21" customFormat="1" ht="15" customHeight="1" x14ac:dyDescent="0.25"/>
    <row r="1900" s="21" customFormat="1" ht="15" customHeight="1" x14ac:dyDescent="0.25"/>
    <row r="1901" s="21" customFormat="1" ht="15" customHeight="1" x14ac:dyDescent="0.25"/>
    <row r="1902" s="21" customFormat="1" ht="15" customHeight="1" x14ac:dyDescent="0.25"/>
    <row r="1903" s="21" customFormat="1" ht="15" customHeight="1" x14ac:dyDescent="0.25"/>
    <row r="1904" s="21" customFormat="1" ht="15" customHeight="1" x14ac:dyDescent="0.25"/>
    <row r="1905" s="21" customFormat="1" ht="15" customHeight="1" x14ac:dyDescent="0.25"/>
    <row r="1906" s="21" customFormat="1" ht="15" customHeight="1" x14ac:dyDescent="0.25"/>
    <row r="1907" s="21" customFormat="1" ht="15" customHeight="1" x14ac:dyDescent="0.25"/>
    <row r="1908" s="21" customFormat="1" ht="15" customHeight="1" x14ac:dyDescent="0.25"/>
    <row r="1909" s="21" customFormat="1" ht="15" customHeight="1" x14ac:dyDescent="0.25"/>
    <row r="1910" s="21" customFormat="1" ht="15" customHeight="1" x14ac:dyDescent="0.25"/>
    <row r="1911" s="21" customFormat="1" ht="15" customHeight="1" x14ac:dyDescent="0.25"/>
    <row r="1912" s="21" customFormat="1" ht="15" customHeight="1" x14ac:dyDescent="0.25"/>
    <row r="1913" s="21" customFormat="1" ht="15" customHeight="1" x14ac:dyDescent="0.25"/>
    <row r="1914" s="21" customFormat="1" ht="15" customHeight="1" x14ac:dyDescent="0.25"/>
    <row r="1915" s="21" customFormat="1" ht="15" customHeight="1" x14ac:dyDescent="0.25"/>
    <row r="1916" s="21" customFormat="1" ht="15" customHeight="1" x14ac:dyDescent="0.25"/>
    <row r="1917" s="21" customFormat="1" ht="15" customHeight="1" x14ac:dyDescent="0.25"/>
    <row r="1918" s="21" customFormat="1" ht="15" customHeight="1" x14ac:dyDescent="0.25"/>
    <row r="1919" s="21" customFormat="1" ht="15" customHeight="1" x14ac:dyDescent="0.25"/>
    <row r="1920" s="21" customFormat="1" ht="15" customHeight="1" x14ac:dyDescent="0.25"/>
    <row r="1921" s="21" customFormat="1" ht="15" customHeight="1" x14ac:dyDescent="0.25"/>
    <row r="1922" s="21" customFormat="1" ht="15" customHeight="1" x14ac:dyDescent="0.25"/>
    <row r="1923" s="21" customFormat="1" ht="15" customHeight="1" x14ac:dyDescent="0.25"/>
    <row r="1924" s="21" customFormat="1" ht="15" customHeight="1" x14ac:dyDescent="0.25"/>
    <row r="1925" s="21" customFormat="1" ht="15" customHeight="1" x14ac:dyDescent="0.25"/>
    <row r="1926" s="21" customFormat="1" ht="15" customHeight="1" x14ac:dyDescent="0.25"/>
    <row r="1927" s="21" customFormat="1" ht="15" customHeight="1" x14ac:dyDescent="0.25"/>
    <row r="1928" s="21" customFormat="1" ht="15" customHeight="1" x14ac:dyDescent="0.25"/>
    <row r="1929" s="21" customFormat="1" ht="15" customHeight="1" x14ac:dyDescent="0.25"/>
    <row r="1930" s="21" customFormat="1" ht="15" customHeight="1" x14ac:dyDescent="0.25"/>
    <row r="1931" s="21" customFormat="1" ht="15" customHeight="1" x14ac:dyDescent="0.25"/>
    <row r="1932" s="21" customFormat="1" ht="15" customHeight="1" x14ac:dyDescent="0.25"/>
    <row r="1933" s="21" customFormat="1" ht="15" customHeight="1" x14ac:dyDescent="0.25"/>
    <row r="1934" s="21" customFormat="1" ht="15" customHeight="1" x14ac:dyDescent="0.25"/>
    <row r="1935" s="21" customFormat="1" ht="15" customHeight="1" x14ac:dyDescent="0.25"/>
    <row r="1936" s="21" customFormat="1" ht="15" customHeight="1" x14ac:dyDescent="0.25"/>
    <row r="1937" s="21" customFormat="1" ht="15" customHeight="1" x14ac:dyDescent="0.25"/>
    <row r="1938" s="21" customFormat="1" ht="15" customHeight="1" x14ac:dyDescent="0.25"/>
    <row r="1939" s="21" customFormat="1" ht="15" customHeight="1" x14ac:dyDescent="0.25"/>
    <row r="1940" s="21" customFormat="1" ht="15" customHeight="1" x14ac:dyDescent="0.25"/>
    <row r="1941" s="21" customFormat="1" ht="15" customHeight="1" x14ac:dyDescent="0.25"/>
    <row r="1942" s="21" customFormat="1" ht="15" customHeight="1" x14ac:dyDescent="0.25"/>
    <row r="1943" s="21" customFormat="1" ht="15" customHeight="1" x14ac:dyDescent="0.25"/>
    <row r="1944" s="21" customFormat="1" ht="15" customHeight="1" x14ac:dyDescent="0.25"/>
    <row r="1945" s="21" customFormat="1" ht="15" customHeight="1" x14ac:dyDescent="0.25"/>
    <row r="1946" s="21" customFormat="1" ht="15" customHeight="1" x14ac:dyDescent="0.25"/>
    <row r="1947" s="21" customFormat="1" ht="15" customHeight="1" x14ac:dyDescent="0.25"/>
    <row r="1948" s="21" customFormat="1" ht="15" customHeight="1" x14ac:dyDescent="0.25"/>
    <row r="1949" s="21" customFormat="1" ht="15" customHeight="1" x14ac:dyDescent="0.25"/>
    <row r="1950" s="21" customFormat="1" ht="15" customHeight="1" x14ac:dyDescent="0.25"/>
    <row r="1951" s="21" customFormat="1" ht="15" customHeight="1" x14ac:dyDescent="0.25"/>
    <row r="1952" s="21" customFormat="1" ht="15" customHeight="1" x14ac:dyDescent="0.25"/>
    <row r="1953" s="21" customFormat="1" ht="15" customHeight="1" x14ac:dyDescent="0.25"/>
    <row r="1954" s="21" customFormat="1" ht="15" customHeight="1" x14ac:dyDescent="0.25"/>
    <row r="1955" s="21" customFormat="1" ht="15" customHeight="1" x14ac:dyDescent="0.25"/>
    <row r="1956" s="21" customFormat="1" ht="15" customHeight="1" x14ac:dyDescent="0.25"/>
    <row r="1957" s="21" customFormat="1" ht="15" customHeight="1" x14ac:dyDescent="0.25"/>
    <row r="1958" s="21" customFormat="1" ht="15" customHeight="1" x14ac:dyDescent="0.25"/>
    <row r="1959" s="21" customFormat="1" ht="15" customHeight="1" x14ac:dyDescent="0.25"/>
    <row r="1960" s="21" customFormat="1" ht="15" customHeight="1" x14ac:dyDescent="0.25"/>
    <row r="1961" s="21" customFormat="1" ht="15" customHeight="1" x14ac:dyDescent="0.25"/>
    <row r="1962" s="21" customFormat="1" ht="15" customHeight="1" x14ac:dyDescent="0.25"/>
    <row r="1963" s="21" customFormat="1" ht="15" customHeight="1" x14ac:dyDescent="0.25"/>
    <row r="1964" s="21" customFormat="1" ht="15" customHeight="1" x14ac:dyDescent="0.25"/>
    <row r="1965" s="21" customFormat="1" ht="15" customHeight="1" x14ac:dyDescent="0.25"/>
    <row r="1966" s="21" customFormat="1" ht="15" customHeight="1" x14ac:dyDescent="0.25"/>
    <row r="1967" s="21" customFormat="1" ht="15" customHeight="1" x14ac:dyDescent="0.25"/>
    <row r="1968" s="21" customFormat="1" ht="15" customHeight="1" x14ac:dyDescent="0.25"/>
    <row r="1969" s="21" customFormat="1" ht="15" customHeight="1" x14ac:dyDescent="0.25"/>
    <row r="1970" s="21" customFormat="1" ht="15" customHeight="1" x14ac:dyDescent="0.25"/>
    <row r="1971" s="21" customFormat="1" ht="15" customHeight="1" x14ac:dyDescent="0.25"/>
    <row r="1972" s="21" customFormat="1" ht="15" customHeight="1" x14ac:dyDescent="0.25"/>
    <row r="1973" s="21" customFormat="1" ht="15" customHeight="1" x14ac:dyDescent="0.25"/>
    <row r="1974" s="21" customFormat="1" ht="15" customHeight="1" x14ac:dyDescent="0.25"/>
    <row r="1975" s="21" customFormat="1" ht="15" customHeight="1" x14ac:dyDescent="0.25"/>
    <row r="1976" s="21" customFormat="1" ht="15" customHeight="1" x14ac:dyDescent="0.25"/>
    <row r="1977" s="21" customFormat="1" ht="15" customHeight="1" x14ac:dyDescent="0.25"/>
    <row r="1978" s="21" customFormat="1" ht="15" customHeight="1" x14ac:dyDescent="0.25"/>
    <row r="1979" s="21" customFormat="1" ht="15" customHeight="1" x14ac:dyDescent="0.25"/>
    <row r="1980" s="21" customFormat="1" ht="15" customHeight="1" x14ac:dyDescent="0.25"/>
    <row r="1981" s="21" customFormat="1" ht="15" customHeight="1" x14ac:dyDescent="0.25"/>
    <row r="1982" s="21" customFormat="1" ht="15" customHeight="1" x14ac:dyDescent="0.25"/>
    <row r="1983" s="21" customFormat="1" ht="15" customHeight="1" x14ac:dyDescent="0.25"/>
    <row r="1984" s="21" customFormat="1" ht="15" customHeight="1" x14ac:dyDescent="0.25"/>
    <row r="1985" s="21" customFormat="1" ht="15" customHeight="1" x14ac:dyDescent="0.25"/>
    <row r="1986" s="21" customFormat="1" ht="15" customHeight="1" x14ac:dyDescent="0.25"/>
    <row r="1987" s="21" customFormat="1" ht="15" customHeight="1" x14ac:dyDescent="0.25"/>
    <row r="1988" s="21" customFormat="1" ht="15" customHeight="1" x14ac:dyDescent="0.25"/>
    <row r="1989" s="21" customFormat="1" ht="15" customHeight="1" x14ac:dyDescent="0.25"/>
    <row r="1990" s="21" customFormat="1" ht="15" customHeight="1" x14ac:dyDescent="0.25"/>
    <row r="1991" s="21" customFormat="1" ht="15" customHeight="1" x14ac:dyDescent="0.25"/>
    <row r="1992" s="21" customFormat="1" ht="15" customHeight="1" x14ac:dyDescent="0.25"/>
    <row r="1993" s="21" customFormat="1" ht="15" customHeight="1" x14ac:dyDescent="0.25"/>
    <row r="1994" s="21" customFormat="1" ht="15" customHeight="1" x14ac:dyDescent="0.25"/>
    <row r="1995" s="21" customFormat="1" ht="15" customHeight="1" x14ac:dyDescent="0.25"/>
    <row r="1996" s="21" customFormat="1" ht="15" customHeight="1" x14ac:dyDescent="0.25"/>
    <row r="1997" s="21" customFormat="1" ht="15" customHeight="1" x14ac:dyDescent="0.25"/>
    <row r="1998" s="21" customFormat="1" ht="15" customHeight="1" x14ac:dyDescent="0.25"/>
    <row r="1999" s="21" customFormat="1" ht="15" customHeight="1" x14ac:dyDescent="0.25"/>
    <row r="2000" s="21" customFormat="1" ht="15" customHeight="1" x14ac:dyDescent="0.25"/>
    <row r="2001" s="21" customFormat="1" ht="15" customHeight="1" x14ac:dyDescent="0.25"/>
    <row r="2002" s="21" customFormat="1" ht="15" customHeight="1" x14ac:dyDescent="0.25"/>
    <row r="2003" s="21" customFormat="1" ht="15" customHeight="1" x14ac:dyDescent="0.25"/>
    <row r="2004" s="21" customFormat="1" ht="15" customHeight="1" x14ac:dyDescent="0.25"/>
    <row r="2005" s="21" customFormat="1" ht="15" customHeight="1" x14ac:dyDescent="0.25"/>
    <row r="2006" s="21" customFormat="1" ht="15" customHeight="1" x14ac:dyDescent="0.25"/>
    <row r="2007" s="21" customFormat="1" ht="15" customHeight="1" x14ac:dyDescent="0.25"/>
    <row r="2008" s="21" customFormat="1" ht="15" customHeight="1" x14ac:dyDescent="0.25"/>
    <row r="2009" s="21" customFormat="1" ht="15" customHeight="1" x14ac:dyDescent="0.25"/>
    <row r="2010" s="21" customFormat="1" ht="15" customHeight="1" x14ac:dyDescent="0.25"/>
    <row r="2011" s="21" customFormat="1" ht="15" customHeight="1" x14ac:dyDescent="0.25"/>
    <row r="2012" s="21" customFormat="1" ht="15" customHeight="1" x14ac:dyDescent="0.25"/>
    <row r="2013" s="21" customFormat="1" ht="15" customHeight="1" x14ac:dyDescent="0.25"/>
    <row r="2014" s="21" customFormat="1" ht="15" customHeight="1" x14ac:dyDescent="0.25"/>
    <row r="2015" s="21" customFormat="1" ht="15" customHeight="1" x14ac:dyDescent="0.25"/>
    <row r="2016" s="21" customFormat="1" ht="15" customHeight="1" x14ac:dyDescent="0.25"/>
    <row r="2017" s="21" customFormat="1" ht="15" customHeight="1" x14ac:dyDescent="0.25"/>
    <row r="2018" s="21" customFormat="1" ht="15" customHeight="1" x14ac:dyDescent="0.25"/>
    <row r="2019" s="21" customFormat="1" ht="15" customHeight="1" x14ac:dyDescent="0.25"/>
    <row r="2020" s="21" customFormat="1" ht="15" customHeight="1" x14ac:dyDescent="0.25"/>
    <row r="2021" s="21" customFormat="1" ht="15" customHeight="1" x14ac:dyDescent="0.25"/>
    <row r="2022" s="21" customFormat="1" ht="15" customHeight="1" x14ac:dyDescent="0.25"/>
    <row r="2023" s="21" customFormat="1" ht="15" customHeight="1" x14ac:dyDescent="0.25"/>
    <row r="2024" s="21" customFormat="1" ht="15" customHeight="1" x14ac:dyDescent="0.25"/>
    <row r="2025" s="21" customFormat="1" ht="15" customHeight="1" x14ac:dyDescent="0.25"/>
    <row r="2026" s="21" customFormat="1" ht="15" customHeight="1" x14ac:dyDescent="0.25"/>
    <row r="2027" s="21" customFormat="1" ht="15" customHeight="1" x14ac:dyDescent="0.25"/>
    <row r="2028" s="21" customFormat="1" ht="15" customHeight="1" x14ac:dyDescent="0.25"/>
    <row r="2029" s="21" customFormat="1" ht="15" customHeight="1" x14ac:dyDescent="0.25"/>
    <row r="2030" s="21" customFormat="1" ht="15" customHeight="1" x14ac:dyDescent="0.25"/>
    <row r="2031" s="21" customFormat="1" ht="15" customHeight="1" x14ac:dyDescent="0.25"/>
    <row r="2032" s="21" customFormat="1" ht="15" customHeight="1" x14ac:dyDescent="0.25"/>
    <row r="2033" s="21" customFormat="1" ht="15" customHeight="1" x14ac:dyDescent="0.25"/>
    <row r="2034" s="21" customFormat="1" ht="15" customHeight="1" x14ac:dyDescent="0.25"/>
    <row r="2035" s="21" customFormat="1" ht="15" customHeight="1" x14ac:dyDescent="0.25"/>
    <row r="2036" s="21" customFormat="1" ht="15" customHeight="1" x14ac:dyDescent="0.25"/>
    <row r="2037" s="21" customFormat="1" ht="15" customHeight="1" x14ac:dyDescent="0.25"/>
    <row r="2038" s="21" customFormat="1" ht="15" customHeight="1" x14ac:dyDescent="0.25"/>
    <row r="2039" s="21" customFormat="1" ht="15" customHeight="1" x14ac:dyDescent="0.25"/>
    <row r="2040" s="21" customFormat="1" ht="15" customHeight="1" x14ac:dyDescent="0.25"/>
    <row r="2041" s="21" customFormat="1" ht="15" customHeight="1" x14ac:dyDescent="0.25"/>
    <row r="2042" s="21" customFormat="1" ht="15" customHeight="1" x14ac:dyDescent="0.25"/>
    <row r="2043" s="21" customFormat="1" ht="15" customHeight="1" x14ac:dyDescent="0.25"/>
    <row r="2044" s="21" customFormat="1" ht="15" customHeight="1" x14ac:dyDescent="0.25"/>
    <row r="2045" s="21" customFormat="1" ht="15" customHeight="1" x14ac:dyDescent="0.25"/>
    <row r="2046" s="21" customFormat="1" ht="15" customHeight="1" x14ac:dyDescent="0.25"/>
    <row r="2047" s="21" customFormat="1" ht="15" customHeight="1" x14ac:dyDescent="0.25"/>
    <row r="2048" s="21" customFormat="1" ht="15" customHeight="1" x14ac:dyDescent="0.25"/>
    <row r="2049" s="21" customFormat="1" ht="15" customHeight="1" x14ac:dyDescent="0.25"/>
    <row r="2050" s="21" customFormat="1" ht="15" customHeight="1" x14ac:dyDescent="0.25"/>
    <row r="2051" s="21" customFormat="1" ht="15" customHeight="1" x14ac:dyDescent="0.25"/>
    <row r="2052" s="21" customFormat="1" ht="15" customHeight="1" x14ac:dyDescent="0.25"/>
    <row r="2053" s="21" customFormat="1" ht="15" customHeight="1" x14ac:dyDescent="0.25"/>
    <row r="2054" s="21" customFormat="1" ht="15" customHeight="1" x14ac:dyDescent="0.25"/>
    <row r="2055" s="21" customFormat="1" ht="15" customHeight="1" x14ac:dyDescent="0.25"/>
    <row r="2056" s="21" customFormat="1" ht="15" customHeight="1" x14ac:dyDescent="0.25"/>
    <row r="2057" s="21" customFormat="1" ht="15" customHeight="1" x14ac:dyDescent="0.25"/>
    <row r="2058" s="21" customFormat="1" ht="15" customHeight="1" x14ac:dyDescent="0.25"/>
    <row r="2059" s="21" customFormat="1" ht="15" customHeight="1" x14ac:dyDescent="0.25"/>
    <row r="2060" s="21" customFormat="1" ht="15" customHeight="1" x14ac:dyDescent="0.25"/>
    <row r="2061" s="21" customFormat="1" ht="15" customHeight="1" x14ac:dyDescent="0.25"/>
    <row r="2062" s="21" customFormat="1" ht="15" customHeight="1" x14ac:dyDescent="0.25"/>
    <row r="2063" s="21" customFormat="1" ht="15" customHeight="1" x14ac:dyDescent="0.25"/>
    <row r="2064" s="21" customFormat="1" ht="15" customHeight="1" x14ac:dyDescent="0.25"/>
    <row r="2065" s="21" customFormat="1" ht="15" customHeight="1" x14ac:dyDescent="0.25"/>
    <row r="2066" s="21" customFormat="1" ht="15" customHeight="1" x14ac:dyDescent="0.25"/>
    <row r="2067" s="21" customFormat="1" ht="15" customHeight="1" x14ac:dyDescent="0.25"/>
    <row r="2068" s="21" customFormat="1" ht="15" customHeight="1" x14ac:dyDescent="0.25"/>
    <row r="2069" s="21" customFormat="1" ht="15" customHeight="1" x14ac:dyDescent="0.25"/>
    <row r="2070" s="21" customFormat="1" ht="15" customHeight="1" x14ac:dyDescent="0.25"/>
    <row r="2071" s="21" customFormat="1" ht="15" customHeight="1" x14ac:dyDescent="0.25"/>
    <row r="2072" s="21" customFormat="1" ht="15" customHeight="1" x14ac:dyDescent="0.25"/>
    <row r="2073" s="21" customFormat="1" ht="15" customHeight="1" x14ac:dyDescent="0.25"/>
    <row r="2074" s="21" customFormat="1" ht="15" customHeight="1" x14ac:dyDescent="0.25"/>
    <row r="2075" s="21" customFormat="1" ht="15" customHeight="1" x14ac:dyDescent="0.25"/>
    <row r="2076" s="21" customFormat="1" ht="15" customHeight="1" x14ac:dyDescent="0.25"/>
    <row r="2077" s="21" customFormat="1" ht="15" customHeight="1" x14ac:dyDescent="0.25"/>
    <row r="2078" s="21" customFormat="1" ht="15" customHeight="1" x14ac:dyDescent="0.25"/>
    <row r="2079" s="21" customFormat="1" ht="15" customHeight="1" x14ac:dyDescent="0.25"/>
    <row r="2080" s="21" customFormat="1" ht="15" customHeight="1" x14ac:dyDescent="0.25"/>
    <row r="2081" s="21" customFormat="1" ht="15" customHeight="1" x14ac:dyDescent="0.25"/>
    <row r="2082" s="21" customFormat="1" ht="15" customHeight="1" x14ac:dyDescent="0.25"/>
    <row r="2083" s="21" customFormat="1" ht="15" customHeight="1" x14ac:dyDescent="0.25"/>
    <row r="2084" s="21" customFormat="1" ht="15" customHeight="1" x14ac:dyDescent="0.25"/>
    <row r="2085" s="21" customFormat="1" ht="15" customHeight="1" x14ac:dyDescent="0.25"/>
    <row r="2086" s="21" customFormat="1" ht="15" customHeight="1" x14ac:dyDescent="0.25"/>
    <row r="2087" s="21" customFormat="1" ht="15" customHeight="1" x14ac:dyDescent="0.25"/>
    <row r="2088" s="21" customFormat="1" ht="15" customHeight="1" x14ac:dyDescent="0.25"/>
    <row r="2089" s="21" customFormat="1" ht="15" customHeight="1" x14ac:dyDescent="0.25"/>
    <row r="2090" s="21" customFormat="1" ht="15" customHeight="1" x14ac:dyDescent="0.25"/>
    <row r="2091" s="21" customFormat="1" ht="15" customHeight="1" x14ac:dyDescent="0.25"/>
    <row r="2092" s="21" customFormat="1" ht="15" customHeight="1" x14ac:dyDescent="0.25"/>
    <row r="2093" s="21" customFormat="1" ht="15" customHeight="1" x14ac:dyDescent="0.25"/>
    <row r="2094" s="21" customFormat="1" ht="15" customHeight="1" x14ac:dyDescent="0.25"/>
    <row r="2095" s="21" customFormat="1" ht="15" customHeight="1" x14ac:dyDescent="0.25"/>
    <row r="2096" s="21" customFormat="1" ht="15" customHeight="1" x14ac:dyDescent="0.25"/>
    <row r="2097" s="21" customFormat="1" ht="15" customHeight="1" x14ac:dyDescent="0.25"/>
    <row r="2098" s="21" customFormat="1" ht="15" customHeight="1" x14ac:dyDescent="0.25"/>
    <row r="2099" s="21" customFormat="1" ht="15" customHeight="1" x14ac:dyDescent="0.25"/>
    <row r="2100" s="21" customFormat="1" ht="15" customHeight="1" x14ac:dyDescent="0.25"/>
    <row r="2101" s="21" customFormat="1" ht="15" customHeight="1" x14ac:dyDescent="0.25"/>
    <row r="2102" s="21" customFormat="1" ht="15" customHeight="1" x14ac:dyDescent="0.25"/>
    <row r="2103" s="21" customFormat="1" ht="15" customHeight="1" x14ac:dyDescent="0.25"/>
    <row r="2104" s="21" customFormat="1" ht="15" customHeight="1" x14ac:dyDescent="0.25"/>
    <row r="2105" s="21" customFormat="1" ht="15" customHeight="1" x14ac:dyDescent="0.25"/>
    <row r="2106" s="21" customFormat="1" ht="15" customHeight="1" x14ac:dyDescent="0.25"/>
    <row r="2107" s="21" customFormat="1" ht="15" customHeight="1" x14ac:dyDescent="0.25"/>
    <row r="2108" s="21" customFormat="1" ht="15" customHeight="1" x14ac:dyDescent="0.25"/>
    <row r="2109" s="21" customFormat="1" ht="15" customHeight="1" x14ac:dyDescent="0.25"/>
    <row r="2110" s="21" customFormat="1" ht="15" customHeight="1" x14ac:dyDescent="0.25"/>
    <row r="2111" s="21" customFormat="1" ht="15" customHeight="1" x14ac:dyDescent="0.25"/>
    <row r="2112" s="21" customFormat="1" ht="15" customHeight="1" x14ac:dyDescent="0.25"/>
    <row r="2113" s="21" customFormat="1" ht="15" customHeight="1" x14ac:dyDescent="0.25"/>
    <row r="2114" s="21" customFormat="1" ht="15" customHeight="1" x14ac:dyDescent="0.25"/>
    <row r="2115" s="21" customFormat="1" ht="15" customHeight="1" x14ac:dyDescent="0.25"/>
    <row r="2116" s="21" customFormat="1" ht="15" customHeight="1" x14ac:dyDescent="0.25"/>
    <row r="2117" s="21" customFormat="1" ht="15" customHeight="1" x14ac:dyDescent="0.25"/>
    <row r="2118" s="21" customFormat="1" ht="15" customHeight="1" x14ac:dyDescent="0.25"/>
    <row r="2119" s="21" customFormat="1" ht="15" customHeight="1" x14ac:dyDescent="0.25"/>
    <row r="2120" s="21" customFormat="1" ht="15" customHeight="1" x14ac:dyDescent="0.25"/>
    <row r="2121" s="21" customFormat="1" ht="15" customHeight="1" x14ac:dyDescent="0.25"/>
    <row r="2122" s="21" customFormat="1" ht="15" customHeight="1" x14ac:dyDescent="0.25"/>
    <row r="2123" s="21" customFormat="1" ht="15" customHeight="1" x14ac:dyDescent="0.25"/>
    <row r="2124" s="21" customFormat="1" ht="15" customHeight="1" x14ac:dyDescent="0.25"/>
    <row r="2125" s="21" customFormat="1" ht="15" customHeight="1" x14ac:dyDescent="0.25"/>
    <row r="2126" s="21" customFormat="1" ht="15" customHeight="1" x14ac:dyDescent="0.25"/>
    <row r="2127" s="21" customFormat="1" ht="15" customHeight="1" x14ac:dyDescent="0.25"/>
    <row r="2128" s="21" customFormat="1" ht="15" customHeight="1" x14ac:dyDescent="0.25"/>
    <row r="2129" s="21" customFormat="1" ht="15" customHeight="1" x14ac:dyDescent="0.25"/>
    <row r="2130" s="21" customFormat="1" ht="15" customHeight="1" x14ac:dyDescent="0.25"/>
    <row r="2131" s="21" customFormat="1" ht="15" customHeight="1" x14ac:dyDescent="0.25"/>
    <row r="2132" s="21" customFormat="1" ht="15" customHeight="1" x14ac:dyDescent="0.25"/>
    <row r="2133" s="21" customFormat="1" ht="15" customHeight="1" x14ac:dyDescent="0.25"/>
    <row r="2134" s="21" customFormat="1" ht="15" customHeight="1" x14ac:dyDescent="0.25"/>
    <row r="2135" s="21" customFormat="1" ht="15" customHeight="1" x14ac:dyDescent="0.25"/>
    <row r="2136" s="21" customFormat="1" ht="15" customHeight="1" x14ac:dyDescent="0.25"/>
    <row r="2137" s="21" customFormat="1" ht="15" customHeight="1" x14ac:dyDescent="0.25"/>
    <row r="2138" s="21" customFormat="1" ht="15" customHeight="1" x14ac:dyDescent="0.25"/>
    <row r="2139" s="21" customFormat="1" ht="15" customHeight="1" x14ac:dyDescent="0.25"/>
    <row r="2140" s="21" customFormat="1" ht="15" customHeight="1" x14ac:dyDescent="0.25"/>
    <row r="2141" s="21" customFormat="1" ht="15" customHeight="1" x14ac:dyDescent="0.25"/>
    <row r="2142" s="21" customFormat="1" ht="15" customHeight="1" x14ac:dyDescent="0.25"/>
    <row r="2143" s="21" customFormat="1" ht="15" customHeight="1" x14ac:dyDescent="0.25"/>
    <row r="2144" s="21" customFormat="1" ht="15" customHeight="1" x14ac:dyDescent="0.25"/>
    <row r="2145" s="21" customFormat="1" ht="15" customHeight="1" x14ac:dyDescent="0.25"/>
    <row r="2146" s="21" customFormat="1" ht="15" customHeight="1" x14ac:dyDescent="0.25"/>
    <row r="2147" s="21" customFormat="1" ht="15" customHeight="1" x14ac:dyDescent="0.25"/>
    <row r="2148" s="21" customFormat="1" ht="15" customHeight="1" x14ac:dyDescent="0.25"/>
    <row r="2149" s="21" customFormat="1" ht="15" customHeight="1" x14ac:dyDescent="0.25"/>
    <row r="2150" s="21" customFormat="1" ht="15" customHeight="1" x14ac:dyDescent="0.25"/>
    <row r="2151" s="21" customFormat="1" ht="15" customHeight="1" x14ac:dyDescent="0.25"/>
    <row r="2152" s="21" customFormat="1" ht="15" customHeight="1" x14ac:dyDescent="0.25"/>
    <row r="2153" s="21" customFormat="1" ht="15" customHeight="1" x14ac:dyDescent="0.25"/>
    <row r="2154" s="21" customFormat="1" ht="15" customHeight="1" x14ac:dyDescent="0.25"/>
    <row r="2155" s="21" customFormat="1" ht="15" customHeight="1" x14ac:dyDescent="0.25"/>
    <row r="2156" s="21" customFormat="1" ht="15" customHeight="1" x14ac:dyDescent="0.25"/>
    <row r="2157" s="21" customFormat="1" ht="15" customHeight="1" x14ac:dyDescent="0.25"/>
    <row r="2158" s="21" customFormat="1" ht="15" customHeight="1" x14ac:dyDescent="0.25"/>
    <row r="2159" s="21" customFormat="1" ht="15" customHeight="1" x14ac:dyDescent="0.25"/>
    <row r="2160" s="21" customFormat="1" ht="15" customHeight="1" x14ac:dyDescent="0.25"/>
    <row r="2161" s="21" customFormat="1" ht="15" customHeight="1" x14ac:dyDescent="0.25"/>
    <row r="2162" s="21" customFormat="1" ht="15" customHeight="1" x14ac:dyDescent="0.25"/>
    <row r="2163" s="21" customFormat="1" ht="15" customHeight="1" x14ac:dyDescent="0.25"/>
    <row r="2164" s="21" customFormat="1" ht="15" customHeight="1" x14ac:dyDescent="0.25"/>
    <row r="2165" s="21" customFormat="1" ht="15" customHeight="1" x14ac:dyDescent="0.25"/>
    <row r="2166" s="21" customFormat="1" ht="15" customHeight="1" x14ac:dyDescent="0.25"/>
    <row r="2167" s="21" customFormat="1" ht="15" customHeight="1" x14ac:dyDescent="0.25"/>
    <row r="2168" s="21" customFormat="1" ht="15" customHeight="1" x14ac:dyDescent="0.25"/>
    <row r="2169" s="21" customFormat="1" ht="15" customHeight="1" x14ac:dyDescent="0.25"/>
    <row r="2170" s="21" customFormat="1" ht="15" customHeight="1" x14ac:dyDescent="0.25"/>
    <row r="2171" s="21" customFormat="1" ht="15" customHeight="1" x14ac:dyDescent="0.25"/>
    <row r="2172" s="21" customFormat="1" ht="15" customHeight="1" x14ac:dyDescent="0.25"/>
    <row r="2173" s="21" customFormat="1" ht="15" customHeight="1" x14ac:dyDescent="0.25"/>
    <row r="2174" s="21" customFormat="1" ht="15" customHeight="1" x14ac:dyDescent="0.25"/>
    <row r="2175" s="21" customFormat="1" ht="15" customHeight="1" x14ac:dyDescent="0.25"/>
    <row r="2176" s="21" customFormat="1" ht="15" customHeight="1" x14ac:dyDescent="0.25"/>
    <row r="2177" s="21" customFormat="1" ht="15" customHeight="1" x14ac:dyDescent="0.25"/>
    <row r="2178" s="21" customFormat="1" ht="15" customHeight="1" x14ac:dyDescent="0.25"/>
    <row r="2179" s="21" customFormat="1" ht="15" customHeight="1" x14ac:dyDescent="0.25"/>
    <row r="2180" s="21" customFormat="1" ht="15" customHeight="1" x14ac:dyDescent="0.25"/>
    <row r="2181" s="21" customFormat="1" ht="15" customHeight="1" x14ac:dyDescent="0.25"/>
    <row r="2182" s="21" customFormat="1" ht="15" customHeight="1" x14ac:dyDescent="0.25"/>
    <row r="2183" s="21" customFormat="1" ht="15" customHeight="1" x14ac:dyDescent="0.25"/>
    <row r="2184" s="21" customFormat="1" ht="15" customHeight="1" x14ac:dyDescent="0.25"/>
    <row r="2185" s="21" customFormat="1" ht="15" customHeight="1" x14ac:dyDescent="0.25"/>
    <row r="2186" s="21" customFormat="1" ht="15" customHeight="1" x14ac:dyDescent="0.25"/>
    <row r="2187" s="21" customFormat="1" ht="15" customHeight="1" x14ac:dyDescent="0.25"/>
    <row r="2188" s="21" customFormat="1" ht="15" customHeight="1" x14ac:dyDescent="0.25"/>
    <row r="2189" s="21" customFormat="1" ht="15" customHeight="1" x14ac:dyDescent="0.25"/>
    <row r="2190" s="21" customFormat="1" ht="15" customHeight="1" x14ac:dyDescent="0.25"/>
    <row r="2191" s="21" customFormat="1" ht="15" customHeight="1" x14ac:dyDescent="0.25"/>
    <row r="2192" s="21" customFormat="1" ht="15" customHeight="1" x14ac:dyDescent="0.25"/>
    <row r="2193" s="21" customFormat="1" ht="15" customHeight="1" x14ac:dyDescent="0.25"/>
    <row r="2194" s="21" customFormat="1" ht="15" customHeight="1" x14ac:dyDescent="0.25"/>
    <row r="2195" s="21" customFormat="1" ht="15" customHeight="1" x14ac:dyDescent="0.25"/>
    <row r="2196" s="21" customFormat="1" ht="15" customHeight="1" x14ac:dyDescent="0.25"/>
    <row r="2197" s="21" customFormat="1" ht="15" customHeight="1" x14ac:dyDescent="0.25"/>
    <row r="2198" s="21" customFormat="1" ht="15" customHeight="1" x14ac:dyDescent="0.25"/>
    <row r="2199" s="21" customFormat="1" ht="15" customHeight="1" x14ac:dyDescent="0.25"/>
    <row r="2200" s="21" customFormat="1" ht="15" customHeight="1" x14ac:dyDescent="0.25"/>
    <row r="2201" s="21" customFormat="1" ht="15" customHeight="1" x14ac:dyDescent="0.25"/>
    <row r="2202" s="21" customFormat="1" ht="15" customHeight="1" x14ac:dyDescent="0.25"/>
    <row r="2203" s="21" customFormat="1" ht="15" customHeight="1" x14ac:dyDescent="0.25"/>
    <row r="2204" s="21" customFormat="1" ht="15" customHeight="1" x14ac:dyDescent="0.25"/>
    <row r="2205" s="21" customFormat="1" ht="15" customHeight="1" x14ac:dyDescent="0.25"/>
    <row r="2206" s="21" customFormat="1" ht="15" customHeight="1" x14ac:dyDescent="0.25"/>
    <row r="2207" s="21" customFormat="1" ht="15" customHeight="1" x14ac:dyDescent="0.25"/>
    <row r="2208" s="21" customFormat="1" ht="15" customHeight="1" x14ac:dyDescent="0.25"/>
    <row r="2209" s="21" customFormat="1" ht="15" customHeight="1" x14ac:dyDescent="0.25"/>
    <row r="2210" s="21" customFormat="1" ht="15" customHeight="1" x14ac:dyDescent="0.25"/>
    <row r="2211" s="21" customFormat="1" ht="15" customHeight="1" x14ac:dyDescent="0.25"/>
    <row r="2212" s="21" customFormat="1" ht="15" customHeight="1" x14ac:dyDescent="0.25"/>
    <row r="2213" s="21" customFormat="1" ht="15" customHeight="1" x14ac:dyDescent="0.25"/>
    <row r="2214" s="21" customFormat="1" ht="15" customHeight="1" x14ac:dyDescent="0.25"/>
    <row r="2215" s="21" customFormat="1" ht="15" customHeight="1" x14ac:dyDescent="0.25"/>
    <row r="2216" s="21" customFormat="1" ht="15" customHeight="1" x14ac:dyDescent="0.25"/>
    <row r="2217" s="21" customFormat="1" ht="15" customHeight="1" x14ac:dyDescent="0.25"/>
    <row r="2218" s="21" customFormat="1" ht="15" customHeight="1" x14ac:dyDescent="0.25"/>
    <row r="2219" s="21" customFormat="1" ht="15" customHeight="1" x14ac:dyDescent="0.25"/>
    <row r="2220" s="21" customFormat="1" ht="15" customHeight="1" x14ac:dyDescent="0.25"/>
    <row r="2221" s="21" customFormat="1" ht="15" customHeight="1" x14ac:dyDescent="0.25"/>
    <row r="2222" s="21" customFormat="1" ht="15" customHeight="1" x14ac:dyDescent="0.25"/>
    <row r="2223" s="21" customFormat="1" ht="15" customHeight="1" x14ac:dyDescent="0.25"/>
    <row r="2224" s="21" customFormat="1" ht="15" customHeight="1" x14ac:dyDescent="0.25"/>
    <row r="2225" s="21" customFormat="1" ht="15" customHeight="1" x14ac:dyDescent="0.25"/>
    <row r="2226" s="21" customFormat="1" ht="15" customHeight="1" x14ac:dyDescent="0.25"/>
    <row r="2227" s="21" customFormat="1" ht="15" customHeight="1" x14ac:dyDescent="0.25"/>
    <row r="2228" s="21" customFormat="1" ht="15" customHeight="1" x14ac:dyDescent="0.25"/>
    <row r="2229" s="21" customFormat="1" ht="15" customHeight="1" x14ac:dyDescent="0.25"/>
    <row r="2230" s="21" customFormat="1" ht="15" customHeight="1" x14ac:dyDescent="0.25"/>
    <row r="2231" s="21" customFormat="1" ht="15" customHeight="1" x14ac:dyDescent="0.25"/>
    <row r="2232" s="21" customFormat="1" ht="15" customHeight="1" x14ac:dyDescent="0.25"/>
    <row r="2233" s="21" customFormat="1" ht="15" customHeight="1" x14ac:dyDescent="0.25"/>
    <row r="2234" s="21" customFormat="1" ht="15" customHeight="1" x14ac:dyDescent="0.25"/>
    <row r="2235" s="21" customFormat="1" ht="15" customHeight="1" x14ac:dyDescent="0.25"/>
    <row r="2236" s="21" customFormat="1" ht="15" customHeight="1" x14ac:dyDescent="0.25"/>
    <row r="2237" s="21" customFormat="1" ht="15" customHeight="1" x14ac:dyDescent="0.25"/>
    <row r="2238" s="21" customFormat="1" ht="15" customHeight="1" x14ac:dyDescent="0.25"/>
    <row r="2239" s="21" customFormat="1" ht="15" customHeight="1" x14ac:dyDescent="0.25"/>
    <row r="2240" s="21" customFormat="1" ht="15" customHeight="1" x14ac:dyDescent="0.25"/>
    <row r="2241" s="21" customFormat="1" ht="15" customHeight="1" x14ac:dyDescent="0.25"/>
    <row r="2242" s="21" customFormat="1" ht="15" customHeight="1" x14ac:dyDescent="0.25"/>
    <row r="2243" s="21" customFormat="1" ht="15" customHeight="1" x14ac:dyDescent="0.25"/>
    <row r="2244" s="21" customFormat="1" ht="15" customHeight="1" x14ac:dyDescent="0.25"/>
    <row r="2245" s="21" customFormat="1" ht="15" customHeight="1" x14ac:dyDescent="0.25"/>
    <row r="2246" s="21" customFormat="1" ht="15" customHeight="1" x14ac:dyDescent="0.25"/>
    <row r="2247" s="21" customFormat="1" ht="15" customHeight="1" x14ac:dyDescent="0.25"/>
    <row r="2248" s="21" customFormat="1" ht="15" customHeight="1" x14ac:dyDescent="0.25"/>
    <row r="2249" s="21" customFormat="1" ht="15" customHeight="1" x14ac:dyDescent="0.25"/>
    <row r="2250" s="21" customFormat="1" ht="15" customHeight="1" x14ac:dyDescent="0.25"/>
    <row r="2251" s="21" customFormat="1" ht="15" customHeight="1" x14ac:dyDescent="0.25"/>
    <row r="2252" s="21" customFormat="1" ht="15" customHeight="1" x14ac:dyDescent="0.25"/>
    <row r="2253" s="21" customFormat="1" ht="15" customHeight="1" x14ac:dyDescent="0.25"/>
    <row r="2254" s="21" customFormat="1" ht="15" customHeight="1" x14ac:dyDescent="0.25"/>
    <row r="2255" s="21" customFormat="1" ht="15" customHeight="1" x14ac:dyDescent="0.25"/>
    <row r="2256" s="21" customFormat="1" ht="15" customHeight="1" x14ac:dyDescent="0.25"/>
    <row r="2257" s="21" customFormat="1" ht="15" customHeight="1" x14ac:dyDescent="0.25"/>
    <row r="2258" s="21" customFormat="1" ht="15" customHeight="1" x14ac:dyDescent="0.25"/>
    <row r="2259" s="21" customFormat="1" ht="15" customHeight="1" x14ac:dyDescent="0.25"/>
    <row r="2260" s="21" customFormat="1" ht="15" customHeight="1" x14ac:dyDescent="0.25"/>
    <row r="2261" s="21" customFormat="1" ht="15" customHeight="1" x14ac:dyDescent="0.25"/>
    <row r="2262" s="21" customFormat="1" ht="15" customHeight="1" x14ac:dyDescent="0.25"/>
    <row r="2263" s="21" customFormat="1" ht="15" customHeight="1" x14ac:dyDescent="0.25"/>
    <row r="2264" s="21" customFormat="1" ht="15" customHeight="1" x14ac:dyDescent="0.25"/>
    <row r="2265" s="21" customFormat="1" ht="15" customHeight="1" x14ac:dyDescent="0.25"/>
    <row r="2266" s="21" customFormat="1" ht="15" customHeight="1" x14ac:dyDescent="0.25"/>
    <row r="2267" s="21" customFormat="1" ht="15" customHeight="1" x14ac:dyDescent="0.25"/>
    <row r="2268" s="21" customFormat="1" ht="15" customHeight="1" x14ac:dyDescent="0.25"/>
    <row r="2269" s="21" customFormat="1" ht="15" customHeight="1" x14ac:dyDescent="0.25"/>
    <row r="2270" s="21" customFormat="1" ht="15" customHeight="1" x14ac:dyDescent="0.25"/>
    <row r="2271" s="21" customFormat="1" ht="15" customHeight="1" x14ac:dyDescent="0.25"/>
    <row r="2272" s="21" customFormat="1" ht="15" customHeight="1" x14ac:dyDescent="0.25"/>
    <row r="2273" s="21" customFormat="1" ht="15" customHeight="1" x14ac:dyDescent="0.25"/>
    <row r="2274" s="21" customFormat="1" ht="15" customHeight="1" x14ac:dyDescent="0.25"/>
    <row r="2275" s="21" customFormat="1" ht="15" customHeight="1" x14ac:dyDescent="0.25"/>
    <row r="2276" s="21" customFormat="1" ht="15" customHeight="1" x14ac:dyDescent="0.25"/>
    <row r="2277" s="21" customFormat="1" ht="15" customHeight="1" x14ac:dyDescent="0.25"/>
    <row r="2278" s="21" customFormat="1" ht="15" customHeight="1" x14ac:dyDescent="0.25"/>
    <row r="2279" s="21" customFormat="1" ht="15" customHeight="1" x14ac:dyDescent="0.25"/>
    <row r="2280" s="21" customFormat="1" ht="15" customHeight="1" x14ac:dyDescent="0.25"/>
    <row r="2281" s="21" customFormat="1" ht="15" customHeight="1" x14ac:dyDescent="0.25"/>
    <row r="2282" s="21" customFormat="1" ht="15" customHeight="1" x14ac:dyDescent="0.25"/>
    <row r="2283" s="21" customFormat="1" ht="15" customHeight="1" x14ac:dyDescent="0.25"/>
    <row r="2284" s="21" customFormat="1" ht="15" customHeight="1" x14ac:dyDescent="0.25"/>
    <row r="2285" s="21" customFormat="1" ht="15" customHeight="1" x14ac:dyDescent="0.25"/>
    <row r="2286" s="21" customFormat="1" ht="15" customHeight="1" x14ac:dyDescent="0.25"/>
    <row r="2287" s="21" customFormat="1" ht="15" customHeight="1" x14ac:dyDescent="0.25"/>
    <row r="2288" s="21" customFormat="1" ht="15" customHeight="1" x14ac:dyDescent="0.25"/>
    <row r="2289" s="21" customFormat="1" ht="15" customHeight="1" x14ac:dyDescent="0.25"/>
    <row r="2290" s="21" customFormat="1" ht="15" customHeight="1" x14ac:dyDescent="0.25"/>
    <row r="2291" s="21" customFormat="1" ht="15" customHeight="1" x14ac:dyDescent="0.25"/>
    <row r="2292" s="21" customFormat="1" ht="15" customHeight="1" x14ac:dyDescent="0.25"/>
    <row r="2293" s="21" customFormat="1" ht="15" customHeight="1" x14ac:dyDescent="0.25"/>
    <row r="2294" s="21" customFormat="1" ht="15" customHeight="1" x14ac:dyDescent="0.25"/>
    <row r="2295" s="21" customFormat="1" ht="15" customHeight="1" x14ac:dyDescent="0.25"/>
    <row r="2296" s="21" customFormat="1" ht="15" customHeight="1" x14ac:dyDescent="0.25"/>
    <row r="2297" s="21" customFormat="1" ht="15" customHeight="1" x14ac:dyDescent="0.25"/>
    <row r="2298" s="21" customFormat="1" ht="15" customHeight="1" x14ac:dyDescent="0.25"/>
    <row r="2299" s="21" customFormat="1" ht="15" customHeight="1" x14ac:dyDescent="0.25"/>
    <row r="2300" s="21" customFormat="1" ht="15" customHeight="1" x14ac:dyDescent="0.25"/>
    <row r="2301" s="21" customFormat="1" ht="15" customHeight="1" x14ac:dyDescent="0.25"/>
    <row r="2302" s="21" customFormat="1" ht="15" customHeight="1" x14ac:dyDescent="0.25"/>
    <row r="2303" s="21" customFormat="1" ht="15" customHeight="1" x14ac:dyDescent="0.25"/>
    <row r="2304" s="21" customFormat="1" ht="15" customHeight="1" x14ac:dyDescent="0.25"/>
    <row r="2305" s="21" customFormat="1" ht="15" customHeight="1" x14ac:dyDescent="0.25"/>
    <row r="2306" s="21" customFormat="1" ht="15" customHeight="1" x14ac:dyDescent="0.25"/>
    <row r="2307" s="21" customFormat="1" ht="15" customHeight="1" x14ac:dyDescent="0.25"/>
    <row r="2308" s="21" customFormat="1" ht="15" customHeight="1" x14ac:dyDescent="0.25"/>
    <row r="2309" s="21" customFormat="1" ht="15" customHeight="1" x14ac:dyDescent="0.25"/>
    <row r="2310" s="21" customFormat="1" ht="15" customHeight="1" x14ac:dyDescent="0.25"/>
    <row r="2311" s="21" customFormat="1" ht="15" customHeight="1" x14ac:dyDescent="0.25"/>
    <row r="2312" s="21" customFormat="1" ht="15" customHeight="1" x14ac:dyDescent="0.25"/>
    <row r="2313" s="21" customFormat="1" ht="15" customHeight="1" x14ac:dyDescent="0.25"/>
    <row r="2314" s="21" customFormat="1" ht="15" customHeight="1" x14ac:dyDescent="0.25"/>
    <row r="2315" s="21" customFormat="1" ht="15" customHeight="1" x14ac:dyDescent="0.25"/>
    <row r="2316" s="21" customFormat="1" ht="15" customHeight="1" x14ac:dyDescent="0.25"/>
    <row r="2317" s="21" customFormat="1" ht="15" customHeight="1" x14ac:dyDescent="0.25"/>
    <row r="2318" s="21" customFormat="1" ht="15" customHeight="1" x14ac:dyDescent="0.25"/>
    <row r="2319" s="21" customFormat="1" ht="15" customHeight="1" x14ac:dyDescent="0.25"/>
    <row r="2320" s="21" customFormat="1" ht="15" customHeight="1" x14ac:dyDescent="0.25"/>
    <row r="2321" s="21" customFormat="1" ht="15" customHeight="1" x14ac:dyDescent="0.25"/>
    <row r="2322" s="21" customFormat="1" ht="15" customHeight="1" x14ac:dyDescent="0.25"/>
    <row r="2323" s="21" customFormat="1" ht="15" customHeight="1" x14ac:dyDescent="0.25"/>
    <row r="2324" s="21" customFormat="1" ht="15" customHeight="1" x14ac:dyDescent="0.25"/>
    <row r="2325" s="21" customFormat="1" ht="15" customHeight="1" x14ac:dyDescent="0.25"/>
    <row r="2326" s="21" customFormat="1" ht="15" customHeight="1" x14ac:dyDescent="0.25"/>
    <row r="2327" s="21" customFormat="1" ht="15" customHeight="1" x14ac:dyDescent="0.25"/>
    <row r="2328" s="21" customFormat="1" ht="15" customHeight="1" x14ac:dyDescent="0.25"/>
    <row r="2329" s="21" customFormat="1" ht="15" customHeight="1" x14ac:dyDescent="0.25"/>
    <row r="2330" s="21" customFormat="1" ht="15" customHeight="1" x14ac:dyDescent="0.25"/>
    <row r="2331" s="21" customFormat="1" ht="15" customHeight="1" x14ac:dyDescent="0.25"/>
    <row r="2332" s="21" customFormat="1" ht="15" customHeight="1" x14ac:dyDescent="0.25"/>
    <row r="2333" s="21" customFormat="1" ht="15" customHeight="1" x14ac:dyDescent="0.25"/>
    <row r="2334" s="21" customFormat="1" ht="15" customHeight="1" x14ac:dyDescent="0.25"/>
    <row r="2335" s="21" customFormat="1" ht="15" customHeight="1" x14ac:dyDescent="0.25"/>
    <row r="2336" s="21" customFormat="1" ht="15" customHeight="1" x14ac:dyDescent="0.25"/>
    <row r="2337" s="21" customFormat="1" ht="15" customHeight="1" x14ac:dyDescent="0.25"/>
    <row r="2338" s="21" customFormat="1" ht="15" customHeight="1" x14ac:dyDescent="0.25"/>
    <row r="2339" s="21" customFormat="1" ht="15" customHeight="1" x14ac:dyDescent="0.25"/>
    <row r="2340" s="21" customFormat="1" ht="15" customHeight="1" x14ac:dyDescent="0.25"/>
    <row r="2341" s="21" customFormat="1" ht="15" customHeight="1" x14ac:dyDescent="0.25"/>
    <row r="2342" s="21" customFormat="1" ht="15" customHeight="1" x14ac:dyDescent="0.25"/>
    <row r="2343" s="21" customFormat="1" ht="15" customHeight="1" x14ac:dyDescent="0.25"/>
    <row r="2344" s="21" customFormat="1" ht="15" customHeight="1" x14ac:dyDescent="0.25"/>
    <row r="2345" s="21" customFormat="1" ht="15" customHeight="1" x14ac:dyDescent="0.25"/>
    <row r="2346" s="21" customFormat="1" ht="15" customHeight="1" x14ac:dyDescent="0.25"/>
    <row r="2347" s="21" customFormat="1" ht="15" customHeight="1" x14ac:dyDescent="0.25"/>
    <row r="2348" s="21" customFormat="1" ht="15" customHeight="1" x14ac:dyDescent="0.25"/>
    <row r="2349" s="21" customFormat="1" ht="15" customHeight="1" x14ac:dyDescent="0.25"/>
    <row r="2350" s="21" customFormat="1" ht="15" customHeight="1" x14ac:dyDescent="0.25"/>
    <row r="2351" s="21" customFormat="1" ht="15" customHeight="1" x14ac:dyDescent="0.25"/>
    <row r="2352" s="21" customFormat="1" ht="15" customHeight="1" x14ac:dyDescent="0.25"/>
    <row r="2353" s="21" customFormat="1" ht="15" customHeight="1" x14ac:dyDescent="0.25"/>
    <row r="2354" s="21" customFormat="1" ht="15" customHeight="1" x14ac:dyDescent="0.25"/>
    <row r="2355" s="21" customFormat="1" ht="15" customHeight="1" x14ac:dyDescent="0.25"/>
    <row r="2356" s="21" customFormat="1" ht="15" customHeight="1" x14ac:dyDescent="0.25"/>
    <row r="2357" s="21" customFormat="1" ht="15" customHeight="1" x14ac:dyDescent="0.25"/>
    <row r="2358" s="21" customFormat="1" ht="15" customHeight="1" x14ac:dyDescent="0.25"/>
    <row r="2359" s="21" customFormat="1" ht="15" customHeight="1" x14ac:dyDescent="0.25"/>
    <row r="2360" s="21" customFormat="1" ht="15" customHeight="1" x14ac:dyDescent="0.25"/>
    <row r="2361" s="21" customFormat="1" ht="15" customHeight="1" x14ac:dyDescent="0.25"/>
    <row r="2362" s="21" customFormat="1" ht="15" customHeight="1" x14ac:dyDescent="0.25"/>
    <row r="2363" s="21" customFormat="1" ht="15" customHeight="1" x14ac:dyDescent="0.25"/>
    <row r="2364" s="21" customFormat="1" ht="15" customHeight="1" x14ac:dyDescent="0.25"/>
    <row r="2365" s="21" customFormat="1" ht="15" customHeight="1" x14ac:dyDescent="0.25"/>
    <row r="2366" s="21" customFormat="1" ht="15" customHeight="1" x14ac:dyDescent="0.25"/>
    <row r="2367" s="21" customFormat="1" ht="15" customHeight="1" x14ac:dyDescent="0.25"/>
    <row r="2368" s="21" customFormat="1" ht="15" customHeight="1" x14ac:dyDescent="0.25"/>
    <row r="2369" s="21" customFormat="1" ht="15" customHeight="1" x14ac:dyDescent="0.25"/>
    <row r="2370" s="21" customFormat="1" ht="15" customHeight="1" x14ac:dyDescent="0.25"/>
    <row r="2371" s="21" customFormat="1" ht="15" customHeight="1" x14ac:dyDescent="0.25"/>
    <row r="2372" s="21" customFormat="1" ht="15" customHeight="1" x14ac:dyDescent="0.25"/>
    <row r="2373" s="21" customFormat="1" ht="15" customHeight="1" x14ac:dyDescent="0.25"/>
    <row r="2374" s="21" customFormat="1" ht="15" customHeight="1" x14ac:dyDescent="0.25"/>
    <row r="2375" s="21" customFormat="1" ht="15" customHeight="1" x14ac:dyDescent="0.25"/>
    <row r="2376" s="21" customFormat="1" ht="15" customHeight="1" x14ac:dyDescent="0.25"/>
    <row r="2377" s="21" customFormat="1" ht="15" customHeight="1" x14ac:dyDescent="0.25"/>
    <row r="2378" s="21" customFormat="1" ht="15" customHeight="1" x14ac:dyDescent="0.25"/>
    <row r="2379" s="21" customFormat="1" ht="15" customHeight="1" x14ac:dyDescent="0.25"/>
    <row r="2380" s="21" customFormat="1" ht="15" customHeight="1" x14ac:dyDescent="0.25"/>
    <row r="2381" s="21" customFormat="1" ht="15" customHeight="1" x14ac:dyDescent="0.25"/>
    <row r="2382" s="21" customFormat="1" ht="15" customHeight="1" x14ac:dyDescent="0.25"/>
    <row r="2383" s="21" customFormat="1" ht="15" customHeight="1" x14ac:dyDescent="0.25"/>
    <row r="2384" s="21" customFormat="1" ht="15" customHeight="1" x14ac:dyDescent="0.25"/>
    <row r="2385" s="21" customFormat="1" ht="15" customHeight="1" x14ac:dyDescent="0.25"/>
    <row r="2386" s="21" customFormat="1" ht="15" customHeight="1" x14ac:dyDescent="0.25"/>
    <row r="2387" s="21" customFormat="1" ht="15" customHeight="1" x14ac:dyDescent="0.25"/>
    <row r="2388" s="21" customFormat="1" ht="15" customHeight="1" x14ac:dyDescent="0.25"/>
    <row r="2389" s="21" customFormat="1" ht="15" customHeight="1" x14ac:dyDescent="0.25"/>
    <row r="2390" s="21" customFormat="1" ht="15" customHeight="1" x14ac:dyDescent="0.25"/>
    <row r="2391" s="21" customFormat="1" ht="15" customHeight="1" x14ac:dyDescent="0.25"/>
    <row r="2392" s="21" customFormat="1" ht="15" customHeight="1" x14ac:dyDescent="0.25"/>
    <row r="2393" s="21" customFormat="1" ht="15" customHeight="1" x14ac:dyDescent="0.25"/>
    <row r="2394" s="21" customFormat="1" ht="15" customHeight="1" x14ac:dyDescent="0.25"/>
    <row r="2395" s="21" customFormat="1" ht="15" customHeight="1" x14ac:dyDescent="0.25"/>
    <row r="2396" s="21" customFormat="1" ht="15" customHeight="1" x14ac:dyDescent="0.25"/>
    <row r="2397" s="21" customFormat="1" ht="15" customHeight="1" x14ac:dyDescent="0.25"/>
    <row r="2398" s="21" customFormat="1" ht="15" customHeight="1" x14ac:dyDescent="0.25"/>
    <row r="2399" s="21" customFormat="1" ht="15" customHeight="1" x14ac:dyDescent="0.25"/>
    <row r="2400" s="21" customFormat="1" ht="15" customHeight="1" x14ac:dyDescent="0.25"/>
    <row r="2401" s="21" customFormat="1" ht="15" customHeight="1" x14ac:dyDescent="0.25"/>
    <row r="2402" s="21" customFormat="1" ht="15" customHeight="1" x14ac:dyDescent="0.25"/>
    <row r="2403" s="21" customFormat="1" ht="15" customHeight="1" x14ac:dyDescent="0.25"/>
    <row r="2404" s="21" customFormat="1" ht="15" customHeight="1" x14ac:dyDescent="0.25"/>
    <row r="2405" s="21" customFormat="1" ht="15" customHeight="1" x14ac:dyDescent="0.25"/>
    <row r="2406" s="21" customFormat="1" ht="15" customHeight="1" x14ac:dyDescent="0.25"/>
    <row r="2407" s="21" customFormat="1" ht="15" customHeight="1" x14ac:dyDescent="0.25"/>
    <row r="2408" s="21" customFormat="1" ht="15" customHeight="1" x14ac:dyDescent="0.25"/>
    <row r="2409" s="21" customFormat="1" ht="15" customHeight="1" x14ac:dyDescent="0.25"/>
    <row r="2410" s="21" customFormat="1" ht="15" customHeight="1" x14ac:dyDescent="0.25"/>
    <row r="2411" s="21" customFormat="1" ht="15" customHeight="1" x14ac:dyDescent="0.25"/>
    <row r="2412" s="21" customFormat="1" ht="15" customHeight="1" x14ac:dyDescent="0.25"/>
    <row r="2413" s="21" customFormat="1" ht="15" customHeight="1" x14ac:dyDescent="0.25"/>
    <row r="2414" s="21" customFormat="1" ht="15" customHeight="1" x14ac:dyDescent="0.25"/>
    <row r="2415" s="21" customFormat="1" ht="15" customHeight="1" x14ac:dyDescent="0.25"/>
    <row r="2416" s="21" customFormat="1" ht="15" customHeight="1" x14ac:dyDescent="0.25"/>
    <row r="2417" s="21" customFormat="1" ht="15" customHeight="1" x14ac:dyDescent="0.25"/>
    <row r="2418" s="21" customFormat="1" ht="15" customHeight="1" x14ac:dyDescent="0.25"/>
    <row r="2419" s="21" customFormat="1" ht="15" customHeight="1" x14ac:dyDescent="0.25"/>
    <row r="2420" s="21" customFormat="1" ht="15" customHeight="1" x14ac:dyDescent="0.25"/>
    <row r="2421" s="21" customFormat="1" ht="15" customHeight="1" x14ac:dyDescent="0.25"/>
    <row r="2422" s="21" customFormat="1" ht="15" customHeight="1" x14ac:dyDescent="0.25"/>
    <row r="2423" s="21" customFormat="1" ht="15" customHeight="1" x14ac:dyDescent="0.25"/>
    <row r="2424" s="21" customFormat="1" ht="15" customHeight="1" x14ac:dyDescent="0.25"/>
    <row r="2425" s="21" customFormat="1" ht="15" customHeight="1" x14ac:dyDescent="0.25"/>
    <row r="2426" s="21" customFormat="1" ht="15" customHeight="1" x14ac:dyDescent="0.25"/>
    <row r="2427" s="21" customFormat="1" ht="15" customHeight="1" x14ac:dyDescent="0.25"/>
    <row r="2428" s="21" customFormat="1" ht="15" customHeight="1" x14ac:dyDescent="0.25"/>
    <row r="2429" s="21" customFormat="1" ht="15" customHeight="1" x14ac:dyDescent="0.25"/>
    <row r="2430" s="21" customFormat="1" ht="15" customHeight="1" x14ac:dyDescent="0.25"/>
    <row r="2431" s="21" customFormat="1" ht="15" customHeight="1" x14ac:dyDescent="0.25"/>
    <row r="2432" s="21" customFormat="1" ht="15" customHeight="1" x14ac:dyDescent="0.25"/>
    <row r="2433" s="21" customFormat="1" ht="15" customHeight="1" x14ac:dyDescent="0.25"/>
    <row r="2434" s="21" customFormat="1" ht="15" customHeight="1" x14ac:dyDescent="0.25"/>
    <row r="2435" s="21" customFormat="1" ht="15" customHeight="1" x14ac:dyDescent="0.25"/>
    <row r="2436" s="21" customFormat="1" ht="15" customHeight="1" x14ac:dyDescent="0.25"/>
    <row r="2437" s="21" customFormat="1" ht="15" customHeight="1" x14ac:dyDescent="0.25"/>
    <row r="2438" s="21" customFormat="1" ht="15" customHeight="1" x14ac:dyDescent="0.25"/>
    <row r="2439" s="21" customFormat="1" ht="15" customHeight="1" x14ac:dyDescent="0.25"/>
    <row r="2440" s="21" customFormat="1" ht="15" customHeight="1" x14ac:dyDescent="0.25"/>
    <row r="2441" s="21" customFormat="1" ht="15" customHeight="1" x14ac:dyDescent="0.25"/>
    <row r="2442" s="21" customFormat="1" ht="15" customHeight="1" x14ac:dyDescent="0.25"/>
    <row r="2443" s="21" customFormat="1" ht="15" customHeight="1" x14ac:dyDescent="0.25"/>
    <row r="2444" s="21" customFormat="1" ht="15" customHeight="1" x14ac:dyDescent="0.25"/>
    <row r="2445" s="21" customFormat="1" ht="15" customHeight="1" x14ac:dyDescent="0.25"/>
    <row r="2446" s="21" customFormat="1" ht="15" customHeight="1" x14ac:dyDescent="0.25"/>
    <row r="2447" s="21" customFormat="1" ht="15" customHeight="1" x14ac:dyDescent="0.25"/>
    <row r="2448" s="21" customFormat="1" ht="15" customHeight="1" x14ac:dyDescent="0.25"/>
    <row r="2449" s="21" customFormat="1" ht="15" customHeight="1" x14ac:dyDescent="0.25"/>
    <row r="2450" s="21" customFormat="1" ht="15" customHeight="1" x14ac:dyDescent="0.25"/>
    <row r="2451" s="21" customFormat="1" ht="15" customHeight="1" x14ac:dyDescent="0.25"/>
    <row r="2452" s="21" customFormat="1" ht="15" customHeight="1" x14ac:dyDescent="0.25"/>
    <row r="2453" s="21" customFormat="1" ht="15" customHeight="1" x14ac:dyDescent="0.25"/>
    <row r="2454" s="21" customFormat="1" ht="15" customHeight="1" x14ac:dyDescent="0.25"/>
    <row r="2455" s="21" customFormat="1" ht="15" customHeight="1" x14ac:dyDescent="0.25"/>
    <row r="2456" s="21" customFormat="1" ht="15" customHeight="1" x14ac:dyDescent="0.25"/>
    <row r="2457" s="21" customFormat="1" ht="15" customHeight="1" x14ac:dyDescent="0.25"/>
    <row r="2458" s="21" customFormat="1" ht="15" customHeight="1" x14ac:dyDescent="0.25"/>
    <row r="2459" s="21" customFormat="1" ht="15" customHeight="1" x14ac:dyDescent="0.25"/>
    <row r="2460" s="21" customFormat="1" ht="15" customHeight="1" x14ac:dyDescent="0.25"/>
    <row r="2461" s="21" customFormat="1" ht="15" customHeight="1" x14ac:dyDescent="0.25"/>
    <row r="2462" s="21" customFormat="1" ht="15" customHeight="1" x14ac:dyDescent="0.25"/>
    <row r="2463" s="21" customFormat="1" ht="15" customHeight="1" x14ac:dyDescent="0.25"/>
    <row r="2464" s="21" customFormat="1" ht="15" customHeight="1" x14ac:dyDescent="0.25"/>
    <row r="2465" s="21" customFormat="1" ht="15" customHeight="1" x14ac:dyDescent="0.25"/>
    <row r="2466" s="21" customFormat="1" ht="15" customHeight="1" x14ac:dyDescent="0.25"/>
    <row r="2467" s="21" customFormat="1" ht="15" customHeight="1" x14ac:dyDescent="0.25"/>
    <row r="2468" s="21" customFormat="1" ht="15" customHeight="1" x14ac:dyDescent="0.25"/>
    <row r="2469" s="21" customFormat="1" ht="15" customHeight="1" x14ac:dyDescent="0.25"/>
    <row r="2470" s="21" customFormat="1" ht="15" customHeight="1" x14ac:dyDescent="0.25"/>
    <row r="2471" s="21" customFormat="1" ht="15" customHeight="1" x14ac:dyDescent="0.25"/>
    <row r="2472" s="21" customFormat="1" ht="15" customHeight="1" x14ac:dyDescent="0.25"/>
    <row r="2473" s="21" customFormat="1" ht="15" customHeight="1" x14ac:dyDescent="0.25"/>
    <row r="2474" s="21" customFormat="1" ht="15" customHeight="1" x14ac:dyDescent="0.25"/>
    <row r="2475" s="21" customFormat="1" ht="15" customHeight="1" x14ac:dyDescent="0.25"/>
    <row r="2476" s="21" customFormat="1" ht="15" customHeight="1" x14ac:dyDescent="0.25"/>
    <row r="2477" s="21" customFormat="1" ht="15" customHeight="1" x14ac:dyDescent="0.25"/>
    <row r="2478" s="21" customFormat="1" ht="15" customHeight="1" x14ac:dyDescent="0.25"/>
    <row r="2479" s="21" customFormat="1" ht="15" customHeight="1" x14ac:dyDescent="0.25"/>
    <row r="2480" s="21" customFormat="1" ht="15" customHeight="1" x14ac:dyDescent="0.25"/>
    <row r="2481" s="21" customFormat="1" ht="15" customHeight="1" x14ac:dyDescent="0.25"/>
    <row r="2482" s="21" customFormat="1" ht="15" customHeight="1" x14ac:dyDescent="0.25"/>
    <row r="2483" s="21" customFormat="1" ht="15" customHeight="1" x14ac:dyDescent="0.25"/>
    <row r="2484" s="21" customFormat="1" ht="15" customHeight="1" x14ac:dyDescent="0.25"/>
    <row r="2485" s="21" customFormat="1" ht="15" customHeight="1" x14ac:dyDescent="0.25"/>
    <row r="2486" s="21" customFormat="1" ht="15" customHeight="1" x14ac:dyDescent="0.25"/>
    <row r="2487" s="21" customFormat="1" ht="15" customHeight="1" x14ac:dyDescent="0.25"/>
    <row r="2488" s="21" customFormat="1" ht="15" customHeight="1" x14ac:dyDescent="0.25"/>
    <row r="2489" s="21" customFormat="1" ht="15" customHeight="1" x14ac:dyDescent="0.25"/>
    <row r="2490" s="21" customFormat="1" ht="15" customHeight="1" x14ac:dyDescent="0.25"/>
    <row r="2491" s="21" customFormat="1" ht="15" customHeight="1" x14ac:dyDescent="0.25"/>
    <row r="2492" s="21" customFormat="1" ht="15" customHeight="1" x14ac:dyDescent="0.25"/>
    <row r="2493" s="21" customFormat="1" ht="15" customHeight="1" x14ac:dyDescent="0.25"/>
    <row r="2494" s="21" customFormat="1" ht="15" customHeight="1" x14ac:dyDescent="0.25"/>
    <row r="2495" s="21" customFormat="1" ht="15" customHeight="1" x14ac:dyDescent="0.25"/>
    <row r="2496" s="21" customFormat="1" ht="15" customHeight="1" x14ac:dyDescent="0.25"/>
    <row r="2497" s="21" customFormat="1" ht="15" customHeight="1" x14ac:dyDescent="0.25"/>
    <row r="2498" s="21" customFormat="1" ht="15" customHeight="1" x14ac:dyDescent="0.25"/>
    <row r="2499" s="21" customFormat="1" ht="15" customHeight="1" x14ac:dyDescent="0.25"/>
    <row r="2500" s="21" customFormat="1" ht="15" customHeight="1" x14ac:dyDescent="0.25"/>
    <row r="2501" s="21" customFormat="1" ht="15" customHeight="1" x14ac:dyDescent="0.25"/>
    <row r="2502" s="21" customFormat="1" ht="15" customHeight="1" x14ac:dyDescent="0.25"/>
    <row r="2503" s="21" customFormat="1" ht="15" customHeight="1" x14ac:dyDescent="0.25"/>
    <row r="2504" s="21" customFormat="1" ht="15" customHeight="1" x14ac:dyDescent="0.25"/>
    <row r="2505" s="21" customFormat="1" ht="15" customHeight="1" x14ac:dyDescent="0.25"/>
    <row r="2506" s="21" customFormat="1" ht="15" customHeight="1" x14ac:dyDescent="0.25"/>
    <row r="2507" s="21" customFormat="1" ht="15" customHeight="1" x14ac:dyDescent="0.25"/>
    <row r="2508" s="21" customFormat="1" ht="15" customHeight="1" x14ac:dyDescent="0.25"/>
    <row r="2509" s="21" customFormat="1" ht="15" customHeight="1" x14ac:dyDescent="0.25"/>
    <row r="2510" s="21" customFormat="1" ht="15" customHeight="1" x14ac:dyDescent="0.25"/>
    <row r="2511" s="21" customFormat="1" ht="15" customHeight="1" x14ac:dyDescent="0.25"/>
    <row r="2512" s="21" customFormat="1" ht="15" customHeight="1" x14ac:dyDescent="0.25"/>
    <row r="2513" s="21" customFormat="1" ht="15" customHeight="1" x14ac:dyDescent="0.25"/>
    <row r="2514" s="21" customFormat="1" ht="15" customHeight="1" x14ac:dyDescent="0.25"/>
    <row r="2515" s="21" customFormat="1" ht="15" customHeight="1" x14ac:dyDescent="0.25"/>
    <row r="2516" s="21" customFormat="1" ht="15" customHeight="1" x14ac:dyDescent="0.25"/>
    <row r="2517" s="21" customFormat="1" ht="15" customHeight="1" x14ac:dyDescent="0.25"/>
    <row r="2518" s="21" customFormat="1" ht="15" customHeight="1" x14ac:dyDescent="0.25"/>
    <row r="2519" s="21" customFormat="1" ht="15" customHeight="1" x14ac:dyDescent="0.25"/>
    <row r="2520" s="21" customFormat="1" ht="15" customHeight="1" x14ac:dyDescent="0.25"/>
    <row r="2521" s="21" customFormat="1" ht="15" customHeight="1" x14ac:dyDescent="0.25"/>
    <row r="2522" s="21" customFormat="1" ht="15" customHeight="1" x14ac:dyDescent="0.25"/>
    <row r="2523" s="21" customFormat="1" ht="15" customHeight="1" x14ac:dyDescent="0.25"/>
    <row r="2524" s="21" customFormat="1" ht="15" customHeight="1" x14ac:dyDescent="0.25"/>
    <row r="2525" s="21" customFormat="1" ht="15" customHeight="1" x14ac:dyDescent="0.25"/>
    <row r="2526" s="21" customFormat="1" ht="15" customHeight="1" x14ac:dyDescent="0.25"/>
    <row r="2527" s="21" customFormat="1" ht="15" customHeight="1" x14ac:dyDescent="0.25"/>
    <row r="2528" s="21" customFormat="1" ht="15" customHeight="1" x14ac:dyDescent="0.25"/>
    <row r="2529" s="21" customFormat="1" ht="15" customHeight="1" x14ac:dyDescent="0.25"/>
    <row r="2530" s="21" customFormat="1" ht="15" customHeight="1" x14ac:dyDescent="0.25"/>
    <row r="2531" s="21" customFormat="1" ht="15" customHeight="1" x14ac:dyDescent="0.25"/>
    <row r="2532" s="21" customFormat="1" ht="15" customHeight="1" x14ac:dyDescent="0.25"/>
    <row r="2533" s="21" customFormat="1" ht="15" customHeight="1" x14ac:dyDescent="0.25"/>
    <row r="2534" s="21" customFormat="1" ht="15" customHeight="1" x14ac:dyDescent="0.25"/>
    <row r="2535" s="21" customFormat="1" ht="15" customHeight="1" x14ac:dyDescent="0.25"/>
    <row r="2536" s="21" customFormat="1" ht="15" customHeight="1" x14ac:dyDescent="0.25"/>
    <row r="2537" s="21" customFormat="1" ht="15" customHeight="1" x14ac:dyDescent="0.25"/>
    <row r="2538" s="21" customFormat="1" ht="15" customHeight="1" x14ac:dyDescent="0.25"/>
    <row r="2539" s="21" customFormat="1" ht="15" customHeight="1" x14ac:dyDescent="0.25"/>
    <row r="2540" s="21" customFormat="1" ht="15" customHeight="1" x14ac:dyDescent="0.25"/>
    <row r="2541" s="21" customFormat="1" ht="15" customHeight="1" x14ac:dyDescent="0.25"/>
    <row r="2542" s="21" customFormat="1" ht="15" customHeight="1" x14ac:dyDescent="0.25"/>
    <row r="2543" s="21" customFormat="1" ht="15" customHeight="1" x14ac:dyDescent="0.25"/>
    <row r="2544" s="21" customFormat="1" ht="15" customHeight="1" x14ac:dyDescent="0.25"/>
    <row r="2545" s="21" customFormat="1" ht="15" customHeight="1" x14ac:dyDescent="0.25"/>
    <row r="2546" s="21" customFormat="1" ht="15" customHeight="1" x14ac:dyDescent="0.25"/>
    <row r="2547" s="21" customFormat="1" ht="15" customHeight="1" x14ac:dyDescent="0.25"/>
    <row r="2548" s="21" customFormat="1" ht="15" customHeight="1" x14ac:dyDescent="0.25"/>
    <row r="2549" s="21" customFormat="1" ht="15" customHeight="1" x14ac:dyDescent="0.25"/>
    <row r="2550" s="21" customFormat="1" ht="15" customHeight="1" x14ac:dyDescent="0.25"/>
    <row r="2551" s="21" customFormat="1" ht="15" customHeight="1" x14ac:dyDescent="0.25"/>
    <row r="2552" s="21" customFormat="1" ht="15" customHeight="1" x14ac:dyDescent="0.25"/>
    <row r="2553" s="21" customFormat="1" ht="15" customHeight="1" x14ac:dyDescent="0.25"/>
    <row r="2554" s="21" customFormat="1" ht="15" customHeight="1" x14ac:dyDescent="0.25"/>
    <row r="2555" s="21" customFormat="1" ht="15" customHeight="1" x14ac:dyDescent="0.25"/>
    <row r="2556" s="21" customFormat="1" ht="15" customHeight="1" x14ac:dyDescent="0.25"/>
    <row r="2557" s="21" customFormat="1" ht="15" customHeight="1" x14ac:dyDescent="0.25"/>
    <row r="2558" s="21" customFormat="1" ht="15" customHeight="1" x14ac:dyDescent="0.25"/>
    <row r="2559" s="21" customFormat="1" ht="15" customHeight="1" x14ac:dyDescent="0.25"/>
    <row r="2560" s="21" customFormat="1" ht="15" customHeight="1" x14ac:dyDescent="0.25"/>
    <row r="2561" s="21" customFormat="1" ht="15" customHeight="1" x14ac:dyDescent="0.25"/>
    <row r="2562" s="21" customFormat="1" ht="15" customHeight="1" x14ac:dyDescent="0.25"/>
    <row r="2563" s="21" customFormat="1" ht="15" customHeight="1" x14ac:dyDescent="0.25"/>
    <row r="2564" s="21" customFormat="1" ht="15" customHeight="1" x14ac:dyDescent="0.25"/>
    <row r="2565" s="21" customFormat="1" ht="15" customHeight="1" x14ac:dyDescent="0.25"/>
    <row r="2566" s="21" customFormat="1" ht="15" customHeight="1" x14ac:dyDescent="0.25"/>
    <row r="2567" s="21" customFormat="1" ht="15" customHeight="1" x14ac:dyDescent="0.25"/>
    <row r="2568" s="21" customFormat="1" ht="15" customHeight="1" x14ac:dyDescent="0.25"/>
    <row r="2569" s="21" customFormat="1" ht="15" customHeight="1" x14ac:dyDescent="0.25"/>
    <row r="2570" s="21" customFormat="1" ht="15" customHeight="1" x14ac:dyDescent="0.25"/>
    <row r="2571" s="21" customFormat="1" ht="15" customHeight="1" x14ac:dyDescent="0.25"/>
    <row r="2572" s="21" customFormat="1" ht="15" customHeight="1" x14ac:dyDescent="0.25"/>
    <row r="2573" s="21" customFormat="1" ht="15" customHeight="1" x14ac:dyDescent="0.25"/>
    <row r="2574" s="21" customFormat="1" ht="15" customHeight="1" x14ac:dyDescent="0.25"/>
    <row r="2575" s="21" customFormat="1" ht="15" customHeight="1" x14ac:dyDescent="0.25"/>
    <row r="2576" s="21" customFormat="1" ht="15" customHeight="1" x14ac:dyDescent="0.25"/>
    <row r="2577" s="21" customFormat="1" ht="15" customHeight="1" x14ac:dyDescent="0.25"/>
    <row r="2578" s="21" customFormat="1" ht="15" customHeight="1" x14ac:dyDescent="0.25"/>
    <row r="2579" s="21" customFormat="1" ht="15" customHeight="1" x14ac:dyDescent="0.25"/>
    <row r="2580" s="21" customFormat="1" ht="15" customHeight="1" x14ac:dyDescent="0.25"/>
    <row r="2581" s="21" customFormat="1" ht="15" customHeight="1" x14ac:dyDescent="0.25"/>
    <row r="2582" s="21" customFormat="1" ht="15" customHeight="1" x14ac:dyDescent="0.25"/>
    <row r="2583" s="21" customFormat="1" ht="15" customHeight="1" x14ac:dyDescent="0.25"/>
    <row r="2584" s="21" customFormat="1" ht="15" customHeight="1" x14ac:dyDescent="0.25"/>
    <row r="2585" s="21" customFormat="1" ht="15" customHeight="1" x14ac:dyDescent="0.25"/>
    <row r="2586" s="21" customFormat="1" ht="15" customHeight="1" x14ac:dyDescent="0.25"/>
    <row r="2587" s="21" customFormat="1" ht="15" customHeight="1" x14ac:dyDescent="0.25"/>
    <row r="2588" s="21" customFormat="1" ht="15" customHeight="1" x14ac:dyDescent="0.25"/>
    <row r="2589" s="21" customFormat="1" ht="15" customHeight="1" x14ac:dyDescent="0.25"/>
    <row r="2590" s="21" customFormat="1" ht="15" customHeight="1" x14ac:dyDescent="0.25"/>
    <row r="2591" s="21" customFormat="1" ht="15" customHeight="1" x14ac:dyDescent="0.25"/>
    <row r="2592" s="21" customFormat="1" ht="15" customHeight="1" x14ac:dyDescent="0.25"/>
    <row r="2593" s="21" customFormat="1" ht="15" customHeight="1" x14ac:dyDescent="0.25"/>
    <row r="2594" s="21" customFormat="1" ht="15" customHeight="1" x14ac:dyDescent="0.25"/>
    <row r="2595" s="21" customFormat="1" ht="15" customHeight="1" x14ac:dyDescent="0.25"/>
    <row r="2596" s="21" customFormat="1" ht="15" customHeight="1" x14ac:dyDescent="0.25"/>
    <row r="2597" s="21" customFormat="1" ht="15" customHeight="1" x14ac:dyDescent="0.25"/>
    <row r="2598" s="21" customFormat="1" ht="15" customHeight="1" x14ac:dyDescent="0.25"/>
    <row r="2599" s="21" customFormat="1" ht="15" customHeight="1" x14ac:dyDescent="0.25"/>
    <row r="2600" s="21" customFormat="1" ht="15" customHeight="1" x14ac:dyDescent="0.25"/>
    <row r="2601" s="21" customFormat="1" ht="15" customHeight="1" x14ac:dyDescent="0.25"/>
    <row r="2602" s="21" customFormat="1" ht="15" customHeight="1" x14ac:dyDescent="0.25"/>
    <row r="2603" s="21" customFormat="1" ht="15" customHeight="1" x14ac:dyDescent="0.25"/>
    <row r="2604" s="21" customFormat="1" ht="15" customHeight="1" x14ac:dyDescent="0.25"/>
    <row r="2605" s="21" customFormat="1" ht="15" customHeight="1" x14ac:dyDescent="0.25"/>
    <row r="2606" s="21" customFormat="1" ht="15" customHeight="1" x14ac:dyDescent="0.25"/>
    <row r="2607" s="21" customFormat="1" ht="15" customHeight="1" x14ac:dyDescent="0.25"/>
    <row r="2608" s="21" customFormat="1" ht="15" customHeight="1" x14ac:dyDescent="0.25"/>
    <row r="2609" s="21" customFormat="1" ht="15" customHeight="1" x14ac:dyDescent="0.25"/>
    <row r="2610" s="21" customFormat="1" ht="15" customHeight="1" x14ac:dyDescent="0.25"/>
    <row r="2611" s="21" customFormat="1" ht="15" customHeight="1" x14ac:dyDescent="0.25"/>
    <row r="2612" s="21" customFormat="1" ht="15" customHeight="1" x14ac:dyDescent="0.25"/>
    <row r="2613" s="21" customFormat="1" ht="15" customHeight="1" x14ac:dyDescent="0.25"/>
    <row r="2614" s="21" customFormat="1" ht="15" customHeight="1" x14ac:dyDescent="0.25"/>
    <row r="2615" s="21" customFormat="1" ht="15" customHeight="1" x14ac:dyDescent="0.25"/>
    <row r="2616" s="21" customFormat="1" ht="15" customHeight="1" x14ac:dyDescent="0.25"/>
    <row r="2617" s="21" customFormat="1" ht="15" customHeight="1" x14ac:dyDescent="0.25"/>
    <row r="2618" s="21" customFormat="1" ht="15" customHeight="1" x14ac:dyDescent="0.25"/>
    <row r="2619" s="21" customFormat="1" ht="15" customHeight="1" x14ac:dyDescent="0.25"/>
    <row r="2620" s="21" customFormat="1" ht="15" customHeight="1" x14ac:dyDescent="0.25"/>
    <row r="2621" s="21" customFormat="1" ht="15" customHeight="1" x14ac:dyDescent="0.25"/>
    <row r="2622" s="21" customFormat="1" ht="15" customHeight="1" x14ac:dyDescent="0.25"/>
    <row r="2623" s="21" customFormat="1" ht="15" customHeight="1" x14ac:dyDescent="0.25"/>
    <row r="2624" s="21" customFormat="1" ht="15" customHeight="1" x14ac:dyDescent="0.25"/>
    <row r="2625" s="21" customFormat="1" ht="15" customHeight="1" x14ac:dyDescent="0.25"/>
    <row r="2626" s="21" customFormat="1" ht="15" customHeight="1" x14ac:dyDescent="0.25"/>
    <row r="2627" s="21" customFormat="1" ht="15" customHeight="1" x14ac:dyDescent="0.25"/>
    <row r="2628" s="21" customFormat="1" ht="15" customHeight="1" x14ac:dyDescent="0.25"/>
    <row r="2629" s="21" customFormat="1" ht="15" customHeight="1" x14ac:dyDescent="0.25"/>
    <row r="2630" s="21" customFormat="1" ht="15" customHeight="1" x14ac:dyDescent="0.25"/>
    <row r="2631" s="21" customFormat="1" ht="15" customHeight="1" x14ac:dyDescent="0.25"/>
    <row r="2632" s="21" customFormat="1" ht="15" customHeight="1" x14ac:dyDescent="0.25"/>
    <row r="2633" s="21" customFormat="1" ht="15" customHeight="1" x14ac:dyDescent="0.25"/>
    <row r="2634" s="21" customFormat="1" ht="15" customHeight="1" x14ac:dyDescent="0.25"/>
    <row r="2635" s="21" customFormat="1" ht="15" customHeight="1" x14ac:dyDescent="0.25"/>
    <row r="2636" s="21" customFormat="1" ht="15" customHeight="1" x14ac:dyDescent="0.25"/>
    <row r="2637" s="21" customFormat="1" ht="15" customHeight="1" x14ac:dyDescent="0.25"/>
    <row r="2638" s="21" customFormat="1" ht="15" customHeight="1" x14ac:dyDescent="0.25"/>
    <row r="2639" s="21" customFormat="1" ht="15" customHeight="1" x14ac:dyDescent="0.25"/>
    <row r="2640" s="21" customFormat="1" ht="15" customHeight="1" x14ac:dyDescent="0.25"/>
    <row r="2641" s="21" customFormat="1" ht="15" customHeight="1" x14ac:dyDescent="0.25"/>
    <row r="2642" s="21" customFormat="1" ht="15" customHeight="1" x14ac:dyDescent="0.25"/>
    <row r="2643" s="21" customFormat="1" ht="15" customHeight="1" x14ac:dyDescent="0.25"/>
    <row r="2644" s="21" customFormat="1" ht="15" customHeight="1" x14ac:dyDescent="0.25"/>
    <row r="2645" s="21" customFormat="1" ht="15" customHeight="1" x14ac:dyDescent="0.25"/>
    <row r="2646" s="21" customFormat="1" ht="15" customHeight="1" x14ac:dyDescent="0.25"/>
    <row r="2647" s="21" customFormat="1" ht="15" customHeight="1" x14ac:dyDescent="0.25"/>
    <row r="2648" s="21" customFormat="1" ht="15" customHeight="1" x14ac:dyDescent="0.25"/>
    <row r="2649" s="21" customFormat="1" ht="15" customHeight="1" x14ac:dyDescent="0.25"/>
    <row r="2650" s="21" customFormat="1" ht="15" customHeight="1" x14ac:dyDescent="0.25"/>
    <row r="2651" s="21" customFormat="1" ht="15" customHeight="1" x14ac:dyDescent="0.25"/>
    <row r="2652" s="21" customFormat="1" ht="15" customHeight="1" x14ac:dyDescent="0.25"/>
    <row r="2653" s="21" customFormat="1" ht="15" customHeight="1" x14ac:dyDescent="0.25"/>
    <row r="2654" s="21" customFormat="1" ht="15" customHeight="1" x14ac:dyDescent="0.25"/>
    <row r="2655" s="21" customFormat="1" ht="15" customHeight="1" x14ac:dyDescent="0.25"/>
    <row r="2656" s="21" customFormat="1" ht="15" customHeight="1" x14ac:dyDescent="0.25"/>
    <row r="2657" s="21" customFormat="1" ht="15" customHeight="1" x14ac:dyDescent="0.25"/>
    <row r="2658" s="21" customFormat="1" ht="15" customHeight="1" x14ac:dyDescent="0.25"/>
    <row r="2659" s="21" customFormat="1" ht="15" customHeight="1" x14ac:dyDescent="0.25"/>
    <row r="2660" s="21" customFormat="1" ht="15" customHeight="1" x14ac:dyDescent="0.25"/>
    <row r="2661" s="21" customFormat="1" ht="15" customHeight="1" x14ac:dyDescent="0.25"/>
    <row r="2662" s="21" customFormat="1" ht="15" customHeight="1" x14ac:dyDescent="0.25"/>
    <row r="2663" s="21" customFormat="1" ht="15" customHeight="1" x14ac:dyDescent="0.25"/>
    <row r="2664" s="21" customFormat="1" ht="15" customHeight="1" x14ac:dyDescent="0.25"/>
    <row r="2665" s="21" customFormat="1" ht="15" customHeight="1" x14ac:dyDescent="0.25"/>
    <row r="2666" s="21" customFormat="1" ht="15" customHeight="1" x14ac:dyDescent="0.25"/>
    <row r="2667" s="21" customFormat="1" ht="15" customHeight="1" x14ac:dyDescent="0.25"/>
    <row r="2668" s="21" customFormat="1" ht="15" customHeight="1" x14ac:dyDescent="0.25"/>
    <row r="2669" s="21" customFormat="1" ht="15" customHeight="1" x14ac:dyDescent="0.25"/>
    <row r="2670" s="21" customFormat="1" ht="15" customHeight="1" x14ac:dyDescent="0.25"/>
    <row r="2671" s="21" customFormat="1" ht="15" customHeight="1" x14ac:dyDescent="0.25"/>
    <row r="2672" s="21" customFormat="1" ht="15" customHeight="1" x14ac:dyDescent="0.25"/>
    <row r="2673" s="21" customFormat="1" ht="15" customHeight="1" x14ac:dyDescent="0.25"/>
    <row r="2674" s="21" customFormat="1" ht="15" customHeight="1" x14ac:dyDescent="0.25"/>
    <row r="2675" s="21" customFormat="1" ht="15" customHeight="1" x14ac:dyDescent="0.25"/>
    <row r="2676" s="21" customFormat="1" ht="15" customHeight="1" x14ac:dyDescent="0.25"/>
    <row r="2677" s="21" customFormat="1" ht="15" customHeight="1" x14ac:dyDescent="0.25"/>
    <row r="2678" s="21" customFormat="1" ht="15" customHeight="1" x14ac:dyDescent="0.25"/>
    <row r="2679" s="21" customFormat="1" ht="15" customHeight="1" x14ac:dyDescent="0.25"/>
    <row r="2680" s="21" customFormat="1" ht="15" customHeight="1" x14ac:dyDescent="0.25"/>
    <row r="2681" s="21" customFormat="1" ht="15" customHeight="1" x14ac:dyDescent="0.25"/>
    <row r="2682" s="21" customFormat="1" ht="15" customHeight="1" x14ac:dyDescent="0.25"/>
    <row r="2683" s="21" customFormat="1" ht="15" customHeight="1" x14ac:dyDescent="0.25"/>
    <row r="2684" s="21" customFormat="1" ht="15" customHeight="1" x14ac:dyDescent="0.25"/>
    <row r="2685" s="21" customFormat="1" ht="15" customHeight="1" x14ac:dyDescent="0.25"/>
    <row r="2686" s="21" customFormat="1" ht="15" customHeight="1" x14ac:dyDescent="0.25"/>
    <row r="2687" s="21" customFormat="1" ht="15" customHeight="1" x14ac:dyDescent="0.25"/>
    <row r="2688" s="21" customFormat="1" ht="15" customHeight="1" x14ac:dyDescent="0.25"/>
    <row r="2689" s="21" customFormat="1" ht="15" customHeight="1" x14ac:dyDescent="0.25"/>
    <row r="2690" s="21" customFormat="1" ht="15" customHeight="1" x14ac:dyDescent="0.25"/>
    <row r="2691" s="21" customFormat="1" ht="15" customHeight="1" x14ac:dyDescent="0.25"/>
    <row r="2692" s="21" customFormat="1" ht="15" customHeight="1" x14ac:dyDescent="0.25"/>
    <row r="2693" s="21" customFormat="1" ht="15" customHeight="1" x14ac:dyDescent="0.25"/>
    <row r="2694" s="21" customFormat="1" ht="15" customHeight="1" x14ac:dyDescent="0.25"/>
    <row r="2695" s="21" customFormat="1" ht="15" customHeight="1" x14ac:dyDescent="0.25"/>
    <row r="2696" s="21" customFormat="1" ht="15" customHeight="1" x14ac:dyDescent="0.25"/>
    <row r="2697" s="21" customFormat="1" ht="15" customHeight="1" x14ac:dyDescent="0.25"/>
    <row r="2698" s="21" customFormat="1" ht="15" customHeight="1" x14ac:dyDescent="0.25"/>
    <row r="2699" s="21" customFormat="1" ht="15" customHeight="1" x14ac:dyDescent="0.25"/>
    <row r="2700" s="21" customFormat="1" ht="15" customHeight="1" x14ac:dyDescent="0.25"/>
    <row r="2701" s="21" customFormat="1" ht="15" customHeight="1" x14ac:dyDescent="0.25"/>
    <row r="2702" s="21" customFormat="1" ht="15" customHeight="1" x14ac:dyDescent="0.25"/>
    <row r="2703" s="21" customFormat="1" ht="15" customHeight="1" x14ac:dyDescent="0.25"/>
    <row r="2704" s="21" customFormat="1" ht="15" customHeight="1" x14ac:dyDescent="0.25"/>
    <row r="2705" s="21" customFormat="1" ht="15" customHeight="1" x14ac:dyDescent="0.25"/>
    <row r="2706" s="21" customFormat="1" ht="15" customHeight="1" x14ac:dyDescent="0.25"/>
    <row r="2707" s="21" customFormat="1" ht="15" customHeight="1" x14ac:dyDescent="0.25"/>
    <row r="2708" s="21" customFormat="1" ht="15" customHeight="1" x14ac:dyDescent="0.25"/>
    <row r="2709" s="21" customFormat="1" ht="15" customHeight="1" x14ac:dyDescent="0.25"/>
    <row r="2710" s="21" customFormat="1" ht="15" customHeight="1" x14ac:dyDescent="0.25"/>
    <row r="2711" s="21" customFormat="1" ht="15" customHeight="1" x14ac:dyDescent="0.25"/>
    <row r="2712" s="21" customFormat="1" ht="15" customHeight="1" x14ac:dyDescent="0.25"/>
    <row r="2713" s="21" customFormat="1" ht="15" customHeight="1" x14ac:dyDescent="0.25"/>
    <row r="2714" s="21" customFormat="1" ht="15" customHeight="1" x14ac:dyDescent="0.25"/>
    <row r="2715" s="21" customFormat="1" ht="15" customHeight="1" x14ac:dyDescent="0.25"/>
    <row r="2716" s="21" customFormat="1" ht="15" customHeight="1" x14ac:dyDescent="0.25"/>
    <row r="2717" s="21" customFormat="1" ht="15" customHeight="1" x14ac:dyDescent="0.25"/>
    <row r="2718" s="21" customFormat="1" ht="15" customHeight="1" x14ac:dyDescent="0.25"/>
    <row r="2719" s="21" customFormat="1" ht="15" customHeight="1" x14ac:dyDescent="0.25"/>
    <row r="2720" s="21" customFormat="1" ht="15" customHeight="1" x14ac:dyDescent="0.25"/>
    <row r="2721" s="21" customFormat="1" ht="15" customHeight="1" x14ac:dyDescent="0.25"/>
    <row r="2722" s="21" customFormat="1" ht="15" customHeight="1" x14ac:dyDescent="0.25"/>
    <row r="2723" s="21" customFormat="1" ht="15" customHeight="1" x14ac:dyDescent="0.25"/>
    <row r="2724" s="21" customFormat="1" ht="15" customHeight="1" x14ac:dyDescent="0.25"/>
    <row r="2725" s="21" customFormat="1" ht="15" customHeight="1" x14ac:dyDescent="0.25"/>
    <row r="2726" s="21" customFormat="1" ht="15" customHeight="1" x14ac:dyDescent="0.25"/>
    <row r="2727" s="21" customFormat="1" ht="15" customHeight="1" x14ac:dyDescent="0.25"/>
    <row r="2728" s="21" customFormat="1" ht="15" customHeight="1" x14ac:dyDescent="0.25"/>
    <row r="2729" s="21" customFormat="1" ht="15" customHeight="1" x14ac:dyDescent="0.25"/>
    <row r="2730" s="21" customFormat="1" ht="15" customHeight="1" x14ac:dyDescent="0.25"/>
    <row r="2731" s="21" customFormat="1" ht="15" customHeight="1" x14ac:dyDescent="0.25"/>
    <row r="2732" s="21" customFormat="1" ht="15" customHeight="1" x14ac:dyDescent="0.25"/>
    <row r="2733" s="21" customFormat="1" ht="15" customHeight="1" x14ac:dyDescent="0.25"/>
    <row r="2734" s="21" customFormat="1" ht="15" customHeight="1" x14ac:dyDescent="0.25"/>
    <row r="2735" s="21" customFormat="1" ht="15" customHeight="1" x14ac:dyDescent="0.25"/>
    <row r="2736" s="21" customFormat="1" ht="15" customHeight="1" x14ac:dyDescent="0.25"/>
    <row r="2737" s="21" customFormat="1" ht="15" customHeight="1" x14ac:dyDescent="0.25"/>
    <row r="2738" s="21" customFormat="1" ht="15" customHeight="1" x14ac:dyDescent="0.25"/>
    <row r="2739" s="21" customFormat="1" ht="15" customHeight="1" x14ac:dyDescent="0.25"/>
    <row r="2740" s="21" customFormat="1" ht="15" customHeight="1" x14ac:dyDescent="0.25"/>
    <row r="2741" s="21" customFormat="1" ht="15" customHeight="1" x14ac:dyDescent="0.25"/>
    <row r="2742" s="21" customFormat="1" ht="15" customHeight="1" x14ac:dyDescent="0.25"/>
    <row r="2743" s="21" customFormat="1" ht="15" customHeight="1" x14ac:dyDescent="0.25"/>
    <row r="2744" s="21" customFormat="1" ht="15" customHeight="1" x14ac:dyDescent="0.25"/>
    <row r="2745" s="21" customFormat="1" ht="15" customHeight="1" x14ac:dyDescent="0.25"/>
    <row r="2746" s="21" customFormat="1" ht="15" customHeight="1" x14ac:dyDescent="0.25"/>
    <row r="2747" s="21" customFormat="1" ht="15" customHeight="1" x14ac:dyDescent="0.25"/>
    <row r="2748" s="21" customFormat="1" ht="15" customHeight="1" x14ac:dyDescent="0.25"/>
    <row r="2749" s="21" customFormat="1" ht="15" customHeight="1" x14ac:dyDescent="0.25"/>
    <row r="2750" s="21" customFormat="1" ht="15" customHeight="1" x14ac:dyDescent="0.25"/>
    <row r="2751" s="21" customFormat="1" ht="15" customHeight="1" x14ac:dyDescent="0.25"/>
    <row r="2752" s="21" customFormat="1" ht="15" customHeight="1" x14ac:dyDescent="0.25"/>
    <row r="2753" s="21" customFormat="1" ht="15" customHeight="1" x14ac:dyDescent="0.25"/>
    <row r="2754" s="21" customFormat="1" ht="15" customHeight="1" x14ac:dyDescent="0.25"/>
    <row r="2755" s="21" customFormat="1" ht="15" customHeight="1" x14ac:dyDescent="0.25"/>
    <row r="2756" s="21" customFormat="1" ht="15" customHeight="1" x14ac:dyDescent="0.25"/>
    <row r="2757" s="21" customFormat="1" ht="15" customHeight="1" x14ac:dyDescent="0.25"/>
    <row r="2758" s="21" customFormat="1" ht="15" customHeight="1" x14ac:dyDescent="0.25"/>
    <row r="2759" s="21" customFormat="1" ht="15" customHeight="1" x14ac:dyDescent="0.25"/>
    <row r="2760" s="21" customFormat="1" ht="15" customHeight="1" x14ac:dyDescent="0.25"/>
    <row r="2761" s="21" customFormat="1" ht="15" customHeight="1" x14ac:dyDescent="0.25"/>
    <row r="2762" s="21" customFormat="1" ht="15" customHeight="1" x14ac:dyDescent="0.25"/>
    <row r="2763" s="21" customFormat="1" ht="15" customHeight="1" x14ac:dyDescent="0.25"/>
    <row r="2764" s="21" customFormat="1" ht="15" customHeight="1" x14ac:dyDescent="0.25"/>
    <row r="2765" s="21" customFormat="1" ht="15" customHeight="1" x14ac:dyDescent="0.25"/>
    <row r="2766" s="21" customFormat="1" ht="15" customHeight="1" x14ac:dyDescent="0.25"/>
    <row r="2767" s="21" customFormat="1" ht="15" customHeight="1" x14ac:dyDescent="0.25"/>
    <row r="2768" s="21" customFormat="1" ht="15" customHeight="1" x14ac:dyDescent="0.25"/>
    <row r="2769" s="21" customFormat="1" ht="15" customHeight="1" x14ac:dyDescent="0.25"/>
    <row r="2770" s="21" customFormat="1" ht="15" customHeight="1" x14ac:dyDescent="0.25"/>
    <row r="2771" s="21" customFormat="1" ht="15" customHeight="1" x14ac:dyDescent="0.25"/>
    <row r="2772" s="21" customFormat="1" ht="15" customHeight="1" x14ac:dyDescent="0.25"/>
    <row r="2773" s="21" customFormat="1" ht="15" customHeight="1" x14ac:dyDescent="0.25"/>
    <row r="2774" s="21" customFormat="1" ht="15" customHeight="1" x14ac:dyDescent="0.25"/>
    <row r="2775" s="21" customFormat="1" ht="15" customHeight="1" x14ac:dyDescent="0.25"/>
    <row r="2776" s="21" customFormat="1" ht="15" customHeight="1" x14ac:dyDescent="0.25"/>
    <row r="2777" s="21" customFormat="1" ht="15" customHeight="1" x14ac:dyDescent="0.25"/>
    <row r="2778" s="21" customFormat="1" ht="15" customHeight="1" x14ac:dyDescent="0.25"/>
    <row r="2779" s="21" customFormat="1" ht="15" customHeight="1" x14ac:dyDescent="0.25"/>
    <row r="2780" s="21" customFormat="1" ht="15" customHeight="1" x14ac:dyDescent="0.25"/>
    <row r="2781" s="21" customFormat="1" ht="15" customHeight="1" x14ac:dyDescent="0.25"/>
    <row r="2782" s="21" customFormat="1" ht="15" customHeight="1" x14ac:dyDescent="0.25"/>
    <row r="2783" s="21" customFormat="1" ht="15" customHeight="1" x14ac:dyDescent="0.25"/>
    <row r="2784" s="21" customFormat="1" ht="15" customHeight="1" x14ac:dyDescent="0.25"/>
    <row r="2785" s="21" customFormat="1" ht="15" customHeight="1" x14ac:dyDescent="0.25"/>
    <row r="2786" s="21" customFormat="1" ht="15" customHeight="1" x14ac:dyDescent="0.25"/>
    <row r="2787" s="21" customFormat="1" ht="15" customHeight="1" x14ac:dyDescent="0.25"/>
    <row r="2788" s="21" customFormat="1" ht="15" customHeight="1" x14ac:dyDescent="0.25"/>
    <row r="2789" s="21" customFormat="1" ht="15" customHeight="1" x14ac:dyDescent="0.25"/>
    <row r="2790" s="21" customFormat="1" ht="15" customHeight="1" x14ac:dyDescent="0.25"/>
    <row r="2791" s="21" customFormat="1" ht="15" customHeight="1" x14ac:dyDescent="0.25"/>
    <row r="2792" s="21" customFormat="1" ht="15" customHeight="1" x14ac:dyDescent="0.25"/>
    <row r="2793" s="21" customFormat="1" ht="15" customHeight="1" x14ac:dyDescent="0.25"/>
    <row r="2794" s="21" customFormat="1" ht="15" customHeight="1" x14ac:dyDescent="0.25"/>
    <row r="2795" s="21" customFormat="1" ht="15" customHeight="1" x14ac:dyDescent="0.25"/>
    <row r="2796" s="21" customFormat="1" ht="15" customHeight="1" x14ac:dyDescent="0.25"/>
    <row r="2797" s="21" customFormat="1" ht="15" customHeight="1" x14ac:dyDescent="0.25"/>
    <row r="2798" s="21" customFormat="1" ht="15" customHeight="1" x14ac:dyDescent="0.25"/>
    <row r="2799" s="21" customFormat="1" ht="15" customHeight="1" x14ac:dyDescent="0.25"/>
    <row r="2800" s="21" customFormat="1" ht="15" customHeight="1" x14ac:dyDescent="0.25"/>
    <row r="2801" s="21" customFormat="1" ht="15" customHeight="1" x14ac:dyDescent="0.25"/>
    <row r="2802" s="21" customFormat="1" ht="15" customHeight="1" x14ac:dyDescent="0.25"/>
    <row r="2803" s="21" customFormat="1" ht="15" customHeight="1" x14ac:dyDescent="0.25"/>
    <row r="2804" s="21" customFormat="1" ht="15" customHeight="1" x14ac:dyDescent="0.25"/>
    <row r="2805" s="21" customFormat="1" ht="15" customHeight="1" x14ac:dyDescent="0.25"/>
    <row r="2806" s="21" customFormat="1" ht="15" customHeight="1" x14ac:dyDescent="0.25"/>
    <row r="2807" s="21" customFormat="1" ht="15" customHeight="1" x14ac:dyDescent="0.25"/>
    <row r="2808" s="21" customFormat="1" ht="15" customHeight="1" x14ac:dyDescent="0.25"/>
    <row r="2809" s="21" customFormat="1" ht="15" customHeight="1" x14ac:dyDescent="0.25"/>
    <row r="2810" s="21" customFormat="1" ht="15" customHeight="1" x14ac:dyDescent="0.25"/>
    <row r="2811" s="21" customFormat="1" ht="15" customHeight="1" x14ac:dyDescent="0.25"/>
    <row r="2812" s="21" customFormat="1" ht="15" customHeight="1" x14ac:dyDescent="0.25"/>
    <row r="2813" s="21" customFormat="1" ht="15" customHeight="1" x14ac:dyDescent="0.25"/>
    <row r="2814" s="21" customFormat="1" ht="15" customHeight="1" x14ac:dyDescent="0.25"/>
    <row r="2815" s="21" customFormat="1" ht="15" customHeight="1" x14ac:dyDescent="0.25"/>
    <row r="2816" s="21" customFormat="1" ht="15" customHeight="1" x14ac:dyDescent="0.25"/>
    <row r="2817" s="21" customFormat="1" ht="15" customHeight="1" x14ac:dyDescent="0.25"/>
    <row r="2818" s="21" customFormat="1" ht="15" customHeight="1" x14ac:dyDescent="0.25"/>
    <row r="2819" s="21" customFormat="1" ht="15" customHeight="1" x14ac:dyDescent="0.25"/>
    <row r="2820" s="21" customFormat="1" ht="15" customHeight="1" x14ac:dyDescent="0.25"/>
    <row r="2821" s="21" customFormat="1" ht="15" customHeight="1" x14ac:dyDescent="0.25"/>
    <row r="2822" s="21" customFormat="1" ht="15" customHeight="1" x14ac:dyDescent="0.25"/>
    <row r="2823" s="21" customFormat="1" ht="15" customHeight="1" x14ac:dyDescent="0.25"/>
    <row r="2824" s="21" customFormat="1" ht="15" customHeight="1" x14ac:dyDescent="0.25"/>
    <row r="2825" s="21" customFormat="1" ht="15" customHeight="1" x14ac:dyDescent="0.25"/>
    <row r="2826" s="21" customFormat="1" ht="15" customHeight="1" x14ac:dyDescent="0.25"/>
    <row r="2827" s="21" customFormat="1" ht="15" customHeight="1" x14ac:dyDescent="0.25"/>
    <row r="2828" s="21" customFormat="1" ht="15" customHeight="1" x14ac:dyDescent="0.25"/>
    <row r="2829" s="21" customFormat="1" ht="15" customHeight="1" x14ac:dyDescent="0.25"/>
    <row r="2830" s="21" customFormat="1" ht="15" customHeight="1" x14ac:dyDescent="0.25"/>
    <row r="2831" s="21" customFormat="1" ht="15" customHeight="1" x14ac:dyDescent="0.25"/>
    <row r="2832" s="21" customFormat="1" ht="15" customHeight="1" x14ac:dyDescent="0.25"/>
    <row r="2833" s="21" customFormat="1" ht="15" customHeight="1" x14ac:dyDescent="0.25"/>
    <row r="2834" s="21" customFormat="1" ht="15" customHeight="1" x14ac:dyDescent="0.25"/>
    <row r="2835" s="21" customFormat="1" ht="15" customHeight="1" x14ac:dyDescent="0.25"/>
    <row r="2836" s="21" customFormat="1" ht="15" customHeight="1" x14ac:dyDescent="0.25"/>
    <row r="2837" s="21" customFormat="1" ht="15" customHeight="1" x14ac:dyDescent="0.25"/>
    <row r="2838" s="21" customFormat="1" ht="15" customHeight="1" x14ac:dyDescent="0.25"/>
    <row r="2839" s="21" customFormat="1" ht="15" customHeight="1" x14ac:dyDescent="0.25"/>
    <row r="2840" s="21" customFormat="1" ht="15" customHeight="1" x14ac:dyDescent="0.25"/>
    <row r="2841" s="21" customFormat="1" ht="15" customHeight="1" x14ac:dyDescent="0.25"/>
    <row r="2842" s="21" customFormat="1" ht="15" customHeight="1" x14ac:dyDescent="0.25"/>
    <row r="2843" s="21" customFormat="1" ht="15" customHeight="1" x14ac:dyDescent="0.25"/>
    <row r="2844" s="21" customFormat="1" ht="15" customHeight="1" x14ac:dyDescent="0.25"/>
    <row r="2845" s="21" customFormat="1" ht="15" customHeight="1" x14ac:dyDescent="0.25"/>
    <row r="2846" s="21" customFormat="1" ht="15" customHeight="1" x14ac:dyDescent="0.25"/>
    <row r="2847" s="21" customFormat="1" ht="15" customHeight="1" x14ac:dyDescent="0.25"/>
    <row r="2848" s="21" customFormat="1" ht="15" customHeight="1" x14ac:dyDescent="0.25"/>
    <row r="2849" s="21" customFormat="1" ht="15" customHeight="1" x14ac:dyDescent="0.25"/>
    <row r="2850" s="21" customFormat="1" ht="15" customHeight="1" x14ac:dyDescent="0.25"/>
    <row r="2851" s="21" customFormat="1" ht="15" customHeight="1" x14ac:dyDescent="0.25"/>
    <row r="2852" s="21" customFormat="1" ht="15" customHeight="1" x14ac:dyDescent="0.25"/>
    <row r="2853" s="21" customFormat="1" ht="15" customHeight="1" x14ac:dyDescent="0.25"/>
    <row r="2854" s="21" customFormat="1" ht="15" customHeight="1" x14ac:dyDescent="0.25"/>
    <row r="2855" s="21" customFormat="1" ht="15" customHeight="1" x14ac:dyDescent="0.25"/>
    <row r="2856" s="21" customFormat="1" ht="15" customHeight="1" x14ac:dyDescent="0.25"/>
    <row r="2857" s="21" customFormat="1" ht="15" customHeight="1" x14ac:dyDescent="0.25"/>
    <row r="2858" s="21" customFormat="1" ht="15" customHeight="1" x14ac:dyDescent="0.25"/>
    <row r="2859" s="21" customFormat="1" ht="15" customHeight="1" x14ac:dyDescent="0.25"/>
    <row r="2860" s="21" customFormat="1" ht="15" customHeight="1" x14ac:dyDescent="0.25"/>
    <row r="2861" s="21" customFormat="1" ht="15" customHeight="1" x14ac:dyDescent="0.25"/>
    <row r="2862" s="21" customFormat="1" ht="15" customHeight="1" x14ac:dyDescent="0.25"/>
    <row r="2863" s="21" customFormat="1" ht="15" customHeight="1" x14ac:dyDescent="0.25"/>
    <row r="2864" s="21" customFormat="1" ht="15" customHeight="1" x14ac:dyDescent="0.25"/>
    <row r="2865" s="21" customFormat="1" ht="15" customHeight="1" x14ac:dyDescent="0.25"/>
    <row r="2866" s="21" customFormat="1" ht="15" customHeight="1" x14ac:dyDescent="0.25"/>
    <row r="2867" s="21" customFormat="1" ht="15" customHeight="1" x14ac:dyDescent="0.25"/>
    <row r="2868" s="21" customFormat="1" ht="15" customHeight="1" x14ac:dyDescent="0.25"/>
    <row r="2869" s="21" customFormat="1" ht="15" customHeight="1" x14ac:dyDescent="0.25"/>
    <row r="2870" s="21" customFormat="1" ht="15" customHeight="1" x14ac:dyDescent="0.25"/>
    <row r="2871" s="21" customFormat="1" ht="15" customHeight="1" x14ac:dyDescent="0.25"/>
    <row r="2872" s="21" customFormat="1" ht="15" customHeight="1" x14ac:dyDescent="0.25"/>
    <row r="2873" s="21" customFormat="1" ht="15" customHeight="1" x14ac:dyDescent="0.25"/>
    <row r="2874" s="21" customFormat="1" ht="15" customHeight="1" x14ac:dyDescent="0.25"/>
    <row r="2875" s="21" customFormat="1" ht="15" customHeight="1" x14ac:dyDescent="0.25"/>
    <row r="2876" s="21" customFormat="1" ht="15" customHeight="1" x14ac:dyDescent="0.25"/>
    <row r="2877" s="21" customFormat="1" ht="15" customHeight="1" x14ac:dyDescent="0.25"/>
    <row r="2878" s="21" customFormat="1" ht="15" customHeight="1" x14ac:dyDescent="0.25"/>
    <row r="2879" s="21" customFormat="1" ht="15" customHeight="1" x14ac:dyDescent="0.25"/>
    <row r="2880" s="21" customFormat="1" ht="15" customHeight="1" x14ac:dyDescent="0.25"/>
    <row r="2881" s="21" customFormat="1" ht="15" customHeight="1" x14ac:dyDescent="0.25"/>
    <row r="2882" s="21" customFormat="1" ht="15" customHeight="1" x14ac:dyDescent="0.25"/>
    <row r="2883" s="21" customFormat="1" ht="15" customHeight="1" x14ac:dyDescent="0.25"/>
    <row r="2884" s="21" customFormat="1" ht="15" customHeight="1" x14ac:dyDescent="0.25"/>
    <row r="2885" s="21" customFormat="1" ht="15" customHeight="1" x14ac:dyDescent="0.25"/>
    <row r="2886" s="21" customFormat="1" ht="15" customHeight="1" x14ac:dyDescent="0.25"/>
    <row r="2887" s="21" customFormat="1" ht="15" customHeight="1" x14ac:dyDescent="0.25"/>
    <row r="2888" s="21" customFormat="1" ht="15" customHeight="1" x14ac:dyDescent="0.25"/>
    <row r="2889" s="21" customFormat="1" ht="15" customHeight="1" x14ac:dyDescent="0.25"/>
    <row r="2890" s="21" customFormat="1" ht="15" customHeight="1" x14ac:dyDescent="0.25"/>
    <row r="2891" s="21" customFormat="1" ht="15" customHeight="1" x14ac:dyDescent="0.25"/>
    <row r="2892" s="21" customFormat="1" ht="15" customHeight="1" x14ac:dyDescent="0.25"/>
    <row r="2893" s="21" customFormat="1" ht="15" customHeight="1" x14ac:dyDescent="0.25"/>
    <row r="2894" s="21" customFormat="1" ht="15" customHeight="1" x14ac:dyDescent="0.25"/>
    <row r="2895" s="21" customFormat="1" ht="15" customHeight="1" x14ac:dyDescent="0.25"/>
    <row r="2896" s="21" customFormat="1" ht="15" customHeight="1" x14ac:dyDescent="0.25"/>
    <row r="2897" s="21" customFormat="1" ht="15" customHeight="1" x14ac:dyDescent="0.25"/>
    <row r="2898" s="21" customFormat="1" ht="15" customHeight="1" x14ac:dyDescent="0.25"/>
    <row r="2899" s="21" customFormat="1" ht="15" customHeight="1" x14ac:dyDescent="0.25"/>
    <row r="2900" s="21" customFormat="1" ht="15" customHeight="1" x14ac:dyDescent="0.25"/>
    <row r="2901" s="21" customFormat="1" ht="15" customHeight="1" x14ac:dyDescent="0.25"/>
    <row r="2902" s="21" customFormat="1" ht="15" customHeight="1" x14ac:dyDescent="0.25"/>
    <row r="2903" s="21" customFormat="1" ht="15" customHeight="1" x14ac:dyDescent="0.25"/>
    <row r="2904" s="21" customFormat="1" ht="15" customHeight="1" x14ac:dyDescent="0.25"/>
    <row r="2905" s="21" customFormat="1" ht="15" customHeight="1" x14ac:dyDescent="0.25"/>
    <row r="2906" s="21" customFormat="1" ht="15" customHeight="1" x14ac:dyDescent="0.25"/>
    <row r="2907" s="21" customFormat="1" ht="15" customHeight="1" x14ac:dyDescent="0.25"/>
    <row r="2908" s="21" customFormat="1" ht="15" customHeight="1" x14ac:dyDescent="0.25"/>
    <row r="2909" s="21" customFormat="1" ht="15" customHeight="1" x14ac:dyDescent="0.25"/>
    <row r="2910" s="21" customFormat="1" ht="15" customHeight="1" x14ac:dyDescent="0.25"/>
    <row r="2911" s="21" customFormat="1" ht="15" customHeight="1" x14ac:dyDescent="0.25"/>
    <row r="2912" s="21" customFormat="1" ht="15" customHeight="1" x14ac:dyDescent="0.25"/>
    <row r="2913" s="21" customFormat="1" ht="15" customHeight="1" x14ac:dyDescent="0.25"/>
    <row r="2914" s="21" customFormat="1" ht="15" customHeight="1" x14ac:dyDescent="0.25"/>
    <row r="2915" s="21" customFormat="1" ht="15" customHeight="1" x14ac:dyDescent="0.25"/>
    <row r="2916" s="21" customFormat="1" ht="15" customHeight="1" x14ac:dyDescent="0.25"/>
    <row r="2917" s="21" customFormat="1" ht="15" customHeight="1" x14ac:dyDescent="0.25"/>
    <row r="2918" s="21" customFormat="1" ht="15" customHeight="1" x14ac:dyDescent="0.25"/>
    <row r="2919" s="21" customFormat="1" ht="15" customHeight="1" x14ac:dyDescent="0.25"/>
    <row r="2920" s="21" customFormat="1" ht="15" customHeight="1" x14ac:dyDescent="0.25"/>
    <row r="2921" s="21" customFormat="1" ht="15" customHeight="1" x14ac:dyDescent="0.25"/>
    <row r="2922" s="21" customFormat="1" ht="15" customHeight="1" x14ac:dyDescent="0.25"/>
    <row r="2923" s="21" customFormat="1" ht="15" customHeight="1" x14ac:dyDescent="0.25"/>
    <row r="2924" s="21" customFormat="1" ht="15" customHeight="1" x14ac:dyDescent="0.25"/>
    <row r="2925" s="21" customFormat="1" ht="15" customHeight="1" x14ac:dyDescent="0.25"/>
    <row r="2926" s="21" customFormat="1" ht="15" customHeight="1" x14ac:dyDescent="0.25"/>
    <row r="2927" s="21" customFormat="1" ht="15" customHeight="1" x14ac:dyDescent="0.25"/>
    <row r="2928" s="21" customFormat="1" ht="15" customHeight="1" x14ac:dyDescent="0.25"/>
    <row r="2929" s="21" customFormat="1" ht="15" customHeight="1" x14ac:dyDescent="0.25"/>
    <row r="2930" s="21" customFormat="1" ht="15" customHeight="1" x14ac:dyDescent="0.25"/>
    <row r="2931" s="21" customFormat="1" ht="15" customHeight="1" x14ac:dyDescent="0.25"/>
    <row r="2932" s="21" customFormat="1" ht="15" customHeight="1" x14ac:dyDescent="0.25"/>
    <row r="2933" s="21" customFormat="1" ht="15" customHeight="1" x14ac:dyDescent="0.25"/>
    <row r="2934" s="21" customFormat="1" ht="15" customHeight="1" x14ac:dyDescent="0.25"/>
    <row r="2935" s="21" customFormat="1" ht="15" customHeight="1" x14ac:dyDescent="0.25"/>
    <row r="2936" s="21" customFormat="1" ht="15" customHeight="1" x14ac:dyDescent="0.25"/>
    <row r="2937" s="21" customFormat="1" ht="15" customHeight="1" x14ac:dyDescent="0.25"/>
    <row r="2938" s="21" customFormat="1" ht="15" customHeight="1" x14ac:dyDescent="0.25"/>
    <row r="2939" s="21" customFormat="1" ht="15" customHeight="1" x14ac:dyDescent="0.25"/>
    <row r="2940" s="21" customFormat="1" ht="15" customHeight="1" x14ac:dyDescent="0.25"/>
    <row r="2941" s="21" customFormat="1" ht="15" customHeight="1" x14ac:dyDescent="0.25"/>
    <row r="2942" s="21" customFormat="1" ht="15" customHeight="1" x14ac:dyDescent="0.25"/>
    <row r="2943" s="21" customFormat="1" ht="15" customHeight="1" x14ac:dyDescent="0.25"/>
    <row r="2944" s="21" customFormat="1" ht="15" customHeight="1" x14ac:dyDescent="0.25"/>
    <row r="2945" s="21" customFormat="1" ht="15" customHeight="1" x14ac:dyDescent="0.25"/>
    <row r="2946" s="21" customFormat="1" ht="15" customHeight="1" x14ac:dyDescent="0.25"/>
    <row r="2947" s="21" customFormat="1" ht="15" customHeight="1" x14ac:dyDescent="0.25"/>
    <row r="2948" s="21" customFormat="1" ht="15" customHeight="1" x14ac:dyDescent="0.25"/>
    <row r="2949" s="21" customFormat="1" ht="15" customHeight="1" x14ac:dyDescent="0.25"/>
    <row r="2950" s="21" customFormat="1" ht="15" customHeight="1" x14ac:dyDescent="0.25"/>
    <row r="2951" s="21" customFormat="1" ht="15" customHeight="1" x14ac:dyDescent="0.25"/>
    <row r="2952" s="21" customFormat="1" ht="15" customHeight="1" x14ac:dyDescent="0.25"/>
    <row r="2953" s="21" customFormat="1" ht="15" customHeight="1" x14ac:dyDescent="0.25"/>
    <row r="2954" s="21" customFormat="1" ht="15" customHeight="1" x14ac:dyDescent="0.25"/>
    <row r="2955" s="21" customFormat="1" ht="15" customHeight="1" x14ac:dyDescent="0.25"/>
    <row r="2956" s="21" customFormat="1" ht="15" customHeight="1" x14ac:dyDescent="0.25"/>
    <row r="2957" s="21" customFormat="1" ht="15" customHeight="1" x14ac:dyDescent="0.25"/>
    <row r="2958" s="21" customFormat="1" ht="15" customHeight="1" x14ac:dyDescent="0.25"/>
    <row r="2959" s="21" customFormat="1" ht="15" customHeight="1" x14ac:dyDescent="0.25"/>
    <row r="2960" s="21" customFormat="1" ht="15" customHeight="1" x14ac:dyDescent="0.25"/>
    <row r="2961" s="21" customFormat="1" ht="15" customHeight="1" x14ac:dyDescent="0.25"/>
    <row r="2962" s="21" customFormat="1" ht="15" customHeight="1" x14ac:dyDescent="0.25"/>
    <row r="2963" s="21" customFormat="1" ht="15" customHeight="1" x14ac:dyDescent="0.25"/>
    <row r="2964" s="21" customFormat="1" ht="15" customHeight="1" x14ac:dyDescent="0.25"/>
    <row r="2965" s="21" customFormat="1" ht="15" customHeight="1" x14ac:dyDescent="0.25"/>
    <row r="2966" s="21" customFormat="1" ht="15" customHeight="1" x14ac:dyDescent="0.25"/>
    <row r="2967" s="21" customFormat="1" ht="15" customHeight="1" x14ac:dyDescent="0.25"/>
    <row r="2968" s="21" customFormat="1" ht="15" customHeight="1" x14ac:dyDescent="0.25"/>
    <row r="2969" s="21" customFormat="1" ht="15" customHeight="1" x14ac:dyDescent="0.25"/>
    <row r="2970" s="21" customFormat="1" ht="15" customHeight="1" x14ac:dyDescent="0.25"/>
    <row r="2971" s="21" customFormat="1" ht="15" customHeight="1" x14ac:dyDescent="0.25"/>
    <row r="2972" s="21" customFormat="1" ht="15" customHeight="1" x14ac:dyDescent="0.25"/>
    <row r="2973" s="21" customFormat="1" ht="15" customHeight="1" x14ac:dyDescent="0.25"/>
    <row r="2974" s="21" customFormat="1" ht="15" customHeight="1" x14ac:dyDescent="0.25"/>
    <row r="2975" s="21" customFormat="1" ht="15" customHeight="1" x14ac:dyDescent="0.25"/>
    <row r="2976" s="21" customFormat="1" ht="15" customHeight="1" x14ac:dyDescent="0.25"/>
    <row r="2977" s="21" customFormat="1" ht="15" customHeight="1" x14ac:dyDescent="0.25"/>
    <row r="2978" s="21" customFormat="1" ht="15" customHeight="1" x14ac:dyDescent="0.25"/>
    <row r="2979" s="21" customFormat="1" ht="15" customHeight="1" x14ac:dyDescent="0.25"/>
    <row r="2980" s="21" customFormat="1" ht="15" customHeight="1" x14ac:dyDescent="0.25"/>
    <row r="2981" s="21" customFormat="1" ht="15" customHeight="1" x14ac:dyDescent="0.25"/>
    <row r="2982" s="21" customFormat="1" ht="15" customHeight="1" x14ac:dyDescent="0.25"/>
    <row r="2983" s="21" customFormat="1" ht="15" customHeight="1" x14ac:dyDescent="0.25"/>
    <row r="2984" s="21" customFormat="1" ht="15" customHeight="1" x14ac:dyDescent="0.25"/>
    <row r="2985" s="21" customFormat="1" ht="15" customHeight="1" x14ac:dyDescent="0.25"/>
    <row r="2986" s="21" customFormat="1" ht="15" customHeight="1" x14ac:dyDescent="0.25"/>
    <row r="2987" s="21" customFormat="1" ht="15" customHeight="1" x14ac:dyDescent="0.25"/>
    <row r="2988" s="21" customFormat="1" ht="15" customHeight="1" x14ac:dyDescent="0.25"/>
    <row r="2989" s="21" customFormat="1" ht="15" customHeight="1" x14ac:dyDescent="0.25"/>
    <row r="2990" s="21" customFormat="1" ht="15" customHeight="1" x14ac:dyDescent="0.25"/>
    <row r="2991" s="21" customFormat="1" ht="15" customHeight="1" x14ac:dyDescent="0.25"/>
    <row r="2992" s="21" customFormat="1" ht="15" customHeight="1" x14ac:dyDescent="0.25"/>
    <row r="2993" s="21" customFormat="1" ht="15" customHeight="1" x14ac:dyDescent="0.25"/>
    <row r="2994" s="21" customFormat="1" ht="15" customHeight="1" x14ac:dyDescent="0.25"/>
    <row r="2995" s="21" customFormat="1" ht="15" customHeight="1" x14ac:dyDescent="0.25"/>
    <row r="2996" s="21" customFormat="1" ht="15" customHeight="1" x14ac:dyDescent="0.25"/>
    <row r="2997" s="21" customFormat="1" ht="15" customHeight="1" x14ac:dyDescent="0.25"/>
    <row r="2998" s="21" customFormat="1" ht="15" customHeight="1" x14ac:dyDescent="0.25"/>
    <row r="2999" s="21" customFormat="1" ht="15" customHeight="1" x14ac:dyDescent="0.25"/>
    <row r="3000" s="21" customFormat="1" ht="15" customHeight="1" x14ac:dyDescent="0.25"/>
    <row r="3001" s="21" customFormat="1" ht="15" customHeight="1" x14ac:dyDescent="0.25"/>
    <row r="3002" s="21" customFormat="1" ht="15" customHeight="1" x14ac:dyDescent="0.25"/>
    <row r="3003" s="21" customFormat="1" ht="15" customHeight="1" x14ac:dyDescent="0.25"/>
    <row r="3004" s="21" customFormat="1" ht="15" customHeight="1" x14ac:dyDescent="0.25"/>
    <row r="3005" s="21" customFormat="1" ht="15" customHeight="1" x14ac:dyDescent="0.25"/>
    <row r="3006" s="21" customFormat="1" ht="15" customHeight="1" x14ac:dyDescent="0.25"/>
    <row r="3007" s="21" customFormat="1" ht="15" customHeight="1" x14ac:dyDescent="0.25"/>
    <row r="3008" s="21" customFormat="1" ht="15" customHeight="1" x14ac:dyDescent="0.25"/>
    <row r="3009" s="21" customFormat="1" ht="15" customHeight="1" x14ac:dyDescent="0.25"/>
    <row r="3010" s="21" customFormat="1" ht="15" customHeight="1" x14ac:dyDescent="0.25"/>
    <row r="3011" s="21" customFormat="1" ht="15" customHeight="1" x14ac:dyDescent="0.25"/>
    <row r="3012" s="21" customFormat="1" ht="15" customHeight="1" x14ac:dyDescent="0.25"/>
    <row r="3013" s="21" customFormat="1" ht="15" customHeight="1" x14ac:dyDescent="0.25"/>
    <row r="3014" s="21" customFormat="1" ht="15" customHeight="1" x14ac:dyDescent="0.25"/>
    <row r="3015" s="21" customFormat="1" ht="15" customHeight="1" x14ac:dyDescent="0.25"/>
    <row r="3016" s="21" customFormat="1" ht="15" customHeight="1" x14ac:dyDescent="0.25"/>
    <row r="3017" s="21" customFormat="1" ht="15" customHeight="1" x14ac:dyDescent="0.25"/>
    <row r="3018" s="21" customFormat="1" ht="15" customHeight="1" x14ac:dyDescent="0.25"/>
    <row r="3019" s="21" customFormat="1" ht="15" customHeight="1" x14ac:dyDescent="0.25"/>
    <row r="3020" s="21" customFormat="1" ht="15" customHeight="1" x14ac:dyDescent="0.25"/>
    <row r="3021" s="21" customFormat="1" ht="15" customHeight="1" x14ac:dyDescent="0.25"/>
    <row r="3022" s="21" customFormat="1" ht="15" customHeight="1" x14ac:dyDescent="0.25"/>
    <row r="3023" s="21" customFormat="1" ht="15" customHeight="1" x14ac:dyDescent="0.25"/>
    <row r="3024" s="21" customFormat="1" ht="15" customHeight="1" x14ac:dyDescent="0.25"/>
    <row r="3025" s="21" customFormat="1" ht="15" customHeight="1" x14ac:dyDescent="0.25"/>
    <row r="3026" s="21" customFormat="1" ht="15" customHeight="1" x14ac:dyDescent="0.25"/>
    <row r="3027" s="21" customFormat="1" ht="15" customHeight="1" x14ac:dyDescent="0.25"/>
    <row r="3028" s="21" customFormat="1" ht="15" customHeight="1" x14ac:dyDescent="0.25"/>
    <row r="3029" s="21" customFormat="1" ht="15" customHeight="1" x14ac:dyDescent="0.25"/>
    <row r="3030" s="21" customFormat="1" ht="15" customHeight="1" x14ac:dyDescent="0.25"/>
    <row r="3031" s="21" customFormat="1" ht="15" customHeight="1" x14ac:dyDescent="0.25"/>
    <row r="3032" s="21" customFormat="1" ht="15" customHeight="1" x14ac:dyDescent="0.25"/>
    <row r="3033" s="21" customFormat="1" ht="15" customHeight="1" x14ac:dyDescent="0.25"/>
    <row r="3034" s="21" customFormat="1" ht="15" customHeight="1" x14ac:dyDescent="0.25"/>
    <row r="3035" s="21" customFormat="1" ht="15" customHeight="1" x14ac:dyDescent="0.25"/>
    <row r="3036" s="21" customFormat="1" ht="15" customHeight="1" x14ac:dyDescent="0.25"/>
    <row r="3037" s="21" customFormat="1" ht="15" customHeight="1" x14ac:dyDescent="0.25"/>
    <row r="3038" s="21" customFormat="1" ht="15" customHeight="1" x14ac:dyDescent="0.25"/>
    <row r="3039" s="21" customFormat="1" ht="15" customHeight="1" x14ac:dyDescent="0.25"/>
    <row r="3040" s="21" customFormat="1" ht="15" customHeight="1" x14ac:dyDescent="0.25"/>
    <row r="3041" s="21" customFormat="1" ht="15" customHeight="1" x14ac:dyDescent="0.25"/>
    <row r="3042" s="21" customFormat="1" ht="15" customHeight="1" x14ac:dyDescent="0.25"/>
    <row r="3043" s="21" customFormat="1" ht="15" customHeight="1" x14ac:dyDescent="0.25"/>
    <row r="3044" s="21" customFormat="1" ht="15" customHeight="1" x14ac:dyDescent="0.25"/>
    <row r="3045" s="21" customFormat="1" ht="15" customHeight="1" x14ac:dyDescent="0.25"/>
    <row r="3046" s="21" customFormat="1" ht="15" customHeight="1" x14ac:dyDescent="0.25"/>
    <row r="3047" s="21" customFormat="1" ht="15" customHeight="1" x14ac:dyDescent="0.25"/>
    <row r="3048" s="21" customFormat="1" ht="15" customHeight="1" x14ac:dyDescent="0.25"/>
    <row r="3049" s="21" customFormat="1" ht="15" customHeight="1" x14ac:dyDescent="0.25"/>
    <row r="3050" s="21" customFormat="1" ht="15" customHeight="1" x14ac:dyDescent="0.25"/>
    <row r="3051" s="21" customFormat="1" ht="15" customHeight="1" x14ac:dyDescent="0.25"/>
    <row r="3052" s="21" customFormat="1" ht="15" customHeight="1" x14ac:dyDescent="0.25"/>
    <row r="3053" s="21" customFormat="1" ht="15" customHeight="1" x14ac:dyDescent="0.25"/>
    <row r="3054" s="21" customFormat="1" ht="15" customHeight="1" x14ac:dyDescent="0.25"/>
    <row r="3055" s="21" customFormat="1" ht="15" customHeight="1" x14ac:dyDescent="0.25"/>
    <row r="3056" s="21" customFormat="1" ht="15" customHeight="1" x14ac:dyDescent="0.25"/>
    <row r="3057" s="21" customFormat="1" ht="15" customHeight="1" x14ac:dyDescent="0.25"/>
    <row r="3058" s="21" customFormat="1" ht="15" customHeight="1" x14ac:dyDescent="0.25"/>
    <row r="3059" s="21" customFormat="1" ht="15" customHeight="1" x14ac:dyDescent="0.25"/>
    <row r="3060" s="21" customFormat="1" ht="15" customHeight="1" x14ac:dyDescent="0.25"/>
    <row r="3061" s="21" customFormat="1" ht="15" customHeight="1" x14ac:dyDescent="0.25"/>
    <row r="3062" s="21" customFormat="1" ht="15" customHeight="1" x14ac:dyDescent="0.25"/>
    <row r="3063" s="21" customFormat="1" ht="15" customHeight="1" x14ac:dyDescent="0.25"/>
    <row r="3064" s="21" customFormat="1" ht="15" customHeight="1" x14ac:dyDescent="0.25"/>
    <row r="3065" s="21" customFormat="1" ht="15" customHeight="1" x14ac:dyDescent="0.25"/>
    <row r="3066" s="21" customFormat="1" ht="15" customHeight="1" x14ac:dyDescent="0.25"/>
    <row r="3067" s="21" customFormat="1" ht="15" customHeight="1" x14ac:dyDescent="0.25"/>
    <row r="3068" s="21" customFormat="1" ht="15" customHeight="1" x14ac:dyDescent="0.25"/>
    <row r="3069" s="21" customFormat="1" ht="15" customHeight="1" x14ac:dyDescent="0.25"/>
    <row r="3070" s="21" customFormat="1" ht="15" customHeight="1" x14ac:dyDescent="0.25"/>
    <row r="3071" s="21" customFormat="1" ht="15" customHeight="1" x14ac:dyDescent="0.25"/>
    <row r="3072" s="21" customFormat="1" ht="15" customHeight="1" x14ac:dyDescent="0.25"/>
    <row r="3073" s="21" customFormat="1" ht="15" customHeight="1" x14ac:dyDescent="0.25"/>
    <row r="3074" s="21" customFormat="1" ht="15" customHeight="1" x14ac:dyDescent="0.25"/>
    <row r="3075" s="21" customFormat="1" ht="15" customHeight="1" x14ac:dyDescent="0.25"/>
    <row r="3076" s="21" customFormat="1" ht="15" customHeight="1" x14ac:dyDescent="0.25"/>
    <row r="3077" s="21" customFormat="1" ht="15" customHeight="1" x14ac:dyDescent="0.25"/>
    <row r="3078" s="21" customFormat="1" ht="15" customHeight="1" x14ac:dyDescent="0.25"/>
    <row r="3079" s="21" customFormat="1" ht="15" customHeight="1" x14ac:dyDescent="0.25"/>
    <row r="3080" s="21" customFormat="1" ht="15" customHeight="1" x14ac:dyDescent="0.25"/>
    <row r="3081" s="21" customFormat="1" ht="15" customHeight="1" x14ac:dyDescent="0.25"/>
    <row r="3082" s="21" customFormat="1" ht="15" customHeight="1" x14ac:dyDescent="0.25"/>
    <row r="3083" s="21" customFormat="1" ht="15" customHeight="1" x14ac:dyDescent="0.25"/>
    <row r="3084" s="21" customFormat="1" ht="15" customHeight="1" x14ac:dyDescent="0.25"/>
    <row r="3085" s="21" customFormat="1" ht="15" customHeight="1" x14ac:dyDescent="0.25"/>
    <row r="3086" s="21" customFormat="1" ht="15" customHeight="1" x14ac:dyDescent="0.25"/>
    <row r="3087" s="21" customFormat="1" ht="15" customHeight="1" x14ac:dyDescent="0.25"/>
    <row r="3088" s="21" customFormat="1" ht="15" customHeight="1" x14ac:dyDescent="0.25"/>
    <row r="3089" s="21" customFormat="1" ht="15" customHeight="1" x14ac:dyDescent="0.25"/>
    <row r="3090" s="21" customFormat="1" ht="15" customHeight="1" x14ac:dyDescent="0.25"/>
    <row r="3091" s="21" customFormat="1" ht="15" customHeight="1" x14ac:dyDescent="0.25"/>
    <row r="3092" s="21" customFormat="1" ht="15" customHeight="1" x14ac:dyDescent="0.25"/>
    <row r="3093" s="21" customFormat="1" ht="15" customHeight="1" x14ac:dyDescent="0.25"/>
    <row r="3094" s="21" customFormat="1" ht="15" customHeight="1" x14ac:dyDescent="0.25"/>
    <row r="3095" s="21" customFormat="1" ht="15" customHeight="1" x14ac:dyDescent="0.25"/>
    <row r="3096" s="21" customFormat="1" ht="15" customHeight="1" x14ac:dyDescent="0.25"/>
    <row r="3097" s="21" customFormat="1" ht="15" customHeight="1" x14ac:dyDescent="0.25"/>
    <row r="3098" s="21" customFormat="1" ht="15" customHeight="1" x14ac:dyDescent="0.25"/>
    <row r="3099" s="21" customFormat="1" ht="15" customHeight="1" x14ac:dyDescent="0.25"/>
    <row r="3100" s="21" customFormat="1" ht="15" customHeight="1" x14ac:dyDescent="0.25"/>
    <row r="3101" s="21" customFormat="1" ht="15" customHeight="1" x14ac:dyDescent="0.25"/>
    <row r="3102" s="21" customFormat="1" ht="15" customHeight="1" x14ac:dyDescent="0.25"/>
    <row r="3103" s="21" customFormat="1" ht="15" customHeight="1" x14ac:dyDescent="0.25"/>
    <row r="3104" s="21" customFormat="1" ht="15" customHeight="1" x14ac:dyDescent="0.25"/>
    <row r="3105" s="21" customFormat="1" ht="15" customHeight="1" x14ac:dyDescent="0.25"/>
    <row r="3106" s="21" customFormat="1" ht="15" customHeight="1" x14ac:dyDescent="0.25"/>
    <row r="3107" s="21" customFormat="1" ht="15" customHeight="1" x14ac:dyDescent="0.25"/>
    <row r="3108" s="21" customFormat="1" ht="15" customHeight="1" x14ac:dyDescent="0.25"/>
    <row r="3109" s="21" customFormat="1" ht="15" customHeight="1" x14ac:dyDescent="0.25"/>
    <row r="3110" s="21" customFormat="1" ht="15" customHeight="1" x14ac:dyDescent="0.25"/>
    <row r="3111" s="21" customFormat="1" ht="15" customHeight="1" x14ac:dyDescent="0.25"/>
    <row r="3112" s="21" customFormat="1" ht="15" customHeight="1" x14ac:dyDescent="0.25"/>
    <row r="3113" s="21" customFormat="1" ht="15" customHeight="1" x14ac:dyDescent="0.25"/>
    <row r="3114" s="21" customFormat="1" ht="15" customHeight="1" x14ac:dyDescent="0.25"/>
    <row r="3115" s="21" customFormat="1" ht="15" customHeight="1" x14ac:dyDescent="0.25"/>
    <row r="3116" s="21" customFormat="1" ht="15" customHeight="1" x14ac:dyDescent="0.25"/>
    <row r="3117" s="21" customFormat="1" ht="15" customHeight="1" x14ac:dyDescent="0.25"/>
    <row r="3118" s="21" customFormat="1" ht="15" customHeight="1" x14ac:dyDescent="0.25"/>
    <row r="3119" s="21" customFormat="1" ht="15" customHeight="1" x14ac:dyDescent="0.25"/>
    <row r="3120" s="21" customFormat="1" ht="15" customHeight="1" x14ac:dyDescent="0.25"/>
    <row r="3121" s="21" customFormat="1" ht="15" customHeight="1" x14ac:dyDescent="0.25"/>
    <row r="3122" s="21" customFormat="1" ht="15" customHeight="1" x14ac:dyDescent="0.25"/>
    <row r="3123" s="21" customFormat="1" ht="15" customHeight="1" x14ac:dyDescent="0.25"/>
    <row r="3124" s="21" customFormat="1" ht="15" customHeight="1" x14ac:dyDescent="0.25"/>
    <row r="3125" s="21" customFormat="1" ht="15" customHeight="1" x14ac:dyDescent="0.25"/>
    <row r="3126" s="21" customFormat="1" ht="15" customHeight="1" x14ac:dyDescent="0.25"/>
    <row r="3127" s="21" customFormat="1" ht="15" customHeight="1" x14ac:dyDescent="0.25"/>
    <row r="3128" s="21" customFormat="1" ht="15" customHeight="1" x14ac:dyDescent="0.25"/>
    <row r="3129" s="21" customFormat="1" ht="15" customHeight="1" x14ac:dyDescent="0.25"/>
    <row r="3130" s="21" customFormat="1" ht="15" customHeight="1" x14ac:dyDescent="0.25"/>
    <row r="3131" s="21" customFormat="1" ht="15" customHeight="1" x14ac:dyDescent="0.25"/>
    <row r="3132" s="21" customFormat="1" ht="15" customHeight="1" x14ac:dyDescent="0.25"/>
    <row r="3133" s="21" customFormat="1" ht="15" customHeight="1" x14ac:dyDescent="0.25"/>
    <row r="3134" s="21" customFormat="1" ht="15" customHeight="1" x14ac:dyDescent="0.25"/>
    <row r="3135" s="21" customFormat="1" ht="15" customHeight="1" x14ac:dyDescent="0.25"/>
    <row r="3136" s="21" customFormat="1" ht="15" customHeight="1" x14ac:dyDescent="0.25"/>
    <row r="3137" s="21" customFormat="1" ht="15" customHeight="1" x14ac:dyDescent="0.25"/>
    <row r="3138" s="21" customFormat="1" ht="15" customHeight="1" x14ac:dyDescent="0.25"/>
    <row r="3139" s="21" customFormat="1" ht="15" customHeight="1" x14ac:dyDescent="0.25"/>
    <row r="3140" s="21" customFormat="1" ht="15" customHeight="1" x14ac:dyDescent="0.25"/>
    <row r="3141" s="21" customFormat="1" ht="15" customHeight="1" x14ac:dyDescent="0.25"/>
    <row r="3142" s="21" customFormat="1" ht="15" customHeight="1" x14ac:dyDescent="0.25"/>
    <row r="3143" s="21" customFormat="1" ht="15" customHeight="1" x14ac:dyDescent="0.25"/>
    <row r="3144" s="21" customFormat="1" ht="15" customHeight="1" x14ac:dyDescent="0.25"/>
    <row r="3145" s="21" customFormat="1" ht="15" customHeight="1" x14ac:dyDescent="0.25"/>
    <row r="3146" s="21" customFormat="1" ht="15" customHeight="1" x14ac:dyDescent="0.25"/>
    <row r="3147" s="21" customFormat="1" ht="15" customHeight="1" x14ac:dyDescent="0.25"/>
    <row r="3148" s="21" customFormat="1" ht="15" customHeight="1" x14ac:dyDescent="0.25"/>
    <row r="3149" s="21" customFormat="1" ht="15" customHeight="1" x14ac:dyDescent="0.25"/>
    <row r="3150" s="21" customFormat="1" ht="15" customHeight="1" x14ac:dyDescent="0.25"/>
    <row r="3151" s="21" customFormat="1" ht="15" customHeight="1" x14ac:dyDescent="0.25"/>
    <row r="3152" s="21" customFormat="1" ht="15" customHeight="1" x14ac:dyDescent="0.25"/>
    <row r="3153" s="21" customFormat="1" ht="15" customHeight="1" x14ac:dyDescent="0.25"/>
    <row r="3154" s="21" customFormat="1" ht="15" customHeight="1" x14ac:dyDescent="0.25"/>
    <row r="3155" s="21" customFormat="1" ht="15" customHeight="1" x14ac:dyDescent="0.25"/>
    <row r="3156" s="21" customFormat="1" ht="15" customHeight="1" x14ac:dyDescent="0.25"/>
    <row r="3157" s="21" customFormat="1" ht="15" customHeight="1" x14ac:dyDescent="0.25"/>
    <row r="3158" s="21" customFormat="1" ht="15" customHeight="1" x14ac:dyDescent="0.25"/>
    <row r="3159" s="21" customFormat="1" ht="15" customHeight="1" x14ac:dyDescent="0.25"/>
    <row r="3160" s="21" customFormat="1" ht="15" customHeight="1" x14ac:dyDescent="0.25"/>
    <row r="3161" s="21" customFormat="1" ht="15" customHeight="1" x14ac:dyDescent="0.25"/>
    <row r="3162" s="21" customFormat="1" ht="15" customHeight="1" x14ac:dyDescent="0.25"/>
    <row r="3163" s="21" customFormat="1" ht="15" customHeight="1" x14ac:dyDescent="0.25"/>
    <row r="3164" s="21" customFormat="1" ht="15" customHeight="1" x14ac:dyDescent="0.25"/>
    <row r="3165" s="21" customFormat="1" ht="15" customHeight="1" x14ac:dyDescent="0.25"/>
    <row r="3166" s="21" customFormat="1" ht="15" customHeight="1" x14ac:dyDescent="0.25"/>
    <row r="3167" s="21" customFormat="1" ht="15" customHeight="1" x14ac:dyDescent="0.25"/>
    <row r="3168" s="21" customFormat="1" ht="15" customHeight="1" x14ac:dyDescent="0.25"/>
    <row r="3169" s="21" customFormat="1" ht="15" customHeight="1" x14ac:dyDescent="0.25"/>
    <row r="3170" s="21" customFormat="1" ht="15" customHeight="1" x14ac:dyDescent="0.25"/>
    <row r="3171" s="21" customFormat="1" ht="15" customHeight="1" x14ac:dyDescent="0.25"/>
    <row r="3172" s="21" customFormat="1" ht="15" customHeight="1" x14ac:dyDescent="0.25"/>
    <row r="3173" s="21" customFormat="1" ht="15" customHeight="1" x14ac:dyDescent="0.25"/>
    <row r="3174" s="21" customFormat="1" ht="15" customHeight="1" x14ac:dyDescent="0.25"/>
    <row r="3175" s="21" customFormat="1" ht="15" customHeight="1" x14ac:dyDescent="0.25"/>
    <row r="3176" s="21" customFormat="1" ht="15" customHeight="1" x14ac:dyDescent="0.25"/>
    <row r="3177" s="21" customFormat="1" ht="15" customHeight="1" x14ac:dyDescent="0.25"/>
    <row r="3178" s="21" customFormat="1" ht="15" customHeight="1" x14ac:dyDescent="0.25"/>
    <row r="3179" s="21" customFormat="1" ht="15" customHeight="1" x14ac:dyDescent="0.25"/>
    <row r="3180" s="21" customFormat="1" ht="15" customHeight="1" x14ac:dyDescent="0.25"/>
    <row r="3181" s="21" customFormat="1" ht="15" customHeight="1" x14ac:dyDescent="0.25"/>
    <row r="3182" s="21" customFormat="1" ht="15" customHeight="1" x14ac:dyDescent="0.25"/>
    <row r="3183" s="21" customFormat="1" ht="15" customHeight="1" x14ac:dyDescent="0.25"/>
    <row r="3184" s="21" customFormat="1" ht="15" customHeight="1" x14ac:dyDescent="0.25"/>
    <row r="3185" s="21" customFormat="1" ht="15" customHeight="1" x14ac:dyDescent="0.25"/>
    <row r="3186" s="21" customFormat="1" ht="15" customHeight="1" x14ac:dyDescent="0.25"/>
    <row r="3187" s="21" customFormat="1" ht="15" customHeight="1" x14ac:dyDescent="0.25"/>
    <row r="3188" s="21" customFormat="1" ht="15" customHeight="1" x14ac:dyDescent="0.25"/>
    <row r="3189" s="21" customFormat="1" ht="15" customHeight="1" x14ac:dyDescent="0.25"/>
    <row r="3190" s="21" customFormat="1" ht="15" customHeight="1" x14ac:dyDescent="0.25"/>
    <row r="3191" s="21" customFormat="1" ht="15" customHeight="1" x14ac:dyDescent="0.25"/>
    <row r="3192" s="21" customFormat="1" ht="15" customHeight="1" x14ac:dyDescent="0.25"/>
    <row r="3193" s="21" customFormat="1" ht="15" customHeight="1" x14ac:dyDescent="0.25"/>
    <row r="3194" s="21" customFormat="1" ht="15" customHeight="1" x14ac:dyDescent="0.25"/>
    <row r="3195" s="21" customFormat="1" ht="15" customHeight="1" x14ac:dyDescent="0.25"/>
    <row r="3196" s="21" customFormat="1" ht="15" customHeight="1" x14ac:dyDescent="0.25"/>
    <row r="3197" s="21" customFormat="1" ht="15" customHeight="1" x14ac:dyDescent="0.25"/>
    <row r="3198" s="21" customFormat="1" ht="15" customHeight="1" x14ac:dyDescent="0.25"/>
    <row r="3199" s="21" customFormat="1" ht="15" customHeight="1" x14ac:dyDescent="0.25"/>
    <row r="3200" s="21" customFormat="1" ht="15" customHeight="1" x14ac:dyDescent="0.25"/>
    <row r="3201" s="21" customFormat="1" ht="15" customHeight="1" x14ac:dyDescent="0.25"/>
    <row r="3202" s="21" customFormat="1" ht="15" customHeight="1" x14ac:dyDescent="0.25"/>
    <row r="3203" s="21" customFormat="1" ht="15" customHeight="1" x14ac:dyDescent="0.25"/>
    <row r="3204" s="21" customFormat="1" ht="15" customHeight="1" x14ac:dyDescent="0.25"/>
    <row r="3205" s="21" customFormat="1" ht="15" customHeight="1" x14ac:dyDescent="0.25"/>
    <row r="3206" s="21" customFormat="1" ht="15" customHeight="1" x14ac:dyDescent="0.25"/>
    <row r="3207" s="21" customFormat="1" ht="15" customHeight="1" x14ac:dyDescent="0.25"/>
    <row r="3208" s="21" customFormat="1" ht="15" customHeight="1" x14ac:dyDescent="0.25"/>
    <row r="3209" s="21" customFormat="1" ht="15" customHeight="1" x14ac:dyDescent="0.25"/>
    <row r="3210" s="21" customFormat="1" ht="15" customHeight="1" x14ac:dyDescent="0.25"/>
    <row r="3211" s="21" customFormat="1" ht="15" customHeight="1" x14ac:dyDescent="0.25"/>
    <row r="3212" s="21" customFormat="1" ht="15" customHeight="1" x14ac:dyDescent="0.25"/>
    <row r="3213" s="21" customFormat="1" ht="15" customHeight="1" x14ac:dyDescent="0.25"/>
    <row r="3214" s="21" customFormat="1" ht="15" customHeight="1" x14ac:dyDescent="0.25"/>
    <row r="3215" s="21" customFormat="1" ht="15" customHeight="1" x14ac:dyDescent="0.25"/>
    <row r="3216" s="21" customFormat="1" ht="15" customHeight="1" x14ac:dyDescent="0.25"/>
    <row r="3217" s="21" customFormat="1" ht="15" customHeight="1" x14ac:dyDescent="0.25"/>
    <row r="3218" s="21" customFormat="1" ht="15" customHeight="1" x14ac:dyDescent="0.25"/>
    <row r="3219" s="21" customFormat="1" ht="15" customHeight="1" x14ac:dyDescent="0.25"/>
    <row r="3220" s="21" customFormat="1" ht="15" customHeight="1" x14ac:dyDescent="0.25"/>
    <row r="3221" s="21" customFormat="1" ht="15" customHeight="1" x14ac:dyDescent="0.25"/>
    <row r="3222" s="21" customFormat="1" ht="15" customHeight="1" x14ac:dyDescent="0.25"/>
    <row r="3223" s="21" customFormat="1" ht="15" customHeight="1" x14ac:dyDescent="0.25"/>
    <row r="3224" s="21" customFormat="1" ht="15" customHeight="1" x14ac:dyDescent="0.25"/>
    <row r="3225" s="21" customFormat="1" ht="15" customHeight="1" x14ac:dyDescent="0.25"/>
    <row r="3226" s="21" customFormat="1" ht="15" customHeight="1" x14ac:dyDescent="0.25"/>
    <row r="3227" s="21" customFormat="1" ht="15" customHeight="1" x14ac:dyDescent="0.25"/>
    <row r="3228" s="21" customFormat="1" ht="15" customHeight="1" x14ac:dyDescent="0.25"/>
    <row r="3229" s="21" customFormat="1" ht="15" customHeight="1" x14ac:dyDescent="0.25"/>
    <row r="3230" s="21" customFormat="1" ht="15" customHeight="1" x14ac:dyDescent="0.25"/>
    <row r="3231" s="21" customFormat="1" ht="15" customHeight="1" x14ac:dyDescent="0.25"/>
    <row r="3232" s="21" customFormat="1" ht="15" customHeight="1" x14ac:dyDescent="0.25"/>
    <row r="3233" s="21" customFormat="1" ht="15" customHeight="1" x14ac:dyDescent="0.25"/>
    <row r="3234" s="21" customFormat="1" ht="15" customHeight="1" x14ac:dyDescent="0.25"/>
    <row r="3235" s="21" customFormat="1" ht="15" customHeight="1" x14ac:dyDescent="0.25"/>
    <row r="3236" s="21" customFormat="1" ht="15" customHeight="1" x14ac:dyDescent="0.25"/>
    <row r="3237" s="21" customFormat="1" ht="15" customHeight="1" x14ac:dyDescent="0.25"/>
    <row r="3238" s="21" customFormat="1" ht="15" customHeight="1" x14ac:dyDescent="0.25"/>
    <row r="3239" s="21" customFormat="1" ht="15" customHeight="1" x14ac:dyDescent="0.25"/>
    <row r="3240" s="21" customFormat="1" ht="15" customHeight="1" x14ac:dyDescent="0.25"/>
    <row r="3241" s="21" customFormat="1" ht="15" customHeight="1" x14ac:dyDescent="0.25"/>
    <row r="3242" s="21" customFormat="1" ht="15" customHeight="1" x14ac:dyDescent="0.25"/>
    <row r="3243" s="21" customFormat="1" ht="15" customHeight="1" x14ac:dyDescent="0.25"/>
    <row r="3244" s="21" customFormat="1" ht="15" customHeight="1" x14ac:dyDescent="0.25"/>
    <row r="3245" s="21" customFormat="1" ht="15" customHeight="1" x14ac:dyDescent="0.25"/>
    <row r="3246" s="21" customFormat="1" ht="15" customHeight="1" x14ac:dyDescent="0.25"/>
    <row r="3247" s="21" customFormat="1" ht="15" customHeight="1" x14ac:dyDescent="0.25"/>
    <row r="3248" s="21" customFormat="1" ht="15" customHeight="1" x14ac:dyDescent="0.25"/>
    <row r="3249" s="21" customFormat="1" ht="15" customHeight="1" x14ac:dyDescent="0.25"/>
    <row r="3250" s="21" customFormat="1" ht="15" customHeight="1" x14ac:dyDescent="0.25"/>
    <row r="3251" s="21" customFormat="1" ht="15" customHeight="1" x14ac:dyDescent="0.25"/>
    <row r="3252" s="21" customFormat="1" ht="15" customHeight="1" x14ac:dyDescent="0.25"/>
    <row r="3253" s="21" customFormat="1" ht="15" customHeight="1" x14ac:dyDescent="0.25"/>
    <row r="3254" s="21" customFormat="1" ht="15" customHeight="1" x14ac:dyDescent="0.25"/>
    <row r="3255" s="21" customFormat="1" ht="15" customHeight="1" x14ac:dyDescent="0.25"/>
    <row r="3256" s="21" customFormat="1" ht="15" customHeight="1" x14ac:dyDescent="0.25"/>
    <row r="3257" s="21" customFormat="1" ht="15" customHeight="1" x14ac:dyDescent="0.25"/>
    <row r="3258" s="21" customFormat="1" ht="15" customHeight="1" x14ac:dyDescent="0.25"/>
    <row r="3259" s="21" customFormat="1" ht="15" customHeight="1" x14ac:dyDescent="0.25"/>
    <row r="3260" s="21" customFormat="1" ht="15" customHeight="1" x14ac:dyDescent="0.25"/>
    <row r="3261" s="21" customFormat="1" ht="15" customHeight="1" x14ac:dyDescent="0.25"/>
    <row r="3262" s="21" customFormat="1" ht="15" customHeight="1" x14ac:dyDescent="0.25"/>
    <row r="3263" s="21" customFormat="1" ht="15" customHeight="1" x14ac:dyDescent="0.25"/>
    <row r="3264" s="21" customFormat="1" ht="15" customHeight="1" x14ac:dyDescent="0.25"/>
    <row r="3265" s="21" customFormat="1" ht="15" customHeight="1" x14ac:dyDescent="0.25"/>
    <row r="3266" s="21" customFormat="1" ht="15" customHeight="1" x14ac:dyDescent="0.25"/>
    <row r="3267" s="21" customFormat="1" ht="15" customHeight="1" x14ac:dyDescent="0.25"/>
    <row r="3268" s="21" customFormat="1" ht="15" customHeight="1" x14ac:dyDescent="0.25"/>
    <row r="3269" s="21" customFormat="1" ht="15" customHeight="1" x14ac:dyDescent="0.25"/>
    <row r="3270" s="21" customFormat="1" ht="15" customHeight="1" x14ac:dyDescent="0.25"/>
    <row r="3271" s="21" customFormat="1" ht="15" customHeight="1" x14ac:dyDescent="0.25"/>
    <row r="3272" s="21" customFormat="1" ht="15" customHeight="1" x14ac:dyDescent="0.25"/>
    <row r="3273" s="21" customFormat="1" ht="15" customHeight="1" x14ac:dyDescent="0.25"/>
    <row r="3274" s="21" customFormat="1" ht="15" customHeight="1" x14ac:dyDescent="0.25"/>
    <row r="3275" s="21" customFormat="1" ht="15" customHeight="1" x14ac:dyDescent="0.25"/>
    <row r="3276" s="21" customFormat="1" ht="15" customHeight="1" x14ac:dyDescent="0.25"/>
    <row r="3277" s="21" customFormat="1" ht="15" customHeight="1" x14ac:dyDescent="0.25"/>
    <row r="3278" s="21" customFormat="1" ht="15" customHeight="1" x14ac:dyDescent="0.25"/>
    <row r="3279" s="21" customFormat="1" ht="15" customHeight="1" x14ac:dyDescent="0.25"/>
    <row r="3280" s="21" customFormat="1" ht="15" customHeight="1" x14ac:dyDescent="0.25"/>
    <row r="3281" s="21" customFormat="1" ht="15" customHeight="1" x14ac:dyDescent="0.25"/>
    <row r="3282" s="21" customFormat="1" ht="15" customHeight="1" x14ac:dyDescent="0.25"/>
    <row r="3283" s="21" customFormat="1" ht="15" customHeight="1" x14ac:dyDescent="0.25"/>
    <row r="3284" s="21" customFormat="1" ht="15" customHeight="1" x14ac:dyDescent="0.25"/>
    <row r="3285" s="21" customFormat="1" ht="15" customHeight="1" x14ac:dyDescent="0.25"/>
    <row r="3286" s="21" customFormat="1" ht="15" customHeight="1" x14ac:dyDescent="0.25"/>
    <row r="3287" s="21" customFormat="1" ht="15" customHeight="1" x14ac:dyDescent="0.25"/>
    <row r="3288" s="21" customFormat="1" ht="15" customHeight="1" x14ac:dyDescent="0.25"/>
    <row r="3289" s="21" customFormat="1" ht="15" customHeight="1" x14ac:dyDescent="0.25"/>
    <row r="3290" s="21" customFormat="1" ht="15" customHeight="1" x14ac:dyDescent="0.25"/>
    <row r="3291" s="21" customFormat="1" ht="15" customHeight="1" x14ac:dyDescent="0.25"/>
    <row r="3292" s="21" customFormat="1" ht="15" customHeight="1" x14ac:dyDescent="0.25"/>
    <row r="3293" s="21" customFormat="1" ht="15" customHeight="1" x14ac:dyDescent="0.25"/>
    <row r="3294" s="21" customFormat="1" ht="15" customHeight="1" x14ac:dyDescent="0.25"/>
    <row r="3295" s="21" customFormat="1" ht="15" customHeight="1" x14ac:dyDescent="0.25"/>
    <row r="3296" s="21" customFormat="1" ht="15" customHeight="1" x14ac:dyDescent="0.25"/>
    <row r="3297" s="21" customFormat="1" ht="15" customHeight="1" x14ac:dyDescent="0.25"/>
    <row r="3298" s="21" customFormat="1" ht="15" customHeight="1" x14ac:dyDescent="0.25"/>
    <row r="3299" s="21" customFormat="1" ht="15" customHeight="1" x14ac:dyDescent="0.25"/>
    <row r="3300" s="21" customFormat="1" ht="15" customHeight="1" x14ac:dyDescent="0.25"/>
    <row r="3301" s="21" customFormat="1" ht="15" customHeight="1" x14ac:dyDescent="0.25"/>
    <row r="3302" s="21" customFormat="1" ht="15" customHeight="1" x14ac:dyDescent="0.25"/>
    <row r="3303" s="21" customFormat="1" ht="15" customHeight="1" x14ac:dyDescent="0.25"/>
    <row r="3304" s="21" customFormat="1" ht="15" customHeight="1" x14ac:dyDescent="0.25"/>
    <row r="3305" s="21" customFormat="1" ht="15" customHeight="1" x14ac:dyDescent="0.25"/>
    <row r="3306" s="21" customFormat="1" ht="15" customHeight="1" x14ac:dyDescent="0.25"/>
    <row r="3307" s="21" customFormat="1" ht="15" customHeight="1" x14ac:dyDescent="0.25"/>
    <row r="3308" s="21" customFormat="1" ht="15" customHeight="1" x14ac:dyDescent="0.25"/>
    <row r="3309" s="21" customFormat="1" ht="15" customHeight="1" x14ac:dyDescent="0.25"/>
    <row r="3310" s="21" customFormat="1" ht="15" customHeight="1" x14ac:dyDescent="0.25"/>
    <row r="3311" s="21" customFormat="1" ht="15" customHeight="1" x14ac:dyDescent="0.25"/>
    <row r="3312" s="21" customFormat="1" ht="15" customHeight="1" x14ac:dyDescent="0.25"/>
    <row r="3313" s="21" customFormat="1" ht="15" customHeight="1" x14ac:dyDescent="0.25"/>
    <row r="3314" s="21" customFormat="1" ht="15" customHeight="1" x14ac:dyDescent="0.25"/>
    <row r="3315" s="21" customFormat="1" ht="15" customHeight="1" x14ac:dyDescent="0.25"/>
    <row r="3316" s="21" customFormat="1" ht="15" customHeight="1" x14ac:dyDescent="0.25"/>
    <row r="3317" s="21" customFormat="1" ht="15" customHeight="1" x14ac:dyDescent="0.25"/>
    <row r="3318" s="21" customFormat="1" ht="15" customHeight="1" x14ac:dyDescent="0.25"/>
    <row r="3319" s="21" customFormat="1" ht="15" customHeight="1" x14ac:dyDescent="0.25"/>
    <row r="3320" s="21" customFormat="1" ht="15" customHeight="1" x14ac:dyDescent="0.25"/>
    <row r="3321" s="21" customFormat="1" ht="15" customHeight="1" x14ac:dyDescent="0.25"/>
    <row r="3322" s="21" customFormat="1" ht="15" customHeight="1" x14ac:dyDescent="0.25"/>
    <row r="3323" s="21" customFormat="1" ht="15" customHeight="1" x14ac:dyDescent="0.25"/>
    <row r="3324" s="21" customFormat="1" ht="15" customHeight="1" x14ac:dyDescent="0.25"/>
    <row r="3325" s="21" customFormat="1" ht="15" customHeight="1" x14ac:dyDescent="0.25"/>
    <row r="3326" s="21" customFormat="1" ht="15" customHeight="1" x14ac:dyDescent="0.25"/>
    <row r="3327" s="21" customFormat="1" ht="15" customHeight="1" x14ac:dyDescent="0.25"/>
    <row r="3328" s="21" customFormat="1" ht="15" customHeight="1" x14ac:dyDescent="0.25"/>
    <row r="3329" s="21" customFormat="1" ht="15" customHeight="1" x14ac:dyDescent="0.25"/>
    <row r="3330" s="21" customFormat="1" ht="15" customHeight="1" x14ac:dyDescent="0.25"/>
    <row r="3331" s="21" customFormat="1" ht="15" customHeight="1" x14ac:dyDescent="0.25"/>
    <row r="3332" s="21" customFormat="1" ht="15" customHeight="1" x14ac:dyDescent="0.25"/>
    <row r="3333" s="21" customFormat="1" ht="15" customHeight="1" x14ac:dyDescent="0.25"/>
    <row r="3334" s="21" customFormat="1" ht="15" customHeight="1" x14ac:dyDescent="0.25"/>
    <row r="3335" s="21" customFormat="1" ht="15" customHeight="1" x14ac:dyDescent="0.25"/>
    <row r="3336" s="21" customFormat="1" ht="15" customHeight="1" x14ac:dyDescent="0.25"/>
    <row r="3337" s="21" customFormat="1" ht="15" customHeight="1" x14ac:dyDescent="0.25"/>
    <row r="3338" s="21" customFormat="1" ht="15" customHeight="1" x14ac:dyDescent="0.25"/>
    <row r="3339" s="21" customFormat="1" ht="15" customHeight="1" x14ac:dyDescent="0.25"/>
    <row r="3340" s="21" customFormat="1" ht="15" customHeight="1" x14ac:dyDescent="0.25"/>
    <row r="3341" s="21" customFormat="1" ht="15" customHeight="1" x14ac:dyDescent="0.25"/>
    <row r="3342" s="21" customFormat="1" ht="15" customHeight="1" x14ac:dyDescent="0.25"/>
    <row r="3343" s="21" customFormat="1" ht="15" customHeight="1" x14ac:dyDescent="0.25"/>
    <row r="3344" s="21" customFormat="1" ht="15" customHeight="1" x14ac:dyDescent="0.25"/>
    <row r="3345" s="21" customFormat="1" ht="15" customHeight="1" x14ac:dyDescent="0.25"/>
    <row r="3346" s="21" customFormat="1" ht="15" customHeight="1" x14ac:dyDescent="0.25"/>
    <row r="3347" s="21" customFormat="1" ht="15" customHeight="1" x14ac:dyDescent="0.25"/>
    <row r="3348" s="21" customFormat="1" ht="15" customHeight="1" x14ac:dyDescent="0.25"/>
    <row r="3349" s="21" customFormat="1" ht="15" customHeight="1" x14ac:dyDescent="0.25"/>
    <row r="3350" s="21" customFormat="1" ht="15" customHeight="1" x14ac:dyDescent="0.25"/>
    <row r="3351" s="21" customFormat="1" ht="15" customHeight="1" x14ac:dyDescent="0.25"/>
    <row r="3352" s="21" customFormat="1" ht="15" customHeight="1" x14ac:dyDescent="0.25"/>
    <row r="3353" s="21" customFormat="1" ht="15" customHeight="1" x14ac:dyDescent="0.25"/>
    <row r="3354" s="21" customFormat="1" ht="15" customHeight="1" x14ac:dyDescent="0.25"/>
    <row r="3355" s="21" customFormat="1" ht="15" customHeight="1" x14ac:dyDescent="0.25"/>
    <row r="3356" s="21" customFormat="1" ht="15" customHeight="1" x14ac:dyDescent="0.25"/>
    <row r="3357" s="21" customFormat="1" ht="15" customHeight="1" x14ac:dyDescent="0.25"/>
    <row r="3358" s="21" customFormat="1" ht="15" customHeight="1" x14ac:dyDescent="0.25"/>
    <row r="3359" s="21" customFormat="1" ht="15" customHeight="1" x14ac:dyDescent="0.25"/>
    <row r="3360" s="21" customFormat="1" ht="15" customHeight="1" x14ac:dyDescent="0.25"/>
    <row r="3361" s="21" customFormat="1" ht="15" customHeight="1" x14ac:dyDescent="0.25"/>
    <row r="3362" s="21" customFormat="1" ht="15" customHeight="1" x14ac:dyDescent="0.25"/>
    <row r="3363" s="21" customFormat="1" ht="15" customHeight="1" x14ac:dyDescent="0.25"/>
    <row r="3364" s="21" customFormat="1" ht="15" customHeight="1" x14ac:dyDescent="0.25"/>
    <row r="3365" s="21" customFormat="1" ht="15" customHeight="1" x14ac:dyDescent="0.25"/>
    <row r="3366" s="21" customFormat="1" ht="15" customHeight="1" x14ac:dyDescent="0.25"/>
    <row r="3367" s="21" customFormat="1" ht="15" customHeight="1" x14ac:dyDescent="0.25"/>
    <row r="3368" s="21" customFormat="1" ht="15" customHeight="1" x14ac:dyDescent="0.25"/>
    <row r="3369" s="21" customFormat="1" ht="15" customHeight="1" x14ac:dyDescent="0.25"/>
    <row r="3370" s="21" customFormat="1" ht="15" customHeight="1" x14ac:dyDescent="0.25"/>
    <row r="3371" s="21" customFormat="1" ht="15" customHeight="1" x14ac:dyDescent="0.25"/>
    <row r="3372" s="21" customFormat="1" ht="15" customHeight="1" x14ac:dyDescent="0.25"/>
    <row r="3373" s="21" customFormat="1" ht="15" customHeight="1" x14ac:dyDescent="0.25"/>
    <row r="3374" s="21" customFormat="1" ht="15" customHeight="1" x14ac:dyDescent="0.25"/>
    <row r="3375" s="21" customFormat="1" ht="15" customHeight="1" x14ac:dyDescent="0.25"/>
    <row r="3376" s="21" customFormat="1" ht="15" customHeight="1" x14ac:dyDescent="0.25"/>
    <row r="3377" s="21" customFormat="1" ht="15" customHeight="1" x14ac:dyDescent="0.25"/>
    <row r="3378" s="21" customFormat="1" ht="15" customHeight="1" x14ac:dyDescent="0.25"/>
    <row r="3379" s="21" customFormat="1" ht="15" customHeight="1" x14ac:dyDescent="0.25"/>
    <row r="3380" s="21" customFormat="1" ht="15" customHeight="1" x14ac:dyDescent="0.25"/>
    <row r="3381" s="21" customFormat="1" ht="15" customHeight="1" x14ac:dyDescent="0.25"/>
    <row r="3382" s="21" customFormat="1" ht="15" customHeight="1" x14ac:dyDescent="0.25"/>
    <row r="3383" s="21" customFormat="1" ht="15" customHeight="1" x14ac:dyDescent="0.25"/>
    <row r="3384" s="21" customFormat="1" ht="15" customHeight="1" x14ac:dyDescent="0.25"/>
    <row r="3385" s="21" customFormat="1" ht="15" customHeight="1" x14ac:dyDescent="0.25"/>
    <row r="3386" s="21" customFormat="1" ht="15" customHeight="1" x14ac:dyDescent="0.25"/>
    <row r="3387" s="21" customFormat="1" ht="15" customHeight="1" x14ac:dyDescent="0.25"/>
    <row r="3388" s="21" customFormat="1" ht="15" customHeight="1" x14ac:dyDescent="0.25"/>
    <row r="3389" s="21" customFormat="1" ht="15" customHeight="1" x14ac:dyDescent="0.25"/>
    <row r="3390" s="21" customFormat="1" ht="15" customHeight="1" x14ac:dyDescent="0.25"/>
    <row r="3391" s="21" customFormat="1" ht="15" customHeight="1" x14ac:dyDescent="0.25"/>
    <row r="3392" s="21" customFormat="1" ht="15" customHeight="1" x14ac:dyDescent="0.25"/>
    <row r="3393" s="21" customFormat="1" ht="15" customHeight="1" x14ac:dyDescent="0.25"/>
    <row r="3394" s="21" customFormat="1" ht="15" customHeight="1" x14ac:dyDescent="0.25"/>
    <row r="3395" s="21" customFormat="1" ht="15" customHeight="1" x14ac:dyDescent="0.25"/>
    <row r="3396" s="21" customFormat="1" ht="15" customHeight="1" x14ac:dyDescent="0.25"/>
    <row r="3397" s="21" customFormat="1" ht="15" customHeight="1" x14ac:dyDescent="0.25"/>
    <row r="3398" s="21" customFormat="1" ht="15" customHeight="1" x14ac:dyDescent="0.25"/>
    <row r="3399" s="21" customFormat="1" ht="15" customHeight="1" x14ac:dyDescent="0.25"/>
    <row r="3400" s="21" customFormat="1" ht="15" customHeight="1" x14ac:dyDescent="0.25"/>
    <row r="3401" s="21" customFormat="1" ht="15" customHeight="1" x14ac:dyDescent="0.25"/>
    <row r="3402" s="21" customFormat="1" ht="15" customHeight="1" x14ac:dyDescent="0.25"/>
    <row r="3403" s="21" customFormat="1" ht="15" customHeight="1" x14ac:dyDescent="0.25"/>
    <row r="3404" s="21" customFormat="1" ht="15" customHeight="1" x14ac:dyDescent="0.25"/>
    <row r="3405" s="21" customFormat="1" ht="15" customHeight="1" x14ac:dyDescent="0.25"/>
    <row r="3406" s="21" customFormat="1" ht="15" customHeight="1" x14ac:dyDescent="0.25"/>
    <row r="3407" s="21" customFormat="1" ht="15" customHeight="1" x14ac:dyDescent="0.25"/>
    <row r="3408" s="21" customFormat="1" ht="15" customHeight="1" x14ac:dyDescent="0.25"/>
    <row r="3409" s="21" customFormat="1" ht="15" customHeight="1" x14ac:dyDescent="0.25"/>
    <row r="3410" s="21" customFormat="1" ht="15" customHeight="1" x14ac:dyDescent="0.25"/>
    <row r="3411" s="21" customFormat="1" ht="15" customHeight="1" x14ac:dyDescent="0.25"/>
    <row r="3412" s="21" customFormat="1" ht="15" customHeight="1" x14ac:dyDescent="0.25"/>
    <row r="3413" s="21" customFormat="1" ht="15" customHeight="1" x14ac:dyDescent="0.25"/>
    <row r="3414" s="21" customFormat="1" ht="15" customHeight="1" x14ac:dyDescent="0.25"/>
    <row r="3415" s="21" customFormat="1" ht="15" customHeight="1" x14ac:dyDescent="0.25"/>
    <row r="3416" s="21" customFormat="1" ht="15" customHeight="1" x14ac:dyDescent="0.25"/>
    <row r="3417" s="21" customFormat="1" ht="15" customHeight="1" x14ac:dyDescent="0.25"/>
    <row r="3418" s="21" customFormat="1" ht="15" customHeight="1" x14ac:dyDescent="0.25"/>
    <row r="3419" s="21" customFormat="1" ht="15" customHeight="1" x14ac:dyDescent="0.25"/>
    <row r="3420" s="21" customFormat="1" ht="15" customHeight="1" x14ac:dyDescent="0.25"/>
    <row r="3421" s="21" customFormat="1" ht="15" customHeight="1" x14ac:dyDescent="0.25"/>
    <row r="3422" s="21" customFormat="1" ht="15" customHeight="1" x14ac:dyDescent="0.25"/>
    <row r="3423" s="21" customFormat="1" ht="15" customHeight="1" x14ac:dyDescent="0.25"/>
    <row r="3424" s="21" customFormat="1" ht="15" customHeight="1" x14ac:dyDescent="0.25"/>
    <row r="3425" s="21" customFormat="1" ht="15" customHeight="1" x14ac:dyDescent="0.25"/>
    <row r="3426" s="21" customFormat="1" ht="15" customHeight="1" x14ac:dyDescent="0.25"/>
    <row r="3427" s="21" customFormat="1" ht="15" customHeight="1" x14ac:dyDescent="0.25"/>
    <row r="3428" s="21" customFormat="1" ht="15" customHeight="1" x14ac:dyDescent="0.25"/>
    <row r="3429" s="21" customFormat="1" ht="15" customHeight="1" x14ac:dyDescent="0.25"/>
    <row r="3430" s="21" customFormat="1" ht="15" customHeight="1" x14ac:dyDescent="0.25"/>
    <row r="3431" s="21" customFormat="1" ht="15" customHeight="1" x14ac:dyDescent="0.25"/>
    <row r="3432" s="21" customFormat="1" ht="15" customHeight="1" x14ac:dyDescent="0.25"/>
    <row r="3433" s="21" customFormat="1" ht="15" customHeight="1" x14ac:dyDescent="0.25"/>
    <row r="3434" s="21" customFormat="1" ht="15" customHeight="1" x14ac:dyDescent="0.25"/>
    <row r="3435" s="21" customFormat="1" ht="15" customHeight="1" x14ac:dyDescent="0.25"/>
    <row r="3436" s="21" customFormat="1" ht="15" customHeight="1" x14ac:dyDescent="0.25"/>
    <row r="3437" s="21" customFormat="1" ht="15" customHeight="1" x14ac:dyDescent="0.25"/>
    <row r="3438" s="21" customFormat="1" ht="15" customHeight="1" x14ac:dyDescent="0.25"/>
    <row r="3439" s="21" customFormat="1" ht="15" customHeight="1" x14ac:dyDescent="0.25"/>
    <row r="3440" s="21" customFormat="1" ht="15" customHeight="1" x14ac:dyDescent="0.25"/>
    <row r="3441" s="21" customFormat="1" ht="15" customHeight="1" x14ac:dyDescent="0.25"/>
    <row r="3442" s="21" customFormat="1" ht="15" customHeight="1" x14ac:dyDescent="0.25"/>
    <row r="3443" s="21" customFormat="1" ht="15" customHeight="1" x14ac:dyDescent="0.25"/>
    <row r="3444" s="21" customFormat="1" ht="15" customHeight="1" x14ac:dyDescent="0.25"/>
    <row r="3445" s="21" customFormat="1" ht="15" customHeight="1" x14ac:dyDescent="0.25"/>
    <row r="3446" s="21" customFormat="1" ht="15" customHeight="1" x14ac:dyDescent="0.25"/>
    <row r="3447" s="21" customFormat="1" ht="15" customHeight="1" x14ac:dyDescent="0.25"/>
    <row r="3448" s="21" customFormat="1" ht="15" customHeight="1" x14ac:dyDescent="0.25"/>
    <row r="3449" s="21" customFormat="1" ht="15" customHeight="1" x14ac:dyDescent="0.25"/>
    <row r="3450" s="21" customFormat="1" ht="15" customHeight="1" x14ac:dyDescent="0.25"/>
    <row r="3451" s="21" customFormat="1" ht="15" customHeight="1" x14ac:dyDescent="0.25"/>
    <row r="3452" s="21" customFormat="1" ht="15" customHeight="1" x14ac:dyDescent="0.25"/>
    <row r="3453" s="21" customFormat="1" ht="15" customHeight="1" x14ac:dyDescent="0.25"/>
    <row r="3454" s="21" customFormat="1" ht="15" customHeight="1" x14ac:dyDescent="0.25"/>
    <row r="3455" s="21" customFormat="1" ht="15" customHeight="1" x14ac:dyDescent="0.25"/>
    <row r="3456" s="21" customFormat="1" ht="15" customHeight="1" x14ac:dyDescent="0.25"/>
    <row r="3457" s="21" customFormat="1" ht="15" customHeight="1" x14ac:dyDescent="0.25"/>
    <row r="3458" s="21" customFormat="1" ht="15" customHeight="1" x14ac:dyDescent="0.25"/>
    <row r="3459" s="21" customFormat="1" ht="15" customHeight="1" x14ac:dyDescent="0.25"/>
    <row r="3460" s="21" customFormat="1" ht="15" customHeight="1" x14ac:dyDescent="0.25"/>
    <row r="3461" s="21" customFormat="1" ht="15" customHeight="1" x14ac:dyDescent="0.25"/>
    <row r="3462" s="21" customFormat="1" ht="15" customHeight="1" x14ac:dyDescent="0.25"/>
    <row r="3463" s="21" customFormat="1" ht="15" customHeight="1" x14ac:dyDescent="0.25"/>
    <row r="3464" s="21" customFormat="1" ht="15" customHeight="1" x14ac:dyDescent="0.25"/>
    <row r="3465" s="21" customFormat="1" ht="15" customHeight="1" x14ac:dyDescent="0.25"/>
    <row r="3466" s="21" customFormat="1" ht="15" customHeight="1" x14ac:dyDescent="0.25"/>
    <row r="3467" s="21" customFormat="1" ht="15" customHeight="1" x14ac:dyDescent="0.25"/>
    <row r="3468" s="21" customFormat="1" ht="15" customHeight="1" x14ac:dyDescent="0.25"/>
    <row r="3469" s="21" customFormat="1" ht="15" customHeight="1" x14ac:dyDescent="0.25"/>
    <row r="3470" s="21" customFormat="1" ht="15" customHeight="1" x14ac:dyDescent="0.25"/>
    <row r="3471" s="21" customFormat="1" ht="15" customHeight="1" x14ac:dyDescent="0.25"/>
    <row r="3472" s="21" customFormat="1" ht="15" customHeight="1" x14ac:dyDescent="0.25"/>
    <row r="3473" s="21" customFormat="1" ht="15" customHeight="1" x14ac:dyDescent="0.25"/>
    <row r="3474" s="21" customFormat="1" ht="15" customHeight="1" x14ac:dyDescent="0.25"/>
    <row r="3475" s="21" customFormat="1" ht="15" customHeight="1" x14ac:dyDescent="0.25"/>
    <row r="3476" s="21" customFormat="1" ht="15" customHeight="1" x14ac:dyDescent="0.25"/>
    <row r="3477" s="21" customFormat="1" ht="15" customHeight="1" x14ac:dyDescent="0.25"/>
    <row r="3478" s="21" customFormat="1" ht="15" customHeight="1" x14ac:dyDescent="0.25"/>
    <row r="3479" s="21" customFormat="1" ht="15" customHeight="1" x14ac:dyDescent="0.25"/>
    <row r="3480" s="21" customFormat="1" ht="15" customHeight="1" x14ac:dyDescent="0.25"/>
    <row r="3481" s="21" customFormat="1" ht="15" customHeight="1" x14ac:dyDescent="0.25"/>
    <row r="3482" s="21" customFormat="1" ht="15" customHeight="1" x14ac:dyDescent="0.25"/>
    <row r="3483" s="21" customFormat="1" ht="15" customHeight="1" x14ac:dyDescent="0.25"/>
    <row r="3484" s="21" customFormat="1" ht="15" customHeight="1" x14ac:dyDescent="0.25"/>
    <row r="3485" s="21" customFormat="1" ht="15" customHeight="1" x14ac:dyDescent="0.25"/>
    <row r="3486" s="21" customFormat="1" ht="15" customHeight="1" x14ac:dyDescent="0.25"/>
    <row r="3487" s="21" customFormat="1" ht="15" customHeight="1" x14ac:dyDescent="0.25"/>
    <row r="3488" s="21" customFormat="1" ht="15" customHeight="1" x14ac:dyDescent="0.25"/>
    <row r="3489" s="21" customFormat="1" ht="15" customHeight="1" x14ac:dyDescent="0.25"/>
    <row r="3490" s="21" customFormat="1" ht="15" customHeight="1" x14ac:dyDescent="0.25"/>
    <row r="3491" s="21" customFormat="1" ht="15" customHeight="1" x14ac:dyDescent="0.25"/>
    <row r="3492" s="21" customFormat="1" ht="15" customHeight="1" x14ac:dyDescent="0.25"/>
    <row r="3493" s="21" customFormat="1" ht="15" customHeight="1" x14ac:dyDescent="0.25"/>
    <row r="3494" s="21" customFormat="1" ht="15" customHeight="1" x14ac:dyDescent="0.25"/>
    <row r="3495" s="21" customFormat="1" ht="15" customHeight="1" x14ac:dyDescent="0.25"/>
    <row r="3496" s="21" customFormat="1" ht="15" customHeight="1" x14ac:dyDescent="0.25"/>
    <row r="3497" s="21" customFormat="1" ht="15" customHeight="1" x14ac:dyDescent="0.25"/>
    <row r="3498" s="21" customFormat="1" ht="15" customHeight="1" x14ac:dyDescent="0.25"/>
    <row r="3499" s="21" customFormat="1" ht="15" customHeight="1" x14ac:dyDescent="0.25"/>
    <row r="3500" s="21" customFormat="1" ht="15" customHeight="1" x14ac:dyDescent="0.25"/>
    <row r="3501" s="21" customFormat="1" ht="15" customHeight="1" x14ac:dyDescent="0.25"/>
    <row r="3502" s="21" customFormat="1" ht="15" customHeight="1" x14ac:dyDescent="0.25"/>
    <row r="3503" s="21" customFormat="1" ht="15" customHeight="1" x14ac:dyDescent="0.25"/>
    <row r="3504" s="21" customFormat="1" ht="15" customHeight="1" x14ac:dyDescent="0.25"/>
    <row r="3505" s="21" customFormat="1" ht="15" customHeight="1" x14ac:dyDescent="0.25"/>
    <row r="3506" s="21" customFormat="1" ht="15" customHeight="1" x14ac:dyDescent="0.25"/>
    <row r="3507" s="21" customFormat="1" ht="15" customHeight="1" x14ac:dyDescent="0.25"/>
    <row r="3508" s="21" customFormat="1" ht="15" customHeight="1" x14ac:dyDescent="0.25"/>
    <row r="3509" s="21" customFormat="1" ht="15" customHeight="1" x14ac:dyDescent="0.25"/>
    <row r="3510" s="21" customFormat="1" ht="15" customHeight="1" x14ac:dyDescent="0.25"/>
    <row r="3511" s="21" customFormat="1" ht="15" customHeight="1" x14ac:dyDescent="0.25"/>
    <row r="3512" s="21" customFormat="1" ht="15" customHeight="1" x14ac:dyDescent="0.25"/>
    <row r="3513" s="21" customFormat="1" ht="15" customHeight="1" x14ac:dyDescent="0.25"/>
    <row r="3514" s="21" customFormat="1" ht="15" customHeight="1" x14ac:dyDescent="0.25"/>
    <row r="3515" s="21" customFormat="1" ht="15" customHeight="1" x14ac:dyDescent="0.25"/>
    <row r="3516" s="21" customFormat="1" ht="15" customHeight="1" x14ac:dyDescent="0.25"/>
    <row r="3517" s="21" customFormat="1" ht="15" customHeight="1" x14ac:dyDescent="0.25"/>
    <row r="3518" s="21" customFormat="1" ht="15" customHeight="1" x14ac:dyDescent="0.25"/>
    <row r="3519" s="21" customFormat="1" ht="15" customHeight="1" x14ac:dyDescent="0.25"/>
    <row r="3520" s="21" customFormat="1" ht="15" customHeight="1" x14ac:dyDescent="0.25"/>
    <row r="3521" s="21" customFormat="1" ht="15" customHeight="1" x14ac:dyDescent="0.25"/>
    <row r="3522" s="21" customFormat="1" ht="15" customHeight="1" x14ac:dyDescent="0.25"/>
    <row r="3523" s="21" customFormat="1" ht="15" customHeight="1" x14ac:dyDescent="0.25"/>
    <row r="3524" s="21" customFormat="1" ht="15" customHeight="1" x14ac:dyDescent="0.25"/>
    <row r="3525" s="21" customFormat="1" ht="15" customHeight="1" x14ac:dyDescent="0.25"/>
    <row r="3526" s="21" customFormat="1" ht="15" customHeight="1" x14ac:dyDescent="0.25"/>
    <row r="3527" s="21" customFormat="1" ht="15" customHeight="1" x14ac:dyDescent="0.25"/>
    <row r="3528" s="21" customFormat="1" ht="15" customHeight="1" x14ac:dyDescent="0.25"/>
    <row r="3529" s="21" customFormat="1" ht="15" customHeight="1" x14ac:dyDescent="0.25"/>
    <row r="3530" s="21" customFormat="1" ht="15" customHeight="1" x14ac:dyDescent="0.25"/>
    <row r="3531" s="21" customFormat="1" ht="15" customHeight="1" x14ac:dyDescent="0.25"/>
    <row r="3532" s="21" customFormat="1" ht="15" customHeight="1" x14ac:dyDescent="0.25"/>
    <row r="3533" s="21" customFormat="1" ht="15" customHeight="1" x14ac:dyDescent="0.25"/>
    <row r="3534" s="21" customFormat="1" ht="15" customHeight="1" x14ac:dyDescent="0.25"/>
    <row r="3535" s="21" customFormat="1" ht="15" customHeight="1" x14ac:dyDescent="0.25"/>
    <row r="3536" s="21" customFormat="1" ht="15" customHeight="1" x14ac:dyDescent="0.25"/>
    <row r="3537" s="21" customFormat="1" ht="15" customHeight="1" x14ac:dyDescent="0.25"/>
    <row r="3538" s="21" customFormat="1" ht="15" customHeight="1" x14ac:dyDescent="0.25"/>
    <row r="3539" s="21" customFormat="1" ht="15" customHeight="1" x14ac:dyDescent="0.25"/>
    <row r="3540" s="21" customFormat="1" ht="15" customHeight="1" x14ac:dyDescent="0.25"/>
    <row r="3541" s="21" customFormat="1" ht="15" customHeight="1" x14ac:dyDescent="0.25"/>
    <row r="3542" s="21" customFormat="1" ht="15" customHeight="1" x14ac:dyDescent="0.25"/>
    <row r="3543" s="21" customFormat="1" ht="15" customHeight="1" x14ac:dyDescent="0.25"/>
    <row r="3544" s="21" customFormat="1" ht="15" customHeight="1" x14ac:dyDescent="0.25"/>
    <row r="3545" s="21" customFormat="1" ht="15" customHeight="1" x14ac:dyDescent="0.25"/>
    <row r="3546" s="21" customFormat="1" ht="15" customHeight="1" x14ac:dyDescent="0.25"/>
    <row r="3547" s="21" customFormat="1" ht="15" customHeight="1" x14ac:dyDescent="0.25"/>
    <row r="3548" s="21" customFormat="1" ht="15" customHeight="1" x14ac:dyDescent="0.25"/>
    <row r="3549" s="21" customFormat="1" ht="15" customHeight="1" x14ac:dyDescent="0.25"/>
    <row r="3550" s="21" customFormat="1" ht="15" customHeight="1" x14ac:dyDescent="0.25"/>
    <row r="3551" s="21" customFormat="1" ht="15" customHeight="1" x14ac:dyDescent="0.25"/>
    <row r="3552" s="21" customFormat="1" ht="15" customHeight="1" x14ac:dyDescent="0.25"/>
    <row r="3553" s="21" customFormat="1" ht="15" customHeight="1" x14ac:dyDescent="0.25"/>
    <row r="3554" s="21" customFormat="1" ht="15" customHeight="1" x14ac:dyDescent="0.25"/>
    <row r="3555" s="21" customFormat="1" ht="15" customHeight="1" x14ac:dyDescent="0.25"/>
    <row r="3556" s="21" customFormat="1" ht="15" customHeight="1" x14ac:dyDescent="0.25"/>
    <row r="3557" s="21" customFormat="1" ht="15" customHeight="1" x14ac:dyDescent="0.25"/>
    <row r="3558" s="21" customFormat="1" ht="15" customHeight="1" x14ac:dyDescent="0.25"/>
    <row r="3559" s="21" customFormat="1" ht="15" customHeight="1" x14ac:dyDescent="0.25"/>
    <row r="3560" s="21" customFormat="1" ht="15" customHeight="1" x14ac:dyDescent="0.25"/>
    <row r="3561" s="21" customFormat="1" ht="15" customHeight="1" x14ac:dyDescent="0.25"/>
    <row r="3562" s="21" customFormat="1" ht="15" customHeight="1" x14ac:dyDescent="0.25"/>
    <row r="3563" s="21" customFormat="1" ht="15" customHeight="1" x14ac:dyDescent="0.25"/>
    <row r="3564" s="21" customFormat="1" ht="15" customHeight="1" x14ac:dyDescent="0.25"/>
    <row r="3565" s="21" customFormat="1" ht="15" customHeight="1" x14ac:dyDescent="0.25"/>
    <row r="3566" s="21" customFormat="1" ht="15" customHeight="1" x14ac:dyDescent="0.25"/>
    <row r="3567" s="21" customFormat="1" ht="15" customHeight="1" x14ac:dyDescent="0.25"/>
    <row r="3568" s="21" customFormat="1" ht="15" customHeight="1" x14ac:dyDescent="0.25"/>
    <row r="3569" s="21" customFormat="1" ht="15" customHeight="1" x14ac:dyDescent="0.25"/>
    <row r="3570" s="21" customFormat="1" ht="15" customHeight="1" x14ac:dyDescent="0.25"/>
    <row r="3571" s="21" customFormat="1" ht="15" customHeight="1" x14ac:dyDescent="0.25"/>
    <row r="3572" s="21" customFormat="1" ht="15" customHeight="1" x14ac:dyDescent="0.25"/>
    <row r="3573" s="21" customFormat="1" ht="15" customHeight="1" x14ac:dyDescent="0.25"/>
    <row r="3574" s="21" customFormat="1" ht="15" customHeight="1" x14ac:dyDescent="0.25"/>
    <row r="3575" s="21" customFormat="1" ht="15" customHeight="1" x14ac:dyDescent="0.25"/>
    <row r="3576" s="21" customFormat="1" ht="15" customHeight="1" x14ac:dyDescent="0.25"/>
    <row r="3577" s="21" customFormat="1" ht="15" customHeight="1" x14ac:dyDescent="0.25"/>
    <row r="3578" s="21" customFormat="1" ht="15" customHeight="1" x14ac:dyDescent="0.25"/>
    <row r="3579" s="21" customFormat="1" ht="15" customHeight="1" x14ac:dyDescent="0.25"/>
    <row r="3580" s="21" customFormat="1" ht="15" customHeight="1" x14ac:dyDescent="0.25"/>
    <row r="3581" s="21" customFormat="1" ht="15" customHeight="1" x14ac:dyDescent="0.25"/>
    <row r="3582" s="21" customFormat="1" ht="15" customHeight="1" x14ac:dyDescent="0.25"/>
    <row r="3583" s="21" customFormat="1" ht="15" customHeight="1" x14ac:dyDescent="0.25"/>
    <row r="3584" s="21" customFormat="1" ht="15" customHeight="1" x14ac:dyDescent="0.25"/>
    <row r="3585" s="21" customFormat="1" ht="15" customHeight="1" x14ac:dyDescent="0.25"/>
    <row r="3586" s="21" customFormat="1" ht="15" customHeight="1" x14ac:dyDescent="0.25"/>
    <row r="3587" s="21" customFormat="1" ht="15" customHeight="1" x14ac:dyDescent="0.25"/>
    <row r="3588" s="21" customFormat="1" ht="15" customHeight="1" x14ac:dyDescent="0.25"/>
    <row r="3589" s="21" customFormat="1" ht="15" customHeight="1" x14ac:dyDescent="0.25"/>
    <row r="3590" s="21" customFormat="1" ht="15" customHeight="1" x14ac:dyDescent="0.25"/>
    <row r="3591" s="21" customFormat="1" ht="15" customHeight="1" x14ac:dyDescent="0.25"/>
    <row r="3592" s="21" customFormat="1" ht="15" customHeight="1" x14ac:dyDescent="0.25"/>
    <row r="3593" s="21" customFormat="1" ht="15" customHeight="1" x14ac:dyDescent="0.25"/>
    <row r="3594" s="21" customFormat="1" ht="15" customHeight="1" x14ac:dyDescent="0.25"/>
    <row r="3595" s="21" customFormat="1" ht="15" customHeight="1" x14ac:dyDescent="0.25"/>
    <row r="3596" s="21" customFormat="1" ht="15" customHeight="1" x14ac:dyDescent="0.25"/>
    <row r="3597" s="21" customFormat="1" ht="15" customHeight="1" x14ac:dyDescent="0.25"/>
    <row r="3598" s="21" customFormat="1" ht="15" customHeight="1" x14ac:dyDescent="0.25"/>
    <row r="3599" s="21" customFormat="1" ht="15" customHeight="1" x14ac:dyDescent="0.25"/>
    <row r="3600" s="21" customFormat="1" ht="15" customHeight="1" x14ac:dyDescent="0.25"/>
    <row r="3601" s="21" customFormat="1" ht="15" customHeight="1" x14ac:dyDescent="0.25"/>
    <row r="3602" s="21" customFormat="1" ht="15" customHeight="1" x14ac:dyDescent="0.25"/>
    <row r="3603" s="21" customFormat="1" ht="15" customHeight="1" x14ac:dyDescent="0.25"/>
    <row r="3604" s="21" customFormat="1" ht="15" customHeight="1" x14ac:dyDescent="0.25"/>
    <row r="3605" s="21" customFormat="1" ht="15" customHeight="1" x14ac:dyDescent="0.25"/>
    <row r="3606" s="21" customFormat="1" ht="15" customHeight="1" x14ac:dyDescent="0.25"/>
    <row r="3607" s="21" customFormat="1" ht="15" customHeight="1" x14ac:dyDescent="0.25"/>
    <row r="3608" s="21" customFormat="1" ht="15" customHeight="1" x14ac:dyDescent="0.25"/>
    <row r="3609" s="21" customFormat="1" ht="15" customHeight="1" x14ac:dyDescent="0.25"/>
    <row r="3610" s="21" customFormat="1" ht="15" customHeight="1" x14ac:dyDescent="0.25"/>
    <row r="3611" s="21" customFormat="1" ht="15" customHeight="1" x14ac:dyDescent="0.25"/>
    <row r="3612" s="21" customFormat="1" ht="15" customHeight="1" x14ac:dyDescent="0.25"/>
    <row r="3613" s="21" customFormat="1" ht="15" customHeight="1" x14ac:dyDescent="0.25"/>
    <row r="3614" s="21" customFormat="1" ht="15" customHeight="1" x14ac:dyDescent="0.25"/>
    <row r="3615" s="21" customFormat="1" ht="15" customHeight="1" x14ac:dyDescent="0.25"/>
    <row r="3616" s="21" customFormat="1" ht="15" customHeight="1" x14ac:dyDescent="0.25"/>
    <row r="3617" s="21" customFormat="1" ht="15" customHeight="1" x14ac:dyDescent="0.25"/>
    <row r="3618" s="21" customFormat="1" ht="15" customHeight="1" x14ac:dyDescent="0.25"/>
    <row r="3619" s="21" customFormat="1" ht="15" customHeight="1" x14ac:dyDescent="0.25"/>
    <row r="3620" s="21" customFormat="1" ht="15" customHeight="1" x14ac:dyDescent="0.25"/>
    <row r="3621" s="21" customFormat="1" ht="15" customHeight="1" x14ac:dyDescent="0.25"/>
    <row r="3622" s="21" customFormat="1" ht="15" customHeight="1" x14ac:dyDescent="0.25"/>
    <row r="3623" s="21" customFormat="1" ht="15" customHeight="1" x14ac:dyDescent="0.25"/>
    <row r="3624" s="21" customFormat="1" ht="15" customHeight="1" x14ac:dyDescent="0.25"/>
    <row r="3625" s="21" customFormat="1" ht="15" customHeight="1" x14ac:dyDescent="0.25"/>
    <row r="3626" s="21" customFormat="1" ht="15" customHeight="1" x14ac:dyDescent="0.25"/>
    <row r="3627" s="21" customFormat="1" ht="15" customHeight="1" x14ac:dyDescent="0.25"/>
    <row r="3628" s="21" customFormat="1" ht="15" customHeight="1" x14ac:dyDescent="0.25"/>
    <row r="3629" s="21" customFormat="1" ht="15" customHeight="1" x14ac:dyDescent="0.25"/>
    <row r="3630" s="21" customFormat="1" ht="15" customHeight="1" x14ac:dyDescent="0.25"/>
    <row r="3631" s="21" customFormat="1" ht="15" customHeight="1" x14ac:dyDescent="0.25"/>
    <row r="3632" s="21" customFormat="1" ht="15" customHeight="1" x14ac:dyDescent="0.25"/>
    <row r="3633" s="21" customFormat="1" ht="15" customHeight="1" x14ac:dyDescent="0.25"/>
    <row r="3634" s="21" customFormat="1" ht="15" customHeight="1" x14ac:dyDescent="0.25"/>
    <row r="3635" s="21" customFormat="1" ht="15" customHeight="1" x14ac:dyDescent="0.25"/>
    <row r="3636" s="21" customFormat="1" ht="15" customHeight="1" x14ac:dyDescent="0.25"/>
    <row r="3637" s="21" customFormat="1" ht="15" customHeight="1" x14ac:dyDescent="0.25"/>
    <row r="3638" s="21" customFormat="1" ht="15" customHeight="1" x14ac:dyDescent="0.25"/>
    <row r="3639" s="21" customFormat="1" ht="15" customHeight="1" x14ac:dyDescent="0.25"/>
    <row r="3640" s="21" customFormat="1" ht="15" customHeight="1" x14ac:dyDescent="0.25"/>
    <row r="3641" s="21" customFormat="1" ht="15" customHeight="1" x14ac:dyDescent="0.25"/>
    <row r="3642" s="21" customFormat="1" ht="15" customHeight="1" x14ac:dyDescent="0.25"/>
    <row r="3643" s="21" customFormat="1" ht="15" customHeight="1" x14ac:dyDescent="0.25"/>
    <row r="3644" s="21" customFormat="1" ht="15" customHeight="1" x14ac:dyDescent="0.25"/>
    <row r="3645" s="21" customFormat="1" ht="15" customHeight="1" x14ac:dyDescent="0.25"/>
    <row r="3646" s="21" customFormat="1" ht="15" customHeight="1" x14ac:dyDescent="0.25"/>
    <row r="3647" s="21" customFormat="1" ht="15" customHeight="1" x14ac:dyDescent="0.25"/>
    <row r="3648" s="21" customFormat="1" ht="15" customHeight="1" x14ac:dyDescent="0.25"/>
    <row r="3649" s="21" customFormat="1" ht="15" customHeight="1" x14ac:dyDescent="0.25"/>
    <row r="3650" s="21" customFormat="1" ht="15" customHeight="1" x14ac:dyDescent="0.25"/>
    <row r="3651" s="21" customFormat="1" ht="15" customHeight="1" x14ac:dyDescent="0.25"/>
    <row r="3652" s="21" customFormat="1" ht="15" customHeight="1" x14ac:dyDescent="0.25"/>
    <row r="3653" s="21" customFormat="1" ht="15" customHeight="1" x14ac:dyDescent="0.25"/>
    <row r="3654" s="21" customFormat="1" ht="15" customHeight="1" x14ac:dyDescent="0.25"/>
    <row r="3655" s="21" customFormat="1" ht="15" customHeight="1" x14ac:dyDescent="0.25"/>
    <row r="3656" s="21" customFormat="1" ht="15" customHeight="1" x14ac:dyDescent="0.25"/>
    <row r="3657" s="21" customFormat="1" ht="15" customHeight="1" x14ac:dyDescent="0.25"/>
    <row r="3658" s="21" customFormat="1" ht="15" customHeight="1" x14ac:dyDescent="0.25"/>
    <row r="3659" s="21" customFormat="1" ht="15" customHeight="1" x14ac:dyDescent="0.25"/>
    <row r="3660" s="21" customFormat="1" ht="15" customHeight="1" x14ac:dyDescent="0.25"/>
    <row r="3661" s="21" customFormat="1" ht="15" customHeight="1" x14ac:dyDescent="0.25"/>
    <row r="3662" s="21" customFormat="1" ht="15" customHeight="1" x14ac:dyDescent="0.25"/>
    <row r="3663" s="21" customFormat="1" ht="15" customHeight="1" x14ac:dyDescent="0.25"/>
    <row r="3664" s="21" customFormat="1" ht="15" customHeight="1" x14ac:dyDescent="0.25"/>
    <row r="3665" s="21" customFormat="1" ht="15" customHeight="1" x14ac:dyDescent="0.25"/>
    <row r="3666" s="21" customFormat="1" ht="15" customHeight="1" x14ac:dyDescent="0.25"/>
    <row r="3667" s="21" customFormat="1" ht="15" customHeight="1" x14ac:dyDescent="0.25"/>
    <row r="3668" s="21" customFormat="1" ht="15" customHeight="1" x14ac:dyDescent="0.25"/>
    <row r="3669" s="21" customFormat="1" ht="15" customHeight="1" x14ac:dyDescent="0.25"/>
    <row r="3670" s="21" customFormat="1" ht="15" customHeight="1" x14ac:dyDescent="0.25"/>
    <row r="3671" s="21" customFormat="1" ht="15" customHeight="1" x14ac:dyDescent="0.25"/>
    <row r="3672" s="21" customFormat="1" ht="15" customHeight="1" x14ac:dyDescent="0.25"/>
    <row r="3673" s="21" customFormat="1" ht="15" customHeight="1" x14ac:dyDescent="0.25"/>
    <row r="3674" s="21" customFormat="1" ht="15" customHeight="1" x14ac:dyDescent="0.25"/>
    <row r="3675" s="21" customFormat="1" ht="15" customHeight="1" x14ac:dyDescent="0.25"/>
    <row r="3676" s="21" customFormat="1" ht="15" customHeight="1" x14ac:dyDescent="0.25"/>
    <row r="3677" s="21" customFormat="1" ht="15" customHeight="1" x14ac:dyDescent="0.25"/>
    <row r="3678" s="21" customFormat="1" ht="15" customHeight="1" x14ac:dyDescent="0.25"/>
    <row r="3679" s="21" customFormat="1" ht="15" customHeight="1" x14ac:dyDescent="0.25"/>
    <row r="3680" s="21" customFormat="1" ht="15" customHeight="1" x14ac:dyDescent="0.25"/>
    <row r="3681" s="21" customFormat="1" ht="15" customHeight="1" x14ac:dyDescent="0.25"/>
    <row r="3682" s="21" customFormat="1" ht="15" customHeight="1" x14ac:dyDescent="0.25"/>
    <row r="3683" s="21" customFormat="1" ht="15" customHeight="1" x14ac:dyDescent="0.25"/>
    <row r="3684" s="21" customFormat="1" ht="15" customHeight="1" x14ac:dyDescent="0.25"/>
    <row r="3685" s="21" customFormat="1" ht="15" customHeight="1" x14ac:dyDescent="0.25"/>
    <row r="3686" s="21" customFormat="1" ht="15" customHeight="1" x14ac:dyDescent="0.25"/>
    <row r="3687" s="21" customFormat="1" ht="15" customHeight="1" x14ac:dyDescent="0.25"/>
    <row r="3688" s="21" customFormat="1" ht="15" customHeight="1" x14ac:dyDescent="0.25"/>
    <row r="3689" s="21" customFormat="1" ht="15" customHeight="1" x14ac:dyDescent="0.25"/>
    <row r="3690" s="21" customFormat="1" ht="15" customHeight="1" x14ac:dyDescent="0.25"/>
    <row r="3691" s="21" customFormat="1" ht="15" customHeight="1" x14ac:dyDescent="0.25"/>
    <row r="3692" s="21" customFormat="1" ht="15" customHeight="1" x14ac:dyDescent="0.25"/>
    <row r="3693" s="21" customFormat="1" ht="15" customHeight="1" x14ac:dyDescent="0.25"/>
    <row r="3694" s="21" customFormat="1" ht="15" customHeight="1" x14ac:dyDescent="0.25"/>
    <row r="3695" s="21" customFormat="1" ht="15" customHeight="1" x14ac:dyDescent="0.25"/>
    <row r="3696" s="21" customFormat="1" ht="15" customHeight="1" x14ac:dyDescent="0.25"/>
    <row r="3697" s="21" customFormat="1" ht="15" customHeight="1" x14ac:dyDescent="0.25"/>
    <row r="3698" s="21" customFormat="1" ht="15" customHeight="1" x14ac:dyDescent="0.25"/>
    <row r="3699" s="21" customFormat="1" ht="15" customHeight="1" x14ac:dyDescent="0.25"/>
    <row r="3700" s="21" customFormat="1" ht="15" customHeight="1" x14ac:dyDescent="0.25"/>
    <row r="3701" s="21" customFormat="1" ht="15" customHeight="1" x14ac:dyDescent="0.25"/>
    <row r="3702" s="21" customFormat="1" ht="15" customHeight="1" x14ac:dyDescent="0.25"/>
    <row r="3703" s="21" customFormat="1" ht="15" customHeight="1" x14ac:dyDescent="0.25"/>
    <row r="3704" s="21" customFormat="1" ht="15" customHeight="1" x14ac:dyDescent="0.25"/>
    <row r="3705" s="21" customFormat="1" ht="15" customHeight="1" x14ac:dyDescent="0.25"/>
    <row r="3706" s="21" customFormat="1" ht="15" customHeight="1" x14ac:dyDescent="0.25"/>
    <row r="3707" s="21" customFormat="1" ht="15" customHeight="1" x14ac:dyDescent="0.25"/>
    <row r="3708" s="21" customFormat="1" ht="15" customHeight="1" x14ac:dyDescent="0.25"/>
    <row r="3709" s="21" customFormat="1" ht="15" customHeight="1" x14ac:dyDescent="0.25"/>
    <row r="3710" s="21" customFormat="1" ht="15" customHeight="1" x14ac:dyDescent="0.25"/>
    <row r="3711" s="21" customFormat="1" ht="15" customHeight="1" x14ac:dyDescent="0.25"/>
    <row r="3712" s="21" customFormat="1" ht="15" customHeight="1" x14ac:dyDescent="0.25"/>
    <row r="3713" s="21" customFormat="1" ht="15" customHeight="1" x14ac:dyDescent="0.25"/>
    <row r="3714" s="21" customFormat="1" ht="15" customHeight="1" x14ac:dyDescent="0.25"/>
    <row r="3715" s="21" customFormat="1" ht="15" customHeight="1" x14ac:dyDescent="0.25"/>
    <row r="3716" s="21" customFormat="1" ht="15" customHeight="1" x14ac:dyDescent="0.25"/>
    <row r="3717" s="21" customFormat="1" ht="15" customHeight="1" x14ac:dyDescent="0.25"/>
    <row r="3718" s="21" customFormat="1" ht="15" customHeight="1" x14ac:dyDescent="0.25"/>
    <row r="3719" s="21" customFormat="1" ht="15" customHeight="1" x14ac:dyDescent="0.25"/>
    <row r="3720" s="21" customFormat="1" ht="15" customHeight="1" x14ac:dyDescent="0.25"/>
    <row r="3721" s="21" customFormat="1" ht="15" customHeight="1" x14ac:dyDescent="0.25"/>
    <row r="3722" s="21" customFormat="1" ht="15" customHeight="1" x14ac:dyDescent="0.25"/>
    <row r="3723" s="21" customFormat="1" ht="15" customHeight="1" x14ac:dyDescent="0.25"/>
    <row r="3724" s="21" customFormat="1" ht="15" customHeight="1" x14ac:dyDescent="0.25"/>
    <row r="3725" s="21" customFormat="1" ht="15" customHeight="1" x14ac:dyDescent="0.25"/>
    <row r="3726" s="21" customFormat="1" ht="15" customHeight="1" x14ac:dyDescent="0.25"/>
    <row r="3727" s="21" customFormat="1" ht="15" customHeight="1" x14ac:dyDescent="0.25"/>
    <row r="3728" s="21" customFormat="1" ht="15" customHeight="1" x14ac:dyDescent="0.25"/>
    <row r="3729" s="21" customFormat="1" ht="15" customHeight="1" x14ac:dyDescent="0.25"/>
    <row r="3730" s="21" customFormat="1" ht="15" customHeight="1" x14ac:dyDescent="0.25"/>
    <row r="3731" s="21" customFormat="1" ht="15" customHeight="1" x14ac:dyDescent="0.25"/>
    <row r="3732" s="21" customFormat="1" ht="15" customHeight="1" x14ac:dyDescent="0.25"/>
    <row r="3733" s="21" customFormat="1" ht="15" customHeight="1" x14ac:dyDescent="0.25"/>
    <row r="3734" s="21" customFormat="1" ht="15" customHeight="1" x14ac:dyDescent="0.25"/>
    <row r="3735" s="21" customFormat="1" ht="15" customHeight="1" x14ac:dyDescent="0.25"/>
    <row r="3736" s="21" customFormat="1" ht="15" customHeight="1" x14ac:dyDescent="0.25"/>
    <row r="3737" s="21" customFormat="1" ht="15" customHeight="1" x14ac:dyDescent="0.25"/>
    <row r="3738" s="21" customFormat="1" ht="15" customHeight="1" x14ac:dyDescent="0.25"/>
    <row r="3739" s="21" customFormat="1" ht="15" customHeight="1" x14ac:dyDescent="0.25"/>
    <row r="3740" s="21" customFormat="1" ht="15" customHeight="1" x14ac:dyDescent="0.25"/>
    <row r="3741" s="21" customFormat="1" ht="15" customHeight="1" x14ac:dyDescent="0.25"/>
    <row r="3742" s="21" customFormat="1" ht="15" customHeight="1" x14ac:dyDescent="0.25"/>
    <row r="3743" s="21" customFormat="1" ht="15" customHeight="1" x14ac:dyDescent="0.25"/>
    <row r="3744" s="21" customFormat="1" ht="15" customHeight="1" x14ac:dyDescent="0.25"/>
    <row r="3745" s="21" customFormat="1" ht="15" customHeight="1" x14ac:dyDescent="0.25"/>
    <row r="3746" s="21" customFormat="1" ht="15" customHeight="1" x14ac:dyDescent="0.25"/>
    <row r="3747" s="21" customFormat="1" ht="15" customHeight="1" x14ac:dyDescent="0.25"/>
    <row r="3748" s="21" customFormat="1" ht="15" customHeight="1" x14ac:dyDescent="0.25"/>
    <row r="3749" s="21" customFormat="1" ht="15" customHeight="1" x14ac:dyDescent="0.25"/>
    <row r="3750" s="21" customFormat="1" ht="15" customHeight="1" x14ac:dyDescent="0.25"/>
    <row r="3751" s="21" customFormat="1" ht="15" customHeight="1" x14ac:dyDescent="0.25"/>
    <row r="3752" s="21" customFormat="1" ht="15" customHeight="1" x14ac:dyDescent="0.25"/>
    <row r="3753" s="21" customFormat="1" ht="15" customHeight="1" x14ac:dyDescent="0.25"/>
    <row r="3754" s="21" customFormat="1" ht="15" customHeight="1" x14ac:dyDescent="0.25"/>
    <row r="3755" s="21" customFormat="1" ht="15" customHeight="1" x14ac:dyDescent="0.25"/>
    <row r="3756" s="21" customFormat="1" ht="15" customHeight="1" x14ac:dyDescent="0.25"/>
    <row r="3757" s="21" customFormat="1" ht="15" customHeight="1" x14ac:dyDescent="0.25"/>
    <row r="3758" s="21" customFormat="1" ht="15" customHeight="1" x14ac:dyDescent="0.25"/>
    <row r="3759" s="21" customFormat="1" ht="15" customHeight="1" x14ac:dyDescent="0.25"/>
    <row r="3760" s="21" customFormat="1" ht="15" customHeight="1" x14ac:dyDescent="0.25"/>
    <row r="3761" s="21" customFormat="1" ht="15" customHeight="1" x14ac:dyDescent="0.25"/>
    <row r="3762" s="21" customFormat="1" ht="15" customHeight="1" x14ac:dyDescent="0.25"/>
    <row r="3763" s="21" customFormat="1" ht="15" customHeight="1" x14ac:dyDescent="0.25"/>
    <row r="3764" s="21" customFormat="1" ht="15" customHeight="1" x14ac:dyDescent="0.25"/>
    <row r="3765" s="21" customFormat="1" ht="15" customHeight="1" x14ac:dyDescent="0.25"/>
    <row r="3766" s="21" customFormat="1" ht="15" customHeight="1" x14ac:dyDescent="0.25"/>
    <row r="3767" s="21" customFormat="1" ht="15" customHeight="1" x14ac:dyDescent="0.25"/>
    <row r="3768" s="21" customFormat="1" ht="15" customHeight="1" x14ac:dyDescent="0.25"/>
    <row r="3769" s="21" customFormat="1" ht="15" customHeight="1" x14ac:dyDescent="0.25"/>
    <row r="3770" s="21" customFormat="1" ht="15" customHeight="1" x14ac:dyDescent="0.25"/>
    <row r="3771" s="21" customFormat="1" ht="15" customHeight="1" x14ac:dyDescent="0.25"/>
    <row r="3772" s="21" customFormat="1" ht="15" customHeight="1" x14ac:dyDescent="0.25"/>
    <row r="3773" s="21" customFormat="1" ht="15" customHeight="1" x14ac:dyDescent="0.25"/>
    <row r="3774" s="21" customFormat="1" ht="15" customHeight="1" x14ac:dyDescent="0.25"/>
    <row r="3775" s="21" customFormat="1" ht="15" customHeight="1" x14ac:dyDescent="0.25"/>
    <row r="3776" s="21" customFormat="1" ht="15" customHeight="1" x14ac:dyDescent="0.25"/>
    <row r="3777" s="21" customFormat="1" ht="15" customHeight="1" x14ac:dyDescent="0.25"/>
    <row r="3778" s="21" customFormat="1" ht="15" customHeight="1" x14ac:dyDescent="0.25"/>
    <row r="3779" s="21" customFormat="1" ht="15" customHeight="1" x14ac:dyDescent="0.25"/>
    <row r="3780" s="21" customFormat="1" ht="15" customHeight="1" x14ac:dyDescent="0.25"/>
    <row r="3781" s="21" customFormat="1" ht="15" customHeight="1" x14ac:dyDescent="0.25"/>
    <row r="3782" s="21" customFormat="1" ht="15" customHeight="1" x14ac:dyDescent="0.25"/>
    <row r="3783" s="21" customFormat="1" ht="15" customHeight="1" x14ac:dyDescent="0.25"/>
    <row r="3784" s="21" customFormat="1" ht="15" customHeight="1" x14ac:dyDescent="0.25"/>
    <row r="3785" s="21" customFormat="1" ht="15" customHeight="1" x14ac:dyDescent="0.25"/>
    <row r="3786" s="21" customFormat="1" ht="15" customHeight="1" x14ac:dyDescent="0.25"/>
    <row r="3787" s="21" customFormat="1" ht="15" customHeight="1" x14ac:dyDescent="0.25"/>
    <row r="3788" s="21" customFormat="1" ht="15" customHeight="1" x14ac:dyDescent="0.25"/>
    <row r="3789" s="21" customFormat="1" ht="15" customHeight="1" x14ac:dyDescent="0.25"/>
    <row r="3790" s="21" customFormat="1" ht="15" customHeight="1" x14ac:dyDescent="0.25"/>
    <row r="3791" s="21" customFormat="1" ht="15" customHeight="1" x14ac:dyDescent="0.25"/>
    <row r="3792" s="21" customFormat="1" ht="15" customHeight="1" x14ac:dyDescent="0.25"/>
    <row r="3793" s="21" customFormat="1" ht="15" customHeight="1" x14ac:dyDescent="0.25"/>
    <row r="3794" s="21" customFormat="1" ht="15" customHeight="1" x14ac:dyDescent="0.25"/>
    <row r="3795" s="21" customFormat="1" ht="15" customHeight="1" x14ac:dyDescent="0.25"/>
    <row r="3796" s="21" customFormat="1" ht="15" customHeight="1" x14ac:dyDescent="0.25"/>
    <row r="3797" s="21" customFormat="1" ht="15" customHeight="1" x14ac:dyDescent="0.25"/>
    <row r="3798" s="21" customFormat="1" ht="15" customHeight="1" x14ac:dyDescent="0.25"/>
    <row r="3799" s="21" customFormat="1" ht="15" customHeight="1" x14ac:dyDescent="0.25"/>
    <row r="3800" s="21" customFormat="1" ht="15" customHeight="1" x14ac:dyDescent="0.25"/>
    <row r="3801" s="21" customFormat="1" ht="15" customHeight="1" x14ac:dyDescent="0.25"/>
    <row r="3802" s="21" customFormat="1" ht="15" customHeight="1" x14ac:dyDescent="0.25"/>
    <row r="3803" s="21" customFormat="1" ht="15" customHeight="1" x14ac:dyDescent="0.25"/>
    <row r="3804" s="21" customFormat="1" ht="15" customHeight="1" x14ac:dyDescent="0.25"/>
    <row r="3805" s="21" customFormat="1" ht="15" customHeight="1" x14ac:dyDescent="0.25"/>
    <row r="3806" s="21" customFormat="1" ht="15" customHeight="1" x14ac:dyDescent="0.25"/>
    <row r="3807" s="21" customFormat="1" ht="15" customHeight="1" x14ac:dyDescent="0.25"/>
    <row r="3808" s="21" customFormat="1" ht="15" customHeight="1" x14ac:dyDescent="0.25"/>
    <row r="3809" s="21" customFormat="1" ht="15" customHeight="1" x14ac:dyDescent="0.25"/>
    <row r="3810" s="21" customFormat="1" ht="15" customHeight="1" x14ac:dyDescent="0.25"/>
    <row r="3811" s="21" customFormat="1" ht="15" customHeight="1" x14ac:dyDescent="0.25"/>
    <row r="3812" s="21" customFormat="1" ht="15" customHeight="1" x14ac:dyDescent="0.25"/>
    <row r="3813" s="21" customFormat="1" ht="15" customHeight="1" x14ac:dyDescent="0.25"/>
    <row r="3814" s="21" customFormat="1" ht="15" customHeight="1" x14ac:dyDescent="0.25"/>
    <row r="3815" s="21" customFormat="1" ht="15" customHeight="1" x14ac:dyDescent="0.25"/>
    <row r="3816" s="21" customFormat="1" ht="15" customHeight="1" x14ac:dyDescent="0.25"/>
    <row r="3817" s="21" customFormat="1" ht="15" customHeight="1" x14ac:dyDescent="0.25"/>
    <row r="3818" s="21" customFormat="1" ht="15" customHeight="1" x14ac:dyDescent="0.25"/>
    <row r="3819" s="21" customFormat="1" ht="15" customHeight="1" x14ac:dyDescent="0.25"/>
    <row r="3820" s="21" customFormat="1" ht="15" customHeight="1" x14ac:dyDescent="0.25"/>
    <row r="3821" s="21" customFormat="1" ht="15" customHeight="1" x14ac:dyDescent="0.25"/>
    <row r="3822" s="21" customFormat="1" ht="15" customHeight="1" x14ac:dyDescent="0.25"/>
    <row r="3823" s="21" customFormat="1" ht="15" customHeight="1" x14ac:dyDescent="0.25"/>
    <row r="3824" s="21" customFormat="1" ht="15" customHeight="1" x14ac:dyDescent="0.25"/>
    <row r="3825" s="21" customFormat="1" ht="15" customHeight="1" x14ac:dyDescent="0.25"/>
    <row r="3826" s="21" customFormat="1" ht="15" customHeight="1" x14ac:dyDescent="0.25"/>
    <row r="3827" s="21" customFormat="1" ht="15" customHeight="1" x14ac:dyDescent="0.25"/>
    <row r="3828" s="21" customFormat="1" ht="15" customHeight="1" x14ac:dyDescent="0.25"/>
    <row r="3829" s="21" customFormat="1" ht="15" customHeight="1" x14ac:dyDescent="0.25"/>
    <row r="3830" s="21" customFormat="1" ht="15" customHeight="1" x14ac:dyDescent="0.25"/>
    <row r="3831" s="21" customFormat="1" ht="15" customHeight="1" x14ac:dyDescent="0.25"/>
    <row r="3832" s="21" customFormat="1" ht="15" customHeight="1" x14ac:dyDescent="0.25"/>
    <row r="3833" s="21" customFormat="1" ht="15" customHeight="1" x14ac:dyDescent="0.25"/>
    <row r="3834" s="21" customFormat="1" ht="15" customHeight="1" x14ac:dyDescent="0.25"/>
    <row r="3835" s="21" customFormat="1" ht="15" customHeight="1" x14ac:dyDescent="0.25"/>
    <row r="3836" s="21" customFormat="1" ht="15" customHeight="1" x14ac:dyDescent="0.25"/>
    <row r="3837" s="21" customFormat="1" ht="15" customHeight="1" x14ac:dyDescent="0.25"/>
    <row r="3838" s="21" customFormat="1" ht="15" customHeight="1" x14ac:dyDescent="0.25"/>
    <row r="3839" s="21" customFormat="1" ht="15" customHeight="1" x14ac:dyDescent="0.25"/>
    <row r="3840" s="21" customFormat="1" ht="15" customHeight="1" x14ac:dyDescent="0.25"/>
    <row r="3841" s="21" customFormat="1" ht="15" customHeight="1" x14ac:dyDescent="0.25"/>
    <row r="3842" s="21" customFormat="1" ht="15" customHeight="1" x14ac:dyDescent="0.25"/>
    <row r="3843" s="21" customFormat="1" ht="15" customHeight="1" x14ac:dyDescent="0.25"/>
    <row r="3844" s="21" customFormat="1" ht="15" customHeight="1" x14ac:dyDescent="0.25"/>
    <row r="3845" s="21" customFormat="1" ht="15" customHeight="1" x14ac:dyDescent="0.25"/>
    <row r="3846" s="21" customFormat="1" ht="15" customHeight="1" x14ac:dyDescent="0.25"/>
    <row r="3847" s="21" customFormat="1" ht="15" customHeight="1" x14ac:dyDescent="0.25"/>
    <row r="3848" s="21" customFormat="1" ht="15" customHeight="1" x14ac:dyDescent="0.25"/>
    <row r="3849" s="21" customFormat="1" ht="15" customHeight="1" x14ac:dyDescent="0.25"/>
    <row r="3850" s="21" customFormat="1" ht="15" customHeight="1" x14ac:dyDescent="0.25"/>
    <row r="3851" s="21" customFormat="1" ht="15" customHeight="1" x14ac:dyDescent="0.25"/>
    <row r="3852" s="21" customFormat="1" ht="15" customHeight="1" x14ac:dyDescent="0.25"/>
    <row r="3853" s="21" customFormat="1" ht="15" customHeight="1" x14ac:dyDescent="0.25"/>
    <row r="3854" s="21" customFormat="1" ht="15" customHeight="1" x14ac:dyDescent="0.25"/>
    <row r="3855" s="21" customFormat="1" ht="15" customHeight="1" x14ac:dyDescent="0.25"/>
    <row r="3856" s="21" customFormat="1" ht="15" customHeight="1" x14ac:dyDescent="0.25"/>
    <row r="3857" s="21" customFormat="1" ht="15" customHeight="1" x14ac:dyDescent="0.25"/>
    <row r="3858" s="21" customFormat="1" ht="15" customHeight="1" x14ac:dyDescent="0.25"/>
    <row r="3859" s="21" customFormat="1" ht="15" customHeight="1" x14ac:dyDescent="0.25"/>
    <row r="3860" s="21" customFormat="1" ht="15" customHeight="1" x14ac:dyDescent="0.25"/>
    <row r="3861" s="21" customFormat="1" ht="15" customHeight="1" x14ac:dyDescent="0.25"/>
    <row r="3862" s="21" customFormat="1" ht="15" customHeight="1" x14ac:dyDescent="0.25"/>
    <row r="3863" s="21" customFormat="1" ht="15" customHeight="1" x14ac:dyDescent="0.25"/>
    <row r="3864" s="21" customFormat="1" ht="15" customHeight="1" x14ac:dyDescent="0.25"/>
    <row r="3865" s="21" customFormat="1" ht="15" customHeight="1" x14ac:dyDescent="0.25"/>
    <row r="3866" s="21" customFormat="1" ht="15" customHeight="1" x14ac:dyDescent="0.25"/>
    <row r="3867" s="21" customFormat="1" ht="15" customHeight="1" x14ac:dyDescent="0.25"/>
    <row r="3868" s="21" customFormat="1" ht="15" customHeight="1" x14ac:dyDescent="0.25"/>
    <row r="3869" s="21" customFormat="1" ht="15" customHeight="1" x14ac:dyDescent="0.25"/>
    <row r="3870" s="21" customFormat="1" ht="15" customHeight="1" x14ac:dyDescent="0.25"/>
    <row r="3871" s="21" customFormat="1" ht="15" customHeight="1" x14ac:dyDescent="0.25"/>
    <row r="3872" s="21" customFormat="1" ht="15" customHeight="1" x14ac:dyDescent="0.25"/>
    <row r="3873" s="21" customFormat="1" ht="15" customHeight="1" x14ac:dyDescent="0.25"/>
    <row r="3874" s="21" customFormat="1" ht="15" customHeight="1" x14ac:dyDescent="0.25"/>
    <row r="3875" s="21" customFormat="1" ht="15" customHeight="1" x14ac:dyDescent="0.25"/>
    <row r="3876" s="21" customFormat="1" ht="15" customHeight="1" x14ac:dyDescent="0.25"/>
    <row r="3877" s="21" customFormat="1" ht="15" customHeight="1" x14ac:dyDescent="0.25"/>
    <row r="3878" s="21" customFormat="1" ht="15" customHeight="1" x14ac:dyDescent="0.25"/>
    <row r="3879" s="21" customFormat="1" ht="15" customHeight="1" x14ac:dyDescent="0.25"/>
    <row r="3880" s="21" customFormat="1" ht="15" customHeight="1" x14ac:dyDescent="0.25"/>
    <row r="3881" s="21" customFormat="1" ht="15" customHeight="1" x14ac:dyDescent="0.25"/>
    <row r="3882" s="21" customFormat="1" ht="15" customHeight="1" x14ac:dyDescent="0.25"/>
    <row r="3883" s="21" customFormat="1" ht="15" customHeight="1" x14ac:dyDescent="0.25"/>
    <row r="3884" s="21" customFormat="1" ht="15" customHeight="1" x14ac:dyDescent="0.25"/>
    <row r="3885" s="21" customFormat="1" ht="15" customHeight="1" x14ac:dyDescent="0.25"/>
    <row r="3886" s="21" customFormat="1" ht="15" customHeight="1" x14ac:dyDescent="0.25"/>
    <row r="3887" s="21" customFormat="1" ht="15" customHeight="1" x14ac:dyDescent="0.25"/>
    <row r="3888" s="21" customFormat="1" ht="15" customHeight="1" x14ac:dyDescent="0.25"/>
    <row r="3889" s="21" customFormat="1" ht="15" customHeight="1" x14ac:dyDescent="0.25"/>
    <row r="3890" s="21" customFormat="1" ht="15" customHeight="1" x14ac:dyDescent="0.25"/>
    <row r="3891" s="21" customFormat="1" ht="15" customHeight="1" x14ac:dyDescent="0.25"/>
    <row r="3892" s="21" customFormat="1" ht="15" customHeight="1" x14ac:dyDescent="0.25"/>
    <row r="3893" s="21" customFormat="1" ht="15" customHeight="1" x14ac:dyDescent="0.25"/>
    <row r="3894" s="21" customFormat="1" ht="15" customHeight="1" x14ac:dyDescent="0.25"/>
    <row r="3895" s="21" customFormat="1" ht="15" customHeight="1" x14ac:dyDescent="0.25"/>
    <row r="3896" s="21" customFormat="1" ht="15" customHeight="1" x14ac:dyDescent="0.25"/>
    <row r="3897" s="21" customFormat="1" ht="15" customHeight="1" x14ac:dyDescent="0.25"/>
    <row r="3898" s="21" customFormat="1" ht="15" customHeight="1" x14ac:dyDescent="0.25"/>
    <row r="3899" s="21" customFormat="1" ht="15" customHeight="1" x14ac:dyDescent="0.25"/>
    <row r="3900" s="21" customFormat="1" ht="15" customHeight="1" x14ac:dyDescent="0.25"/>
    <row r="3901" s="21" customFormat="1" ht="15" customHeight="1" x14ac:dyDescent="0.25"/>
    <row r="3902" s="21" customFormat="1" ht="15" customHeight="1" x14ac:dyDescent="0.25"/>
    <row r="3903" s="21" customFormat="1" ht="15" customHeight="1" x14ac:dyDescent="0.25"/>
    <row r="3904" s="21" customFormat="1" ht="15" customHeight="1" x14ac:dyDescent="0.25"/>
    <row r="3905" s="21" customFormat="1" ht="15" customHeight="1" x14ac:dyDescent="0.25"/>
    <row r="3906" s="21" customFormat="1" ht="15" customHeight="1" x14ac:dyDescent="0.25"/>
    <row r="3907" s="21" customFormat="1" ht="15" customHeight="1" x14ac:dyDescent="0.25"/>
    <row r="3908" s="21" customFormat="1" ht="15" customHeight="1" x14ac:dyDescent="0.25"/>
    <row r="3909" s="21" customFormat="1" ht="15" customHeight="1" x14ac:dyDescent="0.25"/>
    <row r="3910" s="21" customFormat="1" ht="15" customHeight="1" x14ac:dyDescent="0.25"/>
    <row r="3911" s="21" customFormat="1" ht="15" customHeight="1" x14ac:dyDescent="0.25"/>
    <row r="3912" s="21" customFormat="1" ht="15" customHeight="1" x14ac:dyDescent="0.25"/>
    <row r="3913" s="21" customFormat="1" ht="15" customHeight="1" x14ac:dyDescent="0.25"/>
    <row r="3914" s="21" customFormat="1" ht="15" customHeight="1" x14ac:dyDescent="0.25"/>
    <row r="3915" s="21" customFormat="1" ht="15" customHeight="1" x14ac:dyDescent="0.25"/>
    <row r="3916" s="21" customFormat="1" ht="15" customHeight="1" x14ac:dyDescent="0.25"/>
    <row r="3917" s="21" customFormat="1" ht="15" customHeight="1" x14ac:dyDescent="0.25"/>
    <row r="3918" s="21" customFormat="1" ht="15" customHeight="1" x14ac:dyDescent="0.25"/>
    <row r="3919" s="21" customFormat="1" ht="15" customHeight="1" x14ac:dyDescent="0.25"/>
    <row r="3920" s="21" customFormat="1" ht="15" customHeight="1" x14ac:dyDescent="0.25"/>
    <row r="3921" s="21" customFormat="1" ht="15" customHeight="1" x14ac:dyDescent="0.25"/>
    <row r="3922" s="21" customFormat="1" ht="15" customHeight="1" x14ac:dyDescent="0.25"/>
    <row r="3923" s="21" customFormat="1" ht="15" customHeight="1" x14ac:dyDescent="0.25"/>
    <row r="3924" s="21" customFormat="1" ht="15" customHeight="1" x14ac:dyDescent="0.25"/>
    <row r="3925" s="21" customFormat="1" ht="15" customHeight="1" x14ac:dyDescent="0.25"/>
    <row r="3926" s="21" customFormat="1" ht="15" customHeight="1" x14ac:dyDescent="0.25"/>
    <row r="3927" s="21" customFormat="1" ht="15" customHeight="1" x14ac:dyDescent="0.25"/>
    <row r="3928" s="21" customFormat="1" ht="15" customHeight="1" x14ac:dyDescent="0.25"/>
    <row r="3929" s="21" customFormat="1" ht="15" customHeight="1" x14ac:dyDescent="0.25"/>
    <row r="3930" s="21" customFormat="1" ht="15" customHeight="1" x14ac:dyDescent="0.25"/>
    <row r="3931" s="21" customFormat="1" ht="15" customHeight="1" x14ac:dyDescent="0.25"/>
    <row r="3932" s="21" customFormat="1" ht="15" customHeight="1" x14ac:dyDescent="0.25"/>
    <row r="3933" s="21" customFormat="1" ht="15" customHeight="1" x14ac:dyDescent="0.25"/>
    <row r="3934" s="21" customFormat="1" ht="15" customHeight="1" x14ac:dyDescent="0.25"/>
    <row r="3935" s="21" customFormat="1" ht="15" customHeight="1" x14ac:dyDescent="0.25"/>
    <row r="3936" s="21" customFormat="1" ht="15" customHeight="1" x14ac:dyDescent="0.25"/>
    <row r="3937" s="21" customFormat="1" ht="15" customHeight="1" x14ac:dyDescent="0.25"/>
    <row r="3938" s="21" customFormat="1" ht="15" customHeight="1" x14ac:dyDescent="0.25"/>
    <row r="3939" s="21" customFormat="1" ht="15" customHeight="1" x14ac:dyDescent="0.25"/>
    <row r="3940" s="21" customFormat="1" ht="15" customHeight="1" x14ac:dyDescent="0.25"/>
    <row r="3941" s="21" customFormat="1" ht="15" customHeight="1" x14ac:dyDescent="0.25"/>
    <row r="3942" s="21" customFormat="1" ht="15" customHeight="1" x14ac:dyDescent="0.25"/>
    <row r="3943" s="21" customFormat="1" ht="15" customHeight="1" x14ac:dyDescent="0.25"/>
    <row r="3944" s="21" customFormat="1" ht="15" customHeight="1" x14ac:dyDescent="0.25"/>
    <row r="3945" s="21" customFormat="1" ht="15" customHeight="1" x14ac:dyDescent="0.25"/>
    <row r="3946" s="21" customFormat="1" ht="15" customHeight="1" x14ac:dyDescent="0.25"/>
    <row r="3947" s="21" customFormat="1" ht="15" customHeight="1" x14ac:dyDescent="0.25"/>
    <row r="3948" s="21" customFormat="1" ht="15" customHeight="1" x14ac:dyDescent="0.25"/>
    <row r="3949" s="21" customFormat="1" ht="15" customHeight="1" x14ac:dyDescent="0.25"/>
    <row r="3950" s="21" customFormat="1" ht="15" customHeight="1" x14ac:dyDescent="0.25"/>
    <row r="3951" s="21" customFormat="1" ht="15" customHeight="1" x14ac:dyDescent="0.25"/>
    <row r="3952" s="21" customFormat="1" ht="15" customHeight="1" x14ac:dyDescent="0.25"/>
    <row r="3953" s="21" customFormat="1" ht="15" customHeight="1" x14ac:dyDescent="0.25"/>
    <row r="3954" s="21" customFormat="1" ht="15" customHeight="1" x14ac:dyDescent="0.25"/>
    <row r="3955" s="21" customFormat="1" ht="15" customHeight="1" x14ac:dyDescent="0.25"/>
    <row r="3956" s="21" customFormat="1" ht="15" customHeight="1" x14ac:dyDescent="0.25"/>
    <row r="3957" s="21" customFormat="1" ht="15" customHeight="1" x14ac:dyDescent="0.25"/>
    <row r="3958" s="21" customFormat="1" ht="15" customHeight="1" x14ac:dyDescent="0.25"/>
    <row r="3959" s="21" customFormat="1" ht="15" customHeight="1" x14ac:dyDescent="0.25"/>
    <row r="3960" s="21" customFormat="1" ht="15" customHeight="1" x14ac:dyDescent="0.25"/>
    <row r="3961" s="21" customFormat="1" ht="15" customHeight="1" x14ac:dyDescent="0.25"/>
    <row r="3962" s="21" customFormat="1" ht="15" customHeight="1" x14ac:dyDescent="0.25"/>
    <row r="3963" s="21" customFormat="1" ht="15" customHeight="1" x14ac:dyDescent="0.25"/>
    <row r="3964" s="21" customFormat="1" ht="15" customHeight="1" x14ac:dyDescent="0.25"/>
    <row r="3965" s="21" customFormat="1" ht="15" customHeight="1" x14ac:dyDescent="0.25"/>
    <row r="3966" s="21" customFormat="1" ht="15" customHeight="1" x14ac:dyDescent="0.25"/>
    <row r="3967" s="21" customFormat="1" ht="15" customHeight="1" x14ac:dyDescent="0.25"/>
    <row r="3968" s="21" customFormat="1" ht="15" customHeight="1" x14ac:dyDescent="0.25"/>
    <row r="3969" s="21" customFormat="1" ht="15" customHeight="1" x14ac:dyDescent="0.25"/>
    <row r="3970" s="21" customFormat="1" ht="15" customHeight="1" x14ac:dyDescent="0.25"/>
    <row r="3971" s="21" customFormat="1" ht="15" customHeight="1" x14ac:dyDescent="0.25"/>
    <row r="3972" s="21" customFormat="1" ht="15" customHeight="1" x14ac:dyDescent="0.25"/>
    <row r="3973" s="21" customFormat="1" ht="15" customHeight="1" x14ac:dyDescent="0.25"/>
    <row r="3974" s="21" customFormat="1" ht="15" customHeight="1" x14ac:dyDescent="0.25"/>
    <row r="3975" s="21" customFormat="1" ht="15" customHeight="1" x14ac:dyDescent="0.25"/>
    <row r="3976" s="21" customFormat="1" ht="15" customHeight="1" x14ac:dyDescent="0.25"/>
    <row r="3977" s="21" customFormat="1" ht="15" customHeight="1" x14ac:dyDescent="0.25"/>
    <row r="3978" s="21" customFormat="1" ht="15" customHeight="1" x14ac:dyDescent="0.25"/>
    <row r="3979" s="21" customFormat="1" ht="15" customHeight="1" x14ac:dyDescent="0.25"/>
    <row r="3980" s="21" customFormat="1" ht="15" customHeight="1" x14ac:dyDescent="0.25"/>
    <row r="3981" s="21" customFormat="1" ht="15" customHeight="1" x14ac:dyDescent="0.25"/>
    <row r="3982" s="21" customFormat="1" ht="15" customHeight="1" x14ac:dyDescent="0.25"/>
    <row r="3983" s="21" customFormat="1" ht="15" customHeight="1" x14ac:dyDescent="0.25"/>
    <row r="3984" s="21" customFormat="1" ht="15" customHeight="1" x14ac:dyDescent="0.25"/>
    <row r="3985" s="21" customFormat="1" ht="15" customHeight="1" x14ac:dyDescent="0.25"/>
    <row r="3986" s="21" customFormat="1" ht="15" customHeight="1" x14ac:dyDescent="0.25"/>
    <row r="3987" s="21" customFormat="1" ht="15" customHeight="1" x14ac:dyDescent="0.25"/>
    <row r="3988" s="21" customFormat="1" ht="15" customHeight="1" x14ac:dyDescent="0.25"/>
    <row r="3989" s="21" customFormat="1" ht="15" customHeight="1" x14ac:dyDescent="0.25"/>
    <row r="3990" s="21" customFormat="1" ht="15" customHeight="1" x14ac:dyDescent="0.25"/>
    <row r="3991" s="21" customFormat="1" ht="15" customHeight="1" x14ac:dyDescent="0.25"/>
    <row r="3992" s="21" customFormat="1" ht="15" customHeight="1" x14ac:dyDescent="0.25"/>
    <row r="3993" s="21" customFormat="1" ht="15" customHeight="1" x14ac:dyDescent="0.25"/>
  </sheetData>
  <sheetProtection sort="0" autoFilter="0"/>
  <mergeCells count="5">
    <mergeCell ref="B1:P3"/>
    <mergeCell ref="Q1:V3"/>
    <mergeCell ref="W1:AG3"/>
    <mergeCell ref="AH1:AV3"/>
    <mergeCell ref="AW1:AW3"/>
  </mergeCells>
  <conditionalFormatting sqref="N6:N705">
    <cfRule type="duplicateValues" dxfId="28" priority="1"/>
    <cfRule type="duplicateValues" dxfId="27" priority="3"/>
  </conditionalFormatting>
  <conditionalFormatting sqref="AW6:AW705">
    <cfRule type="duplicateValues" dxfId="26" priority="2"/>
  </conditionalFormatting>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7B38-A99A-46D7-906F-299197CB5B30}">
  <sheetPr codeName="Sheet7">
    <tabColor rgb="FFFF0000"/>
  </sheetPr>
  <dimension ref="B1:BH1242"/>
  <sheetViews>
    <sheetView showGridLines="0" zoomScale="80" zoomScaleNormal="80" workbookViewId="0">
      <pane xSplit="8" ySplit="4" topLeftCell="I5" activePane="bottomRight" state="frozen"/>
      <selection pane="topRight" activeCell="H36" sqref="H36"/>
      <selection pane="bottomLeft" activeCell="H36" sqref="H36"/>
      <selection pane="bottomRight" activeCell="H36" sqref="H36"/>
    </sheetView>
  </sheetViews>
  <sheetFormatPr defaultColWidth="8.7109375" defaultRowHeight="15" customHeight="1" x14ac:dyDescent="0.25"/>
  <cols>
    <col min="1" max="1" width="5.7109375" style="21" customWidth="1"/>
    <col min="2" max="2" width="11.42578125" style="27" bestFit="1" customWidth="1"/>
    <col min="3" max="3" width="21.7109375" style="27" customWidth="1"/>
    <col min="4" max="4" width="16.42578125" style="38" customWidth="1"/>
    <col min="5" max="5" width="18.5703125" style="38" bestFit="1" customWidth="1"/>
    <col min="6" max="6" width="0.5703125" style="38" customWidth="1"/>
    <col min="7" max="7" width="19.5703125" style="38" hidden="1" customWidth="1"/>
    <col min="8" max="8" width="16.42578125" style="38" customWidth="1"/>
    <col min="9" max="12" width="18" style="27" customWidth="1"/>
    <col min="13" max="13" width="20" style="27" customWidth="1"/>
    <col min="14" max="23" width="18" style="27" customWidth="1"/>
    <col min="24" max="36" width="18" style="21" customWidth="1"/>
    <col min="37" max="50" width="15.42578125" style="21" customWidth="1"/>
    <col min="51" max="51" width="17.42578125" style="21" customWidth="1"/>
    <col min="52" max="52" width="17.140625" style="21" customWidth="1"/>
    <col min="53" max="53" width="22.140625" style="21" customWidth="1"/>
    <col min="54" max="54" width="34.42578125" style="21" bestFit="1" customWidth="1"/>
    <col min="55" max="55" width="19" style="21" customWidth="1"/>
    <col min="56" max="56" width="15.42578125" style="21" customWidth="1"/>
    <col min="57" max="57" width="14.140625" style="21" customWidth="1"/>
    <col min="58" max="58" width="34.42578125" style="21" bestFit="1" customWidth="1"/>
    <col min="59" max="59" width="28.7109375" style="21" customWidth="1"/>
    <col min="60" max="60" width="14.140625" style="21" customWidth="1"/>
    <col min="61" max="16384" width="8.7109375" style="21"/>
  </cols>
  <sheetData>
    <row r="1" spans="2:60" s="39" customFormat="1" ht="33" customHeight="1" thickTop="1" thickBot="1" x14ac:dyDescent="0.3">
      <c r="B1" s="79"/>
      <c r="C1" s="80"/>
      <c r="D1" s="216" t="s">
        <v>312</v>
      </c>
      <c r="E1" s="216"/>
      <c r="F1" s="216"/>
      <c r="G1" s="216"/>
      <c r="H1" s="101" t="s">
        <v>313</v>
      </c>
      <c r="I1" s="218" t="s">
        <v>314</v>
      </c>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20" t="s">
        <v>315</v>
      </c>
      <c r="AZ1" s="221"/>
      <c r="BA1" s="221"/>
      <c r="BB1" s="221"/>
      <c r="BC1" s="221"/>
      <c r="BD1" s="221"/>
      <c r="BE1" s="221"/>
      <c r="BF1" s="221"/>
      <c r="BG1" s="221"/>
      <c r="BH1" s="221"/>
    </row>
    <row r="2" spans="2:60" s="39" customFormat="1" ht="33" customHeight="1" thickTop="1" thickBot="1" x14ac:dyDescent="0.3">
      <c r="B2" s="81"/>
      <c r="C2" s="2"/>
      <c r="D2" s="217"/>
      <c r="E2" s="217"/>
      <c r="F2" s="217"/>
      <c r="G2" s="217"/>
      <c r="H2" s="93">
        <f xml:space="preserve"> SUBTOTAL(9,tbl_estimated_costs_quantities[Total cost])</f>
        <v>0</v>
      </c>
      <c r="I2" s="94">
        <f xml:space="preserve"> SUBTOTAL(9,tbl_estimated_costs_quantities[Site Preparation])</f>
        <v>0</v>
      </c>
      <c r="J2" s="92">
        <f xml:space="preserve"> SUBTOTAL(3,tbl_estimated_costs_quantities[Current Situation Photo Site Preparation])</f>
        <v>0</v>
      </c>
      <c r="K2" s="91">
        <f xml:space="preserve"> SUBTOTAL(9,tbl_estimated_costs_quantities[Site Preparation Cost])</f>
        <v>0</v>
      </c>
      <c r="L2" s="92">
        <f xml:space="preserve"> SUBTOTAL(9,tbl_estimated_costs_quantities[Demolition Removal Unsafe Structures])</f>
        <v>0</v>
      </c>
      <c r="M2" s="92">
        <f xml:space="preserve"> SUBTOTAL(3,tbl_estimated_costs_quantities[Current Situation Photo Demolition Removal Unsafe Structures])</f>
        <v>0</v>
      </c>
      <c r="N2" s="91">
        <f xml:space="preserve"> SUBTOTAL(9,tbl_estimated_costs_quantities[Demolition Removal Unsafe Structures Cost])</f>
        <v>0</v>
      </c>
      <c r="O2" s="92">
        <f xml:space="preserve"> SUBTOTAL(9,tbl_estimated_costs_quantities[Concrete Works])</f>
        <v>0</v>
      </c>
      <c r="P2" s="92">
        <f xml:space="preserve"> SUBTOTAL(3,tbl_estimated_costs_quantities[Current Situation Photo Concrete Works])</f>
        <v>0</v>
      </c>
      <c r="Q2" s="91">
        <f xml:space="preserve"> SUBTOTAL(9,tbl_estimated_costs_quantities[Concrete Works Cost])</f>
        <v>0</v>
      </c>
      <c r="R2" s="92">
        <f xml:space="preserve"> SUBTOTAL(9,tbl_estimated_costs_quantities[Closure External Openings Walls Windows])</f>
        <v>0</v>
      </c>
      <c r="S2" s="92">
        <f xml:space="preserve"> SUBTOTAL(3,tbl_estimated_costs_quantities[Current Situation Photo Closure External Openings Walls Windows])</f>
        <v>0</v>
      </c>
      <c r="T2" s="91">
        <f xml:space="preserve"> SUBTOTAL(9,tbl_estimated_costs_quantities[Closure External Openings Walls Windows Cost])</f>
        <v>0</v>
      </c>
      <c r="U2" s="92">
        <f xml:space="preserve"> SUBTOTAL(9,tbl_estimated_costs_quantities[Plastering Painting])</f>
        <v>0</v>
      </c>
      <c r="V2" s="92">
        <f xml:space="preserve"> SUBTOTAL(3,tbl_estimated_costs_quantities[Current Situation Photo Plastering Painting])</f>
        <v>0</v>
      </c>
      <c r="W2" s="91">
        <f xml:space="preserve"> SUBTOTAL(9,tbl_estimated_costs_quantities[Plastering Painting Cost])</f>
        <v>0</v>
      </c>
      <c r="X2" s="92">
        <f xml:space="preserve"> SUBTOTAL(9,tbl_estimated_costs_quantities[Floor Repairs])</f>
        <v>0</v>
      </c>
      <c r="Y2" s="92">
        <f xml:space="preserve"> SUBTOTAL(3,tbl_estimated_costs_quantities[Current Situation Photo Floor Repairs])</f>
        <v>0</v>
      </c>
      <c r="Z2" s="91">
        <f xml:space="preserve"> SUBTOTAL(9,tbl_estimated_costs_quantities[Floor Repairs Cost])</f>
        <v>0</v>
      </c>
      <c r="AA2" s="92">
        <f xml:space="preserve"> SUBTOTAL(9,tbl_estimated_costs_quantities[Doors Replacement Repair])</f>
        <v>0</v>
      </c>
      <c r="AB2" s="92">
        <f xml:space="preserve"> SUBTOTAL(3,tbl_estimated_costs_quantities[Current Situation Photo Doors Replacement Repair])</f>
        <v>0</v>
      </c>
      <c r="AC2" s="91">
        <f xml:space="preserve"> SUBTOTAL(9,tbl_estimated_costs_quantities[Doors Replacement Repair Cost])</f>
        <v>0</v>
      </c>
      <c r="AD2" s="92">
        <f xml:space="preserve"> SUBTOTAL(9,tbl_estimated_costs_quantities[Windows Replacement Repair])</f>
        <v>0</v>
      </c>
      <c r="AE2" s="92">
        <f xml:space="preserve"> SUBTOTAL(3,tbl_estimated_costs_quantities[Current Situation Photo Windows Replacement Repair])</f>
        <v>0</v>
      </c>
      <c r="AF2" s="91">
        <f xml:space="preserve"> SUBTOTAL(9,tbl_estimated_costs_quantities[Windows Replacement Repair Cost])</f>
        <v>0</v>
      </c>
      <c r="AG2" s="92">
        <f xml:space="preserve"> SUBTOTAL(9,tbl_estimated_costs_quantities[Bathroom Rehabilitation])</f>
        <v>0</v>
      </c>
      <c r="AH2" s="92">
        <f xml:space="preserve"> SUBTOTAL(3,tbl_estimated_costs_quantities[Current Situation Photo Bathroom Rehabilitation])</f>
        <v>0</v>
      </c>
      <c r="AI2" s="91">
        <f xml:space="preserve"> SUBTOTAL(9,tbl_estimated_costs_quantities[Bathroom Rehabilitation Cost])</f>
        <v>0</v>
      </c>
      <c r="AJ2" s="92">
        <f xml:space="preserve"> SUBTOTAL(9,tbl_estimated_costs_quantities[Ceramic Tile Works WASH])</f>
        <v>0</v>
      </c>
      <c r="AK2" s="92">
        <f xml:space="preserve"> SUBTOTAL(3,tbl_estimated_costs_quantities[Current Situation Photo Ceramic Tile Works WASH])</f>
        <v>0</v>
      </c>
      <c r="AL2" s="91">
        <f xml:space="preserve"> SUBTOTAL(9,tbl_estimated_costs_quantities[Ceramic Tile Works WASH Cost])</f>
        <v>0</v>
      </c>
      <c r="AM2" s="92">
        <f xml:space="preserve"> SUBTOTAL(9,tbl_estimated_costs_quantities[Electrical Repairs Lighting])</f>
        <v>0</v>
      </c>
      <c r="AN2" s="92">
        <f xml:space="preserve"> SUBTOTAL(3,tbl_estimated_costs_quantities[Current Situation Photo Electrical Repairs Lighting])</f>
        <v>0</v>
      </c>
      <c r="AO2" s="91">
        <f xml:space="preserve"> SUBTOTAL(9,tbl_estimated_costs_quantities[Electrical Repairs Lighting Cost])</f>
        <v>0</v>
      </c>
      <c r="AP2" s="92">
        <f xml:space="preserve"> SUBTOTAL(9,tbl_estimated_costs_quantities[Roof Insulation Leak Sealing])</f>
        <v>0</v>
      </c>
      <c r="AQ2" s="92">
        <f xml:space="preserve"> SUBTOTAL(3,tbl_estimated_costs_quantities[Current Situation Photo Roof Insulation Leak Sealing])</f>
        <v>0</v>
      </c>
      <c r="AR2" s="91">
        <f xml:space="preserve"> SUBTOTAL(9,tbl_estimated_costs_quantities[Roof Insulation Leak Sealing Cost])</f>
        <v>0</v>
      </c>
      <c r="AS2" s="92">
        <f xml:space="preserve"> SUBTOTAL(9,tbl_estimated_costs_quantities[Chimney Duct Cleaning Repair])</f>
        <v>0</v>
      </c>
      <c r="AT2" s="92">
        <f xml:space="preserve"> SUBTOTAL(3,tbl_estimated_costs_quantities[Current Situation Photo Chimney Duct Cleaning Repair])</f>
        <v>0</v>
      </c>
      <c r="AU2" s="91">
        <f xml:space="preserve"> SUBTOTAL(9,tbl_estimated_costs_quantities[Chimney Duct Cleaning Repair Cost])</f>
        <v>0</v>
      </c>
      <c r="AV2" s="92">
        <f xml:space="preserve"> SUBTOTAL(9,tbl_estimated_costs_quantities[Accessibility Adaptations])</f>
        <v>0</v>
      </c>
      <c r="AW2" s="92">
        <f xml:space="preserve"> SUBTOTAL(3,tbl_estimated_costs_quantities[Current Situation Photo Accessibility Adaptations])</f>
        <v>0</v>
      </c>
      <c r="AX2" s="93">
        <f xml:space="preserve"> SUBTOTAL(9,tbl_estimated_costs_quantities[Accessibility Adaptations Cost])</f>
        <v>0</v>
      </c>
      <c r="AY2" s="220"/>
      <c r="AZ2" s="221"/>
      <c r="BA2" s="221"/>
      <c r="BB2" s="221"/>
      <c r="BC2" s="221"/>
      <c r="BD2" s="221"/>
      <c r="BE2" s="221"/>
      <c r="BF2" s="221"/>
      <c r="BG2" s="221"/>
      <c r="BH2" s="221"/>
    </row>
    <row r="3" spans="2:60" s="39" customFormat="1" ht="54" customHeight="1" thickTop="1" x14ac:dyDescent="0.25">
      <c r="B3" s="78" t="s">
        <v>99</v>
      </c>
      <c r="C3" s="28" t="s">
        <v>316</v>
      </c>
      <c r="D3" s="28" t="s">
        <v>317</v>
      </c>
      <c r="E3" s="28" t="s">
        <v>216</v>
      </c>
      <c r="F3" s="28" t="s">
        <v>146</v>
      </c>
      <c r="G3" s="71" t="s">
        <v>203</v>
      </c>
      <c r="H3" s="77" t="s">
        <v>318</v>
      </c>
      <c r="I3" s="70" t="s">
        <v>18</v>
      </c>
      <c r="J3" s="22" t="s">
        <v>319</v>
      </c>
      <c r="K3" s="22" t="s">
        <v>320</v>
      </c>
      <c r="L3" s="22" t="s">
        <v>321</v>
      </c>
      <c r="M3" s="22" t="s">
        <v>322</v>
      </c>
      <c r="N3" s="22" t="s">
        <v>323</v>
      </c>
      <c r="O3" s="22" t="s">
        <v>20</v>
      </c>
      <c r="P3" s="22" t="s">
        <v>324</v>
      </c>
      <c r="Q3" s="23" t="s">
        <v>325</v>
      </c>
      <c r="R3" s="29" t="s">
        <v>326</v>
      </c>
      <c r="S3" s="29" t="s">
        <v>327</v>
      </c>
      <c r="T3" s="29" t="s">
        <v>328</v>
      </c>
      <c r="U3" s="29" t="s">
        <v>22</v>
      </c>
      <c r="V3" s="28" t="s">
        <v>329</v>
      </c>
      <c r="W3" s="28" t="s">
        <v>330</v>
      </c>
      <c r="X3" s="28" t="s">
        <v>24</v>
      </c>
      <c r="Y3" s="28" t="s">
        <v>331</v>
      </c>
      <c r="Z3" s="28" t="s">
        <v>332</v>
      </c>
      <c r="AA3" s="28" t="s">
        <v>25</v>
      </c>
      <c r="AB3" s="28" t="s">
        <v>333</v>
      </c>
      <c r="AC3" s="28" t="s">
        <v>334</v>
      </c>
      <c r="AD3" s="28" t="s">
        <v>26</v>
      </c>
      <c r="AE3" s="28" t="s">
        <v>335</v>
      </c>
      <c r="AF3" s="28" t="s">
        <v>336</v>
      </c>
      <c r="AG3" s="28" t="s">
        <v>337</v>
      </c>
      <c r="AH3" s="28" t="s">
        <v>338</v>
      </c>
      <c r="AI3" s="28" t="s">
        <v>339</v>
      </c>
      <c r="AJ3" s="28" t="s">
        <v>340</v>
      </c>
      <c r="AK3" s="28" t="s">
        <v>341</v>
      </c>
      <c r="AL3" s="28" t="s">
        <v>342</v>
      </c>
      <c r="AM3" s="28" t="s">
        <v>343</v>
      </c>
      <c r="AN3" s="28" t="s">
        <v>344</v>
      </c>
      <c r="AO3" s="28" t="s">
        <v>345</v>
      </c>
      <c r="AP3" s="28" t="s">
        <v>346</v>
      </c>
      <c r="AQ3" s="28" t="s">
        <v>347</v>
      </c>
      <c r="AR3" s="28" t="s">
        <v>348</v>
      </c>
      <c r="AS3" s="28" t="s">
        <v>27</v>
      </c>
      <c r="AT3" s="28" t="s">
        <v>349</v>
      </c>
      <c r="AU3" s="28" t="s">
        <v>350</v>
      </c>
      <c r="AV3" s="28" t="s">
        <v>351</v>
      </c>
      <c r="AW3" s="28" t="s">
        <v>352</v>
      </c>
      <c r="AX3" s="71" t="s">
        <v>353</v>
      </c>
      <c r="AY3" s="102" t="s">
        <v>354</v>
      </c>
      <c r="AZ3" s="103" t="s">
        <v>355</v>
      </c>
      <c r="BA3" s="103" t="s">
        <v>356</v>
      </c>
      <c r="BB3" s="103" t="s">
        <v>357</v>
      </c>
      <c r="BC3" s="103" t="s">
        <v>358</v>
      </c>
      <c r="BD3" s="103" t="s">
        <v>317</v>
      </c>
      <c r="BE3" s="103" t="s">
        <v>252</v>
      </c>
      <c r="BF3" s="103" t="s">
        <v>253</v>
      </c>
      <c r="BG3" s="103" t="s">
        <v>254</v>
      </c>
      <c r="BH3" s="103" t="s">
        <v>317</v>
      </c>
    </row>
    <row r="4" spans="2:60" s="39" customFormat="1" ht="49.5" customHeight="1" x14ac:dyDescent="0.25">
      <c r="B4" s="47" t="s">
        <v>147</v>
      </c>
      <c r="C4" s="18" t="s">
        <v>359</v>
      </c>
      <c r="D4" s="73" t="s">
        <v>360</v>
      </c>
      <c r="E4" s="73" t="s">
        <v>272</v>
      </c>
      <c r="F4" s="73" t="s">
        <v>194</v>
      </c>
      <c r="G4" s="74" t="s">
        <v>259</v>
      </c>
      <c r="H4" s="68" t="s">
        <v>361</v>
      </c>
      <c r="I4" s="72" t="s">
        <v>17</v>
      </c>
      <c r="J4" s="73" t="s">
        <v>362</v>
      </c>
      <c r="K4" s="73" t="s">
        <v>363</v>
      </c>
      <c r="L4" s="73" t="s">
        <v>364</v>
      </c>
      <c r="M4" s="73" t="s">
        <v>365</v>
      </c>
      <c r="N4" s="73" t="s">
        <v>366</v>
      </c>
      <c r="O4" s="73" t="s">
        <v>21</v>
      </c>
      <c r="P4" s="73" t="s">
        <v>367</v>
      </c>
      <c r="Q4" s="73" t="s">
        <v>368</v>
      </c>
      <c r="R4" s="73" t="s">
        <v>369</v>
      </c>
      <c r="S4" s="73" t="s">
        <v>370</v>
      </c>
      <c r="T4" s="73" t="s">
        <v>371</v>
      </c>
      <c r="U4" s="73" t="s">
        <v>372</v>
      </c>
      <c r="V4" s="73" t="s">
        <v>373</v>
      </c>
      <c r="W4" s="73" t="s">
        <v>374</v>
      </c>
      <c r="X4" s="73" t="s">
        <v>23</v>
      </c>
      <c r="Y4" s="73" t="s">
        <v>375</v>
      </c>
      <c r="Z4" s="73" t="s">
        <v>376</v>
      </c>
      <c r="AA4" s="73" t="s">
        <v>377</v>
      </c>
      <c r="AB4" s="73" t="s">
        <v>378</v>
      </c>
      <c r="AC4" s="73" t="s">
        <v>379</v>
      </c>
      <c r="AD4" s="73" t="s">
        <v>380</v>
      </c>
      <c r="AE4" s="73" t="s">
        <v>381</v>
      </c>
      <c r="AF4" s="73" t="s">
        <v>382</v>
      </c>
      <c r="AG4" s="73" t="s">
        <v>383</v>
      </c>
      <c r="AH4" s="73" t="s">
        <v>384</v>
      </c>
      <c r="AI4" s="73" t="s">
        <v>385</v>
      </c>
      <c r="AJ4" s="73" t="s">
        <v>386</v>
      </c>
      <c r="AK4" s="73" t="s">
        <v>387</v>
      </c>
      <c r="AL4" s="73" t="s">
        <v>388</v>
      </c>
      <c r="AM4" s="73" t="s">
        <v>389</v>
      </c>
      <c r="AN4" s="73" t="s">
        <v>390</v>
      </c>
      <c r="AO4" s="73" t="s">
        <v>391</v>
      </c>
      <c r="AP4" s="73" t="s">
        <v>392</v>
      </c>
      <c r="AQ4" s="73" t="s">
        <v>393</v>
      </c>
      <c r="AR4" s="73" t="s">
        <v>394</v>
      </c>
      <c r="AS4" s="73" t="s">
        <v>395</v>
      </c>
      <c r="AT4" s="73" t="s">
        <v>396</v>
      </c>
      <c r="AU4" s="73" t="s">
        <v>397</v>
      </c>
      <c r="AV4" s="73" t="s">
        <v>398</v>
      </c>
      <c r="AW4" s="73" t="s">
        <v>399</v>
      </c>
      <c r="AX4" s="74" t="s">
        <v>400</v>
      </c>
      <c r="AY4" s="90" t="s">
        <v>401</v>
      </c>
      <c r="AZ4" s="90" t="s">
        <v>402</v>
      </c>
      <c r="BA4" s="90" t="s">
        <v>403</v>
      </c>
      <c r="BB4" s="90" t="s">
        <v>404</v>
      </c>
      <c r="BC4" s="90" t="s">
        <v>405</v>
      </c>
      <c r="BD4" s="90" t="s">
        <v>406</v>
      </c>
      <c r="BE4" s="90" t="s">
        <v>308</v>
      </c>
      <c r="BF4" s="90" t="s">
        <v>309</v>
      </c>
      <c r="BG4" s="90" t="s">
        <v>310</v>
      </c>
      <c r="BH4" s="90" t="s">
        <v>407</v>
      </c>
    </row>
    <row r="5" spans="2:60" ht="25.15" customHeight="1" x14ac:dyDescent="0.25">
      <c r="B5" s="49">
        <v>1</v>
      </c>
      <c r="C5" s="37"/>
      <c r="D5" s="41"/>
      <c r="E5" s="40"/>
      <c r="F5" s="87" t="str">
        <f>IF(tbl_estimated_costs_quantities[[#This Row],[House Code]]&lt;&gt;"",INDEX(tbl_Assessment[],MATCH(tbl_estimated_costs_quantities[[#This Row],[House Code]],tbl_Assessment[House Code],0),3),"")</f>
        <v/>
      </c>
      <c r="G5" s="115" t="str">
        <f>IF(tbl_estimated_costs_quantities[[#This Row],[House Code]]&lt;&gt;"",INDEX(tbl_Assessment[],MATCH(tbl_estimated_costs_quantities[[#This Row],[House Code]],tbl_Assessment[House Code],0),9),"")</f>
        <v/>
      </c>
      <c r="H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 s="75"/>
      <c r="J5" s="37"/>
      <c r="K5" s="86">
        <f>tbl_estimated_costs_quantities[[#This Row],[Site Preparation]]*BOQs!$L$3</f>
        <v>0</v>
      </c>
      <c r="L5" s="76"/>
      <c r="M5" s="37"/>
      <c r="N5" s="86">
        <f>tbl_estimated_costs_quantities[[#This Row],[Demolition Removal Unsafe Structures]]*BOQs!$L$4</f>
        <v>0</v>
      </c>
      <c r="O5" s="76"/>
      <c r="P5" s="37"/>
      <c r="Q5" s="86">
        <f>tbl_estimated_costs_quantities[[#This Row],[Concrete Works]]*BOQs!$L$5</f>
        <v>0</v>
      </c>
      <c r="R5" s="76"/>
      <c r="S5" s="37"/>
      <c r="T5" s="86">
        <f>tbl_estimated_costs_quantities[[#This Row],[Closure External Openings Walls Windows]]*BOQs!$L$6</f>
        <v>0</v>
      </c>
      <c r="U5" s="76"/>
      <c r="V5" s="37"/>
      <c r="W5" s="86">
        <f>tbl_estimated_costs_quantities[[#This Row],[Plastering Painting]]*BOQs!$L$7</f>
        <v>0</v>
      </c>
      <c r="X5" s="76"/>
      <c r="Y5" s="37"/>
      <c r="Z5" s="86">
        <f>tbl_estimated_costs_quantities[[#This Row],[Floor Repairs]]*BOQs!$L$8</f>
        <v>0</v>
      </c>
      <c r="AA5" s="76"/>
      <c r="AB5" s="37"/>
      <c r="AC5" s="86">
        <f>tbl_estimated_costs_quantities[[#This Row],[Doors Replacement Repair]]*BOQs!$L$9</f>
        <v>0</v>
      </c>
      <c r="AD5" s="76"/>
      <c r="AE5" s="37"/>
      <c r="AF5" s="86">
        <f>tbl_estimated_costs_quantities[[#This Row],[Windows Replacement Repair]]*BOQs!$L$10</f>
        <v>0</v>
      </c>
      <c r="AG5" s="76"/>
      <c r="AH5" s="37"/>
      <c r="AI5" s="86">
        <f>tbl_estimated_costs_quantities[[#This Row],[Bathroom Rehabilitation]]*BOQs!$L$11</f>
        <v>0</v>
      </c>
      <c r="AJ5" s="76"/>
      <c r="AK5" s="37"/>
      <c r="AL5" s="86">
        <f>tbl_estimated_costs_quantities[[#This Row],[Ceramic Tile Works WASH]]*BOQs!$L$12</f>
        <v>0</v>
      </c>
      <c r="AM5" s="76"/>
      <c r="AN5" s="37"/>
      <c r="AO5" s="86">
        <f>tbl_estimated_costs_quantities[[#This Row],[Electrical Repairs Lighting]]*BOQs!$L$13</f>
        <v>0</v>
      </c>
      <c r="AP5" s="76"/>
      <c r="AQ5" s="37"/>
      <c r="AR5" s="86">
        <f>tbl_estimated_costs_quantities[[#This Row],[Roof Insulation Leak Sealing]]*BOQs!$L$14</f>
        <v>0</v>
      </c>
      <c r="AS5" s="76"/>
      <c r="AT5" s="37"/>
      <c r="AU5" s="86">
        <f>tbl_estimated_costs_quantities[[#This Row],[Chimney Duct Cleaning Repair]]*BOQs!$L$15</f>
        <v>0</v>
      </c>
      <c r="AV5" s="76"/>
      <c r="AW5" s="37"/>
      <c r="AX5" s="89">
        <f>tbl_estimated_costs_quantities[[#This Row],[Accessibility Adaptations]]*BOQs!$L$16</f>
        <v>0</v>
      </c>
      <c r="AY5" s="86" t="str">
        <f>IF(tbl_estimated_costs_quantities[[#This Row],[Total cost]]&lt;&gt;0,tbl_estimated_costs_quantities[[#This Row],[Total cost]]/BOQs!$A$1,"")</f>
        <v/>
      </c>
      <c r="AZ5" s="37"/>
      <c r="BA5" s="37"/>
      <c r="BB5" s="37"/>
      <c r="BC5" s="37"/>
      <c r="BD5" s="41"/>
      <c r="BE5" s="37"/>
      <c r="BF5" s="37"/>
      <c r="BG5" s="37"/>
      <c r="BH5" s="41"/>
    </row>
    <row r="6" spans="2:60" ht="25.15" customHeight="1" x14ac:dyDescent="0.25">
      <c r="B6" s="49">
        <v>2</v>
      </c>
      <c r="C6" s="37"/>
      <c r="D6" s="41"/>
      <c r="E6" s="40"/>
      <c r="F6" s="87" t="str">
        <f>IF(tbl_estimated_costs_quantities[[#This Row],[House Code]]&lt;&gt;"",INDEX(tbl_Assessment[],MATCH(tbl_estimated_costs_quantities[[#This Row],[House Code]],tbl_Assessment[House Code],0),3),"")</f>
        <v/>
      </c>
      <c r="G6" s="115" t="str">
        <f>IF(tbl_estimated_costs_quantities[[#This Row],[House Code]]&lt;&gt;"",INDEX(tbl_Assessment[],MATCH(tbl_estimated_costs_quantities[[#This Row],[House Code]],tbl_Assessment[House Code],0),9),"")</f>
        <v/>
      </c>
      <c r="H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 s="75"/>
      <c r="J6" s="37"/>
      <c r="K6" s="86">
        <f>tbl_estimated_costs_quantities[[#This Row],[Site Preparation]]*BOQs!$L$3</f>
        <v>0</v>
      </c>
      <c r="L6" s="76"/>
      <c r="M6" s="37"/>
      <c r="N6" s="86">
        <f>tbl_estimated_costs_quantities[[#This Row],[Demolition Removal Unsafe Structures]]*BOQs!$L$4</f>
        <v>0</v>
      </c>
      <c r="O6" s="76"/>
      <c r="P6" s="37"/>
      <c r="Q6" s="86">
        <f>tbl_estimated_costs_quantities[[#This Row],[Concrete Works]]*BOQs!$L$5</f>
        <v>0</v>
      </c>
      <c r="R6" s="76"/>
      <c r="S6" s="37"/>
      <c r="T6" s="86">
        <f>tbl_estimated_costs_quantities[[#This Row],[Closure External Openings Walls Windows]]*BOQs!$L$6</f>
        <v>0</v>
      </c>
      <c r="U6" s="76"/>
      <c r="V6" s="37"/>
      <c r="W6" s="86">
        <f>tbl_estimated_costs_quantities[[#This Row],[Plastering Painting]]*BOQs!$L$7</f>
        <v>0</v>
      </c>
      <c r="X6" s="76"/>
      <c r="Y6" s="37"/>
      <c r="Z6" s="86">
        <f>tbl_estimated_costs_quantities[[#This Row],[Floor Repairs]]*BOQs!$L$8</f>
        <v>0</v>
      </c>
      <c r="AA6" s="76"/>
      <c r="AB6" s="37"/>
      <c r="AC6" s="86">
        <f>tbl_estimated_costs_quantities[[#This Row],[Doors Replacement Repair]]*BOQs!$L$9</f>
        <v>0</v>
      </c>
      <c r="AD6" s="76"/>
      <c r="AE6" s="37"/>
      <c r="AF6" s="86">
        <f>tbl_estimated_costs_quantities[[#This Row],[Windows Replacement Repair]]*BOQs!$L$10</f>
        <v>0</v>
      </c>
      <c r="AG6" s="76"/>
      <c r="AH6" s="37"/>
      <c r="AI6" s="86">
        <f>tbl_estimated_costs_quantities[[#This Row],[Bathroom Rehabilitation]]*BOQs!$L$11</f>
        <v>0</v>
      </c>
      <c r="AJ6" s="76"/>
      <c r="AK6" s="37"/>
      <c r="AL6" s="86">
        <f>tbl_estimated_costs_quantities[[#This Row],[Ceramic Tile Works WASH]]*BOQs!$L$12</f>
        <v>0</v>
      </c>
      <c r="AM6" s="76"/>
      <c r="AN6" s="37"/>
      <c r="AO6" s="86">
        <f>tbl_estimated_costs_quantities[[#This Row],[Electrical Repairs Lighting]]*BOQs!$L$13</f>
        <v>0</v>
      </c>
      <c r="AP6" s="76"/>
      <c r="AQ6" s="37"/>
      <c r="AR6" s="86">
        <f>tbl_estimated_costs_quantities[[#This Row],[Roof Insulation Leak Sealing]]*BOQs!$L$14</f>
        <v>0</v>
      </c>
      <c r="AS6" s="76"/>
      <c r="AT6" s="37"/>
      <c r="AU6" s="86">
        <f>tbl_estimated_costs_quantities[[#This Row],[Chimney Duct Cleaning Repair]]*BOQs!$L$15</f>
        <v>0</v>
      </c>
      <c r="AV6" s="76"/>
      <c r="AW6" s="37"/>
      <c r="AX6" s="89">
        <f>tbl_estimated_costs_quantities[[#This Row],[Accessibility Adaptations]]*BOQs!$L$16</f>
        <v>0</v>
      </c>
      <c r="AY6" s="86" t="str">
        <f>IF(tbl_estimated_costs_quantities[[#This Row],[Total cost]]&lt;&gt;0,tbl_estimated_costs_quantities[[#This Row],[Total cost]]/BOQs!$A$1,"")</f>
        <v/>
      </c>
      <c r="AZ6" s="37"/>
      <c r="BA6" s="37"/>
      <c r="BB6" s="37"/>
      <c r="BC6" s="37"/>
      <c r="BD6" s="41"/>
      <c r="BE6" s="37"/>
      <c r="BF6" s="37"/>
      <c r="BG6" s="37"/>
      <c r="BH6" s="41"/>
    </row>
    <row r="7" spans="2:60" ht="25.15" customHeight="1" x14ac:dyDescent="0.25">
      <c r="B7" s="49">
        <v>3</v>
      </c>
      <c r="C7" s="37"/>
      <c r="D7" s="41"/>
      <c r="E7" s="40"/>
      <c r="F7" s="87" t="str">
        <f>IF(tbl_estimated_costs_quantities[[#This Row],[House Code]]&lt;&gt;"",INDEX(tbl_Assessment[],MATCH(tbl_estimated_costs_quantities[[#This Row],[House Code]],tbl_Assessment[House Code],0),3),"")</f>
        <v/>
      </c>
      <c r="G7" s="115" t="str">
        <f>IF(tbl_estimated_costs_quantities[[#This Row],[House Code]]&lt;&gt;"",INDEX(tbl_Assessment[],MATCH(tbl_estimated_costs_quantities[[#This Row],[House Code]],tbl_Assessment[House Code],0),9),"")</f>
        <v/>
      </c>
      <c r="H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 s="75"/>
      <c r="J7" s="37"/>
      <c r="K7" s="86">
        <f>tbl_estimated_costs_quantities[[#This Row],[Site Preparation]]*BOQs!$L$3</f>
        <v>0</v>
      </c>
      <c r="L7" s="76"/>
      <c r="M7" s="37"/>
      <c r="N7" s="86">
        <f>tbl_estimated_costs_quantities[[#This Row],[Demolition Removal Unsafe Structures]]*BOQs!$L$4</f>
        <v>0</v>
      </c>
      <c r="O7" s="76"/>
      <c r="P7" s="37"/>
      <c r="Q7" s="86">
        <f>tbl_estimated_costs_quantities[[#This Row],[Concrete Works]]*BOQs!$L$5</f>
        <v>0</v>
      </c>
      <c r="R7" s="76"/>
      <c r="S7" s="37"/>
      <c r="T7" s="86">
        <f>tbl_estimated_costs_quantities[[#This Row],[Closure External Openings Walls Windows]]*BOQs!$L$6</f>
        <v>0</v>
      </c>
      <c r="U7" s="76"/>
      <c r="V7" s="37"/>
      <c r="W7" s="86">
        <f>tbl_estimated_costs_quantities[[#This Row],[Plastering Painting]]*BOQs!$L$7</f>
        <v>0</v>
      </c>
      <c r="X7" s="76"/>
      <c r="Y7" s="37"/>
      <c r="Z7" s="86">
        <f>tbl_estimated_costs_quantities[[#This Row],[Floor Repairs]]*BOQs!$L$8</f>
        <v>0</v>
      </c>
      <c r="AA7" s="76"/>
      <c r="AB7" s="37"/>
      <c r="AC7" s="86">
        <f>tbl_estimated_costs_quantities[[#This Row],[Doors Replacement Repair]]*BOQs!$L$9</f>
        <v>0</v>
      </c>
      <c r="AD7" s="76"/>
      <c r="AE7" s="37"/>
      <c r="AF7" s="86">
        <f>tbl_estimated_costs_quantities[[#This Row],[Windows Replacement Repair]]*BOQs!$L$10</f>
        <v>0</v>
      </c>
      <c r="AG7" s="76"/>
      <c r="AH7" s="37"/>
      <c r="AI7" s="86">
        <f>tbl_estimated_costs_quantities[[#This Row],[Bathroom Rehabilitation]]*BOQs!$L$11</f>
        <v>0</v>
      </c>
      <c r="AJ7" s="76"/>
      <c r="AK7" s="37"/>
      <c r="AL7" s="86">
        <f>tbl_estimated_costs_quantities[[#This Row],[Ceramic Tile Works WASH]]*BOQs!$L$12</f>
        <v>0</v>
      </c>
      <c r="AM7" s="76"/>
      <c r="AN7" s="37"/>
      <c r="AO7" s="86">
        <f>tbl_estimated_costs_quantities[[#This Row],[Electrical Repairs Lighting]]*BOQs!$L$13</f>
        <v>0</v>
      </c>
      <c r="AP7" s="76"/>
      <c r="AQ7" s="37"/>
      <c r="AR7" s="86">
        <f>tbl_estimated_costs_quantities[[#This Row],[Roof Insulation Leak Sealing]]*BOQs!$L$14</f>
        <v>0</v>
      </c>
      <c r="AS7" s="76"/>
      <c r="AT7" s="37"/>
      <c r="AU7" s="86">
        <f>tbl_estimated_costs_quantities[[#This Row],[Chimney Duct Cleaning Repair]]*BOQs!$L$15</f>
        <v>0</v>
      </c>
      <c r="AV7" s="76"/>
      <c r="AW7" s="37"/>
      <c r="AX7" s="89">
        <f>tbl_estimated_costs_quantities[[#This Row],[Accessibility Adaptations]]*BOQs!$L$16</f>
        <v>0</v>
      </c>
      <c r="AY7" s="86" t="str">
        <f>IF(tbl_estimated_costs_quantities[[#This Row],[Total cost]]&lt;&gt;0,tbl_estimated_costs_quantities[[#This Row],[Total cost]]/BOQs!$A$1,"")</f>
        <v/>
      </c>
      <c r="AZ7" s="37"/>
      <c r="BA7" s="37"/>
      <c r="BB7" s="37"/>
      <c r="BC7" s="37"/>
      <c r="BD7" s="41"/>
      <c r="BE7" s="37"/>
      <c r="BF7" s="37"/>
      <c r="BG7" s="37"/>
      <c r="BH7" s="41"/>
    </row>
    <row r="8" spans="2:60" ht="25.15" customHeight="1" x14ac:dyDescent="0.25">
      <c r="B8" s="49">
        <v>4</v>
      </c>
      <c r="C8" s="37"/>
      <c r="D8" s="41"/>
      <c r="E8" s="40"/>
      <c r="F8" s="87" t="str">
        <f>IF(tbl_estimated_costs_quantities[[#This Row],[House Code]]&lt;&gt;"",INDEX(tbl_Assessment[],MATCH(tbl_estimated_costs_quantities[[#This Row],[House Code]],tbl_Assessment[House Code],0),3),"")</f>
        <v/>
      </c>
      <c r="G8" s="115" t="str">
        <f>IF(tbl_estimated_costs_quantities[[#This Row],[House Code]]&lt;&gt;"",INDEX(tbl_Assessment[],MATCH(tbl_estimated_costs_quantities[[#This Row],[House Code]],tbl_Assessment[House Code],0),9),"")</f>
        <v/>
      </c>
      <c r="H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 s="75"/>
      <c r="J8" s="37"/>
      <c r="K8" s="86">
        <f>tbl_estimated_costs_quantities[[#This Row],[Site Preparation]]*BOQs!$L$3</f>
        <v>0</v>
      </c>
      <c r="L8" s="76"/>
      <c r="M8" s="37"/>
      <c r="N8" s="86">
        <f>tbl_estimated_costs_quantities[[#This Row],[Demolition Removal Unsafe Structures]]*BOQs!$L$4</f>
        <v>0</v>
      </c>
      <c r="O8" s="76"/>
      <c r="P8" s="37"/>
      <c r="Q8" s="86">
        <f>tbl_estimated_costs_quantities[[#This Row],[Concrete Works]]*BOQs!$L$5</f>
        <v>0</v>
      </c>
      <c r="R8" s="76"/>
      <c r="S8" s="37"/>
      <c r="T8" s="86">
        <f>tbl_estimated_costs_quantities[[#This Row],[Closure External Openings Walls Windows]]*BOQs!$L$6</f>
        <v>0</v>
      </c>
      <c r="U8" s="76"/>
      <c r="V8" s="37"/>
      <c r="W8" s="86">
        <f>tbl_estimated_costs_quantities[[#This Row],[Plastering Painting]]*BOQs!$L$7</f>
        <v>0</v>
      </c>
      <c r="X8" s="76"/>
      <c r="Y8" s="37"/>
      <c r="Z8" s="86">
        <f>tbl_estimated_costs_quantities[[#This Row],[Floor Repairs]]*BOQs!$L$8</f>
        <v>0</v>
      </c>
      <c r="AA8" s="76"/>
      <c r="AB8" s="37"/>
      <c r="AC8" s="86">
        <f>tbl_estimated_costs_quantities[[#This Row],[Doors Replacement Repair]]*BOQs!$L$9</f>
        <v>0</v>
      </c>
      <c r="AD8" s="76"/>
      <c r="AE8" s="37"/>
      <c r="AF8" s="86">
        <f>tbl_estimated_costs_quantities[[#This Row],[Windows Replacement Repair]]*BOQs!$L$10</f>
        <v>0</v>
      </c>
      <c r="AG8" s="76"/>
      <c r="AH8" s="37"/>
      <c r="AI8" s="86">
        <f>tbl_estimated_costs_quantities[[#This Row],[Bathroom Rehabilitation]]*BOQs!$L$11</f>
        <v>0</v>
      </c>
      <c r="AJ8" s="76"/>
      <c r="AK8" s="37"/>
      <c r="AL8" s="86">
        <f>tbl_estimated_costs_quantities[[#This Row],[Ceramic Tile Works WASH]]*BOQs!$L$12</f>
        <v>0</v>
      </c>
      <c r="AM8" s="76"/>
      <c r="AN8" s="37"/>
      <c r="AO8" s="86">
        <f>tbl_estimated_costs_quantities[[#This Row],[Electrical Repairs Lighting]]*BOQs!$L$13</f>
        <v>0</v>
      </c>
      <c r="AP8" s="76"/>
      <c r="AQ8" s="37"/>
      <c r="AR8" s="86">
        <f>tbl_estimated_costs_quantities[[#This Row],[Roof Insulation Leak Sealing]]*BOQs!$L$14</f>
        <v>0</v>
      </c>
      <c r="AS8" s="76"/>
      <c r="AT8" s="37"/>
      <c r="AU8" s="86">
        <f>tbl_estimated_costs_quantities[[#This Row],[Chimney Duct Cleaning Repair]]*BOQs!$L$15</f>
        <v>0</v>
      </c>
      <c r="AV8" s="76"/>
      <c r="AW8" s="37"/>
      <c r="AX8" s="89">
        <f>tbl_estimated_costs_quantities[[#This Row],[Accessibility Adaptations]]*BOQs!$L$16</f>
        <v>0</v>
      </c>
      <c r="AY8" s="86" t="str">
        <f>IF(tbl_estimated_costs_quantities[[#This Row],[Total cost]]&lt;&gt;0,tbl_estimated_costs_quantities[[#This Row],[Total cost]]/BOQs!$A$1,"")</f>
        <v/>
      </c>
      <c r="AZ8" s="37"/>
      <c r="BA8" s="37"/>
      <c r="BB8" s="37"/>
      <c r="BC8" s="37"/>
      <c r="BD8" s="41"/>
      <c r="BE8" s="37"/>
      <c r="BF8" s="37"/>
      <c r="BG8" s="37"/>
      <c r="BH8" s="41"/>
    </row>
    <row r="9" spans="2:60" ht="25.15" customHeight="1" x14ac:dyDescent="0.25">
      <c r="B9" s="49">
        <v>5</v>
      </c>
      <c r="C9" s="37"/>
      <c r="D9" s="41"/>
      <c r="E9" s="40"/>
      <c r="F9" s="87" t="str">
        <f>IF(tbl_estimated_costs_quantities[[#This Row],[House Code]]&lt;&gt;"",INDEX(tbl_Assessment[],MATCH(tbl_estimated_costs_quantities[[#This Row],[House Code]],tbl_Assessment[House Code],0),3),"")</f>
        <v/>
      </c>
      <c r="G9" s="115" t="str">
        <f>IF(tbl_estimated_costs_quantities[[#This Row],[House Code]]&lt;&gt;"",INDEX(tbl_Assessment[],MATCH(tbl_estimated_costs_quantities[[#This Row],[House Code]],tbl_Assessment[House Code],0),9),"")</f>
        <v/>
      </c>
      <c r="H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 s="75"/>
      <c r="J9" s="37"/>
      <c r="K9" s="86">
        <f>tbl_estimated_costs_quantities[[#This Row],[Site Preparation]]*BOQs!$L$3</f>
        <v>0</v>
      </c>
      <c r="L9" s="76"/>
      <c r="M9" s="37"/>
      <c r="N9" s="86">
        <f>tbl_estimated_costs_quantities[[#This Row],[Demolition Removal Unsafe Structures]]*BOQs!$L$4</f>
        <v>0</v>
      </c>
      <c r="O9" s="76"/>
      <c r="P9" s="37"/>
      <c r="Q9" s="86">
        <f>tbl_estimated_costs_quantities[[#This Row],[Concrete Works]]*BOQs!$L$5</f>
        <v>0</v>
      </c>
      <c r="R9" s="76"/>
      <c r="S9" s="37"/>
      <c r="T9" s="86">
        <f>tbl_estimated_costs_quantities[[#This Row],[Closure External Openings Walls Windows]]*BOQs!$L$6</f>
        <v>0</v>
      </c>
      <c r="U9" s="76"/>
      <c r="V9" s="37"/>
      <c r="W9" s="86">
        <f>tbl_estimated_costs_quantities[[#This Row],[Plastering Painting]]*BOQs!$L$7</f>
        <v>0</v>
      </c>
      <c r="X9" s="76"/>
      <c r="Y9" s="37"/>
      <c r="Z9" s="86">
        <f>tbl_estimated_costs_quantities[[#This Row],[Floor Repairs]]*BOQs!$L$8</f>
        <v>0</v>
      </c>
      <c r="AA9" s="76"/>
      <c r="AB9" s="37"/>
      <c r="AC9" s="86">
        <f>tbl_estimated_costs_quantities[[#This Row],[Doors Replacement Repair]]*BOQs!$L$9</f>
        <v>0</v>
      </c>
      <c r="AD9" s="76"/>
      <c r="AE9" s="37"/>
      <c r="AF9" s="86">
        <f>tbl_estimated_costs_quantities[[#This Row],[Windows Replacement Repair]]*BOQs!$L$10</f>
        <v>0</v>
      </c>
      <c r="AG9" s="76"/>
      <c r="AH9" s="37"/>
      <c r="AI9" s="86">
        <f>tbl_estimated_costs_quantities[[#This Row],[Bathroom Rehabilitation]]*BOQs!$L$11</f>
        <v>0</v>
      </c>
      <c r="AJ9" s="76"/>
      <c r="AK9" s="37"/>
      <c r="AL9" s="86">
        <f>tbl_estimated_costs_quantities[[#This Row],[Ceramic Tile Works WASH]]*BOQs!$L$12</f>
        <v>0</v>
      </c>
      <c r="AM9" s="76"/>
      <c r="AN9" s="37"/>
      <c r="AO9" s="86">
        <f>tbl_estimated_costs_quantities[[#This Row],[Electrical Repairs Lighting]]*BOQs!$L$13</f>
        <v>0</v>
      </c>
      <c r="AP9" s="76"/>
      <c r="AQ9" s="37"/>
      <c r="AR9" s="86">
        <f>tbl_estimated_costs_quantities[[#This Row],[Roof Insulation Leak Sealing]]*BOQs!$L$14</f>
        <v>0</v>
      </c>
      <c r="AS9" s="76"/>
      <c r="AT9" s="37"/>
      <c r="AU9" s="86">
        <f>tbl_estimated_costs_quantities[[#This Row],[Chimney Duct Cleaning Repair]]*BOQs!$L$15</f>
        <v>0</v>
      </c>
      <c r="AV9" s="76"/>
      <c r="AW9" s="37"/>
      <c r="AX9" s="89">
        <f>tbl_estimated_costs_quantities[[#This Row],[Accessibility Adaptations]]*BOQs!$L$16</f>
        <v>0</v>
      </c>
      <c r="AY9" s="86" t="str">
        <f>IF(tbl_estimated_costs_quantities[[#This Row],[Total cost]]&lt;&gt;0,tbl_estimated_costs_quantities[[#This Row],[Total cost]]/BOQs!$A$1,"")</f>
        <v/>
      </c>
      <c r="AZ9" s="37"/>
      <c r="BA9" s="37"/>
      <c r="BB9" s="37"/>
      <c r="BC9" s="37"/>
      <c r="BD9" s="41"/>
      <c r="BE9" s="37"/>
      <c r="BF9" s="37"/>
      <c r="BG9" s="37"/>
      <c r="BH9" s="41"/>
    </row>
    <row r="10" spans="2:60" ht="25.15" customHeight="1" x14ac:dyDescent="0.25">
      <c r="B10" s="49">
        <v>6</v>
      </c>
      <c r="C10" s="37"/>
      <c r="D10" s="41"/>
      <c r="E10" s="40"/>
      <c r="F10" s="87" t="str">
        <f>IF(tbl_estimated_costs_quantities[[#This Row],[House Code]]&lt;&gt;"",INDEX(tbl_Assessment[],MATCH(tbl_estimated_costs_quantities[[#This Row],[House Code]],tbl_Assessment[House Code],0),3),"")</f>
        <v/>
      </c>
      <c r="G10" s="115" t="str">
        <f>IF(tbl_estimated_costs_quantities[[#This Row],[House Code]]&lt;&gt;"",INDEX(tbl_Assessment[],MATCH(tbl_estimated_costs_quantities[[#This Row],[House Code]],tbl_Assessment[House Code],0),9),"")</f>
        <v/>
      </c>
      <c r="H1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 s="75"/>
      <c r="J10" s="37"/>
      <c r="K10" s="86">
        <f>tbl_estimated_costs_quantities[[#This Row],[Site Preparation]]*BOQs!$L$3</f>
        <v>0</v>
      </c>
      <c r="L10" s="76"/>
      <c r="M10" s="37"/>
      <c r="N10" s="86">
        <f>tbl_estimated_costs_quantities[[#This Row],[Demolition Removal Unsafe Structures]]*BOQs!$L$4</f>
        <v>0</v>
      </c>
      <c r="O10" s="76"/>
      <c r="P10" s="37"/>
      <c r="Q10" s="86">
        <f>tbl_estimated_costs_quantities[[#This Row],[Concrete Works]]*BOQs!$L$5</f>
        <v>0</v>
      </c>
      <c r="R10" s="76"/>
      <c r="S10" s="37"/>
      <c r="T10" s="86">
        <f>tbl_estimated_costs_quantities[[#This Row],[Closure External Openings Walls Windows]]*BOQs!$L$6</f>
        <v>0</v>
      </c>
      <c r="U10" s="76"/>
      <c r="V10" s="37"/>
      <c r="W10" s="86">
        <f>tbl_estimated_costs_quantities[[#This Row],[Plastering Painting]]*BOQs!$L$7</f>
        <v>0</v>
      </c>
      <c r="X10" s="76"/>
      <c r="Y10" s="37"/>
      <c r="Z10" s="86">
        <f>tbl_estimated_costs_quantities[[#This Row],[Floor Repairs]]*BOQs!$L$8</f>
        <v>0</v>
      </c>
      <c r="AA10" s="76"/>
      <c r="AB10" s="37"/>
      <c r="AC10" s="86">
        <f>tbl_estimated_costs_quantities[[#This Row],[Doors Replacement Repair]]*BOQs!$L$9</f>
        <v>0</v>
      </c>
      <c r="AD10" s="76"/>
      <c r="AE10" s="37"/>
      <c r="AF10" s="86">
        <f>tbl_estimated_costs_quantities[[#This Row],[Windows Replacement Repair]]*BOQs!$L$10</f>
        <v>0</v>
      </c>
      <c r="AG10" s="76"/>
      <c r="AH10" s="37"/>
      <c r="AI10" s="86">
        <f>tbl_estimated_costs_quantities[[#This Row],[Bathroom Rehabilitation]]*BOQs!$L$11</f>
        <v>0</v>
      </c>
      <c r="AJ10" s="76"/>
      <c r="AK10" s="37"/>
      <c r="AL10" s="86">
        <f>tbl_estimated_costs_quantities[[#This Row],[Ceramic Tile Works WASH]]*BOQs!$L$12</f>
        <v>0</v>
      </c>
      <c r="AM10" s="76"/>
      <c r="AN10" s="37"/>
      <c r="AO10" s="86">
        <f>tbl_estimated_costs_quantities[[#This Row],[Electrical Repairs Lighting]]*BOQs!$L$13</f>
        <v>0</v>
      </c>
      <c r="AP10" s="76"/>
      <c r="AQ10" s="37"/>
      <c r="AR10" s="86">
        <f>tbl_estimated_costs_quantities[[#This Row],[Roof Insulation Leak Sealing]]*BOQs!$L$14</f>
        <v>0</v>
      </c>
      <c r="AS10" s="76"/>
      <c r="AT10" s="37"/>
      <c r="AU10" s="86">
        <f>tbl_estimated_costs_quantities[[#This Row],[Chimney Duct Cleaning Repair]]*BOQs!$L$15</f>
        <v>0</v>
      </c>
      <c r="AV10" s="76"/>
      <c r="AW10" s="37"/>
      <c r="AX10" s="89">
        <f>tbl_estimated_costs_quantities[[#This Row],[Accessibility Adaptations]]*BOQs!$L$16</f>
        <v>0</v>
      </c>
      <c r="AY10" s="86" t="str">
        <f>IF(tbl_estimated_costs_quantities[[#This Row],[Total cost]]&lt;&gt;0,tbl_estimated_costs_quantities[[#This Row],[Total cost]]/BOQs!$A$1,"")</f>
        <v/>
      </c>
      <c r="AZ10" s="37"/>
      <c r="BA10" s="37"/>
      <c r="BB10" s="37"/>
      <c r="BC10" s="37"/>
      <c r="BD10" s="41"/>
      <c r="BE10" s="37"/>
      <c r="BF10" s="37"/>
      <c r="BG10" s="37"/>
      <c r="BH10" s="41"/>
    </row>
    <row r="11" spans="2:60" ht="25.15" customHeight="1" x14ac:dyDescent="0.25">
      <c r="B11" s="49">
        <v>7</v>
      </c>
      <c r="C11" s="37"/>
      <c r="D11" s="41"/>
      <c r="E11" s="40"/>
      <c r="F11" s="87" t="str">
        <f>IF(tbl_estimated_costs_quantities[[#This Row],[House Code]]&lt;&gt;"",INDEX(tbl_Assessment[],MATCH(tbl_estimated_costs_quantities[[#This Row],[House Code]],tbl_Assessment[House Code],0),3),"")</f>
        <v/>
      </c>
      <c r="G11" s="115" t="str">
        <f>IF(tbl_estimated_costs_quantities[[#This Row],[House Code]]&lt;&gt;"",INDEX(tbl_Assessment[],MATCH(tbl_estimated_costs_quantities[[#This Row],[House Code]],tbl_Assessment[House Code],0),9),"")</f>
        <v/>
      </c>
      <c r="H1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 s="75"/>
      <c r="J11" s="37"/>
      <c r="K11" s="86">
        <f>tbl_estimated_costs_quantities[[#This Row],[Site Preparation]]*BOQs!$L$3</f>
        <v>0</v>
      </c>
      <c r="L11" s="76"/>
      <c r="M11" s="37"/>
      <c r="N11" s="86">
        <f>tbl_estimated_costs_quantities[[#This Row],[Demolition Removal Unsafe Structures]]*BOQs!$L$4</f>
        <v>0</v>
      </c>
      <c r="O11" s="76"/>
      <c r="P11" s="37"/>
      <c r="Q11" s="86">
        <f>tbl_estimated_costs_quantities[[#This Row],[Concrete Works]]*BOQs!$L$5</f>
        <v>0</v>
      </c>
      <c r="R11" s="76"/>
      <c r="S11" s="37"/>
      <c r="T11" s="86">
        <f>tbl_estimated_costs_quantities[[#This Row],[Closure External Openings Walls Windows]]*BOQs!$L$6</f>
        <v>0</v>
      </c>
      <c r="U11" s="76"/>
      <c r="V11" s="37"/>
      <c r="W11" s="86">
        <f>tbl_estimated_costs_quantities[[#This Row],[Plastering Painting]]*BOQs!$L$7</f>
        <v>0</v>
      </c>
      <c r="X11" s="76"/>
      <c r="Y11" s="37"/>
      <c r="Z11" s="86">
        <f>tbl_estimated_costs_quantities[[#This Row],[Floor Repairs]]*BOQs!$L$8</f>
        <v>0</v>
      </c>
      <c r="AA11" s="76"/>
      <c r="AB11" s="37"/>
      <c r="AC11" s="86">
        <f>tbl_estimated_costs_quantities[[#This Row],[Doors Replacement Repair]]*BOQs!$L$9</f>
        <v>0</v>
      </c>
      <c r="AD11" s="76"/>
      <c r="AE11" s="37"/>
      <c r="AF11" s="86">
        <f>tbl_estimated_costs_quantities[[#This Row],[Windows Replacement Repair]]*BOQs!$L$10</f>
        <v>0</v>
      </c>
      <c r="AG11" s="76"/>
      <c r="AH11" s="37"/>
      <c r="AI11" s="86">
        <f>tbl_estimated_costs_quantities[[#This Row],[Bathroom Rehabilitation]]*BOQs!$L$11</f>
        <v>0</v>
      </c>
      <c r="AJ11" s="76"/>
      <c r="AK11" s="37"/>
      <c r="AL11" s="86">
        <f>tbl_estimated_costs_quantities[[#This Row],[Ceramic Tile Works WASH]]*BOQs!$L$12</f>
        <v>0</v>
      </c>
      <c r="AM11" s="76"/>
      <c r="AN11" s="37"/>
      <c r="AO11" s="86">
        <f>tbl_estimated_costs_quantities[[#This Row],[Electrical Repairs Lighting]]*BOQs!$L$13</f>
        <v>0</v>
      </c>
      <c r="AP11" s="76"/>
      <c r="AQ11" s="37"/>
      <c r="AR11" s="86">
        <f>tbl_estimated_costs_quantities[[#This Row],[Roof Insulation Leak Sealing]]*BOQs!$L$14</f>
        <v>0</v>
      </c>
      <c r="AS11" s="76"/>
      <c r="AT11" s="37"/>
      <c r="AU11" s="86">
        <f>tbl_estimated_costs_quantities[[#This Row],[Chimney Duct Cleaning Repair]]*BOQs!$L$15</f>
        <v>0</v>
      </c>
      <c r="AV11" s="76"/>
      <c r="AW11" s="37"/>
      <c r="AX11" s="89">
        <f>tbl_estimated_costs_quantities[[#This Row],[Accessibility Adaptations]]*BOQs!$L$16</f>
        <v>0</v>
      </c>
      <c r="AY11" s="86" t="str">
        <f>IF(tbl_estimated_costs_quantities[[#This Row],[Total cost]]&lt;&gt;0,tbl_estimated_costs_quantities[[#This Row],[Total cost]]/BOQs!$A$1,"")</f>
        <v/>
      </c>
      <c r="AZ11" s="37"/>
      <c r="BA11" s="37"/>
      <c r="BB11" s="37"/>
      <c r="BC11" s="37"/>
      <c r="BD11" s="41"/>
      <c r="BE11" s="37"/>
      <c r="BF11" s="37"/>
      <c r="BG11" s="37"/>
      <c r="BH11" s="41"/>
    </row>
    <row r="12" spans="2:60" ht="25.15" customHeight="1" x14ac:dyDescent="0.25">
      <c r="B12" s="49">
        <v>8</v>
      </c>
      <c r="C12" s="37"/>
      <c r="D12" s="41"/>
      <c r="E12" s="40"/>
      <c r="F12" s="87" t="str">
        <f>IF(tbl_estimated_costs_quantities[[#This Row],[House Code]]&lt;&gt;"",INDEX(tbl_Assessment[],MATCH(tbl_estimated_costs_quantities[[#This Row],[House Code]],tbl_Assessment[House Code],0),3),"")</f>
        <v/>
      </c>
      <c r="G12" s="115" t="str">
        <f>IF(tbl_estimated_costs_quantities[[#This Row],[House Code]]&lt;&gt;"",INDEX(tbl_Assessment[],MATCH(tbl_estimated_costs_quantities[[#This Row],[House Code]],tbl_Assessment[House Code],0),9),"")</f>
        <v/>
      </c>
      <c r="H1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 s="75"/>
      <c r="J12" s="37"/>
      <c r="K12" s="86">
        <f>tbl_estimated_costs_quantities[[#This Row],[Site Preparation]]*BOQs!$L$3</f>
        <v>0</v>
      </c>
      <c r="L12" s="76"/>
      <c r="M12" s="37"/>
      <c r="N12" s="86">
        <f>tbl_estimated_costs_quantities[[#This Row],[Demolition Removal Unsafe Structures]]*BOQs!$L$4</f>
        <v>0</v>
      </c>
      <c r="O12" s="76"/>
      <c r="P12" s="37"/>
      <c r="Q12" s="86">
        <f>tbl_estimated_costs_quantities[[#This Row],[Concrete Works]]*BOQs!$L$5</f>
        <v>0</v>
      </c>
      <c r="R12" s="76"/>
      <c r="S12" s="37"/>
      <c r="T12" s="86">
        <f>tbl_estimated_costs_quantities[[#This Row],[Closure External Openings Walls Windows]]*BOQs!$L$6</f>
        <v>0</v>
      </c>
      <c r="U12" s="76"/>
      <c r="V12" s="37"/>
      <c r="W12" s="86">
        <f>tbl_estimated_costs_quantities[[#This Row],[Plastering Painting]]*BOQs!$L$7</f>
        <v>0</v>
      </c>
      <c r="X12" s="76"/>
      <c r="Y12" s="37"/>
      <c r="Z12" s="86">
        <f>tbl_estimated_costs_quantities[[#This Row],[Floor Repairs]]*BOQs!$L$8</f>
        <v>0</v>
      </c>
      <c r="AA12" s="76"/>
      <c r="AB12" s="37"/>
      <c r="AC12" s="86">
        <f>tbl_estimated_costs_quantities[[#This Row],[Doors Replacement Repair]]*BOQs!$L$9</f>
        <v>0</v>
      </c>
      <c r="AD12" s="76"/>
      <c r="AE12" s="37"/>
      <c r="AF12" s="86">
        <f>tbl_estimated_costs_quantities[[#This Row],[Windows Replacement Repair]]*BOQs!$L$10</f>
        <v>0</v>
      </c>
      <c r="AG12" s="76"/>
      <c r="AH12" s="37"/>
      <c r="AI12" s="86">
        <f>tbl_estimated_costs_quantities[[#This Row],[Bathroom Rehabilitation]]*BOQs!$L$11</f>
        <v>0</v>
      </c>
      <c r="AJ12" s="76"/>
      <c r="AK12" s="37"/>
      <c r="AL12" s="86">
        <f>tbl_estimated_costs_quantities[[#This Row],[Ceramic Tile Works WASH]]*BOQs!$L$12</f>
        <v>0</v>
      </c>
      <c r="AM12" s="76"/>
      <c r="AN12" s="37"/>
      <c r="AO12" s="86">
        <f>tbl_estimated_costs_quantities[[#This Row],[Electrical Repairs Lighting]]*BOQs!$L$13</f>
        <v>0</v>
      </c>
      <c r="AP12" s="76"/>
      <c r="AQ12" s="37"/>
      <c r="AR12" s="86">
        <f>tbl_estimated_costs_quantities[[#This Row],[Roof Insulation Leak Sealing]]*BOQs!$L$14</f>
        <v>0</v>
      </c>
      <c r="AS12" s="76"/>
      <c r="AT12" s="37"/>
      <c r="AU12" s="86">
        <f>tbl_estimated_costs_quantities[[#This Row],[Chimney Duct Cleaning Repair]]*BOQs!$L$15</f>
        <v>0</v>
      </c>
      <c r="AV12" s="76"/>
      <c r="AW12" s="37"/>
      <c r="AX12" s="89">
        <f>tbl_estimated_costs_quantities[[#This Row],[Accessibility Adaptations]]*BOQs!$L$16</f>
        <v>0</v>
      </c>
      <c r="AY12" s="86" t="str">
        <f>IF(tbl_estimated_costs_quantities[[#This Row],[Total cost]]&lt;&gt;0,tbl_estimated_costs_quantities[[#This Row],[Total cost]]/BOQs!$A$1,"")</f>
        <v/>
      </c>
      <c r="AZ12" s="37"/>
      <c r="BA12" s="37"/>
      <c r="BB12" s="37"/>
      <c r="BC12" s="37"/>
      <c r="BD12" s="41"/>
      <c r="BE12" s="37"/>
      <c r="BF12" s="37"/>
      <c r="BG12" s="37"/>
      <c r="BH12" s="41"/>
    </row>
    <row r="13" spans="2:60" ht="25.15" customHeight="1" x14ac:dyDescent="0.25">
      <c r="B13" s="49">
        <v>9</v>
      </c>
      <c r="C13" s="37"/>
      <c r="D13" s="41"/>
      <c r="E13" s="40"/>
      <c r="F13" s="87" t="str">
        <f>IF(tbl_estimated_costs_quantities[[#This Row],[House Code]]&lt;&gt;"",INDEX(tbl_Assessment[],MATCH(tbl_estimated_costs_quantities[[#This Row],[House Code]],tbl_Assessment[House Code],0),3),"")</f>
        <v/>
      </c>
      <c r="G13" s="115" t="str">
        <f>IF(tbl_estimated_costs_quantities[[#This Row],[House Code]]&lt;&gt;"",INDEX(tbl_Assessment[],MATCH(tbl_estimated_costs_quantities[[#This Row],[House Code]],tbl_Assessment[House Code],0),9),"")</f>
        <v/>
      </c>
      <c r="H1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 s="75"/>
      <c r="J13" s="37"/>
      <c r="K13" s="86">
        <f>tbl_estimated_costs_quantities[[#This Row],[Site Preparation]]*BOQs!$L$3</f>
        <v>0</v>
      </c>
      <c r="L13" s="76"/>
      <c r="M13" s="37"/>
      <c r="N13" s="86">
        <f>tbl_estimated_costs_quantities[[#This Row],[Demolition Removal Unsafe Structures]]*BOQs!$L$4</f>
        <v>0</v>
      </c>
      <c r="O13" s="76"/>
      <c r="P13" s="37"/>
      <c r="Q13" s="86">
        <f>tbl_estimated_costs_quantities[[#This Row],[Concrete Works]]*BOQs!$L$5</f>
        <v>0</v>
      </c>
      <c r="R13" s="76"/>
      <c r="S13" s="37"/>
      <c r="T13" s="86">
        <f>tbl_estimated_costs_quantities[[#This Row],[Closure External Openings Walls Windows]]*BOQs!$L$6</f>
        <v>0</v>
      </c>
      <c r="U13" s="76"/>
      <c r="V13" s="37"/>
      <c r="W13" s="86">
        <f>tbl_estimated_costs_quantities[[#This Row],[Plastering Painting]]*BOQs!$L$7</f>
        <v>0</v>
      </c>
      <c r="X13" s="76"/>
      <c r="Y13" s="37"/>
      <c r="Z13" s="86">
        <f>tbl_estimated_costs_quantities[[#This Row],[Floor Repairs]]*BOQs!$L$8</f>
        <v>0</v>
      </c>
      <c r="AA13" s="76"/>
      <c r="AB13" s="37"/>
      <c r="AC13" s="86">
        <f>tbl_estimated_costs_quantities[[#This Row],[Doors Replacement Repair]]*BOQs!$L$9</f>
        <v>0</v>
      </c>
      <c r="AD13" s="76"/>
      <c r="AE13" s="37"/>
      <c r="AF13" s="86">
        <f>tbl_estimated_costs_quantities[[#This Row],[Windows Replacement Repair]]*BOQs!$L$10</f>
        <v>0</v>
      </c>
      <c r="AG13" s="76"/>
      <c r="AH13" s="37"/>
      <c r="AI13" s="86">
        <f>tbl_estimated_costs_quantities[[#This Row],[Bathroom Rehabilitation]]*BOQs!$L$11</f>
        <v>0</v>
      </c>
      <c r="AJ13" s="76"/>
      <c r="AK13" s="37"/>
      <c r="AL13" s="86">
        <f>tbl_estimated_costs_quantities[[#This Row],[Ceramic Tile Works WASH]]*BOQs!$L$12</f>
        <v>0</v>
      </c>
      <c r="AM13" s="76"/>
      <c r="AN13" s="37"/>
      <c r="AO13" s="86">
        <f>tbl_estimated_costs_quantities[[#This Row],[Electrical Repairs Lighting]]*BOQs!$L$13</f>
        <v>0</v>
      </c>
      <c r="AP13" s="76"/>
      <c r="AQ13" s="37"/>
      <c r="AR13" s="86">
        <f>tbl_estimated_costs_quantities[[#This Row],[Roof Insulation Leak Sealing]]*BOQs!$L$14</f>
        <v>0</v>
      </c>
      <c r="AS13" s="76"/>
      <c r="AT13" s="37"/>
      <c r="AU13" s="86">
        <f>tbl_estimated_costs_quantities[[#This Row],[Chimney Duct Cleaning Repair]]*BOQs!$L$15</f>
        <v>0</v>
      </c>
      <c r="AV13" s="76"/>
      <c r="AW13" s="37"/>
      <c r="AX13" s="89">
        <f>tbl_estimated_costs_quantities[[#This Row],[Accessibility Adaptations]]*BOQs!$L$16</f>
        <v>0</v>
      </c>
      <c r="AY13" s="86" t="str">
        <f>IF(tbl_estimated_costs_quantities[[#This Row],[Total cost]]&lt;&gt;0,tbl_estimated_costs_quantities[[#This Row],[Total cost]]/BOQs!$A$1,"")</f>
        <v/>
      </c>
      <c r="AZ13" s="37"/>
      <c r="BA13" s="37"/>
      <c r="BB13" s="37"/>
      <c r="BC13" s="37"/>
      <c r="BD13" s="41"/>
      <c r="BE13" s="37"/>
      <c r="BF13" s="37"/>
      <c r="BG13" s="37"/>
      <c r="BH13" s="41"/>
    </row>
    <row r="14" spans="2:60" ht="25.15" customHeight="1" x14ac:dyDescent="0.25">
      <c r="B14" s="49">
        <v>10</v>
      </c>
      <c r="C14" s="37"/>
      <c r="D14" s="41"/>
      <c r="E14" s="40"/>
      <c r="F14" s="87" t="str">
        <f>IF(tbl_estimated_costs_quantities[[#This Row],[House Code]]&lt;&gt;"",INDEX(tbl_Assessment[],MATCH(tbl_estimated_costs_quantities[[#This Row],[House Code]],tbl_Assessment[House Code],0),3),"")</f>
        <v/>
      </c>
      <c r="G14" s="115" t="str">
        <f>IF(tbl_estimated_costs_quantities[[#This Row],[House Code]]&lt;&gt;"",INDEX(tbl_Assessment[],MATCH(tbl_estimated_costs_quantities[[#This Row],[House Code]],tbl_Assessment[House Code],0),9),"")</f>
        <v/>
      </c>
      <c r="H1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 s="75"/>
      <c r="J14" s="37"/>
      <c r="K14" s="86">
        <f>tbl_estimated_costs_quantities[[#This Row],[Site Preparation]]*BOQs!$L$3</f>
        <v>0</v>
      </c>
      <c r="L14" s="76"/>
      <c r="M14" s="37"/>
      <c r="N14" s="86">
        <f>tbl_estimated_costs_quantities[[#This Row],[Demolition Removal Unsafe Structures]]*BOQs!$L$4</f>
        <v>0</v>
      </c>
      <c r="O14" s="76"/>
      <c r="P14" s="37"/>
      <c r="Q14" s="86">
        <f>tbl_estimated_costs_quantities[[#This Row],[Concrete Works]]*BOQs!$L$5</f>
        <v>0</v>
      </c>
      <c r="R14" s="76"/>
      <c r="S14" s="37"/>
      <c r="T14" s="86">
        <f>tbl_estimated_costs_quantities[[#This Row],[Closure External Openings Walls Windows]]*BOQs!$L$6</f>
        <v>0</v>
      </c>
      <c r="U14" s="76"/>
      <c r="V14" s="37"/>
      <c r="W14" s="86">
        <f>tbl_estimated_costs_quantities[[#This Row],[Plastering Painting]]*BOQs!$L$7</f>
        <v>0</v>
      </c>
      <c r="X14" s="76"/>
      <c r="Y14" s="37"/>
      <c r="Z14" s="86">
        <f>tbl_estimated_costs_quantities[[#This Row],[Floor Repairs]]*BOQs!$L$8</f>
        <v>0</v>
      </c>
      <c r="AA14" s="76"/>
      <c r="AB14" s="37"/>
      <c r="AC14" s="86">
        <f>tbl_estimated_costs_quantities[[#This Row],[Doors Replacement Repair]]*BOQs!$L$9</f>
        <v>0</v>
      </c>
      <c r="AD14" s="76"/>
      <c r="AE14" s="37"/>
      <c r="AF14" s="86">
        <f>tbl_estimated_costs_quantities[[#This Row],[Windows Replacement Repair]]*BOQs!$L$10</f>
        <v>0</v>
      </c>
      <c r="AG14" s="76"/>
      <c r="AH14" s="37"/>
      <c r="AI14" s="86">
        <f>tbl_estimated_costs_quantities[[#This Row],[Bathroom Rehabilitation]]*BOQs!$L$11</f>
        <v>0</v>
      </c>
      <c r="AJ14" s="76"/>
      <c r="AK14" s="37"/>
      <c r="AL14" s="86">
        <f>tbl_estimated_costs_quantities[[#This Row],[Ceramic Tile Works WASH]]*BOQs!$L$12</f>
        <v>0</v>
      </c>
      <c r="AM14" s="76"/>
      <c r="AN14" s="37"/>
      <c r="AO14" s="86">
        <f>tbl_estimated_costs_quantities[[#This Row],[Electrical Repairs Lighting]]*BOQs!$L$13</f>
        <v>0</v>
      </c>
      <c r="AP14" s="76"/>
      <c r="AQ14" s="37"/>
      <c r="AR14" s="86">
        <f>tbl_estimated_costs_quantities[[#This Row],[Roof Insulation Leak Sealing]]*BOQs!$L$14</f>
        <v>0</v>
      </c>
      <c r="AS14" s="76"/>
      <c r="AT14" s="37"/>
      <c r="AU14" s="86">
        <f>tbl_estimated_costs_quantities[[#This Row],[Chimney Duct Cleaning Repair]]*BOQs!$L$15</f>
        <v>0</v>
      </c>
      <c r="AV14" s="76"/>
      <c r="AW14" s="37"/>
      <c r="AX14" s="89">
        <f>tbl_estimated_costs_quantities[[#This Row],[Accessibility Adaptations]]*BOQs!$L$16</f>
        <v>0</v>
      </c>
      <c r="AY14" s="86" t="str">
        <f>IF(tbl_estimated_costs_quantities[[#This Row],[Total cost]]&lt;&gt;0,tbl_estimated_costs_quantities[[#This Row],[Total cost]]/BOQs!$A$1,"")</f>
        <v/>
      </c>
      <c r="AZ14" s="37"/>
      <c r="BA14" s="37"/>
      <c r="BB14" s="37"/>
      <c r="BC14" s="37"/>
      <c r="BD14" s="41"/>
      <c r="BE14" s="37"/>
      <c r="BF14" s="37"/>
      <c r="BG14" s="37"/>
      <c r="BH14" s="41"/>
    </row>
    <row r="15" spans="2:60" ht="25.15" customHeight="1" x14ac:dyDescent="0.25">
      <c r="B15" s="49">
        <v>11</v>
      </c>
      <c r="C15" s="37"/>
      <c r="D15" s="41"/>
      <c r="E15" s="40"/>
      <c r="F15" s="87" t="str">
        <f>IF(tbl_estimated_costs_quantities[[#This Row],[House Code]]&lt;&gt;"",INDEX(tbl_Assessment[],MATCH(tbl_estimated_costs_quantities[[#This Row],[House Code]],tbl_Assessment[House Code],0),3),"")</f>
        <v/>
      </c>
      <c r="G15" s="115" t="str">
        <f>IF(tbl_estimated_costs_quantities[[#This Row],[House Code]]&lt;&gt;"",INDEX(tbl_Assessment[],MATCH(tbl_estimated_costs_quantities[[#This Row],[House Code]],tbl_Assessment[House Code],0),9),"")</f>
        <v/>
      </c>
      <c r="H1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 s="75"/>
      <c r="J15" s="37"/>
      <c r="K15" s="86">
        <f>tbl_estimated_costs_quantities[[#This Row],[Site Preparation]]*BOQs!$L$3</f>
        <v>0</v>
      </c>
      <c r="L15" s="76"/>
      <c r="M15" s="37"/>
      <c r="N15" s="86">
        <f>tbl_estimated_costs_quantities[[#This Row],[Demolition Removal Unsafe Structures]]*BOQs!$L$4</f>
        <v>0</v>
      </c>
      <c r="O15" s="76"/>
      <c r="P15" s="37"/>
      <c r="Q15" s="86">
        <f>tbl_estimated_costs_quantities[[#This Row],[Concrete Works]]*BOQs!$L$5</f>
        <v>0</v>
      </c>
      <c r="R15" s="76"/>
      <c r="S15" s="37"/>
      <c r="T15" s="86">
        <f>tbl_estimated_costs_quantities[[#This Row],[Closure External Openings Walls Windows]]*BOQs!$L$6</f>
        <v>0</v>
      </c>
      <c r="U15" s="76"/>
      <c r="V15" s="37"/>
      <c r="W15" s="86">
        <f>tbl_estimated_costs_quantities[[#This Row],[Plastering Painting]]*BOQs!$L$7</f>
        <v>0</v>
      </c>
      <c r="X15" s="76"/>
      <c r="Y15" s="37"/>
      <c r="Z15" s="86">
        <f>tbl_estimated_costs_quantities[[#This Row],[Floor Repairs]]*BOQs!$L$8</f>
        <v>0</v>
      </c>
      <c r="AA15" s="76"/>
      <c r="AB15" s="37"/>
      <c r="AC15" s="86">
        <f>tbl_estimated_costs_quantities[[#This Row],[Doors Replacement Repair]]*BOQs!$L$9</f>
        <v>0</v>
      </c>
      <c r="AD15" s="76"/>
      <c r="AE15" s="37"/>
      <c r="AF15" s="86">
        <f>tbl_estimated_costs_quantities[[#This Row],[Windows Replacement Repair]]*BOQs!$L$10</f>
        <v>0</v>
      </c>
      <c r="AG15" s="76"/>
      <c r="AH15" s="37"/>
      <c r="AI15" s="86">
        <f>tbl_estimated_costs_quantities[[#This Row],[Bathroom Rehabilitation]]*BOQs!$L$11</f>
        <v>0</v>
      </c>
      <c r="AJ15" s="76"/>
      <c r="AK15" s="37"/>
      <c r="AL15" s="86">
        <f>tbl_estimated_costs_quantities[[#This Row],[Ceramic Tile Works WASH]]*BOQs!$L$12</f>
        <v>0</v>
      </c>
      <c r="AM15" s="76"/>
      <c r="AN15" s="37"/>
      <c r="AO15" s="86">
        <f>tbl_estimated_costs_quantities[[#This Row],[Electrical Repairs Lighting]]*BOQs!$L$13</f>
        <v>0</v>
      </c>
      <c r="AP15" s="76"/>
      <c r="AQ15" s="37"/>
      <c r="AR15" s="86">
        <f>tbl_estimated_costs_quantities[[#This Row],[Roof Insulation Leak Sealing]]*BOQs!$L$14</f>
        <v>0</v>
      </c>
      <c r="AS15" s="76"/>
      <c r="AT15" s="37"/>
      <c r="AU15" s="86">
        <f>tbl_estimated_costs_quantities[[#This Row],[Chimney Duct Cleaning Repair]]*BOQs!$L$15</f>
        <v>0</v>
      </c>
      <c r="AV15" s="76"/>
      <c r="AW15" s="37"/>
      <c r="AX15" s="89">
        <f>tbl_estimated_costs_quantities[[#This Row],[Accessibility Adaptations]]*BOQs!$L$16</f>
        <v>0</v>
      </c>
      <c r="AY15" s="86" t="str">
        <f>IF(tbl_estimated_costs_quantities[[#This Row],[Total cost]]&lt;&gt;0,tbl_estimated_costs_quantities[[#This Row],[Total cost]]/BOQs!$A$1,"")</f>
        <v/>
      </c>
      <c r="AZ15" s="37"/>
      <c r="BA15" s="37"/>
      <c r="BB15" s="37"/>
      <c r="BC15" s="37"/>
      <c r="BD15" s="41"/>
      <c r="BE15" s="37"/>
      <c r="BF15" s="37"/>
      <c r="BG15" s="37"/>
      <c r="BH15" s="41"/>
    </row>
    <row r="16" spans="2:60" ht="25.15" customHeight="1" x14ac:dyDescent="0.25">
      <c r="B16" s="49">
        <v>12</v>
      </c>
      <c r="C16" s="37"/>
      <c r="D16" s="41"/>
      <c r="E16" s="40"/>
      <c r="F16" s="87" t="str">
        <f>IF(tbl_estimated_costs_quantities[[#This Row],[House Code]]&lt;&gt;"",INDEX(tbl_Assessment[],MATCH(tbl_estimated_costs_quantities[[#This Row],[House Code]],tbl_Assessment[House Code],0),3),"")</f>
        <v/>
      </c>
      <c r="G16" s="115" t="str">
        <f>IF(tbl_estimated_costs_quantities[[#This Row],[House Code]]&lt;&gt;"",INDEX(tbl_Assessment[],MATCH(tbl_estimated_costs_quantities[[#This Row],[House Code]],tbl_Assessment[House Code],0),9),"")</f>
        <v/>
      </c>
      <c r="H1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 s="75"/>
      <c r="J16" s="37"/>
      <c r="K16" s="86">
        <f>tbl_estimated_costs_quantities[[#This Row],[Site Preparation]]*BOQs!$L$3</f>
        <v>0</v>
      </c>
      <c r="L16" s="76"/>
      <c r="M16" s="37"/>
      <c r="N16" s="86">
        <f>tbl_estimated_costs_quantities[[#This Row],[Demolition Removal Unsafe Structures]]*BOQs!$L$4</f>
        <v>0</v>
      </c>
      <c r="O16" s="76"/>
      <c r="P16" s="37"/>
      <c r="Q16" s="86">
        <f>tbl_estimated_costs_quantities[[#This Row],[Concrete Works]]*BOQs!$L$5</f>
        <v>0</v>
      </c>
      <c r="R16" s="76"/>
      <c r="S16" s="37"/>
      <c r="T16" s="86">
        <f>tbl_estimated_costs_quantities[[#This Row],[Closure External Openings Walls Windows]]*BOQs!$L$6</f>
        <v>0</v>
      </c>
      <c r="U16" s="76"/>
      <c r="V16" s="37"/>
      <c r="W16" s="86">
        <f>tbl_estimated_costs_quantities[[#This Row],[Plastering Painting]]*BOQs!$L$7</f>
        <v>0</v>
      </c>
      <c r="X16" s="76"/>
      <c r="Y16" s="37"/>
      <c r="Z16" s="86">
        <f>tbl_estimated_costs_quantities[[#This Row],[Floor Repairs]]*BOQs!$L$8</f>
        <v>0</v>
      </c>
      <c r="AA16" s="76"/>
      <c r="AB16" s="37"/>
      <c r="AC16" s="86">
        <f>tbl_estimated_costs_quantities[[#This Row],[Doors Replacement Repair]]*BOQs!$L$9</f>
        <v>0</v>
      </c>
      <c r="AD16" s="76"/>
      <c r="AE16" s="37"/>
      <c r="AF16" s="86">
        <f>tbl_estimated_costs_quantities[[#This Row],[Windows Replacement Repair]]*BOQs!$L$10</f>
        <v>0</v>
      </c>
      <c r="AG16" s="76"/>
      <c r="AH16" s="37"/>
      <c r="AI16" s="86">
        <f>tbl_estimated_costs_quantities[[#This Row],[Bathroom Rehabilitation]]*BOQs!$L$11</f>
        <v>0</v>
      </c>
      <c r="AJ16" s="76"/>
      <c r="AK16" s="37"/>
      <c r="AL16" s="86">
        <f>tbl_estimated_costs_quantities[[#This Row],[Ceramic Tile Works WASH]]*BOQs!$L$12</f>
        <v>0</v>
      </c>
      <c r="AM16" s="76"/>
      <c r="AN16" s="37"/>
      <c r="AO16" s="86">
        <f>tbl_estimated_costs_quantities[[#This Row],[Electrical Repairs Lighting]]*BOQs!$L$13</f>
        <v>0</v>
      </c>
      <c r="AP16" s="76"/>
      <c r="AQ16" s="37"/>
      <c r="AR16" s="86">
        <f>tbl_estimated_costs_quantities[[#This Row],[Roof Insulation Leak Sealing]]*BOQs!$L$14</f>
        <v>0</v>
      </c>
      <c r="AS16" s="76"/>
      <c r="AT16" s="37"/>
      <c r="AU16" s="86">
        <f>tbl_estimated_costs_quantities[[#This Row],[Chimney Duct Cleaning Repair]]*BOQs!$L$15</f>
        <v>0</v>
      </c>
      <c r="AV16" s="76"/>
      <c r="AW16" s="37"/>
      <c r="AX16" s="89">
        <f>tbl_estimated_costs_quantities[[#This Row],[Accessibility Adaptations]]*BOQs!$L$16</f>
        <v>0</v>
      </c>
      <c r="AY16" s="86" t="str">
        <f>IF(tbl_estimated_costs_quantities[[#This Row],[Total cost]]&lt;&gt;0,tbl_estimated_costs_quantities[[#This Row],[Total cost]]/BOQs!$A$1,"")</f>
        <v/>
      </c>
      <c r="AZ16" s="37"/>
      <c r="BA16" s="37"/>
      <c r="BB16" s="37"/>
      <c r="BC16" s="37"/>
      <c r="BD16" s="41"/>
      <c r="BE16" s="37"/>
      <c r="BF16" s="37"/>
      <c r="BG16" s="37"/>
      <c r="BH16" s="41"/>
    </row>
    <row r="17" spans="2:60" ht="25.15" customHeight="1" x14ac:dyDescent="0.25">
      <c r="B17" s="49">
        <v>13</v>
      </c>
      <c r="C17" s="37"/>
      <c r="D17" s="41"/>
      <c r="E17" s="40"/>
      <c r="F17" s="87" t="str">
        <f>IF(tbl_estimated_costs_quantities[[#This Row],[House Code]]&lt;&gt;"",INDEX(tbl_Assessment[],MATCH(tbl_estimated_costs_quantities[[#This Row],[House Code]],tbl_Assessment[House Code],0),3),"")</f>
        <v/>
      </c>
      <c r="G17" s="115" t="str">
        <f>IF(tbl_estimated_costs_quantities[[#This Row],[House Code]]&lt;&gt;"",INDEX(tbl_Assessment[],MATCH(tbl_estimated_costs_quantities[[#This Row],[House Code]],tbl_Assessment[House Code],0),9),"")</f>
        <v/>
      </c>
      <c r="H1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 s="75"/>
      <c r="J17" s="37"/>
      <c r="K17" s="86">
        <f>tbl_estimated_costs_quantities[[#This Row],[Site Preparation]]*BOQs!$L$3</f>
        <v>0</v>
      </c>
      <c r="L17" s="76"/>
      <c r="M17" s="37"/>
      <c r="N17" s="86">
        <f>tbl_estimated_costs_quantities[[#This Row],[Demolition Removal Unsafe Structures]]*BOQs!$L$4</f>
        <v>0</v>
      </c>
      <c r="O17" s="76"/>
      <c r="P17" s="37"/>
      <c r="Q17" s="86">
        <f>tbl_estimated_costs_quantities[[#This Row],[Concrete Works]]*BOQs!$L$5</f>
        <v>0</v>
      </c>
      <c r="R17" s="76"/>
      <c r="S17" s="37"/>
      <c r="T17" s="86">
        <f>tbl_estimated_costs_quantities[[#This Row],[Closure External Openings Walls Windows]]*BOQs!$L$6</f>
        <v>0</v>
      </c>
      <c r="U17" s="76"/>
      <c r="V17" s="37"/>
      <c r="W17" s="86">
        <f>tbl_estimated_costs_quantities[[#This Row],[Plastering Painting]]*BOQs!$L$7</f>
        <v>0</v>
      </c>
      <c r="X17" s="76"/>
      <c r="Y17" s="37"/>
      <c r="Z17" s="86">
        <f>tbl_estimated_costs_quantities[[#This Row],[Floor Repairs]]*BOQs!$L$8</f>
        <v>0</v>
      </c>
      <c r="AA17" s="76"/>
      <c r="AB17" s="37"/>
      <c r="AC17" s="86">
        <f>tbl_estimated_costs_quantities[[#This Row],[Doors Replacement Repair]]*BOQs!$L$9</f>
        <v>0</v>
      </c>
      <c r="AD17" s="76"/>
      <c r="AE17" s="37"/>
      <c r="AF17" s="86">
        <f>tbl_estimated_costs_quantities[[#This Row],[Windows Replacement Repair]]*BOQs!$L$10</f>
        <v>0</v>
      </c>
      <c r="AG17" s="76"/>
      <c r="AH17" s="37"/>
      <c r="AI17" s="86">
        <f>tbl_estimated_costs_quantities[[#This Row],[Bathroom Rehabilitation]]*BOQs!$L$11</f>
        <v>0</v>
      </c>
      <c r="AJ17" s="76"/>
      <c r="AK17" s="37"/>
      <c r="AL17" s="86">
        <f>tbl_estimated_costs_quantities[[#This Row],[Ceramic Tile Works WASH]]*BOQs!$L$12</f>
        <v>0</v>
      </c>
      <c r="AM17" s="76"/>
      <c r="AN17" s="37"/>
      <c r="AO17" s="86">
        <f>tbl_estimated_costs_quantities[[#This Row],[Electrical Repairs Lighting]]*BOQs!$L$13</f>
        <v>0</v>
      </c>
      <c r="AP17" s="76"/>
      <c r="AQ17" s="37"/>
      <c r="AR17" s="86">
        <f>tbl_estimated_costs_quantities[[#This Row],[Roof Insulation Leak Sealing]]*BOQs!$L$14</f>
        <v>0</v>
      </c>
      <c r="AS17" s="76"/>
      <c r="AT17" s="37"/>
      <c r="AU17" s="86">
        <f>tbl_estimated_costs_quantities[[#This Row],[Chimney Duct Cleaning Repair]]*BOQs!$L$15</f>
        <v>0</v>
      </c>
      <c r="AV17" s="76"/>
      <c r="AW17" s="37"/>
      <c r="AX17" s="89">
        <f>tbl_estimated_costs_quantities[[#This Row],[Accessibility Adaptations]]*BOQs!$L$16</f>
        <v>0</v>
      </c>
      <c r="AY17" s="86" t="str">
        <f>IF(tbl_estimated_costs_quantities[[#This Row],[Total cost]]&lt;&gt;0,tbl_estimated_costs_quantities[[#This Row],[Total cost]]/BOQs!$A$1,"")</f>
        <v/>
      </c>
      <c r="AZ17" s="37"/>
      <c r="BA17" s="37"/>
      <c r="BB17" s="37"/>
      <c r="BC17" s="37"/>
      <c r="BD17" s="41"/>
      <c r="BE17" s="37"/>
      <c r="BF17" s="37"/>
      <c r="BG17" s="37"/>
      <c r="BH17" s="41"/>
    </row>
    <row r="18" spans="2:60" ht="25.15" customHeight="1" x14ac:dyDescent="0.25">
      <c r="B18" s="49">
        <v>14</v>
      </c>
      <c r="C18" s="37"/>
      <c r="D18" s="41"/>
      <c r="E18" s="40"/>
      <c r="F18" s="87" t="str">
        <f>IF(tbl_estimated_costs_quantities[[#This Row],[House Code]]&lt;&gt;"",INDEX(tbl_Assessment[],MATCH(tbl_estimated_costs_quantities[[#This Row],[House Code]],tbl_Assessment[House Code],0),3),"")</f>
        <v/>
      </c>
      <c r="G18" s="115" t="str">
        <f>IF(tbl_estimated_costs_quantities[[#This Row],[House Code]]&lt;&gt;"",INDEX(tbl_Assessment[],MATCH(tbl_estimated_costs_quantities[[#This Row],[House Code]],tbl_Assessment[House Code],0),9),"")</f>
        <v/>
      </c>
      <c r="H1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 s="75"/>
      <c r="J18" s="37"/>
      <c r="K18" s="86">
        <f>tbl_estimated_costs_quantities[[#This Row],[Site Preparation]]*BOQs!$L$3</f>
        <v>0</v>
      </c>
      <c r="L18" s="76"/>
      <c r="M18" s="37"/>
      <c r="N18" s="86">
        <f>tbl_estimated_costs_quantities[[#This Row],[Demolition Removal Unsafe Structures]]*BOQs!$L$4</f>
        <v>0</v>
      </c>
      <c r="O18" s="76"/>
      <c r="P18" s="37"/>
      <c r="Q18" s="86">
        <f>tbl_estimated_costs_quantities[[#This Row],[Concrete Works]]*BOQs!$L$5</f>
        <v>0</v>
      </c>
      <c r="R18" s="76"/>
      <c r="S18" s="37"/>
      <c r="T18" s="86">
        <f>tbl_estimated_costs_quantities[[#This Row],[Closure External Openings Walls Windows]]*BOQs!$L$6</f>
        <v>0</v>
      </c>
      <c r="U18" s="76"/>
      <c r="V18" s="37"/>
      <c r="W18" s="86">
        <f>tbl_estimated_costs_quantities[[#This Row],[Plastering Painting]]*BOQs!$L$7</f>
        <v>0</v>
      </c>
      <c r="X18" s="76"/>
      <c r="Y18" s="37"/>
      <c r="Z18" s="86">
        <f>tbl_estimated_costs_quantities[[#This Row],[Floor Repairs]]*BOQs!$L$8</f>
        <v>0</v>
      </c>
      <c r="AA18" s="76"/>
      <c r="AB18" s="37"/>
      <c r="AC18" s="86">
        <f>tbl_estimated_costs_quantities[[#This Row],[Doors Replacement Repair]]*BOQs!$L$9</f>
        <v>0</v>
      </c>
      <c r="AD18" s="76"/>
      <c r="AE18" s="37"/>
      <c r="AF18" s="86">
        <f>tbl_estimated_costs_quantities[[#This Row],[Windows Replacement Repair]]*BOQs!$L$10</f>
        <v>0</v>
      </c>
      <c r="AG18" s="76"/>
      <c r="AH18" s="37"/>
      <c r="AI18" s="86">
        <f>tbl_estimated_costs_quantities[[#This Row],[Bathroom Rehabilitation]]*BOQs!$L$11</f>
        <v>0</v>
      </c>
      <c r="AJ18" s="76"/>
      <c r="AK18" s="37"/>
      <c r="AL18" s="86">
        <f>tbl_estimated_costs_quantities[[#This Row],[Ceramic Tile Works WASH]]*BOQs!$L$12</f>
        <v>0</v>
      </c>
      <c r="AM18" s="76"/>
      <c r="AN18" s="37"/>
      <c r="AO18" s="86">
        <f>tbl_estimated_costs_quantities[[#This Row],[Electrical Repairs Lighting]]*BOQs!$L$13</f>
        <v>0</v>
      </c>
      <c r="AP18" s="76"/>
      <c r="AQ18" s="37"/>
      <c r="AR18" s="86">
        <f>tbl_estimated_costs_quantities[[#This Row],[Roof Insulation Leak Sealing]]*BOQs!$L$14</f>
        <v>0</v>
      </c>
      <c r="AS18" s="76"/>
      <c r="AT18" s="37"/>
      <c r="AU18" s="86">
        <f>tbl_estimated_costs_quantities[[#This Row],[Chimney Duct Cleaning Repair]]*BOQs!$L$15</f>
        <v>0</v>
      </c>
      <c r="AV18" s="76"/>
      <c r="AW18" s="37"/>
      <c r="AX18" s="89">
        <f>tbl_estimated_costs_quantities[[#This Row],[Accessibility Adaptations]]*BOQs!$L$16</f>
        <v>0</v>
      </c>
      <c r="AY18" s="86" t="str">
        <f>IF(tbl_estimated_costs_quantities[[#This Row],[Total cost]]&lt;&gt;0,tbl_estimated_costs_quantities[[#This Row],[Total cost]]/BOQs!$A$1,"")</f>
        <v/>
      </c>
      <c r="AZ18" s="37"/>
      <c r="BA18" s="37"/>
      <c r="BB18" s="37"/>
      <c r="BC18" s="37"/>
      <c r="BD18" s="41"/>
      <c r="BE18" s="37"/>
      <c r="BF18" s="37"/>
      <c r="BG18" s="37"/>
      <c r="BH18" s="41"/>
    </row>
    <row r="19" spans="2:60" ht="25.15" customHeight="1" x14ac:dyDescent="0.25">
      <c r="B19" s="49">
        <v>15</v>
      </c>
      <c r="C19" s="37"/>
      <c r="D19" s="41"/>
      <c r="E19" s="40"/>
      <c r="F19" s="87" t="str">
        <f>IF(tbl_estimated_costs_quantities[[#This Row],[House Code]]&lt;&gt;"",INDEX(tbl_Assessment[],MATCH(tbl_estimated_costs_quantities[[#This Row],[House Code]],tbl_Assessment[House Code],0),3),"")</f>
        <v/>
      </c>
      <c r="G19" s="115" t="str">
        <f>IF(tbl_estimated_costs_quantities[[#This Row],[House Code]]&lt;&gt;"",INDEX(tbl_Assessment[],MATCH(tbl_estimated_costs_quantities[[#This Row],[House Code]],tbl_Assessment[House Code],0),9),"")</f>
        <v/>
      </c>
      <c r="H1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 s="75"/>
      <c r="J19" s="37"/>
      <c r="K19" s="86">
        <f>tbl_estimated_costs_quantities[[#This Row],[Site Preparation]]*BOQs!$L$3</f>
        <v>0</v>
      </c>
      <c r="L19" s="76"/>
      <c r="M19" s="37"/>
      <c r="N19" s="86">
        <f>tbl_estimated_costs_quantities[[#This Row],[Demolition Removal Unsafe Structures]]*BOQs!$L$4</f>
        <v>0</v>
      </c>
      <c r="O19" s="76"/>
      <c r="P19" s="37"/>
      <c r="Q19" s="86">
        <f>tbl_estimated_costs_quantities[[#This Row],[Concrete Works]]*BOQs!$L$5</f>
        <v>0</v>
      </c>
      <c r="R19" s="76"/>
      <c r="S19" s="37"/>
      <c r="T19" s="86">
        <f>tbl_estimated_costs_quantities[[#This Row],[Closure External Openings Walls Windows]]*BOQs!$L$6</f>
        <v>0</v>
      </c>
      <c r="U19" s="76"/>
      <c r="V19" s="37"/>
      <c r="W19" s="86">
        <f>tbl_estimated_costs_quantities[[#This Row],[Plastering Painting]]*BOQs!$L$7</f>
        <v>0</v>
      </c>
      <c r="X19" s="76"/>
      <c r="Y19" s="37"/>
      <c r="Z19" s="86">
        <f>tbl_estimated_costs_quantities[[#This Row],[Floor Repairs]]*BOQs!$L$8</f>
        <v>0</v>
      </c>
      <c r="AA19" s="76"/>
      <c r="AB19" s="37"/>
      <c r="AC19" s="86">
        <f>tbl_estimated_costs_quantities[[#This Row],[Doors Replacement Repair]]*BOQs!$L$9</f>
        <v>0</v>
      </c>
      <c r="AD19" s="76"/>
      <c r="AE19" s="37"/>
      <c r="AF19" s="86">
        <f>tbl_estimated_costs_quantities[[#This Row],[Windows Replacement Repair]]*BOQs!$L$10</f>
        <v>0</v>
      </c>
      <c r="AG19" s="76"/>
      <c r="AH19" s="37"/>
      <c r="AI19" s="86">
        <f>tbl_estimated_costs_quantities[[#This Row],[Bathroom Rehabilitation]]*BOQs!$L$11</f>
        <v>0</v>
      </c>
      <c r="AJ19" s="76"/>
      <c r="AK19" s="37"/>
      <c r="AL19" s="86">
        <f>tbl_estimated_costs_quantities[[#This Row],[Ceramic Tile Works WASH]]*BOQs!$L$12</f>
        <v>0</v>
      </c>
      <c r="AM19" s="76"/>
      <c r="AN19" s="37"/>
      <c r="AO19" s="86">
        <f>tbl_estimated_costs_quantities[[#This Row],[Electrical Repairs Lighting]]*BOQs!$L$13</f>
        <v>0</v>
      </c>
      <c r="AP19" s="76"/>
      <c r="AQ19" s="37"/>
      <c r="AR19" s="86">
        <f>tbl_estimated_costs_quantities[[#This Row],[Roof Insulation Leak Sealing]]*BOQs!$L$14</f>
        <v>0</v>
      </c>
      <c r="AS19" s="76"/>
      <c r="AT19" s="37"/>
      <c r="AU19" s="86">
        <f>tbl_estimated_costs_quantities[[#This Row],[Chimney Duct Cleaning Repair]]*BOQs!$L$15</f>
        <v>0</v>
      </c>
      <c r="AV19" s="76"/>
      <c r="AW19" s="37"/>
      <c r="AX19" s="89">
        <f>tbl_estimated_costs_quantities[[#This Row],[Accessibility Adaptations]]*BOQs!$L$16</f>
        <v>0</v>
      </c>
      <c r="AY19" s="86" t="str">
        <f>IF(tbl_estimated_costs_quantities[[#This Row],[Total cost]]&lt;&gt;0,tbl_estimated_costs_quantities[[#This Row],[Total cost]]/BOQs!$A$1,"")</f>
        <v/>
      </c>
      <c r="AZ19" s="37"/>
      <c r="BA19" s="37"/>
      <c r="BB19" s="37"/>
      <c r="BC19" s="37"/>
      <c r="BD19" s="41"/>
      <c r="BE19" s="37"/>
      <c r="BF19" s="37"/>
      <c r="BG19" s="37"/>
      <c r="BH19" s="41"/>
    </row>
    <row r="20" spans="2:60" ht="25.15" customHeight="1" x14ac:dyDescent="0.25">
      <c r="B20" s="49">
        <v>16</v>
      </c>
      <c r="C20" s="37"/>
      <c r="D20" s="41"/>
      <c r="E20" s="40"/>
      <c r="F20" s="87" t="str">
        <f>IF(tbl_estimated_costs_quantities[[#This Row],[House Code]]&lt;&gt;"",INDEX(tbl_Assessment[],MATCH(tbl_estimated_costs_quantities[[#This Row],[House Code]],tbl_Assessment[House Code],0),3),"")</f>
        <v/>
      </c>
      <c r="G20" s="115" t="str">
        <f>IF(tbl_estimated_costs_quantities[[#This Row],[House Code]]&lt;&gt;"",INDEX(tbl_Assessment[],MATCH(tbl_estimated_costs_quantities[[#This Row],[House Code]],tbl_Assessment[House Code],0),9),"")</f>
        <v/>
      </c>
      <c r="H2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 s="75"/>
      <c r="J20" s="37"/>
      <c r="K20" s="86">
        <f>tbl_estimated_costs_quantities[[#This Row],[Site Preparation]]*BOQs!$L$3</f>
        <v>0</v>
      </c>
      <c r="L20" s="76"/>
      <c r="M20" s="37"/>
      <c r="N20" s="86">
        <f>tbl_estimated_costs_quantities[[#This Row],[Demolition Removal Unsafe Structures]]*BOQs!$L$4</f>
        <v>0</v>
      </c>
      <c r="O20" s="76"/>
      <c r="P20" s="37"/>
      <c r="Q20" s="86">
        <f>tbl_estimated_costs_quantities[[#This Row],[Concrete Works]]*BOQs!$L$5</f>
        <v>0</v>
      </c>
      <c r="R20" s="76"/>
      <c r="S20" s="37"/>
      <c r="T20" s="86">
        <f>tbl_estimated_costs_quantities[[#This Row],[Closure External Openings Walls Windows]]*BOQs!$L$6</f>
        <v>0</v>
      </c>
      <c r="U20" s="76"/>
      <c r="V20" s="37"/>
      <c r="W20" s="86">
        <f>tbl_estimated_costs_quantities[[#This Row],[Plastering Painting]]*BOQs!$L$7</f>
        <v>0</v>
      </c>
      <c r="X20" s="76"/>
      <c r="Y20" s="37"/>
      <c r="Z20" s="86">
        <f>tbl_estimated_costs_quantities[[#This Row],[Floor Repairs]]*BOQs!$L$8</f>
        <v>0</v>
      </c>
      <c r="AA20" s="76"/>
      <c r="AB20" s="37"/>
      <c r="AC20" s="86">
        <f>tbl_estimated_costs_quantities[[#This Row],[Doors Replacement Repair]]*BOQs!$L$9</f>
        <v>0</v>
      </c>
      <c r="AD20" s="76"/>
      <c r="AE20" s="37"/>
      <c r="AF20" s="86">
        <f>tbl_estimated_costs_quantities[[#This Row],[Windows Replacement Repair]]*BOQs!$L$10</f>
        <v>0</v>
      </c>
      <c r="AG20" s="76"/>
      <c r="AH20" s="37"/>
      <c r="AI20" s="86">
        <f>tbl_estimated_costs_quantities[[#This Row],[Bathroom Rehabilitation]]*BOQs!$L$11</f>
        <v>0</v>
      </c>
      <c r="AJ20" s="76"/>
      <c r="AK20" s="37"/>
      <c r="AL20" s="86">
        <f>tbl_estimated_costs_quantities[[#This Row],[Ceramic Tile Works WASH]]*BOQs!$L$12</f>
        <v>0</v>
      </c>
      <c r="AM20" s="76"/>
      <c r="AN20" s="37"/>
      <c r="AO20" s="86">
        <f>tbl_estimated_costs_quantities[[#This Row],[Electrical Repairs Lighting]]*BOQs!$L$13</f>
        <v>0</v>
      </c>
      <c r="AP20" s="76"/>
      <c r="AQ20" s="37"/>
      <c r="AR20" s="86">
        <f>tbl_estimated_costs_quantities[[#This Row],[Roof Insulation Leak Sealing]]*BOQs!$L$14</f>
        <v>0</v>
      </c>
      <c r="AS20" s="76"/>
      <c r="AT20" s="37"/>
      <c r="AU20" s="86">
        <f>tbl_estimated_costs_quantities[[#This Row],[Chimney Duct Cleaning Repair]]*BOQs!$L$15</f>
        <v>0</v>
      </c>
      <c r="AV20" s="76"/>
      <c r="AW20" s="37"/>
      <c r="AX20" s="89">
        <f>tbl_estimated_costs_quantities[[#This Row],[Accessibility Adaptations]]*BOQs!$L$16</f>
        <v>0</v>
      </c>
      <c r="AY20" s="86" t="str">
        <f>IF(tbl_estimated_costs_quantities[[#This Row],[Total cost]]&lt;&gt;0,tbl_estimated_costs_quantities[[#This Row],[Total cost]]/BOQs!$A$1,"")</f>
        <v/>
      </c>
      <c r="AZ20" s="37"/>
      <c r="BA20" s="37"/>
      <c r="BB20" s="37"/>
      <c r="BC20" s="37"/>
      <c r="BD20" s="41"/>
      <c r="BE20" s="37"/>
      <c r="BF20" s="37"/>
      <c r="BG20" s="37"/>
      <c r="BH20" s="41"/>
    </row>
    <row r="21" spans="2:60" ht="25.15" customHeight="1" x14ac:dyDescent="0.25">
      <c r="B21" s="49">
        <v>17</v>
      </c>
      <c r="C21" s="37"/>
      <c r="D21" s="41"/>
      <c r="E21" s="40"/>
      <c r="F21" s="87" t="str">
        <f>IF(tbl_estimated_costs_quantities[[#This Row],[House Code]]&lt;&gt;"",INDEX(tbl_Assessment[],MATCH(tbl_estimated_costs_quantities[[#This Row],[House Code]],tbl_Assessment[House Code],0),3),"")</f>
        <v/>
      </c>
      <c r="G21" s="115" t="str">
        <f>IF(tbl_estimated_costs_quantities[[#This Row],[House Code]]&lt;&gt;"",INDEX(tbl_Assessment[],MATCH(tbl_estimated_costs_quantities[[#This Row],[House Code]],tbl_Assessment[House Code],0),9),"")</f>
        <v/>
      </c>
      <c r="H2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 s="75"/>
      <c r="J21" s="37"/>
      <c r="K21" s="86">
        <f>tbl_estimated_costs_quantities[[#This Row],[Site Preparation]]*BOQs!$L$3</f>
        <v>0</v>
      </c>
      <c r="L21" s="76"/>
      <c r="M21" s="37"/>
      <c r="N21" s="86">
        <f>tbl_estimated_costs_quantities[[#This Row],[Demolition Removal Unsafe Structures]]*BOQs!$L$4</f>
        <v>0</v>
      </c>
      <c r="O21" s="76"/>
      <c r="P21" s="37"/>
      <c r="Q21" s="86">
        <f>tbl_estimated_costs_quantities[[#This Row],[Concrete Works]]*BOQs!$L$5</f>
        <v>0</v>
      </c>
      <c r="R21" s="76"/>
      <c r="S21" s="37"/>
      <c r="T21" s="86">
        <f>tbl_estimated_costs_quantities[[#This Row],[Closure External Openings Walls Windows]]*BOQs!$L$6</f>
        <v>0</v>
      </c>
      <c r="U21" s="76"/>
      <c r="V21" s="37"/>
      <c r="W21" s="86">
        <f>tbl_estimated_costs_quantities[[#This Row],[Plastering Painting]]*BOQs!$L$7</f>
        <v>0</v>
      </c>
      <c r="X21" s="76"/>
      <c r="Y21" s="37"/>
      <c r="Z21" s="86">
        <f>tbl_estimated_costs_quantities[[#This Row],[Floor Repairs]]*BOQs!$L$8</f>
        <v>0</v>
      </c>
      <c r="AA21" s="76"/>
      <c r="AB21" s="37"/>
      <c r="AC21" s="86">
        <f>tbl_estimated_costs_quantities[[#This Row],[Doors Replacement Repair]]*BOQs!$L$9</f>
        <v>0</v>
      </c>
      <c r="AD21" s="76"/>
      <c r="AE21" s="37"/>
      <c r="AF21" s="86">
        <f>tbl_estimated_costs_quantities[[#This Row],[Windows Replacement Repair]]*BOQs!$L$10</f>
        <v>0</v>
      </c>
      <c r="AG21" s="76"/>
      <c r="AH21" s="37"/>
      <c r="AI21" s="86">
        <f>tbl_estimated_costs_quantities[[#This Row],[Bathroom Rehabilitation]]*BOQs!$L$11</f>
        <v>0</v>
      </c>
      <c r="AJ21" s="76"/>
      <c r="AK21" s="37"/>
      <c r="AL21" s="86">
        <f>tbl_estimated_costs_quantities[[#This Row],[Ceramic Tile Works WASH]]*BOQs!$L$12</f>
        <v>0</v>
      </c>
      <c r="AM21" s="76"/>
      <c r="AN21" s="37"/>
      <c r="AO21" s="86">
        <f>tbl_estimated_costs_quantities[[#This Row],[Electrical Repairs Lighting]]*BOQs!$L$13</f>
        <v>0</v>
      </c>
      <c r="AP21" s="76"/>
      <c r="AQ21" s="37"/>
      <c r="AR21" s="86">
        <f>tbl_estimated_costs_quantities[[#This Row],[Roof Insulation Leak Sealing]]*BOQs!$L$14</f>
        <v>0</v>
      </c>
      <c r="AS21" s="76"/>
      <c r="AT21" s="37"/>
      <c r="AU21" s="86">
        <f>tbl_estimated_costs_quantities[[#This Row],[Chimney Duct Cleaning Repair]]*BOQs!$L$15</f>
        <v>0</v>
      </c>
      <c r="AV21" s="76"/>
      <c r="AW21" s="37"/>
      <c r="AX21" s="89">
        <f>tbl_estimated_costs_quantities[[#This Row],[Accessibility Adaptations]]*BOQs!$L$16</f>
        <v>0</v>
      </c>
      <c r="AY21" s="86" t="str">
        <f>IF(tbl_estimated_costs_quantities[[#This Row],[Total cost]]&lt;&gt;0,tbl_estimated_costs_quantities[[#This Row],[Total cost]]/BOQs!$A$1,"")</f>
        <v/>
      </c>
      <c r="AZ21" s="37"/>
      <c r="BA21" s="37"/>
      <c r="BB21" s="37"/>
      <c r="BC21" s="37"/>
      <c r="BD21" s="41"/>
      <c r="BE21" s="37"/>
      <c r="BF21" s="37"/>
      <c r="BG21" s="37"/>
      <c r="BH21" s="41"/>
    </row>
    <row r="22" spans="2:60" ht="25.15" customHeight="1" x14ac:dyDescent="0.25">
      <c r="B22" s="49">
        <v>18</v>
      </c>
      <c r="C22" s="37"/>
      <c r="D22" s="41"/>
      <c r="E22" s="40"/>
      <c r="F22" s="87" t="str">
        <f>IF(tbl_estimated_costs_quantities[[#This Row],[House Code]]&lt;&gt;"",INDEX(tbl_Assessment[],MATCH(tbl_estimated_costs_quantities[[#This Row],[House Code]],tbl_Assessment[House Code],0),3),"")</f>
        <v/>
      </c>
      <c r="G22" s="115" t="str">
        <f>IF(tbl_estimated_costs_quantities[[#This Row],[House Code]]&lt;&gt;"",INDEX(tbl_Assessment[],MATCH(tbl_estimated_costs_quantities[[#This Row],[House Code]],tbl_Assessment[House Code],0),9),"")</f>
        <v/>
      </c>
      <c r="H2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 s="75"/>
      <c r="J22" s="37"/>
      <c r="K22" s="86">
        <f>tbl_estimated_costs_quantities[[#This Row],[Site Preparation]]*BOQs!$L$3</f>
        <v>0</v>
      </c>
      <c r="L22" s="76"/>
      <c r="M22" s="37"/>
      <c r="N22" s="86">
        <f>tbl_estimated_costs_quantities[[#This Row],[Demolition Removal Unsafe Structures]]*BOQs!$L$4</f>
        <v>0</v>
      </c>
      <c r="O22" s="76"/>
      <c r="P22" s="37"/>
      <c r="Q22" s="86">
        <f>tbl_estimated_costs_quantities[[#This Row],[Concrete Works]]*BOQs!$L$5</f>
        <v>0</v>
      </c>
      <c r="R22" s="76"/>
      <c r="S22" s="37"/>
      <c r="T22" s="86">
        <f>tbl_estimated_costs_quantities[[#This Row],[Closure External Openings Walls Windows]]*BOQs!$L$6</f>
        <v>0</v>
      </c>
      <c r="U22" s="76"/>
      <c r="V22" s="37"/>
      <c r="W22" s="86">
        <f>tbl_estimated_costs_quantities[[#This Row],[Plastering Painting]]*BOQs!$L$7</f>
        <v>0</v>
      </c>
      <c r="X22" s="76"/>
      <c r="Y22" s="37"/>
      <c r="Z22" s="86">
        <f>tbl_estimated_costs_quantities[[#This Row],[Floor Repairs]]*BOQs!$L$8</f>
        <v>0</v>
      </c>
      <c r="AA22" s="76"/>
      <c r="AB22" s="37"/>
      <c r="AC22" s="86">
        <f>tbl_estimated_costs_quantities[[#This Row],[Doors Replacement Repair]]*BOQs!$L$9</f>
        <v>0</v>
      </c>
      <c r="AD22" s="76"/>
      <c r="AE22" s="37"/>
      <c r="AF22" s="86">
        <f>tbl_estimated_costs_quantities[[#This Row],[Windows Replacement Repair]]*BOQs!$L$10</f>
        <v>0</v>
      </c>
      <c r="AG22" s="76"/>
      <c r="AH22" s="37"/>
      <c r="AI22" s="86">
        <f>tbl_estimated_costs_quantities[[#This Row],[Bathroom Rehabilitation]]*BOQs!$L$11</f>
        <v>0</v>
      </c>
      <c r="AJ22" s="76"/>
      <c r="AK22" s="37"/>
      <c r="AL22" s="86">
        <f>tbl_estimated_costs_quantities[[#This Row],[Ceramic Tile Works WASH]]*BOQs!$L$12</f>
        <v>0</v>
      </c>
      <c r="AM22" s="76"/>
      <c r="AN22" s="37"/>
      <c r="AO22" s="86">
        <f>tbl_estimated_costs_quantities[[#This Row],[Electrical Repairs Lighting]]*BOQs!$L$13</f>
        <v>0</v>
      </c>
      <c r="AP22" s="76"/>
      <c r="AQ22" s="37"/>
      <c r="AR22" s="86">
        <f>tbl_estimated_costs_quantities[[#This Row],[Roof Insulation Leak Sealing]]*BOQs!$L$14</f>
        <v>0</v>
      </c>
      <c r="AS22" s="76"/>
      <c r="AT22" s="37"/>
      <c r="AU22" s="86">
        <f>tbl_estimated_costs_quantities[[#This Row],[Chimney Duct Cleaning Repair]]*BOQs!$L$15</f>
        <v>0</v>
      </c>
      <c r="AV22" s="76"/>
      <c r="AW22" s="37"/>
      <c r="AX22" s="89">
        <f>tbl_estimated_costs_quantities[[#This Row],[Accessibility Adaptations]]*BOQs!$L$16</f>
        <v>0</v>
      </c>
      <c r="AY22" s="86" t="str">
        <f>IF(tbl_estimated_costs_quantities[[#This Row],[Total cost]]&lt;&gt;0,tbl_estimated_costs_quantities[[#This Row],[Total cost]]/BOQs!$A$1,"")</f>
        <v/>
      </c>
      <c r="AZ22" s="37"/>
      <c r="BA22" s="37"/>
      <c r="BB22" s="37"/>
      <c r="BC22" s="37"/>
      <c r="BD22" s="41"/>
      <c r="BE22" s="37"/>
      <c r="BF22" s="37"/>
      <c r="BG22" s="37"/>
      <c r="BH22" s="41"/>
    </row>
    <row r="23" spans="2:60" ht="25.15" customHeight="1" x14ac:dyDescent="0.25">
      <c r="B23" s="49">
        <v>19</v>
      </c>
      <c r="C23" s="37"/>
      <c r="D23" s="41"/>
      <c r="E23" s="40"/>
      <c r="F23" s="87" t="str">
        <f>IF(tbl_estimated_costs_quantities[[#This Row],[House Code]]&lt;&gt;"",INDEX(tbl_Assessment[],MATCH(tbl_estimated_costs_quantities[[#This Row],[House Code]],tbl_Assessment[House Code],0),3),"")</f>
        <v/>
      </c>
      <c r="G23" s="115" t="str">
        <f>IF(tbl_estimated_costs_quantities[[#This Row],[House Code]]&lt;&gt;"",INDEX(tbl_Assessment[],MATCH(tbl_estimated_costs_quantities[[#This Row],[House Code]],tbl_Assessment[House Code],0),9),"")</f>
        <v/>
      </c>
      <c r="H2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 s="75"/>
      <c r="J23" s="37"/>
      <c r="K23" s="86">
        <f>tbl_estimated_costs_quantities[[#This Row],[Site Preparation]]*BOQs!$L$3</f>
        <v>0</v>
      </c>
      <c r="L23" s="76"/>
      <c r="M23" s="37"/>
      <c r="N23" s="86">
        <f>tbl_estimated_costs_quantities[[#This Row],[Demolition Removal Unsafe Structures]]*BOQs!$L$4</f>
        <v>0</v>
      </c>
      <c r="O23" s="76"/>
      <c r="P23" s="37"/>
      <c r="Q23" s="86">
        <f>tbl_estimated_costs_quantities[[#This Row],[Concrete Works]]*BOQs!$L$5</f>
        <v>0</v>
      </c>
      <c r="R23" s="76"/>
      <c r="S23" s="37"/>
      <c r="T23" s="86">
        <f>tbl_estimated_costs_quantities[[#This Row],[Closure External Openings Walls Windows]]*BOQs!$L$6</f>
        <v>0</v>
      </c>
      <c r="U23" s="76"/>
      <c r="V23" s="37"/>
      <c r="W23" s="86">
        <f>tbl_estimated_costs_quantities[[#This Row],[Plastering Painting]]*BOQs!$L$7</f>
        <v>0</v>
      </c>
      <c r="X23" s="76"/>
      <c r="Y23" s="37"/>
      <c r="Z23" s="86">
        <f>tbl_estimated_costs_quantities[[#This Row],[Floor Repairs]]*BOQs!$L$8</f>
        <v>0</v>
      </c>
      <c r="AA23" s="76"/>
      <c r="AB23" s="37"/>
      <c r="AC23" s="86">
        <f>tbl_estimated_costs_quantities[[#This Row],[Doors Replacement Repair]]*BOQs!$L$9</f>
        <v>0</v>
      </c>
      <c r="AD23" s="76"/>
      <c r="AE23" s="37"/>
      <c r="AF23" s="86">
        <f>tbl_estimated_costs_quantities[[#This Row],[Windows Replacement Repair]]*BOQs!$L$10</f>
        <v>0</v>
      </c>
      <c r="AG23" s="76"/>
      <c r="AH23" s="37"/>
      <c r="AI23" s="86">
        <f>tbl_estimated_costs_quantities[[#This Row],[Bathroom Rehabilitation]]*BOQs!$L$11</f>
        <v>0</v>
      </c>
      <c r="AJ23" s="76"/>
      <c r="AK23" s="37"/>
      <c r="AL23" s="86">
        <f>tbl_estimated_costs_quantities[[#This Row],[Ceramic Tile Works WASH]]*BOQs!$L$12</f>
        <v>0</v>
      </c>
      <c r="AM23" s="76"/>
      <c r="AN23" s="37"/>
      <c r="AO23" s="86">
        <f>tbl_estimated_costs_quantities[[#This Row],[Electrical Repairs Lighting]]*BOQs!$L$13</f>
        <v>0</v>
      </c>
      <c r="AP23" s="76"/>
      <c r="AQ23" s="37"/>
      <c r="AR23" s="86">
        <f>tbl_estimated_costs_quantities[[#This Row],[Roof Insulation Leak Sealing]]*BOQs!$L$14</f>
        <v>0</v>
      </c>
      <c r="AS23" s="76"/>
      <c r="AT23" s="37"/>
      <c r="AU23" s="86">
        <f>tbl_estimated_costs_quantities[[#This Row],[Chimney Duct Cleaning Repair]]*BOQs!$L$15</f>
        <v>0</v>
      </c>
      <c r="AV23" s="76"/>
      <c r="AW23" s="37"/>
      <c r="AX23" s="89">
        <f>tbl_estimated_costs_quantities[[#This Row],[Accessibility Adaptations]]*BOQs!$L$16</f>
        <v>0</v>
      </c>
      <c r="AY23" s="86" t="str">
        <f>IF(tbl_estimated_costs_quantities[[#This Row],[Total cost]]&lt;&gt;0,tbl_estimated_costs_quantities[[#This Row],[Total cost]]/BOQs!$A$1,"")</f>
        <v/>
      </c>
      <c r="AZ23" s="37"/>
      <c r="BA23" s="37"/>
      <c r="BB23" s="37"/>
      <c r="BC23" s="37"/>
      <c r="BD23" s="41"/>
      <c r="BE23" s="37"/>
      <c r="BF23" s="37"/>
      <c r="BG23" s="37"/>
      <c r="BH23" s="41"/>
    </row>
    <row r="24" spans="2:60" ht="25.15" customHeight="1" x14ac:dyDescent="0.25">
      <c r="B24" s="49">
        <v>20</v>
      </c>
      <c r="C24" s="37"/>
      <c r="D24" s="41"/>
      <c r="E24" s="40"/>
      <c r="F24" s="87" t="str">
        <f>IF(tbl_estimated_costs_quantities[[#This Row],[House Code]]&lt;&gt;"",INDEX(tbl_Assessment[],MATCH(tbl_estimated_costs_quantities[[#This Row],[House Code]],tbl_Assessment[House Code],0),3),"")</f>
        <v/>
      </c>
      <c r="G24" s="115" t="str">
        <f>IF(tbl_estimated_costs_quantities[[#This Row],[House Code]]&lt;&gt;"",INDEX(tbl_Assessment[],MATCH(tbl_estimated_costs_quantities[[#This Row],[House Code]],tbl_Assessment[House Code],0),9),"")</f>
        <v/>
      </c>
      <c r="H2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 s="75"/>
      <c r="J24" s="37"/>
      <c r="K24" s="86">
        <f>tbl_estimated_costs_quantities[[#This Row],[Site Preparation]]*BOQs!$L$3</f>
        <v>0</v>
      </c>
      <c r="L24" s="76"/>
      <c r="M24" s="37"/>
      <c r="N24" s="86">
        <f>tbl_estimated_costs_quantities[[#This Row],[Demolition Removal Unsafe Structures]]*BOQs!$L$4</f>
        <v>0</v>
      </c>
      <c r="O24" s="76"/>
      <c r="P24" s="37"/>
      <c r="Q24" s="86">
        <f>tbl_estimated_costs_quantities[[#This Row],[Concrete Works]]*BOQs!$L$5</f>
        <v>0</v>
      </c>
      <c r="R24" s="76"/>
      <c r="S24" s="37"/>
      <c r="T24" s="86">
        <f>tbl_estimated_costs_quantities[[#This Row],[Closure External Openings Walls Windows]]*BOQs!$L$6</f>
        <v>0</v>
      </c>
      <c r="U24" s="76"/>
      <c r="V24" s="37"/>
      <c r="W24" s="86">
        <f>tbl_estimated_costs_quantities[[#This Row],[Plastering Painting]]*BOQs!$L$7</f>
        <v>0</v>
      </c>
      <c r="X24" s="76"/>
      <c r="Y24" s="37"/>
      <c r="Z24" s="86">
        <f>tbl_estimated_costs_quantities[[#This Row],[Floor Repairs]]*BOQs!$L$8</f>
        <v>0</v>
      </c>
      <c r="AA24" s="76"/>
      <c r="AB24" s="37"/>
      <c r="AC24" s="86">
        <f>tbl_estimated_costs_quantities[[#This Row],[Doors Replacement Repair]]*BOQs!$L$9</f>
        <v>0</v>
      </c>
      <c r="AD24" s="76"/>
      <c r="AE24" s="37"/>
      <c r="AF24" s="86">
        <f>tbl_estimated_costs_quantities[[#This Row],[Windows Replacement Repair]]*BOQs!$L$10</f>
        <v>0</v>
      </c>
      <c r="AG24" s="76"/>
      <c r="AH24" s="37"/>
      <c r="AI24" s="86">
        <f>tbl_estimated_costs_quantities[[#This Row],[Bathroom Rehabilitation]]*BOQs!$L$11</f>
        <v>0</v>
      </c>
      <c r="AJ24" s="76"/>
      <c r="AK24" s="37"/>
      <c r="AL24" s="86">
        <f>tbl_estimated_costs_quantities[[#This Row],[Ceramic Tile Works WASH]]*BOQs!$L$12</f>
        <v>0</v>
      </c>
      <c r="AM24" s="76"/>
      <c r="AN24" s="37"/>
      <c r="AO24" s="86">
        <f>tbl_estimated_costs_quantities[[#This Row],[Electrical Repairs Lighting]]*BOQs!$L$13</f>
        <v>0</v>
      </c>
      <c r="AP24" s="76"/>
      <c r="AQ24" s="37"/>
      <c r="AR24" s="86">
        <f>tbl_estimated_costs_quantities[[#This Row],[Roof Insulation Leak Sealing]]*BOQs!$L$14</f>
        <v>0</v>
      </c>
      <c r="AS24" s="76"/>
      <c r="AT24" s="37"/>
      <c r="AU24" s="86">
        <f>tbl_estimated_costs_quantities[[#This Row],[Chimney Duct Cleaning Repair]]*BOQs!$L$15</f>
        <v>0</v>
      </c>
      <c r="AV24" s="76"/>
      <c r="AW24" s="37"/>
      <c r="AX24" s="89">
        <f>tbl_estimated_costs_quantities[[#This Row],[Accessibility Adaptations]]*BOQs!$L$16</f>
        <v>0</v>
      </c>
      <c r="AY24" s="86" t="str">
        <f>IF(tbl_estimated_costs_quantities[[#This Row],[Total cost]]&lt;&gt;0,tbl_estimated_costs_quantities[[#This Row],[Total cost]]/BOQs!$A$1,"")</f>
        <v/>
      </c>
      <c r="AZ24" s="37"/>
      <c r="BA24" s="37"/>
      <c r="BB24" s="37"/>
      <c r="BC24" s="37"/>
      <c r="BD24" s="41"/>
      <c r="BE24" s="37"/>
      <c r="BF24" s="37"/>
      <c r="BG24" s="37"/>
      <c r="BH24" s="41"/>
    </row>
    <row r="25" spans="2:60" ht="25.15" customHeight="1" x14ac:dyDescent="0.25">
      <c r="B25" s="49">
        <v>21</v>
      </c>
      <c r="C25" s="37"/>
      <c r="D25" s="41"/>
      <c r="E25" s="40"/>
      <c r="F25" s="87" t="str">
        <f>IF(tbl_estimated_costs_quantities[[#This Row],[House Code]]&lt;&gt;"",INDEX(tbl_Assessment[],MATCH(tbl_estimated_costs_quantities[[#This Row],[House Code]],tbl_Assessment[House Code],0),3),"")</f>
        <v/>
      </c>
      <c r="G25" s="115" t="str">
        <f>IF(tbl_estimated_costs_quantities[[#This Row],[House Code]]&lt;&gt;"",INDEX(tbl_Assessment[],MATCH(tbl_estimated_costs_quantities[[#This Row],[House Code]],tbl_Assessment[House Code],0),9),"")</f>
        <v/>
      </c>
      <c r="H2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 s="75"/>
      <c r="J25" s="37"/>
      <c r="K25" s="86">
        <f>tbl_estimated_costs_quantities[[#This Row],[Site Preparation]]*BOQs!$L$3</f>
        <v>0</v>
      </c>
      <c r="L25" s="76"/>
      <c r="M25" s="37"/>
      <c r="N25" s="86">
        <f>tbl_estimated_costs_quantities[[#This Row],[Demolition Removal Unsafe Structures]]*BOQs!$L$4</f>
        <v>0</v>
      </c>
      <c r="O25" s="76"/>
      <c r="P25" s="37"/>
      <c r="Q25" s="86">
        <f>tbl_estimated_costs_quantities[[#This Row],[Concrete Works]]*BOQs!$L$5</f>
        <v>0</v>
      </c>
      <c r="R25" s="76"/>
      <c r="S25" s="37"/>
      <c r="T25" s="86">
        <f>tbl_estimated_costs_quantities[[#This Row],[Closure External Openings Walls Windows]]*BOQs!$L$6</f>
        <v>0</v>
      </c>
      <c r="U25" s="76"/>
      <c r="V25" s="37"/>
      <c r="W25" s="86">
        <f>tbl_estimated_costs_quantities[[#This Row],[Plastering Painting]]*BOQs!$L$7</f>
        <v>0</v>
      </c>
      <c r="X25" s="76"/>
      <c r="Y25" s="37"/>
      <c r="Z25" s="86">
        <f>tbl_estimated_costs_quantities[[#This Row],[Floor Repairs]]*BOQs!$L$8</f>
        <v>0</v>
      </c>
      <c r="AA25" s="76"/>
      <c r="AB25" s="37"/>
      <c r="AC25" s="86">
        <f>tbl_estimated_costs_quantities[[#This Row],[Doors Replacement Repair]]*BOQs!$L$9</f>
        <v>0</v>
      </c>
      <c r="AD25" s="76"/>
      <c r="AE25" s="37"/>
      <c r="AF25" s="86">
        <f>tbl_estimated_costs_quantities[[#This Row],[Windows Replacement Repair]]*BOQs!$L$10</f>
        <v>0</v>
      </c>
      <c r="AG25" s="76"/>
      <c r="AH25" s="37"/>
      <c r="AI25" s="86">
        <f>tbl_estimated_costs_quantities[[#This Row],[Bathroom Rehabilitation]]*BOQs!$L$11</f>
        <v>0</v>
      </c>
      <c r="AJ25" s="76"/>
      <c r="AK25" s="37"/>
      <c r="AL25" s="86">
        <f>tbl_estimated_costs_quantities[[#This Row],[Ceramic Tile Works WASH]]*BOQs!$L$12</f>
        <v>0</v>
      </c>
      <c r="AM25" s="76"/>
      <c r="AN25" s="37"/>
      <c r="AO25" s="86">
        <f>tbl_estimated_costs_quantities[[#This Row],[Electrical Repairs Lighting]]*BOQs!$L$13</f>
        <v>0</v>
      </c>
      <c r="AP25" s="76"/>
      <c r="AQ25" s="37"/>
      <c r="AR25" s="86">
        <f>tbl_estimated_costs_quantities[[#This Row],[Roof Insulation Leak Sealing]]*BOQs!$L$14</f>
        <v>0</v>
      </c>
      <c r="AS25" s="76"/>
      <c r="AT25" s="37"/>
      <c r="AU25" s="86">
        <f>tbl_estimated_costs_quantities[[#This Row],[Chimney Duct Cleaning Repair]]*BOQs!$L$15</f>
        <v>0</v>
      </c>
      <c r="AV25" s="76"/>
      <c r="AW25" s="37"/>
      <c r="AX25" s="89">
        <f>tbl_estimated_costs_quantities[[#This Row],[Accessibility Adaptations]]*BOQs!$L$16</f>
        <v>0</v>
      </c>
      <c r="AY25" s="86" t="str">
        <f>IF(tbl_estimated_costs_quantities[[#This Row],[Total cost]]&lt;&gt;0,tbl_estimated_costs_quantities[[#This Row],[Total cost]]/BOQs!$A$1,"")</f>
        <v/>
      </c>
      <c r="AZ25" s="37"/>
      <c r="BA25" s="37"/>
      <c r="BB25" s="37"/>
      <c r="BC25" s="37"/>
      <c r="BD25" s="41"/>
      <c r="BE25" s="37"/>
      <c r="BF25" s="37"/>
      <c r="BG25" s="37"/>
      <c r="BH25" s="41"/>
    </row>
    <row r="26" spans="2:60" ht="25.15" customHeight="1" x14ac:dyDescent="0.25">
      <c r="B26" s="49">
        <v>22</v>
      </c>
      <c r="C26" s="37"/>
      <c r="D26" s="41"/>
      <c r="E26" s="40"/>
      <c r="F26" s="87" t="str">
        <f>IF(tbl_estimated_costs_quantities[[#This Row],[House Code]]&lt;&gt;"",INDEX(tbl_Assessment[],MATCH(tbl_estimated_costs_quantities[[#This Row],[House Code]],tbl_Assessment[House Code],0),3),"")</f>
        <v/>
      </c>
      <c r="G26" s="115" t="str">
        <f>IF(tbl_estimated_costs_quantities[[#This Row],[House Code]]&lt;&gt;"",INDEX(tbl_Assessment[],MATCH(tbl_estimated_costs_quantities[[#This Row],[House Code]],tbl_Assessment[House Code],0),9),"")</f>
        <v/>
      </c>
      <c r="H2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 s="75"/>
      <c r="J26" s="37"/>
      <c r="K26" s="86">
        <f>tbl_estimated_costs_quantities[[#This Row],[Site Preparation]]*BOQs!$L$3</f>
        <v>0</v>
      </c>
      <c r="L26" s="76"/>
      <c r="M26" s="37"/>
      <c r="N26" s="86">
        <f>tbl_estimated_costs_quantities[[#This Row],[Demolition Removal Unsafe Structures]]*BOQs!$L$4</f>
        <v>0</v>
      </c>
      <c r="O26" s="76"/>
      <c r="P26" s="37"/>
      <c r="Q26" s="86">
        <f>tbl_estimated_costs_quantities[[#This Row],[Concrete Works]]*BOQs!$L$5</f>
        <v>0</v>
      </c>
      <c r="R26" s="76"/>
      <c r="S26" s="37"/>
      <c r="T26" s="86">
        <f>tbl_estimated_costs_quantities[[#This Row],[Closure External Openings Walls Windows]]*BOQs!$L$6</f>
        <v>0</v>
      </c>
      <c r="U26" s="76"/>
      <c r="V26" s="37"/>
      <c r="W26" s="86">
        <f>tbl_estimated_costs_quantities[[#This Row],[Plastering Painting]]*BOQs!$L$7</f>
        <v>0</v>
      </c>
      <c r="X26" s="76"/>
      <c r="Y26" s="37"/>
      <c r="Z26" s="86">
        <f>tbl_estimated_costs_quantities[[#This Row],[Floor Repairs]]*BOQs!$L$8</f>
        <v>0</v>
      </c>
      <c r="AA26" s="76"/>
      <c r="AB26" s="37"/>
      <c r="AC26" s="86">
        <f>tbl_estimated_costs_quantities[[#This Row],[Doors Replacement Repair]]*BOQs!$L$9</f>
        <v>0</v>
      </c>
      <c r="AD26" s="76"/>
      <c r="AE26" s="37"/>
      <c r="AF26" s="86">
        <f>tbl_estimated_costs_quantities[[#This Row],[Windows Replacement Repair]]*BOQs!$L$10</f>
        <v>0</v>
      </c>
      <c r="AG26" s="76"/>
      <c r="AH26" s="37"/>
      <c r="AI26" s="86">
        <f>tbl_estimated_costs_quantities[[#This Row],[Bathroom Rehabilitation]]*BOQs!$L$11</f>
        <v>0</v>
      </c>
      <c r="AJ26" s="76"/>
      <c r="AK26" s="37"/>
      <c r="AL26" s="86">
        <f>tbl_estimated_costs_quantities[[#This Row],[Ceramic Tile Works WASH]]*BOQs!$L$12</f>
        <v>0</v>
      </c>
      <c r="AM26" s="76"/>
      <c r="AN26" s="37"/>
      <c r="AO26" s="86">
        <f>tbl_estimated_costs_quantities[[#This Row],[Electrical Repairs Lighting]]*BOQs!$L$13</f>
        <v>0</v>
      </c>
      <c r="AP26" s="76"/>
      <c r="AQ26" s="37"/>
      <c r="AR26" s="86">
        <f>tbl_estimated_costs_quantities[[#This Row],[Roof Insulation Leak Sealing]]*BOQs!$L$14</f>
        <v>0</v>
      </c>
      <c r="AS26" s="76"/>
      <c r="AT26" s="37"/>
      <c r="AU26" s="86">
        <f>tbl_estimated_costs_quantities[[#This Row],[Chimney Duct Cleaning Repair]]*BOQs!$L$15</f>
        <v>0</v>
      </c>
      <c r="AV26" s="76"/>
      <c r="AW26" s="37"/>
      <c r="AX26" s="89">
        <f>tbl_estimated_costs_quantities[[#This Row],[Accessibility Adaptations]]*BOQs!$L$16</f>
        <v>0</v>
      </c>
      <c r="AY26" s="86" t="str">
        <f>IF(tbl_estimated_costs_quantities[[#This Row],[Total cost]]&lt;&gt;0,tbl_estimated_costs_quantities[[#This Row],[Total cost]]/BOQs!$A$1,"")</f>
        <v/>
      </c>
      <c r="AZ26" s="37"/>
      <c r="BA26" s="37"/>
      <c r="BB26" s="37"/>
      <c r="BC26" s="37"/>
      <c r="BD26" s="41"/>
      <c r="BE26" s="37"/>
      <c r="BF26" s="37"/>
      <c r="BG26" s="37"/>
      <c r="BH26" s="41"/>
    </row>
    <row r="27" spans="2:60" ht="25.15" customHeight="1" x14ac:dyDescent="0.25">
      <c r="B27" s="49">
        <v>23</v>
      </c>
      <c r="C27" s="37"/>
      <c r="D27" s="41"/>
      <c r="E27" s="40"/>
      <c r="F27" s="87" t="str">
        <f>IF(tbl_estimated_costs_quantities[[#This Row],[House Code]]&lt;&gt;"",INDEX(tbl_Assessment[],MATCH(tbl_estimated_costs_quantities[[#This Row],[House Code]],tbl_Assessment[House Code],0),3),"")</f>
        <v/>
      </c>
      <c r="G27" s="115" t="str">
        <f>IF(tbl_estimated_costs_quantities[[#This Row],[House Code]]&lt;&gt;"",INDEX(tbl_Assessment[],MATCH(tbl_estimated_costs_quantities[[#This Row],[House Code]],tbl_Assessment[House Code],0),9),"")</f>
        <v/>
      </c>
      <c r="H2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 s="75"/>
      <c r="J27" s="37"/>
      <c r="K27" s="86">
        <f>tbl_estimated_costs_quantities[[#This Row],[Site Preparation]]*BOQs!$L$3</f>
        <v>0</v>
      </c>
      <c r="L27" s="76"/>
      <c r="M27" s="37"/>
      <c r="N27" s="86">
        <f>tbl_estimated_costs_quantities[[#This Row],[Demolition Removal Unsafe Structures]]*BOQs!$L$4</f>
        <v>0</v>
      </c>
      <c r="O27" s="76"/>
      <c r="P27" s="37"/>
      <c r="Q27" s="86">
        <f>tbl_estimated_costs_quantities[[#This Row],[Concrete Works]]*BOQs!$L$5</f>
        <v>0</v>
      </c>
      <c r="R27" s="76"/>
      <c r="S27" s="37"/>
      <c r="T27" s="86">
        <f>tbl_estimated_costs_quantities[[#This Row],[Closure External Openings Walls Windows]]*BOQs!$L$6</f>
        <v>0</v>
      </c>
      <c r="U27" s="76"/>
      <c r="V27" s="37"/>
      <c r="W27" s="86">
        <f>tbl_estimated_costs_quantities[[#This Row],[Plastering Painting]]*BOQs!$L$7</f>
        <v>0</v>
      </c>
      <c r="X27" s="76"/>
      <c r="Y27" s="37"/>
      <c r="Z27" s="86">
        <f>tbl_estimated_costs_quantities[[#This Row],[Floor Repairs]]*BOQs!$L$8</f>
        <v>0</v>
      </c>
      <c r="AA27" s="76"/>
      <c r="AB27" s="37"/>
      <c r="AC27" s="86">
        <f>tbl_estimated_costs_quantities[[#This Row],[Doors Replacement Repair]]*BOQs!$L$9</f>
        <v>0</v>
      </c>
      <c r="AD27" s="76"/>
      <c r="AE27" s="37"/>
      <c r="AF27" s="86">
        <f>tbl_estimated_costs_quantities[[#This Row],[Windows Replacement Repair]]*BOQs!$L$10</f>
        <v>0</v>
      </c>
      <c r="AG27" s="76"/>
      <c r="AH27" s="37"/>
      <c r="AI27" s="86">
        <f>tbl_estimated_costs_quantities[[#This Row],[Bathroom Rehabilitation]]*BOQs!$L$11</f>
        <v>0</v>
      </c>
      <c r="AJ27" s="76"/>
      <c r="AK27" s="37"/>
      <c r="AL27" s="86">
        <f>tbl_estimated_costs_quantities[[#This Row],[Ceramic Tile Works WASH]]*BOQs!$L$12</f>
        <v>0</v>
      </c>
      <c r="AM27" s="76"/>
      <c r="AN27" s="37"/>
      <c r="AO27" s="86">
        <f>tbl_estimated_costs_quantities[[#This Row],[Electrical Repairs Lighting]]*BOQs!$L$13</f>
        <v>0</v>
      </c>
      <c r="AP27" s="76"/>
      <c r="AQ27" s="37"/>
      <c r="AR27" s="86">
        <f>tbl_estimated_costs_quantities[[#This Row],[Roof Insulation Leak Sealing]]*BOQs!$L$14</f>
        <v>0</v>
      </c>
      <c r="AS27" s="76"/>
      <c r="AT27" s="37"/>
      <c r="AU27" s="86">
        <f>tbl_estimated_costs_quantities[[#This Row],[Chimney Duct Cleaning Repair]]*BOQs!$L$15</f>
        <v>0</v>
      </c>
      <c r="AV27" s="76"/>
      <c r="AW27" s="37"/>
      <c r="AX27" s="89">
        <f>tbl_estimated_costs_quantities[[#This Row],[Accessibility Adaptations]]*BOQs!$L$16</f>
        <v>0</v>
      </c>
      <c r="AY27" s="86" t="str">
        <f>IF(tbl_estimated_costs_quantities[[#This Row],[Total cost]]&lt;&gt;0,tbl_estimated_costs_quantities[[#This Row],[Total cost]]/BOQs!$A$1,"")</f>
        <v/>
      </c>
      <c r="AZ27" s="37"/>
      <c r="BA27" s="37"/>
      <c r="BB27" s="37"/>
      <c r="BC27" s="37"/>
      <c r="BD27" s="41"/>
      <c r="BE27" s="37"/>
      <c r="BF27" s="37"/>
      <c r="BG27" s="37"/>
      <c r="BH27" s="41"/>
    </row>
    <row r="28" spans="2:60" ht="25.15" customHeight="1" x14ac:dyDescent="0.25">
      <c r="B28" s="49">
        <v>24</v>
      </c>
      <c r="C28" s="37"/>
      <c r="D28" s="41"/>
      <c r="E28" s="40"/>
      <c r="F28" s="87" t="str">
        <f>IF(tbl_estimated_costs_quantities[[#This Row],[House Code]]&lt;&gt;"",INDEX(tbl_Assessment[],MATCH(tbl_estimated_costs_quantities[[#This Row],[House Code]],tbl_Assessment[House Code],0),3),"")</f>
        <v/>
      </c>
      <c r="G28" s="115" t="str">
        <f>IF(tbl_estimated_costs_quantities[[#This Row],[House Code]]&lt;&gt;"",INDEX(tbl_Assessment[],MATCH(tbl_estimated_costs_quantities[[#This Row],[House Code]],tbl_Assessment[House Code],0),9),"")</f>
        <v/>
      </c>
      <c r="H2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 s="75"/>
      <c r="J28" s="37"/>
      <c r="K28" s="86">
        <f>tbl_estimated_costs_quantities[[#This Row],[Site Preparation]]*BOQs!$L$3</f>
        <v>0</v>
      </c>
      <c r="L28" s="76"/>
      <c r="M28" s="37"/>
      <c r="N28" s="86">
        <f>tbl_estimated_costs_quantities[[#This Row],[Demolition Removal Unsafe Structures]]*BOQs!$L$4</f>
        <v>0</v>
      </c>
      <c r="O28" s="76"/>
      <c r="P28" s="37"/>
      <c r="Q28" s="86">
        <f>tbl_estimated_costs_quantities[[#This Row],[Concrete Works]]*BOQs!$L$5</f>
        <v>0</v>
      </c>
      <c r="R28" s="76"/>
      <c r="S28" s="37"/>
      <c r="T28" s="86">
        <f>tbl_estimated_costs_quantities[[#This Row],[Closure External Openings Walls Windows]]*BOQs!$L$6</f>
        <v>0</v>
      </c>
      <c r="U28" s="76"/>
      <c r="V28" s="37"/>
      <c r="W28" s="86">
        <f>tbl_estimated_costs_quantities[[#This Row],[Plastering Painting]]*BOQs!$L$7</f>
        <v>0</v>
      </c>
      <c r="X28" s="76"/>
      <c r="Y28" s="37"/>
      <c r="Z28" s="86">
        <f>tbl_estimated_costs_quantities[[#This Row],[Floor Repairs]]*BOQs!$L$8</f>
        <v>0</v>
      </c>
      <c r="AA28" s="76"/>
      <c r="AB28" s="37"/>
      <c r="AC28" s="86">
        <f>tbl_estimated_costs_quantities[[#This Row],[Doors Replacement Repair]]*BOQs!$L$9</f>
        <v>0</v>
      </c>
      <c r="AD28" s="76"/>
      <c r="AE28" s="37"/>
      <c r="AF28" s="86">
        <f>tbl_estimated_costs_quantities[[#This Row],[Windows Replacement Repair]]*BOQs!$L$10</f>
        <v>0</v>
      </c>
      <c r="AG28" s="76"/>
      <c r="AH28" s="37"/>
      <c r="AI28" s="86">
        <f>tbl_estimated_costs_quantities[[#This Row],[Bathroom Rehabilitation]]*BOQs!$L$11</f>
        <v>0</v>
      </c>
      <c r="AJ28" s="76"/>
      <c r="AK28" s="37"/>
      <c r="AL28" s="86">
        <f>tbl_estimated_costs_quantities[[#This Row],[Ceramic Tile Works WASH]]*BOQs!$L$12</f>
        <v>0</v>
      </c>
      <c r="AM28" s="76"/>
      <c r="AN28" s="37"/>
      <c r="AO28" s="86">
        <f>tbl_estimated_costs_quantities[[#This Row],[Electrical Repairs Lighting]]*BOQs!$L$13</f>
        <v>0</v>
      </c>
      <c r="AP28" s="76"/>
      <c r="AQ28" s="37"/>
      <c r="AR28" s="86">
        <f>tbl_estimated_costs_quantities[[#This Row],[Roof Insulation Leak Sealing]]*BOQs!$L$14</f>
        <v>0</v>
      </c>
      <c r="AS28" s="76"/>
      <c r="AT28" s="37"/>
      <c r="AU28" s="86">
        <f>tbl_estimated_costs_quantities[[#This Row],[Chimney Duct Cleaning Repair]]*BOQs!$L$15</f>
        <v>0</v>
      </c>
      <c r="AV28" s="76"/>
      <c r="AW28" s="37"/>
      <c r="AX28" s="89">
        <f>tbl_estimated_costs_quantities[[#This Row],[Accessibility Adaptations]]*BOQs!$L$16</f>
        <v>0</v>
      </c>
      <c r="AY28" s="86" t="str">
        <f>IF(tbl_estimated_costs_quantities[[#This Row],[Total cost]]&lt;&gt;0,tbl_estimated_costs_quantities[[#This Row],[Total cost]]/BOQs!$A$1,"")</f>
        <v/>
      </c>
      <c r="AZ28" s="37"/>
      <c r="BA28" s="37"/>
      <c r="BB28" s="37"/>
      <c r="BC28" s="37"/>
      <c r="BD28" s="41"/>
      <c r="BE28" s="37"/>
      <c r="BF28" s="37"/>
      <c r="BG28" s="37"/>
      <c r="BH28" s="41"/>
    </row>
    <row r="29" spans="2:60" ht="25.15" customHeight="1" x14ac:dyDescent="0.25">
      <c r="B29" s="49">
        <v>25</v>
      </c>
      <c r="C29" s="37"/>
      <c r="D29" s="41"/>
      <c r="E29" s="40"/>
      <c r="F29" s="87" t="str">
        <f>IF(tbl_estimated_costs_quantities[[#This Row],[House Code]]&lt;&gt;"",INDEX(tbl_Assessment[],MATCH(tbl_estimated_costs_quantities[[#This Row],[House Code]],tbl_Assessment[House Code],0),3),"")</f>
        <v/>
      </c>
      <c r="G29" s="115" t="str">
        <f>IF(tbl_estimated_costs_quantities[[#This Row],[House Code]]&lt;&gt;"",INDEX(tbl_Assessment[],MATCH(tbl_estimated_costs_quantities[[#This Row],[House Code]],tbl_Assessment[House Code],0),9),"")</f>
        <v/>
      </c>
      <c r="H2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 s="75"/>
      <c r="J29" s="37"/>
      <c r="K29" s="86">
        <f>tbl_estimated_costs_quantities[[#This Row],[Site Preparation]]*BOQs!$L$3</f>
        <v>0</v>
      </c>
      <c r="L29" s="76"/>
      <c r="M29" s="37"/>
      <c r="N29" s="86">
        <f>tbl_estimated_costs_quantities[[#This Row],[Demolition Removal Unsafe Structures]]*BOQs!$L$4</f>
        <v>0</v>
      </c>
      <c r="O29" s="76"/>
      <c r="P29" s="37"/>
      <c r="Q29" s="86">
        <f>tbl_estimated_costs_quantities[[#This Row],[Concrete Works]]*BOQs!$L$5</f>
        <v>0</v>
      </c>
      <c r="R29" s="76"/>
      <c r="S29" s="37"/>
      <c r="T29" s="86">
        <f>tbl_estimated_costs_quantities[[#This Row],[Closure External Openings Walls Windows]]*BOQs!$L$6</f>
        <v>0</v>
      </c>
      <c r="U29" s="76"/>
      <c r="V29" s="37"/>
      <c r="W29" s="86">
        <f>tbl_estimated_costs_quantities[[#This Row],[Plastering Painting]]*BOQs!$L$7</f>
        <v>0</v>
      </c>
      <c r="X29" s="76"/>
      <c r="Y29" s="37"/>
      <c r="Z29" s="86">
        <f>tbl_estimated_costs_quantities[[#This Row],[Floor Repairs]]*BOQs!$L$8</f>
        <v>0</v>
      </c>
      <c r="AA29" s="76"/>
      <c r="AB29" s="37"/>
      <c r="AC29" s="86">
        <f>tbl_estimated_costs_quantities[[#This Row],[Doors Replacement Repair]]*BOQs!$L$9</f>
        <v>0</v>
      </c>
      <c r="AD29" s="76"/>
      <c r="AE29" s="37"/>
      <c r="AF29" s="86">
        <f>tbl_estimated_costs_quantities[[#This Row],[Windows Replacement Repair]]*BOQs!$L$10</f>
        <v>0</v>
      </c>
      <c r="AG29" s="76"/>
      <c r="AH29" s="37"/>
      <c r="AI29" s="86">
        <f>tbl_estimated_costs_quantities[[#This Row],[Bathroom Rehabilitation]]*BOQs!$L$11</f>
        <v>0</v>
      </c>
      <c r="AJ29" s="76"/>
      <c r="AK29" s="37"/>
      <c r="AL29" s="86">
        <f>tbl_estimated_costs_quantities[[#This Row],[Ceramic Tile Works WASH]]*BOQs!$L$12</f>
        <v>0</v>
      </c>
      <c r="AM29" s="76"/>
      <c r="AN29" s="37"/>
      <c r="AO29" s="86">
        <f>tbl_estimated_costs_quantities[[#This Row],[Electrical Repairs Lighting]]*BOQs!$L$13</f>
        <v>0</v>
      </c>
      <c r="AP29" s="76"/>
      <c r="AQ29" s="37"/>
      <c r="AR29" s="86">
        <f>tbl_estimated_costs_quantities[[#This Row],[Roof Insulation Leak Sealing]]*BOQs!$L$14</f>
        <v>0</v>
      </c>
      <c r="AS29" s="76"/>
      <c r="AT29" s="37"/>
      <c r="AU29" s="86">
        <f>tbl_estimated_costs_quantities[[#This Row],[Chimney Duct Cleaning Repair]]*BOQs!$L$15</f>
        <v>0</v>
      </c>
      <c r="AV29" s="76"/>
      <c r="AW29" s="37"/>
      <c r="AX29" s="89">
        <f>tbl_estimated_costs_quantities[[#This Row],[Accessibility Adaptations]]*BOQs!$L$16</f>
        <v>0</v>
      </c>
      <c r="AY29" s="86" t="str">
        <f>IF(tbl_estimated_costs_quantities[[#This Row],[Total cost]]&lt;&gt;0,tbl_estimated_costs_quantities[[#This Row],[Total cost]]/BOQs!$A$1,"")</f>
        <v/>
      </c>
      <c r="AZ29" s="37"/>
      <c r="BA29" s="37"/>
      <c r="BB29" s="37"/>
      <c r="BC29" s="37"/>
      <c r="BD29" s="41"/>
      <c r="BE29" s="37"/>
      <c r="BF29" s="37"/>
      <c r="BG29" s="37"/>
      <c r="BH29" s="41"/>
    </row>
    <row r="30" spans="2:60" ht="25.15" customHeight="1" x14ac:dyDescent="0.25">
      <c r="B30" s="49">
        <v>26</v>
      </c>
      <c r="C30" s="37"/>
      <c r="D30" s="41"/>
      <c r="E30" s="40"/>
      <c r="F30" s="87" t="str">
        <f>IF(tbl_estimated_costs_quantities[[#This Row],[House Code]]&lt;&gt;"",INDEX(tbl_Assessment[],MATCH(tbl_estimated_costs_quantities[[#This Row],[House Code]],tbl_Assessment[House Code],0),3),"")</f>
        <v/>
      </c>
      <c r="G30" s="115" t="str">
        <f>IF(tbl_estimated_costs_quantities[[#This Row],[House Code]]&lt;&gt;"",INDEX(tbl_Assessment[],MATCH(tbl_estimated_costs_quantities[[#This Row],[House Code]],tbl_Assessment[House Code],0),9),"")</f>
        <v/>
      </c>
      <c r="H3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 s="75"/>
      <c r="J30" s="37"/>
      <c r="K30" s="86">
        <f>tbl_estimated_costs_quantities[[#This Row],[Site Preparation]]*BOQs!$L$3</f>
        <v>0</v>
      </c>
      <c r="L30" s="76"/>
      <c r="M30" s="37"/>
      <c r="N30" s="86">
        <f>tbl_estimated_costs_quantities[[#This Row],[Demolition Removal Unsafe Structures]]*BOQs!$L$4</f>
        <v>0</v>
      </c>
      <c r="O30" s="76"/>
      <c r="P30" s="37"/>
      <c r="Q30" s="86">
        <f>tbl_estimated_costs_quantities[[#This Row],[Concrete Works]]*BOQs!$L$5</f>
        <v>0</v>
      </c>
      <c r="R30" s="76"/>
      <c r="S30" s="37"/>
      <c r="T30" s="86">
        <f>tbl_estimated_costs_quantities[[#This Row],[Closure External Openings Walls Windows]]*BOQs!$L$6</f>
        <v>0</v>
      </c>
      <c r="U30" s="76"/>
      <c r="V30" s="37"/>
      <c r="W30" s="86">
        <f>tbl_estimated_costs_quantities[[#This Row],[Plastering Painting]]*BOQs!$L$7</f>
        <v>0</v>
      </c>
      <c r="X30" s="76"/>
      <c r="Y30" s="37"/>
      <c r="Z30" s="86">
        <f>tbl_estimated_costs_quantities[[#This Row],[Floor Repairs]]*BOQs!$L$8</f>
        <v>0</v>
      </c>
      <c r="AA30" s="76"/>
      <c r="AB30" s="37"/>
      <c r="AC30" s="86">
        <f>tbl_estimated_costs_quantities[[#This Row],[Doors Replacement Repair]]*BOQs!$L$9</f>
        <v>0</v>
      </c>
      <c r="AD30" s="76"/>
      <c r="AE30" s="37"/>
      <c r="AF30" s="86">
        <f>tbl_estimated_costs_quantities[[#This Row],[Windows Replacement Repair]]*BOQs!$L$10</f>
        <v>0</v>
      </c>
      <c r="AG30" s="76"/>
      <c r="AH30" s="37"/>
      <c r="AI30" s="86">
        <f>tbl_estimated_costs_quantities[[#This Row],[Bathroom Rehabilitation]]*BOQs!$L$11</f>
        <v>0</v>
      </c>
      <c r="AJ30" s="76"/>
      <c r="AK30" s="37"/>
      <c r="AL30" s="86">
        <f>tbl_estimated_costs_quantities[[#This Row],[Ceramic Tile Works WASH]]*BOQs!$L$12</f>
        <v>0</v>
      </c>
      <c r="AM30" s="76"/>
      <c r="AN30" s="37"/>
      <c r="AO30" s="86">
        <f>tbl_estimated_costs_quantities[[#This Row],[Electrical Repairs Lighting]]*BOQs!$L$13</f>
        <v>0</v>
      </c>
      <c r="AP30" s="76"/>
      <c r="AQ30" s="37"/>
      <c r="AR30" s="86">
        <f>tbl_estimated_costs_quantities[[#This Row],[Roof Insulation Leak Sealing]]*BOQs!$L$14</f>
        <v>0</v>
      </c>
      <c r="AS30" s="76"/>
      <c r="AT30" s="37"/>
      <c r="AU30" s="86">
        <f>tbl_estimated_costs_quantities[[#This Row],[Chimney Duct Cleaning Repair]]*BOQs!$L$15</f>
        <v>0</v>
      </c>
      <c r="AV30" s="76"/>
      <c r="AW30" s="37"/>
      <c r="AX30" s="89">
        <f>tbl_estimated_costs_quantities[[#This Row],[Accessibility Adaptations]]*BOQs!$L$16</f>
        <v>0</v>
      </c>
      <c r="AY30" s="86" t="str">
        <f>IF(tbl_estimated_costs_quantities[[#This Row],[Total cost]]&lt;&gt;0,tbl_estimated_costs_quantities[[#This Row],[Total cost]]/BOQs!$A$1,"")</f>
        <v/>
      </c>
      <c r="AZ30" s="37"/>
      <c r="BA30" s="37"/>
      <c r="BB30" s="37"/>
      <c r="BC30" s="37"/>
      <c r="BD30" s="41"/>
      <c r="BE30" s="37"/>
      <c r="BF30" s="37"/>
      <c r="BG30" s="37"/>
      <c r="BH30" s="41"/>
    </row>
    <row r="31" spans="2:60" ht="25.15" customHeight="1" x14ac:dyDescent="0.25">
      <c r="B31" s="49">
        <v>27</v>
      </c>
      <c r="C31" s="37"/>
      <c r="D31" s="41"/>
      <c r="E31" s="40"/>
      <c r="F31" s="87" t="str">
        <f>IF(tbl_estimated_costs_quantities[[#This Row],[House Code]]&lt;&gt;"",INDEX(tbl_Assessment[],MATCH(tbl_estimated_costs_quantities[[#This Row],[House Code]],tbl_Assessment[House Code],0),3),"")</f>
        <v/>
      </c>
      <c r="G31" s="115" t="str">
        <f>IF(tbl_estimated_costs_quantities[[#This Row],[House Code]]&lt;&gt;"",INDEX(tbl_Assessment[],MATCH(tbl_estimated_costs_quantities[[#This Row],[House Code]],tbl_Assessment[House Code],0),9),"")</f>
        <v/>
      </c>
      <c r="H3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 s="75"/>
      <c r="J31" s="37"/>
      <c r="K31" s="86">
        <f>tbl_estimated_costs_quantities[[#This Row],[Site Preparation]]*BOQs!$L$3</f>
        <v>0</v>
      </c>
      <c r="L31" s="76"/>
      <c r="M31" s="37"/>
      <c r="N31" s="86">
        <f>tbl_estimated_costs_quantities[[#This Row],[Demolition Removal Unsafe Structures]]*BOQs!$L$4</f>
        <v>0</v>
      </c>
      <c r="O31" s="76"/>
      <c r="P31" s="37"/>
      <c r="Q31" s="86">
        <f>tbl_estimated_costs_quantities[[#This Row],[Concrete Works]]*BOQs!$L$5</f>
        <v>0</v>
      </c>
      <c r="R31" s="76"/>
      <c r="S31" s="37"/>
      <c r="T31" s="86">
        <f>tbl_estimated_costs_quantities[[#This Row],[Closure External Openings Walls Windows]]*BOQs!$L$6</f>
        <v>0</v>
      </c>
      <c r="U31" s="76"/>
      <c r="V31" s="37"/>
      <c r="W31" s="86">
        <f>tbl_estimated_costs_quantities[[#This Row],[Plastering Painting]]*BOQs!$L$7</f>
        <v>0</v>
      </c>
      <c r="X31" s="76"/>
      <c r="Y31" s="37"/>
      <c r="Z31" s="86">
        <f>tbl_estimated_costs_quantities[[#This Row],[Floor Repairs]]*BOQs!$L$8</f>
        <v>0</v>
      </c>
      <c r="AA31" s="76"/>
      <c r="AB31" s="37"/>
      <c r="AC31" s="86">
        <f>tbl_estimated_costs_quantities[[#This Row],[Doors Replacement Repair]]*BOQs!$L$9</f>
        <v>0</v>
      </c>
      <c r="AD31" s="76"/>
      <c r="AE31" s="37"/>
      <c r="AF31" s="86">
        <f>tbl_estimated_costs_quantities[[#This Row],[Windows Replacement Repair]]*BOQs!$L$10</f>
        <v>0</v>
      </c>
      <c r="AG31" s="76"/>
      <c r="AH31" s="37"/>
      <c r="AI31" s="86">
        <f>tbl_estimated_costs_quantities[[#This Row],[Bathroom Rehabilitation]]*BOQs!$L$11</f>
        <v>0</v>
      </c>
      <c r="AJ31" s="76"/>
      <c r="AK31" s="37"/>
      <c r="AL31" s="86">
        <f>tbl_estimated_costs_quantities[[#This Row],[Ceramic Tile Works WASH]]*BOQs!$L$12</f>
        <v>0</v>
      </c>
      <c r="AM31" s="76"/>
      <c r="AN31" s="37"/>
      <c r="AO31" s="86">
        <f>tbl_estimated_costs_quantities[[#This Row],[Electrical Repairs Lighting]]*BOQs!$L$13</f>
        <v>0</v>
      </c>
      <c r="AP31" s="76"/>
      <c r="AQ31" s="37"/>
      <c r="AR31" s="86">
        <f>tbl_estimated_costs_quantities[[#This Row],[Roof Insulation Leak Sealing]]*BOQs!$L$14</f>
        <v>0</v>
      </c>
      <c r="AS31" s="76"/>
      <c r="AT31" s="37"/>
      <c r="AU31" s="86">
        <f>tbl_estimated_costs_quantities[[#This Row],[Chimney Duct Cleaning Repair]]*BOQs!$L$15</f>
        <v>0</v>
      </c>
      <c r="AV31" s="76"/>
      <c r="AW31" s="37"/>
      <c r="AX31" s="89">
        <f>tbl_estimated_costs_quantities[[#This Row],[Accessibility Adaptations]]*BOQs!$L$16</f>
        <v>0</v>
      </c>
      <c r="AY31" s="86" t="str">
        <f>IF(tbl_estimated_costs_quantities[[#This Row],[Total cost]]&lt;&gt;0,tbl_estimated_costs_quantities[[#This Row],[Total cost]]/BOQs!$A$1,"")</f>
        <v/>
      </c>
      <c r="AZ31" s="37"/>
      <c r="BA31" s="37"/>
      <c r="BB31" s="37"/>
      <c r="BC31" s="37"/>
      <c r="BD31" s="41"/>
      <c r="BE31" s="37"/>
      <c r="BF31" s="37"/>
      <c r="BG31" s="37"/>
      <c r="BH31" s="41"/>
    </row>
    <row r="32" spans="2:60" ht="25.15" customHeight="1" x14ac:dyDescent="0.25">
      <c r="B32" s="49">
        <v>28</v>
      </c>
      <c r="C32" s="37"/>
      <c r="D32" s="41"/>
      <c r="E32" s="40"/>
      <c r="F32" s="87" t="str">
        <f>IF(tbl_estimated_costs_quantities[[#This Row],[House Code]]&lt;&gt;"",INDEX(tbl_Assessment[],MATCH(tbl_estimated_costs_quantities[[#This Row],[House Code]],tbl_Assessment[House Code],0),3),"")</f>
        <v/>
      </c>
      <c r="G32" s="115" t="str">
        <f>IF(tbl_estimated_costs_quantities[[#This Row],[House Code]]&lt;&gt;"",INDEX(tbl_Assessment[],MATCH(tbl_estimated_costs_quantities[[#This Row],[House Code]],tbl_Assessment[House Code],0),9),"")</f>
        <v/>
      </c>
      <c r="H3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 s="75"/>
      <c r="J32" s="37"/>
      <c r="K32" s="86">
        <f>tbl_estimated_costs_quantities[[#This Row],[Site Preparation]]*BOQs!$L$3</f>
        <v>0</v>
      </c>
      <c r="L32" s="76"/>
      <c r="M32" s="37"/>
      <c r="N32" s="86">
        <f>tbl_estimated_costs_quantities[[#This Row],[Demolition Removal Unsafe Structures]]*BOQs!$L$4</f>
        <v>0</v>
      </c>
      <c r="O32" s="76"/>
      <c r="P32" s="37"/>
      <c r="Q32" s="86">
        <f>tbl_estimated_costs_quantities[[#This Row],[Concrete Works]]*BOQs!$L$5</f>
        <v>0</v>
      </c>
      <c r="R32" s="76"/>
      <c r="S32" s="37"/>
      <c r="T32" s="86">
        <f>tbl_estimated_costs_quantities[[#This Row],[Closure External Openings Walls Windows]]*BOQs!$L$6</f>
        <v>0</v>
      </c>
      <c r="U32" s="76"/>
      <c r="V32" s="37"/>
      <c r="W32" s="86">
        <f>tbl_estimated_costs_quantities[[#This Row],[Plastering Painting]]*BOQs!$L$7</f>
        <v>0</v>
      </c>
      <c r="X32" s="76"/>
      <c r="Y32" s="37"/>
      <c r="Z32" s="86">
        <f>tbl_estimated_costs_quantities[[#This Row],[Floor Repairs]]*BOQs!$L$8</f>
        <v>0</v>
      </c>
      <c r="AA32" s="76"/>
      <c r="AB32" s="37"/>
      <c r="AC32" s="86">
        <f>tbl_estimated_costs_quantities[[#This Row],[Doors Replacement Repair]]*BOQs!$L$9</f>
        <v>0</v>
      </c>
      <c r="AD32" s="76"/>
      <c r="AE32" s="37"/>
      <c r="AF32" s="86">
        <f>tbl_estimated_costs_quantities[[#This Row],[Windows Replacement Repair]]*BOQs!$L$10</f>
        <v>0</v>
      </c>
      <c r="AG32" s="76"/>
      <c r="AH32" s="37"/>
      <c r="AI32" s="86">
        <f>tbl_estimated_costs_quantities[[#This Row],[Bathroom Rehabilitation]]*BOQs!$L$11</f>
        <v>0</v>
      </c>
      <c r="AJ32" s="76"/>
      <c r="AK32" s="37"/>
      <c r="AL32" s="86">
        <f>tbl_estimated_costs_quantities[[#This Row],[Ceramic Tile Works WASH]]*BOQs!$L$12</f>
        <v>0</v>
      </c>
      <c r="AM32" s="76"/>
      <c r="AN32" s="37"/>
      <c r="AO32" s="86">
        <f>tbl_estimated_costs_quantities[[#This Row],[Electrical Repairs Lighting]]*BOQs!$L$13</f>
        <v>0</v>
      </c>
      <c r="AP32" s="76"/>
      <c r="AQ32" s="37"/>
      <c r="AR32" s="86">
        <f>tbl_estimated_costs_quantities[[#This Row],[Roof Insulation Leak Sealing]]*BOQs!$L$14</f>
        <v>0</v>
      </c>
      <c r="AS32" s="76"/>
      <c r="AT32" s="37"/>
      <c r="AU32" s="86">
        <f>tbl_estimated_costs_quantities[[#This Row],[Chimney Duct Cleaning Repair]]*BOQs!$L$15</f>
        <v>0</v>
      </c>
      <c r="AV32" s="76"/>
      <c r="AW32" s="37"/>
      <c r="AX32" s="89">
        <f>tbl_estimated_costs_quantities[[#This Row],[Accessibility Adaptations]]*BOQs!$L$16</f>
        <v>0</v>
      </c>
      <c r="AY32" s="86" t="str">
        <f>IF(tbl_estimated_costs_quantities[[#This Row],[Total cost]]&lt;&gt;0,tbl_estimated_costs_quantities[[#This Row],[Total cost]]/BOQs!$A$1,"")</f>
        <v/>
      </c>
      <c r="AZ32" s="37"/>
      <c r="BA32" s="37"/>
      <c r="BB32" s="37"/>
      <c r="BC32" s="37"/>
      <c r="BD32" s="41"/>
      <c r="BE32" s="37"/>
      <c r="BF32" s="37"/>
      <c r="BG32" s="37"/>
      <c r="BH32" s="41"/>
    </row>
    <row r="33" spans="2:60" ht="25.15" customHeight="1" x14ac:dyDescent="0.25">
      <c r="B33" s="49">
        <v>29</v>
      </c>
      <c r="C33" s="37"/>
      <c r="D33" s="41"/>
      <c r="E33" s="40"/>
      <c r="F33" s="87" t="str">
        <f>IF(tbl_estimated_costs_quantities[[#This Row],[House Code]]&lt;&gt;"",INDEX(tbl_Assessment[],MATCH(tbl_estimated_costs_quantities[[#This Row],[House Code]],tbl_Assessment[House Code],0),3),"")</f>
        <v/>
      </c>
      <c r="G33" s="115" t="str">
        <f>IF(tbl_estimated_costs_quantities[[#This Row],[House Code]]&lt;&gt;"",INDEX(tbl_Assessment[],MATCH(tbl_estimated_costs_quantities[[#This Row],[House Code]],tbl_Assessment[House Code],0),9),"")</f>
        <v/>
      </c>
      <c r="H3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 s="75"/>
      <c r="J33" s="37"/>
      <c r="K33" s="86">
        <f>tbl_estimated_costs_quantities[[#This Row],[Site Preparation]]*BOQs!$L$3</f>
        <v>0</v>
      </c>
      <c r="L33" s="76"/>
      <c r="M33" s="37"/>
      <c r="N33" s="86">
        <f>tbl_estimated_costs_quantities[[#This Row],[Demolition Removal Unsafe Structures]]*BOQs!$L$4</f>
        <v>0</v>
      </c>
      <c r="O33" s="76"/>
      <c r="P33" s="37"/>
      <c r="Q33" s="86">
        <f>tbl_estimated_costs_quantities[[#This Row],[Concrete Works]]*BOQs!$L$5</f>
        <v>0</v>
      </c>
      <c r="R33" s="76"/>
      <c r="S33" s="37"/>
      <c r="T33" s="86">
        <f>tbl_estimated_costs_quantities[[#This Row],[Closure External Openings Walls Windows]]*BOQs!$L$6</f>
        <v>0</v>
      </c>
      <c r="U33" s="76"/>
      <c r="V33" s="37"/>
      <c r="W33" s="86">
        <f>tbl_estimated_costs_quantities[[#This Row],[Plastering Painting]]*BOQs!$L$7</f>
        <v>0</v>
      </c>
      <c r="X33" s="76"/>
      <c r="Y33" s="37"/>
      <c r="Z33" s="86">
        <f>tbl_estimated_costs_quantities[[#This Row],[Floor Repairs]]*BOQs!$L$8</f>
        <v>0</v>
      </c>
      <c r="AA33" s="76"/>
      <c r="AB33" s="37"/>
      <c r="AC33" s="86">
        <f>tbl_estimated_costs_quantities[[#This Row],[Doors Replacement Repair]]*BOQs!$L$9</f>
        <v>0</v>
      </c>
      <c r="AD33" s="76"/>
      <c r="AE33" s="37"/>
      <c r="AF33" s="86">
        <f>tbl_estimated_costs_quantities[[#This Row],[Windows Replacement Repair]]*BOQs!$L$10</f>
        <v>0</v>
      </c>
      <c r="AG33" s="76"/>
      <c r="AH33" s="37"/>
      <c r="AI33" s="86">
        <f>tbl_estimated_costs_quantities[[#This Row],[Bathroom Rehabilitation]]*BOQs!$L$11</f>
        <v>0</v>
      </c>
      <c r="AJ33" s="76"/>
      <c r="AK33" s="37"/>
      <c r="AL33" s="86">
        <f>tbl_estimated_costs_quantities[[#This Row],[Ceramic Tile Works WASH]]*BOQs!$L$12</f>
        <v>0</v>
      </c>
      <c r="AM33" s="76"/>
      <c r="AN33" s="37"/>
      <c r="AO33" s="86">
        <f>tbl_estimated_costs_quantities[[#This Row],[Electrical Repairs Lighting]]*BOQs!$L$13</f>
        <v>0</v>
      </c>
      <c r="AP33" s="76"/>
      <c r="AQ33" s="37"/>
      <c r="AR33" s="86">
        <f>tbl_estimated_costs_quantities[[#This Row],[Roof Insulation Leak Sealing]]*BOQs!$L$14</f>
        <v>0</v>
      </c>
      <c r="AS33" s="76"/>
      <c r="AT33" s="37"/>
      <c r="AU33" s="86">
        <f>tbl_estimated_costs_quantities[[#This Row],[Chimney Duct Cleaning Repair]]*BOQs!$L$15</f>
        <v>0</v>
      </c>
      <c r="AV33" s="76"/>
      <c r="AW33" s="37"/>
      <c r="AX33" s="89">
        <f>tbl_estimated_costs_quantities[[#This Row],[Accessibility Adaptations]]*BOQs!$L$16</f>
        <v>0</v>
      </c>
      <c r="AY33" s="86" t="str">
        <f>IF(tbl_estimated_costs_quantities[[#This Row],[Total cost]]&lt;&gt;0,tbl_estimated_costs_quantities[[#This Row],[Total cost]]/BOQs!$A$1,"")</f>
        <v/>
      </c>
      <c r="AZ33" s="37"/>
      <c r="BA33" s="37"/>
      <c r="BB33" s="37"/>
      <c r="BC33" s="37"/>
      <c r="BD33" s="41"/>
      <c r="BE33" s="37"/>
      <c r="BF33" s="37"/>
      <c r="BG33" s="37"/>
      <c r="BH33" s="41"/>
    </row>
    <row r="34" spans="2:60" ht="25.15" customHeight="1" x14ac:dyDescent="0.25">
      <c r="B34" s="49">
        <v>30</v>
      </c>
      <c r="C34" s="37"/>
      <c r="D34" s="41"/>
      <c r="E34" s="40"/>
      <c r="F34" s="87" t="str">
        <f>IF(tbl_estimated_costs_quantities[[#This Row],[House Code]]&lt;&gt;"",INDEX(tbl_Assessment[],MATCH(tbl_estimated_costs_quantities[[#This Row],[House Code]],tbl_Assessment[House Code],0),3),"")</f>
        <v/>
      </c>
      <c r="G34" s="115" t="str">
        <f>IF(tbl_estimated_costs_quantities[[#This Row],[House Code]]&lt;&gt;"",INDEX(tbl_Assessment[],MATCH(tbl_estimated_costs_quantities[[#This Row],[House Code]],tbl_Assessment[House Code],0),9),"")</f>
        <v/>
      </c>
      <c r="H3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 s="75"/>
      <c r="J34" s="37"/>
      <c r="K34" s="86">
        <f>tbl_estimated_costs_quantities[[#This Row],[Site Preparation]]*BOQs!$L$3</f>
        <v>0</v>
      </c>
      <c r="L34" s="76"/>
      <c r="M34" s="37"/>
      <c r="N34" s="86">
        <f>tbl_estimated_costs_quantities[[#This Row],[Demolition Removal Unsafe Structures]]*BOQs!$L$4</f>
        <v>0</v>
      </c>
      <c r="O34" s="76"/>
      <c r="P34" s="37"/>
      <c r="Q34" s="86">
        <f>tbl_estimated_costs_quantities[[#This Row],[Concrete Works]]*BOQs!$L$5</f>
        <v>0</v>
      </c>
      <c r="R34" s="76"/>
      <c r="S34" s="37"/>
      <c r="T34" s="86">
        <f>tbl_estimated_costs_quantities[[#This Row],[Closure External Openings Walls Windows]]*BOQs!$L$6</f>
        <v>0</v>
      </c>
      <c r="U34" s="76"/>
      <c r="V34" s="37"/>
      <c r="W34" s="86">
        <f>tbl_estimated_costs_quantities[[#This Row],[Plastering Painting]]*BOQs!$L$7</f>
        <v>0</v>
      </c>
      <c r="X34" s="76"/>
      <c r="Y34" s="37"/>
      <c r="Z34" s="86">
        <f>tbl_estimated_costs_quantities[[#This Row],[Floor Repairs]]*BOQs!$L$8</f>
        <v>0</v>
      </c>
      <c r="AA34" s="76"/>
      <c r="AB34" s="37"/>
      <c r="AC34" s="86">
        <f>tbl_estimated_costs_quantities[[#This Row],[Doors Replacement Repair]]*BOQs!$L$9</f>
        <v>0</v>
      </c>
      <c r="AD34" s="76"/>
      <c r="AE34" s="37"/>
      <c r="AF34" s="86">
        <f>tbl_estimated_costs_quantities[[#This Row],[Windows Replacement Repair]]*BOQs!$L$10</f>
        <v>0</v>
      </c>
      <c r="AG34" s="76"/>
      <c r="AH34" s="37"/>
      <c r="AI34" s="86">
        <f>tbl_estimated_costs_quantities[[#This Row],[Bathroom Rehabilitation]]*BOQs!$L$11</f>
        <v>0</v>
      </c>
      <c r="AJ34" s="76"/>
      <c r="AK34" s="37"/>
      <c r="AL34" s="86">
        <f>tbl_estimated_costs_quantities[[#This Row],[Ceramic Tile Works WASH]]*BOQs!$L$12</f>
        <v>0</v>
      </c>
      <c r="AM34" s="76"/>
      <c r="AN34" s="37"/>
      <c r="AO34" s="86">
        <f>tbl_estimated_costs_quantities[[#This Row],[Electrical Repairs Lighting]]*BOQs!$L$13</f>
        <v>0</v>
      </c>
      <c r="AP34" s="76"/>
      <c r="AQ34" s="37"/>
      <c r="AR34" s="86">
        <f>tbl_estimated_costs_quantities[[#This Row],[Roof Insulation Leak Sealing]]*BOQs!$L$14</f>
        <v>0</v>
      </c>
      <c r="AS34" s="76"/>
      <c r="AT34" s="37"/>
      <c r="AU34" s="86">
        <f>tbl_estimated_costs_quantities[[#This Row],[Chimney Duct Cleaning Repair]]*BOQs!$L$15</f>
        <v>0</v>
      </c>
      <c r="AV34" s="76"/>
      <c r="AW34" s="37"/>
      <c r="AX34" s="89">
        <f>tbl_estimated_costs_quantities[[#This Row],[Accessibility Adaptations]]*BOQs!$L$16</f>
        <v>0</v>
      </c>
      <c r="AY34" s="86" t="str">
        <f>IF(tbl_estimated_costs_quantities[[#This Row],[Total cost]]&lt;&gt;0,tbl_estimated_costs_quantities[[#This Row],[Total cost]]/BOQs!$A$1,"")</f>
        <v/>
      </c>
      <c r="AZ34" s="37"/>
      <c r="BA34" s="37"/>
      <c r="BB34" s="37"/>
      <c r="BC34" s="37"/>
      <c r="BD34" s="41"/>
      <c r="BE34" s="37"/>
      <c r="BF34" s="37"/>
      <c r="BG34" s="37"/>
      <c r="BH34" s="41"/>
    </row>
    <row r="35" spans="2:60" ht="25.15" customHeight="1" x14ac:dyDescent="0.25">
      <c r="B35" s="49">
        <v>31</v>
      </c>
      <c r="C35" s="37"/>
      <c r="D35" s="41"/>
      <c r="E35" s="40"/>
      <c r="F35" s="87" t="str">
        <f>IF(tbl_estimated_costs_quantities[[#This Row],[House Code]]&lt;&gt;"",INDEX(tbl_Assessment[],MATCH(tbl_estimated_costs_quantities[[#This Row],[House Code]],tbl_Assessment[House Code],0),3),"")</f>
        <v/>
      </c>
      <c r="G35" s="115" t="str">
        <f>IF(tbl_estimated_costs_quantities[[#This Row],[House Code]]&lt;&gt;"",INDEX(tbl_Assessment[],MATCH(tbl_estimated_costs_quantities[[#This Row],[House Code]],tbl_Assessment[House Code],0),9),"")</f>
        <v/>
      </c>
      <c r="H3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 s="75"/>
      <c r="J35" s="37"/>
      <c r="K35" s="86">
        <f>tbl_estimated_costs_quantities[[#This Row],[Site Preparation]]*BOQs!$L$3</f>
        <v>0</v>
      </c>
      <c r="L35" s="76"/>
      <c r="M35" s="37"/>
      <c r="N35" s="86">
        <f>tbl_estimated_costs_quantities[[#This Row],[Demolition Removal Unsafe Structures]]*BOQs!$L$4</f>
        <v>0</v>
      </c>
      <c r="O35" s="76"/>
      <c r="P35" s="37"/>
      <c r="Q35" s="86">
        <f>tbl_estimated_costs_quantities[[#This Row],[Concrete Works]]*BOQs!$L$5</f>
        <v>0</v>
      </c>
      <c r="R35" s="76"/>
      <c r="S35" s="37"/>
      <c r="T35" s="86">
        <f>tbl_estimated_costs_quantities[[#This Row],[Closure External Openings Walls Windows]]*BOQs!$L$6</f>
        <v>0</v>
      </c>
      <c r="U35" s="76"/>
      <c r="V35" s="37"/>
      <c r="W35" s="86">
        <f>tbl_estimated_costs_quantities[[#This Row],[Plastering Painting]]*BOQs!$L$7</f>
        <v>0</v>
      </c>
      <c r="X35" s="76"/>
      <c r="Y35" s="37"/>
      <c r="Z35" s="86">
        <f>tbl_estimated_costs_quantities[[#This Row],[Floor Repairs]]*BOQs!$L$8</f>
        <v>0</v>
      </c>
      <c r="AA35" s="76"/>
      <c r="AB35" s="37"/>
      <c r="AC35" s="86">
        <f>tbl_estimated_costs_quantities[[#This Row],[Doors Replacement Repair]]*BOQs!$L$9</f>
        <v>0</v>
      </c>
      <c r="AD35" s="76"/>
      <c r="AE35" s="37"/>
      <c r="AF35" s="86">
        <f>tbl_estimated_costs_quantities[[#This Row],[Windows Replacement Repair]]*BOQs!$L$10</f>
        <v>0</v>
      </c>
      <c r="AG35" s="76"/>
      <c r="AH35" s="37"/>
      <c r="AI35" s="86">
        <f>tbl_estimated_costs_quantities[[#This Row],[Bathroom Rehabilitation]]*BOQs!$L$11</f>
        <v>0</v>
      </c>
      <c r="AJ35" s="76"/>
      <c r="AK35" s="37"/>
      <c r="AL35" s="86">
        <f>tbl_estimated_costs_quantities[[#This Row],[Ceramic Tile Works WASH]]*BOQs!$L$12</f>
        <v>0</v>
      </c>
      <c r="AM35" s="76"/>
      <c r="AN35" s="37"/>
      <c r="AO35" s="86">
        <f>tbl_estimated_costs_quantities[[#This Row],[Electrical Repairs Lighting]]*BOQs!$L$13</f>
        <v>0</v>
      </c>
      <c r="AP35" s="76"/>
      <c r="AQ35" s="37"/>
      <c r="AR35" s="86">
        <f>tbl_estimated_costs_quantities[[#This Row],[Roof Insulation Leak Sealing]]*BOQs!$L$14</f>
        <v>0</v>
      </c>
      <c r="AS35" s="76"/>
      <c r="AT35" s="37"/>
      <c r="AU35" s="86">
        <f>tbl_estimated_costs_quantities[[#This Row],[Chimney Duct Cleaning Repair]]*BOQs!$L$15</f>
        <v>0</v>
      </c>
      <c r="AV35" s="76"/>
      <c r="AW35" s="37"/>
      <c r="AX35" s="89">
        <f>tbl_estimated_costs_quantities[[#This Row],[Accessibility Adaptations]]*BOQs!$L$16</f>
        <v>0</v>
      </c>
      <c r="AY35" s="86" t="str">
        <f>IF(tbl_estimated_costs_quantities[[#This Row],[Total cost]]&lt;&gt;0,tbl_estimated_costs_quantities[[#This Row],[Total cost]]/BOQs!$A$1,"")</f>
        <v/>
      </c>
      <c r="AZ35" s="37"/>
      <c r="BA35" s="37"/>
      <c r="BB35" s="37"/>
      <c r="BC35" s="37"/>
      <c r="BD35" s="41"/>
      <c r="BE35" s="37"/>
      <c r="BF35" s="37"/>
      <c r="BG35" s="37"/>
      <c r="BH35" s="41"/>
    </row>
    <row r="36" spans="2:60" ht="25.15" customHeight="1" x14ac:dyDescent="0.25">
      <c r="B36" s="49">
        <v>32</v>
      </c>
      <c r="C36" s="37"/>
      <c r="D36" s="41"/>
      <c r="E36" s="40"/>
      <c r="F36" s="87" t="str">
        <f>IF(tbl_estimated_costs_quantities[[#This Row],[House Code]]&lt;&gt;"",INDEX(tbl_Assessment[],MATCH(tbl_estimated_costs_quantities[[#This Row],[House Code]],tbl_Assessment[House Code],0),3),"")</f>
        <v/>
      </c>
      <c r="G36" s="115" t="str">
        <f>IF(tbl_estimated_costs_quantities[[#This Row],[House Code]]&lt;&gt;"",INDEX(tbl_Assessment[],MATCH(tbl_estimated_costs_quantities[[#This Row],[House Code]],tbl_Assessment[House Code],0),9),"")</f>
        <v/>
      </c>
      <c r="H3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 s="75"/>
      <c r="J36" s="37"/>
      <c r="K36" s="86">
        <f>tbl_estimated_costs_quantities[[#This Row],[Site Preparation]]*BOQs!$L$3</f>
        <v>0</v>
      </c>
      <c r="L36" s="76"/>
      <c r="M36" s="37"/>
      <c r="N36" s="86">
        <f>tbl_estimated_costs_quantities[[#This Row],[Demolition Removal Unsafe Structures]]*BOQs!$L$4</f>
        <v>0</v>
      </c>
      <c r="O36" s="76"/>
      <c r="P36" s="37"/>
      <c r="Q36" s="86">
        <f>tbl_estimated_costs_quantities[[#This Row],[Concrete Works]]*BOQs!$L$5</f>
        <v>0</v>
      </c>
      <c r="R36" s="76"/>
      <c r="S36" s="37"/>
      <c r="T36" s="86">
        <f>tbl_estimated_costs_quantities[[#This Row],[Closure External Openings Walls Windows]]*BOQs!$L$6</f>
        <v>0</v>
      </c>
      <c r="U36" s="76"/>
      <c r="V36" s="37"/>
      <c r="W36" s="86">
        <f>tbl_estimated_costs_quantities[[#This Row],[Plastering Painting]]*BOQs!$L$7</f>
        <v>0</v>
      </c>
      <c r="X36" s="76"/>
      <c r="Y36" s="37"/>
      <c r="Z36" s="86">
        <f>tbl_estimated_costs_quantities[[#This Row],[Floor Repairs]]*BOQs!$L$8</f>
        <v>0</v>
      </c>
      <c r="AA36" s="76"/>
      <c r="AB36" s="37"/>
      <c r="AC36" s="86">
        <f>tbl_estimated_costs_quantities[[#This Row],[Doors Replacement Repair]]*BOQs!$L$9</f>
        <v>0</v>
      </c>
      <c r="AD36" s="76"/>
      <c r="AE36" s="37"/>
      <c r="AF36" s="86">
        <f>tbl_estimated_costs_quantities[[#This Row],[Windows Replacement Repair]]*BOQs!$L$10</f>
        <v>0</v>
      </c>
      <c r="AG36" s="76"/>
      <c r="AH36" s="37"/>
      <c r="AI36" s="86">
        <f>tbl_estimated_costs_quantities[[#This Row],[Bathroom Rehabilitation]]*BOQs!$L$11</f>
        <v>0</v>
      </c>
      <c r="AJ36" s="76"/>
      <c r="AK36" s="37"/>
      <c r="AL36" s="86">
        <f>tbl_estimated_costs_quantities[[#This Row],[Ceramic Tile Works WASH]]*BOQs!$L$12</f>
        <v>0</v>
      </c>
      <c r="AM36" s="76"/>
      <c r="AN36" s="37"/>
      <c r="AO36" s="86">
        <f>tbl_estimated_costs_quantities[[#This Row],[Electrical Repairs Lighting]]*BOQs!$L$13</f>
        <v>0</v>
      </c>
      <c r="AP36" s="76"/>
      <c r="AQ36" s="37"/>
      <c r="AR36" s="86">
        <f>tbl_estimated_costs_quantities[[#This Row],[Roof Insulation Leak Sealing]]*BOQs!$L$14</f>
        <v>0</v>
      </c>
      <c r="AS36" s="76"/>
      <c r="AT36" s="37"/>
      <c r="AU36" s="86">
        <f>tbl_estimated_costs_quantities[[#This Row],[Chimney Duct Cleaning Repair]]*BOQs!$L$15</f>
        <v>0</v>
      </c>
      <c r="AV36" s="76"/>
      <c r="AW36" s="37"/>
      <c r="AX36" s="89">
        <f>tbl_estimated_costs_quantities[[#This Row],[Accessibility Adaptations]]*BOQs!$L$16</f>
        <v>0</v>
      </c>
      <c r="AY36" s="86" t="str">
        <f>IF(tbl_estimated_costs_quantities[[#This Row],[Total cost]]&lt;&gt;0,tbl_estimated_costs_quantities[[#This Row],[Total cost]]/BOQs!$A$1,"")</f>
        <v/>
      </c>
      <c r="AZ36" s="37"/>
      <c r="BA36" s="37"/>
      <c r="BB36" s="37"/>
      <c r="BC36" s="37"/>
      <c r="BD36" s="41"/>
      <c r="BE36" s="37"/>
      <c r="BF36" s="37"/>
      <c r="BG36" s="37"/>
      <c r="BH36" s="41"/>
    </row>
    <row r="37" spans="2:60" ht="25.15" customHeight="1" x14ac:dyDescent="0.25">
      <c r="B37" s="49">
        <v>33</v>
      </c>
      <c r="C37" s="37"/>
      <c r="D37" s="41"/>
      <c r="E37" s="40"/>
      <c r="F37" s="87" t="str">
        <f>IF(tbl_estimated_costs_quantities[[#This Row],[House Code]]&lt;&gt;"",INDEX(tbl_Assessment[],MATCH(tbl_estimated_costs_quantities[[#This Row],[House Code]],tbl_Assessment[House Code],0),3),"")</f>
        <v/>
      </c>
      <c r="G37" s="115" t="str">
        <f>IF(tbl_estimated_costs_quantities[[#This Row],[House Code]]&lt;&gt;"",INDEX(tbl_Assessment[],MATCH(tbl_estimated_costs_quantities[[#This Row],[House Code]],tbl_Assessment[House Code],0),9),"")</f>
        <v/>
      </c>
      <c r="H3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 s="75"/>
      <c r="J37" s="37"/>
      <c r="K37" s="86">
        <f>tbl_estimated_costs_quantities[[#This Row],[Site Preparation]]*BOQs!$L$3</f>
        <v>0</v>
      </c>
      <c r="L37" s="76"/>
      <c r="M37" s="37"/>
      <c r="N37" s="86">
        <f>tbl_estimated_costs_quantities[[#This Row],[Demolition Removal Unsafe Structures]]*BOQs!$L$4</f>
        <v>0</v>
      </c>
      <c r="O37" s="76"/>
      <c r="P37" s="37"/>
      <c r="Q37" s="86">
        <f>tbl_estimated_costs_quantities[[#This Row],[Concrete Works]]*BOQs!$L$5</f>
        <v>0</v>
      </c>
      <c r="R37" s="76"/>
      <c r="S37" s="37"/>
      <c r="T37" s="86">
        <f>tbl_estimated_costs_quantities[[#This Row],[Closure External Openings Walls Windows]]*BOQs!$L$6</f>
        <v>0</v>
      </c>
      <c r="U37" s="76"/>
      <c r="V37" s="37"/>
      <c r="W37" s="86">
        <f>tbl_estimated_costs_quantities[[#This Row],[Plastering Painting]]*BOQs!$L$7</f>
        <v>0</v>
      </c>
      <c r="X37" s="76"/>
      <c r="Y37" s="37"/>
      <c r="Z37" s="86">
        <f>tbl_estimated_costs_quantities[[#This Row],[Floor Repairs]]*BOQs!$L$8</f>
        <v>0</v>
      </c>
      <c r="AA37" s="76"/>
      <c r="AB37" s="37"/>
      <c r="AC37" s="86">
        <f>tbl_estimated_costs_quantities[[#This Row],[Doors Replacement Repair]]*BOQs!$L$9</f>
        <v>0</v>
      </c>
      <c r="AD37" s="76"/>
      <c r="AE37" s="37"/>
      <c r="AF37" s="86">
        <f>tbl_estimated_costs_quantities[[#This Row],[Windows Replacement Repair]]*BOQs!$L$10</f>
        <v>0</v>
      </c>
      <c r="AG37" s="76"/>
      <c r="AH37" s="37"/>
      <c r="AI37" s="86">
        <f>tbl_estimated_costs_quantities[[#This Row],[Bathroom Rehabilitation]]*BOQs!$L$11</f>
        <v>0</v>
      </c>
      <c r="AJ37" s="76"/>
      <c r="AK37" s="37"/>
      <c r="AL37" s="86">
        <f>tbl_estimated_costs_quantities[[#This Row],[Ceramic Tile Works WASH]]*BOQs!$L$12</f>
        <v>0</v>
      </c>
      <c r="AM37" s="76"/>
      <c r="AN37" s="37"/>
      <c r="AO37" s="86">
        <f>tbl_estimated_costs_quantities[[#This Row],[Electrical Repairs Lighting]]*BOQs!$L$13</f>
        <v>0</v>
      </c>
      <c r="AP37" s="76"/>
      <c r="AQ37" s="37"/>
      <c r="AR37" s="86">
        <f>tbl_estimated_costs_quantities[[#This Row],[Roof Insulation Leak Sealing]]*BOQs!$L$14</f>
        <v>0</v>
      </c>
      <c r="AS37" s="76"/>
      <c r="AT37" s="37"/>
      <c r="AU37" s="86">
        <f>tbl_estimated_costs_quantities[[#This Row],[Chimney Duct Cleaning Repair]]*BOQs!$L$15</f>
        <v>0</v>
      </c>
      <c r="AV37" s="76"/>
      <c r="AW37" s="37"/>
      <c r="AX37" s="89">
        <f>tbl_estimated_costs_quantities[[#This Row],[Accessibility Adaptations]]*BOQs!$L$16</f>
        <v>0</v>
      </c>
      <c r="AY37" s="86" t="str">
        <f>IF(tbl_estimated_costs_quantities[[#This Row],[Total cost]]&lt;&gt;0,tbl_estimated_costs_quantities[[#This Row],[Total cost]]/BOQs!$A$1,"")</f>
        <v/>
      </c>
      <c r="AZ37" s="37"/>
      <c r="BA37" s="37"/>
      <c r="BB37" s="37"/>
      <c r="BC37" s="37"/>
      <c r="BD37" s="41"/>
      <c r="BE37" s="37"/>
      <c r="BF37" s="37"/>
      <c r="BG37" s="37"/>
      <c r="BH37" s="41"/>
    </row>
    <row r="38" spans="2:60" ht="25.15" customHeight="1" x14ac:dyDescent="0.25">
      <c r="B38" s="49">
        <v>34</v>
      </c>
      <c r="C38" s="37"/>
      <c r="D38" s="41"/>
      <c r="E38" s="40"/>
      <c r="F38" s="87" t="str">
        <f>IF(tbl_estimated_costs_quantities[[#This Row],[House Code]]&lt;&gt;"",INDEX(tbl_Assessment[],MATCH(tbl_estimated_costs_quantities[[#This Row],[House Code]],tbl_Assessment[House Code],0),3),"")</f>
        <v/>
      </c>
      <c r="G38" s="115" t="str">
        <f>IF(tbl_estimated_costs_quantities[[#This Row],[House Code]]&lt;&gt;"",INDEX(tbl_Assessment[],MATCH(tbl_estimated_costs_quantities[[#This Row],[House Code]],tbl_Assessment[House Code],0),9),"")</f>
        <v/>
      </c>
      <c r="H3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 s="75"/>
      <c r="J38" s="37"/>
      <c r="K38" s="86">
        <f>tbl_estimated_costs_quantities[[#This Row],[Site Preparation]]*BOQs!$L$3</f>
        <v>0</v>
      </c>
      <c r="L38" s="76"/>
      <c r="M38" s="37"/>
      <c r="N38" s="86">
        <f>tbl_estimated_costs_quantities[[#This Row],[Demolition Removal Unsafe Structures]]*BOQs!$L$4</f>
        <v>0</v>
      </c>
      <c r="O38" s="76"/>
      <c r="P38" s="37"/>
      <c r="Q38" s="86">
        <f>tbl_estimated_costs_quantities[[#This Row],[Concrete Works]]*BOQs!$L$5</f>
        <v>0</v>
      </c>
      <c r="R38" s="76"/>
      <c r="S38" s="37"/>
      <c r="T38" s="86">
        <f>tbl_estimated_costs_quantities[[#This Row],[Closure External Openings Walls Windows]]*BOQs!$L$6</f>
        <v>0</v>
      </c>
      <c r="U38" s="76"/>
      <c r="V38" s="37"/>
      <c r="W38" s="86">
        <f>tbl_estimated_costs_quantities[[#This Row],[Plastering Painting]]*BOQs!$L$7</f>
        <v>0</v>
      </c>
      <c r="X38" s="76"/>
      <c r="Y38" s="37"/>
      <c r="Z38" s="86">
        <f>tbl_estimated_costs_quantities[[#This Row],[Floor Repairs]]*BOQs!$L$8</f>
        <v>0</v>
      </c>
      <c r="AA38" s="76"/>
      <c r="AB38" s="37"/>
      <c r="AC38" s="86">
        <f>tbl_estimated_costs_quantities[[#This Row],[Doors Replacement Repair]]*BOQs!$L$9</f>
        <v>0</v>
      </c>
      <c r="AD38" s="76"/>
      <c r="AE38" s="37"/>
      <c r="AF38" s="86">
        <f>tbl_estimated_costs_quantities[[#This Row],[Windows Replacement Repair]]*BOQs!$L$10</f>
        <v>0</v>
      </c>
      <c r="AG38" s="76"/>
      <c r="AH38" s="37"/>
      <c r="AI38" s="86">
        <f>tbl_estimated_costs_quantities[[#This Row],[Bathroom Rehabilitation]]*BOQs!$L$11</f>
        <v>0</v>
      </c>
      <c r="AJ38" s="76"/>
      <c r="AK38" s="37"/>
      <c r="AL38" s="86">
        <f>tbl_estimated_costs_quantities[[#This Row],[Ceramic Tile Works WASH]]*BOQs!$L$12</f>
        <v>0</v>
      </c>
      <c r="AM38" s="76"/>
      <c r="AN38" s="37"/>
      <c r="AO38" s="86">
        <f>tbl_estimated_costs_quantities[[#This Row],[Electrical Repairs Lighting]]*BOQs!$L$13</f>
        <v>0</v>
      </c>
      <c r="AP38" s="76"/>
      <c r="AQ38" s="37"/>
      <c r="AR38" s="86">
        <f>tbl_estimated_costs_quantities[[#This Row],[Roof Insulation Leak Sealing]]*BOQs!$L$14</f>
        <v>0</v>
      </c>
      <c r="AS38" s="76"/>
      <c r="AT38" s="37"/>
      <c r="AU38" s="86">
        <f>tbl_estimated_costs_quantities[[#This Row],[Chimney Duct Cleaning Repair]]*BOQs!$L$15</f>
        <v>0</v>
      </c>
      <c r="AV38" s="76"/>
      <c r="AW38" s="37"/>
      <c r="AX38" s="89">
        <f>tbl_estimated_costs_quantities[[#This Row],[Accessibility Adaptations]]*BOQs!$L$16</f>
        <v>0</v>
      </c>
      <c r="AY38" s="86" t="str">
        <f>IF(tbl_estimated_costs_quantities[[#This Row],[Total cost]]&lt;&gt;0,tbl_estimated_costs_quantities[[#This Row],[Total cost]]/BOQs!$A$1,"")</f>
        <v/>
      </c>
      <c r="AZ38" s="37"/>
      <c r="BA38" s="37"/>
      <c r="BB38" s="37"/>
      <c r="BC38" s="37"/>
      <c r="BD38" s="41"/>
      <c r="BE38" s="37"/>
      <c r="BF38" s="37"/>
      <c r="BG38" s="37"/>
      <c r="BH38" s="41"/>
    </row>
    <row r="39" spans="2:60" ht="25.15" customHeight="1" x14ac:dyDescent="0.25">
      <c r="B39" s="49">
        <v>35</v>
      </c>
      <c r="C39" s="37"/>
      <c r="D39" s="41"/>
      <c r="E39" s="40"/>
      <c r="F39" s="87" t="str">
        <f>IF(tbl_estimated_costs_quantities[[#This Row],[House Code]]&lt;&gt;"",INDEX(tbl_Assessment[],MATCH(tbl_estimated_costs_quantities[[#This Row],[House Code]],tbl_Assessment[House Code],0),3),"")</f>
        <v/>
      </c>
      <c r="G39" s="115" t="str">
        <f>IF(tbl_estimated_costs_quantities[[#This Row],[House Code]]&lt;&gt;"",INDEX(tbl_Assessment[],MATCH(tbl_estimated_costs_quantities[[#This Row],[House Code]],tbl_Assessment[House Code],0),9),"")</f>
        <v/>
      </c>
      <c r="H3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 s="75"/>
      <c r="J39" s="37"/>
      <c r="K39" s="86">
        <f>tbl_estimated_costs_quantities[[#This Row],[Site Preparation]]*BOQs!$L$3</f>
        <v>0</v>
      </c>
      <c r="L39" s="76"/>
      <c r="M39" s="37"/>
      <c r="N39" s="86">
        <f>tbl_estimated_costs_quantities[[#This Row],[Demolition Removal Unsafe Structures]]*BOQs!$L$4</f>
        <v>0</v>
      </c>
      <c r="O39" s="76"/>
      <c r="P39" s="37"/>
      <c r="Q39" s="86">
        <f>tbl_estimated_costs_quantities[[#This Row],[Concrete Works]]*BOQs!$L$5</f>
        <v>0</v>
      </c>
      <c r="R39" s="76"/>
      <c r="S39" s="37"/>
      <c r="T39" s="86">
        <f>tbl_estimated_costs_quantities[[#This Row],[Closure External Openings Walls Windows]]*BOQs!$L$6</f>
        <v>0</v>
      </c>
      <c r="U39" s="76"/>
      <c r="V39" s="37"/>
      <c r="W39" s="86">
        <f>tbl_estimated_costs_quantities[[#This Row],[Plastering Painting]]*BOQs!$L$7</f>
        <v>0</v>
      </c>
      <c r="X39" s="76"/>
      <c r="Y39" s="37"/>
      <c r="Z39" s="86">
        <f>tbl_estimated_costs_quantities[[#This Row],[Floor Repairs]]*BOQs!$L$8</f>
        <v>0</v>
      </c>
      <c r="AA39" s="76"/>
      <c r="AB39" s="37"/>
      <c r="AC39" s="86">
        <f>tbl_estimated_costs_quantities[[#This Row],[Doors Replacement Repair]]*BOQs!$L$9</f>
        <v>0</v>
      </c>
      <c r="AD39" s="76"/>
      <c r="AE39" s="37"/>
      <c r="AF39" s="86">
        <f>tbl_estimated_costs_quantities[[#This Row],[Windows Replacement Repair]]*BOQs!$L$10</f>
        <v>0</v>
      </c>
      <c r="AG39" s="76"/>
      <c r="AH39" s="37"/>
      <c r="AI39" s="86">
        <f>tbl_estimated_costs_quantities[[#This Row],[Bathroom Rehabilitation]]*BOQs!$L$11</f>
        <v>0</v>
      </c>
      <c r="AJ39" s="76"/>
      <c r="AK39" s="37"/>
      <c r="AL39" s="86">
        <f>tbl_estimated_costs_quantities[[#This Row],[Ceramic Tile Works WASH]]*BOQs!$L$12</f>
        <v>0</v>
      </c>
      <c r="AM39" s="76"/>
      <c r="AN39" s="37"/>
      <c r="AO39" s="86">
        <f>tbl_estimated_costs_quantities[[#This Row],[Electrical Repairs Lighting]]*BOQs!$L$13</f>
        <v>0</v>
      </c>
      <c r="AP39" s="76"/>
      <c r="AQ39" s="37"/>
      <c r="AR39" s="86">
        <f>tbl_estimated_costs_quantities[[#This Row],[Roof Insulation Leak Sealing]]*BOQs!$L$14</f>
        <v>0</v>
      </c>
      <c r="AS39" s="76"/>
      <c r="AT39" s="37"/>
      <c r="AU39" s="86">
        <f>tbl_estimated_costs_quantities[[#This Row],[Chimney Duct Cleaning Repair]]*BOQs!$L$15</f>
        <v>0</v>
      </c>
      <c r="AV39" s="76"/>
      <c r="AW39" s="37"/>
      <c r="AX39" s="89">
        <f>tbl_estimated_costs_quantities[[#This Row],[Accessibility Adaptations]]*BOQs!$L$16</f>
        <v>0</v>
      </c>
      <c r="AY39" s="86" t="str">
        <f>IF(tbl_estimated_costs_quantities[[#This Row],[Total cost]]&lt;&gt;0,tbl_estimated_costs_quantities[[#This Row],[Total cost]]/BOQs!$A$1,"")</f>
        <v/>
      </c>
      <c r="AZ39" s="37"/>
      <c r="BA39" s="37"/>
      <c r="BB39" s="37"/>
      <c r="BC39" s="37"/>
      <c r="BD39" s="41"/>
      <c r="BE39" s="37"/>
      <c r="BF39" s="37"/>
      <c r="BG39" s="37"/>
      <c r="BH39" s="41"/>
    </row>
    <row r="40" spans="2:60" ht="25.15" customHeight="1" x14ac:dyDescent="0.25">
      <c r="B40" s="49">
        <v>36</v>
      </c>
      <c r="C40" s="37"/>
      <c r="D40" s="41"/>
      <c r="E40" s="40"/>
      <c r="F40" s="87" t="str">
        <f>IF(tbl_estimated_costs_quantities[[#This Row],[House Code]]&lt;&gt;"",INDEX(tbl_Assessment[],MATCH(tbl_estimated_costs_quantities[[#This Row],[House Code]],tbl_Assessment[House Code],0),3),"")</f>
        <v/>
      </c>
      <c r="G40" s="115" t="str">
        <f>IF(tbl_estimated_costs_quantities[[#This Row],[House Code]]&lt;&gt;"",INDEX(tbl_Assessment[],MATCH(tbl_estimated_costs_quantities[[#This Row],[House Code]],tbl_Assessment[House Code],0),9),"")</f>
        <v/>
      </c>
      <c r="H4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 s="75"/>
      <c r="J40" s="37"/>
      <c r="K40" s="86">
        <f>tbl_estimated_costs_quantities[[#This Row],[Site Preparation]]*BOQs!$L$3</f>
        <v>0</v>
      </c>
      <c r="L40" s="76"/>
      <c r="M40" s="37"/>
      <c r="N40" s="86">
        <f>tbl_estimated_costs_quantities[[#This Row],[Demolition Removal Unsafe Structures]]*BOQs!$L$4</f>
        <v>0</v>
      </c>
      <c r="O40" s="76"/>
      <c r="P40" s="37"/>
      <c r="Q40" s="86">
        <f>tbl_estimated_costs_quantities[[#This Row],[Concrete Works]]*BOQs!$L$5</f>
        <v>0</v>
      </c>
      <c r="R40" s="76"/>
      <c r="S40" s="37"/>
      <c r="T40" s="86">
        <f>tbl_estimated_costs_quantities[[#This Row],[Closure External Openings Walls Windows]]*BOQs!$L$6</f>
        <v>0</v>
      </c>
      <c r="U40" s="76"/>
      <c r="V40" s="37"/>
      <c r="W40" s="86">
        <f>tbl_estimated_costs_quantities[[#This Row],[Plastering Painting]]*BOQs!$L$7</f>
        <v>0</v>
      </c>
      <c r="X40" s="76"/>
      <c r="Y40" s="37"/>
      <c r="Z40" s="86">
        <f>tbl_estimated_costs_quantities[[#This Row],[Floor Repairs]]*BOQs!$L$8</f>
        <v>0</v>
      </c>
      <c r="AA40" s="76"/>
      <c r="AB40" s="37"/>
      <c r="AC40" s="86">
        <f>tbl_estimated_costs_quantities[[#This Row],[Doors Replacement Repair]]*BOQs!$L$9</f>
        <v>0</v>
      </c>
      <c r="AD40" s="76"/>
      <c r="AE40" s="37"/>
      <c r="AF40" s="86">
        <f>tbl_estimated_costs_quantities[[#This Row],[Windows Replacement Repair]]*BOQs!$L$10</f>
        <v>0</v>
      </c>
      <c r="AG40" s="76"/>
      <c r="AH40" s="37"/>
      <c r="AI40" s="86">
        <f>tbl_estimated_costs_quantities[[#This Row],[Bathroom Rehabilitation]]*BOQs!$L$11</f>
        <v>0</v>
      </c>
      <c r="AJ40" s="76"/>
      <c r="AK40" s="37"/>
      <c r="AL40" s="86">
        <f>tbl_estimated_costs_quantities[[#This Row],[Ceramic Tile Works WASH]]*BOQs!$L$12</f>
        <v>0</v>
      </c>
      <c r="AM40" s="76"/>
      <c r="AN40" s="37"/>
      <c r="AO40" s="86">
        <f>tbl_estimated_costs_quantities[[#This Row],[Electrical Repairs Lighting]]*BOQs!$L$13</f>
        <v>0</v>
      </c>
      <c r="AP40" s="76"/>
      <c r="AQ40" s="37"/>
      <c r="AR40" s="86">
        <f>tbl_estimated_costs_quantities[[#This Row],[Roof Insulation Leak Sealing]]*BOQs!$L$14</f>
        <v>0</v>
      </c>
      <c r="AS40" s="76"/>
      <c r="AT40" s="37"/>
      <c r="AU40" s="86">
        <f>tbl_estimated_costs_quantities[[#This Row],[Chimney Duct Cleaning Repair]]*BOQs!$L$15</f>
        <v>0</v>
      </c>
      <c r="AV40" s="76"/>
      <c r="AW40" s="37"/>
      <c r="AX40" s="89">
        <f>tbl_estimated_costs_quantities[[#This Row],[Accessibility Adaptations]]*BOQs!$L$16</f>
        <v>0</v>
      </c>
      <c r="AY40" s="86" t="str">
        <f>IF(tbl_estimated_costs_quantities[[#This Row],[Total cost]]&lt;&gt;0,tbl_estimated_costs_quantities[[#This Row],[Total cost]]/BOQs!$A$1,"")</f>
        <v/>
      </c>
      <c r="AZ40" s="37"/>
      <c r="BA40" s="37"/>
      <c r="BB40" s="37"/>
      <c r="BC40" s="37"/>
      <c r="BD40" s="41"/>
      <c r="BE40" s="37"/>
      <c r="BF40" s="37"/>
      <c r="BG40" s="37"/>
      <c r="BH40" s="41"/>
    </row>
    <row r="41" spans="2:60" ht="25.15" customHeight="1" x14ac:dyDescent="0.25">
      <c r="B41" s="49">
        <v>37</v>
      </c>
      <c r="C41" s="37"/>
      <c r="D41" s="41"/>
      <c r="E41" s="40"/>
      <c r="F41" s="87" t="str">
        <f>IF(tbl_estimated_costs_quantities[[#This Row],[House Code]]&lt;&gt;"",INDEX(tbl_Assessment[],MATCH(tbl_estimated_costs_quantities[[#This Row],[House Code]],tbl_Assessment[House Code],0),3),"")</f>
        <v/>
      </c>
      <c r="G41" s="115" t="str">
        <f>IF(tbl_estimated_costs_quantities[[#This Row],[House Code]]&lt;&gt;"",INDEX(tbl_Assessment[],MATCH(tbl_estimated_costs_quantities[[#This Row],[House Code]],tbl_Assessment[House Code],0),9),"")</f>
        <v/>
      </c>
      <c r="H4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 s="75"/>
      <c r="J41" s="37"/>
      <c r="K41" s="86">
        <f>tbl_estimated_costs_quantities[[#This Row],[Site Preparation]]*BOQs!$L$3</f>
        <v>0</v>
      </c>
      <c r="L41" s="76"/>
      <c r="M41" s="37"/>
      <c r="N41" s="86">
        <f>tbl_estimated_costs_quantities[[#This Row],[Demolition Removal Unsafe Structures]]*BOQs!$L$4</f>
        <v>0</v>
      </c>
      <c r="O41" s="76"/>
      <c r="P41" s="37"/>
      <c r="Q41" s="86">
        <f>tbl_estimated_costs_quantities[[#This Row],[Concrete Works]]*BOQs!$L$5</f>
        <v>0</v>
      </c>
      <c r="R41" s="76"/>
      <c r="S41" s="37"/>
      <c r="T41" s="86">
        <f>tbl_estimated_costs_quantities[[#This Row],[Closure External Openings Walls Windows]]*BOQs!$L$6</f>
        <v>0</v>
      </c>
      <c r="U41" s="76"/>
      <c r="V41" s="37"/>
      <c r="W41" s="86">
        <f>tbl_estimated_costs_quantities[[#This Row],[Plastering Painting]]*BOQs!$L$7</f>
        <v>0</v>
      </c>
      <c r="X41" s="76"/>
      <c r="Y41" s="37"/>
      <c r="Z41" s="86">
        <f>tbl_estimated_costs_quantities[[#This Row],[Floor Repairs]]*BOQs!$L$8</f>
        <v>0</v>
      </c>
      <c r="AA41" s="76"/>
      <c r="AB41" s="37"/>
      <c r="AC41" s="86">
        <f>tbl_estimated_costs_quantities[[#This Row],[Doors Replacement Repair]]*BOQs!$L$9</f>
        <v>0</v>
      </c>
      <c r="AD41" s="76"/>
      <c r="AE41" s="37"/>
      <c r="AF41" s="86">
        <f>tbl_estimated_costs_quantities[[#This Row],[Windows Replacement Repair]]*BOQs!$L$10</f>
        <v>0</v>
      </c>
      <c r="AG41" s="76"/>
      <c r="AH41" s="37"/>
      <c r="AI41" s="86">
        <f>tbl_estimated_costs_quantities[[#This Row],[Bathroom Rehabilitation]]*BOQs!$L$11</f>
        <v>0</v>
      </c>
      <c r="AJ41" s="76"/>
      <c r="AK41" s="37"/>
      <c r="AL41" s="86">
        <f>tbl_estimated_costs_quantities[[#This Row],[Ceramic Tile Works WASH]]*BOQs!$L$12</f>
        <v>0</v>
      </c>
      <c r="AM41" s="76"/>
      <c r="AN41" s="37"/>
      <c r="AO41" s="86">
        <f>tbl_estimated_costs_quantities[[#This Row],[Electrical Repairs Lighting]]*BOQs!$L$13</f>
        <v>0</v>
      </c>
      <c r="AP41" s="76"/>
      <c r="AQ41" s="37"/>
      <c r="AR41" s="86">
        <f>tbl_estimated_costs_quantities[[#This Row],[Roof Insulation Leak Sealing]]*BOQs!$L$14</f>
        <v>0</v>
      </c>
      <c r="AS41" s="76"/>
      <c r="AT41" s="37"/>
      <c r="AU41" s="86">
        <f>tbl_estimated_costs_quantities[[#This Row],[Chimney Duct Cleaning Repair]]*BOQs!$L$15</f>
        <v>0</v>
      </c>
      <c r="AV41" s="76"/>
      <c r="AW41" s="37"/>
      <c r="AX41" s="89">
        <f>tbl_estimated_costs_quantities[[#This Row],[Accessibility Adaptations]]*BOQs!$L$16</f>
        <v>0</v>
      </c>
      <c r="AY41" s="86" t="str">
        <f>IF(tbl_estimated_costs_quantities[[#This Row],[Total cost]]&lt;&gt;0,tbl_estimated_costs_quantities[[#This Row],[Total cost]]/BOQs!$A$1,"")</f>
        <v/>
      </c>
      <c r="AZ41" s="37"/>
      <c r="BA41" s="37"/>
      <c r="BB41" s="37"/>
      <c r="BC41" s="37"/>
      <c r="BD41" s="41"/>
      <c r="BE41" s="37"/>
      <c r="BF41" s="37"/>
      <c r="BG41" s="37"/>
      <c r="BH41" s="41"/>
    </row>
    <row r="42" spans="2:60" ht="25.15" customHeight="1" x14ac:dyDescent="0.25">
      <c r="B42" s="49">
        <v>38</v>
      </c>
      <c r="C42" s="37"/>
      <c r="D42" s="41"/>
      <c r="E42" s="40"/>
      <c r="F42" s="87" t="str">
        <f>IF(tbl_estimated_costs_quantities[[#This Row],[House Code]]&lt;&gt;"",INDEX(tbl_Assessment[],MATCH(tbl_estimated_costs_quantities[[#This Row],[House Code]],tbl_Assessment[House Code],0),3),"")</f>
        <v/>
      </c>
      <c r="G42" s="115" t="str">
        <f>IF(tbl_estimated_costs_quantities[[#This Row],[House Code]]&lt;&gt;"",INDEX(tbl_Assessment[],MATCH(tbl_estimated_costs_quantities[[#This Row],[House Code]],tbl_Assessment[House Code],0),9),"")</f>
        <v/>
      </c>
      <c r="H4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 s="75"/>
      <c r="J42" s="37"/>
      <c r="K42" s="86">
        <f>tbl_estimated_costs_quantities[[#This Row],[Site Preparation]]*BOQs!$L$3</f>
        <v>0</v>
      </c>
      <c r="L42" s="76"/>
      <c r="M42" s="37"/>
      <c r="N42" s="86">
        <f>tbl_estimated_costs_quantities[[#This Row],[Demolition Removal Unsafe Structures]]*BOQs!$L$4</f>
        <v>0</v>
      </c>
      <c r="O42" s="76"/>
      <c r="P42" s="37"/>
      <c r="Q42" s="86">
        <f>tbl_estimated_costs_quantities[[#This Row],[Concrete Works]]*BOQs!$L$5</f>
        <v>0</v>
      </c>
      <c r="R42" s="76"/>
      <c r="S42" s="37"/>
      <c r="T42" s="86">
        <f>tbl_estimated_costs_quantities[[#This Row],[Closure External Openings Walls Windows]]*BOQs!$L$6</f>
        <v>0</v>
      </c>
      <c r="U42" s="76"/>
      <c r="V42" s="37"/>
      <c r="W42" s="86">
        <f>tbl_estimated_costs_quantities[[#This Row],[Plastering Painting]]*BOQs!$L$7</f>
        <v>0</v>
      </c>
      <c r="X42" s="76"/>
      <c r="Y42" s="37"/>
      <c r="Z42" s="86">
        <f>tbl_estimated_costs_quantities[[#This Row],[Floor Repairs]]*BOQs!$L$8</f>
        <v>0</v>
      </c>
      <c r="AA42" s="76"/>
      <c r="AB42" s="37"/>
      <c r="AC42" s="86">
        <f>tbl_estimated_costs_quantities[[#This Row],[Doors Replacement Repair]]*BOQs!$L$9</f>
        <v>0</v>
      </c>
      <c r="AD42" s="76"/>
      <c r="AE42" s="37"/>
      <c r="AF42" s="86">
        <f>tbl_estimated_costs_quantities[[#This Row],[Windows Replacement Repair]]*BOQs!$L$10</f>
        <v>0</v>
      </c>
      <c r="AG42" s="76"/>
      <c r="AH42" s="37"/>
      <c r="AI42" s="86">
        <f>tbl_estimated_costs_quantities[[#This Row],[Bathroom Rehabilitation]]*BOQs!$L$11</f>
        <v>0</v>
      </c>
      <c r="AJ42" s="76"/>
      <c r="AK42" s="37"/>
      <c r="AL42" s="86">
        <f>tbl_estimated_costs_quantities[[#This Row],[Ceramic Tile Works WASH]]*BOQs!$L$12</f>
        <v>0</v>
      </c>
      <c r="AM42" s="76"/>
      <c r="AN42" s="37"/>
      <c r="AO42" s="86">
        <f>tbl_estimated_costs_quantities[[#This Row],[Electrical Repairs Lighting]]*BOQs!$L$13</f>
        <v>0</v>
      </c>
      <c r="AP42" s="76"/>
      <c r="AQ42" s="37"/>
      <c r="AR42" s="86">
        <f>tbl_estimated_costs_quantities[[#This Row],[Roof Insulation Leak Sealing]]*BOQs!$L$14</f>
        <v>0</v>
      </c>
      <c r="AS42" s="76"/>
      <c r="AT42" s="37"/>
      <c r="AU42" s="86">
        <f>tbl_estimated_costs_quantities[[#This Row],[Chimney Duct Cleaning Repair]]*BOQs!$L$15</f>
        <v>0</v>
      </c>
      <c r="AV42" s="76"/>
      <c r="AW42" s="37"/>
      <c r="AX42" s="89">
        <f>tbl_estimated_costs_quantities[[#This Row],[Accessibility Adaptations]]*BOQs!$L$16</f>
        <v>0</v>
      </c>
      <c r="AY42" s="86" t="str">
        <f>IF(tbl_estimated_costs_quantities[[#This Row],[Total cost]]&lt;&gt;0,tbl_estimated_costs_quantities[[#This Row],[Total cost]]/BOQs!$A$1,"")</f>
        <v/>
      </c>
      <c r="AZ42" s="37"/>
      <c r="BA42" s="37"/>
      <c r="BB42" s="37"/>
      <c r="BC42" s="37"/>
      <c r="BD42" s="41"/>
      <c r="BE42" s="37"/>
      <c r="BF42" s="37"/>
      <c r="BG42" s="37"/>
      <c r="BH42" s="41"/>
    </row>
    <row r="43" spans="2:60" ht="25.15" customHeight="1" x14ac:dyDescent="0.25">
      <c r="B43" s="49">
        <v>39</v>
      </c>
      <c r="C43" s="37"/>
      <c r="D43" s="41"/>
      <c r="E43" s="40"/>
      <c r="F43" s="87" t="str">
        <f>IF(tbl_estimated_costs_quantities[[#This Row],[House Code]]&lt;&gt;"",INDEX(tbl_Assessment[],MATCH(tbl_estimated_costs_quantities[[#This Row],[House Code]],tbl_Assessment[House Code],0),3),"")</f>
        <v/>
      </c>
      <c r="G43" s="115" t="str">
        <f>IF(tbl_estimated_costs_quantities[[#This Row],[House Code]]&lt;&gt;"",INDEX(tbl_Assessment[],MATCH(tbl_estimated_costs_quantities[[#This Row],[House Code]],tbl_Assessment[House Code],0),9),"")</f>
        <v/>
      </c>
      <c r="H4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 s="75"/>
      <c r="J43" s="37"/>
      <c r="K43" s="86">
        <f>tbl_estimated_costs_quantities[[#This Row],[Site Preparation]]*BOQs!$L$3</f>
        <v>0</v>
      </c>
      <c r="L43" s="76"/>
      <c r="M43" s="37"/>
      <c r="N43" s="86">
        <f>tbl_estimated_costs_quantities[[#This Row],[Demolition Removal Unsafe Structures]]*BOQs!$L$4</f>
        <v>0</v>
      </c>
      <c r="O43" s="76"/>
      <c r="P43" s="37"/>
      <c r="Q43" s="86">
        <f>tbl_estimated_costs_quantities[[#This Row],[Concrete Works]]*BOQs!$L$5</f>
        <v>0</v>
      </c>
      <c r="R43" s="76"/>
      <c r="S43" s="37"/>
      <c r="T43" s="86">
        <f>tbl_estimated_costs_quantities[[#This Row],[Closure External Openings Walls Windows]]*BOQs!$L$6</f>
        <v>0</v>
      </c>
      <c r="U43" s="76"/>
      <c r="V43" s="37"/>
      <c r="W43" s="86">
        <f>tbl_estimated_costs_quantities[[#This Row],[Plastering Painting]]*BOQs!$L$7</f>
        <v>0</v>
      </c>
      <c r="X43" s="76"/>
      <c r="Y43" s="37"/>
      <c r="Z43" s="86">
        <f>tbl_estimated_costs_quantities[[#This Row],[Floor Repairs]]*BOQs!$L$8</f>
        <v>0</v>
      </c>
      <c r="AA43" s="76"/>
      <c r="AB43" s="37"/>
      <c r="AC43" s="86">
        <f>tbl_estimated_costs_quantities[[#This Row],[Doors Replacement Repair]]*BOQs!$L$9</f>
        <v>0</v>
      </c>
      <c r="AD43" s="76"/>
      <c r="AE43" s="37"/>
      <c r="AF43" s="86">
        <f>tbl_estimated_costs_quantities[[#This Row],[Windows Replacement Repair]]*BOQs!$L$10</f>
        <v>0</v>
      </c>
      <c r="AG43" s="76"/>
      <c r="AH43" s="37"/>
      <c r="AI43" s="86">
        <f>tbl_estimated_costs_quantities[[#This Row],[Bathroom Rehabilitation]]*BOQs!$L$11</f>
        <v>0</v>
      </c>
      <c r="AJ43" s="76"/>
      <c r="AK43" s="37"/>
      <c r="AL43" s="86">
        <f>tbl_estimated_costs_quantities[[#This Row],[Ceramic Tile Works WASH]]*BOQs!$L$12</f>
        <v>0</v>
      </c>
      <c r="AM43" s="76"/>
      <c r="AN43" s="37"/>
      <c r="AO43" s="86">
        <f>tbl_estimated_costs_quantities[[#This Row],[Electrical Repairs Lighting]]*BOQs!$L$13</f>
        <v>0</v>
      </c>
      <c r="AP43" s="76"/>
      <c r="AQ43" s="37"/>
      <c r="AR43" s="86">
        <f>tbl_estimated_costs_quantities[[#This Row],[Roof Insulation Leak Sealing]]*BOQs!$L$14</f>
        <v>0</v>
      </c>
      <c r="AS43" s="76"/>
      <c r="AT43" s="37"/>
      <c r="AU43" s="86">
        <f>tbl_estimated_costs_quantities[[#This Row],[Chimney Duct Cleaning Repair]]*BOQs!$L$15</f>
        <v>0</v>
      </c>
      <c r="AV43" s="76"/>
      <c r="AW43" s="37"/>
      <c r="AX43" s="89">
        <f>tbl_estimated_costs_quantities[[#This Row],[Accessibility Adaptations]]*BOQs!$L$16</f>
        <v>0</v>
      </c>
      <c r="AY43" s="86" t="str">
        <f>IF(tbl_estimated_costs_quantities[[#This Row],[Total cost]]&lt;&gt;0,tbl_estimated_costs_quantities[[#This Row],[Total cost]]/BOQs!$A$1,"")</f>
        <v/>
      </c>
      <c r="AZ43" s="37"/>
      <c r="BA43" s="37"/>
      <c r="BB43" s="37"/>
      <c r="BC43" s="37"/>
      <c r="BD43" s="41"/>
      <c r="BE43" s="37"/>
      <c r="BF43" s="37"/>
      <c r="BG43" s="37"/>
      <c r="BH43" s="41"/>
    </row>
    <row r="44" spans="2:60" ht="25.15" customHeight="1" x14ac:dyDescent="0.25">
      <c r="B44" s="49">
        <v>40</v>
      </c>
      <c r="C44" s="37"/>
      <c r="D44" s="41"/>
      <c r="E44" s="40"/>
      <c r="F44" s="87" t="str">
        <f>IF(tbl_estimated_costs_quantities[[#This Row],[House Code]]&lt;&gt;"",INDEX(tbl_Assessment[],MATCH(tbl_estimated_costs_quantities[[#This Row],[House Code]],tbl_Assessment[House Code],0),3),"")</f>
        <v/>
      </c>
      <c r="G44" s="115" t="str">
        <f>IF(tbl_estimated_costs_quantities[[#This Row],[House Code]]&lt;&gt;"",INDEX(tbl_Assessment[],MATCH(tbl_estimated_costs_quantities[[#This Row],[House Code]],tbl_Assessment[House Code],0),9),"")</f>
        <v/>
      </c>
      <c r="H4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 s="75"/>
      <c r="J44" s="37"/>
      <c r="K44" s="86">
        <f>tbl_estimated_costs_quantities[[#This Row],[Site Preparation]]*BOQs!$L$3</f>
        <v>0</v>
      </c>
      <c r="L44" s="76"/>
      <c r="M44" s="37"/>
      <c r="N44" s="86">
        <f>tbl_estimated_costs_quantities[[#This Row],[Demolition Removal Unsafe Structures]]*BOQs!$L$4</f>
        <v>0</v>
      </c>
      <c r="O44" s="76"/>
      <c r="P44" s="37"/>
      <c r="Q44" s="86">
        <f>tbl_estimated_costs_quantities[[#This Row],[Concrete Works]]*BOQs!$L$5</f>
        <v>0</v>
      </c>
      <c r="R44" s="76"/>
      <c r="S44" s="37"/>
      <c r="T44" s="86">
        <f>tbl_estimated_costs_quantities[[#This Row],[Closure External Openings Walls Windows]]*BOQs!$L$6</f>
        <v>0</v>
      </c>
      <c r="U44" s="76"/>
      <c r="V44" s="37"/>
      <c r="W44" s="86">
        <f>tbl_estimated_costs_quantities[[#This Row],[Plastering Painting]]*BOQs!$L$7</f>
        <v>0</v>
      </c>
      <c r="X44" s="76"/>
      <c r="Y44" s="37"/>
      <c r="Z44" s="86">
        <f>tbl_estimated_costs_quantities[[#This Row],[Floor Repairs]]*BOQs!$L$8</f>
        <v>0</v>
      </c>
      <c r="AA44" s="76"/>
      <c r="AB44" s="37"/>
      <c r="AC44" s="86">
        <f>tbl_estimated_costs_quantities[[#This Row],[Doors Replacement Repair]]*BOQs!$L$9</f>
        <v>0</v>
      </c>
      <c r="AD44" s="76"/>
      <c r="AE44" s="37"/>
      <c r="AF44" s="86">
        <f>tbl_estimated_costs_quantities[[#This Row],[Windows Replacement Repair]]*BOQs!$L$10</f>
        <v>0</v>
      </c>
      <c r="AG44" s="76"/>
      <c r="AH44" s="37"/>
      <c r="AI44" s="86">
        <f>tbl_estimated_costs_quantities[[#This Row],[Bathroom Rehabilitation]]*BOQs!$L$11</f>
        <v>0</v>
      </c>
      <c r="AJ44" s="76"/>
      <c r="AK44" s="37"/>
      <c r="AL44" s="86">
        <f>tbl_estimated_costs_quantities[[#This Row],[Ceramic Tile Works WASH]]*BOQs!$L$12</f>
        <v>0</v>
      </c>
      <c r="AM44" s="76"/>
      <c r="AN44" s="37"/>
      <c r="AO44" s="86">
        <f>tbl_estimated_costs_quantities[[#This Row],[Electrical Repairs Lighting]]*BOQs!$L$13</f>
        <v>0</v>
      </c>
      <c r="AP44" s="76"/>
      <c r="AQ44" s="37"/>
      <c r="AR44" s="86">
        <f>tbl_estimated_costs_quantities[[#This Row],[Roof Insulation Leak Sealing]]*BOQs!$L$14</f>
        <v>0</v>
      </c>
      <c r="AS44" s="76"/>
      <c r="AT44" s="37"/>
      <c r="AU44" s="86">
        <f>tbl_estimated_costs_quantities[[#This Row],[Chimney Duct Cleaning Repair]]*BOQs!$L$15</f>
        <v>0</v>
      </c>
      <c r="AV44" s="76"/>
      <c r="AW44" s="37"/>
      <c r="AX44" s="89">
        <f>tbl_estimated_costs_quantities[[#This Row],[Accessibility Adaptations]]*BOQs!$L$16</f>
        <v>0</v>
      </c>
      <c r="AY44" s="86" t="str">
        <f>IF(tbl_estimated_costs_quantities[[#This Row],[Total cost]]&lt;&gt;0,tbl_estimated_costs_quantities[[#This Row],[Total cost]]/BOQs!$A$1,"")</f>
        <v/>
      </c>
      <c r="AZ44" s="37"/>
      <c r="BA44" s="37"/>
      <c r="BB44" s="37"/>
      <c r="BC44" s="37"/>
      <c r="BD44" s="41"/>
      <c r="BE44" s="37"/>
      <c r="BF44" s="37"/>
      <c r="BG44" s="37"/>
      <c r="BH44" s="41"/>
    </row>
    <row r="45" spans="2:60" ht="25.15" customHeight="1" x14ac:dyDescent="0.25">
      <c r="B45" s="49">
        <v>41</v>
      </c>
      <c r="C45" s="37"/>
      <c r="D45" s="41"/>
      <c r="E45" s="40"/>
      <c r="F45" s="87" t="str">
        <f>IF(tbl_estimated_costs_quantities[[#This Row],[House Code]]&lt;&gt;"",INDEX(tbl_Assessment[],MATCH(tbl_estimated_costs_quantities[[#This Row],[House Code]],tbl_Assessment[House Code],0),3),"")</f>
        <v/>
      </c>
      <c r="G45" s="115" t="str">
        <f>IF(tbl_estimated_costs_quantities[[#This Row],[House Code]]&lt;&gt;"",INDEX(tbl_Assessment[],MATCH(tbl_estimated_costs_quantities[[#This Row],[House Code]],tbl_Assessment[House Code],0),9),"")</f>
        <v/>
      </c>
      <c r="H4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 s="75"/>
      <c r="J45" s="37"/>
      <c r="K45" s="86">
        <f>tbl_estimated_costs_quantities[[#This Row],[Site Preparation]]*BOQs!$L$3</f>
        <v>0</v>
      </c>
      <c r="L45" s="76"/>
      <c r="M45" s="37"/>
      <c r="N45" s="86">
        <f>tbl_estimated_costs_quantities[[#This Row],[Demolition Removal Unsafe Structures]]*BOQs!$L$4</f>
        <v>0</v>
      </c>
      <c r="O45" s="76"/>
      <c r="P45" s="37"/>
      <c r="Q45" s="86">
        <f>tbl_estimated_costs_quantities[[#This Row],[Concrete Works]]*BOQs!$L$5</f>
        <v>0</v>
      </c>
      <c r="R45" s="76"/>
      <c r="S45" s="37"/>
      <c r="T45" s="86">
        <f>tbl_estimated_costs_quantities[[#This Row],[Closure External Openings Walls Windows]]*BOQs!$L$6</f>
        <v>0</v>
      </c>
      <c r="U45" s="76"/>
      <c r="V45" s="37"/>
      <c r="W45" s="86">
        <f>tbl_estimated_costs_quantities[[#This Row],[Plastering Painting]]*BOQs!$L$7</f>
        <v>0</v>
      </c>
      <c r="X45" s="76"/>
      <c r="Y45" s="37"/>
      <c r="Z45" s="86">
        <f>tbl_estimated_costs_quantities[[#This Row],[Floor Repairs]]*BOQs!$L$8</f>
        <v>0</v>
      </c>
      <c r="AA45" s="76"/>
      <c r="AB45" s="37"/>
      <c r="AC45" s="86">
        <f>tbl_estimated_costs_quantities[[#This Row],[Doors Replacement Repair]]*BOQs!$L$9</f>
        <v>0</v>
      </c>
      <c r="AD45" s="76"/>
      <c r="AE45" s="37"/>
      <c r="AF45" s="86">
        <f>tbl_estimated_costs_quantities[[#This Row],[Windows Replacement Repair]]*BOQs!$L$10</f>
        <v>0</v>
      </c>
      <c r="AG45" s="76"/>
      <c r="AH45" s="37"/>
      <c r="AI45" s="86">
        <f>tbl_estimated_costs_quantities[[#This Row],[Bathroom Rehabilitation]]*BOQs!$L$11</f>
        <v>0</v>
      </c>
      <c r="AJ45" s="76"/>
      <c r="AK45" s="37"/>
      <c r="AL45" s="86">
        <f>tbl_estimated_costs_quantities[[#This Row],[Ceramic Tile Works WASH]]*BOQs!$L$12</f>
        <v>0</v>
      </c>
      <c r="AM45" s="76"/>
      <c r="AN45" s="37"/>
      <c r="AO45" s="86">
        <f>tbl_estimated_costs_quantities[[#This Row],[Electrical Repairs Lighting]]*BOQs!$L$13</f>
        <v>0</v>
      </c>
      <c r="AP45" s="76"/>
      <c r="AQ45" s="37"/>
      <c r="AR45" s="86">
        <f>tbl_estimated_costs_quantities[[#This Row],[Roof Insulation Leak Sealing]]*BOQs!$L$14</f>
        <v>0</v>
      </c>
      <c r="AS45" s="76"/>
      <c r="AT45" s="37"/>
      <c r="AU45" s="86">
        <f>tbl_estimated_costs_quantities[[#This Row],[Chimney Duct Cleaning Repair]]*BOQs!$L$15</f>
        <v>0</v>
      </c>
      <c r="AV45" s="76"/>
      <c r="AW45" s="37"/>
      <c r="AX45" s="89">
        <f>tbl_estimated_costs_quantities[[#This Row],[Accessibility Adaptations]]*BOQs!$L$16</f>
        <v>0</v>
      </c>
      <c r="AY45" s="86" t="str">
        <f>IF(tbl_estimated_costs_quantities[[#This Row],[Total cost]]&lt;&gt;0,tbl_estimated_costs_quantities[[#This Row],[Total cost]]/BOQs!$A$1,"")</f>
        <v/>
      </c>
      <c r="AZ45" s="37"/>
      <c r="BA45" s="37"/>
      <c r="BB45" s="37"/>
      <c r="BC45" s="37"/>
      <c r="BD45" s="41"/>
      <c r="BE45" s="37"/>
      <c r="BF45" s="37"/>
      <c r="BG45" s="37"/>
      <c r="BH45" s="41"/>
    </row>
    <row r="46" spans="2:60" ht="25.15" customHeight="1" x14ac:dyDescent="0.25">
      <c r="B46" s="49">
        <v>42</v>
      </c>
      <c r="C46" s="37"/>
      <c r="D46" s="41"/>
      <c r="E46" s="40"/>
      <c r="F46" s="87" t="str">
        <f>IF(tbl_estimated_costs_quantities[[#This Row],[House Code]]&lt;&gt;"",INDEX(tbl_Assessment[],MATCH(tbl_estimated_costs_quantities[[#This Row],[House Code]],tbl_Assessment[House Code],0),3),"")</f>
        <v/>
      </c>
      <c r="G46" s="115" t="str">
        <f>IF(tbl_estimated_costs_quantities[[#This Row],[House Code]]&lt;&gt;"",INDEX(tbl_Assessment[],MATCH(tbl_estimated_costs_quantities[[#This Row],[House Code]],tbl_Assessment[House Code],0),9),"")</f>
        <v/>
      </c>
      <c r="H4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 s="75"/>
      <c r="J46" s="37"/>
      <c r="K46" s="86">
        <f>tbl_estimated_costs_quantities[[#This Row],[Site Preparation]]*BOQs!$L$3</f>
        <v>0</v>
      </c>
      <c r="L46" s="76"/>
      <c r="M46" s="37"/>
      <c r="N46" s="86">
        <f>tbl_estimated_costs_quantities[[#This Row],[Demolition Removal Unsafe Structures]]*BOQs!$L$4</f>
        <v>0</v>
      </c>
      <c r="O46" s="76"/>
      <c r="P46" s="37"/>
      <c r="Q46" s="86">
        <f>tbl_estimated_costs_quantities[[#This Row],[Concrete Works]]*BOQs!$L$5</f>
        <v>0</v>
      </c>
      <c r="R46" s="76"/>
      <c r="S46" s="37"/>
      <c r="T46" s="86">
        <f>tbl_estimated_costs_quantities[[#This Row],[Closure External Openings Walls Windows]]*BOQs!$L$6</f>
        <v>0</v>
      </c>
      <c r="U46" s="76"/>
      <c r="V46" s="37"/>
      <c r="W46" s="86">
        <f>tbl_estimated_costs_quantities[[#This Row],[Plastering Painting]]*BOQs!$L$7</f>
        <v>0</v>
      </c>
      <c r="X46" s="76"/>
      <c r="Y46" s="37"/>
      <c r="Z46" s="86">
        <f>tbl_estimated_costs_quantities[[#This Row],[Floor Repairs]]*BOQs!$L$8</f>
        <v>0</v>
      </c>
      <c r="AA46" s="76"/>
      <c r="AB46" s="37"/>
      <c r="AC46" s="86">
        <f>tbl_estimated_costs_quantities[[#This Row],[Doors Replacement Repair]]*BOQs!$L$9</f>
        <v>0</v>
      </c>
      <c r="AD46" s="76"/>
      <c r="AE46" s="37"/>
      <c r="AF46" s="86">
        <f>tbl_estimated_costs_quantities[[#This Row],[Windows Replacement Repair]]*BOQs!$L$10</f>
        <v>0</v>
      </c>
      <c r="AG46" s="76"/>
      <c r="AH46" s="37"/>
      <c r="AI46" s="86">
        <f>tbl_estimated_costs_quantities[[#This Row],[Bathroom Rehabilitation]]*BOQs!$L$11</f>
        <v>0</v>
      </c>
      <c r="AJ46" s="76"/>
      <c r="AK46" s="37"/>
      <c r="AL46" s="86">
        <f>tbl_estimated_costs_quantities[[#This Row],[Ceramic Tile Works WASH]]*BOQs!$L$12</f>
        <v>0</v>
      </c>
      <c r="AM46" s="76"/>
      <c r="AN46" s="37"/>
      <c r="AO46" s="86">
        <f>tbl_estimated_costs_quantities[[#This Row],[Electrical Repairs Lighting]]*BOQs!$L$13</f>
        <v>0</v>
      </c>
      <c r="AP46" s="76"/>
      <c r="AQ46" s="37"/>
      <c r="AR46" s="86">
        <f>tbl_estimated_costs_quantities[[#This Row],[Roof Insulation Leak Sealing]]*BOQs!$L$14</f>
        <v>0</v>
      </c>
      <c r="AS46" s="76"/>
      <c r="AT46" s="37"/>
      <c r="AU46" s="86">
        <f>tbl_estimated_costs_quantities[[#This Row],[Chimney Duct Cleaning Repair]]*BOQs!$L$15</f>
        <v>0</v>
      </c>
      <c r="AV46" s="76"/>
      <c r="AW46" s="37"/>
      <c r="AX46" s="89">
        <f>tbl_estimated_costs_quantities[[#This Row],[Accessibility Adaptations]]*BOQs!$L$16</f>
        <v>0</v>
      </c>
      <c r="AY46" s="86" t="str">
        <f>IF(tbl_estimated_costs_quantities[[#This Row],[Total cost]]&lt;&gt;0,tbl_estimated_costs_quantities[[#This Row],[Total cost]]/BOQs!$A$1,"")</f>
        <v/>
      </c>
      <c r="AZ46" s="37"/>
      <c r="BA46" s="37"/>
      <c r="BB46" s="37"/>
      <c r="BC46" s="37"/>
      <c r="BD46" s="41"/>
      <c r="BE46" s="37"/>
      <c r="BF46" s="37"/>
      <c r="BG46" s="37"/>
      <c r="BH46" s="41"/>
    </row>
    <row r="47" spans="2:60" ht="25.15" customHeight="1" x14ac:dyDescent="0.25">
      <c r="B47" s="49">
        <v>43</v>
      </c>
      <c r="C47" s="37"/>
      <c r="D47" s="41"/>
      <c r="E47" s="40"/>
      <c r="F47" s="87" t="str">
        <f>IF(tbl_estimated_costs_quantities[[#This Row],[House Code]]&lt;&gt;"",INDEX(tbl_Assessment[],MATCH(tbl_estimated_costs_quantities[[#This Row],[House Code]],tbl_Assessment[House Code],0),3),"")</f>
        <v/>
      </c>
      <c r="G47" s="115" t="str">
        <f>IF(tbl_estimated_costs_quantities[[#This Row],[House Code]]&lt;&gt;"",INDEX(tbl_Assessment[],MATCH(tbl_estimated_costs_quantities[[#This Row],[House Code]],tbl_Assessment[House Code],0),9),"")</f>
        <v/>
      </c>
      <c r="H4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 s="75"/>
      <c r="J47" s="37"/>
      <c r="K47" s="86">
        <f>tbl_estimated_costs_quantities[[#This Row],[Site Preparation]]*BOQs!$L$3</f>
        <v>0</v>
      </c>
      <c r="L47" s="76"/>
      <c r="M47" s="37"/>
      <c r="N47" s="86">
        <f>tbl_estimated_costs_quantities[[#This Row],[Demolition Removal Unsafe Structures]]*BOQs!$L$4</f>
        <v>0</v>
      </c>
      <c r="O47" s="76"/>
      <c r="P47" s="37"/>
      <c r="Q47" s="86">
        <f>tbl_estimated_costs_quantities[[#This Row],[Concrete Works]]*BOQs!$L$5</f>
        <v>0</v>
      </c>
      <c r="R47" s="76"/>
      <c r="S47" s="37"/>
      <c r="T47" s="86">
        <f>tbl_estimated_costs_quantities[[#This Row],[Closure External Openings Walls Windows]]*BOQs!$L$6</f>
        <v>0</v>
      </c>
      <c r="U47" s="76"/>
      <c r="V47" s="37"/>
      <c r="W47" s="86">
        <f>tbl_estimated_costs_quantities[[#This Row],[Plastering Painting]]*BOQs!$L$7</f>
        <v>0</v>
      </c>
      <c r="X47" s="76"/>
      <c r="Y47" s="37"/>
      <c r="Z47" s="86">
        <f>tbl_estimated_costs_quantities[[#This Row],[Floor Repairs]]*BOQs!$L$8</f>
        <v>0</v>
      </c>
      <c r="AA47" s="76"/>
      <c r="AB47" s="37"/>
      <c r="AC47" s="86">
        <f>tbl_estimated_costs_quantities[[#This Row],[Doors Replacement Repair]]*BOQs!$L$9</f>
        <v>0</v>
      </c>
      <c r="AD47" s="76"/>
      <c r="AE47" s="37"/>
      <c r="AF47" s="86">
        <f>tbl_estimated_costs_quantities[[#This Row],[Windows Replacement Repair]]*BOQs!$L$10</f>
        <v>0</v>
      </c>
      <c r="AG47" s="76"/>
      <c r="AH47" s="37"/>
      <c r="AI47" s="86">
        <f>tbl_estimated_costs_quantities[[#This Row],[Bathroom Rehabilitation]]*BOQs!$L$11</f>
        <v>0</v>
      </c>
      <c r="AJ47" s="76"/>
      <c r="AK47" s="37"/>
      <c r="AL47" s="86">
        <f>tbl_estimated_costs_quantities[[#This Row],[Ceramic Tile Works WASH]]*BOQs!$L$12</f>
        <v>0</v>
      </c>
      <c r="AM47" s="76"/>
      <c r="AN47" s="37"/>
      <c r="AO47" s="86">
        <f>tbl_estimated_costs_quantities[[#This Row],[Electrical Repairs Lighting]]*BOQs!$L$13</f>
        <v>0</v>
      </c>
      <c r="AP47" s="76"/>
      <c r="AQ47" s="37"/>
      <c r="AR47" s="86">
        <f>tbl_estimated_costs_quantities[[#This Row],[Roof Insulation Leak Sealing]]*BOQs!$L$14</f>
        <v>0</v>
      </c>
      <c r="AS47" s="76"/>
      <c r="AT47" s="37"/>
      <c r="AU47" s="86">
        <f>tbl_estimated_costs_quantities[[#This Row],[Chimney Duct Cleaning Repair]]*BOQs!$L$15</f>
        <v>0</v>
      </c>
      <c r="AV47" s="76"/>
      <c r="AW47" s="37"/>
      <c r="AX47" s="89">
        <f>tbl_estimated_costs_quantities[[#This Row],[Accessibility Adaptations]]*BOQs!$L$16</f>
        <v>0</v>
      </c>
      <c r="AY47" s="86" t="str">
        <f>IF(tbl_estimated_costs_quantities[[#This Row],[Total cost]]&lt;&gt;0,tbl_estimated_costs_quantities[[#This Row],[Total cost]]/BOQs!$A$1,"")</f>
        <v/>
      </c>
      <c r="AZ47" s="37"/>
      <c r="BA47" s="37"/>
      <c r="BB47" s="37"/>
      <c r="BC47" s="37"/>
      <c r="BD47" s="41"/>
      <c r="BE47" s="37"/>
      <c r="BF47" s="37"/>
      <c r="BG47" s="37"/>
      <c r="BH47" s="41"/>
    </row>
    <row r="48" spans="2:60" ht="25.15" customHeight="1" x14ac:dyDescent="0.25">
      <c r="B48" s="49">
        <v>44</v>
      </c>
      <c r="C48" s="37"/>
      <c r="D48" s="41"/>
      <c r="E48" s="40"/>
      <c r="F48" s="87" t="str">
        <f>IF(tbl_estimated_costs_quantities[[#This Row],[House Code]]&lt;&gt;"",INDEX(tbl_Assessment[],MATCH(tbl_estimated_costs_quantities[[#This Row],[House Code]],tbl_Assessment[House Code],0),3),"")</f>
        <v/>
      </c>
      <c r="G48" s="115" t="str">
        <f>IF(tbl_estimated_costs_quantities[[#This Row],[House Code]]&lt;&gt;"",INDEX(tbl_Assessment[],MATCH(tbl_estimated_costs_quantities[[#This Row],[House Code]],tbl_Assessment[House Code],0),9),"")</f>
        <v/>
      </c>
      <c r="H4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 s="75"/>
      <c r="J48" s="37"/>
      <c r="K48" s="86">
        <f>tbl_estimated_costs_quantities[[#This Row],[Site Preparation]]*BOQs!$L$3</f>
        <v>0</v>
      </c>
      <c r="L48" s="76"/>
      <c r="M48" s="37"/>
      <c r="N48" s="86">
        <f>tbl_estimated_costs_quantities[[#This Row],[Demolition Removal Unsafe Structures]]*BOQs!$L$4</f>
        <v>0</v>
      </c>
      <c r="O48" s="76"/>
      <c r="P48" s="37"/>
      <c r="Q48" s="86">
        <f>tbl_estimated_costs_quantities[[#This Row],[Concrete Works]]*BOQs!$L$5</f>
        <v>0</v>
      </c>
      <c r="R48" s="76"/>
      <c r="S48" s="37"/>
      <c r="T48" s="86">
        <f>tbl_estimated_costs_quantities[[#This Row],[Closure External Openings Walls Windows]]*BOQs!$L$6</f>
        <v>0</v>
      </c>
      <c r="U48" s="76"/>
      <c r="V48" s="37"/>
      <c r="W48" s="86">
        <f>tbl_estimated_costs_quantities[[#This Row],[Plastering Painting]]*BOQs!$L$7</f>
        <v>0</v>
      </c>
      <c r="X48" s="76"/>
      <c r="Y48" s="37"/>
      <c r="Z48" s="86">
        <f>tbl_estimated_costs_quantities[[#This Row],[Floor Repairs]]*BOQs!$L$8</f>
        <v>0</v>
      </c>
      <c r="AA48" s="76"/>
      <c r="AB48" s="37"/>
      <c r="AC48" s="86">
        <f>tbl_estimated_costs_quantities[[#This Row],[Doors Replacement Repair]]*BOQs!$L$9</f>
        <v>0</v>
      </c>
      <c r="AD48" s="76"/>
      <c r="AE48" s="37"/>
      <c r="AF48" s="86">
        <f>tbl_estimated_costs_quantities[[#This Row],[Windows Replacement Repair]]*BOQs!$L$10</f>
        <v>0</v>
      </c>
      <c r="AG48" s="76"/>
      <c r="AH48" s="37"/>
      <c r="AI48" s="86">
        <f>tbl_estimated_costs_quantities[[#This Row],[Bathroom Rehabilitation]]*BOQs!$L$11</f>
        <v>0</v>
      </c>
      <c r="AJ48" s="76"/>
      <c r="AK48" s="37"/>
      <c r="AL48" s="86">
        <f>tbl_estimated_costs_quantities[[#This Row],[Ceramic Tile Works WASH]]*BOQs!$L$12</f>
        <v>0</v>
      </c>
      <c r="AM48" s="76"/>
      <c r="AN48" s="37"/>
      <c r="AO48" s="86">
        <f>tbl_estimated_costs_quantities[[#This Row],[Electrical Repairs Lighting]]*BOQs!$L$13</f>
        <v>0</v>
      </c>
      <c r="AP48" s="76"/>
      <c r="AQ48" s="37"/>
      <c r="AR48" s="86">
        <f>tbl_estimated_costs_quantities[[#This Row],[Roof Insulation Leak Sealing]]*BOQs!$L$14</f>
        <v>0</v>
      </c>
      <c r="AS48" s="76"/>
      <c r="AT48" s="37"/>
      <c r="AU48" s="86">
        <f>tbl_estimated_costs_quantities[[#This Row],[Chimney Duct Cleaning Repair]]*BOQs!$L$15</f>
        <v>0</v>
      </c>
      <c r="AV48" s="76"/>
      <c r="AW48" s="37"/>
      <c r="AX48" s="89">
        <f>tbl_estimated_costs_quantities[[#This Row],[Accessibility Adaptations]]*BOQs!$L$16</f>
        <v>0</v>
      </c>
      <c r="AY48" s="86" t="str">
        <f>IF(tbl_estimated_costs_quantities[[#This Row],[Total cost]]&lt;&gt;0,tbl_estimated_costs_quantities[[#This Row],[Total cost]]/BOQs!$A$1,"")</f>
        <v/>
      </c>
      <c r="AZ48" s="37"/>
      <c r="BA48" s="37"/>
      <c r="BB48" s="37"/>
      <c r="BC48" s="37"/>
      <c r="BD48" s="41"/>
      <c r="BE48" s="37"/>
      <c r="BF48" s="37"/>
      <c r="BG48" s="37"/>
      <c r="BH48" s="41"/>
    </row>
    <row r="49" spans="2:60" ht="25.15" customHeight="1" x14ac:dyDescent="0.25">
      <c r="B49" s="49">
        <v>45</v>
      </c>
      <c r="C49" s="37"/>
      <c r="D49" s="41"/>
      <c r="E49" s="40"/>
      <c r="F49" s="87" t="str">
        <f>IF(tbl_estimated_costs_quantities[[#This Row],[House Code]]&lt;&gt;"",INDEX(tbl_Assessment[],MATCH(tbl_estimated_costs_quantities[[#This Row],[House Code]],tbl_Assessment[House Code],0),3),"")</f>
        <v/>
      </c>
      <c r="G49" s="115" t="str">
        <f>IF(tbl_estimated_costs_quantities[[#This Row],[House Code]]&lt;&gt;"",INDEX(tbl_Assessment[],MATCH(tbl_estimated_costs_quantities[[#This Row],[House Code]],tbl_Assessment[House Code],0),9),"")</f>
        <v/>
      </c>
      <c r="H4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 s="75"/>
      <c r="J49" s="37"/>
      <c r="K49" s="86">
        <f>tbl_estimated_costs_quantities[[#This Row],[Site Preparation]]*BOQs!$L$3</f>
        <v>0</v>
      </c>
      <c r="L49" s="76"/>
      <c r="M49" s="37"/>
      <c r="N49" s="86">
        <f>tbl_estimated_costs_quantities[[#This Row],[Demolition Removal Unsafe Structures]]*BOQs!$L$4</f>
        <v>0</v>
      </c>
      <c r="O49" s="76"/>
      <c r="P49" s="37"/>
      <c r="Q49" s="86">
        <f>tbl_estimated_costs_quantities[[#This Row],[Concrete Works]]*BOQs!$L$5</f>
        <v>0</v>
      </c>
      <c r="R49" s="76"/>
      <c r="S49" s="37"/>
      <c r="T49" s="86">
        <f>tbl_estimated_costs_quantities[[#This Row],[Closure External Openings Walls Windows]]*BOQs!$L$6</f>
        <v>0</v>
      </c>
      <c r="U49" s="76"/>
      <c r="V49" s="37"/>
      <c r="W49" s="86">
        <f>tbl_estimated_costs_quantities[[#This Row],[Plastering Painting]]*BOQs!$L$7</f>
        <v>0</v>
      </c>
      <c r="X49" s="76"/>
      <c r="Y49" s="37"/>
      <c r="Z49" s="86">
        <f>tbl_estimated_costs_quantities[[#This Row],[Floor Repairs]]*BOQs!$L$8</f>
        <v>0</v>
      </c>
      <c r="AA49" s="76"/>
      <c r="AB49" s="37"/>
      <c r="AC49" s="86">
        <f>tbl_estimated_costs_quantities[[#This Row],[Doors Replacement Repair]]*BOQs!$L$9</f>
        <v>0</v>
      </c>
      <c r="AD49" s="76"/>
      <c r="AE49" s="37"/>
      <c r="AF49" s="86">
        <f>tbl_estimated_costs_quantities[[#This Row],[Windows Replacement Repair]]*BOQs!$L$10</f>
        <v>0</v>
      </c>
      <c r="AG49" s="76"/>
      <c r="AH49" s="37"/>
      <c r="AI49" s="86">
        <f>tbl_estimated_costs_quantities[[#This Row],[Bathroom Rehabilitation]]*BOQs!$L$11</f>
        <v>0</v>
      </c>
      <c r="AJ49" s="76"/>
      <c r="AK49" s="37"/>
      <c r="AL49" s="86">
        <f>tbl_estimated_costs_quantities[[#This Row],[Ceramic Tile Works WASH]]*BOQs!$L$12</f>
        <v>0</v>
      </c>
      <c r="AM49" s="76"/>
      <c r="AN49" s="37"/>
      <c r="AO49" s="86">
        <f>tbl_estimated_costs_quantities[[#This Row],[Electrical Repairs Lighting]]*BOQs!$L$13</f>
        <v>0</v>
      </c>
      <c r="AP49" s="76"/>
      <c r="AQ49" s="37"/>
      <c r="AR49" s="86">
        <f>tbl_estimated_costs_quantities[[#This Row],[Roof Insulation Leak Sealing]]*BOQs!$L$14</f>
        <v>0</v>
      </c>
      <c r="AS49" s="76"/>
      <c r="AT49" s="37"/>
      <c r="AU49" s="86">
        <f>tbl_estimated_costs_quantities[[#This Row],[Chimney Duct Cleaning Repair]]*BOQs!$L$15</f>
        <v>0</v>
      </c>
      <c r="AV49" s="76"/>
      <c r="AW49" s="37"/>
      <c r="AX49" s="89">
        <f>tbl_estimated_costs_quantities[[#This Row],[Accessibility Adaptations]]*BOQs!$L$16</f>
        <v>0</v>
      </c>
      <c r="AY49" s="86" t="str">
        <f>IF(tbl_estimated_costs_quantities[[#This Row],[Total cost]]&lt;&gt;0,tbl_estimated_costs_quantities[[#This Row],[Total cost]]/BOQs!$A$1,"")</f>
        <v/>
      </c>
      <c r="AZ49" s="37"/>
      <c r="BA49" s="37"/>
      <c r="BB49" s="37"/>
      <c r="BC49" s="37"/>
      <c r="BD49" s="41"/>
      <c r="BE49" s="37"/>
      <c r="BF49" s="37"/>
      <c r="BG49" s="37"/>
      <c r="BH49" s="41"/>
    </row>
    <row r="50" spans="2:60" ht="25.15" customHeight="1" x14ac:dyDescent="0.25">
      <c r="B50" s="49">
        <v>46</v>
      </c>
      <c r="C50" s="37"/>
      <c r="D50" s="41"/>
      <c r="E50" s="40"/>
      <c r="F50" s="87" t="str">
        <f>IF(tbl_estimated_costs_quantities[[#This Row],[House Code]]&lt;&gt;"",INDEX(tbl_Assessment[],MATCH(tbl_estimated_costs_quantities[[#This Row],[House Code]],tbl_Assessment[House Code],0),3),"")</f>
        <v/>
      </c>
      <c r="G50" s="115" t="str">
        <f>IF(tbl_estimated_costs_quantities[[#This Row],[House Code]]&lt;&gt;"",INDEX(tbl_Assessment[],MATCH(tbl_estimated_costs_quantities[[#This Row],[House Code]],tbl_Assessment[House Code],0),9),"")</f>
        <v/>
      </c>
      <c r="H5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 s="75"/>
      <c r="J50" s="37"/>
      <c r="K50" s="86">
        <f>tbl_estimated_costs_quantities[[#This Row],[Site Preparation]]*BOQs!$L$3</f>
        <v>0</v>
      </c>
      <c r="L50" s="76"/>
      <c r="M50" s="37"/>
      <c r="N50" s="86">
        <f>tbl_estimated_costs_quantities[[#This Row],[Demolition Removal Unsafe Structures]]*BOQs!$L$4</f>
        <v>0</v>
      </c>
      <c r="O50" s="76"/>
      <c r="P50" s="37"/>
      <c r="Q50" s="86">
        <f>tbl_estimated_costs_quantities[[#This Row],[Concrete Works]]*BOQs!$L$5</f>
        <v>0</v>
      </c>
      <c r="R50" s="76"/>
      <c r="S50" s="37"/>
      <c r="T50" s="86">
        <f>tbl_estimated_costs_quantities[[#This Row],[Closure External Openings Walls Windows]]*BOQs!$L$6</f>
        <v>0</v>
      </c>
      <c r="U50" s="76"/>
      <c r="V50" s="37"/>
      <c r="W50" s="86">
        <f>tbl_estimated_costs_quantities[[#This Row],[Plastering Painting]]*BOQs!$L$7</f>
        <v>0</v>
      </c>
      <c r="X50" s="76"/>
      <c r="Y50" s="37"/>
      <c r="Z50" s="86">
        <f>tbl_estimated_costs_quantities[[#This Row],[Floor Repairs]]*BOQs!$L$8</f>
        <v>0</v>
      </c>
      <c r="AA50" s="76"/>
      <c r="AB50" s="37"/>
      <c r="AC50" s="86">
        <f>tbl_estimated_costs_quantities[[#This Row],[Doors Replacement Repair]]*BOQs!$L$9</f>
        <v>0</v>
      </c>
      <c r="AD50" s="76"/>
      <c r="AE50" s="37"/>
      <c r="AF50" s="86">
        <f>tbl_estimated_costs_quantities[[#This Row],[Windows Replacement Repair]]*BOQs!$L$10</f>
        <v>0</v>
      </c>
      <c r="AG50" s="76"/>
      <c r="AH50" s="37"/>
      <c r="AI50" s="86">
        <f>tbl_estimated_costs_quantities[[#This Row],[Bathroom Rehabilitation]]*BOQs!$L$11</f>
        <v>0</v>
      </c>
      <c r="AJ50" s="76"/>
      <c r="AK50" s="37"/>
      <c r="AL50" s="86">
        <f>tbl_estimated_costs_quantities[[#This Row],[Ceramic Tile Works WASH]]*BOQs!$L$12</f>
        <v>0</v>
      </c>
      <c r="AM50" s="76"/>
      <c r="AN50" s="37"/>
      <c r="AO50" s="86">
        <f>tbl_estimated_costs_quantities[[#This Row],[Electrical Repairs Lighting]]*BOQs!$L$13</f>
        <v>0</v>
      </c>
      <c r="AP50" s="76"/>
      <c r="AQ50" s="37"/>
      <c r="AR50" s="86">
        <f>tbl_estimated_costs_quantities[[#This Row],[Roof Insulation Leak Sealing]]*BOQs!$L$14</f>
        <v>0</v>
      </c>
      <c r="AS50" s="76"/>
      <c r="AT50" s="37"/>
      <c r="AU50" s="86">
        <f>tbl_estimated_costs_quantities[[#This Row],[Chimney Duct Cleaning Repair]]*BOQs!$L$15</f>
        <v>0</v>
      </c>
      <c r="AV50" s="76"/>
      <c r="AW50" s="37"/>
      <c r="AX50" s="89">
        <f>tbl_estimated_costs_quantities[[#This Row],[Accessibility Adaptations]]*BOQs!$L$16</f>
        <v>0</v>
      </c>
      <c r="AY50" s="86" t="str">
        <f>IF(tbl_estimated_costs_quantities[[#This Row],[Total cost]]&lt;&gt;0,tbl_estimated_costs_quantities[[#This Row],[Total cost]]/BOQs!$A$1,"")</f>
        <v/>
      </c>
      <c r="AZ50" s="37"/>
      <c r="BA50" s="37"/>
      <c r="BB50" s="37"/>
      <c r="BC50" s="37"/>
      <c r="BD50" s="41"/>
      <c r="BE50" s="37"/>
      <c r="BF50" s="37"/>
      <c r="BG50" s="37"/>
      <c r="BH50" s="41"/>
    </row>
    <row r="51" spans="2:60" ht="25.15" customHeight="1" x14ac:dyDescent="0.25">
      <c r="B51" s="49">
        <v>47</v>
      </c>
      <c r="C51" s="37"/>
      <c r="D51" s="41"/>
      <c r="E51" s="40"/>
      <c r="F51" s="87" t="str">
        <f>IF(tbl_estimated_costs_quantities[[#This Row],[House Code]]&lt;&gt;"",INDEX(tbl_Assessment[],MATCH(tbl_estimated_costs_quantities[[#This Row],[House Code]],tbl_Assessment[House Code],0),3),"")</f>
        <v/>
      </c>
      <c r="G51" s="115" t="str">
        <f>IF(tbl_estimated_costs_quantities[[#This Row],[House Code]]&lt;&gt;"",INDEX(tbl_Assessment[],MATCH(tbl_estimated_costs_quantities[[#This Row],[House Code]],tbl_Assessment[House Code],0),9),"")</f>
        <v/>
      </c>
      <c r="H5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 s="75"/>
      <c r="J51" s="37"/>
      <c r="K51" s="86">
        <f>tbl_estimated_costs_quantities[[#This Row],[Site Preparation]]*BOQs!$L$3</f>
        <v>0</v>
      </c>
      <c r="L51" s="76"/>
      <c r="M51" s="37"/>
      <c r="N51" s="86">
        <f>tbl_estimated_costs_quantities[[#This Row],[Demolition Removal Unsafe Structures]]*BOQs!$L$4</f>
        <v>0</v>
      </c>
      <c r="O51" s="76"/>
      <c r="P51" s="37"/>
      <c r="Q51" s="86">
        <f>tbl_estimated_costs_quantities[[#This Row],[Concrete Works]]*BOQs!$L$5</f>
        <v>0</v>
      </c>
      <c r="R51" s="76"/>
      <c r="S51" s="37"/>
      <c r="T51" s="86">
        <f>tbl_estimated_costs_quantities[[#This Row],[Closure External Openings Walls Windows]]*BOQs!$L$6</f>
        <v>0</v>
      </c>
      <c r="U51" s="76"/>
      <c r="V51" s="37"/>
      <c r="W51" s="86">
        <f>tbl_estimated_costs_quantities[[#This Row],[Plastering Painting]]*BOQs!$L$7</f>
        <v>0</v>
      </c>
      <c r="X51" s="76"/>
      <c r="Y51" s="37"/>
      <c r="Z51" s="86">
        <f>tbl_estimated_costs_quantities[[#This Row],[Floor Repairs]]*BOQs!$L$8</f>
        <v>0</v>
      </c>
      <c r="AA51" s="76"/>
      <c r="AB51" s="37"/>
      <c r="AC51" s="86">
        <f>tbl_estimated_costs_quantities[[#This Row],[Doors Replacement Repair]]*BOQs!$L$9</f>
        <v>0</v>
      </c>
      <c r="AD51" s="76"/>
      <c r="AE51" s="37"/>
      <c r="AF51" s="86">
        <f>tbl_estimated_costs_quantities[[#This Row],[Windows Replacement Repair]]*BOQs!$L$10</f>
        <v>0</v>
      </c>
      <c r="AG51" s="76"/>
      <c r="AH51" s="37"/>
      <c r="AI51" s="86">
        <f>tbl_estimated_costs_quantities[[#This Row],[Bathroom Rehabilitation]]*BOQs!$L$11</f>
        <v>0</v>
      </c>
      <c r="AJ51" s="76"/>
      <c r="AK51" s="37"/>
      <c r="AL51" s="86">
        <f>tbl_estimated_costs_quantities[[#This Row],[Ceramic Tile Works WASH]]*BOQs!$L$12</f>
        <v>0</v>
      </c>
      <c r="AM51" s="76"/>
      <c r="AN51" s="37"/>
      <c r="AO51" s="86">
        <f>tbl_estimated_costs_quantities[[#This Row],[Electrical Repairs Lighting]]*BOQs!$L$13</f>
        <v>0</v>
      </c>
      <c r="AP51" s="76"/>
      <c r="AQ51" s="37"/>
      <c r="AR51" s="86">
        <f>tbl_estimated_costs_quantities[[#This Row],[Roof Insulation Leak Sealing]]*BOQs!$L$14</f>
        <v>0</v>
      </c>
      <c r="AS51" s="76"/>
      <c r="AT51" s="37"/>
      <c r="AU51" s="86">
        <f>tbl_estimated_costs_quantities[[#This Row],[Chimney Duct Cleaning Repair]]*BOQs!$L$15</f>
        <v>0</v>
      </c>
      <c r="AV51" s="76"/>
      <c r="AW51" s="37"/>
      <c r="AX51" s="89">
        <f>tbl_estimated_costs_quantities[[#This Row],[Accessibility Adaptations]]*BOQs!$L$16</f>
        <v>0</v>
      </c>
      <c r="AY51" s="86" t="str">
        <f>IF(tbl_estimated_costs_quantities[[#This Row],[Total cost]]&lt;&gt;0,tbl_estimated_costs_quantities[[#This Row],[Total cost]]/BOQs!$A$1,"")</f>
        <v/>
      </c>
      <c r="AZ51" s="37"/>
      <c r="BA51" s="37"/>
      <c r="BB51" s="37"/>
      <c r="BC51" s="37"/>
      <c r="BD51" s="41"/>
      <c r="BE51" s="37"/>
      <c r="BF51" s="37"/>
      <c r="BG51" s="37"/>
      <c r="BH51" s="41"/>
    </row>
    <row r="52" spans="2:60" ht="25.15" customHeight="1" x14ac:dyDescent="0.25">
      <c r="B52" s="49">
        <v>48</v>
      </c>
      <c r="C52" s="37"/>
      <c r="D52" s="41"/>
      <c r="E52" s="40"/>
      <c r="F52" s="87" t="str">
        <f>IF(tbl_estimated_costs_quantities[[#This Row],[House Code]]&lt;&gt;"",INDEX(tbl_Assessment[],MATCH(tbl_estimated_costs_quantities[[#This Row],[House Code]],tbl_Assessment[House Code],0),3),"")</f>
        <v/>
      </c>
      <c r="G52" s="115" t="str">
        <f>IF(tbl_estimated_costs_quantities[[#This Row],[House Code]]&lt;&gt;"",INDEX(tbl_Assessment[],MATCH(tbl_estimated_costs_quantities[[#This Row],[House Code]],tbl_Assessment[House Code],0),9),"")</f>
        <v/>
      </c>
      <c r="H5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 s="75"/>
      <c r="J52" s="37"/>
      <c r="K52" s="86">
        <f>tbl_estimated_costs_quantities[[#This Row],[Site Preparation]]*BOQs!$L$3</f>
        <v>0</v>
      </c>
      <c r="L52" s="76"/>
      <c r="M52" s="37"/>
      <c r="N52" s="86">
        <f>tbl_estimated_costs_quantities[[#This Row],[Demolition Removal Unsafe Structures]]*BOQs!$L$4</f>
        <v>0</v>
      </c>
      <c r="O52" s="76"/>
      <c r="P52" s="37"/>
      <c r="Q52" s="86">
        <f>tbl_estimated_costs_quantities[[#This Row],[Concrete Works]]*BOQs!$L$5</f>
        <v>0</v>
      </c>
      <c r="R52" s="76"/>
      <c r="S52" s="37"/>
      <c r="T52" s="86">
        <f>tbl_estimated_costs_quantities[[#This Row],[Closure External Openings Walls Windows]]*BOQs!$L$6</f>
        <v>0</v>
      </c>
      <c r="U52" s="76"/>
      <c r="V52" s="37"/>
      <c r="W52" s="86">
        <f>tbl_estimated_costs_quantities[[#This Row],[Plastering Painting]]*BOQs!$L$7</f>
        <v>0</v>
      </c>
      <c r="X52" s="76"/>
      <c r="Y52" s="37"/>
      <c r="Z52" s="86">
        <f>tbl_estimated_costs_quantities[[#This Row],[Floor Repairs]]*BOQs!$L$8</f>
        <v>0</v>
      </c>
      <c r="AA52" s="76"/>
      <c r="AB52" s="37"/>
      <c r="AC52" s="86">
        <f>tbl_estimated_costs_quantities[[#This Row],[Doors Replacement Repair]]*BOQs!$L$9</f>
        <v>0</v>
      </c>
      <c r="AD52" s="76"/>
      <c r="AE52" s="37"/>
      <c r="AF52" s="86">
        <f>tbl_estimated_costs_quantities[[#This Row],[Windows Replacement Repair]]*BOQs!$L$10</f>
        <v>0</v>
      </c>
      <c r="AG52" s="76"/>
      <c r="AH52" s="37"/>
      <c r="AI52" s="86">
        <f>tbl_estimated_costs_quantities[[#This Row],[Bathroom Rehabilitation]]*BOQs!$L$11</f>
        <v>0</v>
      </c>
      <c r="AJ52" s="76"/>
      <c r="AK52" s="37"/>
      <c r="AL52" s="86">
        <f>tbl_estimated_costs_quantities[[#This Row],[Ceramic Tile Works WASH]]*BOQs!$L$12</f>
        <v>0</v>
      </c>
      <c r="AM52" s="76"/>
      <c r="AN52" s="37"/>
      <c r="AO52" s="86">
        <f>tbl_estimated_costs_quantities[[#This Row],[Electrical Repairs Lighting]]*BOQs!$L$13</f>
        <v>0</v>
      </c>
      <c r="AP52" s="76"/>
      <c r="AQ52" s="37"/>
      <c r="AR52" s="86">
        <f>tbl_estimated_costs_quantities[[#This Row],[Roof Insulation Leak Sealing]]*BOQs!$L$14</f>
        <v>0</v>
      </c>
      <c r="AS52" s="76"/>
      <c r="AT52" s="37"/>
      <c r="AU52" s="86">
        <f>tbl_estimated_costs_quantities[[#This Row],[Chimney Duct Cleaning Repair]]*BOQs!$L$15</f>
        <v>0</v>
      </c>
      <c r="AV52" s="76"/>
      <c r="AW52" s="37"/>
      <c r="AX52" s="89">
        <f>tbl_estimated_costs_quantities[[#This Row],[Accessibility Adaptations]]*BOQs!$L$16</f>
        <v>0</v>
      </c>
      <c r="AY52" s="86" t="str">
        <f>IF(tbl_estimated_costs_quantities[[#This Row],[Total cost]]&lt;&gt;0,tbl_estimated_costs_quantities[[#This Row],[Total cost]]/BOQs!$A$1,"")</f>
        <v/>
      </c>
      <c r="AZ52" s="37"/>
      <c r="BA52" s="37"/>
      <c r="BB52" s="37"/>
      <c r="BC52" s="37"/>
      <c r="BD52" s="41"/>
      <c r="BE52" s="37"/>
      <c r="BF52" s="37"/>
      <c r="BG52" s="37"/>
      <c r="BH52" s="41"/>
    </row>
    <row r="53" spans="2:60" ht="25.15" customHeight="1" x14ac:dyDescent="0.25">
      <c r="B53" s="49">
        <v>49</v>
      </c>
      <c r="C53" s="37"/>
      <c r="D53" s="41"/>
      <c r="E53" s="40"/>
      <c r="F53" s="87" t="str">
        <f>IF(tbl_estimated_costs_quantities[[#This Row],[House Code]]&lt;&gt;"",INDEX(tbl_Assessment[],MATCH(tbl_estimated_costs_quantities[[#This Row],[House Code]],tbl_Assessment[House Code],0),3),"")</f>
        <v/>
      </c>
      <c r="G53" s="115" t="str">
        <f>IF(tbl_estimated_costs_quantities[[#This Row],[House Code]]&lt;&gt;"",INDEX(tbl_Assessment[],MATCH(tbl_estimated_costs_quantities[[#This Row],[House Code]],tbl_Assessment[House Code],0),9),"")</f>
        <v/>
      </c>
      <c r="H5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 s="75"/>
      <c r="J53" s="37"/>
      <c r="K53" s="86">
        <f>tbl_estimated_costs_quantities[[#This Row],[Site Preparation]]*BOQs!$L$3</f>
        <v>0</v>
      </c>
      <c r="L53" s="76"/>
      <c r="M53" s="37"/>
      <c r="N53" s="86">
        <f>tbl_estimated_costs_quantities[[#This Row],[Demolition Removal Unsafe Structures]]*BOQs!$L$4</f>
        <v>0</v>
      </c>
      <c r="O53" s="76"/>
      <c r="P53" s="37"/>
      <c r="Q53" s="86">
        <f>tbl_estimated_costs_quantities[[#This Row],[Concrete Works]]*BOQs!$L$5</f>
        <v>0</v>
      </c>
      <c r="R53" s="76"/>
      <c r="S53" s="37"/>
      <c r="T53" s="86">
        <f>tbl_estimated_costs_quantities[[#This Row],[Closure External Openings Walls Windows]]*BOQs!$L$6</f>
        <v>0</v>
      </c>
      <c r="U53" s="76"/>
      <c r="V53" s="37"/>
      <c r="W53" s="86">
        <f>tbl_estimated_costs_quantities[[#This Row],[Plastering Painting]]*BOQs!$L$7</f>
        <v>0</v>
      </c>
      <c r="X53" s="76"/>
      <c r="Y53" s="37"/>
      <c r="Z53" s="86">
        <f>tbl_estimated_costs_quantities[[#This Row],[Floor Repairs]]*BOQs!$L$8</f>
        <v>0</v>
      </c>
      <c r="AA53" s="76"/>
      <c r="AB53" s="37"/>
      <c r="AC53" s="86">
        <f>tbl_estimated_costs_quantities[[#This Row],[Doors Replacement Repair]]*BOQs!$L$9</f>
        <v>0</v>
      </c>
      <c r="AD53" s="76"/>
      <c r="AE53" s="37"/>
      <c r="AF53" s="86">
        <f>tbl_estimated_costs_quantities[[#This Row],[Windows Replacement Repair]]*BOQs!$L$10</f>
        <v>0</v>
      </c>
      <c r="AG53" s="76"/>
      <c r="AH53" s="37"/>
      <c r="AI53" s="86">
        <f>tbl_estimated_costs_quantities[[#This Row],[Bathroom Rehabilitation]]*BOQs!$L$11</f>
        <v>0</v>
      </c>
      <c r="AJ53" s="76"/>
      <c r="AK53" s="37"/>
      <c r="AL53" s="86">
        <f>tbl_estimated_costs_quantities[[#This Row],[Ceramic Tile Works WASH]]*BOQs!$L$12</f>
        <v>0</v>
      </c>
      <c r="AM53" s="76"/>
      <c r="AN53" s="37"/>
      <c r="AO53" s="86">
        <f>tbl_estimated_costs_quantities[[#This Row],[Electrical Repairs Lighting]]*BOQs!$L$13</f>
        <v>0</v>
      </c>
      <c r="AP53" s="76"/>
      <c r="AQ53" s="37"/>
      <c r="AR53" s="86">
        <f>tbl_estimated_costs_quantities[[#This Row],[Roof Insulation Leak Sealing]]*BOQs!$L$14</f>
        <v>0</v>
      </c>
      <c r="AS53" s="76"/>
      <c r="AT53" s="37"/>
      <c r="AU53" s="86">
        <f>tbl_estimated_costs_quantities[[#This Row],[Chimney Duct Cleaning Repair]]*BOQs!$L$15</f>
        <v>0</v>
      </c>
      <c r="AV53" s="76"/>
      <c r="AW53" s="37"/>
      <c r="AX53" s="89">
        <f>tbl_estimated_costs_quantities[[#This Row],[Accessibility Adaptations]]*BOQs!$L$16</f>
        <v>0</v>
      </c>
      <c r="AY53" s="86" t="str">
        <f>IF(tbl_estimated_costs_quantities[[#This Row],[Total cost]]&lt;&gt;0,tbl_estimated_costs_quantities[[#This Row],[Total cost]]/BOQs!$A$1,"")</f>
        <v/>
      </c>
      <c r="AZ53" s="37"/>
      <c r="BA53" s="37"/>
      <c r="BB53" s="37"/>
      <c r="BC53" s="37"/>
      <c r="BD53" s="41"/>
      <c r="BE53" s="37"/>
      <c r="BF53" s="37"/>
      <c r="BG53" s="37"/>
      <c r="BH53" s="41"/>
    </row>
    <row r="54" spans="2:60" ht="25.15" customHeight="1" x14ac:dyDescent="0.25">
      <c r="B54" s="49">
        <v>50</v>
      </c>
      <c r="C54" s="37"/>
      <c r="D54" s="41"/>
      <c r="E54" s="40"/>
      <c r="F54" s="87" t="str">
        <f>IF(tbl_estimated_costs_quantities[[#This Row],[House Code]]&lt;&gt;"",INDEX(tbl_Assessment[],MATCH(tbl_estimated_costs_quantities[[#This Row],[House Code]],tbl_Assessment[House Code],0),3),"")</f>
        <v/>
      </c>
      <c r="G54" s="115" t="str">
        <f>IF(tbl_estimated_costs_quantities[[#This Row],[House Code]]&lt;&gt;"",INDEX(tbl_Assessment[],MATCH(tbl_estimated_costs_quantities[[#This Row],[House Code]],tbl_Assessment[House Code],0),9),"")</f>
        <v/>
      </c>
      <c r="H5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 s="75"/>
      <c r="J54" s="37"/>
      <c r="K54" s="86">
        <f>tbl_estimated_costs_quantities[[#This Row],[Site Preparation]]*BOQs!$L$3</f>
        <v>0</v>
      </c>
      <c r="L54" s="76"/>
      <c r="M54" s="37"/>
      <c r="N54" s="86">
        <f>tbl_estimated_costs_quantities[[#This Row],[Demolition Removal Unsafe Structures]]*BOQs!$L$4</f>
        <v>0</v>
      </c>
      <c r="O54" s="76"/>
      <c r="P54" s="37"/>
      <c r="Q54" s="86">
        <f>tbl_estimated_costs_quantities[[#This Row],[Concrete Works]]*BOQs!$L$5</f>
        <v>0</v>
      </c>
      <c r="R54" s="76"/>
      <c r="S54" s="37"/>
      <c r="T54" s="86">
        <f>tbl_estimated_costs_quantities[[#This Row],[Closure External Openings Walls Windows]]*BOQs!$L$6</f>
        <v>0</v>
      </c>
      <c r="U54" s="76"/>
      <c r="V54" s="37"/>
      <c r="W54" s="86">
        <f>tbl_estimated_costs_quantities[[#This Row],[Plastering Painting]]*BOQs!$L$7</f>
        <v>0</v>
      </c>
      <c r="X54" s="76"/>
      <c r="Y54" s="37"/>
      <c r="Z54" s="86">
        <f>tbl_estimated_costs_quantities[[#This Row],[Floor Repairs]]*BOQs!$L$8</f>
        <v>0</v>
      </c>
      <c r="AA54" s="76"/>
      <c r="AB54" s="37"/>
      <c r="AC54" s="86">
        <f>tbl_estimated_costs_quantities[[#This Row],[Doors Replacement Repair]]*BOQs!$L$9</f>
        <v>0</v>
      </c>
      <c r="AD54" s="76"/>
      <c r="AE54" s="37"/>
      <c r="AF54" s="86">
        <f>tbl_estimated_costs_quantities[[#This Row],[Windows Replacement Repair]]*BOQs!$L$10</f>
        <v>0</v>
      </c>
      <c r="AG54" s="76"/>
      <c r="AH54" s="37"/>
      <c r="AI54" s="86">
        <f>tbl_estimated_costs_quantities[[#This Row],[Bathroom Rehabilitation]]*BOQs!$L$11</f>
        <v>0</v>
      </c>
      <c r="AJ54" s="76"/>
      <c r="AK54" s="37"/>
      <c r="AL54" s="86">
        <f>tbl_estimated_costs_quantities[[#This Row],[Ceramic Tile Works WASH]]*BOQs!$L$12</f>
        <v>0</v>
      </c>
      <c r="AM54" s="76"/>
      <c r="AN54" s="37"/>
      <c r="AO54" s="86">
        <f>tbl_estimated_costs_quantities[[#This Row],[Electrical Repairs Lighting]]*BOQs!$L$13</f>
        <v>0</v>
      </c>
      <c r="AP54" s="76"/>
      <c r="AQ54" s="37"/>
      <c r="AR54" s="86">
        <f>tbl_estimated_costs_quantities[[#This Row],[Roof Insulation Leak Sealing]]*BOQs!$L$14</f>
        <v>0</v>
      </c>
      <c r="AS54" s="76"/>
      <c r="AT54" s="37"/>
      <c r="AU54" s="86">
        <f>tbl_estimated_costs_quantities[[#This Row],[Chimney Duct Cleaning Repair]]*BOQs!$L$15</f>
        <v>0</v>
      </c>
      <c r="AV54" s="76"/>
      <c r="AW54" s="37"/>
      <c r="AX54" s="89">
        <f>tbl_estimated_costs_quantities[[#This Row],[Accessibility Adaptations]]*BOQs!$L$16</f>
        <v>0</v>
      </c>
      <c r="AY54" s="86" t="str">
        <f>IF(tbl_estimated_costs_quantities[[#This Row],[Total cost]]&lt;&gt;0,tbl_estimated_costs_quantities[[#This Row],[Total cost]]/BOQs!$A$1,"")</f>
        <v/>
      </c>
      <c r="AZ54" s="37"/>
      <c r="BA54" s="37"/>
      <c r="BB54" s="37"/>
      <c r="BC54" s="37"/>
      <c r="BD54" s="41"/>
      <c r="BE54" s="37"/>
      <c r="BF54" s="37"/>
      <c r="BG54" s="37"/>
      <c r="BH54" s="41"/>
    </row>
    <row r="55" spans="2:60" ht="25.15" customHeight="1" x14ac:dyDescent="0.25">
      <c r="B55" s="49">
        <v>51</v>
      </c>
      <c r="C55" s="37"/>
      <c r="D55" s="41"/>
      <c r="E55" s="40"/>
      <c r="F55" s="87" t="str">
        <f>IF(tbl_estimated_costs_quantities[[#This Row],[House Code]]&lt;&gt;"",INDEX(tbl_Assessment[],MATCH(tbl_estimated_costs_quantities[[#This Row],[House Code]],tbl_Assessment[House Code],0),3),"")</f>
        <v/>
      </c>
      <c r="G55" s="115" t="str">
        <f>IF(tbl_estimated_costs_quantities[[#This Row],[House Code]]&lt;&gt;"",INDEX(tbl_Assessment[],MATCH(tbl_estimated_costs_quantities[[#This Row],[House Code]],tbl_Assessment[House Code],0),9),"")</f>
        <v/>
      </c>
      <c r="H5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 s="75"/>
      <c r="J55" s="37"/>
      <c r="K55" s="86">
        <f>tbl_estimated_costs_quantities[[#This Row],[Site Preparation]]*BOQs!$L$3</f>
        <v>0</v>
      </c>
      <c r="L55" s="76"/>
      <c r="M55" s="37"/>
      <c r="N55" s="86">
        <f>tbl_estimated_costs_quantities[[#This Row],[Demolition Removal Unsafe Structures]]*BOQs!$L$4</f>
        <v>0</v>
      </c>
      <c r="O55" s="76"/>
      <c r="P55" s="37"/>
      <c r="Q55" s="86">
        <f>tbl_estimated_costs_quantities[[#This Row],[Concrete Works]]*BOQs!$L$5</f>
        <v>0</v>
      </c>
      <c r="R55" s="76"/>
      <c r="S55" s="37"/>
      <c r="T55" s="86">
        <f>tbl_estimated_costs_quantities[[#This Row],[Closure External Openings Walls Windows]]*BOQs!$L$6</f>
        <v>0</v>
      </c>
      <c r="U55" s="76"/>
      <c r="V55" s="37"/>
      <c r="W55" s="86">
        <f>tbl_estimated_costs_quantities[[#This Row],[Plastering Painting]]*BOQs!$L$7</f>
        <v>0</v>
      </c>
      <c r="X55" s="76"/>
      <c r="Y55" s="37"/>
      <c r="Z55" s="86">
        <f>tbl_estimated_costs_quantities[[#This Row],[Floor Repairs]]*BOQs!$L$8</f>
        <v>0</v>
      </c>
      <c r="AA55" s="76"/>
      <c r="AB55" s="37"/>
      <c r="AC55" s="86">
        <f>tbl_estimated_costs_quantities[[#This Row],[Doors Replacement Repair]]*BOQs!$L$9</f>
        <v>0</v>
      </c>
      <c r="AD55" s="76"/>
      <c r="AE55" s="37"/>
      <c r="AF55" s="86">
        <f>tbl_estimated_costs_quantities[[#This Row],[Windows Replacement Repair]]*BOQs!$L$10</f>
        <v>0</v>
      </c>
      <c r="AG55" s="76"/>
      <c r="AH55" s="37"/>
      <c r="AI55" s="86">
        <f>tbl_estimated_costs_quantities[[#This Row],[Bathroom Rehabilitation]]*BOQs!$L$11</f>
        <v>0</v>
      </c>
      <c r="AJ55" s="76"/>
      <c r="AK55" s="37"/>
      <c r="AL55" s="86">
        <f>tbl_estimated_costs_quantities[[#This Row],[Ceramic Tile Works WASH]]*BOQs!$L$12</f>
        <v>0</v>
      </c>
      <c r="AM55" s="76"/>
      <c r="AN55" s="37"/>
      <c r="AO55" s="86">
        <f>tbl_estimated_costs_quantities[[#This Row],[Electrical Repairs Lighting]]*BOQs!$L$13</f>
        <v>0</v>
      </c>
      <c r="AP55" s="76"/>
      <c r="AQ55" s="37"/>
      <c r="AR55" s="86">
        <f>tbl_estimated_costs_quantities[[#This Row],[Roof Insulation Leak Sealing]]*BOQs!$L$14</f>
        <v>0</v>
      </c>
      <c r="AS55" s="76"/>
      <c r="AT55" s="37"/>
      <c r="AU55" s="86">
        <f>tbl_estimated_costs_quantities[[#This Row],[Chimney Duct Cleaning Repair]]*BOQs!$L$15</f>
        <v>0</v>
      </c>
      <c r="AV55" s="76"/>
      <c r="AW55" s="37"/>
      <c r="AX55" s="89">
        <f>tbl_estimated_costs_quantities[[#This Row],[Accessibility Adaptations]]*BOQs!$L$16</f>
        <v>0</v>
      </c>
      <c r="AY55" s="86" t="str">
        <f>IF(tbl_estimated_costs_quantities[[#This Row],[Total cost]]&lt;&gt;0,tbl_estimated_costs_quantities[[#This Row],[Total cost]]/BOQs!$A$1,"")</f>
        <v/>
      </c>
      <c r="AZ55" s="37"/>
      <c r="BA55" s="37"/>
      <c r="BB55" s="37"/>
      <c r="BC55" s="37"/>
      <c r="BD55" s="41"/>
      <c r="BE55" s="37"/>
      <c r="BF55" s="37"/>
      <c r="BG55" s="37"/>
      <c r="BH55" s="41"/>
    </row>
    <row r="56" spans="2:60" ht="25.15" customHeight="1" x14ac:dyDescent="0.25">
      <c r="B56" s="49">
        <v>52</v>
      </c>
      <c r="C56" s="37"/>
      <c r="D56" s="41"/>
      <c r="E56" s="40"/>
      <c r="F56" s="87" t="str">
        <f>IF(tbl_estimated_costs_quantities[[#This Row],[House Code]]&lt;&gt;"",INDEX(tbl_Assessment[],MATCH(tbl_estimated_costs_quantities[[#This Row],[House Code]],tbl_Assessment[House Code],0),3),"")</f>
        <v/>
      </c>
      <c r="G56" s="115" t="str">
        <f>IF(tbl_estimated_costs_quantities[[#This Row],[House Code]]&lt;&gt;"",INDEX(tbl_Assessment[],MATCH(tbl_estimated_costs_quantities[[#This Row],[House Code]],tbl_Assessment[House Code],0),9),"")</f>
        <v/>
      </c>
      <c r="H5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 s="75"/>
      <c r="J56" s="37"/>
      <c r="K56" s="86">
        <f>tbl_estimated_costs_quantities[[#This Row],[Site Preparation]]*BOQs!$L$3</f>
        <v>0</v>
      </c>
      <c r="L56" s="76"/>
      <c r="M56" s="37"/>
      <c r="N56" s="86">
        <f>tbl_estimated_costs_quantities[[#This Row],[Demolition Removal Unsafe Structures]]*BOQs!$L$4</f>
        <v>0</v>
      </c>
      <c r="O56" s="76"/>
      <c r="P56" s="37"/>
      <c r="Q56" s="86">
        <f>tbl_estimated_costs_quantities[[#This Row],[Concrete Works]]*BOQs!$L$5</f>
        <v>0</v>
      </c>
      <c r="R56" s="76"/>
      <c r="S56" s="37"/>
      <c r="T56" s="86">
        <f>tbl_estimated_costs_quantities[[#This Row],[Closure External Openings Walls Windows]]*BOQs!$L$6</f>
        <v>0</v>
      </c>
      <c r="U56" s="76"/>
      <c r="V56" s="37"/>
      <c r="W56" s="86">
        <f>tbl_estimated_costs_quantities[[#This Row],[Plastering Painting]]*BOQs!$L$7</f>
        <v>0</v>
      </c>
      <c r="X56" s="76"/>
      <c r="Y56" s="37"/>
      <c r="Z56" s="86">
        <f>tbl_estimated_costs_quantities[[#This Row],[Floor Repairs]]*BOQs!$L$8</f>
        <v>0</v>
      </c>
      <c r="AA56" s="76"/>
      <c r="AB56" s="37"/>
      <c r="AC56" s="86">
        <f>tbl_estimated_costs_quantities[[#This Row],[Doors Replacement Repair]]*BOQs!$L$9</f>
        <v>0</v>
      </c>
      <c r="AD56" s="76"/>
      <c r="AE56" s="37"/>
      <c r="AF56" s="86">
        <f>tbl_estimated_costs_quantities[[#This Row],[Windows Replacement Repair]]*BOQs!$L$10</f>
        <v>0</v>
      </c>
      <c r="AG56" s="76"/>
      <c r="AH56" s="37"/>
      <c r="AI56" s="86">
        <f>tbl_estimated_costs_quantities[[#This Row],[Bathroom Rehabilitation]]*BOQs!$L$11</f>
        <v>0</v>
      </c>
      <c r="AJ56" s="76"/>
      <c r="AK56" s="37"/>
      <c r="AL56" s="86">
        <f>tbl_estimated_costs_quantities[[#This Row],[Ceramic Tile Works WASH]]*BOQs!$L$12</f>
        <v>0</v>
      </c>
      <c r="AM56" s="76"/>
      <c r="AN56" s="37"/>
      <c r="AO56" s="86">
        <f>tbl_estimated_costs_quantities[[#This Row],[Electrical Repairs Lighting]]*BOQs!$L$13</f>
        <v>0</v>
      </c>
      <c r="AP56" s="76"/>
      <c r="AQ56" s="37"/>
      <c r="AR56" s="86">
        <f>tbl_estimated_costs_quantities[[#This Row],[Roof Insulation Leak Sealing]]*BOQs!$L$14</f>
        <v>0</v>
      </c>
      <c r="AS56" s="76"/>
      <c r="AT56" s="37"/>
      <c r="AU56" s="86">
        <f>tbl_estimated_costs_quantities[[#This Row],[Chimney Duct Cleaning Repair]]*BOQs!$L$15</f>
        <v>0</v>
      </c>
      <c r="AV56" s="76"/>
      <c r="AW56" s="37"/>
      <c r="AX56" s="89">
        <f>tbl_estimated_costs_quantities[[#This Row],[Accessibility Adaptations]]*BOQs!$L$16</f>
        <v>0</v>
      </c>
      <c r="AY56" s="86" t="str">
        <f>IF(tbl_estimated_costs_quantities[[#This Row],[Total cost]]&lt;&gt;0,tbl_estimated_costs_quantities[[#This Row],[Total cost]]/BOQs!$A$1,"")</f>
        <v/>
      </c>
      <c r="AZ56" s="37"/>
      <c r="BA56" s="37"/>
      <c r="BB56" s="37"/>
      <c r="BC56" s="37"/>
      <c r="BD56" s="41"/>
      <c r="BE56" s="37"/>
      <c r="BF56" s="37"/>
      <c r="BG56" s="37"/>
      <c r="BH56" s="41"/>
    </row>
    <row r="57" spans="2:60" ht="25.15" customHeight="1" x14ac:dyDescent="0.25">
      <c r="B57" s="49">
        <v>53</v>
      </c>
      <c r="C57" s="37"/>
      <c r="D57" s="41"/>
      <c r="E57" s="40"/>
      <c r="F57" s="87" t="str">
        <f>IF(tbl_estimated_costs_quantities[[#This Row],[House Code]]&lt;&gt;"",INDEX(tbl_Assessment[],MATCH(tbl_estimated_costs_quantities[[#This Row],[House Code]],tbl_Assessment[House Code],0),3),"")</f>
        <v/>
      </c>
      <c r="G57" s="115" t="str">
        <f>IF(tbl_estimated_costs_quantities[[#This Row],[House Code]]&lt;&gt;"",INDEX(tbl_Assessment[],MATCH(tbl_estimated_costs_quantities[[#This Row],[House Code]],tbl_Assessment[House Code],0),9),"")</f>
        <v/>
      </c>
      <c r="H5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 s="75"/>
      <c r="J57" s="37"/>
      <c r="K57" s="86">
        <f>tbl_estimated_costs_quantities[[#This Row],[Site Preparation]]*BOQs!$L$3</f>
        <v>0</v>
      </c>
      <c r="L57" s="76"/>
      <c r="M57" s="37"/>
      <c r="N57" s="86">
        <f>tbl_estimated_costs_quantities[[#This Row],[Demolition Removal Unsafe Structures]]*BOQs!$L$4</f>
        <v>0</v>
      </c>
      <c r="O57" s="76"/>
      <c r="P57" s="37"/>
      <c r="Q57" s="86">
        <f>tbl_estimated_costs_quantities[[#This Row],[Concrete Works]]*BOQs!$L$5</f>
        <v>0</v>
      </c>
      <c r="R57" s="76"/>
      <c r="S57" s="37"/>
      <c r="T57" s="86">
        <f>tbl_estimated_costs_quantities[[#This Row],[Closure External Openings Walls Windows]]*BOQs!$L$6</f>
        <v>0</v>
      </c>
      <c r="U57" s="76"/>
      <c r="V57" s="37"/>
      <c r="W57" s="86">
        <f>tbl_estimated_costs_quantities[[#This Row],[Plastering Painting]]*BOQs!$L$7</f>
        <v>0</v>
      </c>
      <c r="X57" s="76"/>
      <c r="Y57" s="37"/>
      <c r="Z57" s="86">
        <f>tbl_estimated_costs_quantities[[#This Row],[Floor Repairs]]*BOQs!$L$8</f>
        <v>0</v>
      </c>
      <c r="AA57" s="76"/>
      <c r="AB57" s="37"/>
      <c r="AC57" s="86">
        <f>tbl_estimated_costs_quantities[[#This Row],[Doors Replacement Repair]]*BOQs!$L$9</f>
        <v>0</v>
      </c>
      <c r="AD57" s="76"/>
      <c r="AE57" s="37"/>
      <c r="AF57" s="86">
        <f>tbl_estimated_costs_quantities[[#This Row],[Windows Replacement Repair]]*BOQs!$L$10</f>
        <v>0</v>
      </c>
      <c r="AG57" s="76"/>
      <c r="AH57" s="37"/>
      <c r="AI57" s="86">
        <f>tbl_estimated_costs_quantities[[#This Row],[Bathroom Rehabilitation]]*BOQs!$L$11</f>
        <v>0</v>
      </c>
      <c r="AJ57" s="76"/>
      <c r="AK57" s="37"/>
      <c r="AL57" s="86">
        <f>tbl_estimated_costs_quantities[[#This Row],[Ceramic Tile Works WASH]]*BOQs!$L$12</f>
        <v>0</v>
      </c>
      <c r="AM57" s="76"/>
      <c r="AN57" s="37"/>
      <c r="AO57" s="86">
        <f>tbl_estimated_costs_quantities[[#This Row],[Electrical Repairs Lighting]]*BOQs!$L$13</f>
        <v>0</v>
      </c>
      <c r="AP57" s="76"/>
      <c r="AQ57" s="37"/>
      <c r="AR57" s="86">
        <f>tbl_estimated_costs_quantities[[#This Row],[Roof Insulation Leak Sealing]]*BOQs!$L$14</f>
        <v>0</v>
      </c>
      <c r="AS57" s="76"/>
      <c r="AT57" s="37"/>
      <c r="AU57" s="86">
        <f>tbl_estimated_costs_quantities[[#This Row],[Chimney Duct Cleaning Repair]]*BOQs!$L$15</f>
        <v>0</v>
      </c>
      <c r="AV57" s="76"/>
      <c r="AW57" s="37"/>
      <c r="AX57" s="89">
        <f>tbl_estimated_costs_quantities[[#This Row],[Accessibility Adaptations]]*BOQs!$L$16</f>
        <v>0</v>
      </c>
      <c r="AY57" s="86" t="str">
        <f>IF(tbl_estimated_costs_quantities[[#This Row],[Total cost]]&lt;&gt;0,tbl_estimated_costs_quantities[[#This Row],[Total cost]]/BOQs!$A$1,"")</f>
        <v/>
      </c>
      <c r="AZ57" s="37"/>
      <c r="BA57" s="37"/>
      <c r="BB57" s="37"/>
      <c r="BC57" s="37"/>
      <c r="BD57" s="41"/>
      <c r="BE57" s="37"/>
      <c r="BF57" s="37"/>
      <c r="BG57" s="37"/>
      <c r="BH57" s="41"/>
    </row>
    <row r="58" spans="2:60" ht="25.15" customHeight="1" x14ac:dyDescent="0.25">
      <c r="B58" s="49">
        <v>54</v>
      </c>
      <c r="C58" s="37"/>
      <c r="D58" s="41"/>
      <c r="E58" s="40"/>
      <c r="F58" s="87" t="str">
        <f>IF(tbl_estimated_costs_quantities[[#This Row],[House Code]]&lt;&gt;"",INDEX(tbl_Assessment[],MATCH(tbl_estimated_costs_quantities[[#This Row],[House Code]],tbl_Assessment[House Code],0),3),"")</f>
        <v/>
      </c>
      <c r="G58" s="115" t="str">
        <f>IF(tbl_estimated_costs_quantities[[#This Row],[House Code]]&lt;&gt;"",INDEX(tbl_Assessment[],MATCH(tbl_estimated_costs_quantities[[#This Row],[House Code]],tbl_Assessment[House Code],0),9),"")</f>
        <v/>
      </c>
      <c r="H5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 s="75"/>
      <c r="J58" s="37"/>
      <c r="K58" s="86">
        <f>tbl_estimated_costs_quantities[[#This Row],[Site Preparation]]*BOQs!$L$3</f>
        <v>0</v>
      </c>
      <c r="L58" s="76"/>
      <c r="M58" s="37"/>
      <c r="N58" s="86">
        <f>tbl_estimated_costs_quantities[[#This Row],[Demolition Removal Unsafe Structures]]*BOQs!$L$4</f>
        <v>0</v>
      </c>
      <c r="O58" s="76"/>
      <c r="P58" s="37"/>
      <c r="Q58" s="86">
        <f>tbl_estimated_costs_quantities[[#This Row],[Concrete Works]]*BOQs!$L$5</f>
        <v>0</v>
      </c>
      <c r="R58" s="76"/>
      <c r="S58" s="37"/>
      <c r="T58" s="86">
        <f>tbl_estimated_costs_quantities[[#This Row],[Closure External Openings Walls Windows]]*BOQs!$L$6</f>
        <v>0</v>
      </c>
      <c r="U58" s="76"/>
      <c r="V58" s="37"/>
      <c r="W58" s="86">
        <f>tbl_estimated_costs_quantities[[#This Row],[Plastering Painting]]*BOQs!$L$7</f>
        <v>0</v>
      </c>
      <c r="X58" s="76"/>
      <c r="Y58" s="37"/>
      <c r="Z58" s="86">
        <f>tbl_estimated_costs_quantities[[#This Row],[Floor Repairs]]*BOQs!$L$8</f>
        <v>0</v>
      </c>
      <c r="AA58" s="76"/>
      <c r="AB58" s="37"/>
      <c r="AC58" s="86">
        <f>tbl_estimated_costs_quantities[[#This Row],[Doors Replacement Repair]]*BOQs!$L$9</f>
        <v>0</v>
      </c>
      <c r="AD58" s="76"/>
      <c r="AE58" s="37"/>
      <c r="AF58" s="86">
        <f>tbl_estimated_costs_quantities[[#This Row],[Windows Replacement Repair]]*BOQs!$L$10</f>
        <v>0</v>
      </c>
      <c r="AG58" s="76"/>
      <c r="AH58" s="37"/>
      <c r="AI58" s="86">
        <f>tbl_estimated_costs_quantities[[#This Row],[Bathroom Rehabilitation]]*BOQs!$L$11</f>
        <v>0</v>
      </c>
      <c r="AJ58" s="76"/>
      <c r="AK58" s="37"/>
      <c r="AL58" s="86">
        <f>tbl_estimated_costs_quantities[[#This Row],[Ceramic Tile Works WASH]]*BOQs!$L$12</f>
        <v>0</v>
      </c>
      <c r="AM58" s="76"/>
      <c r="AN58" s="37"/>
      <c r="AO58" s="86">
        <f>tbl_estimated_costs_quantities[[#This Row],[Electrical Repairs Lighting]]*BOQs!$L$13</f>
        <v>0</v>
      </c>
      <c r="AP58" s="76"/>
      <c r="AQ58" s="37"/>
      <c r="AR58" s="86">
        <f>tbl_estimated_costs_quantities[[#This Row],[Roof Insulation Leak Sealing]]*BOQs!$L$14</f>
        <v>0</v>
      </c>
      <c r="AS58" s="76"/>
      <c r="AT58" s="37"/>
      <c r="AU58" s="86">
        <f>tbl_estimated_costs_quantities[[#This Row],[Chimney Duct Cleaning Repair]]*BOQs!$L$15</f>
        <v>0</v>
      </c>
      <c r="AV58" s="76"/>
      <c r="AW58" s="37"/>
      <c r="AX58" s="89">
        <f>tbl_estimated_costs_quantities[[#This Row],[Accessibility Adaptations]]*BOQs!$L$16</f>
        <v>0</v>
      </c>
      <c r="AY58" s="86" t="str">
        <f>IF(tbl_estimated_costs_quantities[[#This Row],[Total cost]]&lt;&gt;0,tbl_estimated_costs_quantities[[#This Row],[Total cost]]/BOQs!$A$1,"")</f>
        <v/>
      </c>
      <c r="AZ58" s="37"/>
      <c r="BA58" s="37"/>
      <c r="BB58" s="37"/>
      <c r="BC58" s="37"/>
      <c r="BD58" s="41"/>
      <c r="BE58" s="37"/>
      <c r="BF58" s="37"/>
      <c r="BG58" s="37"/>
      <c r="BH58" s="41"/>
    </row>
    <row r="59" spans="2:60" ht="25.15" customHeight="1" x14ac:dyDescent="0.25">
      <c r="B59" s="49">
        <v>55</v>
      </c>
      <c r="C59" s="37"/>
      <c r="D59" s="41"/>
      <c r="E59" s="40"/>
      <c r="F59" s="87" t="str">
        <f>IF(tbl_estimated_costs_quantities[[#This Row],[House Code]]&lt;&gt;"",INDEX(tbl_Assessment[],MATCH(tbl_estimated_costs_quantities[[#This Row],[House Code]],tbl_Assessment[House Code],0),3),"")</f>
        <v/>
      </c>
      <c r="G59" s="115" t="str">
        <f>IF(tbl_estimated_costs_quantities[[#This Row],[House Code]]&lt;&gt;"",INDEX(tbl_Assessment[],MATCH(tbl_estimated_costs_quantities[[#This Row],[House Code]],tbl_Assessment[House Code],0),9),"")</f>
        <v/>
      </c>
      <c r="H5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 s="75"/>
      <c r="J59" s="37"/>
      <c r="K59" s="86">
        <f>tbl_estimated_costs_quantities[[#This Row],[Site Preparation]]*BOQs!$L$3</f>
        <v>0</v>
      </c>
      <c r="L59" s="76"/>
      <c r="M59" s="37"/>
      <c r="N59" s="86">
        <f>tbl_estimated_costs_quantities[[#This Row],[Demolition Removal Unsafe Structures]]*BOQs!$L$4</f>
        <v>0</v>
      </c>
      <c r="O59" s="76"/>
      <c r="P59" s="37"/>
      <c r="Q59" s="86">
        <f>tbl_estimated_costs_quantities[[#This Row],[Concrete Works]]*BOQs!$L$5</f>
        <v>0</v>
      </c>
      <c r="R59" s="76"/>
      <c r="S59" s="37"/>
      <c r="T59" s="86">
        <f>tbl_estimated_costs_quantities[[#This Row],[Closure External Openings Walls Windows]]*BOQs!$L$6</f>
        <v>0</v>
      </c>
      <c r="U59" s="76"/>
      <c r="V59" s="37"/>
      <c r="W59" s="86">
        <f>tbl_estimated_costs_quantities[[#This Row],[Plastering Painting]]*BOQs!$L$7</f>
        <v>0</v>
      </c>
      <c r="X59" s="76"/>
      <c r="Y59" s="37"/>
      <c r="Z59" s="86">
        <f>tbl_estimated_costs_quantities[[#This Row],[Floor Repairs]]*BOQs!$L$8</f>
        <v>0</v>
      </c>
      <c r="AA59" s="76"/>
      <c r="AB59" s="37"/>
      <c r="AC59" s="86">
        <f>tbl_estimated_costs_quantities[[#This Row],[Doors Replacement Repair]]*BOQs!$L$9</f>
        <v>0</v>
      </c>
      <c r="AD59" s="76"/>
      <c r="AE59" s="37"/>
      <c r="AF59" s="86">
        <f>tbl_estimated_costs_quantities[[#This Row],[Windows Replacement Repair]]*BOQs!$L$10</f>
        <v>0</v>
      </c>
      <c r="AG59" s="76"/>
      <c r="AH59" s="37"/>
      <c r="AI59" s="86">
        <f>tbl_estimated_costs_quantities[[#This Row],[Bathroom Rehabilitation]]*BOQs!$L$11</f>
        <v>0</v>
      </c>
      <c r="AJ59" s="76"/>
      <c r="AK59" s="37"/>
      <c r="AL59" s="86">
        <f>tbl_estimated_costs_quantities[[#This Row],[Ceramic Tile Works WASH]]*BOQs!$L$12</f>
        <v>0</v>
      </c>
      <c r="AM59" s="76"/>
      <c r="AN59" s="37"/>
      <c r="AO59" s="86">
        <f>tbl_estimated_costs_quantities[[#This Row],[Electrical Repairs Lighting]]*BOQs!$L$13</f>
        <v>0</v>
      </c>
      <c r="AP59" s="76"/>
      <c r="AQ59" s="37"/>
      <c r="AR59" s="86">
        <f>tbl_estimated_costs_quantities[[#This Row],[Roof Insulation Leak Sealing]]*BOQs!$L$14</f>
        <v>0</v>
      </c>
      <c r="AS59" s="76"/>
      <c r="AT59" s="37"/>
      <c r="AU59" s="86">
        <f>tbl_estimated_costs_quantities[[#This Row],[Chimney Duct Cleaning Repair]]*BOQs!$L$15</f>
        <v>0</v>
      </c>
      <c r="AV59" s="76"/>
      <c r="AW59" s="37"/>
      <c r="AX59" s="89">
        <f>tbl_estimated_costs_quantities[[#This Row],[Accessibility Adaptations]]*BOQs!$L$16</f>
        <v>0</v>
      </c>
      <c r="AY59" s="86" t="str">
        <f>IF(tbl_estimated_costs_quantities[[#This Row],[Total cost]]&lt;&gt;0,tbl_estimated_costs_quantities[[#This Row],[Total cost]]/BOQs!$A$1,"")</f>
        <v/>
      </c>
      <c r="AZ59" s="37"/>
      <c r="BA59" s="37"/>
      <c r="BB59" s="37"/>
      <c r="BC59" s="37"/>
      <c r="BD59" s="41"/>
      <c r="BE59" s="37"/>
      <c r="BF59" s="37"/>
      <c r="BG59" s="37"/>
      <c r="BH59" s="41"/>
    </row>
    <row r="60" spans="2:60" ht="25.15" customHeight="1" x14ac:dyDescent="0.25">
      <c r="B60" s="49">
        <v>56</v>
      </c>
      <c r="C60" s="37"/>
      <c r="D60" s="41"/>
      <c r="E60" s="40"/>
      <c r="F60" s="87" t="str">
        <f>IF(tbl_estimated_costs_quantities[[#This Row],[House Code]]&lt;&gt;"",INDEX(tbl_Assessment[],MATCH(tbl_estimated_costs_quantities[[#This Row],[House Code]],tbl_Assessment[House Code],0),3),"")</f>
        <v/>
      </c>
      <c r="G60" s="115" t="str">
        <f>IF(tbl_estimated_costs_quantities[[#This Row],[House Code]]&lt;&gt;"",INDEX(tbl_Assessment[],MATCH(tbl_estimated_costs_quantities[[#This Row],[House Code]],tbl_Assessment[House Code],0),9),"")</f>
        <v/>
      </c>
      <c r="H6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 s="75"/>
      <c r="J60" s="37"/>
      <c r="K60" s="86">
        <f>tbl_estimated_costs_quantities[[#This Row],[Site Preparation]]*BOQs!$L$3</f>
        <v>0</v>
      </c>
      <c r="L60" s="76"/>
      <c r="M60" s="37"/>
      <c r="N60" s="86">
        <f>tbl_estimated_costs_quantities[[#This Row],[Demolition Removal Unsafe Structures]]*BOQs!$L$4</f>
        <v>0</v>
      </c>
      <c r="O60" s="76"/>
      <c r="P60" s="37"/>
      <c r="Q60" s="86">
        <f>tbl_estimated_costs_quantities[[#This Row],[Concrete Works]]*BOQs!$L$5</f>
        <v>0</v>
      </c>
      <c r="R60" s="76"/>
      <c r="S60" s="37"/>
      <c r="T60" s="86">
        <f>tbl_estimated_costs_quantities[[#This Row],[Closure External Openings Walls Windows]]*BOQs!$L$6</f>
        <v>0</v>
      </c>
      <c r="U60" s="76"/>
      <c r="V60" s="37"/>
      <c r="W60" s="86">
        <f>tbl_estimated_costs_quantities[[#This Row],[Plastering Painting]]*BOQs!$L$7</f>
        <v>0</v>
      </c>
      <c r="X60" s="76"/>
      <c r="Y60" s="37"/>
      <c r="Z60" s="86">
        <f>tbl_estimated_costs_quantities[[#This Row],[Floor Repairs]]*BOQs!$L$8</f>
        <v>0</v>
      </c>
      <c r="AA60" s="76"/>
      <c r="AB60" s="37"/>
      <c r="AC60" s="86">
        <f>tbl_estimated_costs_quantities[[#This Row],[Doors Replacement Repair]]*BOQs!$L$9</f>
        <v>0</v>
      </c>
      <c r="AD60" s="76"/>
      <c r="AE60" s="37"/>
      <c r="AF60" s="86">
        <f>tbl_estimated_costs_quantities[[#This Row],[Windows Replacement Repair]]*BOQs!$L$10</f>
        <v>0</v>
      </c>
      <c r="AG60" s="76"/>
      <c r="AH60" s="37"/>
      <c r="AI60" s="86">
        <f>tbl_estimated_costs_quantities[[#This Row],[Bathroom Rehabilitation]]*BOQs!$L$11</f>
        <v>0</v>
      </c>
      <c r="AJ60" s="76"/>
      <c r="AK60" s="37"/>
      <c r="AL60" s="86">
        <f>tbl_estimated_costs_quantities[[#This Row],[Ceramic Tile Works WASH]]*BOQs!$L$12</f>
        <v>0</v>
      </c>
      <c r="AM60" s="76"/>
      <c r="AN60" s="37"/>
      <c r="AO60" s="86">
        <f>tbl_estimated_costs_quantities[[#This Row],[Electrical Repairs Lighting]]*BOQs!$L$13</f>
        <v>0</v>
      </c>
      <c r="AP60" s="76"/>
      <c r="AQ60" s="37"/>
      <c r="AR60" s="86">
        <f>tbl_estimated_costs_quantities[[#This Row],[Roof Insulation Leak Sealing]]*BOQs!$L$14</f>
        <v>0</v>
      </c>
      <c r="AS60" s="76"/>
      <c r="AT60" s="37"/>
      <c r="AU60" s="86">
        <f>tbl_estimated_costs_quantities[[#This Row],[Chimney Duct Cleaning Repair]]*BOQs!$L$15</f>
        <v>0</v>
      </c>
      <c r="AV60" s="76"/>
      <c r="AW60" s="37"/>
      <c r="AX60" s="89">
        <f>tbl_estimated_costs_quantities[[#This Row],[Accessibility Adaptations]]*BOQs!$L$16</f>
        <v>0</v>
      </c>
      <c r="AY60" s="86" t="str">
        <f>IF(tbl_estimated_costs_quantities[[#This Row],[Total cost]]&lt;&gt;0,tbl_estimated_costs_quantities[[#This Row],[Total cost]]/BOQs!$A$1,"")</f>
        <v/>
      </c>
      <c r="AZ60" s="37"/>
      <c r="BA60" s="37"/>
      <c r="BB60" s="37"/>
      <c r="BC60" s="37"/>
      <c r="BD60" s="41"/>
      <c r="BE60" s="37"/>
      <c r="BF60" s="37"/>
      <c r="BG60" s="37"/>
      <c r="BH60" s="41"/>
    </row>
    <row r="61" spans="2:60" ht="25.15" customHeight="1" x14ac:dyDescent="0.25">
      <c r="B61" s="49">
        <v>57</v>
      </c>
      <c r="C61" s="37"/>
      <c r="D61" s="41"/>
      <c r="E61" s="40"/>
      <c r="F61" s="87" t="str">
        <f>IF(tbl_estimated_costs_quantities[[#This Row],[House Code]]&lt;&gt;"",INDEX(tbl_Assessment[],MATCH(tbl_estimated_costs_quantities[[#This Row],[House Code]],tbl_Assessment[House Code],0),3),"")</f>
        <v/>
      </c>
      <c r="G61" s="115" t="str">
        <f>IF(tbl_estimated_costs_quantities[[#This Row],[House Code]]&lt;&gt;"",INDEX(tbl_Assessment[],MATCH(tbl_estimated_costs_quantities[[#This Row],[House Code]],tbl_Assessment[House Code],0),9),"")</f>
        <v/>
      </c>
      <c r="H6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 s="75"/>
      <c r="J61" s="37"/>
      <c r="K61" s="86">
        <f>tbl_estimated_costs_quantities[[#This Row],[Site Preparation]]*BOQs!$L$3</f>
        <v>0</v>
      </c>
      <c r="L61" s="76"/>
      <c r="M61" s="37"/>
      <c r="N61" s="86">
        <f>tbl_estimated_costs_quantities[[#This Row],[Demolition Removal Unsafe Structures]]*BOQs!$L$4</f>
        <v>0</v>
      </c>
      <c r="O61" s="76"/>
      <c r="P61" s="37"/>
      <c r="Q61" s="86">
        <f>tbl_estimated_costs_quantities[[#This Row],[Concrete Works]]*BOQs!$L$5</f>
        <v>0</v>
      </c>
      <c r="R61" s="76"/>
      <c r="S61" s="37"/>
      <c r="T61" s="86">
        <f>tbl_estimated_costs_quantities[[#This Row],[Closure External Openings Walls Windows]]*BOQs!$L$6</f>
        <v>0</v>
      </c>
      <c r="U61" s="76"/>
      <c r="V61" s="37"/>
      <c r="W61" s="86">
        <f>tbl_estimated_costs_quantities[[#This Row],[Plastering Painting]]*BOQs!$L$7</f>
        <v>0</v>
      </c>
      <c r="X61" s="76"/>
      <c r="Y61" s="37"/>
      <c r="Z61" s="86">
        <f>tbl_estimated_costs_quantities[[#This Row],[Floor Repairs]]*BOQs!$L$8</f>
        <v>0</v>
      </c>
      <c r="AA61" s="76"/>
      <c r="AB61" s="37"/>
      <c r="AC61" s="86">
        <f>tbl_estimated_costs_quantities[[#This Row],[Doors Replacement Repair]]*BOQs!$L$9</f>
        <v>0</v>
      </c>
      <c r="AD61" s="76"/>
      <c r="AE61" s="37"/>
      <c r="AF61" s="86">
        <f>tbl_estimated_costs_quantities[[#This Row],[Windows Replacement Repair]]*BOQs!$L$10</f>
        <v>0</v>
      </c>
      <c r="AG61" s="76"/>
      <c r="AH61" s="37"/>
      <c r="AI61" s="86">
        <f>tbl_estimated_costs_quantities[[#This Row],[Bathroom Rehabilitation]]*BOQs!$L$11</f>
        <v>0</v>
      </c>
      <c r="AJ61" s="76"/>
      <c r="AK61" s="37"/>
      <c r="AL61" s="86">
        <f>tbl_estimated_costs_quantities[[#This Row],[Ceramic Tile Works WASH]]*BOQs!$L$12</f>
        <v>0</v>
      </c>
      <c r="AM61" s="76"/>
      <c r="AN61" s="37"/>
      <c r="AO61" s="86">
        <f>tbl_estimated_costs_quantities[[#This Row],[Electrical Repairs Lighting]]*BOQs!$L$13</f>
        <v>0</v>
      </c>
      <c r="AP61" s="76"/>
      <c r="AQ61" s="37"/>
      <c r="AR61" s="86">
        <f>tbl_estimated_costs_quantities[[#This Row],[Roof Insulation Leak Sealing]]*BOQs!$L$14</f>
        <v>0</v>
      </c>
      <c r="AS61" s="76"/>
      <c r="AT61" s="37"/>
      <c r="AU61" s="86">
        <f>tbl_estimated_costs_quantities[[#This Row],[Chimney Duct Cleaning Repair]]*BOQs!$L$15</f>
        <v>0</v>
      </c>
      <c r="AV61" s="76"/>
      <c r="AW61" s="37"/>
      <c r="AX61" s="89">
        <f>tbl_estimated_costs_quantities[[#This Row],[Accessibility Adaptations]]*BOQs!$L$16</f>
        <v>0</v>
      </c>
      <c r="AY61" s="86" t="str">
        <f>IF(tbl_estimated_costs_quantities[[#This Row],[Total cost]]&lt;&gt;0,tbl_estimated_costs_quantities[[#This Row],[Total cost]]/BOQs!$A$1,"")</f>
        <v/>
      </c>
      <c r="AZ61" s="37"/>
      <c r="BA61" s="37"/>
      <c r="BB61" s="37"/>
      <c r="BC61" s="37"/>
      <c r="BD61" s="41"/>
      <c r="BE61" s="37"/>
      <c r="BF61" s="37"/>
      <c r="BG61" s="37"/>
      <c r="BH61" s="41"/>
    </row>
    <row r="62" spans="2:60" ht="25.15" customHeight="1" x14ac:dyDescent="0.25">
      <c r="B62" s="49">
        <v>58</v>
      </c>
      <c r="C62" s="37"/>
      <c r="D62" s="41"/>
      <c r="E62" s="40"/>
      <c r="F62" s="87" t="str">
        <f>IF(tbl_estimated_costs_quantities[[#This Row],[House Code]]&lt;&gt;"",INDEX(tbl_Assessment[],MATCH(tbl_estimated_costs_quantities[[#This Row],[House Code]],tbl_Assessment[House Code],0),3),"")</f>
        <v/>
      </c>
      <c r="G62" s="115" t="str">
        <f>IF(tbl_estimated_costs_quantities[[#This Row],[House Code]]&lt;&gt;"",INDEX(tbl_Assessment[],MATCH(tbl_estimated_costs_quantities[[#This Row],[House Code]],tbl_Assessment[House Code],0),9),"")</f>
        <v/>
      </c>
      <c r="H6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 s="75"/>
      <c r="J62" s="37"/>
      <c r="K62" s="86">
        <f>tbl_estimated_costs_quantities[[#This Row],[Site Preparation]]*BOQs!$L$3</f>
        <v>0</v>
      </c>
      <c r="L62" s="76"/>
      <c r="M62" s="37"/>
      <c r="N62" s="86">
        <f>tbl_estimated_costs_quantities[[#This Row],[Demolition Removal Unsafe Structures]]*BOQs!$L$4</f>
        <v>0</v>
      </c>
      <c r="O62" s="76"/>
      <c r="P62" s="37"/>
      <c r="Q62" s="86">
        <f>tbl_estimated_costs_quantities[[#This Row],[Concrete Works]]*BOQs!$L$5</f>
        <v>0</v>
      </c>
      <c r="R62" s="76"/>
      <c r="S62" s="37"/>
      <c r="T62" s="86">
        <f>tbl_estimated_costs_quantities[[#This Row],[Closure External Openings Walls Windows]]*BOQs!$L$6</f>
        <v>0</v>
      </c>
      <c r="U62" s="76"/>
      <c r="V62" s="37"/>
      <c r="W62" s="86">
        <f>tbl_estimated_costs_quantities[[#This Row],[Plastering Painting]]*BOQs!$L$7</f>
        <v>0</v>
      </c>
      <c r="X62" s="76"/>
      <c r="Y62" s="37"/>
      <c r="Z62" s="86">
        <f>tbl_estimated_costs_quantities[[#This Row],[Floor Repairs]]*BOQs!$L$8</f>
        <v>0</v>
      </c>
      <c r="AA62" s="76"/>
      <c r="AB62" s="37"/>
      <c r="AC62" s="86">
        <f>tbl_estimated_costs_quantities[[#This Row],[Doors Replacement Repair]]*BOQs!$L$9</f>
        <v>0</v>
      </c>
      <c r="AD62" s="76"/>
      <c r="AE62" s="37"/>
      <c r="AF62" s="86">
        <f>tbl_estimated_costs_quantities[[#This Row],[Windows Replacement Repair]]*BOQs!$L$10</f>
        <v>0</v>
      </c>
      <c r="AG62" s="76"/>
      <c r="AH62" s="37"/>
      <c r="AI62" s="86">
        <f>tbl_estimated_costs_quantities[[#This Row],[Bathroom Rehabilitation]]*BOQs!$L$11</f>
        <v>0</v>
      </c>
      <c r="AJ62" s="76"/>
      <c r="AK62" s="37"/>
      <c r="AL62" s="86">
        <f>tbl_estimated_costs_quantities[[#This Row],[Ceramic Tile Works WASH]]*BOQs!$L$12</f>
        <v>0</v>
      </c>
      <c r="AM62" s="76"/>
      <c r="AN62" s="37"/>
      <c r="AO62" s="86">
        <f>tbl_estimated_costs_quantities[[#This Row],[Electrical Repairs Lighting]]*BOQs!$L$13</f>
        <v>0</v>
      </c>
      <c r="AP62" s="76"/>
      <c r="AQ62" s="37"/>
      <c r="AR62" s="86">
        <f>tbl_estimated_costs_quantities[[#This Row],[Roof Insulation Leak Sealing]]*BOQs!$L$14</f>
        <v>0</v>
      </c>
      <c r="AS62" s="76"/>
      <c r="AT62" s="37"/>
      <c r="AU62" s="86">
        <f>tbl_estimated_costs_quantities[[#This Row],[Chimney Duct Cleaning Repair]]*BOQs!$L$15</f>
        <v>0</v>
      </c>
      <c r="AV62" s="76"/>
      <c r="AW62" s="37"/>
      <c r="AX62" s="89">
        <f>tbl_estimated_costs_quantities[[#This Row],[Accessibility Adaptations]]*BOQs!$L$16</f>
        <v>0</v>
      </c>
      <c r="AY62" s="86" t="str">
        <f>IF(tbl_estimated_costs_quantities[[#This Row],[Total cost]]&lt;&gt;0,tbl_estimated_costs_quantities[[#This Row],[Total cost]]/BOQs!$A$1,"")</f>
        <v/>
      </c>
      <c r="AZ62" s="37"/>
      <c r="BA62" s="37"/>
      <c r="BB62" s="37"/>
      <c r="BC62" s="37"/>
      <c r="BD62" s="41"/>
      <c r="BE62" s="37"/>
      <c r="BF62" s="37"/>
      <c r="BG62" s="37"/>
      <c r="BH62" s="41"/>
    </row>
    <row r="63" spans="2:60" ht="25.15" customHeight="1" x14ac:dyDescent="0.25">
      <c r="B63" s="49">
        <v>59</v>
      </c>
      <c r="C63" s="37"/>
      <c r="D63" s="41"/>
      <c r="E63" s="40"/>
      <c r="F63" s="87" t="str">
        <f>IF(tbl_estimated_costs_quantities[[#This Row],[House Code]]&lt;&gt;"",INDEX(tbl_Assessment[],MATCH(tbl_estimated_costs_quantities[[#This Row],[House Code]],tbl_Assessment[House Code],0),3),"")</f>
        <v/>
      </c>
      <c r="G63" s="115" t="str">
        <f>IF(tbl_estimated_costs_quantities[[#This Row],[House Code]]&lt;&gt;"",INDEX(tbl_Assessment[],MATCH(tbl_estimated_costs_quantities[[#This Row],[House Code]],tbl_Assessment[House Code],0),9),"")</f>
        <v/>
      </c>
      <c r="H6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 s="75"/>
      <c r="J63" s="37"/>
      <c r="K63" s="86">
        <f>tbl_estimated_costs_quantities[[#This Row],[Site Preparation]]*BOQs!$L$3</f>
        <v>0</v>
      </c>
      <c r="L63" s="76"/>
      <c r="M63" s="37"/>
      <c r="N63" s="86">
        <f>tbl_estimated_costs_quantities[[#This Row],[Demolition Removal Unsafe Structures]]*BOQs!$L$4</f>
        <v>0</v>
      </c>
      <c r="O63" s="76"/>
      <c r="P63" s="37"/>
      <c r="Q63" s="86">
        <f>tbl_estimated_costs_quantities[[#This Row],[Concrete Works]]*BOQs!$L$5</f>
        <v>0</v>
      </c>
      <c r="R63" s="76"/>
      <c r="S63" s="37"/>
      <c r="T63" s="86">
        <f>tbl_estimated_costs_quantities[[#This Row],[Closure External Openings Walls Windows]]*BOQs!$L$6</f>
        <v>0</v>
      </c>
      <c r="U63" s="76"/>
      <c r="V63" s="37"/>
      <c r="W63" s="86">
        <f>tbl_estimated_costs_quantities[[#This Row],[Plastering Painting]]*BOQs!$L$7</f>
        <v>0</v>
      </c>
      <c r="X63" s="76"/>
      <c r="Y63" s="37"/>
      <c r="Z63" s="86">
        <f>tbl_estimated_costs_quantities[[#This Row],[Floor Repairs]]*BOQs!$L$8</f>
        <v>0</v>
      </c>
      <c r="AA63" s="76"/>
      <c r="AB63" s="37"/>
      <c r="AC63" s="86">
        <f>tbl_estimated_costs_quantities[[#This Row],[Doors Replacement Repair]]*BOQs!$L$9</f>
        <v>0</v>
      </c>
      <c r="AD63" s="76"/>
      <c r="AE63" s="37"/>
      <c r="AF63" s="86">
        <f>tbl_estimated_costs_quantities[[#This Row],[Windows Replacement Repair]]*BOQs!$L$10</f>
        <v>0</v>
      </c>
      <c r="AG63" s="76"/>
      <c r="AH63" s="37"/>
      <c r="AI63" s="86">
        <f>tbl_estimated_costs_quantities[[#This Row],[Bathroom Rehabilitation]]*BOQs!$L$11</f>
        <v>0</v>
      </c>
      <c r="AJ63" s="76"/>
      <c r="AK63" s="37"/>
      <c r="AL63" s="86">
        <f>tbl_estimated_costs_quantities[[#This Row],[Ceramic Tile Works WASH]]*BOQs!$L$12</f>
        <v>0</v>
      </c>
      <c r="AM63" s="76"/>
      <c r="AN63" s="37"/>
      <c r="AO63" s="86">
        <f>tbl_estimated_costs_quantities[[#This Row],[Electrical Repairs Lighting]]*BOQs!$L$13</f>
        <v>0</v>
      </c>
      <c r="AP63" s="76"/>
      <c r="AQ63" s="37"/>
      <c r="AR63" s="86">
        <f>tbl_estimated_costs_quantities[[#This Row],[Roof Insulation Leak Sealing]]*BOQs!$L$14</f>
        <v>0</v>
      </c>
      <c r="AS63" s="76"/>
      <c r="AT63" s="37"/>
      <c r="AU63" s="86">
        <f>tbl_estimated_costs_quantities[[#This Row],[Chimney Duct Cleaning Repair]]*BOQs!$L$15</f>
        <v>0</v>
      </c>
      <c r="AV63" s="76"/>
      <c r="AW63" s="37"/>
      <c r="AX63" s="89">
        <f>tbl_estimated_costs_quantities[[#This Row],[Accessibility Adaptations]]*BOQs!$L$16</f>
        <v>0</v>
      </c>
      <c r="AY63" s="86" t="str">
        <f>IF(tbl_estimated_costs_quantities[[#This Row],[Total cost]]&lt;&gt;0,tbl_estimated_costs_quantities[[#This Row],[Total cost]]/BOQs!$A$1,"")</f>
        <v/>
      </c>
      <c r="AZ63" s="37"/>
      <c r="BA63" s="37"/>
      <c r="BB63" s="37"/>
      <c r="BC63" s="37"/>
      <c r="BD63" s="41"/>
      <c r="BE63" s="37"/>
      <c r="BF63" s="37"/>
      <c r="BG63" s="37"/>
      <c r="BH63" s="41"/>
    </row>
    <row r="64" spans="2:60" ht="25.15" customHeight="1" x14ac:dyDescent="0.25">
      <c r="B64" s="49">
        <v>60</v>
      </c>
      <c r="C64" s="37"/>
      <c r="D64" s="41"/>
      <c r="E64" s="40"/>
      <c r="F64" s="87" t="str">
        <f>IF(tbl_estimated_costs_quantities[[#This Row],[House Code]]&lt;&gt;"",INDEX(tbl_Assessment[],MATCH(tbl_estimated_costs_quantities[[#This Row],[House Code]],tbl_Assessment[House Code],0),3),"")</f>
        <v/>
      </c>
      <c r="G64" s="115" t="str">
        <f>IF(tbl_estimated_costs_quantities[[#This Row],[House Code]]&lt;&gt;"",INDEX(tbl_Assessment[],MATCH(tbl_estimated_costs_quantities[[#This Row],[House Code]],tbl_Assessment[House Code],0),9),"")</f>
        <v/>
      </c>
      <c r="H6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 s="75"/>
      <c r="J64" s="37"/>
      <c r="K64" s="86">
        <f>tbl_estimated_costs_quantities[[#This Row],[Site Preparation]]*BOQs!$L$3</f>
        <v>0</v>
      </c>
      <c r="L64" s="76"/>
      <c r="M64" s="37"/>
      <c r="N64" s="86">
        <f>tbl_estimated_costs_quantities[[#This Row],[Demolition Removal Unsafe Structures]]*BOQs!$L$4</f>
        <v>0</v>
      </c>
      <c r="O64" s="76"/>
      <c r="P64" s="37"/>
      <c r="Q64" s="86">
        <f>tbl_estimated_costs_quantities[[#This Row],[Concrete Works]]*BOQs!$L$5</f>
        <v>0</v>
      </c>
      <c r="R64" s="76"/>
      <c r="S64" s="37"/>
      <c r="T64" s="86">
        <f>tbl_estimated_costs_quantities[[#This Row],[Closure External Openings Walls Windows]]*BOQs!$L$6</f>
        <v>0</v>
      </c>
      <c r="U64" s="76"/>
      <c r="V64" s="37"/>
      <c r="W64" s="86">
        <f>tbl_estimated_costs_quantities[[#This Row],[Plastering Painting]]*BOQs!$L$7</f>
        <v>0</v>
      </c>
      <c r="X64" s="76"/>
      <c r="Y64" s="37"/>
      <c r="Z64" s="86">
        <f>tbl_estimated_costs_quantities[[#This Row],[Floor Repairs]]*BOQs!$L$8</f>
        <v>0</v>
      </c>
      <c r="AA64" s="76"/>
      <c r="AB64" s="37"/>
      <c r="AC64" s="86">
        <f>tbl_estimated_costs_quantities[[#This Row],[Doors Replacement Repair]]*BOQs!$L$9</f>
        <v>0</v>
      </c>
      <c r="AD64" s="76"/>
      <c r="AE64" s="37"/>
      <c r="AF64" s="86">
        <f>tbl_estimated_costs_quantities[[#This Row],[Windows Replacement Repair]]*BOQs!$L$10</f>
        <v>0</v>
      </c>
      <c r="AG64" s="76"/>
      <c r="AH64" s="37"/>
      <c r="AI64" s="86">
        <f>tbl_estimated_costs_quantities[[#This Row],[Bathroom Rehabilitation]]*BOQs!$L$11</f>
        <v>0</v>
      </c>
      <c r="AJ64" s="76"/>
      <c r="AK64" s="37"/>
      <c r="AL64" s="86">
        <f>tbl_estimated_costs_quantities[[#This Row],[Ceramic Tile Works WASH]]*BOQs!$L$12</f>
        <v>0</v>
      </c>
      <c r="AM64" s="76"/>
      <c r="AN64" s="37"/>
      <c r="AO64" s="86">
        <f>tbl_estimated_costs_quantities[[#This Row],[Electrical Repairs Lighting]]*BOQs!$L$13</f>
        <v>0</v>
      </c>
      <c r="AP64" s="76"/>
      <c r="AQ64" s="37"/>
      <c r="AR64" s="86">
        <f>tbl_estimated_costs_quantities[[#This Row],[Roof Insulation Leak Sealing]]*BOQs!$L$14</f>
        <v>0</v>
      </c>
      <c r="AS64" s="76"/>
      <c r="AT64" s="37"/>
      <c r="AU64" s="86">
        <f>tbl_estimated_costs_quantities[[#This Row],[Chimney Duct Cleaning Repair]]*BOQs!$L$15</f>
        <v>0</v>
      </c>
      <c r="AV64" s="76"/>
      <c r="AW64" s="37"/>
      <c r="AX64" s="89">
        <f>tbl_estimated_costs_quantities[[#This Row],[Accessibility Adaptations]]*BOQs!$L$16</f>
        <v>0</v>
      </c>
      <c r="AY64" s="86" t="str">
        <f>IF(tbl_estimated_costs_quantities[[#This Row],[Total cost]]&lt;&gt;0,tbl_estimated_costs_quantities[[#This Row],[Total cost]]/BOQs!$A$1,"")</f>
        <v/>
      </c>
      <c r="AZ64" s="37"/>
      <c r="BA64" s="37"/>
      <c r="BB64" s="37"/>
      <c r="BC64" s="37"/>
      <c r="BD64" s="41"/>
      <c r="BE64" s="37"/>
      <c r="BF64" s="37"/>
      <c r="BG64" s="37"/>
      <c r="BH64" s="41"/>
    </row>
    <row r="65" spans="2:60" ht="25.15" customHeight="1" x14ac:dyDescent="0.25">
      <c r="B65" s="49">
        <v>61</v>
      </c>
      <c r="C65" s="37"/>
      <c r="D65" s="41"/>
      <c r="E65" s="40"/>
      <c r="F65" s="87" t="str">
        <f>IF(tbl_estimated_costs_quantities[[#This Row],[House Code]]&lt;&gt;"",INDEX(tbl_Assessment[],MATCH(tbl_estimated_costs_quantities[[#This Row],[House Code]],tbl_Assessment[House Code],0),3),"")</f>
        <v/>
      </c>
      <c r="G65" s="115" t="str">
        <f>IF(tbl_estimated_costs_quantities[[#This Row],[House Code]]&lt;&gt;"",INDEX(tbl_Assessment[],MATCH(tbl_estimated_costs_quantities[[#This Row],[House Code]],tbl_Assessment[House Code],0),9),"")</f>
        <v/>
      </c>
      <c r="H6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 s="75"/>
      <c r="J65" s="37"/>
      <c r="K65" s="86">
        <f>tbl_estimated_costs_quantities[[#This Row],[Site Preparation]]*BOQs!$L$3</f>
        <v>0</v>
      </c>
      <c r="L65" s="76"/>
      <c r="M65" s="37"/>
      <c r="N65" s="86">
        <f>tbl_estimated_costs_quantities[[#This Row],[Demolition Removal Unsafe Structures]]*BOQs!$L$4</f>
        <v>0</v>
      </c>
      <c r="O65" s="76"/>
      <c r="P65" s="37"/>
      <c r="Q65" s="86">
        <f>tbl_estimated_costs_quantities[[#This Row],[Concrete Works]]*BOQs!$L$5</f>
        <v>0</v>
      </c>
      <c r="R65" s="76"/>
      <c r="S65" s="37"/>
      <c r="T65" s="86">
        <f>tbl_estimated_costs_quantities[[#This Row],[Closure External Openings Walls Windows]]*BOQs!$L$6</f>
        <v>0</v>
      </c>
      <c r="U65" s="76"/>
      <c r="V65" s="37"/>
      <c r="W65" s="86">
        <f>tbl_estimated_costs_quantities[[#This Row],[Plastering Painting]]*BOQs!$L$7</f>
        <v>0</v>
      </c>
      <c r="X65" s="76"/>
      <c r="Y65" s="37"/>
      <c r="Z65" s="86">
        <f>tbl_estimated_costs_quantities[[#This Row],[Floor Repairs]]*BOQs!$L$8</f>
        <v>0</v>
      </c>
      <c r="AA65" s="76"/>
      <c r="AB65" s="37"/>
      <c r="AC65" s="86">
        <f>tbl_estimated_costs_quantities[[#This Row],[Doors Replacement Repair]]*BOQs!$L$9</f>
        <v>0</v>
      </c>
      <c r="AD65" s="76"/>
      <c r="AE65" s="37"/>
      <c r="AF65" s="86">
        <f>tbl_estimated_costs_quantities[[#This Row],[Windows Replacement Repair]]*BOQs!$L$10</f>
        <v>0</v>
      </c>
      <c r="AG65" s="76"/>
      <c r="AH65" s="37"/>
      <c r="AI65" s="86">
        <f>tbl_estimated_costs_quantities[[#This Row],[Bathroom Rehabilitation]]*BOQs!$L$11</f>
        <v>0</v>
      </c>
      <c r="AJ65" s="76"/>
      <c r="AK65" s="37"/>
      <c r="AL65" s="86">
        <f>tbl_estimated_costs_quantities[[#This Row],[Ceramic Tile Works WASH]]*BOQs!$L$12</f>
        <v>0</v>
      </c>
      <c r="AM65" s="76"/>
      <c r="AN65" s="37"/>
      <c r="AO65" s="86">
        <f>tbl_estimated_costs_quantities[[#This Row],[Electrical Repairs Lighting]]*BOQs!$L$13</f>
        <v>0</v>
      </c>
      <c r="AP65" s="76"/>
      <c r="AQ65" s="37"/>
      <c r="AR65" s="86">
        <f>tbl_estimated_costs_quantities[[#This Row],[Roof Insulation Leak Sealing]]*BOQs!$L$14</f>
        <v>0</v>
      </c>
      <c r="AS65" s="76"/>
      <c r="AT65" s="37"/>
      <c r="AU65" s="86">
        <f>tbl_estimated_costs_quantities[[#This Row],[Chimney Duct Cleaning Repair]]*BOQs!$L$15</f>
        <v>0</v>
      </c>
      <c r="AV65" s="76"/>
      <c r="AW65" s="37"/>
      <c r="AX65" s="89">
        <f>tbl_estimated_costs_quantities[[#This Row],[Accessibility Adaptations]]*BOQs!$L$16</f>
        <v>0</v>
      </c>
      <c r="AY65" s="86" t="str">
        <f>IF(tbl_estimated_costs_quantities[[#This Row],[Total cost]]&lt;&gt;0,tbl_estimated_costs_quantities[[#This Row],[Total cost]]/BOQs!$A$1,"")</f>
        <v/>
      </c>
      <c r="AZ65" s="37"/>
      <c r="BA65" s="37"/>
      <c r="BB65" s="37"/>
      <c r="BC65" s="37"/>
      <c r="BD65" s="41"/>
      <c r="BE65" s="37"/>
      <c r="BF65" s="37"/>
      <c r="BG65" s="37"/>
      <c r="BH65" s="41"/>
    </row>
    <row r="66" spans="2:60" ht="25.15" customHeight="1" x14ac:dyDescent="0.25">
      <c r="B66" s="49">
        <v>62</v>
      </c>
      <c r="C66" s="37"/>
      <c r="D66" s="41"/>
      <c r="E66" s="40"/>
      <c r="F66" s="87" t="str">
        <f>IF(tbl_estimated_costs_quantities[[#This Row],[House Code]]&lt;&gt;"",INDEX(tbl_Assessment[],MATCH(tbl_estimated_costs_quantities[[#This Row],[House Code]],tbl_Assessment[House Code],0),3),"")</f>
        <v/>
      </c>
      <c r="G66" s="115" t="str">
        <f>IF(tbl_estimated_costs_quantities[[#This Row],[House Code]]&lt;&gt;"",INDEX(tbl_Assessment[],MATCH(tbl_estimated_costs_quantities[[#This Row],[House Code]],tbl_Assessment[House Code],0),9),"")</f>
        <v/>
      </c>
      <c r="H6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 s="75"/>
      <c r="J66" s="37"/>
      <c r="K66" s="86">
        <f>tbl_estimated_costs_quantities[[#This Row],[Site Preparation]]*BOQs!$L$3</f>
        <v>0</v>
      </c>
      <c r="L66" s="76"/>
      <c r="M66" s="37"/>
      <c r="N66" s="86">
        <f>tbl_estimated_costs_quantities[[#This Row],[Demolition Removal Unsafe Structures]]*BOQs!$L$4</f>
        <v>0</v>
      </c>
      <c r="O66" s="76"/>
      <c r="P66" s="37"/>
      <c r="Q66" s="86">
        <f>tbl_estimated_costs_quantities[[#This Row],[Concrete Works]]*BOQs!$L$5</f>
        <v>0</v>
      </c>
      <c r="R66" s="76"/>
      <c r="S66" s="37"/>
      <c r="T66" s="86">
        <f>tbl_estimated_costs_quantities[[#This Row],[Closure External Openings Walls Windows]]*BOQs!$L$6</f>
        <v>0</v>
      </c>
      <c r="U66" s="76"/>
      <c r="V66" s="37"/>
      <c r="W66" s="86">
        <f>tbl_estimated_costs_quantities[[#This Row],[Plastering Painting]]*BOQs!$L$7</f>
        <v>0</v>
      </c>
      <c r="X66" s="76"/>
      <c r="Y66" s="37"/>
      <c r="Z66" s="86">
        <f>tbl_estimated_costs_quantities[[#This Row],[Floor Repairs]]*BOQs!$L$8</f>
        <v>0</v>
      </c>
      <c r="AA66" s="76"/>
      <c r="AB66" s="37"/>
      <c r="AC66" s="86">
        <f>tbl_estimated_costs_quantities[[#This Row],[Doors Replacement Repair]]*BOQs!$L$9</f>
        <v>0</v>
      </c>
      <c r="AD66" s="76"/>
      <c r="AE66" s="37"/>
      <c r="AF66" s="86">
        <f>tbl_estimated_costs_quantities[[#This Row],[Windows Replacement Repair]]*BOQs!$L$10</f>
        <v>0</v>
      </c>
      <c r="AG66" s="76"/>
      <c r="AH66" s="37"/>
      <c r="AI66" s="86">
        <f>tbl_estimated_costs_quantities[[#This Row],[Bathroom Rehabilitation]]*BOQs!$L$11</f>
        <v>0</v>
      </c>
      <c r="AJ66" s="76"/>
      <c r="AK66" s="37"/>
      <c r="AL66" s="86">
        <f>tbl_estimated_costs_quantities[[#This Row],[Ceramic Tile Works WASH]]*BOQs!$L$12</f>
        <v>0</v>
      </c>
      <c r="AM66" s="76"/>
      <c r="AN66" s="37"/>
      <c r="AO66" s="86">
        <f>tbl_estimated_costs_quantities[[#This Row],[Electrical Repairs Lighting]]*BOQs!$L$13</f>
        <v>0</v>
      </c>
      <c r="AP66" s="76"/>
      <c r="AQ66" s="37"/>
      <c r="AR66" s="86">
        <f>tbl_estimated_costs_quantities[[#This Row],[Roof Insulation Leak Sealing]]*BOQs!$L$14</f>
        <v>0</v>
      </c>
      <c r="AS66" s="76"/>
      <c r="AT66" s="37"/>
      <c r="AU66" s="86">
        <f>tbl_estimated_costs_quantities[[#This Row],[Chimney Duct Cleaning Repair]]*BOQs!$L$15</f>
        <v>0</v>
      </c>
      <c r="AV66" s="76"/>
      <c r="AW66" s="37"/>
      <c r="AX66" s="89">
        <f>tbl_estimated_costs_quantities[[#This Row],[Accessibility Adaptations]]*BOQs!$L$16</f>
        <v>0</v>
      </c>
      <c r="AY66" s="86" t="str">
        <f>IF(tbl_estimated_costs_quantities[[#This Row],[Total cost]]&lt;&gt;0,tbl_estimated_costs_quantities[[#This Row],[Total cost]]/BOQs!$A$1,"")</f>
        <v/>
      </c>
      <c r="AZ66" s="37"/>
      <c r="BA66" s="37"/>
      <c r="BB66" s="37"/>
      <c r="BC66" s="37"/>
      <c r="BD66" s="41"/>
      <c r="BE66" s="37"/>
      <c r="BF66" s="37"/>
      <c r="BG66" s="37"/>
      <c r="BH66" s="41"/>
    </row>
    <row r="67" spans="2:60" ht="25.15" customHeight="1" x14ac:dyDescent="0.25">
      <c r="B67" s="49">
        <v>63</v>
      </c>
      <c r="C67" s="37"/>
      <c r="D67" s="41"/>
      <c r="E67" s="40"/>
      <c r="F67" s="87" t="str">
        <f>IF(tbl_estimated_costs_quantities[[#This Row],[House Code]]&lt;&gt;"",INDEX(tbl_Assessment[],MATCH(tbl_estimated_costs_quantities[[#This Row],[House Code]],tbl_Assessment[House Code],0),3),"")</f>
        <v/>
      </c>
      <c r="G67" s="115" t="str">
        <f>IF(tbl_estimated_costs_quantities[[#This Row],[House Code]]&lt;&gt;"",INDEX(tbl_Assessment[],MATCH(tbl_estimated_costs_quantities[[#This Row],[House Code]],tbl_Assessment[House Code],0),9),"")</f>
        <v/>
      </c>
      <c r="H6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 s="75"/>
      <c r="J67" s="37"/>
      <c r="K67" s="86">
        <f>tbl_estimated_costs_quantities[[#This Row],[Site Preparation]]*BOQs!$L$3</f>
        <v>0</v>
      </c>
      <c r="L67" s="76"/>
      <c r="M67" s="37"/>
      <c r="N67" s="86">
        <f>tbl_estimated_costs_quantities[[#This Row],[Demolition Removal Unsafe Structures]]*BOQs!$L$4</f>
        <v>0</v>
      </c>
      <c r="O67" s="76"/>
      <c r="P67" s="37"/>
      <c r="Q67" s="86">
        <f>tbl_estimated_costs_quantities[[#This Row],[Concrete Works]]*BOQs!$L$5</f>
        <v>0</v>
      </c>
      <c r="R67" s="76"/>
      <c r="S67" s="37"/>
      <c r="T67" s="86">
        <f>tbl_estimated_costs_quantities[[#This Row],[Closure External Openings Walls Windows]]*BOQs!$L$6</f>
        <v>0</v>
      </c>
      <c r="U67" s="76"/>
      <c r="V67" s="37"/>
      <c r="W67" s="86">
        <f>tbl_estimated_costs_quantities[[#This Row],[Plastering Painting]]*BOQs!$L$7</f>
        <v>0</v>
      </c>
      <c r="X67" s="76"/>
      <c r="Y67" s="37"/>
      <c r="Z67" s="86">
        <f>tbl_estimated_costs_quantities[[#This Row],[Floor Repairs]]*BOQs!$L$8</f>
        <v>0</v>
      </c>
      <c r="AA67" s="76"/>
      <c r="AB67" s="37"/>
      <c r="AC67" s="86">
        <f>tbl_estimated_costs_quantities[[#This Row],[Doors Replacement Repair]]*BOQs!$L$9</f>
        <v>0</v>
      </c>
      <c r="AD67" s="76"/>
      <c r="AE67" s="37"/>
      <c r="AF67" s="86">
        <f>tbl_estimated_costs_quantities[[#This Row],[Windows Replacement Repair]]*BOQs!$L$10</f>
        <v>0</v>
      </c>
      <c r="AG67" s="76"/>
      <c r="AH67" s="37"/>
      <c r="AI67" s="86">
        <f>tbl_estimated_costs_quantities[[#This Row],[Bathroom Rehabilitation]]*BOQs!$L$11</f>
        <v>0</v>
      </c>
      <c r="AJ67" s="76"/>
      <c r="AK67" s="37"/>
      <c r="AL67" s="86">
        <f>tbl_estimated_costs_quantities[[#This Row],[Ceramic Tile Works WASH]]*BOQs!$L$12</f>
        <v>0</v>
      </c>
      <c r="AM67" s="76"/>
      <c r="AN67" s="37"/>
      <c r="AO67" s="86">
        <f>tbl_estimated_costs_quantities[[#This Row],[Electrical Repairs Lighting]]*BOQs!$L$13</f>
        <v>0</v>
      </c>
      <c r="AP67" s="76"/>
      <c r="AQ67" s="37"/>
      <c r="AR67" s="86">
        <f>tbl_estimated_costs_quantities[[#This Row],[Roof Insulation Leak Sealing]]*BOQs!$L$14</f>
        <v>0</v>
      </c>
      <c r="AS67" s="76"/>
      <c r="AT67" s="37"/>
      <c r="AU67" s="86">
        <f>tbl_estimated_costs_quantities[[#This Row],[Chimney Duct Cleaning Repair]]*BOQs!$L$15</f>
        <v>0</v>
      </c>
      <c r="AV67" s="76"/>
      <c r="AW67" s="37"/>
      <c r="AX67" s="89">
        <f>tbl_estimated_costs_quantities[[#This Row],[Accessibility Adaptations]]*BOQs!$L$16</f>
        <v>0</v>
      </c>
      <c r="AY67" s="86" t="str">
        <f>IF(tbl_estimated_costs_quantities[[#This Row],[Total cost]]&lt;&gt;0,tbl_estimated_costs_quantities[[#This Row],[Total cost]]/BOQs!$A$1,"")</f>
        <v/>
      </c>
      <c r="AZ67" s="37"/>
      <c r="BA67" s="37"/>
      <c r="BB67" s="37"/>
      <c r="BC67" s="37"/>
      <c r="BD67" s="41"/>
      <c r="BE67" s="37"/>
      <c r="BF67" s="37"/>
      <c r="BG67" s="37"/>
      <c r="BH67" s="41"/>
    </row>
    <row r="68" spans="2:60" ht="25.15" customHeight="1" x14ac:dyDescent="0.25">
      <c r="B68" s="49">
        <v>64</v>
      </c>
      <c r="C68" s="37"/>
      <c r="D68" s="41"/>
      <c r="E68" s="40"/>
      <c r="F68" s="87" t="str">
        <f>IF(tbl_estimated_costs_quantities[[#This Row],[House Code]]&lt;&gt;"",INDEX(tbl_Assessment[],MATCH(tbl_estimated_costs_quantities[[#This Row],[House Code]],tbl_Assessment[House Code],0),3),"")</f>
        <v/>
      </c>
      <c r="G68" s="115" t="str">
        <f>IF(tbl_estimated_costs_quantities[[#This Row],[House Code]]&lt;&gt;"",INDEX(tbl_Assessment[],MATCH(tbl_estimated_costs_quantities[[#This Row],[House Code]],tbl_Assessment[House Code],0),9),"")</f>
        <v/>
      </c>
      <c r="H6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 s="75"/>
      <c r="J68" s="37"/>
      <c r="K68" s="86">
        <f>tbl_estimated_costs_quantities[[#This Row],[Site Preparation]]*BOQs!$L$3</f>
        <v>0</v>
      </c>
      <c r="L68" s="76"/>
      <c r="M68" s="37"/>
      <c r="N68" s="86">
        <f>tbl_estimated_costs_quantities[[#This Row],[Demolition Removal Unsafe Structures]]*BOQs!$L$4</f>
        <v>0</v>
      </c>
      <c r="O68" s="76"/>
      <c r="P68" s="37"/>
      <c r="Q68" s="86">
        <f>tbl_estimated_costs_quantities[[#This Row],[Concrete Works]]*BOQs!$L$5</f>
        <v>0</v>
      </c>
      <c r="R68" s="76"/>
      <c r="S68" s="37"/>
      <c r="T68" s="86">
        <f>tbl_estimated_costs_quantities[[#This Row],[Closure External Openings Walls Windows]]*BOQs!$L$6</f>
        <v>0</v>
      </c>
      <c r="U68" s="76"/>
      <c r="V68" s="37"/>
      <c r="W68" s="86">
        <f>tbl_estimated_costs_quantities[[#This Row],[Plastering Painting]]*BOQs!$L$7</f>
        <v>0</v>
      </c>
      <c r="X68" s="76"/>
      <c r="Y68" s="37"/>
      <c r="Z68" s="86">
        <f>tbl_estimated_costs_quantities[[#This Row],[Floor Repairs]]*BOQs!$L$8</f>
        <v>0</v>
      </c>
      <c r="AA68" s="76"/>
      <c r="AB68" s="37"/>
      <c r="AC68" s="86">
        <f>tbl_estimated_costs_quantities[[#This Row],[Doors Replacement Repair]]*BOQs!$L$9</f>
        <v>0</v>
      </c>
      <c r="AD68" s="76"/>
      <c r="AE68" s="37"/>
      <c r="AF68" s="86">
        <f>tbl_estimated_costs_quantities[[#This Row],[Windows Replacement Repair]]*BOQs!$L$10</f>
        <v>0</v>
      </c>
      <c r="AG68" s="76"/>
      <c r="AH68" s="37"/>
      <c r="AI68" s="86">
        <f>tbl_estimated_costs_quantities[[#This Row],[Bathroom Rehabilitation]]*BOQs!$L$11</f>
        <v>0</v>
      </c>
      <c r="AJ68" s="76"/>
      <c r="AK68" s="37"/>
      <c r="AL68" s="86">
        <f>tbl_estimated_costs_quantities[[#This Row],[Ceramic Tile Works WASH]]*BOQs!$L$12</f>
        <v>0</v>
      </c>
      <c r="AM68" s="76"/>
      <c r="AN68" s="37"/>
      <c r="AO68" s="86">
        <f>tbl_estimated_costs_quantities[[#This Row],[Electrical Repairs Lighting]]*BOQs!$L$13</f>
        <v>0</v>
      </c>
      <c r="AP68" s="76"/>
      <c r="AQ68" s="37"/>
      <c r="AR68" s="86">
        <f>tbl_estimated_costs_quantities[[#This Row],[Roof Insulation Leak Sealing]]*BOQs!$L$14</f>
        <v>0</v>
      </c>
      <c r="AS68" s="76"/>
      <c r="AT68" s="37"/>
      <c r="AU68" s="86">
        <f>tbl_estimated_costs_quantities[[#This Row],[Chimney Duct Cleaning Repair]]*BOQs!$L$15</f>
        <v>0</v>
      </c>
      <c r="AV68" s="76"/>
      <c r="AW68" s="37"/>
      <c r="AX68" s="89">
        <f>tbl_estimated_costs_quantities[[#This Row],[Accessibility Adaptations]]*BOQs!$L$16</f>
        <v>0</v>
      </c>
      <c r="AY68" s="86" t="str">
        <f>IF(tbl_estimated_costs_quantities[[#This Row],[Total cost]]&lt;&gt;0,tbl_estimated_costs_quantities[[#This Row],[Total cost]]/BOQs!$A$1,"")</f>
        <v/>
      </c>
      <c r="AZ68" s="37"/>
      <c r="BA68" s="37"/>
      <c r="BB68" s="37"/>
      <c r="BC68" s="37"/>
      <c r="BD68" s="41"/>
      <c r="BE68" s="37"/>
      <c r="BF68" s="37"/>
      <c r="BG68" s="37"/>
      <c r="BH68" s="41"/>
    </row>
    <row r="69" spans="2:60" ht="25.15" customHeight="1" x14ac:dyDescent="0.25">
      <c r="B69" s="49">
        <v>65</v>
      </c>
      <c r="C69" s="37"/>
      <c r="D69" s="41"/>
      <c r="E69" s="40"/>
      <c r="F69" s="87" t="str">
        <f>IF(tbl_estimated_costs_quantities[[#This Row],[House Code]]&lt;&gt;"",INDEX(tbl_Assessment[],MATCH(tbl_estimated_costs_quantities[[#This Row],[House Code]],tbl_Assessment[House Code],0),3),"")</f>
        <v/>
      </c>
      <c r="G69" s="115" t="str">
        <f>IF(tbl_estimated_costs_quantities[[#This Row],[House Code]]&lt;&gt;"",INDEX(tbl_Assessment[],MATCH(tbl_estimated_costs_quantities[[#This Row],[House Code]],tbl_Assessment[House Code],0),9),"")</f>
        <v/>
      </c>
      <c r="H6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 s="75"/>
      <c r="J69" s="37"/>
      <c r="K69" s="86">
        <f>tbl_estimated_costs_quantities[[#This Row],[Site Preparation]]*BOQs!$L$3</f>
        <v>0</v>
      </c>
      <c r="L69" s="76"/>
      <c r="M69" s="37"/>
      <c r="N69" s="86">
        <f>tbl_estimated_costs_quantities[[#This Row],[Demolition Removal Unsafe Structures]]*BOQs!$L$4</f>
        <v>0</v>
      </c>
      <c r="O69" s="76"/>
      <c r="P69" s="37"/>
      <c r="Q69" s="86">
        <f>tbl_estimated_costs_quantities[[#This Row],[Concrete Works]]*BOQs!$L$5</f>
        <v>0</v>
      </c>
      <c r="R69" s="76"/>
      <c r="S69" s="37"/>
      <c r="T69" s="86">
        <f>tbl_estimated_costs_quantities[[#This Row],[Closure External Openings Walls Windows]]*BOQs!$L$6</f>
        <v>0</v>
      </c>
      <c r="U69" s="76"/>
      <c r="V69" s="37"/>
      <c r="W69" s="86">
        <f>tbl_estimated_costs_quantities[[#This Row],[Plastering Painting]]*BOQs!$L$7</f>
        <v>0</v>
      </c>
      <c r="X69" s="76"/>
      <c r="Y69" s="37"/>
      <c r="Z69" s="86">
        <f>tbl_estimated_costs_quantities[[#This Row],[Floor Repairs]]*BOQs!$L$8</f>
        <v>0</v>
      </c>
      <c r="AA69" s="76"/>
      <c r="AB69" s="37"/>
      <c r="AC69" s="86">
        <f>tbl_estimated_costs_quantities[[#This Row],[Doors Replacement Repair]]*BOQs!$L$9</f>
        <v>0</v>
      </c>
      <c r="AD69" s="76"/>
      <c r="AE69" s="37"/>
      <c r="AF69" s="86">
        <f>tbl_estimated_costs_quantities[[#This Row],[Windows Replacement Repair]]*BOQs!$L$10</f>
        <v>0</v>
      </c>
      <c r="AG69" s="76"/>
      <c r="AH69" s="37"/>
      <c r="AI69" s="86">
        <f>tbl_estimated_costs_quantities[[#This Row],[Bathroom Rehabilitation]]*BOQs!$L$11</f>
        <v>0</v>
      </c>
      <c r="AJ69" s="76"/>
      <c r="AK69" s="37"/>
      <c r="AL69" s="86">
        <f>tbl_estimated_costs_quantities[[#This Row],[Ceramic Tile Works WASH]]*BOQs!$L$12</f>
        <v>0</v>
      </c>
      <c r="AM69" s="76"/>
      <c r="AN69" s="37"/>
      <c r="AO69" s="86">
        <f>tbl_estimated_costs_quantities[[#This Row],[Electrical Repairs Lighting]]*BOQs!$L$13</f>
        <v>0</v>
      </c>
      <c r="AP69" s="76"/>
      <c r="AQ69" s="37"/>
      <c r="AR69" s="86">
        <f>tbl_estimated_costs_quantities[[#This Row],[Roof Insulation Leak Sealing]]*BOQs!$L$14</f>
        <v>0</v>
      </c>
      <c r="AS69" s="76"/>
      <c r="AT69" s="37"/>
      <c r="AU69" s="86">
        <f>tbl_estimated_costs_quantities[[#This Row],[Chimney Duct Cleaning Repair]]*BOQs!$L$15</f>
        <v>0</v>
      </c>
      <c r="AV69" s="76"/>
      <c r="AW69" s="37"/>
      <c r="AX69" s="89">
        <f>tbl_estimated_costs_quantities[[#This Row],[Accessibility Adaptations]]*BOQs!$L$16</f>
        <v>0</v>
      </c>
      <c r="AY69" s="86" t="str">
        <f>IF(tbl_estimated_costs_quantities[[#This Row],[Total cost]]&lt;&gt;0,tbl_estimated_costs_quantities[[#This Row],[Total cost]]/BOQs!$A$1,"")</f>
        <v/>
      </c>
      <c r="AZ69" s="37"/>
      <c r="BA69" s="37"/>
      <c r="BB69" s="37"/>
      <c r="BC69" s="37"/>
      <c r="BD69" s="41"/>
      <c r="BE69" s="37"/>
      <c r="BF69" s="37"/>
      <c r="BG69" s="37"/>
      <c r="BH69" s="41"/>
    </row>
    <row r="70" spans="2:60" ht="25.15" customHeight="1" x14ac:dyDescent="0.25">
      <c r="B70" s="49">
        <v>66</v>
      </c>
      <c r="C70" s="37"/>
      <c r="D70" s="41"/>
      <c r="E70" s="40"/>
      <c r="F70" s="87" t="str">
        <f>IF(tbl_estimated_costs_quantities[[#This Row],[House Code]]&lt;&gt;"",INDEX(tbl_Assessment[],MATCH(tbl_estimated_costs_quantities[[#This Row],[House Code]],tbl_Assessment[House Code],0),3),"")</f>
        <v/>
      </c>
      <c r="G70" s="115" t="str">
        <f>IF(tbl_estimated_costs_quantities[[#This Row],[House Code]]&lt;&gt;"",INDEX(tbl_Assessment[],MATCH(tbl_estimated_costs_quantities[[#This Row],[House Code]],tbl_Assessment[House Code],0),9),"")</f>
        <v/>
      </c>
      <c r="H7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0" s="75"/>
      <c r="J70" s="37"/>
      <c r="K70" s="86">
        <f>tbl_estimated_costs_quantities[[#This Row],[Site Preparation]]*BOQs!$L$3</f>
        <v>0</v>
      </c>
      <c r="L70" s="76"/>
      <c r="M70" s="37"/>
      <c r="N70" s="86">
        <f>tbl_estimated_costs_quantities[[#This Row],[Demolition Removal Unsafe Structures]]*BOQs!$L$4</f>
        <v>0</v>
      </c>
      <c r="O70" s="76"/>
      <c r="P70" s="37"/>
      <c r="Q70" s="86">
        <f>tbl_estimated_costs_quantities[[#This Row],[Concrete Works]]*BOQs!$L$5</f>
        <v>0</v>
      </c>
      <c r="R70" s="76"/>
      <c r="S70" s="37"/>
      <c r="T70" s="86">
        <f>tbl_estimated_costs_quantities[[#This Row],[Closure External Openings Walls Windows]]*BOQs!$L$6</f>
        <v>0</v>
      </c>
      <c r="U70" s="76"/>
      <c r="V70" s="37"/>
      <c r="W70" s="86">
        <f>tbl_estimated_costs_quantities[[#This Row],[Plastering Painting]]*BOQs!$L$7</f>
        <v>0</v>
      </c>
      <c r="X70" s="76"/>
      <c r="Y70" s="37"/>
      <c r="Z70" s="86">
        <f>tbl_estimated_costs_quantities[[#This Row],[Floor Repairs]]*BOQs!$L$8</f>
        <v>0</v>
      </c>
      <c r="AA70" s="76"/>
      <c r="AB70" s="37"/>
      <c r="AC70" s="86">
        <f>tbl_estimated_costs_quantities[[#This Row],[Doors Replacement Repair]]*BOQs!$L$9</f>
        <v>0</v>
      </c>
      <c r="AD70" s="76"/>
      <c r="AE70" s="37"/>
      <c r="AF70" s="86">
        <f>tbl_estimated_costs_quantities[[#This Row],[Windows Replacement Repair]]*BOQs!$L$10</f>
        <v>0</v>
      </c>
      <c r="AG70" s="76"/>
      <c r="AH70" s="37"/>
      <c r="AI70" s="86">
        <f>tbl_estimated_costs_quantities[[#This Row],[Bathroom Rehabilitation]]*BOQs!$L$11</f>
        <v>0</v>
      </c>
      <c r="AJ70" s="76"/>
      <c r="AK70" s="37"/>
      <c r="AL70" s="86">
        <f>tbl_estimated_costs_quantities[[#This Row],[Ceramic Tile Works WASH]]*BOQs!$L$12</f>
        <v>0</v>
      </c>
      <c r="AM70" s="76"/>
      <c r="AN70" s="37"/>
      <c r="AO70" s="86">
        <f>tbl_estimated_costs_quantities[[#This Row],[Electrical Repairs Lighting]]*BOQs!$L$13</f>
        <v>0</v>
      </c>
      <c r="AP70" s="76"/>
      <c r="AQ70" s="37"/>
      <c r="AR70" s="86">
        <f>tbl_estimated_costs_quantities[[#This Row],[Roof Insulation Leak Sealing]]*BOQs!$L$14</f>
        <v>0</v>
      </c>
      <c r="AS70" s="76"/>
      <c r="AT70" s="37"/>
      <c r="AU70" s="86">
        <f>tbl_estimated_costs_quantities[[#This Row],[Chimney Duct Cleaning Repair]]*BOQs!$L$15</f>
        <v>0</v>
      </c>
      <c r="AV70" s="76"/>
      <c r="AW70" s="37"/>
      <c r="AX70" s="89">
        <f>tbl_estimated_costs_quantities[[#This Row],[Accessibility Adaptations]]*BOQs!$L$16</f>
        <v>0</v>
      </c>
      <c r="AY70" s="86" t="str">
        <f>IF(tbl_estimated_costs_quantities[[#This Row],[Total cost]]&lt;&gt;0,tbl_estimated_costs_quantities[[#This Row],[Total cost]]/BOQs!$A$1,"")</f>
        <v/>
      </c>
      <c r="AZ70" s="37"/>
      <c r="BA70" s="37"/>
      <c r="BB70" s="37"/>
      <c r="BC70" s="37"/>
      <c r="BD70" s="41"/>
      <c r="BE70" s="37"/>
      <c r="BF70" s="37"/>
      <c r="BG70" s="37"/>
      <c r="BH70" s="41"/>
    </row>
    <row r="71" spans="2:60" ht="25.15" customHeight="1" x14ac:dyDescent="0.25">
      <c r="B71" s="49">
        <v>67</v>
      </c>
      <c r="C71" s="37"/>
      <c r="D71" s="41"/>
      <c r="E71" s="40"/>
      <c r="F71" s="87" t="str">
        <f>IF(tbl_estimated_costs_quantities[[#This Row],[House Code]]&lt;&gt;"",INDEX(tbl_Assessment[],MATCH(tbl_estimated_costs_quantities[[#This Row],[House Code]],tbl_Assessment[House Code],0),3),"")</f>
        <v/>
      </c>
      <c r="G71" s="115" t="str">
        <f>IF(tbl_estimated_costs_quantities[[#This Row],[House Code]]&lt;&gt;"",INDEX(tbl_Assessment[],MATCH(tbl_estimated_costs_quantities[[#This Row],[House Code]],tbl_Assessment[House Code],0),9),"")</f>
        <v/>
      </c>
      <c r="H7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1" s="75"/>
      <c r="J71" s="37"/>
      <c r="K71" s="86">
        <f>tbl_estimated_costs_quantities[[#This Row],[Site Preparation]]*BOQs!$L$3</f>
        <v>0</v>
      </c>
      <c r="L71" s="76"/>
      <c r="M71" s="37"/>
      <c r="N71" s="86">
        <f>tbl_estimated_costs_quantities[[#This Row],[Demolition Removal Unsafe Structures]]*BOQs!$L$4</f>
        <v>0</v>
      </c>
      <c r="O71" s="76"/>
      <c r="P71" s="37"/>
      <c r="Q71" s="86">
        <f>tbl_estimated_costs_quantities[[#This Row],[Concrete Works]]*BOQs!$L$5</f>
        <v>0</v>
      </c>
      <c r="R71" s="76"/>
      <c r="S71" s="37"/>
      <c r="T71" s="86">
        <f>tbl_estimated_costs_quantities[[#This Row],[Closure External Openings Walls Windows]]*BOQs!$L$6</f>
        <v>0</v>
      </c>
      <c r="U71" s="76"/>
      <c r="V71" s="37"/>
      <c r="W71" s="86">
        <f>tbl_estimated_costs_quantities[[#This Row],[Plastering Painting]]*BOQs!$L$7</f>
        <v>0</v>
      </c>
      <c r="X71" s="76"/>
      <c r="Y71" s="37"/>
      <c r="Z71" s="86">
        <f>tbl_estimated_costs_quantities[[#This Row],[Floor Repairs]]*BOQs!$L$8</f>
        <v>0</v>
      </c>
      <c r="AA71" s="76"/>
      <c r="AB71" s="37"/>
      <c r="AC71" s="86">
        <f>tbl_estimated_costs_quantities[[#This Row],[Doors Replacement Repair]]*BOQs!$L$9</f>
        <v>0</v>
      </c>
      <c r="AD71" s="76"/>
      <c r="AE71" s="37"/>
      <c r="AF71" s="86">
        <f>tbl_estimated_costs_quantities[[#This Row],[Windows Replacement Repair]]*BOQs!$L$10</f>
        <v>0</v>
      </c>
      <c r="AG71" s="76"/>
      <c r="AH71" s="37"/>
      <c r="AI71" s="86">
        <f>tbl_estimated_costs_quantities[[#This Row],[Bathroom Rehabilitation]]*BOQs!$L$11</f>
        <v>0</v>
      </c>
      <c r="AJ71" s="76"/>
      <c r="AK71" s="37"/>
      <c r="AL71" s="86">
        <f>tbl_estimated_costs_quantities[[#This Row],[Ceramic Tile Works WASH]]*BOQs!$L$12</f>
        <v>0</v>
      </c>
      <c r="AM71" s="76"/>
      <c r="AN71" s="37"/>
      <c r="AO71" s="86">
        <f>tbl_estimated_costs_quantities[[#This Row],[Electrical Repairs Lighting]]*BOQs!$L$13</f>
        <v>0</v>
      </c>
      <c r="AP71" s="76"/>
      <c r="AQ71" s="37"/>
      <c r="AR71" s="86">
        <f>tbl_estimated_costs_quantities[[#This Row],[Roof Insulation Leak Sealing]]*BOQs!$L$14</f>
        <v>0</v>
      </c>
      <c r="AS71" s="76"/>
      <c r="AT71" s="37"/>
      <c r="AU71" s="86">
        <f>tbl_estimated_costs_quantities[[#This Row],[Chimney Duct Cleaning Repair]]*BOQs!$L$15</f>
        <v>0</v>
      </c>
      <c r="AV71" s="76"/>
      <c r="AW71" s="37"/>
      <c r="AX71" s="89">
        <f>tbl_estimated_costs_quantities[[#This Row],[Accessibility Adaptations]]*BOQs!$L$16</f>
        <v>0</v>
      </c>
      <c r="AY71" s="86" t="str">
        <f>IF(tbl_estimated_costs_quantities[[#This Row],[Total cost]]&lt;&gt;0,tbl_estimated_costs_quantities[[#This Row],[Total cost]]/BOQs!$A$1,"")</f>
        <v/>
      </c>
      <c r="AZ71" s="37"/>
      <c r="BA71" s="37"/>
      <c r="BB71" s="37"/>
      <c r="BC71" s="37"/>
      <c r="BD71" s="41"/>
      <c r="BE71" s="37"/>
      <c r="BF71" s="37"/>
      <c r="BG71" s="37"/>
      <c r="BH71" s="41"/>
    </row>
    <row r="72" spans="2:60" ht="25.15" customHeight="1" x14ac:dyDescent="0.25">
      <c r="B72" s="49">
        <v>68</v>
      </c>
      <c r="C72" s="37"/>
      <c r="D72" s="41"/>
      <c r="E72" s="40"/>
      <c r="F72" s="87" t="str">
        <f>IF(tbl_estimated_costs_quantities[[#This Row],[House Code]]&lt;&gt;"",INDEX(tbl_Assessment[],MATCH(tbl_estimated_costs_quantities[[#This Row],[House Code]],tbl_Assessment[House Code],0),3),"")</f>
        <v/>
      </c>
      <c r="G72" s="115" t="str">
        <f>IF(tbl_estimated_costs_quantities[[#This Row],[House Code]]&lt;&gt;"",INDEX(tbl_Assessment[],MATCH(tbl_estimated_costs_quantities[[#This Row],[House Code]],tbl_Assessment[House Code],0),9),"")</f>
        <v/>
      </c>
      <c r="H7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2" s="75"/>
      <c r="J72" s="37"/>
      <c r="K72" s="86">
        <f>tbl_estimated_costs_quantities[[#This Row],[Site Preparation]]*BOQs!$L$3</f>
        <v>0</v>
      </c>
      <c r="L72" s="76"/>
      <c r="M72" s="37"/>
      <c r="N72" s="86">
        <f>tbl_estimated_costs_quantities[[#This Row],[Demolition Removal Unsafe Structures]]*BOQs!$L$4</f>
        <v>0</v>
      </c>
      <c r="O72" s="76"/>
      <c r="P72" s="37"/>
      <c r="Q72" s="86">
        <f>tbl_estimated_costs_quantities[[#This Row],[Concrete Works]]*BOQs!$L$5</f>
        <v>0</v>
      </c>
      <c r="R72" s="76"/>
      <c r="S72" s="37"/>
      <c r="T72" s="86">
        <f>tbl_estimated_costs_quantities[[#This Row],[Closure External Openings Walls Windows]]*BOQs!$L$6</f>
        <v>0</v>
      </c>
      <c r="U72" s="76"/>
      <c r="V72" s="37"/>
      <c r="W72" s="86">
        <f>tbl_estimated_costs_quantities[[#This Row],[Plastering Painting]]*BOQs!$L$7</f>
        <v>0</v>
      </c>
      <c r="X72" s="76"/>
      <c r="Y72" s="37"/>
      <c r="Z72" s="86">
        <f>tbl_estimated_costs_quantities[[#This Row],[Floor Repairs]]*BOQs!$L$8</f>
        <v>0</v>
      </c>
      <c r="AA72" s="76"/>
      <c r="AB72" s="37"/>
      <c r="AC72" s="86">
        <f>tbl_estimated_costs_quantities[[#This Row],[Doors Replacement Repair]]*BOQs!$L$9</f>
        <v>0</v>
      </c>
      <c r="AD72" s="76"/>
      <c r="AE72" s="37"/>
      <c r="AF72" s="86">
        <f>tbl_estimated_costs_quantities[[#This Row],[Windows Replacement Repair]]*BOQs!$L$10</f>
        <v>0</v>
      </c>
      <c r="AG72" s="76"/>
      <c r="AH72" s="37"/>
      <c r="AI72" s="86">
        <f>tbl_estimated_costs_quantities[[#This Row],[Bathroom Rehabilitation]]*BOQs!$L$11</f>
        <v>0</v>
      </c>
      <c r="AJ72" s="76"/>
      <c r="AK72" s="37"/>
      <c r="AL72" s="86">
        <f>tbl_estimated_costs_quantities[[#This Row],[Ceramic Tile Works WASH]]*BOQs!$L$12</f>
        <v>0</v>
      </c>
      <c r="AM72" s="76"/>
      <c r="AN72" s="37"/>
      <c r="AO72" s="86">
        <f>tbl_estimated_costs_quantities[[#This Row],[Electrical Repairs Lighting]]*BOQs!$L$13</f>
        <v>0</v>
      </c>
      <c r="AP72" s="76"/>
      <c r="AQ72" s="37"/>
      <c r="AR72" s="86">
        <f>tbl_estimated_costs_quantities[[#This Row],[Roof Insulation Leak Sealing]]*BOQs!$L$14</f>
        <v>0</v>
      </c>
      <c r="AS72" s="76"/>
      <c r="AT72" s="37"/>
      <c r="AU72" s="86">
        <f>tbl_estimated_costs_quantities[[#This Row],[Chimney Duct Cleaning Repair]]*BOQs!$L$15</f>
        <v>0</v>
      </c>
      <c r="AV72" s="76"/>
      <c r="AW72" s="37"/>
      <c r="AX72" s="89">
        <f>tbl_estimated_costs_quantities[[#This Row],[Accessibility Adaptations]]*BOQs!$L$16</f>
        <v>0</v>
      </c>
      <c r="AY72" s="86" t="str">
        <f>IF(tbl_estimated_costs_quantities[[#This Row],[Total cost]]&lt;&gt;0,tbl_estimated_costs_quantities[[#This Row],[Total cost]]/BOQs!$A$1,"")</f>
        <v/>
      </c>
      <c r="AZ72" s="37"/>
      <c r="BA72" s="37"/>
      <c r="BB72" s="37"/>
      <c r="BC72" s="37"/>
      <c r="BD72" s="41"/>
      <c r="BE72" s="37"/>
      <c r="BF72" s="37"/>
      <c r="BG72" s="37"/>
      <c r="BH72" s="41"/>
    </row>
    <row r="73" spans="2:60" ht="25.15" customHeight="1" x14ac:dyDescent="0.25">
      <c r="B73" s="49">
        <v>69</v>
      </c>
      <c r="C73" s="37"/>
      <c r="D73" s="41"/>
      <c r="E73" s="40"/>
      <c r="F73" s="87" t="str">
        <f>IF(tbl_estimated_costs_quantities[[#This Row],[House Code]]&lt;&gt;"",INDEX(tbl_Assessment[],MATCH(tbl_estimated_costs_quantities[[#This Row],[House Code]],tbl_Assessment[House Code],0),3),"")</f>
        <v/>
      </c>
      <c r="G73" s="115" t="str">
        <f>IF(tbl_estimated_costs_quantities[[#This Row],[House Code]]&lt;&gt;"",INDEX(tbl_Assessment[],MATCH(tbl_estimated_costs_quantities[[#This Row],[House Code]],tbl_Assessment[House Code],0),9),"")</f>
        <v/>
      </c>
      <c r="H7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3" s="75"/>
      <c r="J73" s="37"/>
      <c r="K73" s="86">
        <f>tbl_estimated_costs_quantities[[#This Row],[Site Preparation]]*BOQs!$L$3</f>
        <v>0</v>
      </c>
      <c r="L73" s="76"/>
      <c r="M73" s="37"/>
      <c r="N73" s="86">
        <f>tbl_estimated_costs_quantities[[#This Row],[Demolition Removal Unsafe Structures]]*BOQs!$L$4</f>
        <v>0</v>
      </c>
      <c r="O73" s="76"/>
      <c r="P73" s="37"/>
      <c r="Q73" s="86">
        <f>tbl_estimated_costs_quantities[[#This Row],[Concrete Works]]*BOQs!$L$5</f>
        <v>0</v>
      </c>
      <c r="R73" s="76"/>
      <c r="S73" s="37"/>
      <c r="T73" s="86">
        <f>tbl_estimated_costs_quantities[[#This Row],[Closure External Openings Walls Windows]]*BOQs!$L$6</f>
        <v>0</v>
      </c>
      <c r="U73" s="76"/>
      <c r="V73" s="37"/>
      <c r="W73" s="86">
        <f>tbl_estimated_costs_quantities[[#This Row],[Plastering Painting]]*BOQs!$L$7</f>
        <v>0</v>
      </c>
      <c r="X73" s="76"/>
      <c r="Y73" s="37"/>
      <c r="Z73" s="86">
        <f>tbl_estimated_costs_quantities[[#This Row],[Floor Repairs]]*BOQs!$L$8</f>
        <v>0</v>
      </c>
      <c r="AA73" s="76"/>
      <c r="AB73" s="37"/>
      <c r="AC73" s="86">
        <f>tbl_estimated_costs_quantities[[#This Row],[Doors Replacement Repair]]*BOQs!$L$9</f>
        <v>0</v>
      </c>
      <c r="AD73" s="76"/>
      <c r="AE73" s="37"/>
      <c r="AF73" s="86">
        <f>tbl_estimated_costs_quantities[[#This Row],[Windows Replacement Repair]]*BOQs!$L$10</f>
        <v>0</v>
      </c>
      <c r="AG73" s="76"/>
      <c r="AH73" s="37"/>
      <c r="AI73" s="86">
        <f>tbl_estimated_costs_quantities[[#This Row],[Bathroom Rehabilitation]]*BOQs!$L$11</f>
        <v>0</v>
      </c>
      <c r="AJ73" s="76"/>
      <c r="AK73" s="37"/>
      <c r="AL73" s="86">
        <f>tbl_estimated_costs_quantities[[#This Row],[Ceramic Tile Works WASH]]*BOQs!$L$12</f>
        <v>0</v>
      </c>
      <c r="AM73" s="76"/>
      <c r="AN73" s="37"/>
      <c r="AO73" s="86">
        <f>tbl_estimated_costs_quantities[[#This Row],[Electrical Repairs Lighting]]*BOQs!$L$13</f>
        <v>0</v>
      </c>
      <c r="AP73" s="76"/>
      <c r="AQ73" s="37"/>
      <c r="AR73" s="86">
        <f>tbl_estimated_costs_quantities[[#This Row],[Roof Insulation Leak Sealing]]*BOQs!$L$14</f>
        <v>0</v>
      </c>
      <c r="AS73" s="76"/>
      <c r="AT73" s="37"/>
      <c r="AU73" s="86">
        <f>tbl_estimated_costs_quantities[[#This Row],[Chimney Duct Cleaning Repair]]*BOQs!$L$15</f>
        <v>0</v>
      </c>
      <c r="AV73" s="76"/>
      <c r="AW73" s="37"/>
      <c r="AX73" s="89">
        <f>tbl_estimated_costs_quantities[[#This Row],[Accessibility Adaptations]]*BOQs!$L$16</f>
        <v>0</v>
      </c>
      <c r="AY73" s="86" t="str">
        <f>IF(tbl_estimated_costs_quantities[[#This Row],[Total cost]]&lt;&gt;0,tbl_estimated_costs_quantities[[#This Row],[Total cost]]/BOQs!$A$1,"")</f>
        <v/>
      </c>
      <c r="AZ73" s="37"/>
      <c r="BA73" s="37"/>
      <c r="BB73" s="37"/>
      <c r="BC73" s="37"/>
      <c r="BD73" s="41"/>
      <c r="BE73" s="37"/>
      <c r="BF73" s="37"/>
      <c r="BG73" s="37"/>
      <c r="BH73" s="41"/>
    </row>
    <row r="74" spans="2:60" ht="25.15" customHeight="1" x14ac:dyDescent="0.25">
      <c r="B74" s="49">
        <v>70</v>
      </c>
      <c r="C74" s="37"/>
      <c r="D74" s="41"/>
      <c r="E74" s="40"/>
      <c r="F74" s="87" t="str">
        <f>IF(tbl_estimated_costs_quantities[[#This Row],[House Code]]&lt;&gt;"",INDEX(tbl_Assessment[],MATCH(tbl_estimated_costs_quantities[[#This Row],[House Code]],tbl_Assessment[House Code],0),3),"")</f>
        <v/>
      </c>
      <c r="G74" s="115" t="str">
        <f>IF(tbl_estimated_costs_quantities[[#This Row],[House Code]]&lt;&gt;"",INDEX(tbl_Assessment[],MATCH(tbl_estimated_costs_quantities[[#This Row],[House Code]],tbl_Assessment[House Code],0),9),"")</f>
        <v/>
      </c>
      <c r="H7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4" s="75"/>
      <c r="J74" s="37"/>
      <c r="K74" s="86">
        <f>tbl_estimated_costs_quantities[[#This Row],[Site Preparation]]*BOQs!$L$3</f>
        <v>0</v>
      </c>
      <c r="L74" s="76"/>
      <c r="M74" s="37"/>
      <c r="N74" s="86">
        <f>tbl_estimated_costs_quantities[[#This Row],[Demolition Removal Unsafe Structures]]*BOQs!$L$4</f>
        <v>0</v>
      </c>
      <c r="O74" s="76"/>
      <c r="P74" s="37"/>
      <c r="Q74" s="86">
        <f>tbl_estimated_costs_quantities[[#This Row],[Concrete Works]]*BOQs!$L$5</f>
        <v>0</v>
      </c>
      <c r="R74" s="76"/>
      <c r="S74" s="37"/>
      <c r="T74" s="86">
        <f>tbl_estimated_costs_quantities[[#This Row],[Closure External Openings Walls Windows]]*BOQs!$L$6</f>
        <v>0</v>
      </c>
      <c r="U74" s="76"/>
      <c r="V74" s="37"/>
      <c r="W74" s="86">
        <f>tbl_estimated_costs_quantities[[#This Row],[Plastering Painting]]*BOQs!$L$7</f>
        <v>0</v>
      </c>
      <c r="X74" s="76"/>
      <c r="Y74" s="37"/>
      <c r="Z74" s="86">
        <f>tbl_estimated_costs_quantities[[#This Row],[Floor Repairs]]*BOQs!$L$8</f>
        <v>0</v>
      </c>
      <c r="AA74" s="76"/>
      <c r="AB74" s="37"/>
      <c r="AC74" s="86">
        <f>tbl_estimated_costs_quantities[[#This Row],[Doors Replacement Repair]]*BOQs!$L$9</f>
        <v>0</v>
      </c>
      <c r="AD74" s="76"/>
      <c r="AE74" s="37"/>
      <c r="AF74" s="86">
        <f>tbl_estimated_costs_quantities[[#This Row],[Windows Replacement Repair]]*BOQs!$L$10</f>
        <v>0</v>
      </c>
      <c r="AG74" s="76"/>
      <c r="AH74" s="37"/>
      <c r="AI74" s="86">
        <f>tbl_estimated_costs_quantities[[#This Row],[Bathroom Rehabilitation]]*BOQs!$L$11</f>
        <v>0</v>
      </c>
      <c r="AJ74" s="76"/>
      <c r="AK74" s="37"/>
      <c r="AL74" s="86">
        <f>tbl_estimated_costs_quantities[[#This Row],[Ceramic Tile Works WASH]]*BOQs!$L$12</f>
        <v>0</v>
      </c>
      <c r="AM74" s="76"/>
      <c r="AN74" s="37"/>
      <c r="AO74" s="86">
        <f>tbl_estimated_costs_quantities[[#This Row],[Electrical Repairs Lighting]]*BOQs!$L$13</f>
        <v>0</v>
      </c>
      <c r="AP74" s="76"/>
      <c r="AQ74" s="37"/>
      <c r="AR74" s="86">
        <f>tbl_estimated_costs_quantities[[#This Row],[Roof Insulation Leak Sealing]]*BOQs!$L$14</f>
        <v>0</v>
      </c>
      <c r="AS74" s="76"/>
      <c r="AT74" s="37"/>
      <c r="AU74" s="86">
        <f>tbl_estimated_costs_quantities[[#This Row],[Chimney Duct Cleaning Repair]]*BOQs!$L$15</f>
        <v>0</v>
      </c>
      <c r="AV74" s="76"/>
      <c r="AW74" s="37"/>
      <c r="AX74" s="89">
        <f>tbl_estimated_costs_quantities[[#This Row],[Accessibility Adaptations]]*BOQs!$L$16</f>
        <v>0</v>
      </c>
      <c r="AY74" s="86" t="str">
        <f>IF(tbl_estimated_costs_quantities[[#This Row],[Total cost]]&lt;&gt;0,tbl_estimated_costs_quantities[[#This Row],[Total cost]]/BOQs!$A$1,"")</f>
        <v/>
      </c>
      <c r="AZ74" s="37"/>
      <c r="BA74" s="37"/>
      <c r="BB74" s="37"/>
      <c r="BC74" s="37"/>
      <c r="BD74" s="41"/>
      <c r="BE74" s="37"/>
      <c r="BF74" s="37"/>
      <c r="BG74" s="37"/>
      <c r="BH74" s="41"/>
    </row>
    <row r="75" spans="2:60" ht="25.15" customHeight="1" x14ac:dyDescent="0.25">
      <c r="B75" s="49">
        <v>71</v>
      </c>
      <c r="C75" s="37"/>
      <c r="D75" s="41"/>
      <c r="E75" s="40"/>
      <c r="F75" s="87" t="str">
        <f>IF(tbl_estimated_costs_quantities[[#This Row],[House Code]]&lt;&gt;"",INDEX(tbl_Assessment[],MATCH(tbl_estimated_costs_quantities[[#This Row],[House Code]],tbl_Assessment[House Code],0),3),"")</f>
        <v/>
      </c>
      <c r="G75" s="115" t="str">
        <f>IF(tbl_estimated_costs_quantities[[#This Row],[House Code]]&lt;&gt;"",INDEX(tbl_Assessment[],MATCH(tbl_estimated_costs_quantities[[#This Row],[House Code]],tbl_Assessment[House Code],0),9),"")</f>
        <v/>
      </c>
      <c r="H7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5" s="75"/>
      <c r="J75" s="37"/>
      <c r="K75" s="86">
        <f>tbl_estimated_costs_quantities[[#This Row],[Site Preparation]]*BOQs!$L$3</f>
        <v>0</v>
      </c>
      <c r="L75" s="76"/>
      <c r="M75" s="37"/>
      <c r="N75" s="86">
        <f>tbl_estimated_costs_quantities[[#This Row],[Demolition Removal Unsafe Structures]]*BOQs!$L$4</f>
        <v>0</v>
      </c>
      <c r="O75" s="76"/>
      <c r="P75" s="37"/>
      <c r="Q75" s="86">
        <f>tbl_estimated_costs_quantities[[#This Row],[Concrete Works]]*BOQs!$L$5</f>
        <v>0</v>
      </c>
      <c r="R75" s="76"/>
      <c r="S75" s="37"/>
      <c r="T75" s="86">
        <f>tbl_estimated_costs_quantities[[#This Row],[Closure External Openings Walls Windows]]*BOQs!$L$6</f>
        <v>0</v>
      </c>
      <c r="U75" s="76"/>
      <c r="V75" s="37"/>
      <c r="W75" s="86">
        <f>tbl_estimated_costs_quantities[[#This Row],[Plastering Painting]]*BOQs!$L$7</f>
        <v>0</v>
      </c>
      <c r="X75" s="76"/>
      <c r="Y75" s="37"/>
      <c r="Z75" s="86">
        <f>tbl_estimated_costs_quantities[[#This Row],[Floor Repairs]]*BOQs!$L$8</f>
        <v>0</v>
      </c>
      <c r="AA75" s="76"/>
      <c r="AB75" s="37"/>
      <c r="AC75" s="86">
        <f>tbl_estimated_costs_quantities[[#This Row],[Doors Replacement Repair]]*BOQs!$L$9</f>
        <v>0</v>
      </c>
      <c r="AD75" s="76"/>
      <c r="AE75" s="37"/>
      <c r="AF75" s="86">
        <f>tbl_estimated_costs_quantities[[#This Row],[Windows Replacement Repair]]*BOQs!$L$10</f>
        <v>0</v>
      </c>
      <c r="AG75" s="76"/>
      <c r="AH75" s="37"/>
      <c r="AI75" s="86">
        <f>tbl_estimated_costs_quantities[[#This Row],[Bathroom Rehabilitation]]*BOQs!$L$11</f>
        <v>0</v>
      </c>
      <c r="AJ75" s="76"/>
      <c r="AK75" s="37"/>
      <c r="AL75" s="86">
        <f>tbl_estimated_costs_quantities[[#This Row],[Ceramic Tile Works WASH]]*BOQs!$L$12</f>
        <v>0</v>
      </c>
      <c r="AM75" s="76"/>
      <c r="AN75" s="37"/>
      <c r="AO75" s="86">
        <f>tbl_estimated_costs_quantities[[#This Row],[Electrical Repairs Lighting]]*BOQs!$L$13</f>
        <v>0</v>
      </c>
      <c r="AP75" s="76"/>
      <c r="AQ75" s="37"/>
      <c r="AR75" s="86">
        <f>tbl_estimated_costs_quantities[[#This Row],[Roof Insulation Leak Sealing]]*BOQs!$L$14</f>
        <v>0</v>
      </c>
      <c r="AS75" s="76"/>
      <c r="AT75" s="37"/>
      <c r="AU75" s="86">
        <f>tbl_estimated_costs_quantities[[#This Row],[Chimney Duct Cleaning Repair]]*BOQs!$L$15</f>
        <v>0</v>
      </c>
      <c r="AV75" s="76"/>
      <c r="AW75" s="37"/>
      <c r="AX75" s="89">
        <f>tbl_estimated_costs_quantities[[#This Row],[Accessibility Adaptations]]*BOQs!$L$16</f>
        <v>0</v>
      </c>
      <c r="AY75" s="86" t="str">
        <f>IF(tbl_estimated_costs_quantities[[#This Row],[Total cost]]&lt;&gt;0,tbl_estimated_costs_quantities[[#This Row],[Total cost]]/BOQs!$A$1,"")</f>
        <v/>
      </c>
      <c r="AZ75" s="37"/>
      <c r="BA75" s="37"/>
      <c r="BB75" s="37"/>
      <c r="BC75" s="37"/>
      <c r="BD75" s="41"/>
      <c r="BE75" s="37"/>
      <c r="BF75" s="37"/>
      <c r="BG75" s="37"/>
      <c r="BH75" s="41"/>
    </row>
    <row r="76" spans="2:60" ht="25.15" customHeight="1" x14ac:dyDescent="0.25">
      <c r="B76" s="49">
        <v>72</v>
      </c>
      <c r="C76" s="37"/>
      <c r="D76" s="41"/>
      <c r="E76" s="40"/>
      <c r="F76" s="87" t="str">
        <f>IF(tbl_estimated_costs_quantities[[#This Row],[House Code]]&lt;&gt;"",INDEX(tbl_Assessment[],MATCH(tbl_estimated_costs_quantities[[#This Row],[House Code]],tbl_Assessment[House Code],0),3),"")</f>
        <v/>
      </c>
      <c r="G76" s="115" t="str">
        <f>IF(tbl_estimated_costs_quantities[[#This Row],[House Code]]&lt;&gt;"",INDEX(tbl_Assessment[],MATCH(tbl_estimated_costs_quantities[[#This Row],[House Code]],tbl_Assessment[House Code],0),9),"")</f>
        <v/>
      </c>
      <c r="H7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6" s="75"/>
      <c r="J76" s="37"/>
      <c r="K76" s="86">
        <f>tbl_estimated_costs_quantities[[#This Row],[Site Preparation]]*BOQs!$L$3</f>
        <v>0</v>
      </c>
      <c r="L76" s="76"/>
      <c r="M76" s="37"/>
      <c r="N76" s="86">
        <f>tbl_estimated_costs_quantities[[#This Row],[Demolition Removal Unsafe Structures]]*BOQs!$L$4</f>
        <v>0</v>
      </c>
      <c r="O76" s="76"/>
      <c r="P76" s="37"/>
      <c r="Q76" s="86">
        <f>tbl_estimated_costs_quantities[[#This Row],[Concrete Works]]*BOQs!$L$5</f>
        <v>0</v>
      </c>
      <c r="R76" s="76"/>
      <c r="S76" s="37"/>
      <c r="T76" s="86">
        <f>tbl_estimated_costs_quantities[[#This Row],[Closure External Openings Walls Windows]]*BOQs!$L$6</f>
        <v>0</v>
      </c>
      <c r="U76" s="76"/>
      <c r="V76" s="37"/>
      <c r="W76" s="86">
        <f>tbl_estimated_costs_quantities[[#This Row],[Plastering Painting]]*BOQs!$L$7</f>
        <v>0</v>
      </c>
      <c r="X76" s="76"/>
      <c r="Y76" s="37"/>
      <c r="Z76" s="86">
        <f>tbl_estimated_costs_quantities[[#This Row],[Floor Repairs]]*BOQs!$L$8</f>
        <v>0</v>
      </c>
      <c r="AA76" s="76"/>
      <c r="AB76" s="37"/>
      <c r="AC76" s="86">
        <f>tbl_estimated_costs_quantities[[#This Row],[Doors Replacement Repair]]*BOQs!$L$9</f>
        <v>0</v>
      </c>
      <c r="AD76" s="76"/>
      <c r="AE76" s="37"/>
      <c r="AF76" s="86">
        <f>tbl_estimated_costs_quantities[[#This Row],[Windows Replacement Repair]]*BOQs!$L$10</f>
        <v>0</v>
      </c>
      <c r="AG76" s="76"/>
      <c r="AH76" s="37"/>
      <c r="AI76" s="86">
        <f>tbl_estimated_costs_quantities[[#This Row],[Bathroom Rehabilitation]]*BOQs!$L$11</f>
        <v>0</v>
      </c>
      <c r="AJ76" s="76"/>
      <c r="AK76" s="37"/>
      <c r="AL76" s="86">
        <f>tbl_estimated_costs_quantities[[#This Row],[Ceramic Tile Works WASH]]*BOQs!$L$12</f>
        <v>0</v>
      </c>
      <c r="AM76" s="76"/>
      <c r="AN76" s="37"/>
      <c r="AO76" s="86">
        <f>tbl_estimated_costs_quantities[[#This Row],[Electrical Repairs Lighting]]*BOQs!$L$13</f>
        <v>0</v>
      </c>
      <c r="AP76" s="76"/>
      <c r="AQ76" s="37"/>
      <c r="AR76" s="86">
        <f>tbl_estimated_costs_quantities[[#This Row],[Roof Insulation Leak Sealing]]*BOQs!$L$14</f>
        <v>0</v>
      </c>
      <c r="AS76" s="76"/>
      <c r="AT76" s="37"/>
      <c r="AU76" s="86">
        <f>tbl_estimated_costs_quantities[[#This Row],[Chimney Duct Cleaning Repair]]*BOQs!$L$15</f>
        <v>0</v>
      </c>
      <c r="AV76" s="76"/>
      <c r="AW76" s="37"/>
      <c r="AX76" s="89">
        <f>tbl_estimated_costs_quantities[[#This Row],[Accessibility Adaptations]]*BOQs!$L$16</f>
        <v>0</v>
      </c>
      <c r="AY76" s="86" t="str">
        <f>IF(tbl_estimated_costs_quantities[[#This Row],[Total cost]]&lt;&gt;0,tbl_estimated_costs_quantities[[#This Row],[Total cost]]/BOQs!$A$1,"")</f>
        <v/>
      </c>
      <c r="AZ76" s="37"/>
      <c r="BA76" s="37"/>
      <c r="BB76" s="37"/>
      <c r="BC76" s="37"/>
      <c r="BD76" s="41"/>
      <c r="BE76" s="37"/>
      <c r="BF76" s="37"/>
      <c r="BG76" s="37"/>
      <c r="BH76" s="41"/>
    </row>
    <row r="77" spans="2:60" ht="25.15" customHeight="1" x14ac:dyDescent="0.25">
      <c r="B77" s="49">
        <v>73</v>
      </c>
      <c r="C77" s="37"/>
      <c r="D77" s="41"/>
      <c r="E77" s="40"/>
      <c r="F77" s="87" t="str">
        <f>IF(tbl_estimated_costs_quantities[[#This Row],[House Code]]&lt;&gt;"",INDEX(tbl_Assessment[],MATCH(tbl_estimated_costs_quantities[[#This Row],[House Code]],tbl_Assessment[House Code],0),3),"")</f>
        <v/>
      </c>
      <c r="G77" s="115" t="str">
        <f>IF(tbl_estimated_costs_quantities[[#This Row],[House Code]]&lt;&gt;"",INDEX(tbl_Assessment[],MATCH(tbl_estimated_costs_quantities[[#This Row],[House Code]],tbl_Assessment[House Code],0),9),"")</f>
        <v/>
      </c>
      <c r="H7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7" s="75"/>
      <c r="J77" s="37"/>
      <c r="K77" s="86">
        <f>tbl_estimated_costs_quantities[[#This Row],[Site Preparation]]*BOQs!$L$3</f>
        <v>0</v>
      </c>
      <c r="L77" s="76"/>
      <c r="M77" s="37"/>
      <c r="N77" s="86">
        <f>tbl_estimated_costs_quantities[[#This Row],[Demolition Removal Unsafe Structures]]*BOQs!$L$4</f>
        <v>0</v>
      </c>
      <c r="O77" s="76"/>
      <c r="P77" s="37"/>
      <c r="Q77" s="86">
        <f>tbl_estimated_costs_quantities[[#This Row],[Concrete Works]]*BOQs!$L$5</f>
        <v>0</v>
      </c>
      <c r="R77" s="76"/>
      <c r="S77" s="37"/>
      <c r="T77" s="86">
        <f>tbl_estimated_costs_quantities[[#This Row],[Closure External Openings Walls Windows]]*BOQs!$L$6</f>
        <v>0</v>
      </c>
      <c r="U77" s="76"/>
      <c r="V77" s="37"/>
      <c r="W77" s="86">
        <f>tbl_estimated_costs_quantities[[#This Row],[Plastering Painting]]*BOQs!$L$7</f>
        <v>0</v>
      </c>
      <c r="X77" s="76"/>
      <c r="Y77" s="37"/>
      <c r="Z77" s="86">
        <f>tbl_estimated_costs_quantities[[#This Row],[Floor Repairs]]*BOQs!$L$8</f>
        <v>0</v>
      </c>
      <c r="AA77" s="76"/>
      <c r="AB77" s="37"/>
      <c r="AC77" s="86">
        <f>tbl_estimated_costs_quantities[[#This Row],[Doors Replacement Repair]]*BOQs!$L$9</f>
        <v>0</v>
      </c>
      <c r="AD77" s="76"/>
      <c r="AE77" s="37"/>
      <c r="AF77" s="86">
        <f>tbl_estimated_costs_quantities[[#This Row],[Windows Replacement Repair]]*BOQs!$L$10</f>
        <v>0</v>
      </c>
      <c r="AG77" s="76"/>
      <c r="AH77" s="37"/>
      <c r="AI77" s="86">
        <f>tbl_estimated_costs_quantities[[#This Row],[Bathroom Rehabilitation]]*BOQs!$L$11</f>
        <v>0</v>
      </c>
      <c r="AJ77" s="76"/>
      <c r="AK77" s="37"/>
      <c r="AL77" s="86">
        <f>tbl_estimated_costs_quantities[[#This Row],[Ceramic Tile Works WASH]]*BOQs!$L$12</f>
        <v>0</v>
      </c>
      <c r="AM77" s="76"/>
      <c r="AN77" s="37"/>
      <c r="AO77" s="86">
        <f>tbl_estimated_costs_quantities[[#This Row],[Electrical Repairs Lighting]]*BOQs!$L$13</f>
        <v>0</v>
      </c>
      <c r="AP77" s="76"/>
      <c r="AQ77" s="37"/>
      <c r="AR77" s="86">
        <f>tbl_estimated_costs_quantities[[#This Row],[Roof Insulation Leak Sealing]]*BOQs!$L$14</f>
        <v>0</v>
      </c>
      <c r="AS77" s="76"/>
      <c r="AT77" s="37"/>
      <c r="AU77" s="86">
        <f>tbl_estimated_costs_quantities[[#This Row],[Chimney Duct Cleaning Repair]]*BOQs!$L$15</f>
        <v>0</v>
      </c>
      <c r="AV77" s="76"/>
      <c r="AW77" s="37"/>
      <c r="AX77" s="89">
        <f>tbl_estimated_costs_quantities[[#This Row],[Accessibility Adaptations]]*BOQs!$L$16</f>
        <v>0</v>
      </c>
      <c r="AY77" s="86" t="str">
        <f>IF(tbl_estimated_costs_quantities[[#This Row],[Total cost]]&lt;&gt;0,tbl_estimated_costs_quantities[[#This Row],[Total cost]]/BOQs!$A$1,"")</f>
        <v/>
      </c>
      <c r="AZ77" s="37"/>
      <c r="BA77" s="37"/>
      <c r="BB77" s="37"/>
      <c r="BC77" s="37"/>
      <c r="BD77" s="41"/>
      <c r="BE77" s="37"/>
      <c r="BF77" s="37"/>
      <c r="BG77" s="37"/>
      <c r="BH77" s="41"/>
    </row>
    <row r="78" spans="2:60" ht="25.15" customHeight="1" x14ac:dyDescent="0.25">
      <c r="B78" s="49">
        <v>74</v>
      </c>
      <c r="C78" s="37"/>
      <c r="D78" s="41"/>
      <c r="E78" s="40"/>
      <c r="F78" s="87" t="str">
        <f>IF(tbl_estimated_costs_quantities[[#This Row],[House Code]]&lt;&gt;"",INDEX(tbl_Assessment[],MATCH(tbl_estimated_costs_quantities[[#This Row],[House Code]],tbl_Assessment[House Code],0),3),"")</f>
        <v/>
      </c>
      <c r="G78" s="115" t="str">
        <f>IF(tbl_estimated_costs_quantities[[#This Row],[House Code]]&lt;&gt;"",INDEX(tbl_Assessment[],MATCH(tbl_estimated_costs_quantities[[#This Row],[House Code]],tbl_Assessment[House Code],0),9),"")</f>
        <v/>
      </c>
      <c r="H7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8" s="75"/>
      <c r="J78" s="37"/>
      <c r="K78" s="86">
        <f>tbl_estimated_costs_quantities[[#This Row],[Site Preparation]]*BOQs!$L$3</f>
        <v>0</v>
      </c>
      <c r="L78" s="76"/>
      <c r="M78" s="37"/>
      <c r="N78" s="86">
        <f>tbl_estimated_costs_quantities[[#This Row],[Demolition Removal Unsafe Structures]]*BOQs!$L$4</f>
        <v>0</v>
      </c>
      <c r="O78" s="76"/>
      <c r="P78" s="37"/>
      <c r="Q78" s="86">
        <f>tbl_estimated_costs_quantities[[#This Row],[Concrete Works]]*BOQs!$L$5</f>
        <v>0</v>
      </c>
      <c r="R78" s="76"/>
      <c r="S78" s="37"/>
      <c r="T78" s="86">
        <f>tbl_estimated_costs_quantities[[#This Row],[Closure External Openings Walls Windows]]*BOQs!$L$6</f>
        <v>0</v>
      </c>
      <c r="U78" s="76"/>
      <c r="V78" s="37"/>
      <c r="W78" s="86">
        <f>tbl_estimated_costs_quantities[[#This Row],[Plastering Painting]]*BOQs!$L$7</f>
        <v>0</v>
      </c>
      <c r="X78" s="76"/>
      <c r="Y78" s="37"/>
      <c r="Z78" s="86">
        <f>tbl_estimated_costs_quantities[[#This Row],[Floor Repairs]]*BOQs!$L$8</f>
        <v>0</v>
      </c>
      <c r="AA78" s="76"/>
      <c r="AB78" s="37"/>
      <c r="AC78" s="86">
        <f>tbl_estimated_costs_quantities[[#This Row],[Doors Replacement Repair]]*BOQs!$L$9</f>
        <v>0</v>
      </c>
      <c r="AD78" s="76"/>
      <c r="AE78" s="37"/>
      <c r="AF78" s="86">
        <f>tbl_estimated_costs_quantities[[#This Row],[Windows Replacement Repair]]*BOQs!$L$10</f>
        <v>0</v>
      </c>
      <c r="AG78" s="76"/>
      <c r="AH78" s="37"/>
      <c r="AI78" s="86">
        <f>tbl_estimated_costs_quantities[[#This Row],[Bathroom Rehabilitation]]*BOQs!$L$11</f>
        <v>0</v>
      </c>
      <c r="AJ78" s="76"/>
      <c r="AK78" s="37"/>
      <c r="AL78" s="86">
        <f>tbl_estimated_costs_quantities[[#This Row],[Ceramic Tile Works WASH]]*BOQs!$L$12</f>
        <v>0</v>
      </c>
      <c r="AM78" s="76"/>
      <c r="AN78" s="37"/>
      <c r="AO78" s="86">
        <f>tbl_estimated_costs_quantities[[#This Row],[Electrical Repairs Lighting]]*BOQs!$L$13</f>
        <v>0</v>
      </c>
      <c r="AP78" s="76"/>
      <c r="AQ78" s="37"/>
      <c r="AR78" s="86">
        <f>tbl_estimated_costs_quantities[[#This Row],[Roof Insulation Leak Sealing]]*BOQs!$L$14</f>
        <v>0</v>
      </c>
      <c r="AS78" s="76"/>
      <c r="AT78" s="37"/>
      <c r="AU78" s="86">
        <f>tbl_estimated_costs_quantities[[#This Row],[Chimney Duct Cleaning Repair]]*BOQs!$L$15</f>
        <v>0</v>
      </c>
      <c r="AV78" s="76"/>
      <c r="AW78" s="37"/>
      <c r="AX78" s="89">
        <f>tbl_estimated_costs_quantities[[#This Row],[Accessibility Adaptations]]*BOQs!$L$16</f>
        <v>0</v>
      </c>
      <c r="AY78" s="86" t="str">
        <f>IF(tbl_estimated_costs_quantities[[#This Row],[Total cost]]&lt;&gt;0,tbl_estimated_costs_quantities[[#This Row],[Total cost]]/BOQs!$A$1,"")</f>
        <v/>
      </c>
      <c r="AZ78" s="37"/>
      <c r="BA78" s="37"/>
      <c r="BB78" s="37"/>
      <c r="BC78" s="37"/>
      <c r="BD78" s="41"/>
      <c r="BE78" s="37"/>
      <c r="BF78" s="37"/>
      <c r="BG78" s="37"/>
      <c r="BH78" s="41"/>
    </row>
    <row r="79" spans="2:60" ht="25.15" customHeight="1" x14ac:dyDescent="0.25">
      <c r="B79" s="49">
        <v>75</v>
      </c>
      <c r="C79" s="37"/>
      <c r="D79" s="41"/>
      <c r="E79" s="40"/>
      <c r="F79" s="87" t="str">
        <f>IF(tbl_estimated_costs_quantities[[#This Row],[House Code]]&lt;&gt;"",INDEX(tbl_Assessment[],MATCH(tbl_estimated_costs_quantities[[#This Row],[House Code]],tbl_Assessment[House Code],0),3),"")</f>
        <v/>
      </c>
      <c r="G79" s="115" t="str">
        <f>IF(tbl_estimated_costs_quantities[[#This Row],[House Code]]&lt;&gt;"",INDEX(tbl_Assessment[],MATCH(tbl_estimated_costs_quantities[[#This Row],[House Code]],tbl_Assessment[House Code],0),9),"")</f>
        <v/>
      </c>
      <c r="H7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9" s="75"/>
      <c r="J79" s="37"/>
      <c r="K79" s="86">
        <f>tbl_estimated_costs_quantities[[#This Row],[Site Preparation]]*BOQs!$L$3</f>
        <v>0</v>
      </c>
      <c r="L79" s="76"/>
      <c r="M79" s="37"/>
      <c r="N79" s="86">
        <f>tbl_estimated_costs_quantities[[#This Row],[Demolition Removal Unsafe Structures]]*BOQs!$L$4</f>
        <v>0</v>
      </c>
      <c r="O79" s="76"/>
      <c r="P79" s="37"/>
      <c r="Q79" s="86">
        <f>tbl_estimated_costs_quantities[[#This Row],[Concrete Works]]*BOQs!$L$5</f>
        <v>0</v>
      </c>
      <c r="R79" s="76"/>
      <c r="S79" s="37"/>
      <c r="T79" s="86">
        <f>tbl_estimated_costs_quantities[[#This Row],[Closure External Openings Walls Windows]]*BOQs!$L$6</f>
        <v>0</v>
      </c>
      <c r="U79" s="76"/>
      <c r="V79" s="37"/>
      <c r="W79" s="86">
        <f>tbl_estimated_costs_quantities[[#This Row],[Plastering Painting]]*BOQs!$L$7</f>
        <v>0</v>
      </c>
      <c r="X79" s="76"/>
      <c r="Y79" s="37"/>
      <c r="Z79" s="86">
        <f>tbl_estimated_costs_quantities[[#This Row],[Floor Repairs]]*BOQs!$L$8</f>
        <v>0</v>
      </c>
      <c r="AA79" s="76"/>
      <c r="AB79" s="37"/>
      <c r="AC79" s="86">
        <f>tbl_estimated_costs_quantities[[#This Row],[Doors Replacement Repair]]*BOQs!$L$9</f>
        <v>0</v>
      </c>
      <c r="AD79" s="76"/>
      <c r="AE79" s="37"/>
      <c r="AF79" s="86">
        <f>tbl_estimated_costs_quantities[[#This Row],[Windows Replacement Repair]]*BOQs!$L$10</f>
        <v>0</v>
      </c>
      <c r="AG79" s="76"/>
      <c r="AH79" s="37"/>
      <c r="AI79" s="86">
        <f>tbl_estimated_costs_quantities[[#This Row],[Bathroom Rehabilitation]]*BOQs!$L$11</f>
        <v>0</v>
      </c>
      <c r="AJ79" s="76"/>
      <c r="AK79" s="37"/>
      <c r="AL79" s="86">
        <f>tbl_estimated_costs_quantities[[#This Row],[Ceramic Tile Works WASH]]*BOQs!$L$12</f>
        <v>0</v>
      </c>
      <c r="AM79" s="76"/>
      <c r="AN79" s="37"/>
      <c r="AO79" s="86">
        <f>tbl_estimated_costs_quantities[[#This Row],[Electrical Repairs Lighting]]*BOQs!$L$13</f>
        <v>0</v>
      </c>
      <c r="AP79" s="76"/>
      <c r="AQ79" s="37"/>
      <c r="AR79" s="86">
        <f>tbl_estimated_costs_quantities[[#This Row],[Roof Insulation Leak Sealing]]*BOQs!$L$14</f>
        <v>0</v>
      </c>
      <c r="AS79" s="76"/>
      <c r="AT79" s="37"/>
      <c r="AU79" s="86">
        <f>tbl_estimated_costs_quantities[[#This Row],[Chimney Duct Cleaning Repair]]*BOQs!$L$15</f>
        <v>0</v>
      </c>
      <c r="AV79" s="76"/>
      <c r="AW79" s="37"/>
      <c r="AX79" s="89">
        <f>tbl_estimated_costs_quantities[[#This Row],[Accessibility Adaptations]]*BOQs!$L$16</f>
        <v>0</v>
      </c>
      <c r="AY79" s="86" t="str">
        <f>IF(tbl_estimated_costs_quantities[[#This Row],[Total cost]]&lt;&gt;0,tbl_estimated_costs_quantities[[#This Row],[Total cost]]/BOQs!$A$1,"")</f>
        <v/>
      </c>
      <c r="AZ79" s="37"/>
      <c r="BA79" s="37"/>
      <c r="BB79" s="37"/>
      <c r="BC79" s="37"/>
      <c r="BD79" s="41"/>
      <c r="BE79" s="37"/>
      <c r="BF79" s="37"/>
      <c r="BG79" s="37"/>
      <c r="BH79" s="41"/>
    </row>
    <row r="80" spans="2:60" ht="25.15" customHeight="1" x14ac:dyDescent="0.25">
      <c r="B80" s="49">
        <v>76</v>
      </c>
      <c r="C80" s="37"/>
      <c r="D80" s="41"/>
      <c r="E80" s="40"/>
      <c r="F80" s="87" t="str">
        <f>IF(tbl_estimated_costs_quantities[[#This Row],[House Code]]&lt;&gt;"",INDEX(tbl_Assessment[],MATCH(tbl_estimated_costs_quantities[[#This Row],[House Code]],tbl_Assessment[House Code],0),3),"")</f>
        <v/>
      </c>
      <c r="G80" s="115" t="str">
        <f>IF(tbl_estimated_costs_quantities[[#This Row],[House Code]]&lt;&gt;"",INDEX(tbl_Assessment[],MATCH(tbl_estimated_costs_quantities[[#This Row],[House Code]],tbl_Assessment[House Code],0),9),"")</f>
        <v/>
      </c>
      <c r="H8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0" s="75"/>
      <c r="J80" s="37"/>
      <c r="K80" s="86">
        <f>tbl_estimated_costs_quantities[[#This Row],[Site Preparation]]*BOQs!$L$3</f>
        <v>0</v>
      </c>
      <c r="L80" s="76"/>
      <c r="M80" s="37"/>
      <c r="N80" s="86">
        <f>tbl_estimated_costs_quantities[[#This Row],[Demolition Removal Unsafe Structures]]*BOQs!$L$4</f>
        <v>0</v>
      </c>
      <c r="O80" s="76"/>
      <c r="P80" s="37"/>
      <c r="Q80" s="86">
        <f>tbl_estimated_costs_quantities[[#This Row],[Concrete Works]]*BOQs!$L$5</f>
        <v>0</v>
      </c>
      <c r="R80" s="76"/>
      <c r="S80" s="37"/>
      <c r="T80" s="86">
        <f>tbl_estimated_costs_quantities[[#This Row],[Closure External Openings Walls Windows]]*BOQs!$L$6</f>
        <v>0</v>
      </c>
      <c r="U80" s="76"/>
      <c r="V80" s="37"/>
      <c r="W80" s="86">
        <f>tbl_estimated_costs_quantities[[#This Row],[Plastering Painting]]*BOQs!$L$7</f>
        <v>0</v>
      </c>
      <c r="X80" s="76"/>
      <c r="Y80" s="37"/>
      <c r="Z80" s="86">
        <f>tbl_estimated_costs_quantities[[#This Row],[Floor Repairs]]*BOQs!$L$8</f>
        <v>0</v>
      </c>
      <c r="AA80" s="76"/>
      <c r="AB80" s="37"/>
      <c r="AC80" s="86">
        <f>tbl_estimated_costs_quantities[[#This Row],[Doors Replacement Repair]]*BOQs!$L$9</f>
        <v>0</v>
      </c>
      <c r="AD80" s="76"/>
      <c r="AE80" s="37"/>
      <c r="AF80" s="86">
        <f>tbl_estimated_costs_quantities[[#This Row],[Windows Replacement Repair]]*BOQs!$L$10</f>
        <v>0</v>
      </c>
      <c r="AG80" s="76"/>
      <c r="AH80" s="37"/>
      <c r="AI80" s="86">
        <f>tbl_estimated_costs_quantities[[#This Row],[Bathroom Rehabilitation]]*BOQs!$L$11</f>
        <v>0</v>
      </c>
      <c r="AJ80" s="76"/>
      <c r="AK80" s="37"/>
      <c r="AL80" s="86">
        <f>tbl_estimated_costs_quantities[[#This Row],[Ceramic Tile Works WASH]]*BOQs!$L$12</f>
        <v>0</v>
      </c>
      <c r="AM80" s="76"/>
      <c r="AN80" s="37"/>
      <c r="AO80" s="86">
        <f>tbl_estimated_costs_quantities[[#This Row],[Electrical Repairs Lighting]]*BOQs!$L$13</f>
        <v>0</v>
      </c>
      <c r="AP80" s="76"/>
      <c r="AQ80" s="37"/>
      <c r="AR80" s="86">
        <f>tbl_estimated_costs_quantities[[#This Row],[Roof Insulation Leak Sealing]]*BOQs!$L$14</f>
        <v>0</v>
      </c>
      <c r="AS80" s="76"/>
      <c r="AT80" s="37"/>
      <c r="AU80" s="86">
        <f>tbl_estimated_costs_quantities[[#This Row],[Chimney Duct Cleaning Repair]]*BOQs!$L$15</f>
        <v>0</v>
      </c>
      <c r="AV80" s="76"/>
      <c r="AW80" s="37"/>
      <c r="AX80" s="89">
        <f>tbl_estimated_costs_quantities[[#This Row],[Accessibility Adaptations]]*BOQs!$L$16</f>
        <v>0</v>
      </c>
      <c r="AY80" s="86" t="str">
        <f>IF(tbl_estimated_costs_quantities[[#This Row],[Total cost]]&lt;&gt;0,tbl_estimated_costs_quantities[[#This Row],[Total cost]]/BOQs!$A$1,"")</f>
        <v/>
      </c>
      <c r="AZ80" s="37"/>
      <c r="BA80" s="37"/>
      <c r="BB80" s="37"/>
      <c r="BC80" s="37"/>
      <c r="BD80" s="41"/>
      <c r="BE80" s="37"/>
      <c r="BF80" s="37"/>
      <c r="BG80" s="37"/>
      <c r="BH80" s="41"/>
    </row>
    <row r="81" spans="2:60" ht="25.15" customHeight="1" x14ac:dyDescent="0.25">
      <c r="B81" s="49">
        <v>77</v>
      </c>
      <c r="C81" s="37"/>
      <c r="D81" s="41"/>
      <c r="E81" s="40"/>
      <c r="F81" s="87" t="str">
        <f>IF(tbl_estimated_costs_quantities[[#This Row],[House Code]]&lt;&gt;"",INDEX(tbl_Assessment[],MATCH(tbl_estimated_costs_quantities[[#This Row],[House Code]],tbl_Assessment[House Code],0),3),"")</f>
        <v/>
      </c>
      <c r="G81" s="115" t="str">
        <f>IF(tbl_estimated_costs_quantities[[#This Row],[House Code]]&lt;&gt;"",INDEX(tbl_Assessment[],MATCH(tbl_estimated_costs_quantities[[#This Row],[House Code]],tbl_Assessment[House Code],0),9),"")</f>
        <v/>
      </c>
      <c r="H8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1" s="75"/>
      <c r="J81" s="37"/>
      <c r="K81" s="86">
        <f>tbl_estimated_costs_quantities[[#This Row],[Site Preparation]]*BOQs!$L$3</f>
        <v>0</v>
      </c>
      <c r="L81" s="76"/>
      <c r="M81" s="37"/>
      <c r="N81" s="86">
        <f>tbl_estimated_costs_quantities[[#This Row],[Demolition Removal Unsafe Structures]]*BOQs!$L$4</f>
        <v>0</v>
      </c>
      <c r="O81" s="76"/>
      <c r="P81" s="37"/>
      <c r="Q81" s="86">
        <f>tbl_estimated_costs_quantities[[#This Row],[Concrete Works]]*BOQs!$L$5</f>
        <v>0</v>
      </c>
      <c r="R81" s="76"/>
      <c r="S81" s="37"/>
      <c r="T81" s="86">
        <f>tbl_estimated_costs_quantities[[#This Row],[Closure External Openings Walls Windows]]*BOQs!$L$6</f>
        <v>0</v>
      </c>
      <c r="U81" s="76"/>
      <c r="V81" s="37"/>
      <c r="W81" s="86">
        <f>tbl_estimated_costs_quantities[[#This Row],[Plastering Painting]]*BOQs!$L$7</f>
        <v>0</v>
      </c>
      <c r="X81" s="76"/>
      <c r="Y81" s="37"/>
      <c r="Z81" s="86">
        <f>tbl_estimated_costs_quantities[[#This Row],[Floor Repairs]]*BOQs!$L$8</f>
        <v>0</v>
      </c>
      <c r="AA81" s="76"/>
      <c r="AB81" s="37"/>
      <c r="AC81" s="86">
        <f>tbl_estimated_costs_quantities[[#This Row],[Doors Replacement Repair]]*BOQs!$L$9</f>
        <v>0</v>
      </c>
      <c r="AD81" s="76"/>
      <c r="AE81" s="37"/>
      <c r="AF81" s="86">
        <f>tbl_estimated_costs_quantities[[#This Row],[Windows Replacement Repair]]*BOQs!$L$10</f>
        <v>0</v>
      </c>
      <c r="AG81" s="76"/>
      <c r="AH81" s="37"/>
      <c r="AI81" s="86">
        <f>tbl_estimated_costs_quantities[[#This Row],[Bathroom Rehabilitation]]*BOQs!$L$11</f>
        <v>0</v>
      </c>
      <c r="AJ81" s="76"/>
      <c r="AK81" s="37"/>
      <c r="AL81" s="86">
        <f>tbl_estimated_costs_quantities[[#This Row],[Ceramic Tile Works WASH]]*BOQs!$L$12</f>
        <v>0</v>
      </c>
      <c r="AM81" s="76"/>
      <c r="AN81" s="37"/>
      <c r="AO81" s="86">
        <f>tbl_estimated_costs_quantities[[#This Row],[Electrical Repairs Lighting]]*BOQs!$L$13</f>
        <v>0</v>
      </c>
      <c r="AP81" s="76"/>
      <c r="AQ81" s="37"/>
      <c r="AR81" s="86">
        <f>tbl_estimated_costs_quantities[[#This Row],[Roof Insulation Leak Sealing]]*BOQs!$L$14</f>
        <v>0</v>
      </c>
      <c r="AS81" s="76"/>
      <c r="AT81" s="37"/>
      <c r="AU81" s="86">
        <f>tbl_estimated_costs_quantities[[#This Row],[Chimney Duct Cleaning Repair]]*BOQs!$L$15</f>
        <v>0</v>
      </c>
      <c r="AV81" s="76"/>
      <c r="AW81" s="37"/>
      <c r="AX81" s="89">
        <f>tbl_estimated_costs_quantities[[#This Row],[Accessibility Adaptations]]*BOQs!$L$16</f>
        <v>0</v>
      </c>
      <c r="AY81" s="86" t="str">
        <f>IF(tbl_estimated_costs_quantities[[#This Row],[Total cost]]&lt;&gt;0,tbl_estimated_costs_quantities[[#This Row],[Total cost]]/BOQs!$A$1,"")</f>
        <v/>
      </c>
      <c r="AZ81" s="37"/>
      <c r="BA81" s="37"/>
      <c r="BB81" s="37"/>
      <c r="BC81" s="37"/>
      <c r="BD81" s="41"/>
      <c r="BE81" s="37"/>
      <c r="BF81" s="37"/>
      <c r="BG81" s="37"/>
      <c r="BH81" s="41"/>
    </row>
    <row r="82" spans="2:60" ht="25.15" customHeight="1" x14ac:dyDescent="0.25">
      <c r="B82" s="49">
        <v>78</v>
      </c>
      <c r="C82" s="37"/>
      <c r="D82" s="41"/>
      <c r="E82" s="40"/>
      <c r="F82" s="87" t="str">
        <f>IF(tbl_estimated_costs_quantities[[#This Row],[House Code]]&lt;&gt;"",INDEX(tbl_Assessment[],MATCH(tbl_estimated_costs_quantities[[#This Row],[House Code]],tbl_Assessment[House Code],0),3),"")</f>
        <v/>
      </c>
      <c r="G82" s="115" t="str">
        <f>IF(tbl_estimated_costs_quantities[[#This Row],[House Code]]&lt;&gt;"",INDEX(tbl_Assessment[],MATCH(tbl_estimated_costs_quantities[[#This Row],[House Code]],tbl_Assessment[House Code],0),9),"")</f>
        <v/>
      </c>
      <c r="H8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2" s="75"/>
      <c r="J82" s="37"/>
      <c r="K82" s="86">
        <f>tbl_estimated_costs_quantities[[#This Row],[Site Preparation]]*BOQs!$L$3</f>
        <v>0</v>
      </c>
      <c r="L82" s="76"/>
      <c r="M82" s="37"/>
      <c r="N82" s="86">
        <f>tbl_estimated_costs_quantities[[#This Row],[Demolition Removal Unsafe Structures]]*BOQs!$L$4</f>
        <v>0</v>
      </c>
      <c r="O82" s="76"/>
      <c r="P82" s="37"/>
      <c r="Q82" s="86">
        <f>tbl_estimated_costs_quantities[[#This Row],[Concrete Works]]*BOQs!$L$5</f>
        <v>0</v>
      </c>
      <c r="R82" s="76"/>
      <c r="S82" s="37"/>
      <c r="T82" s="86">
        <f>tbl_estimated_costs_quantities[[#This Row],[Closure External Openings Walls Windows]]*BOQs!$L$6</f>
        <v>0</v>
      </c>
      <c r="U82" s="76"/>
      <c r="V82" s="37"/>
      <c r="W82" s="86">
        <f>tbl_estimated_costs_quantities[[#This Row],[Plastering Painting]]*BOQs!$L$7</f>
        <v>0</v>
      </c>
      <c r="X82" s="76"/>
      <c r="Y82" s="37"/>
      <c r="Z82" s="86">
        <f>tbl_estimated_costs_quantities[[#This Row],[Floor Repairs]]*BOQs!$L$8</f>
        <v>0</v>
      </c>
      <c r="AA82" s="76"/>
      <c r="AB82" s="37"/>
      <c r="AC82" s="86">
        <f>tbl_estimated_costs_quantities[[#This Row],[Doors Replacement Repair]]*BOQs!$L$9</f>
        <v>0</v>
      </c>
      <c r="AD82" s="76"/>
      <c r="AE82" s="37"/>
      <c r="AF82" s="86">
        <f>tbl_estimated_costs_quantities[[#This Row],[Windows Replacement Repair]]*BOQs!$L$10</f>
        <v>0</v>
      </c>
      <c r="AG82" s="76"/>
      <c r="AH82" s="37"/>
      <c r="AI82" s="86">
        <f>tbl_estimated_costs_quantities[[#This Row],[Bathroom Rehabilitation]]*BOQs!$L$11</f>
        <v>0</v>
      </c>
      <c r="AJ82" s="76"/>
      <c r="AK82" s="37"/>
      <c r="AL82" s="86">
        <f>tbl_estimated_costs_quantities[[#This Row],[Ceramic Tile Works WASH]]*BOQs!$L$12</f>
        <v>0</v>
      </c>
      <c r="AM82" s="76"/>
      <c r="AN82" s="37"/>
      <c r="AO82" s="86">
        <f>tbl_estimated_costs_quantities[[#This Row],[Electrical Repairs Lighting]]*BOQs!$L$13</f>
        <v>0</v>
      </c>
      <c r="AP82" s="76"/>
      <c r="AQ82" s="37"/>
      <c r="AR82" s="86">
        <f>tbl_estimated_costs_quantities[[#This Row],[Roof Insulation Leak Sealing]]*BOQs!$L$14</f>
        <v>0</v>
      </c>
      <c r="AS82" s="76"/>
      <c r="AT82" s="37"/>
      <c r="AU82" s="86">
        <f>tbl_estimated_costs_quantities[[#This Row],[Chimney Duct Cleaning Repair]]*BOQs!$L$15</f>
        <v>0</v>
      </c>
      <c r="AV82" s="76"/>
      <c r="AW82" s="37"/>
      <c r="AX82" s="89">
        <f>tbl_estimated_costs_quantities[[#This Row],[Accessibility Adaptations]]*BOQs!$L$16</f>
        <v>0</v>
      </c>
      <c r="AY82" s="86" t="str">
        <f>IF(tbl_estimated_costs_quantities[[#This Row],[Total cost]]&lt;&gt;0,tbl_estimated_costs_quantities[[#This Row],[Total cost]]/BOQs!$A$1,"")</f>
        <v/>
      </c>
      <c r="AZ82" s="37"/>
      <c r="BA82" s="37"/>
      <c r="BB82" s="37"/>
      <c r="BC82" s="37"/>
      <c r="BD82" s="41"/>
      <c r="BE82" s="37"/>
      <c r="BF82" s="37"/>
      <c r="BG82" s="37"/>
      <c r="BH82" s="41"/>
    </row>
    <row r="83" spans="2:60" ht="25.15" customHeight="1" x14ac:dyDescent="0.25">
      <c r="B83" s="49">
        <v>79</v>
      </c>
      <c r="C83" s="37"/>
      <c r="D83" s="41"/>
      <c r="E83" s="40"/>
      <c r="F83" s="87" t="str">
        <f>IF(tbl_estimated_costs_quantities[[#This Row],[House Code]]&lt;&gt;"",INDEX(tbl_Assessment[],MATCH(tbl_estimated_costs_quantities[[#This Row],[House Code]],tbl_Assessment[House Code],0),3),"")</f>
        <v/>
      </c>
      <c r="G83" s="115" t="str">
        <f>IF(tbl_estimated_costs_quantities[[#This Row],[House Code]]&lt;&gt;"",INDEX(tbl_Assessment[],MATCH(tbl_estimated_costs_quantities[[#This Row],[House Code]],tbl_Assessment[House Code],0),9),"")</f>
        <v/>
      </c>
      <c r="H8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3" s="75"/>
      <c r="J83" s="37"/>
      <c r="K83" s="86">
        <f>tbl_estimated_costs_quantities[[#This Row],[Site Preparation]]*BOQs!$L$3</f>
        <v>0</v>
      </c>
      <c r="L83" s="76"/>
      <c r="M83" s="37"/>
      <c r="N83" s="86">
        <f>tbl_estimated_costs_quantities[[#This Row],[Demolition Removal Unsafe Structures]]*BOQs!$L$4</f>
        <v>0</v>
      </c>
      <c r="O83" s="76"/>
      <c r="P83" s="37"/>
      <c r="Q83" s="86">
        <f>tbl_estimated_costs_quantities[[#This Row],[Concrete Works]]*BOQs!$L$5</f>
        <v>0</v>
      </c>
      <c r="R83" s="76"/>
      <c r="S83" s="37"/>
      <c r="T83" s="86">
        <f>tbl_estimated_costs_quantities[[#This Row],[Closure External Openings Walls Windows]]*BOQs!$L$6</f>
        <v>0</v>
      </c>
      <c r="U83" s="76"/>
      <c r="V83" s="37"/>
      <c r="W83" s="86">
        <f>tbl_estimated_costs_quantities[[#This Row],[Plastering Painting]]*BOQs!$L$7</f>
        <v>0</v>
      </c>
      <c r="X83" s="76"/>
      <c r="Y83" s="37"/>
      <c r="Z83" s="86">
        <f>tbl_estimated_costs_quantities[[#This Row],[Floor Repairs]]*BOQs!$L$8</f>
        <v>0</v>
      </c>
      <c r="AA83" s="76"/>
      <c r="AB83" s="37"/>
      <c r="AC83" s="86">
        <f>tbl_estimated_costs_quantities[[#This Row],[Doors Replacement Repair]]*BOQs!$L$9</f>
        <v>0</v>
      </c>
      <c r="AD83" s="76"/>
      <c r="AE83" s="37"/>
      <c r="AF83" s="86">
        <f>tbl_estimated_costs_quantities[[#This Row],[Windows Replacement Repair]]*BOQs!$L$10</f>
        <v>0</v>
      </c>
      <c r="AG83" s="76"/>
      <c r="AH83" s="37"/>
      <c r="AI83" s="86">
        <f>tbl_estimated_costs_quantities[[#This Row],[Bathroom Rehabilitation]]*BOQs!$L$11</f>
        <v>0</v>
      </c>
      <c r="AJ83" s="76"/>
      <c r="AK83" s="37"/>
      <c r="AL83" s="86">
        <f>tbl_estimated_costs_quantities[[#This Row],[Ceramic Tile Works WASH]]*BOQs!$L$12</f>
        <v>0</v>
      </c>
      <c r="AM83" s="76"/>
      <c r="AN83" s="37"/>
      <c r="AO83" s="86">
        <f>tbl_estimated_costs_quantities[[#This Row],[Electrical Repairs Lighting]]*BOQs!$L$13</f>
        <v>0</v>
      </c>
      <c r="AP83" s="76"/>
      <c r="AQ83" s="37"/>
      <c r="AR83" s="86">
        <f>tbl_estimated_costs_quantities[[#This Row],[Roof Insulation Leak Sealing]]*BOQs!$L$14</f>
        <v>0</v>
      </c>
      <c r="AS83" s="76"/>
      <c r="AT83" s="37"/>
      <c r="AU83" s="86">
        <f>tbl_estimated_costs_quantities[[#This Row],[Chimney Duct Cleaning Repair]]*BOQs!$L$15</f>
        <v>0</v>
      </c>
      <c r="AV83" s="76"/>
      <c r="AW83" s="37"/>
      <c r="AX83" s="89">
        <f>tbl_estimated_costs_quantities[[#This Row],[Accessibility Adaptations]]*BOQs!$L$16</f>
        <v>0</v>
      </c>
      <c r="AY83" s="86" t="str">
        <f>IF(tbl_estimated_costs_quantities[[#This Row],[Total cost]]&lt;&gt;0,tbl_estimated_costs_quantities[[#This Row],[Total cost]]/BOQs!$A$1,"")</f>
        <v/>
      </c>
      <c r="AZ83" s="37"/>
      <c r="BA83" s="37"/>
      <c r="BB83" s="37"/>
      <c r="BC83" s="37"/>
      <c r="BD83" s="41"/>
      <c r="BE83" s="37"/>
      <c r="BF83" s="37"/>
      <c r="BG83" s="37"/>
      <c r="BH83" s="41"/>
    </row>
    <row r="84" spans="2:60" ht="25.15" customHeight="1" x14ac:dyDescent="0.25">
      <c r="B84" s="49">
        <v>80</v>
      </c>
      <c r="C84" s="37"/>
      <c r="D84" s="41"/>
      <c r="E84" s="40"/>
      <c r="F84" s="87" t="str">
        <f>IF(tbl_estimated_costs_quantities[[#This Row],[House Code]]&lt;&gt;"",INDEX(tbl_Assessment[],MATCH(tbl_estimated_costs_quantities[[#This Row],[House Code]],tbl_Assessment[House Code],0),3),"")</f>
        <v/>
      </c>
      <c r="G84" s="115" t="str">
        <f>IF(tbl_estimated_costs_quantities[[#This Row],[House Code]]&lt;&gt;"",INDEX(tbl_Assessment[],MATCH(tbl_estimated_costs_quantities[[#This Row],[House Code]],tbl_Assessment[House Code],0),9),"")</f>
        <v/>
      </c>
      <c r="H8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4" s="75"/>
      <c r="J84" s="37"/>
      <c r="K84" s="86">
        <f>tbl_estimated_costs_quantities[[#This Row],[Site Preparation]]*BOQs!$L$3</f>
        <v>0</v>
      </c>
      <c r="L84" s="76"/>
      <c r="M84" s="37"/>
      <c r="N84" s="86">
        <f>tbl_estimated_costs_quantities[[#This Row],[Demolition Removal Unsafe Structures]]*BOQs!$L$4</f>
        <v>0</v>
      </c>
      <c r="O84" s="76"/>
      <c r="P84" s="37"/>
      <c r="Q84" s="86">
        <f>tbl_estimated_costs_quantities[[#This Row],[Concrete Works]]*BOQs!$L$5</f>
        <v>0</v>
      </c>
      <c r="R84" s="76"/>
      <c r="S84" s="37"/>
      <c r="T84" s="86">
        <f>tbl_estimated_costs_quantities[[#This Row],[Closure External Openings Walls Windows]]*BOQs!$L$6</f>
        <v>0</v>
      </c>
      <c r="U84" s="76"/>
      <c r="V84" s="37"/>
      <c r="W84" s="86">
        <f>tbl_estimated_costs_quantities[[#This Row],[Plastering Painting]]*BOQs!$L$7</f>
        <v>0</v>
      </c>
      <c r="X84" s="76"/>
      <c r="Y84" s="37"/>
      <c r="Z84" s="86">
        <f>tbl_estimated_costs_quantities[[#This Row],[Floor Repairs]]*BOQs!$L$8</f>
        <v>0</v>
      </c>
      <c r="AA84" s="76"/>
      <c r="AB84" s="37"/>
      <c r="AC84" s="86">
        <f>tbl_estimated_costs_quantities[[#This Row],[Doors Replacement Repair]]*BOQs!$L$9</f>
        <v>0</v>
      </c>
      <c r="AD84" s="76"/>
      <c r="AE84" s="37"/>
      <c r="AF84" s="86">
        <f>tbl_estimated_costs_quantities[[#This Row],[Windows Replacement Repair]]*BOQs!$L$10</f>
        <v>0</v>
      </c>
      <c r="AG84" s="76"/>
      <c r="AH84" s="37"/>
      <c r="AI84" s="86">
        <f>tbl_estimated_costs_quantities[[#This Row],[Bathroom Rehabilitation]]*BOQs!$L$11</f>
        <v>0</v>
      </c>
      <c r="AJ84" s="76"/>
      <c r="AK84" s="37"/>
      <c r="AL84" s="86">
        <f>tbl_estimated_costs_quantities[[#This Row],[Ceramic Tile Works WASH]]*BOQs!$L$12</f>
        <v>0</v>
      </c>
      <c r="AM84" s="76"/>
      <c r="AN84" s="37"/>
      <c r="AO84" s="86">
        <f>tbl_estimated_costs_quantities[[#This Row],[Electrical Repairs Lighting]]*BOQs!$L$13</f>
        <v>0</v>
      </c>
      <c r="AP84" s="76"/>
      <c r="AQ84" s="37"/>
      <c r="AR84" s="86">
        <f>tbl_estimated_costs_quantities[[#This Row],[Roof Insulation Leak Sealing]]*BOQs!$L$14</f>
        <v>0</v>
      </c>
      <c r="AS84" s="76"/>
      <c r="AT84" s="37"/>
      <c r="AU84" s="86">
        <f>tbl_estimated_costs_quantities[[#This Row],[Chimney Duct Cleaning Repair]]*BOQs!$L$15</f>
        <v>0</v>
      </c>
      <c r="AV84" s="76"/>
      <c r="AW84" s="37"/>
      <c r="AX84" s="89">
        <f>tbl_estimated_costs_quantities[[#This Row],[Accessibility Adaptations]]*BOQs!$L$16</f>
        <v>0</v>
      </c>
      <c r="AY84" s="86" t="str">
        <f>IF(tbl_estimated_costs_quantities[[#This Row],[Total cost]]&lt;&gt;0,tbl_estimated_costs_quantities[[#This Row],[Total cost]]/BOQs!$A$1,"")</f>
        <v/>
      </c>
      <c r="AZ84" s="37"/>
      <c r="BA84" s="37"/>
      <c r="BB84" s="37"/>
      <c r="BC84" s="37"/>
      <c r="BD84" s="41"/>
      <c r="BE84" s="37"/>
      <c r="BF84" s="37"/>
      <c r="BG84" s="37"/>
      <c r="BH84" s="41"/>
    </row>
    <row r="85" spans="2:60" ht="25.15" customHeight="1" x14ac:dyDescent="0.25">
      <c r="B85" s="49">
        <v>81</v>
      </c>
      <c r="C85" s="37"/>
      <c r="D85" s="41"/>
      <c r="E85" s="40"/>
      <c r="F85" s="87" t="str">
        <f>IF(tbl_estimated_costs_quantities[[#This Row],[House Code]]&lt;&gt;"",INDEX(tbl_Assessment[],MATCH(tbl_estimated_costs_quantities[[#This Row],[House Code]],tbl_Assessment[House Code],0),3),"")</f>
        <v/>
      </c>
      <c r="G85" s="115" t="str">
        <f>IF(tbl_estimated_costs_quantities[[#This Row],[House Code]]&lt;&gt;"",INDEX(tbl_Assessment[],MATCH(tbl_estimated_costs_quantities[[#This Row],[House Code]],tbl_Assessment[House Code],0),9),"")</f>
        <v/>
      </c>
      <c r="H8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5" s="75"/>
      <c r="J85" s="37"/>
      <c r="K85" s="86">
        <f>tbl_estimated_costs_quantities[[#This Row],[Site Preparation]]*BOQs!$L$3</f>
        <v>0</v>
      </c>
      <c r="L85" s="76"/>
      <c r="M85" s="37"/>
      <c r="N85" s="86">
        <f>tbl_estimated_costs_quantities[[#This Row],[Demolition Removal Unsafe Structures]]*BOQs!$L$4</f>
        <v>0</v>
      </c>
      <c r="O85" s="76"/>
      <c r="P85" s="37"/>
      <c r="Q85" s="86">
        <f>tbl_estimated_costs_quantities[[#This Row],[Concrete Works]]*BOQs!$L$5</f>
        <v>0</v>
      </c>
      <c r="R85" s="76"/>
      <c r="S85" s="37"/>
      <c r="T85" s="86">
        <f>tbl_estimated_costs_quantities[[#This Row],[Closure External Openings Walls Windows]]*BOQs!$L$6</f>
        <v>0</v>
      </c>
      <c r="U85" s="76"/>
      <c r="V85" s="37"/>
      <c r="W85" s="86">
        <f>tbl_estimated_costs_quantities[[#This Row],[Plastering Painting]]*BOQs!$L$7</f>
        <v>0</v>
      </c>
      <c r="X85" s="76"/>
      <c r="Y85" s="37"/>
      <c r="Z85" s="86">
        <f>tbl_estimated_costs_quantities[[#This Row],[Floor Repairs]]*BOQs!$L$8</f>
        <v>0</v>
      </c>
      <c r="AA85" s="76"/>
      <c r="AB85" s="37"/>
      <c r="AC85" s="86">
        <f>tbl_estimated_costs_quantities[[#This Row],[Doors Replacement Repair]]*BOQs!$L$9</f>
        <v>0</v>
      </c>
      <c r="AD85" s="76"/>
      <c r="AE85" s="37"/>
      <c r="AF85" s="86">
        <f>tbl_estimated_costs_quantities[[#This Row],[Windows Replacement Repair]]*BOQs!$L$10</f>
        <v>0</v>
      </c>
      <c r="AG85" s="76"/>
      <c r="AH85" s="37"/>
      <c r="AI85" s="86">
        <f>tbl_estimated_costs_quantities[[#This Row],[Bathroom Rehabilitation]]*BOQs!$L$11</f>
        <v>0</v>
      </c>
      <c r="AJ85" s="76"/>
      <c r="AK85" s="37"/>
      <c r="AL85" s="86">
        <f>tbl_estimated_costs_quantities[[#This Row],[Ceramic Tile Works WASH]]*BOQs!$L$12</f>
        <v>0</v>
      </c>
      <c r="AM85" s="76"/>
      <c r="AN85" s="37"/>
      <c r="AO85" s="86">
        <f>tbl_estimated_costs_quantities[[#This Row],[Electrical Repairs Lighting]]*BOQs!$L$13</f>
        <v>0</v>
      </c>
      <c r="AP85" s="76"/>
      <c r="AQ85" s="37"/>
      <c r="AR85" s="86">
        <f>tbl_estimated_costs_quantities[[#This Row],[Roof Insulation Leak Sealing]]*BOQs!$L$14</f>
        <v>0</v>
      </c>
      <c r="AS85" s="76"/>
      <c r="AT85" s="37"/>
      <c r="AU85" s="86">
        <f>tbl_estimated_costs_quantities[[#This Row],[Chimney Duct Cleaning Repair]]*BOQs!$L$15</f>
        <v>0</v>
      </c>
      <c r="AV85" s="76"/>
      <c r="AW85" s="37"/>
      <c r="AX85" s="89">
        <f>tbl_estimated_costs_quantities[[#This Row],[Accessibility Adaptations]]*BOQs!$L$16</f>
        <v>0</v>
      </c>
      <c r="AY85" s="86" t="str">
        <f>IF(tbl_estimated_costs_quantities[[#This Row],[Total cost]]&lt;&gt;0,tbl_estimated_costs_quantities[[#This Row],[Total cost]]/BOQs!$A$1,"")</f>
        <v/>
      </c>
      <c r="AZ85" s="37"/>
      <c r="BA85" s="37"/>
      <c r="BB85" s="37"/>
      <c r="BC85" s="37"/>
      <c r="BD85" s="41"/>
      <c r="BE85" s="37"/>
      <c r="BF85" s="37"/>
      <c r="BG85" s="37"/>
      <c r="BH85" s="41"/>
    </row>
    <row r="86" spans="2:60" ht="25.15" customHeight="1" x14ac:dyDescent="0.25">
      <c r="B86" s="49">
        <v>82</v>
      </c>
      <c r="C86" s="37"/>
      <c r="D86" s="41"/>
      <c r="E86" s="40"/>
      <c r="F86" s="87" t="str">
        <f>IF(tbl_estimated_costs_quantities[[#This Row],[House Code]]&lt;&gt;"",INDEX(tbl_Assessment[],MATCH(tbl_estimated_costs_quantities[[#This Row],[House Code]],tbl_Assessment[House Code],0),3),"")</f>
        <v/>
      </c>
      <c r="G86" s="115" t="str">
        <f>IF(tbl_estimated_costs_quantities[[#This Row],[House Code]]&lt;&gt;"",INDEX(tbl_Assessment[],MATCH(tbl_estimated_costs_quantities[[#This Row],[House Code]],tbl_Assessment[House Code],0),9),"")</f>
        <v/>
      </c>
      <c r="H8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6" s="75"/>
      <c r="J86" s="37"/>
      <c r="K86" s="86">
        <f>tbl_estimated_costs_quantities[[#This Row],[Site Preparation]]*BOQs!$L$3</f>
        <v>0</v>
      </c>
      <c r="L86" s="76"/>
      <c r="M86" s="37"/>
      <c r="N86" s="86">
        <f>tbl_estimated_costs_quantities[[#This Row],[Demolition Removal Unsafe Structures]]*BOQs!$L$4</f>
        <v>0</v>
      </c>
      <c r="O86" s="76"/>
      <c r="P86" s="37"/>
      <c r="Q86" s="86">
        <f>tbl_estimated_costs_quantities[[#This Row],[Concrete Works]]*BOQs!$L$5</f>
        <v>0</v>
      </c>
      <c r="R86" s="76"/>
      <c r="S86" s="37"/>
      <c r="T86" s="86">
        <f>tbl_estimated_costs_quantities[[#This Row],[Closure External Openings Walls Windows]]*BOQs!$L$6</f>
        <v>0</v>
      </c>
      <c r="U86" s="76"/>
      <c r="V86" s="37"/>
      <c r="W86" s="86">
        <f>tbl_estimated_costs_quantities[[#This Row],[Plastering Painting]]*BOQs!$L$7</f>
        <v>0</v>
      </c>
      <c r="X86" s="76"/>
      <c r="Y86" s="37"/>
      <c r="Z86" s="86">
        <f>tbl_estimated_costs_quantities[[#This Row],[Floor Repairs]]*BOQs!$L$8</f>
        <v>0</v>
      </c>
      <c r="AA86" s="76"/>
      <c r="AB86" s="37"/>
      <c r="AC86" s="86">
        <f>tbl_estimated_costs_quantities[[#This Row],[Doors Replacement Repair]]*BOQs!$L$9</f>
        <v>0</v>
      </c>
      <c r="AD86" s="76"/>
      <c r="AE86" s="37"/>
      <c r="AF86" s="86">
        <f>tbl_estimated_costs_quantities[[#This Row],[Windows Replacement Repair]]*BOQs!$L$10</f>
        <v>0</v>
      </c>
      <c r="AG86" s="76"/>
      <c r="AH86" s="37"/>
      <c r="AI86" s="86">
        <f>tbl_estimated_costs_quantities[[#This Row],[Bathroom Rehabilitation]]*BOQs!$L$11</f>
        <v>0</v>
      </c>
      <c r="AJ86" s="76"/>
      <c r="AK86" s="37"/>
      <c r="AL86" s="86">
        <f>tbl_estimated_costs_quantities[[#This Row],[Ceramic Tile Works WASH]]*BOQs!$L$12</f>
        <v>0</v>
      </c>
      <c r="AM86" s="76"/>
      <c r="AN86" s="37"/>
      <c r="AO86" s="86">
        <f>tbl_estimated_costs_quantities[[#This Row],[Electrical Repairs Lighting]]*BOQs!$L$13</f>
        <v>0</v>
      </c>
      <c r="AP86" s="76"/>
      <c r="AQ86" s="37"/>
      <c r="AR86" s="86">
        <f>tbl_estimated_costs_quantities[[#This Row],[Roof Insulation Leak Sealing]]*BOQs!$L$14</f>
        <v>0</v>
      </c>
      <c r="AS86" s="76"/>
      <c r="AT86" s="37"/>
      <c r="AU86" s="86">
        <f>tbl_estimated_costs_quantities[[#This Row],[Chimney Duct Cleaning Repair]]*BOQs!$L$15</f>
        <v>0</v>
      </c>
      <c r="AV86" s="76"/>
      <c r="AW86" s="37"/>
      <c r="AX86" s="89">
        <f>tbl_estimated_costs_quantities[[#This Row],[Accessibility Adaptations]]*BOQs!$L$16</f>
        <v>0</v>
      </c>
      <c r="AY86" s="86" t="str">
        <f>IF(tbl_estimated_costs_quantities[[#This Row],[Total cost]]&lt;&gt;0,tbl_estimated_costs_quantities[[#This Row],[Total cost]]/BOQs!$A$1,"")</f>
        <v/>
      </c>
      <c r="AZ86" s="37"/>
      <c r="BA86" s="37"/>
      <c r="BB86" s="37"/>
      <c r="BC86" s="37"/>
      <c r="BD86" s="41"/>
      <c r="BE86" s="37"/>
      <c r="BF86" s="37"/>
      <c r="BG86" s="37"/>
      <c r="BH86" s="41"/>
    </row>
    <row r="87" spans="2:60" ht="25.15" customHeight="1" x14ac:dyDescent="0.25">
      <c r="B87" s="49">
        <v>83</v>
      </c>
      <c r="C87" s="37"/>
      <c r="D87" s="41"/>
      <c r="E87" s="40"/>
      <c r="F87" s="87" t="str">
        <f>IF(tbl_estimated_costs_quantities[[#This Row],[House Code]]&lt;&gt;"",INDEX(tbl_Assessment[],MATCH(tbl_estimated_costs_quantities[[#This Row],[House Code]],tbl_Assessment[House Code],0),3),"")</f>
        <v/>
      </c>
      <c r="G87" s="115" t="str">
        <f>IF(tbl_estimated_costs_quantities[[#This Row],[House Code]]&lt;&gt;"",INDEX(tbl_Assessment[],MATCH(tbl_estimated_costs_quantities[[#This Row],[House Code]],tbl_Assessment[House Code],0),9),"")</f>
        <v/>
      </c>
      <c r="H8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7" s="75"/>
      <c r="J87" s="37"/>
      <c r="K87" s="86">
        <f>tbl_estimated_costs_quantities[[#This Row],[Site Preparation]]*BOQs!$L$3</f>
        <v>0</v>
      </c>
      <c r="L87" s="76"/>
      <c r="M87" s="37"/>
      <c r="N87" s="86">
        <f>tbl_estimated_costs_quantities[[#This Row],[Demolition Removal Unsafe Structures]]*BOQs!$L$4</f>
        <v>0</v>
      </c>
      <c r="O87" s="76"/>
      <c r="P87" s="37"/>
      <c r="Q87" s="86">
        <f>tbl_estimated_costs_quantities[[#This Row],[Concrete Works]]*BOQs!$L$5</f>
        <v>0</v>
      </c>
      <c r="R87" s="76"/>
      <c r="S87" s="37"/>
      <c r="T87" s="86">
        <f>tbl_estimated_costs_quantities[[#This Row],[Closure External Openings Walls Windows]]*BOQs!$L$6</f>
        <v>0</v>
      </c>
      <c r="U87" s="76"/>
      <c r="V87" s="37"/>
      <c r="W87" s="86">
        <f>tbl_estimated_costs_quantities[[#This Row],[Plastering Painting]]*BOQs!$L$7</f>
        <v>0</v>
      </c>
      <c r="X87" s="76"/>
      <c r="Y87" s="37"/>
      <c r="Z87" s="86">
        <f>tbl_estimated_costs_quantities[[#This Row],[Floor Repairs]]*BOQs!$L$8</f>
        <v>0</v>
      </c>
      <c r="AA87" s="76"/>
      <c r="AB87" s="37"/>
      <c r="AC87" s="86">
        <f>tbl_estimated_costs_quantities[[#This Row],[Doors Replacement Repair]]*BOQs!$L$9</f>
        <v>0</v>
      </c>
      <c r="AD87" s="76"/>
      <c r="AE87" s="37"/>
      <c r="AF87" s="86">
        <f>tbl_estimated_costs_quantities[[#This Row],[Windows Replacement Repair]]*BOQs!$L$10</f>
        <v>0</v>
      </c>
      <c r="AG87" s="76"/>
      <c r="AH87" s="37"/>
      <c r="AI87" s="86">
        <f>tbl_estimated_costs_quantities[[#This Row],[Bathroom Rehabilitation]]*BOQs!$L$11</f>
        <v>0</v>
      </c>
      <c r="AJ87" s="76"/>
      <c r="AK87" s="37"/>
      <c r="AL87" s="86">
        <f>tbl_estimated_costs_quantities[[#This Row],[Ceramic Tile Works WASH]]*BOQs!$L$12</f>
        <v>0</v>
      </c>
      <c r="AM87" s="76"/>
      <c r="AN87" s="37"/>
      <c r="AO87" s="86">
        <f>tbl_estimated_costs_quantities[[#This Row],[Electrical Repairs Lighting]]*BOQs!$L$13</f>
        <v>0</v>
      </c>
      <c r="AP87" s="76"/>
      <c r="AQ87" s="37"/>
      <c r="AR87" s="86">
        <f>tbl_estimated_costs_quantities[[#This Row],[Roof Insulation Leak Sealing]]*BOQs!$L$14</f>
        <v>0</v>
      </c>
      <c r="AS87" s="76"/>
      <c r="AT87" s="37"/>
      <c r="AU87" s="86">
        <f>tbl_estimated_costs_quantities[[#This Row],[Chimney Duct Cleaning Repair]]*BOQs!$L$15</f>
        <v>0</v>
      </c>
      <c r="AV87" s="76"/>
      <c r="AW87" s="37"/>
      <c r="AX87" s="89">
        <f>tbl_estimated_costs_quantities[[#This Row],[Accessibility Adaptations]]*BOQs!$L$16</f>
        <v>0</v>
      </c>
      <c r="AY87" s="86" t="str">
        <f>IF(tbl_estimated_costs_quantities[[#This Row],[Total cost]]&lt;&gt;0,tbl_estimated_costs_quantities[[#This Row],[Total cost]]/BOQs!$A$1,"")</f>
        <v/>
      </c>
      <c r="AZ87" s="37"/>
      <c r="BA87" s="37"/>
      <c r="BB87" s="37"/>
      <c r="BC87" s="37"/>
      <c r="BD87" s="41"/>
      <c r="BE87" s="37"/>
      <c r="BF87" s="37"/>
      <c r="BG87" s="37"/>
      <c r="BH87" s="41"/>
    </row>
    <row r="88" spans="2:60" ht="25.15" customHeight="1" x14ac:dyDescent="0.25">
      <c r="B88" s="49">
        <v>84</v>
      </c>
      <c r="C88" s="37"/>
      <c r="D88" s="41"/>
      <c r="E88" s="40"/>
      <c r="F88" s="87" t="str">
        <f>IF(tbl_estimated_costs_quantities[[#This Row],[House Code]]&lt;&gt;"",INDEX(tbl_Assessment[],MATCH(tbl_estimated_costs_quantities[[#This Row],[House Code]],tbl_Assessment[House Code],0),3),"")</f>
        <v/>
      </c>
      <c r="G88" s="115" t="str">
        <f>IF(tbl_estimated_costs_quantities[[#This Row],[House Code]]&lt;&gt;"",INDEX(tbl_Assessment[],MATCH(tbl_estimated_costs_quantities[[#This Row],[House Code]],tbl_Assessment[House Code],0),9),"")</f>
        <v/>
      </c>
      <c r="H8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8" s="75"/>
      <c r="J88" s="37"/>
      <c r="K88" s="86">
        <f>tbl_estimated_costs_quantities[[#This Row],[Site Preparation]]*BOQs!$L$3</f>
        <v>0</v>
      </c>
      <c r="L88" s="76"/>
      <c r="M88" s="37"/>
      <c r="N88" s="86">
        <f>tbl_estimated_costs_quantities[[#This Row],[Demolition Removal Unsafe Structures]]*BOQs!$L$4</f>
        <v>0</v>
      </c>
      <c r="O88" s="76"/>
      <c r="P88" s="37"/>
      <c r="Q88" s="86">
        <f>tbl_estimated_costs_quantities[[#This Row],[Concrete Works]]*BOQs!$L$5</f>
        <v>0</v>
      </c>
      <c r="R88" s="76"/>
      <c r="S88" s="37"/>
      <c r="T88" s="86">
        <f>tbl_estimated_costs_quantities[[#This Row],[Closure External Openings Walls Windows]]*BOQs!$L$6</f>
        <v>0</v>
      </c>
      <c r="U88" s="76"/>
      <c r="V88" s="37"/>
      <c r="W88" s="86">
        <f>tbl_estimated_costs_quantities[[#This Row],[Plastering Painting]]*BOQs!$L$7</f>
        <v>0</v>
      </c>
      <c r="X88" s="76"/>
      <c r="Y88" s="37"/>
      <c r="Z88" s="86">
        <f>tbl_estimated_costs_quantities[[#This Row],[Floor Repairs]]*BOQs!$L$8</f>
        <v>0</v>
      </c>
      <c r="AA88" s="76"/>
      <c r="AB88" s="37"/>
      <c r="AC88" s="86">
        <f>tbl_estimated_costs_quantities[[#This Row],[Doors Replacement Repair]]*BOQs!$L$9</f>
        <v>0</v>
      </c>
      <c r="AD88" s="76"/>
      <c r="AE88" s="37"/>
      <c r="AF88" s="86">
        <f>tbl_estimated_costs_quantities[[#This Row],[Windows Replacement Repair]]*BOQs!$L$10</f>
        <v>0</v>
      </c>
      <c r="AG88" s="76"/>
      <c r="AH88" s="37"/>
      <c r="AI88" s="86">
        <f>tbl_estimated_costs_quantities[[#This Row],[Bathroom Rehabilitation]]*BOQs!$L$11</f>
        <v>0</v>
      </c>
      <c r="AJ88" s="76"/>
      <c r="AK88" s="37"/>
      <c r="AL88" s="86">
        <f>tbl_estimated_costs_quantities[[#This Row],[Ceramic Tile Works WASH]]*BOQs!$L$12</f>
        <v>0</v>
      </c>
      <c r="AM88" s="76"/>
      <c r="AN88" s="37"/>
      <c r="AO88" s="86">
        <f>tbl_estimated_costs_quantities[[#This Row],[Electrical Repairs Lighting]]*BOQs!$L$13</f>
        <v>0</v>
      </c>
      <c r="AP88" s="76"/>
      <c r="AQ88" s="37"/>
      <c r="AR88" s="86">
        <f>tbl_estimated_costs_quantities[[#This Row],[Roof Insulation Leak Sealing]]*BOQs!$L$14</f>
        <v>0</v>
      </c>
      <c r="AS88" s="76"/>
      <c r="AT88" s="37"/>
      <c r="AU88" s="86">
        <f>tbl_estimated_costs_quantities[[#This Row],[Chimney Duct Cleaning Repair]]*BOQs!$L$15</f>
        <v>0</v>
      </c>
      <c r="AV88" s="76"/>
      <c r="AW88" s="37"/>
      <c r="AX88" s="89">
        <f>tbl_estimated_costs_quantities[[#This Row],[Accessibility Adaptations]]*BOQs!$L$16</f>
        <v>0</v>
      </c>
      <c r="AY88" s="86" t="str">
        <f>IF(tbl_estimated_costs_quantities[[#This Row],[Total cost]]&lt;&gt;0,tbl_estimated_costs_quantities[[#This Row],[Total cost]]/BOQs!$A$1,"")</f>
        <v/>
      </c>
      <c r="AZ88" s="37"/>
      <c r="BA88" s="37"/>
      <c r="BB88" s="37"/>
      <c r="BC88" s="37"/>
      <c r="BD88" s="41"/>
      <c r="BE88" s="37"/>
      <c r="BF88" s="37"/>
      <c r="BG88" s="37"/>
      <c r="BH88" s="41"/>
    </row>
    <row r="89" spans="2:60" ht="25.15" customHeight="1" x14ac:dyDescent="0.25">
      <c r="B89" s="49">
        <v>85</v>
      </c>
      <c r="C89" s="37"/>
      <c r="D89" s="41"/>
      <c r="E89" s="40"/>
      <c r="F89" s="87" t="str">
        <f>IF(tbl_estimated_costs_quantities[[#This Row],[House Code]]&lt;&gt;"",INDEX(tbl_Assessment[],MATCH(tbl_estimated_costs_quantities[[#This Row],[House Code]],tbl_Assessment[House Code],0),3),"")</f>
        <v/>
      </c>
      <c r="G89" s="115" t="str">
        <f>IF(tbl_estimated_costs_quantities[[#This Row],[House Code]]&lt;&gt;"",INDEX(tbl_Assessment[],MATCH(tbl_estimated_costs_quantities[[#This Row],[House Code]],tbl_Assessment[House Code],0),9),"")</f>
        <v/>
      </c>
      <c r="H8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89" s="75"/>
      <c r="J89" s="37"/>
      <c r="K89" s="86">
        <f>tbl_estimated_costs_quantities[[#This Row],[Site Preparation]]*BOQs!$L$3</f>
        <v>0</v>
      </c>
      <c r="L89" s="76"/>
      <c r="M89" s="37"/>
      <c r="N89" s="86">
        <f>tbl_estimated_costs_quantities[[#This Row],[Demolition Removal Unsafe Structures]]*BOQs!$L$4</f>
        <v>0</v>
      </c>
      <c r="O89" s="76"/>
      <c r="P89" s="37"/>
      <c r="Q89" s="86">
        <f>tbl_estimated_costs_quantities[[#This Row],[Concrete Works]]*BOQs!$L$5</f>
        <v>0</v>
      </c>
      <c r="R89" s="76"/>
      <c r="S89" s="37"/>
      <c r="T89" s="86">
        <f>tbl_estimated_costs_quantities[[#This Row],[Closure External Openings Walls Windows]]*BOQs!$L$6</f>
        <v>0</v>
      </c>
      <c r="U89" s="76"/>
      <c r="V89" s="37"/>
      <c r="W89" s="86">
        <f>tbl_estimated_costs_quantities[[#This Row],[Plastering Painting]]*BOQs!$L$7</f>
        <v>0</v>
      </c>
      <c r="X89" s="76"/>
      <c r="Y89" s="37"/>
      <c r="Z89" s="86">
        <f>tbl_estimated_costs_quantities[[#This Row],[Floor Repairs]]*BOQs!$L$8</f>
        <v>0</v>
      </c>
      <c r="AA89" s="76"/>
      <c r="AB89" s="37"/>
      <c r="AC89" s="86">
        <f>tbl_estimated_costs_quantities[[#This Row],[Doors Replacement Repair]]*BOQs!$L$9</f>
        <v>0</v>
      </c>
      <c r="AD89" s="76"/>
      <c r="AE89" s="37"/>
      <c r="AF89" s="86">
        <f>tbl_estimated_costs_quantities[[#This Row],[Windows Replacement Repair]]*BOQs!$L$10</f>
        <v>0</v>
      </c>
      <c r="AG89" s="76"/>
      <c r="AH89" s="37"/>
      <c r="AI89" s="86">
        <f>tbl_estimated_costs_quantities[[#This Row],[Bathroom Rehabilitation]]*BOQs!$L$11</f>
        <v>0</v>
      </c>
      <c r="AJ89" s="76"/>
      <c r="AK89" s="37"/>
      <c r="AL89" s="86">
        <f>tbl_estimated_costs_quantities[[#This Row],[Ceramic Tile Works WASH]]*BOQs!$L$12</f>
        <v>0</v>
      </c>
      <c r="AM89" s="76"/>
      <c r="AN89" s="37"/>
      <c r="AO89" s="86">
        <f>tbl_estimated_costs_quantities[[#This Row],[Electrical Repairs Lighting]]*BOQs!$L$13</f>
        <v>0</v>
      </c>
      <c r="AP89" s="76"/>
      <c r="AQ89" s="37"/>
      <c r="AR89" s="86">
        <f>tbl_estimated_costs_quantities[[#This Row],[Roof Insulation Leak Sealing]]*BOQs!$L$14</f>
        <v>0</v>
      </c>
      <c r="AS89" s="76"/>
      <c r="AT89" s="37"/>
      <c r="AU89" s="86">
        <f>tbl_estimated_costs_quantities[[#This Row],[Chimney Duct Cleaning Repair]]*BOQs!$L$15</f>
        <v>0</v>
      </c>
      <c r="AV89" s="76"/>
      <c r="AW89" s="37"/>
      <c r="AX89" s="89">
        <f>tbl_estimated_costs_quantities[[#This Row],[Accessibility Adaptations]]*BOQs!$L$16</f>
        <v>0</v>
      </c>
      <c r="AY89" s="86" t="str">
        <f>IF(tbl_estimated_costs_quantities[[#This Row],[Total cost]]&lt;&gt;0,tbl_estimated_costs_quantities[[#This Row],[Total cost]]/BOQs!$A$1,"")</f>
        <v/>
      </c>
      <c r="AZ89" s="37"/>
      <c r="BA89" s="37"/>
      <c r="BB89" s="37"/>
      <c r="BC89" s="37"/>
      <c r="BD89" s="41"/>
      <c r="BE89" s="37"/>
      <c r="BF89" s="37"/>
      <c r="BG89" s="37"/>
      <c r="BH89" s="41"/>
    </row>
    <row r="90" spans="2:60" ht="25.15" customHeight="1" x14ac:dyDescent="0.25">
      <c r="B90" s="49">
        <v>86</v>
      </c>
      <c r="C90" s="37"/>
      <c r="D90" s="41"/>
      <c r="E90" s="40"/>
      <c r="F90" s="87" t="str">
        <f>IF(tbl_estimated_costs_quantities[[#This Row],[House Code]]&lt;&gt;"",INDEX(tbl_Assessment[],MATCH(tbl_estimated_costs_quantities[[#This Row],[House Code]],tbl_Assessment[House Code],0),3),"")</f>
        <v/>
      </c>
      <c r="G90" s="115" t="str">
        <f>IF(tbl_estimated_costs_quantities[[#This Row],[House Code]]&lt;&gt;"",INDEX(tbl_Assessment[],MATCH(tbl_estimated_costs_quantities[[#This Row],[House Code]],tbl_Assessment[House Code],0),9),"")</f>
        <v/>
      </c>
      <c r="H9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0" s="75"/>
      <c r="J90" s="37"/>
      <c r="K90" s="86">
        <f>tbl_estimated_costs_quantities[[#This Row],[Site Preparation]]*BOQs!$L$3</f>
        <v>0</v>
      </c>
      <c r="L90" s="76"/>
      <c r="M90" s="37"/>
      <c r="N90" s="86">
        <f>tbl_estimated_costs_quantities[[#This Row],[Demolition Removal Unsafe Structures]]*BOQs!$L$4</f>
        <v>0</v>
      </c>
      <c r="O90" s="76"/>
      <c r="P90" s="37"/>
      <c r="Q90" s="86">
        <f>tbl_estimated_costs_quantities[[#This Row],[Concrete Works]]*BOQs!$L$5</f>
        <v>0</v>
      </c>
      <c r="R90" s="76"/>
      <c r="S90" s="37"/>
      <c r="T90" s="86">
        <f>tbl_estimated_costs_quantities[[#This Row],[Closure External Openings Walls Windows]]*BOQs!$L$6</f>
        <v>0</v>
      </c>
      <c r="U90" s="76"/>
      <c r="V90" s="37"/>
      <c r="W90" s="86">
        <f>tbl_estimated_costs_quantities[[#This Row],[Plastering Painting]]*BOQs!$L$7</f>
        <v>0</v>
      </c>
      <c r="X90" s="76"/>
      <c r="Y90" s="37"/>
      <c r="Z90" s="86">
        <f>tbl_estimated_costs_quantities[[#This Row],[Floor Repairs]]*BOQs!$L$8</f>
        <v>0</v>
      </c>
      <c r="AA90" s="76"/>
      <c r="AB90" s="37"/>
      <c r="AC90" s="86">
        <f>tbl_estimated_costs_quantities[[#This Row],[Doors Replacement Repair]]*BOQs!$L$9</f>
        <v>0</v>
      </c>
      <c r="AD90" s="76"/>
      <c r="AE90" s="37"/>
      <c r="AF90" s="86">
        <f>tbl_estimated_costs_quantities[[#This Row],[Windows Replacement Repair]]*BOQs!$L$10</f>
        <v>0</v>
      </c>
      <c r="AG90" s="76"/>
      <c r="AH90" s="37"/>
      <c r="AI90" s="86">
        <f>tbl_estimated_costs_quantities[[#This Row],[Bathroom Rehabilitation]]*BOQs!$L$11</f>
        <v>0</v>
      </c>
      <c r="AJ90" s="76"/>
      <c r="AK90" s="37"/>
      <c r="AL90" s="86">
        <f>tbl_estimated_costs_quantities[[#This Row],[Ceramic Tile Works WASH]]*BOQs!$L$12</f>
        <v>0</v>
      </c>
      <c r="AM90" s="76"/>
      <c r="AN90" s="37"/>
      <c r="AO90" s="86">
        <f>tbl_estimated_costs_quantities[[#This Row],[Electrical Repairs Lighting]]*BOQs!$L$13</f>
        <v>0</v>
      </c>
      <c r="AP90" s="76"/>
      <c r="AQ90" s="37"/>
      <c r="AR90" s="86">
        <f>tbl_estimated_costs_quantities[[#This Row],[Roof Insulation Leak Sealing]]*BOQs!$L$14</f>
        <v>0</v>
      </c>
      <c r="AS90" s="76"/>
      <c r="AT90" s="37"/>
      <c r="AU90" s="86">
        <f>tbl_estimated_costs_quantities[[#This Row],[Chimney Duct Cleaning Repair]]*BOQs!$L$15</f>
        <v>0</v>
      </c>
      <c r="AV90" s="76"/>
      <c r="AW90" s="37"/>
      <c r="AX90" s="89">
        <f>tbl_estimated_costs_quantities[[#This Row],[Accessibility Adaptations]]*BOQs!$L$16</f>
        <v>0</v>
      </c>
      <c r="AY90" s="86" t="str">
        <f>IF(tbl_estimated_costs_quantities[[#This Row],[Total cost]]&lt;&gt;0,tbl_estimated_costs_quantities[[#This Row],[Total cost]]/BOQs!$A$1,"")</f>
        <v/>
      </c>
      <c r="AZ90" s="37"/>
      <c r="BA90" s="37"/>
      <c r="BB90" s="37"/>
      <c r="BC90" s="37"/>
      <c r="BD90" s="41"/>
      <c r="BE90" s="37"/>
      <c r="BF90" s="37"/>
      <c r="BG90" s="37"/>
      <c r="BH90" s="41"/>
    </row>
    <row r="91" spans="2:60" ht="25.15" customHeight="1" x14ac:dyDescent="0.25">
      <c r="B91" s="49">
        <v>87</v>
      </c>
      <c r="C91" s="37"/>
      <c r="D91" s="41"/>
      <c r="E91" s="40"/>
      <c r="F91" s="87" t="str">
        <f>IF(tbl_estimated_costs_quantities[[#This Row],[House Code]]&lt;&gt;"",INDEX(tbl_Assessment[],MATCH(tbl_estimated_costs_quantities[[#This Row],[House Code]],tbl_Assessment[House Code],0),3),"")</f>
        <v/>
      </c>
      <c r="G91" s="115" t="str">
        <f>IF(tbl_estimated_costs_quantities[[#This Row],[House Code]]&lt;&gt;"",INDEX(tbl_Assessment[],MATCH(tbl_estimated_costs_quantities[[#This Row],[House Code]],tbl_Assessment[House Code],0),9),"")</f>
        <v/>
      </c>
      <c r="H9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1" s="75"/>
      <c r="J91" s="37"/>
      <c r="K91" s="86">
        <f>tbl_estimated_costs_quantities[[#This Row],[Site Preparation]]*BOQs!$L$3</f>
        <v>0</v>
      </c>
      <c r="L91" s="76"/>
      <c r="M91" s="37"/>
      <c r="N91" s="86">
        <f>tbl_estimated_costs_quantities[[#This Row],[Demolition Removal Unsafe Structures]]*BOQs!$L$4</f>
        <v>0</v>
      </c>
      <c r="O91" s="76"/>
      <c r="P91" s="37"/>
      <c r="Q91" s="86">
        <f>tbl_estimated_costs_quantities[[#This Row],[Concrete Works]]*BOQs!$L$5</f>
        <v>0</v>
      </c>
      <c r="R91" s="76"/>
      <c r="S91" s="37"/>
      <c r="T91" s="86">
        <f>tbl_estimated_costs_quantities[[#This Row],[Closure External Openings Walls Windows]]*BOQs!$L$6</f>
        <v>0</v>
      </c>
      <c r="U91" s="76"/>
      <c r="V91" s="37"/>
      <c r="W91" s="86">
        <f>tbl_estimated_costs_quantities[[#This Row],[Plastering Painting]]*BOQs!$L$7</f>
        <v>0</v>
      </c>
      <c r="X91" s="76"/>
      <c r="Y91" s="37"/>
      <c r="Z91" s="86">
        <f>tbl_estimated_costs_quantities[[#This Row],[Floor Repairs]]*BOQs!$L$8</f>
        <v>0</v>
      </c>
      <c r="AA91" s="76"/>
      <c r="AB91" s="37"/>
      <c r="AC91" s="86">
        <f>tbl_estimated_costs_quantities[[#This Row],[Doors Replacement Repair]]*BOQs!$L$9</f>
        <v>0</v>
      </c>
      <c r="AD91" s="76"/>
      <c r="AE91" s="37"/>
      <c r="AF91" s="86">
        <f>tbl_estimated_costs_quantities[[#This Row],[Windows Replacement Repair]]*BOQs!$L$10</f>
        <v>0</v>
      </c>
      <c r="AG91" s="76"/>
      <c r="AH91" s="37"/>
      <c r="AI91" s="86">
        <f>tbl_estimated_costs_quantities[[#This Row],[Bathroom Rehabilitation]]*BOQs!$L$11</f>
        <v>0</v>
      </c>
      <c r="AJ91" s="76"/>
      <c r="AK91" s="37"/>
      <c r="AL91" s="86">
        <f>tbl_estimated_costs_quantities[[#This Row],[Ceramic Tile Works WASH]]*BOQs!$L$12</f>
        <v>0</v>
      </c>
      <c r="AM91" s="76"/>
      <c r="AN91" s="37"/>
      <c r="AO91" s="86">
        <f>tbl_estimated_costs_quantities[[#This Row],[Electrical Repairs Lighting]]*BOQs!$L$13</f>
        <v>0</v>
      </c>
      <c r="AP91" s="76"/>
      <c r="AQ91" s="37"/>
      <c r="AR91" s="86">
        <f>tbl_estimated_costs_quantities[[#This Row],[Roof Insulation Leak Sealing]]*BOQs!$L$14</f>
        <v>0</v>
      </c>
      <c r="AS91" s="76"/>
      <c r="AT91" s="37"/>
      <c r="AU91" s="86">
        <f>tbl_estimated_costs_quantities[[#This Row],[Chimney Duct Cleaning Repair]]*BOQs!$L$15</f>
        <v>0</v>
      </c>
      <c r="AV91" s="76"/>
      <c r="AW91" s="37"/>
      <c r="AX91" s="89">
        <f>tbl_estimated_costs_quantities[[#This Row],[Accessibility Adaptations]]*BOQs!$L$16</f>
        <v>0</v>
      </c>
      <c r="AY91" s="86" t="str">
        <f>IF(tbl_estimated_costs_quantities[[#This Row],[Total cost]]&lt;&gt;0,tbl_estimated_costs_quantities[[#This Row],[Total cost]]/BOQs!$A$1,"")</f>
        <v/>
      </c>
      <c r="AZ91" s="37"/>
      <c r="BA91" s="37"/>
      <c r="BB91" s="37"/>
      <c r="BC91" s="37"/>
      <c r="BD91" s="41"/>
      <c r="BE91" s="37"/>
      <c r="BF91" s="37"/>
      <c r="BG91" s="37"/>
      <c r="BH91" s="41"/>
    </row>
    <row r="92" spans="2:60" ht="25.15" customHeight="1" x14ac:dyDescent="0.25">
      <c r="B92" s="49">
        <v>88</v>
      </c>
      <c r="C92" s="37"/>
      <c r="D92" s="41"/>
      <c r="E92" s="40"/>
      <c r="F92" s="87" t="str">
        <f>IF(tbl_estimated_costs_quantities[[#This Row],[House Code]]&lt;&gt;"",INDEX(tbl_Assessment[],MATCH(tbl_estimated_costs_quantities[[#This Row],[House Code]],tbl_Assessment[House Code],0),3),"")</f>
        <v/>
      </c>
      <c r="G92" s="115" t="str">
        <f>IF(tbl_estimated_costs_quantities[[#This Row],[House Code]]&lt;&gt;"",INDEX(tbl_Assessment[],MATCH(tbl_estimated_costs_quantities[[#This Row],[House Code]],tbl_Assessment[House Code],0),9),"")</f>
        <v/>
      </c>
      <c r="H9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2" s="75"/>
      <c r="J92" s="37"/>
      <c r="K92" s="86">
        <f>tbl_estimated_costs_quantities[[#This Row],[Site Preparation]]*BOQs!$L$3</f>
        <v>0</v>
      </c>
      <c r="L92" s="76"/>
      <c r="M92" s="37"/>
      <c r="N92" s="86">
        <f>tbl_estimated_costs_quantities[[#This Row],[Demolition Removal Unsafe Structures]]*BOQs!$L$4</f>
        <v>0</v>
      </c>
      <c r="O92" s="76"/>
      <c r="P92" s="37"/>
      <c r="Q92" s="86">
        <f>tbl_estimated_costs_quantities[[#This Row],[Concrete Works]]*BOQs!$L$5</f>
        <v>0</v>
      </c>
      <c r="R92" s="76"/>
      <c r="S92" s="37"/>
      <c r="T92" s="86">
        <f>tbl_estimated_costs_quantities[[#This Row],[Closure External Openings Walls Windows]]*BOQs!$L$6</f>
        <v>0</v>
      </c>
      <c r="U92" s="76"/>
      <c r="V92" s="37"/>
      <c r="W92" s="86">
        <f>tbl_estimated_costs_quantities[[#This Row],[Plastering Painting]]*BOQs!$L$7</f>
        <v>0</v>
      </c>
      <c r="X92" s="76"/>
      <c r="Y92" s="37"/>
      <c r="Z92" s="86">
        <f>tbl_estimated_costs_quantities[[#This Row],[Floor Repairs]]*BOQs!$L$8</f>
        <v>0</v>
      </c>
      <c r="AA92" s="76"/>
      <c r="AB92" s="37"/>
      <c r="AC92" s="86">
        <f>tbl_estimated_costs_quantities[[#This Row],[Doors Replacement Repair]]*BOQs!$L$9</f>
        <v>0</v>
      </c>
      <c r="AD92" s="76"/>
      <c r="AE92" s="37"/>
      <c r="AF92" s="86">
        <f>tbl_estimated_costs_quantities[[#This Row],[Windows Replacement Repair]]*BOQs!$L$10</f>
        <v>0</v>
      </c>
      <c r="AG92" s="76"/>
      <c r="AH92" s="37"/>
      <c r="AI92" s="86">
        <f>tbl_estimated_costs_quantities[[#This Row],[Bathroom Rehabilitation]]*BOQs!$L$11</f>
        <v>0</v>
      </c>
      <c r="AJ92" s="76"/>
      <c r="AK92" s="37"/>
      <c r="AL92" s="86">
        <f>tbl_estimated_costs_quantities[[#This Row],[Ceramic Tile Works WASH]]*BOQs!$L$12</f>
        <v>0</v>
      </c>
      <c r="AM92" s="76"/>
      <c r="AN92" s="37"/>
      <c r="AO92" s="86">
        <f>tbl_estimated_costs_quantities[[#This Row],[Electrical Repairs Lighting]]*BOQs!$L$13</f>
        <v>0</v>
      </c>
      <c r="AP92" s="76"/>
      <c r="AQ92" s="37"/>
      <c r="AR92" s="86">
        <f>tbl_estimated_costs_quantities[[#This Row],[Roof Insulation Leak Sealing]]*BOQs!$L$14</f>
        <v>0</v>
      </c>
      <c r="AS92" s="76"/>
      <c r="AT92" s="37"/>
      <c r="AU92" s="86">
        <f>tbl_estimated_costs_quantities[[#This Row],[Chimney Duct Cleaning Repair]]*BOQs!$L$15</f>
        <v>0</v>
      </c>
      <c r="AV92" s="76"/>
      <c r="AW92" s="37"/>
      <c r="AX92" s="89">
        <f>tbl_estimated_costs_quantities[[#This Row],[Accessibility Adaptations]]*BOQs!$L$16</f>
        <v>0</v>
      </c>
      <c r="AY92" s="86" t="str">
        <f>IF(tbl_estimated_costs_quantities[[#This Row],[Total cost]]&lt;&gt;0,tbl_estimated_costs_quantities[[#This Row],[Total cost]]/BOQs!$A$1,"")</f>
        <v/>
      </c>
      <c r="AZ92" s="37"/>
      <c r="BA92" s="37"/>
      <c r="BB92" s="37"/>
      <c r="BC92" s="37"/>
      <c r="BD92" s="41"/>
      <c r="BE92" s="37"/>
      <c r="BF92" s="37"/>
      <c r="BG92" s="37"/>
      <c r="BH92" s="41"/>
    </row>
    <row r="93" spans="2:60" ht="25.15" customHeight="1" x14ac:dyDescent="0.25">
      <c r="B93" s="49">
        <v>89</v>
      </c>
      <c r="C93" s="37"/>
      <c r="D93" s="41"/>
      <c r="E93" s="40"/>
      <c r="F93" s="87" t="str">
        <f>IF(tbl_estimated_costs_quantities[[#This Row],[House Code]]&lt;&gt;"",INDEX(tbl_Assessment[],MATCH(tbl_estimated_costs_quantities[[#This Row],[House Code]],tbl_Assessment[House Code],0),3),"")</f>
        <v/>
      </c>
      <c r="G93" s="115" t="str">
        <f>IF(tbl_estimated_costs_quantities[[#This Row],[House Code]]&lt;&gt;"",INDEX(tbl_Assessment[],MATCH(tbl_estimated_costs_quantities[[#This Row],[House Code]],tbl_Assessment[House Code],0),9),"")</f>
        <v/>
      </c>
      <c r="H9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3" s="75"/>
      <c r="J93" s="37"/>
      <c r="K93" s="86">
        <f>tbl_estimated_costs_quantities[[#This Row],[Site Preparation]]*BOQs!$L$3</f>
        <v>0</v>
      </c>
      <c r="L93" s="76"/>
      <c r="M93" s="37"/>
      <c r="N93" s="86">
        <f>tbl_estimated_costs_quantities[[#This Row],[Demolition Removal Unsafe Structures]]*BOQs!$L$4</f>
        <v>0</v>
      </c>
      <c r="O93" s="76"/>
      <c r="P93" s="37"/>
      <c r="Q93" s="86">
        <f>tbl_estimated_costs_quantities[[#This Row],[Concrete Works]]*BOQs!$L$5</f>
        <v>0</v>
      </c>
      <c r="R93" s="76"/>
      <c r="S93" s="37"/>
      <c r="T93" s="86">
        <f>tbl_estimated_costs_quantities[[#This Row],[Closure External Openings Walls Windows]]*BOQs!$L$6</f>
        <v>0</v>
      </c>
      <c r="U93" s="76"/>
      <c r="V93" s="37"/>
      <c r="W93" s="86">
        <f>tbl_estimated_costs_quantities[[#This Row],[Plastering Painting]]*BOQs!$L$7</f>
        <v>0</v>
      </c>
      <c r="X93" s="76"/>
      <c r="Y93" s="37"/>
      <c r="Z93" s="86">
        <f>tbl_estimated_costs_quantities[[#This Row],[Floor Repairs]]*BOQs!$L$8</f>
        <v>0</v>
      </c>
      <c r="AA93" s="76"/>
      <c r="AB93" s="37"/>
      <c r="AC93" s="86">
        <f>tbl_estimated_costs_quantities[[#This Row],[Doors Replacement Repair]]*BOQs!$L$9</f>
        <v>0</v>
      </c>
      <c r="AD93" s="76"/>
      <c r="AE93" s="37"/>
      <c r="AF93" s="86">
        <f>tbl_estimated_costs_quantities[[#This Row],[Windows Replacement Repair]]*BOQs!$L$10</f>
        <v>0</v>
      </c>
      <c r="AG93" s="76"/>
      <c r="AH93" s="37"/>
      <c r="AI93" s="86">
        <f>tbl_estimated_costs_quantities[[#This Row],[Bathroom Rehabilitation]]*BOQs!$L$11</f>
        <v>0</v>
      </c>
      <c r="AJ93" s="76"/>
      <c r="AK93" s="37"/>
      <c r="AL93" s="86">
        <f>tbl_estimated_costs_quantities[[#This Row],[Ceramic Tile Works WASH]]*BOQs!$L$12</f>
        <v>0</v>
      </c>
      <c r="AM93" s="76"/>
      <c r="AN93" s="37"/>
      <c r="AO93" s="86">
        <f>tbl_estimated_costs_quantities[[#This Row],[Electrical Repairs Lighting]]*BOQs!$L$13</f>
        <v>0</v>
      </c>
      <c r="AP93" s="76"/>
      <c r="AQ93" s="37"/>
      <c r="AR93" s="86">
        <f>tbl_estimated_costs_quantities[[#This Row],[Roof Insulation Leak Sealing]]*BOQs!$L$14</f>
        <v>0</v>
      </c>
      <c r="AS93" s="76"/>
      <c r="AT93" s="37"/>
      <c r="AU93" s="86">
        <f>tbl_estimated_costs_quantities[[#This Row],[Chimney Duct Cleaning Repair]]*BOQs!$L$15</f>
        <v>0</v>
      </c>
      <c r="AV93" s="76"/>
      <c r="AW93" s="37"/>
      <c r="AX93" s="89">
        <f>tbl_estimated_costs_quantities[[#This Row],[Accessibility Adaptations]]*BOQs!$L$16</f>
        <v>0</v>
      </c>
      <c r="AY93" s="86" t="str">
        <f>IF(tbl_estimated_costs_quantities[[#This Row],[Total cost]]&lt;&gt;0,tbl_estimated_costs_quantities[[#This Row],[Total cost]]/BOQs!$A$1,"")</f>
        <v/>
      </c>
      <c r="AZ93" s="37"/>
      <c r="BA93" s="37"/>
      <c r="BB93" s="37"/>
      <c r="BC93" s="37"/>
      <c r="BD93" s="41"/>
      <c r="BE93" s="37"/>
      <c r="BF93" s="37"/>
      <c r="BG93" s="37"/>
      <c r="BH93" s="41"/>
    </row>
    <row r="94" spans="2:60" ht="25.15" customHeight="1" x14ac:dyDescent="0.25">
      <c r="B94" s="49">
        <v>90</v>
      </c>
      <c r="C94" s="37"/>
      <c r="D94" s="41"/>
      <c r="E94" s="40"/>
      <c r="F94" s="87" t="str">
        <f>IF(tbl_estimated_costs_quantities[[#This Row],[House Code]]&lt;&gt;"",INDEX(tbl_Assessment[],MATCH(tbl_estimated_costs_quantities[[#This Row],[House Code]],tbl_Assessment[House Code],0),3),"")</f>
        <v/>
      </c>
      <c r="G94" s="115" t="str">
        <f>IF(tbl_estimated_costs_quantities[[#This Row],[House Code]]&lt;&gt;"",INDEX(tbl_Assessment[],MATCH(tbl_estimated_costs_quantities[[#This Row],[House Code]],tbl_Assessment[House Code],0),9),"")</f>
        <v/>
      </c>
      <c r="H9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4" s="75"/>
      <c r="J94" s="37"/>
      <c r="K94" s="86">
        <f>tbl_estimated_costs_quantities[[#This Row],[Site Preparation]]*BOQs!$L$3</f>
        <v>0</v>
      </c>
      <c r="L94" s="76"/>
      <c r="M94" s="37"/>
      <c r="N94" s="86">
        <f>tbl_estimated_costs_quantities[[#This Row],[Demolition Removal Unsafe Structures]]*BOQs!$L$4</f>
        <v>0</v>
      </c>
      <c r="O94" s="76"/>
      <c r="P94" s="37"/>
      <c r="Q94" s="86">
        <f>tbl_estimated_costs_quantities[[#This Row],[Concrete Works]]*BOQs!$L$5</f>
        <v>0</v>
      </c>
      <c r="R94" s="76"/>
      <c r="S94" s="37"/>
      <c r="T94" s="86">
        <f>tbl_estimated_costs_quantities[[#This Row],[Closure External Openings Walls Windows]]*BOQs!$L$6</f>
        <v>0</v>
      </c>
      <c r="U94" s="76"/>
      <c r="V94" s="37"/>
      <c r="W94" s="86">
        <f>tbl_estimated_costs_quantities[[#This Row],[Plastering Painting]]*BOQs!$L$7</f>
        <v>0</v>
      </c>
      <c r="X94" s="76"/>
      <c r="Y94" s="37"/>
      <c r="Z94" s="86">
        <f>tbl_estimated_costs_quantities[[#This Row],[Floor Repairs]]*BOQs!$L$8</f>
        <v>0</v>
      </c>
      <c r="AA94" s="76"/>
      <c r="AB94" s="37"/>
      <c r="AC94" s="86">
        <f>tbl_estimated_costs_quantities[[#This Row],[Doors Replacement Repair]]*BOQs!$L$9</f>
        <v>0</v>
      </c>
      <c r="AD94" s="76"/>
      <c r="AE94" s="37"/>
      <c r="AF94" s="86">
        <f>tbl_estimated_costs_quantities[[#This Row],[Windows Replacement Repair]]*BOQs!$L$10</f>
        <v>0</v>
      </c>
      <c r="AG94" s="76"/>
      <c r="AH94" s="37"/>
      <c r="AI94" s="86">
        <f>tbl_estimated_costs_quantities[[#This Row],[Bathroom Rehabilitation]]*BOQs!$L$11</f>
        <v>0</v>
      </c>
      <c r="AJ94" s="76"/>
      <c r="AK94" s="37"/>
      <c r="AL94" s="86">
        <f>tbl_estimated_costs_quantities[[#This Row],[Ceramic Tile Works WASH]]*BOQs!$L$12</f>
        <v>0</v>
      </c>
      <c r="AM94" s="76"/>
      <c r="AN94" s="37"/>
      <c r="AO94" s="86">
        <f>tbl_estimated_costs_quantities[[#This Row],[Electrical Repairs Lighting]]*BOQs!$L$13</f>
        <v>0</v>
      </c>
      <c r="AP94" s="76"/>
      <c r="AQ94" s="37"/>
      <c r="AR94" s="86">
        <f>tbl_estimated_costs_quantities[[#This Row],[Roof Insulation Leak Sealing]]*BOQs!$L$14</f>
        <v>0</v>
      </c>
      <c r="AS94" s="76"/>
      <c r="AT94" s="37"/>
      <c r="AU94" s="86">
        <f>tbl_estimated_costs_quantities[[#This Row],[Chimney Duct Cleaning Repair]]*BOQs!$L$15</f>
        <v>0</v>
      </c>
      <c r="AV94" s="76"/>
      <c r="AW94" s="37"/>
      <c r="AX94" s="89">
        <f>tbl_estimated_costs_quantities[[#This Row],[Accessibility Adaptations]]*BOQs!$L$16</f>
        <v>0</v>
      </c>
      <c r="AY94" s="86" t="str">
        <f>IF(tbl_estimated_costs_quantities[[#This Row],[Total cost]]&lt;&gt;0,tbl_estimated_costs_quantities[[#This Row],[Total cost]]/BOQs!$A$1,"")</f>
        <v/>
      </c>
      <c r="AZ94" s="37"/>
      <c r="BA94" s="37"/>
      <c r="BB94" s="37"/>
      <c r="BC94" s="37"/>
      <c r="BD94" s="41"/>
      <c r="BE94" s="37"/>
      <c r="BF94" s="37"/>
      <c r="BG94" s="37"/>
      <c r="BH94" s="41"/>
    </row>
    <row r="95" spans="2:60" ht="25.15" customHeight="1" x14ac:dyDescent="0.25">
      <c r="B95" s="49">
        <v>91</v>
      </c>
      <c r="C95" s="37"/>
      <c r="D95" s="41"/>
      <c r="E95" s="40"/>
      <c r="F95" s="87" t="str">
        <f>IF(tbl_estimated_costs_quantities[[#This Row],[House Code]]&lt;&gt;"",INDEX(tbl_Assessment[],MATCH(tbl_estimated_costs_quantities[[#This Row],[House Code]],tbl_Assessment[House Code],0),3),"")</f>
        <v/>
      </c>
      <c r="G95" s="115" t="str">
        <f>IF(tbl_estimated_costs_quantities[[#This Row],[House Code]]&lt;&gt;"",INDEX(tbl_Assessment[],MATCH(tbl_estimated_costs_quantities[[#This Row],[House Code]],tbl_Assessment[House Code],0),9),"")</f>
        <v/>
      </c>
      <c r="H9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5" s="75"/>
      <c r="J95" s="37"/>
      <c r="K95" s="86">
        <f>tbl_estimated_costs_quantities[[#This Row],[Site Preparation]]*BOQs!$L$3</f>
        <v>0</v>
      </c>
      <c r="L95" s="76"/>
      <c r="M95" s="37"/>
      <c r="N95" s="86">
        <f>tbl_estimated_costs_quantities[[#This Row],[Demolition Removal Unsafe Structures]]*BOQs!$L$4</f>
        <v>0</v>
      </c>
      <c r="O95" s="76"/>
      <c r="P95" s="37"/>
      <c r="Q95" s="86">
        <f>tbl_estimated_costs_quantities[[#This Row],[Concrete Works]]*BOQs!$L$5</f>
        <v>0</v>
      </c>
      <c r="R95" s="76"/>
      <c r="S95" s="37"/>
      <c r="T95" s="86">
        <f>tbl_estimated_costs_quantities[[#This Row],[Closure External Openings Walls Windows]]*BOQs!$L$6</f>
        <v>0</v>
      </c>
      <c r="U95" s="76"/>
      <c r="V95" s="37"/>
      <c r="W95" s="86">
        <f>tbl_estimated_costs_quantities[[#This Row],[Plastering Painting]]*BOQs!$L$7</f>
        <v>0</v>
      </c>
      <c r="X95" s="76"/>
      <c r="Y95" s="37"/>
      <c r="Z95" s="86">
        <f>tbl_estimated_costs_quantities[[#This Row],[Floor Repairs]]*BOQs!$L$8</f>
        <v>0</v>
      </c>
      <c r="AA95" s="76"/>
      <c r="AB95" s="37"/>
      <c r="AC95" s="86">
        <f>tbl_estimated_costs_quantities[[#This Row],[Doors Replacement Repair]]*BOQs!$L$9</f>
        <v>0</v>
      </c>
      <c r="AD95" s="76"/>
      <c r="AE95" s="37"/>
      <c r="AF95" s="86">
        <f>tbl_estimated_costs_quantities[[#This Row],[Windows Replacement Repair]]*BOQs!$L$10</f>
        <v>0</v>
      </c>
      <c r="AG95" s="76"/>
      <c r="AH95" s="37"/>
      <c r="AI95" s="86">
        <f>tbl_estimated_costs_quantities[[#This Row],[Bathroom Rehabilitation]]*BOQs!$L$11</f>
        <v>0</v>
      </c>
      <c r="AJ95" s="76"/>
      <c r="AK95" s="37"/>
      <c r="AL95" s="86">
        <f>tbl_estimated_costs_quantities[[#This Row],[Ceramic Tile Works WASH]]*BOQs!$L$12</f>
        <v>0</v>
      </c>
      <c r="AM95" s="76"/>
      <c r="AN95" s="37"/>
      <c r="AO95" s="86">
        <f>tbl_estimated_costs_quantities[[#This Row],[Electrical Repairs Lighting]]*BOQs!$L$13</f>
        <v>0</v>
      </c>
      <c r="AP95" s="76"/>
      <c r="AQ95" s="37"/>
      <c r="AR95" s="86">
        <f>tbl_estimated_costs_quantities[[#This Row],[Roof Insulation Leak Sealing]]*BOQs!$L$14</f>
        <v>0</v>
      </c>
      <c r="AS95" s="76"/>
      <c r="AT95" s="37"/>
      <c r="AU95" s="86">
        <f>tbl_estimated_costs_quantities[[#This Row],[Chimney Duct Cleaning Repair]]*BOQs!$L$15</f>
        <v>0</v>
      </c>
      <c r="AV95" s="76"/>
      <c r="AW95" s="37"/>
      <c r="AX95" s="89">
        <f>tbl_estimated_costs_quantities[[#This Row],[Accessibility Adaptations]]*BOQs!$L$16</f>
        <v>0</v>
      </c>
      <c r="AY95" s="86" t="str">
        <f>IF(tbl_estimated_costs_quantities[[#This Row],[Total cost]]&lt;&gt;0,tbl_estimated_costs_quantities[[#This Row],[Total cost]]/BOQs!$A$1,"")</f>
        <v/>
      </c>
      <c r="AZ95" s="37"/>
      <c r="BA95" s="37"/>
      <c r="BB95" s="37"/>
      <c r="BC95" s="37"/>
      <c r="BD95" s="41"/>
      <c r="BE95" s="37"/>
      <c r="BF95" s="37"/>
      <c r="BG95" s="37"/>
      <c r="BH95" s="41"/>
    </row>
    <row r="96" spans="2:60" ht="25.15" customHeight="1" x14ac:dyDescent="0.25">
      <c r="B96" s="49">
        <v>92</v>
      </c>
      <c r="C96" s="37"/>
      <c r="D96" s="41"/>
      <c r="E96" s="40"/>
      <c r="F96" s="87" t="str">
        <f>IF(tbl_estimated_costs_quantities[[#This Row],[House Code]]&lt;&gt;"",INDEX(tbl_Assessment[],MATCH(tbl_estimated_costs_quantities[[#This Row],[House Code]],tbl_Assessment[House Code],0),3),"")</f>
        <v/>
      </c>
      <c r="G96" s="115" t="str">
        <f>IF(tbl_estimated_costs_quantities[[#This Row],[House Code]]&lt;&gt;"",INDEX(tbl_Assessment[],MATCH(tbl_estimated_costs_quantities[[#This Row],[House Code]],tbl_Assessment[House Code],0),9),"")</f>
        <v/>
      </c>
      <c r="H9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6" s="75"/>
      <c r="J96" s="37"/>
      <c r="K96" s="86">
        <f>tbl_estimated_costs_quantities[[#This Row],[Site Preparation]]*BOQs!$L$3</f>
        <v>0</v>
      </c>
      <c r="L96" s="76"/>
      <c r="M96" s="37"/>
      <c r="N96" s="86">
        <f>tbl_estimated_costs_quantities[[#This Row],[Demolition Removal Unsafe Structures]]*BOQs!$L$4</f>
        <v>0</v>
      </c>
      <c r="O96" s="76"/>
      <c r="P96" s="37"/>
      <c r="Q96" s="86">
        <f>tbl_estimated_costs_quantities[[#This Row],[Concrete Works]]*BOQs!$L$5</f>
        <v>0</v>
      </c>
      <c r="R96" s="76"/>
      <c r="S96" s="37"/>
      <c r="T96" s="86">
        <f>tbl_estimated_costs_quantities[[#This Row],[Closure External Openings Walls Windows]]*BOQs!$L$6</f>
        <v>0</v>
      </c>
      <c r="U96" s="76"/>
      <c r="V96" s="37"/>
      <c r="W96" s="86">
        <f>tbl_estimated_costs_quantities[[#This Row],[Plastering Painting]]*BOQs!$L$7</f>
        <v>0</v>
      </c>
      <c r="X96" s="76"/>
      <c r="Y96" s="37"/>
      <c r="Z96" s="86">
        <f>tbl_estimated_costs_quantities[[#This Row],[Floor Repairs]]*BOQs!$L$8</f>
        <v>0</v>
      </c>
      <c r="AA96" s="76"/>
      <c r="AB96" s="37"/>
      <c r="AC96" s="86">
        <f>tbl_estimated_costs_quantities[[#This Row],[Doors Replacement Repair]]*BOQs!$L$9</f>
        <v>0</v>
      </c>
      <c r="AD96" s="76"/>
      <c r="AE96" s="37"/>
      <c r="AF96" s="86">
        <f>tbl_estimated_costs_quantities[[#This Row],[Windows Replacement Repair]]*BOQs!$L$10</f>
        <v>0</v>
      </c>
      <c r="AG96" s="76"/>
      <c r="AH96" s="37"/>
      <c r="AI96" s="86">
        <f>tbl_estimated_costs_quantities[[#This Row],[Bathroom Rehabilitation]]*BOQs!$L$11</f>
        <v>0</v>
      </c>
      <c r="AJ96" s="76"/>
      <c r="AK96" s="37"/>
      <c r="AL96" s="86">
        <f>tbl_estimated_costs_quantities[[#This Row],[Ceramic Tile Works WASH]]*BOQs!$L$12</f>
        <v>0</v>
      </c>
      <c r="AM96" s="76"/>
      <c r="AN96" s="37"/>
      <c r="AO96" s="86">
        <f>tbl_estimated_costs_quantities[[#This Row],[Electrical Repairs Lighting]]*BOQs!$L$13</f>
        <v>0</v>
      </c>
      <c r="AP96" s="76"/>
      <c r="AQ96" s="37"/>
      <c r="AR96" s="86">
        <f>tbl_estimated_costs_quantities[[#This Row],[Roof Insulation Leak Sealing]]*BOQs!$L$14</f>
        <v>0</v>
      </c>
      <c r="AS96" s="76"/>
      <c r="AT96" s="37"/>
      <c r="AU96" s="86">
        <f>tbl_estimated_costs_quantities[[#This Row],[Chimney Duct Cleaning Repair]]*BOQs!$L$15</f>
        <v>0</v>
      </c>
      <c r="AV96" s="76"/>
      <c r="AW96" s="37"/>
      <c r="AX96" s="89">
        <f>tbl_estimated_costs_quantities[[#This Row],[Accessibility Adaptations]]*BOQs!$L$16</f>
        <v>0</v>
      </c>
      <c r="AY96" s="86" t="str">
        <f>IF(tbl_estimated_costs_quantities[[#This Row],[Total cost]]&lt;&gt;0,tbl_estimated_costs_quantities[[#This Row],[Total cost]]/BOQs!$A$1,"")</f>
        <v/>
      </c>
      <c r="AZ96" s="37"/>
      <c r="BA96" s="37"/>
      <c r="BB96" s="37"/>
      <c r="BC96" s="37"/>
      <c r="BD96" s="41"/>
      <c r="BE96" s="37"/>
      <c r="BF96" s="37"/>
      <c r="BG96" s="37"/>
      <c r="BH96" s="41"/>
    </row>
    <row r="97" spans="2:60" ht="25.15" customHeight="1" x14ac:dyDescent="0.25">
      <c r="B97" s="49">
        <v>93</v>
      </c>
      <c r="C97" s="37"/>
      <c r="D97" s="41"/>
      <c r="E97" s="40"/>
      <c r="F97" s="87" t="str">
        <f>IF(tbl_estimated_costs_quantities[[#This Row],[House Code]]&lt;&gt;"",INDEX(tbl_Assessment[],MATCH(tbl_estimated_costs_quantities[[#This Row],[House Code]],tbl_Assessment[House Code],0),3),"")</f>
        <v/>
      </c>
      <c r="G97" s="115" t="str">
        <f>IF(tbl_estimated_costs_quantities[[#This Row],[House Code]]&lt;&gt;"",INDEX(tbl_Assessment[],MATCH(tbl_estimated_costs_quantities[[#This Row],[House Code]],tbl_Assessment[House Code],0),9),"")</f>
        <v/>
      </c>
      <c r="H9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7" s="75"/>
      <c r="J97" s="37"/>
      <c r="K97" s="86">
        <f>tbl_estimated_costs_quantities[[#This Row],[Site Preparation]]*BOQs!$L$3</f>
        <v>0</v>
      </c>
      <c r="L97" s="76"/>
      <c r="M97" s="37"/>
      <c r="N97" s="86">
        <f>tbl_estimated_costs_quantities[[#This Row],[Demolition Removal Unsafe Structures]]*BOQs!$L$4</f>
        <v>0</v>
      </c>
      <c r="O97" s="76"/>
      <c r="P97" s="37"/>
      <c r="Q97" s="86">
        <f>tbl_estimated_costs_quantities[[#This Row],[Concrete Works]]*BOQs!$L$5</f>
        <v>0</v>
      </c>
      <c r="R97" s="76"/>
      <c r="S97" s="37"/>
      <c r="T97" s="86">
        <f>tbl_estimated_costs_quantities[[#This Row],[Closure External Openings Walls Windows]]*BOQs!$L$6</f>
        <v>0</v>
      </c>
      <c r="U97" s="76"/>
      <c r="V97" s="37"/>
      <c r="W97" s="86">
        <f>tbl_estimated_costs_quantities[[#This Row],[Plastering Painting]]*BOQs!$L$7</f>
        <v>0</v>
      </c>
      <c r="X97" s="76"/>
      <c r="Y97" s="37"/>
      <c r="Z97" s="86">
        <f>tbl_estimated_costs_quantities[[#This Row],[Floor Repairs]]*BOQs!$L$8</f>
        <v>0</v>
      </c>
      <c r="AA97" s="76"/>
      <c r="AB97" s="37"/>
      <c r="AC97" s="86">
        <f>tbl_estimated_costs_quantities[[#This Row],[Doors Replacement Repair]]*BOQs!$L$9</f>
        <v>0</v>
      </c>
      <c r="AD97" s="76"/>
      <c r="AE97" s="37"/>
      <c r="AF97" s="86">
        <f>tbl_estimated_costs_quantities[[#This Row],[Windows Replacement Repair]]*BOQs!$L$10</f>
        <v>0</v>
      </c>
      <c r="AG97" s="76"/>
      <c r="AH97" s="37"/>
      <c r="AI97" s="86">
        <f>tbl_estimated_costs_quantities[[#This Row],[Bathroom Rehabilitation]]*BOQs!$L$11</f>
        <v>0</v>
      </c>
      <c r="AJ97" s="76"/>
      <c r="AK97" s="37"/>
      <c r="AL97" s="86">
        <f>tbl_estimated_costs_quantities[[#This Row],[Ceramic Tile Works WASH]]*BOQs!$L$12</f>
        <v>0</v>
      </c>
      <c r="AM97" s="76"/>
      <c r="AN97" s="37"/>
      <c r="AO97" s="86">
        <f>tbl_estimated_costs_quantities[[#This Row],[Electrical Repairs Lighting]]*BOQs!$L$13</f>
        <v>0</v>
      </c>
      <c r="AP97" s="76"/>
      <c r="AQ97" s="37"/>
      <c r="AR97" s="86">
        <f>tbl_estimated_costs_quantities[[#This Row],[Roof Insulation Leak Sealing]]*BOQs!$L$14</f>
        <v>0</v>
      </c>
      <c r="AS97" s="76"/>
      <c r="AT97" s="37"/>
      <c r="AU97" s="86">
        <f>tbl_estimated_costs_quantities[[#This Row],[Chimney Duct Cleaning Repair]]*BOQs!$L$15</f>
        <v>0</v>
      </c>
      <c r="AV97" s="76"/>
      <c r="AW97" s="37"/>
      <c r="AX97" s="89">
        <f>tbl_estimated_costs_quantities[[#This Row],[Accessibility Adaptations]]*BOQs!$L$16</f>
        <v>0</v>
      </c>
      <c r="AY97" s="86" t="str">
        <f>IF(tbl_estimated_costs_quantities[[#This Row],[Total cost]]&lt;&gt;0,tbl_estimated_costs_quantities[[#This Row],[Total cost]]/BOQs!$A$1,"")</f>
        <v/>
      </c>
      <c r="AZ97" s="37"/>
      <c r="BA97" s="37"/>
      <c r="BB97" s="37"/>
      <c r="BC97" s="37"/>
      <c r="BD97" s="41"/>
      <c r="BE97" s="37"/>
      <c r="BF97" s="37"/>
      <c r="BG97" s="37"/>
      <c r="BH97" s="41"/>
    </row>
    <row r="98" spans="2:60" ht="25.15" customHeight="1" x14ac:dyDescent="0.25">
      <c r="B98" s="49">
        <v>94</v>
      </c>
      <c r="C98" s="37"/>
      <c r="D98" s="41"/>
      <c r="E98" s="40"/>
      <c r="F98" s="87" t="str">
        <f>IF(tbl_estimated_costs_quantities[[#This Row],[House Code]]&lt;&gt;"",INDEX(tbl_Assessment[],MATCH(tbl_estimated_costs_quantities[[#This Row],[House Code]],tbl_Assessment[House Code],0),3),"")</f>
        <v/>
      </c>
      <c r="G98" s="115" t="str">
        <f>IF(tbl_estimated_costs_quantities[[#This Row],[House Code]]&lt;&gt;"",INDEX(tbl_Assessment[],MATCH(tbl_estimated_costs_quantities[[#This Row],[House Code]],tbl_Assessment[House Code],0),9),"")</f>
        <v/>
      </c>
      <c r="H9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8" s="75"/>
      <c r="J98" s="37"/>
      <c r="K98" s="86">
        <f>tbl_estimated_costs_quantities[[#This Row],[Site Preparation]]*BOQs!$L$3</f>
        <v>0</v>
      </c>
      <c r="L98" s="76"/>
      <c r="M98" s="37"/>
      <c r="N98" s="86">
        <f>tbl_estimated_costs_quantities[[#This Row],[Demolition Removal Unsafe Structures]]*BOQs!$L$4</f>
        <v>0</v>
      </c>
      <c r="O98" s="76"/>
      <c r="P98" s="37"/>
      <c r="Q98" s="86">
        <f>tbl_estimated_costs_quantities[[#This Row],[Concrete Works]]*BOQs!$L$5</f>
        <v>0</v>
      </c>
      <c r="R98" s="76"/>
      <c r="S98" s="37"/>
      <c r="T98" s="86">
        <f>tbl_estimated_costs_quantities[[#This Row],[Closure External Openings Walls Windows]]*BOQs!$L$6</f>
        <v>0</v>
      </c>
      <c r="U98" s="76"/>
      <c r="V98" s="37"/>
      <c r="W98" s="86">
        <f>tbl_estimated_costs_quantities[[#This Row],[Plastering Painting]]*BOQs!$L$7</f>
        <v>0</v>
      </c>
      <c r="X98" s="76"/>
      <c r="Y98" s="37"/>
      <c r="Z98" s="86">
        <f>tbl_estimated_costs_quantities[[#This Row],[Floor Repairs]]*BOQs!$L$8</f>
        <v>0</v>
      </c>
      <c r="AA98" s="76"/>
      <c r="AB98" s="37"/>
      <c r="AC98" s="86">
        <f>tbl_estimated_costs_quantities[[#This Row],[Doors Replacement Repair]]*BOQs!$L$9</f>
        <v>0</v>
      </c>
      <c r="AD98" s="76"/>
      <c r="AE98" s="37"/>
      <c r="AF98" s="86">
        <f>tbl_estimated_costs_quantities[[#This Row],[Windows Replacement Repair]]*BOQs!$L$10</f>
        <v>0</v>
      </c>
      <c r="AG98" s="76"/>
      <c r="AH98" s="37"/>
      <c r="AI98" s="86">
        <f>tbl_estimated_costs_quantities[[#This Row],[Bathroom Rehabilitation]]*BOQs!$L$11</f>
        <v>0</v>
      </c>
      <c r="AJ98" s="76"/>
      <c r="AK98" s="37"/>
      <c r="AL98" s="86">
        <f>tbl_estimated_costs_quantities[[#This Row],[Ceramic Tile Works WASH]]*BOQs!$L$12</f>
        <v>0</v>
      </c>
      <c r="AM98" s="76"/>
      <c r="AN98" s="37"/>
      <c r="AO98" s="86">
        <f>tbl_estimated_costs_quantities[[#This Row],[Electrical Repairs Lighting]]*BOQs!$L$13</f>
        <v>0</v>
      </c>
      <c r="AP98" s="76"/>
      <c r="AQ98" s="37"/>
      <c r="AR98" s="86">
        <f>tbl_estimated_costs_quantities[[#This Row],[Roof Insulation Leak Sealing]]*BOQs!$L$14</f>
        <v>0</v>
      </c>
      <c r="AS98" s="76"/>
      <c r="AT98" s="37"/>
      <c r="AU98" s="86">
        <f>tbl_estimated_costs_quantities[[#This Row],[Chimney Duct Cleaning Repair]]*BOQs!$L$15</f>
        <v>0</v>
      </c>
      <c r="AV98" s="76"/>
      <c r="AW98" s="37"/>
      <c r="AX98" s="89">
        <f>tbl_estimated_costs_quantities[[#This Row],[Accessibility Adaptations]]*BOQs!$L$16</f>
        <v>0</v>
      </c>
      <c r="AY98" s="86" t="str">
        <f>IF(tbl_estimated_costs_quantities[[#This Row],[Total cost]]&lt;&gt;0,tbl_estimated_costs_quantities[[#This Row],[Total cost]]/BOQs!$A$1,"")</f>
        <v/>
      </c>
      <c r="AZ98" s="37"/>
      <c r="BA98" s="37"/>
      <c r="BB98" s="37"/>
      <c r="BC98" s="37"/>
      <c r="BD98" s="41"/>
      <c r="BE98" s="37"/>
      <c r="BF98" s="37"/>
      <c r="BG98" s="37"/>
      <c r="BH98" s="41"/>
    </row>
    <row r="99" spans="2:60" ht="25.15" customHeight="1" x14ac:dyDescent="0.25">
      <c r="B99" s="49">
        <v>95</v>
      </c>
      <c r="C99" s="37"/>
      <c r="D99" s="41"/>
      <c r="E99" s="40"/>
      <c r="F99" s="87" t="str">
        <f>IF(tbl_estimated_costs_quantities[[#This Row],[House Code]]&lt;&gt;"",INDEX(tbl_Assessment[],MATCH(tbl_estimated_costs_quantities[[#This Row],[House Code]],tbl_Assessment[House Code],0),3),"")</f>
        <v/>
      </c>
      <c r="G99" s="115" t="str">
        <f>IF(tbl_estimated_costs_quantities[[#This Row],[House Code]]&lt;&gt;"",INDEX(tbl_Assessment[],MATCH(tbl_estimated_costs_quantities[[#This Row],[House Code]],tbl_Assessment[House Code],0),9),"")</f>
        <v/>
      </c>
      <c r="H9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99" s="75"/>
      <c r="J99" s="37"/>
      <c r="K99" s="86">
        <f>tbl_estimated_costs_quantities[[#This Row],[Site Preparation]]*BOQs!$L$3</f>
        <v>0</v>
      </c>
      <c r="L99" s="76"/>
      <c r="M99" s="37"/>
      <c r="N99" s="86">
        <f>tbl_estimated_costs_quantities[[#This Row],[Demolition Removal Unsafe Structures]]*BOQs!$L$4</f>
        <v>0</v>
      </c>
      <c r="O99" s="76"/>
      <c r="P99" s="37"/>
      <c r="Q99" s="86">
        <f>tbl_estimated_costs_quantities[[#This Row],[Concrete Works]]*BOQs!$L$5</f>
        <v>0</v>
      </c>
      <c r="R99" s="76"/>
      <c r="S99" s="37"/>
      <c r="T99" s="86">
        <f>tbl_estimated_costs_quantities[[#This Row],[Closure External Openings Walls Windows]]*BOQs!$L$6</f>
        <v>0</v>
      </c>
      <c r="U99" s="76"/>
      <c r="V99" s="37"/>
      <c r="W99" s="86">
        <f>tbl_estimated_costs_quantities[[#This Row],[Plastering Painting]]*BOQs!$L$7</f>
        <v>0</v>
      </c>
      <c r="X99" s="76"/>
      <c r="Y99" s="37"/>
      <c r="Z99" s="86">
        <f>tbl_estimated_costs_quantities[[#This Row],[Floor Repairs]]*BOQs!$L$8</f>
        <v>0</v>
      </c>
      <c r="AA99" s="76"/>
      <c r="AB99" s="37"/>
      <c r="AC99" s="86">
        <f>tbl_estimated_costs_quantities[[#This Row],[Doors Replacement Repair]]*BOQs!$L$9</f>
        <v>0</v>
      </c>
      <c r="AD99" s="76"/>
      <c r="AE99" s="37"/>
      <c r="AF99" s="86">
        <f>tbl_estimated_costs_quantities[[#This Row],[Windows Replacement Repair]]*BOQs!$L$10</f>
        <v>0</v>
      </c>
      <c r="AG99" s="76"/>
      <c r="AH99" s="37"/>
      <c r="AI99" s="86">
        <f>tbl_estimated_costs_quantities[[#This Row],[Bathroom Rehabilitation]]*BOQs!$L$11</f>
        <v>0</v>
      </c>
      <c r="AJ99" s="76"/>
      <c r="AK99" s="37"/>
      <c r="AL99" s="86">
        <f>tbl_estimated_costs_quantities[[#This Row],[Ceramic Tile Works WASH]]*BOQs!$L$12</f>
        <v>0</v>
      </c>
      <c r="AM99" s="76"/>
      <c r="AN99" s="37"/>
      <c r="AO99" s="86">
        <f>tbl_estimated_costs_quantities[[#This Row],[Electrical Repairs Lighting]]*BOQs!$L$13</f>
        <v>0</v>
      </c>
      <c r="AP99" s="76"/>
      <c r="AQ99" s="37"/>
      <c r="AR99" s="86">
        <f>tbl_estimated_costs_quantities[[#This Row],[Roof Insulation Leak Sealing]]*BOQs!$L$14</f>
        <v>0</v>
      </c>
      <c r="AS99" s="76"/>
      <c r="AT99" s="37"/>
      <c r="AU99" s="86">
        <f>tbl_estimated_costs_quantities[[#This Row],[Chimney Duct Cleaning Repair]]*BOQs!$L$15</f>
        <v>0</v>
      </c>
      <c r="AV99" s="76"/>
      <c r="AW99" s="37"/>
      <c r="AX99" s="89">
        <f>tbl_estimated_costs_quantities[[#This Row],[Accessibility Adaptations]]*BOQs!$L$16</f>
        <v>0</v>
      </c>
      <c r="AY99" s="86" t="str">
        <f>IF(tbl_estimated_costs_quantities[[#This Row],[Total cost]]&lt;&gt;0,tbl_estimated_costs_quantities[[#This Row],[Total cost]]/BOQs!$A$1,"")</f>
        <v/>
      </c>
      <c r="AZ99" s="37"/>
      <c r="BA99" s="37"/>
      <c r="BB99" s="37"/>
      <c r="BC99" s="37"/>
      <c r="BD99" s="41"/>
      <c r="BE99" s="37"/>
      <c r="BF99" s="37"/>
      <c r="BG99" s="37"/>
      <c r="BH99" s="41"/>
    </row>
    <row r="100" spans="2:60" ht="25.15" customHeight="1" x14ac:dyDescent="0.25">
      <c r="B100" s="49">
        <v>96</v>
      </c>
      <c r="C100" s="37"/>
      <c r="D100" s="41"/>
      <c r="E100" s="40"/>
      <c r="F100" s="87" t="str">
        <f>IF(tbl_estimated_costs_quantities[[#This Row],[House Code]]&lt;&gt;"",INDEX(tbl_Assessment[],MATCH(tbl_estimated_costs_quantities[[#This Row],[House Code]],tbl_Assessment[House Code],0),3),"")</f>
        <v/>
      </c>
      <c r="G100" s="115" t="str">
        <f>IF(tbl_estimated_costs_quantities[[#This Row],[House Code]]&lt;&gt;"",INDEX(tbl_Assessment[],MATCH(tbl_estimated_costs_quantities[[#This Row],[House Code]],tbl_Assessment[House Code],0),9),"")</f>
        <v/>
      </c>
      <c r="H10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0" s="75"/>
      <c r="J100" s="37"/>
      <c r="K100" s="86">
        <f>tbl_estimated_costs_quantities[[#This Row],[Site Preparation]]*BOQs!$L$3</f>
        <v>0</v>
      </c>
      <c r="L100" s="76"/>
      <c r="M100" s="37"/>
      <c r="N100" s="86">
        <f>tbl_estimated_costs_quantities[[#This Row],[Demolition Removal Unsafe Structures]]*BOQs!$L$4</f>
        <v>0</v>
      </c>
      <c r="O100" s="76"/>
      <c r="P100" s="37"/>
      <c r="Q100" s="86">
        <f>tbl_estimated_costs_quantities[[#This Row],[Concrete Works]]*BOQs!$L$5</f>
        <v>0</v>
      </c>
      <c r="R100" s="76"/>
      <c r="S100" s="37"/>
      <c r="T100" s="86">
        <f>tbl_estimated_costs_quantities[[#This Row],[Closure External Openings Walls Windows]]*BOQs!$L$6</f>
        <v>0</v>
      </c>
      <c r="U100" s="76"/>
      <c r="V100" s="37"/>
      <c r="W100" s="86">
        <f>tbl_estimated_costs_quantities[[#This Row],[Plastering Painting]]*BOQs!$L$7</f>
        <v>0</v>
      </c>
      <c r="X100" s="76"/>
      <c r="Y100" s="37"/>
      <c r="Z100" s="86">
        <f>tbl_estimated_costs_quantities[[#This Row],[Floor Repairs]]*BOQs!$L$8</f>
        <v>0</v>
      </c>
      <c r="AA100" s="76"/>
      <c r="AB100" s="37"/>
      <c r="AC100" s="86">
        <f>tbl_estimated_costs_quantities[[#This Row],[Doors Replacement Repair]]*BOQs!$L$9</f>
        <v>0</v>
      </c>
      <c r="AD100" s="76"/>
      <c r="AE100" s="37"/>
      <c r="AF100" s="86">
        <f>tbl_estimated_costs_quantities[[#This Row],[Windows Replacement Repair]]*BOQs!$L$10</f>
        <v>0</v>
      </c>
      <c r="AG100" s="76"/>
      <c r="AH100" s="37"/>
      <c r="AI100" s="86">
        <f>tbl_estimated_costs_quantities[[#This Row],[Bathroom Rehabilitation]]*BOQs!$L$11</f>
        <v>0</v>
      </c>
      <c r="AJ100" s="76"/>
      <c r="AK100" s="37"/>
      <c r="AL100" s="86">
        <f>tbl_estimated_costs_quantities[[#This Row],[Ceramic Tile Works WASH]]*BOQs!$L$12</f>
        <v>0</v>
      </c>
      <c r="AM100" s="76"/>
      <c r="AN100" s="37"/>
      <c r="AO100" s="86">
        <f>tbl_estimated_costs_quantities[[#This Row],[Electrical Repairs Lighting]]*BOQs!$L$13</f>
        <v>0</v>
      </c>
      <c r="AP100" s="76"/>
      <c r="AQ100" s="37"/>
      <c r="AR100" s="86">
        <f>tbl_estimated_costs_quantities[[#This Row],[Roof Insulation Leak Sealing]]*BOQs!$L$14</f>
        <v>0</v>
      </c>
      <c r="AS100" s="76"/>
      <c r="AT100" s="37"/>
      <c r="AU100" s="86">
        <f>tbl_estimated_costs_quantities[[#This Row],[Chimney Duct Cleaning Repair]]*BOQs!$L$15</f>
        <v>0</v>
      </c>
      <c r="AV100" s="76"/>
      <c r="AW100" s="37"/>
      <c r="AX100" s="89">
        <f>tbl_estimated_costs_quantities[[#This Row],[Accessibility Adaptations]]*BOQs!$L$16</f>
        <v>0</v>
      </c>
      <c r="AY100" s="86" t="str">
        <f>IF(tbl_estimated_costs_quantities[[#This Row],[Total cost]]&lt;&gt;0,tbl_estimated_costs_quantities[[#This Row],[Total cost]]/BOQs!$A$1,"")</f>
        <v/>
      </c>
      <c r="AZ100" s="37"/>
      <c r="BA100" s="37"/>
      <c r="BB100" s="37"/>
      <c r="BC100" s="37"/>
      <c r="BD100" s="41"/>
      <c r="BE100" s="37"/>
      <c r="BF100" s="37"/>
      <c r="BG100" s="37"/>
      <c r="BH100" s="41"/>
    </row>
    <row r="101" spans="2:60" ht="25.15" customHeight="1" x14ac:dyDescent="0.25">
      <c r="B101" s="49">
        <v>97</v>
      </c>
      <c r="C101" s="37"/>
      <c r="D101" s="41"/>
      <c r="E101" s="40"/>
      <c r="F101" s="87" t="str">
        <f>IF(tbl_estimated_costs_quantities[[#This Row],[House Code]]&lt;&gt;"",INDEX(tbl_Assessment[],MATCH(tbl_estimated_costs_quantities[[#This Row],[House Code]],tbl_Assessment[House Code],0),3),"")</f>
        <v/>
      </c>
      <c r="G101" s="115" t="str">
        <f>IF(tbl_estimated_costs_quantities[[#This Row],[House Code]]&lt;&gt;"",INDEX(tbl_Assessment[],MATCH(tbl_estimated_costs_quantities[[#This Row],[House Code]],tbl_Assessment[House Code],0),9),"")</f>
        <v/>
      </c>
      <c r="H10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1" s="75"/>
      <c r="J101" s="37"/>
      <c r="K101" s="86">
        <f>tbl_estimated_costs_quantities[[#This Row],[Site Preparation]]*BOQs!$L$3</f>
        <v>0</v>
      </c>
      <c r="L101" s="76"/>
      <c r="M101" s="37"/>
      <c r="N101" s="86">
        <f>tbl_estimated_costs_quantities[[#This Row],[Demolition Removal Unsafe Structures]]*BOQs!$L$4</f>
        <v>0</v>
      </c>
      <c r="O101" s="76"/>
      <c r="P101" s="37"/>
      <c r="Q101" s="86">
        <f>tbl_estimated_costs_quantities[[#This Row],[Concrete Works]]*BOQs!$L$5</f>
        <v>0</v>
      </c>
      <c r="R101" s="76"/>
      <c r="S101" s="37"/>
      <c r="T101" s="86">
        <f>tbl_estimated_costs_quantities[[#This Row],[Closure External Openings Walls Windows]]*BOQs!$L$6</f>
        <v>0</v>
      </c>
      <c r="U101" s="76"/>
      <c r="V101" s="37"/>
      <c r="W101" s="86">
        <f>tbl_estimated_costs_quantities[[#This Row],[Plastering Painting]]*BOQs!$L$7</f>
        <v>0</v>
      </c>
      <c r="X101" s="76"/>
      <c r="Y101" s="37"/>
      <c r="Z101" s="86">
        <f>tbl_estimated_costs_quantities[[#This Row],[Floor Repairs]]*BOQs!$L$8</f>
        <v>0</v>
      </c>
      <c r="AA101" s="76"/>
      <c r="AB101" s="37"/>
      <c r="AC101" s="86">
        <f>tbl_estimated_costs_quantities[[#This Row],[Doors Replacement Repair]]*BOQs!$L$9</f>
        <v>0</v>
      </c>
      <c r="AD101" s="76"/>
      <c r="AE101" s="37"/>
      <c r="AF101" s="86">
        <f>tbl_estimated_costs_quantities[[#This Row],[Windows Replacement Repair]]*BOQs!$L$10</f>
        <v>0</v>
      </c>
      <c r="AG101" s="76"/>
      <c r="AH101" s="37"/>
      <c r="AI101" s="86">
        <f>tbl_estimated_costs_quantities[[#This Row],[Bathroom Rehabilitation]]*BOQs!$L$11</f>
        <v>0</v>
      </c>
      <c r="AJ101" s="76"/>
      <c r="AK101" s="37"/>
      <c r="AL101" s="86">
        <f>tbl_estimated_costs_quantities[[#This Row],[Ceramic Tile Works WASH]]*BOQs!$L$12</f>
        <v>0</v>
      </c>
      <c r="AM101" s="76"/>
      <c r="AN101" s="37"/>
      <c r="AO101" s="86">
        <f>tbl_estimated_costs_quantities[[#This Row],[Electrical Repairs Lighting]]*BOQs!$L$13</f>
        <v>0</v>
      </c>
      <c r="AP101" s="76"/>
      <c r="AQ101" s="37"/>
      <c r="AR101" s="86">
        <f>tbl_estimated_costs_quantities[[#This Row],[Roof Insulation Leak Sealing]]*BOQs!$L$14</f>
        <v>0</v>
      </c>
      <c r="AS101" s="76"/>
      <c r="AT101" s="37"/>
      <c r="AU101" s="86">
        <f>tbl_estimated_costs_quantities[[#This Row],[Chimney Duct Cleaning Repair]]*BOQs!$L$15</f>
        <v>0</v>
      </c>
      <c r="AV101" s="76"/>
      <c r="AW101" s="37"/>
      <c r="AX101" s="89">
        <f>tbl_estimated_costs_quantities[[#This Row],[Accessibility Adaptations]]*BOQs!$L$16</f>
        <v>0</v>
      </c>
      <c r="AY101" s="86" t="str">
        <f>IF(tbl_estimated_costs_quantities[[#This Row],[Total cost]]&lt;&gt;0,tbl_estimated_costs_quantities[[#This Row],[Total cost]]/BOQs!$A$1,"")</f>
        <v/>
      </c>
      <c r="AZ101" s="37"/>
      <c r="BA101" s="37"/>
      <c r="BB101" s="37"/>
      <c r="BC101" s="37"/>
      <c r="BD101" s="41"/>
      <c r="BE101" s="37"/>
      <c r="BF101" s="37"/>
      <c r="BG101" s="37"/>
      <c r="BH101" s="41"/>
    </row>
    <row r="102" spans="2:60" ht="25.15" customHeight="1" x14ac:dyDescent="0.25">
      <c r="B102" s="49">
        <v>98</v>
      </c>
      <c r="C102" s="37"/>
      <c r="D102" s="41"/>
      <c r="E102" s="40"/>
      <c r="F102" s="87" t="str">
        <f>IF(tbl_estimated_costs_quantities[[#This Row],[House Code]]&lt;&gt;"",INDEX(tbl_Assessment[],MATCH(tbl_estimated_costs_quantities[[#This Row],[House Code]],tbl_Assessment[House Code],0),3),"")</f>
        <v/>
      </c>
      <c r="G102" s="115" t="str">
        <f>IF(tbl_estimated_costs_quantities[[#This Row],[House Code]]&lt;&gt;"",INDEX(tbl_Assessment[],MATCH(tbl_estimated_costs_quantities[[#This Row],[House Code]],tbl_Assessment[House Code],0),9),"")</f>
        <v/>
      </c>
      <c r="H10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2" s="75"/>
      <c r="J102" s="37"/>
      <c r="K102" s="86">
        <f>tbl_estimated_costs_quantities[[#This Row],[Site Preparation]]*BOQs!$L$3</f>
        <v>0</v>
      </c>
      <c r="L102" s="76"/>
      <c r="M102" s="37"/>
      <c r="N102" s="86">
        <f>tbl_estimated_costs_quantities[[#This Row],[Demolition Removal Unsafe Structures]]*BOQs!$L$4</f>
        <v>0</v>
      </c>
      <c r="O102" s="76"/>
      <c r="P102" s="37"/>
      <c r="Q102" s="86">
        <f>tbl_estimated_costs_quantities[[#This Row],[Concrete Works]]*BOQs!$L$5</f>
        <v>0</v>
      </c>
      <c r="R102" s="76"/>
      <c r="S102" s="37"/>
      <c r="T102" s="86">
        <f>tbl_estimated_costs_quantities[[#This Row],[Closure External Openings Walls Windows]]*BOQs!$L$6</f>
        <v>0</v>
      </c>
      <c r="U102" s="76"/>
      <c r="V102" s="37"/>
      <c r="W102" s="86">
        <f>tbl_estimated_costs_quantities[[#This Row],[Plastering Painting]]*BOQs!$L$7</f>
        <v>0</v>
      </c>
      <c r="X102" s="76"/>
      <c r="Y102" s="37"/>
      <c r="Z102" s="86">
        <f>tbl_estimated_costs_quantities[[#This Row],[Floor Repairs]]*BOQs!$L$8</f>
        <v>0</v>
      </c>
      <c r="AA102" s="76"/>
      <c r="AB102" s="37"/>
      <c r="AC102" s="86">
        <f>tbl_estimated_costs_quantities[[#This Row],[Doors Replacement Repair]]*BOQs!$L$9</f>
        <v>0</v>
      </c>
      <c r="AD102" s="76"/>
      <c r="AE102" s="37"/>
      <c r="AF102" s="86">
        <f>tbl_estimated_costs_quantities[[#This Row],[Windows Replacement Repair]]*BOQs!$L$10</f>
        <v>0</v>
      </c>
      <c r="AG102" s="76"/>
      <c r="AH102" s="37"/>
      <c r="AI102" s="86">
        <f>tbl_estimated_costs_quantities[[#This Row],[Bathroom Rehabilitation]]*BOQs!$L$11</f>
        <v>0</v>
      </c>
      <c r="AJ102" s="76"/>
      <c r="AK102" s="37"/>
      <c r="AL102" s="86">
        <f>tbl_estimated_costs_quantities[[#This Row],[Ceramic Tile Works WASH]]*BOQs!$L$12</f>
        <v>0</v>
      </c>
      <c r="AM102" s="76"/>
      <c r="AN102" s="37"/>
      <c r="AO102" s="86">
        <f>tbl_estimated_costs_quantities[[#This Row],[Electrical Repairs Lighting]]*BOQs!$L$13</f>
        <v>0</v>
      </c>
      <c r="AP102" s="76"/>
      <c r="AQ102" s="37"/>
      <c r="AR102" s="86">
        <f>tbl_estimated_costs_quantities[[#This Row],[Roof Insulation Leak Sealing]]*BOQs!$L$14</f>
        <v>0</v>
      </c>
      <c r="AS102" s="76"/>
      <c r="AT102" s="37"/>
      <c r="AU102" s="86">
        <f>tbl_estimated_costs_quantities[[#This Row],[Chimney Duct Cleaning Repair]]*BOQs!$L$15</f>
        <v>0</v>
      </c>
      <c r="AV102" s="76"/>
      <c r="AW102" s="37"/>
      <c r="AX102" s="89">
        <f>tbl_estimated_costs_quantities[[#This Row],[Accessibility Adaptations]]*BOQs!$L$16</f>
        <v>0</v>
      </c>
      <c r="AY102" s="86" t="str">
        <f>IF(tbl_estimated_costs_quantities[[#This Row],[Total cost]]&lt;&gt;0,tbl_estimated_costs_quantities[[#This Row],[Total cost]]/BOQs!$A$1,"")</f>
        <v/>
      </c>
      <c r="AZ102" s="37"/>
      <c r="BA102" s="37"/>
      <c r="BB102" s="37"/>
      <c r="BC102" s="37"/>
      <c r="BD102" s="41"/>
      <c r="BE102" s="37"/>
      <c r="BF102" s="37"/>
      <c r="BG102" s="37"/>
      <c r="BH102" s="41"/>
    </row>
    <row r="103" spans="2:60" ht="25.15" customHeight="1" x14ac:dyDescent="0.25">
      <c r="B103" s="49">
        <v>99</v>
      </c>
      <c r="C103" s="37"/>
      <c r="D103" s="41"/>
      <c r="E103" s="40"/>
      <c r="F103" s="87" t="str">
        <f>IF(tbl_estimated_costs_quantities[[#This Row],[House Code]]&lt;&gt;"",INDEX(tbl_Assessment[],MATCH(tbl_estimated_costs_quantities[[#This Row],[House Code]],tbl_Assessment[House Code],0),3),"")</f>
        <v/>
      </c>
      <c r="G103" s="115" t="str">
        <f>IF(tbl_estimated_costs_quantities[[#This Row],[House Code]]&lt;&gt;"",INDEX(tbl_Assessment[],MATCH(tbl_estimated_costs_quantities[[#This Row],[House Code]],tbl_Assessment[House Code],0),9),"")</f>
        <v/>
      </c>
      <c r="H10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3" s="75"/>
      <c r="J103" s="37"/>
      <c r="K103" s="86">
        <f>tbl_estimated_costs_quantities[[#This Row],[Site Preparation]]*BOQs!$L$3</f>
        <v>0</v>
      </c>
      <c r="L103" s="76"/>
      <c r="M103" s="37"/>
      <c r="N103" s="86">
        <f>tbl_estimated_costs_quantities[[#This Row],[Demolition Removal Unsafe Structures]]*BOQs!$L$4</f>
        <v>0</v>
      </c>
      <c r="O103" s="76"/>
      <c r="P103" s="37"/>
      <c r="Q103" s="86">
        <f>tbl_estimated_costs_quantities[[#This Row],[Concrete Works]]*BOQs!$L$5</f>
        <v>0</v>
      </c>
      <c r="R103" s="76"/>
      <c r="S103" s="37"/>
      <c r="T103" s="86">
        <f>tbl_estimated_costs_quantities[[#This Row],[Closure External Openings Walls Windows]]*BOQs!$L$6</f>
        <v>0</v>
      </c>
      <c r="U103" s="76"/>
      <c r="V103" s="37"/>
      <c r="W103" s="86">
        <f>tbl_estimated_costs_quantities[[#This Row],[Plastering Painting]]*BOQs!$L$7</f>
        <v>0</v>
      </c>
      <c r="X103" s="76"/>
      <c r="Y103" s="37"/>
      <c r="Z103" s="86">
        <f>tbl_estimated_costs_quantities[[#This Row],[Floor Repairs]]*BOQs!$L$8</f>
        <v>0</v>
      </c>
      <c r="AA103" s="76"/>
      <c r="AB103" s="37"/>
      <c r="AC103" s="86">
        <f>tbl_estimated_costs_quantities[[#This Row],[Doors Replacement Repair]]*BOQs!$L$9</f>
        <v>0</v>
      </c>
      <c r="AD103" s="76"/>
      <c r="AE103" s="37"/>
      <c r="AF103" s="86">
        <f>tbl_estimated_costs_quantities[[#This Row],[Windows Replacement Repair]]*BOQs!$L$10</f>
        <v>0</v>
      </c>
      <c r="AG103" s="76"/>
      <c r="AH103" s="37"/>
      <c r="AI103" s="86">
        <f>tbl_estimated_costs_quantities[[#This Row],[Bathroom Rehabilitation]]*BOQs!$L$11</f>
        <v>0</v>
      </c>
      <c r="AJ103" s="76"/>
      <c r="AK103" s="37"/>
      <c r="AL103" s="86">
        <f>tbl_estimated_costs_quantities[[#This Row],[Ceramic Tile Works WASH]]*BOQs!$L$12</f>
        <v>0</v>
      </c>
      <c r="AM103" s="76"/>
      <c r="AN103" s="37"/>
      <c r="AO103" s="86">
        <f>tbl_estimated_costs_quantities[[#This Row],[Electrical Repairs Lighting]]*BOQs!$L$13</f>
        <v>0</v>
      </c>
      <c r="AP103" s="76"/>
      <c r="AQ103" s="37"/>
      <c r="AR103" s="86">
        <f>tbl_estimated_costs_quantities[[#This Row],[Roof Insulation Leak Sealing]]*BOQs!$L$14</f>
        <v>0</v>
      </c>
      <c r="AS103" s="76"/>
      <c r="AT103" s="37"/>
      <c r="AU103" s="86">
        <f>tbl_estimated_costs_quantities[[#This Row],[Chimney Duct Cleaning Repair]]*BOQs!$L$15</f>
        <v>0</v>
      </c>
      <c r="AV103" s="76"/>
      <c r="AW103" s="37"/>
      <c r="AX103" s="89">
        <f>tbl_estimated_costs_quantities[[#This Row],[Accessibility Adaptations]]*BOQs!$L$16</f>
        <v>0</v>
      </c>
      <c r="AY103" s="86" t="str">
        <f>IF(tbl_estimated_costs_quantities[[#This Row],[Total cost]]&lt;&gt;0,tbl_estimated_costs_quantities[[#This Row],[Total cost]]/BOQs!$A$1,"")</f>
        <v/>
      </c>
      <c r="AZ103" s="37"/>
      <c r="BA103" s="37"/>
      <c r="BB103" s="37"/>
      <c r="BC103" s="37"/>
      <c r="BD103" s="41"/>
      <c r="BE103" s="37"/>
      <c r="BF103" s="37"/>
      <c r="BG103" s="37"/>
      <c r="BH103" s="41"/>
    </row>
    <row r="104" spans="2:60" ht="25.15" customHeight="1" x14ac:dyDescent="0.25">
      <c r="B104" s="49">
        <v>100</v>
      </c>
      <c r="C104" s="37"/>
      <c r="D104" s="41"/>
      <c r="E104" s="40"/>
      <c r="F104" s="87" t="str">
        <f>IF(tbl_estimated_costs_quantities[[#This Row],[House Code]]&lt;&gt;"",INDEX(tbl_Assessment[],MATCH(tbl_estimated_costs_quantities[[#This Row],[House Code]],tbl_Assessment[House Code],0),3),"")</f>
        <v/>
      </c>
      <c r="G104" s="115" t="str">
        <f>IF(tbl_estimated_costs_quantities[[#This Row],[House Code]]&lt;&gt;"",INDEX(tbl_Assessment[],MATCH(tbl_estimated_costs_quantities[[#This Row],[House Code]],tbl_Assessment[House Code],0),9),"")</f>
        <v/>
      </c>
      <c r="H10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4" s="75"/>
      <c r="J104" s="37"/>
      <c r="K104" s="86">
        <f>tbl_estimated_costs_quantities[[#This Row],[Site Preparation]]*BOQs!$L$3</f>
        <v>0</v>
      </c>
      <c r="L104" s="76"/>
      <c r="M104" s="37"/>
      <c r="N104" s="86">
        <f>tbl_estimated_costs_quantities[[#This Row],[Demolition Removal Unsafe Structures]]*BOQs!$L$4</f>
        <v>0</v>
      </c>
      <c r="O104" s="76"/>
      <c r="P104" s="37"/>
      <c r="Q104" s="86">
        <f>tbl_estimated_costs_quantities[[#This Row],[Concrete Works]]*BOQs!$L$5</f>
        <v>0</v>
      </c>
      <c r="R104" s="76"/>
      <c r="S104" s="37"/>
      <c r="T104" s="86">
        <f>tbl_estimated_costs_quantities[[#This Row],[Closure External Openings Walls Windows]]*BOQs!$L$6</f>
        <v>0</v>
      </c>
      <c r="U104" s="76"/>
      <c r="V104" s="37"/>
      <c r="W104" s="86">
        <f>tbl_estimated_costs_quantities[[#This Row],[Plastering Painting]]*BOQs!$L$7</f>
        <v>0</v>
      </c>
      <c r="X104" s="76"/>
      <c r="Y104" s="37"/>
      <c r="Z104" s="86">
        <f>tbl_estimated_costs_quantities[[#This Row],[Floor Repairs]]*BOQs!$L$8</f>
        <v>0</v>
      </c>
      <c r="AA104" s="76"/>
      <c r="AB104" s="37"/>
      <c r="AC104" s="86">
        <f>tbl_estimated_costs_quantities[[#This Row],[Doors Replacement Repair]]*BOQs!$L$9</f>
        <v>0</v>
      </c>
      <c r="AD104" s="76"/>
      <c r="AE104" s="37"/>
      <c r="AF104" s="86">
        <f>tbl_estimated_costs_quantities[[#This Row],[Windows Replacement Repair]]*BOQs!$L$10</f>
        <v>0</v>
      </c>
      <c r="AG104" s="76"/>
      <c r="AH104" s="37"/>
      <c r="AI104" s="86">
        <f>tbl_estimated_costs_quantities[[#This Row],[Bathroom Rehabilitation]]*BOQs!$L$11</f>
        <v>0</v>
      </c>
      <c r="AJ104" s="76"/>
      <c r="AK104" s="37"/>
      <c r="AL104" s="86">
        <f>tbl_estimated_costs_quantities[[#This Row],[Ceramic Tile Works WASH]]*BOQs!$L$12</f>
        <v>0</v>
      </c>
      <c r="AM104" s="76"/>
      <c r="AN104" s="37"/>
      <c r="AO104" s="86">
        <f>tbl_estimated_costs_quantities[[#This Row],[Electrical Repairs Lighting]]*BOQs!$L$13</f>
        <v>0</v>
      </c>
      <c r="AP104" s="76"/>
      <c r="AQ104" s="37"/>
      <c r="AR104" s="86">
        <f>tbl_estimated_costs_quantities[[#This Row],[Roof Insulation Leak Sealing]]*BOQs!$L$14</f>
        <v>0</v>
      </c>
      <c r="AS104" s="76"/>
      <c r="AT104" s="37"/>
      <c r="AU104" s="86">
        <f>tbl_estimated_costs_quantities[[#This Row],[Chimney Duct Cleaning Repair]]*BOQs!$L$15</f>
        <v>0</v>
      </c>
      <c r="AV104" s="76"/>
      <c r="AW104" s="37"/>
      <c r="AX104" s="89">
        <f>tbl_estimated_costs_quantities[[#This Row],[Accessibility Adaptations]]*BOQs!$L$16</f>
        <v>0</v>
      </c>
      <c r="AY104" s="86" t="str">
        <f>IF(tbl_estimated_costs_quantities[[#This Row],[Total cost]]&lt;&gt;0,tbl_estimated_costs_quantities[[#This Row],[Total cost]]/BOQs!$A$1,"")</f>
        <v/>
      </c>
      <c r="AZ104" s="37"/>
      <c r="BA104" s="37"/>
      <c r="BB104" s="37"/>
      <c r="BC104" s="37"/>
      <c r="BD104" s="41"/>
      <c r="BE104" s="37"/>
      <c r="BF104" s="37"/>
      <c r="BG104" s="37"/>
      <c r="BH104" s="41"/>
    </row>
    <row r="105" spans="2:60" ht="25.15" customHeight="1" x14ac:dyDescent="0.25">
      <c r="B105" s="49">
        <v>101</v>
      </c>
      <c r="C105" s="37"/>
      <c r="D105" s="41"/>
      <c r="E105" s="40"/>
      <c r="F105" s="87" t="str">
        <f>IF(tbl_estimated_costs_quantities[[#This Row],[House Code]]&lt;&gt;"",INDEX(tbl_Assessment[],MATCH(tbl_estimated_costs_quantities[[#This Row],[House Code]],tbl_Assessment[House Code],0),3),"")</f>
        <v/>
      </c>
      <c r="G105" s="115" t="str">
        <f>IF(tbl_estimated_costs_quantities[[#This Row],[House Code]]&lt;&gt;"",INDEX(tbl_Assessment[],MATCH(tbl_estimated_costs_quantities[[#This Row],[House Code]],tbl_Assessment[House Code],0),9),"")</f>
        <v/>
      </c>
      <c r="H10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5" s="75"/>
      <c r="J105" s="37"/>
      <c r="K105" s="86">
        <f>tbl_estimated_costs_quantities[[#This Row],[Site Preparation]]*BOQs!$L$3</f>
        <v>0</v>
      </c>
      <c r="L105" s="76"/>
      <c r="M105" s="37"/>
      <c r="N105" s="86">
        <f>tbl_estimated_costs_quantities[[#This Row],[Demolition Removal Unsafe Structures]]*BOQs!$L$4</f>
        <v>0</v>
      </c>
      <c r="O105" s="76"/>
      <c r="P105" s="37"/>
      <c r="Q105" s="86">
        <f>tbl_estimated_costs_quantities[[#This Row],[Concrete Works]]*BOQs!$L$5</f>
        <v>0</v>
      </c>
      <c r="R105" s="76"/>
      <c r="S105" s="37"/>
      <c r="T105" s="86">
        <f>tbl_estimated_costs_quantities[[#This Row],[Closure External Openings Walls Windows]]*BOQs!$L$6</f>
        <v>0</v>
      </c>
      <c r="U105" s="76"/>
      <c r="V105" s="37"/>
      <c r="W105" s="86">
        <f>tbl_estimated_costs_quantities[[#This Row],[Plastering Painting]]*BOQs!$L$7</f>
        <v>0</v>
      </c>
      <c r="X105" s="76"/>
      <c r="Y105" s="37"/>
      <c r="Z105" s="86">
        <f>tbl_estimated_costs_quantities[[#This Row],[Floor Repairs]]*BOQs!$L$8</f>
        <v>0</v>
      </c>
      <c r="AA105" s="76"/>
      <c r="AB105" s="37"/>
      <c r="AC105" s="86">
        <f>tbl_estimated_costs_quantities[[#This Row],[Doors Replacement Repair]]*BOQs!$L$9</f>
        <v>0</v>
      </c>
      <c r="AD105" s="76"/>
      <c r="AE105" s="37"/>
      <c r="AF105" s="86">
        <f>tbl_estimated_costs_quantities[[#This Row],[Windows Replacement Repair]]*BOQs!$L$10</f>
        <v>0</v>
      </c>
      <c r="AG105" s="76"/>
      <c r="AH105" s="37"/>
      <c r="AI105" s="86">
        <f>tbl_estimated_costs_quantities[[#This Row],[Bathroom Rehabilitation]]*BOQs!$L$11</f>
        <v>0</v>
      </c>
      <c r="AJ105" s="76"/>
      <c r="AK105" s="37"/>
      <c r="AL105" s="86">
        <f>tbl_estimated_costs_quantities[[#This Row],[Ceramic Tile Works WASH]]*BOQs!$L$12</f>
        <v>0</v>
      </c>
      <c r="AM105" s="76"/>
      <c r="AN105" s="37"/>
      <c r="AO105" s="86">
        <f>tbl_estimated_costs_quantities[[#This Row],[Electrical Repairs Lighting]]*BOQs!$L$13</f>
        <v>0</v>
      </c>
      <c r="AP105" s="76"/>
      <c r="AQ105" s="37"/>
      <c r="AR105" s="86">
        <f>tbl_estimated_costs_quantities[[#This Row],[Roof Insulation Leak Sealing]]*BOQs!$L$14</f>
        <v>0</v>
      </c>
      <c r="AS105" s="76"/>
      <c r="AT105" s="37"/>
      <c r="AU105" s="86">
        <f>tbl_estimated_costs_quantities[[#This Row],[Chimney Duct Cleaning Repair]]*BOQs!$L$15</f>
        <v>0</v>
      </c>
      <c r="AV105" s="76"/>
      <c r="AW105" s="37"/>
      <c r="AX105" s="89">
        <f>tbl_estimated_costs_quantities[[#This Row],[Accessibility Adaptations]]*BOQs!$L$16</f>
        <v>0</v>
      </c>
      <c r="AY105" s="86" t="str">
        <f>IF(tbl_estimated_costs_quantities[[#This Row],[Total cost]]&lt;&gt;0,tbl_estimated_costs_quantities[[#This Row],[Total cost]]/BOQs!$A$1,"")</f>
        <v/>
      </c>
      <c r="AZ105" s="37"/>
      <c r="BA105" s="37"/>
      <c r="BB105" s="37"/>
      <c r="BC105" s="37"/>
      <c r="BD105" s="41"/>
      <c r="BE105" s="37"/>
      <c r="BF105" s="37"/>
      <c r="BG105" s="37"/>
      <c r="BH105" s="41"/>
    </row>
    <row r="106" spans="2:60" ht="25.15" customHeight="1" x14ac:dyDescent="0.25">
      <c r="B106" s="49">
        <v>102</v>
      </c>
      <c r="C106" s="37"/>
      <c r="D106" s="41"/>
      <c r="E106" s="40"/>
      <c r="F106" s="87" t="str">
        <f>IF(tbl_estimated_costs_quantities[[#This Row],[House Code]]&lt;&gt;"",INDEX(tbl_Assessment[],MATCH(tbl_estimated_costs_quantities[[#This Row],[House Code]],tbl_Assessment[House Code],0),3),"")</f>
        <v/>
      </c>
      <c r="G106" s="115" t="str">
        <f>IF(tbl_estimated_costs_quantities[[#This Row],[House Code]]&lt;&gt;"",INDEX(tbl_Assessment[],MATCH(tbl_estimated_costs_quantities[[#This Row],[House Code]],tbl_Assessment[House Code],0),9),"")</f>
        <v/>
      </c>
      <c r="H10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6" s="75"/>
      <c r="J106" s="37"/>
      <c r="K106" s="86">
        <f>tbl_estimated_costs_quantities[[#This Row],[Site Preparation]]*BOQs!$L$3</f>
        <v>0</v>
      </c>
      <c r="L106" s="76"/>
      <c r="M106" s="37"/>
      <c r="N106" s="86">
        <f>tbl_estimated_costs_quantities[[#This Row],[Demolition Removal Unsafe Structures]]*BOQs!$L$4</f>
        <v>0</v>
      </c>
      <c r="O106" s="76"/>
      <c r="P106" s="37"/>
      <c r="Q106" s="86">
        <f>tbl_estimated_costs_quantities[[#This Row],[Concrete Works]]*BOQs!$L$5</f>
        <v>0</v>
      </c>
      <c r="R106" s="76"/>
      <c r="S106" s="37"/>
      <c r="T106" s="86">
        <f>tbl_estimated_costs_quantities[[#This Row],[Closure External Openings Walls Windows]]*BOQs!$L$6</f>
        <v>0</v>
      </c>
      <c r="U106" s="76"/>
      <c r="V106" s="37"/>
      <c r="W106" s="86">
        <f>tbl_estimated_costs_quantities[[#This Row],[Plastering Painting]]*BOQs!$L$7</f>
        <v>0</v>
      </c>
      <c r="X106" s="76"/>
      <c r="Y106" s="37"/>
      <c r="Z106" s="86">
        <f>tbl_estimated_costs_quantities[[#This Row],[Floor Repairs]]*BOQs!$L$8</f>
        <v>0</v>
      </c>
      <c r="AA106" s="76"/>
      <c r="AB106" s="37"/>
      <c r="AC106" s="86">
        <f>tbl_estimated_costs_quantities[[#This Row],[Doors Replacement Repair]]*BOQs!$L$9</f>
        <v>0</v>
      </c>
      <c r="AD106" s="76"/>
      <c r="AE106" s="37"/>
      <c r="AF106" s="86">
        <f>tbl_estimated_costs_quantities[[#This Row],[Windows Replacement Repair]]*BOQs!$L$10</f>
        <v>0</v>
      </c>
      <c r="AG106" s="76"/>
      <c r="AH106" s="37"/>
      <c r="AI106" s="86">
        <f>tbl_estimated_costs_quantities[[#This Row],[Bathroom Rehabilitation]]*BOQs!$L$11</f>
        <v>0</v>
      </c>
      <c r="AJ106" s="76"/>
      <c r="AK106" s="37"/>
      <c r="AL106" s="86">
        <f>tbl_estimated_costs_quantities[[#This Row],[Ceramic Tile Works WASH]]*BOQs!$L$12</f>
        <v>0</v>
      </c>
      <c r="AM106" s="76"/>
      <c r="AN106" s="37"/>
      <c r="AO106" s="86">
        <f>tbl_estimated_costs_quantities[[#This Row],[Electrical Repairs Lighting]]*BOQs!$L$13</f>
        <v>0</v>
      </c>
      <c r="AP106" s="76"/>
      <c r="AQ106" s="37"/>
      <c r="AR106" s="86">
        <f>tbl_estimated_costs_quantities[[#This Row],[Roof Insulation Leak Sealing]]*BOQs!$L$14</f>
        <v>0</v>
      </c>
      <c r="AS106" s="76"/>
      <c r="AT106" s="37"/>
      <c r="AU106" s="86">
        <f>tbl_estimated_costs_quantities[[#This Row],[Chimney Duct Cleaning Repair]]*BOQs!$L$15</f>
        <v>0</v>
      </c>
      <c r="AV106" s="76"/>
      <c r="AW106" s="37"/>
      <c r="AX106" s="89">
        <f>tbl_estimated_costs_quantities[[#This Row],[Accessibility Adaptations]]*BOQs!$L$16</f>
        <v>0</v>
      </c>
      <c r="AY106" s="86" t="str">
        <f>IF(tbl_estimated_costs_quantities[[#This Row],[Total cost]]&lt;&gt;0,tbl_estimated_costs_quantities[[#This Row],[Total cost]]/BOQs!$A$1,"")</f>
        <v/>
      </c>
      <c r="AZ106" s="37"/>
      <c r="BA106" s="37"/>
      <c r="BB106" s="37"/>
      <c r="BC106" s="37"/>
      <c r="BD106" s="41"/>
      <c r="BE106" s="37"/>
      <c r="BF106" s="37"/>
      <c r="BG106" s="37"/>
      <c r="BH106" s="41"/>
    </row>
    <row r="107" spans="2:60" ht="25.15" customHeight="1" x14ac:dyDescent="0.25">
      <c r="B107" s="49">
        <v>103</v>
      </c>
      <c r="C107" s="37"/>
      <c r="D107" s="41"/>
      <c r="E107" s="40"/>
      <c r="F107" s="87" t="str">
        <f>IF(tbl_estimated_costs_quantities[[#This Row],[House Code]]&lt;&gt;"",INDEX(tbl_Assessment[],MATCH(tbl_estimated_costs_quantities[[#This Row],[House Code]],tbl_Assessment[House Code],0),3),"")</f>
        <v/>
      </c>
      <c r="G107" s="115" t="str">
        <f>IF(tbl_estimated_costs_quantities[[#This Row],[House Code]]&lt;&gt;"",INDEX(tbl_Assessment[],MATCH(tbl_estimated_costs_quantities[[#This Row],[House Code]],tbl_Assessment[House Code],0),9),"")</f>
        <v/>
      </c>
      <c r="H10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7" s="75"/>
      <c r="J107" s="37"/>
      <c r="K107" s="86">
        <f>tbl_estimated_costs_quantities[[#This Row],[Site Preparation]]*BOQs!$L$3</f>
        <v>0</v>
      </c>
      <c r="L107" s="76"/>
      <c r="M107" s="37"/>
      <c r="N107" s="86">
        <f>tbl_estimated_costs_quantities[[#This Row],[Demolition Removal Unsafe Structures]]*BOQs!$L$4</f>
        <v>0</v>
      </c>
      <c r="O107" s="76"/>
      <c r="P107" s="37"/>
      <c r="Q107" s="86">
        <f>tbl_estimated_costs_quantities[[#This Row],[Concrete Works]]*BOQs!$L$5</f>
        <v>0</v>
      </c>
      <c r="R107" s="76"/>
      <c r="S107" s="37"/>
      <c r="T107" s="86">
        <f>tbl_estimated_costs_quantities[[#This Row],[Closure External Openings Walls Windows]]*BOQs!$L$6</f>
        <v>0</v>
      </c>
      <c r="U107" s="76"/>
      <c r="V107" s="37"/>
      <c r="W107" s="86">
        <f>tbl_estimated_costs_quantities[[#This Row],[Plastering Painting]]*BOQs!$L$7</f>
        <v>0</v>
      </c>
      <c r="X107" s="76"/>
      <c r="Y107" s="37"/>
      <c r="Z107" s="86">
        <f>tbl_estimated_costs_quantities[[#This Row],[Floor Repairs]]*BOQs!$L$8</f>
        <v>0</v>
      </c>
      <c r="AA107" s="76"/>
      <c r="AB107" s="37"/>
      <c r="AC107" s="86">
        <f>tbl_estimated_costs_quantities[[#This Row],[Doors Replacement Repair]]*BOQs!$L$9</f>
        <v>0</v>
      </c>
      <c r="AD107" s="76"/>
      <c r="AE107" s="37"/>
      <c r="AF107" s="86">
        <f>tbl_estimated_costs_quantities[[#This Row],[Windows Replacement Repair]]*BOQs!$L$10</f>
        <v>0</v>
      </c>
      <c r="AG107" s="76"/>
      <c r="AH107" s="37"/>
      <c r="AI107" s="86">
        <f>tbl_estimated_costs_quantities[[#This Row],[Bathroom Rehabilitation]]*BOQs!$L$11</f>
        <v>0</v>
      </c>
      <c r="AJ107" s="76"/>
      <c r="AK107" s="37"/>
      <c r="AL107" s="86">
        <f>tbl_estimated_costs_quantities[[#This Row],[Ceramic Tile Works WASH]]*BOQs!$L$12</f>
        <v>0</v>
      </c>
      <c r="AM107" s="76"/>
      <c r="AN107" s="37"/>
      <c r="AO107" s="86">
        <f>tbl_estimated_costs_quantities[[#This Row],[Electrical Repairs Lighting]]*BOQs!$L$13</f>
        <v>0</v>
      </c>
      <c r="AP107" s="76"/>
      <c r="AQ107" s="37"/>
      <c r="AR107" s="86">
        <f>tbl_estimated_costs_quantities[[#This Row],[Roof Insulation Leak Sealing]]*BOQs!$L$14</f>
        <v>0</v>
      </c>
      <c r="AS107" s="76"/>
      <c r="AT107" s="37"/>
      <c r="AU107" s="86">
        <f>tbl_estimated_costs_quantities[[#This Row],[Chimney Duct Cleaning Repair]]*BOQs!$L$15</f>
        <v>0</v>
      </c>
      <c r="AV107" s="76"/>
      <c r="AW107" s="37"/>
      <c r="AX107" s="89">
        <f>tbl_estimated_costs_quantities[[#This Row],[Accessibility Adaptations]]*BOQs!$L$16</f>
        <v>0</v>
      </c>
      <c r="AY107" s="86" t="str">
        <f>IF(tbl_estimated_costs_quantities[[#This Row],[Total cost]]&lt;&gt;0,tbl_estimated_costs_quantities[[#This Row],[Total cost]]/BOQs!$A$1,"")</f>
        <v/>
      </c>
      <c r="AZ107" s="37"/>
      <c r="BA107" s="37"/>
      <c r="BB107" s="37"/>
      <c r="BC107" s="37"/>
      <c r="BD107" s="41"/>
      <c r="BE107" s="37"/>
      <c r="BF107" s="37"/>
      <c r="BG107" s="37"/>
      <c r="BH107" s="41"/>
    </row>
    <row r="108" spans="2:60" ht="25.15" customHeight="1" x14ac:dyDescent="0.25">
      <c r="B108" s="49">
        <v>104</v>
      </c>
      <c r="C108" s="37"/>
      <c r="D108" s="41"/>
      <c r="E108" s="40"/>
      <c r="F108" s="87" t="str">
        <f>IF(tbl_estimated_costs_quantities[[#This Row],[House Code]]&lt;&gt;"",INDEX(tbl_Assessment[],MATCH(tbl_estimated_costs_quantities[[#This Row],[House Code]],tbl_Assessment[House Code],0),3),"")</f>
        <v/>
      </c>
      <c r="G108" s="115" t="str">
        <f>IF(tbl_estimated_costs_quantities[[#This Row],[House Code]]&lt;&gt;"",INDEX(tbl_Assessment[],MATCH(tbl_estimated_costs_quantities[[#This Row],[House Code]],tbl_Assessment[House Code],0),9),"")</f>
        <v/>
      </c>
      <c r="H10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8" s="75"/>
      <c r="J108" s="37"/>
      <c r="K108" s="86">
        <f>tbl_estimated_costs_quantities[[#This Row],[Site Preparation]]*BOQs!$L$3</f>
        <v>0</v>
      </c>
      <c r="L108" s="76"/>
      <c r="M108" s="37"/>
      <c r="N108" s="86">
        <f>tbl_estimated_costs_quantities[[#This Row],[Demolition Removal Unsafe Structures]]*BOQs!$L$4</f>
        <v>0</v>
      </c>
      <c r="O108" s="76"/>
      <c r="P108" s="37"/>
      <c r="Q108" s="86">
        <f>tbl_estimated_costs_quantities[[#This Row],[Concrete Works]]*BOQs!$L$5</f>
        <v>0</v>
      </c>
      <c r="R108" s="76"/>
      <c r="S108" s="37"/>
      <c r="T108" s="86">
        <f>tbl_estimated_costs_quantities[[#This Row],[Closure External Openings Walls Windows]]*BOQs!$L$6</f>
        <v>0</v>
      </c>
      <c r="U108" s="76"/>
      <c r="V108" s="37"/>
      <c r="W108" s="86">
        <f>tbl_estimated_costs_quantities[[#This Row],[Plastering Painting]]*BOQs!$L$7</f>
        <v>0</v>
      </c>
      <c r="X108" s="76"/>
      <c r="Y108" s="37"/>
      <c r="Z108" s="86">
        <f>tbl_estimated_costs_quantities[[#This Row],[Floor Repairs]]*BOQs!$L$8</f>
        <v>0</v>
      </c>
      <c r="AA108" s="76"/>
      <c r="AB108" s="37"/>
      <c r="AC108" s="86">
        <f>tbl_estimated_costs_quantities[[#This Row],[Doors Replacement Repair]]*BOQs!$L$9</f>
        <v>0</v>
      </c>
      <c r="AD108" s="76"/>
      <c r="AE108" s="37"/>
      <c r="AF108" s="86">
        <f>tbl_estimated_costs_quantities[[#This Row],[Windows Replacement Repair]]*BOQs!$L$10</f>
        <v>0</v>
      </c>
      <c r="AG108" s="76"/>
      <c r="AH108" s="37"/>
      <c r="AI108" s="86">
        <f>tbl_estimated_costs_quantities[[#This Row],[Bathroom Rehabilitation]]*BOQs!$L$11</f>
        <v>0</v>
      </c>
      <c r="AJ108" s="76"/>
      <c r="AK108" s="37"/>
      <c r="AL108" s="86">
        <f>tbl_estimated_costs_quantities[[#This Row],[Ceramic Tile Works WASH]]*BOQs!$L$12</f>
        <v>0</v>
      </c>
      <c r="AM108" s="76"/>
      <c r="AN108" s="37"/>
      <c r="AO108" s="86">
        <f>tbl_estimated_costs_quantities[[#This Row],[Electrical Repairs Lighting]]*BOQs!$L$13</f>
        <v>0</v>
      </c>
      <c r="AP108" s="76"/>
      <c r="AQ108" s="37"/>
      <c r="AR108" s="86">
        <f>tbl_estimated_costs_quantities[[#This Row],[Roof Insulation Leak Sealing]]*BOQs!$L$14</f>
        <v>0</v>
      </c>
      <c r="AS108" s="76"/>
      <c r="AT108" s="37"/>
      <c r="AU108" s="86">
        <f>tbl_estimated_costs_quantities[[#This Row],[Chimney Duct Cleaning Repair]]*BOQs!$L$15</f>
        <v>0</v>
      </c>
      <c r="AV108" s="76"/>
      <c r="AW108" s="37"/>
      <c r="AX108" s="89">
        <f>tbl_estimated_costs_quantities[[#This Row],[Accessibility Adaptations]]*BOQs!$L$16</f>
        <v>0</v>
      </c>
      <c r="AY108" s="86" t="str">
        <f>IF(tbl_estimated_costs_quantities[[#This Row],[Total cost]]&lt;&gt;0,tbl_estimated_costs_quantities[[#This Row],[Total cost]]/BOQs!$A$1,"")</f>
        <v/>
      </c>
      <c r="AZ108" s="37"/>
      <c r="BA108" s="37"/>
      <c r="BB108" s="37"/>
      <c r="BC108" s="37"/>
      <c r="BD108" s="41"/>
      <c r="BE108" s="37"/>
      <c r="BF108" s="37"/>
      <c r="BG108" s="37"/>
      <c r="BH108" s="41"/>
    </row>
    <row r="109" spans="2:60" ht="25.15" customHeight="1" x14ac:dyDescent="0.25">
      <c r="B109" s="49">
        <v>105</v>
      </c>
      <c r="C109" s="37"/>
      <c r="D109" s="41"/>
      <c r="E109" s="40"/>
      <c r="F109" s="87" t="str">
        <f>IF(tbl_estimated_costs_quantities[[#This Row],[House Code]]&lt;&gt;"",INDEX(tbl_Assessment[],MATCH(tbl_estimated_costs_quantities[[#This Row],[House Code]],tbl_Assessment[House Code],0),3),"")</f>
        <v/>
      </c>
      <c r="G109" s="115" t="str">
        <f>IF(tbl_estimated_costs_quantities[[#This Row],[House Code]]&lt;&gt;"",INDEX(tbl_Assessment[],MATCH(tbl_estimated_costs_quantities[[#This Row],[House Code]],tbl_Assessment[House Code],0),9),"")</f>
        <v/>
      </c>
      <c r="H10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09" s="75"/>
      <c r="J109" s="37"/>
      <c r="K109" s="86">
        <f>tbl_estimated_costs_quantities[[#This Row],[Site Preparation]]*BOQs!$L$3</f>
        <v>0</v>
      </c>
      <c r="L109" s="76"/>
      <c r="M109" s="37"/>
      <c r="N109" s="86">
        <f>tbl_estimated_costs_quantities[[#This Row],[Demolition Removal Unsafe Structures]]*BOQs!$L$4</f>
        <v>0</v>
      </c>
      <c r="O109" s="76"/>
      <c r="P109" s="37"/>
      <c r="Q109" s="86">
        <f>tbl_estimated_costs_quantities[[#This Row],[Concrete Works]]*BOQs!$L$5</f>
        <v>0</v>
      </c>
      <c r="R109" s="76"/>
      <c r="S109" s="37"/>
      <c r="T109" s="86">
        <f>tbl_estimated_costs_quantities[[#This Row],[Closure External Openings Walls Windows]]*BOQs!$L$6</f>
        <v>0</v>
      </c>
      <c r="U109" s="76"/>
      <c r="V109" s="37"/>
      <c r="W109" s="86">
        <f>tbl_estimated_costs_quantities[[#This Row],[Plastering Painting]]*BOQs!$L$7</f>
        <v>0</v>
      </c>
      <c r="X109" s="76"/>
      <c r="Y109" s="37"/>
      <c r="Z109" s="86">
        <f>tbl_estimated_costs_quantities[[#This Row],[Floor Repairs]]*BOQs!$L$8</f>
        <v>0</v>
      </c>
      <c r="AA109" s="76"/>
      <c r="AB109" s="37"/>
      <c r="AC109" s="86">
        <f>tbl_estimated_costs_quantities[[#This Row],[Doors Replacement Repair]]*BOQs!$L$9</f>
        <v>0</v>
      </c>
      <c r="AD109" s="76"/>
      <c r="AE109" s="37"/>
      <c r="AF109" s="86">
        <f>tbl_estimated_costs_quantities[[#This Row],[Windows Replacement Repair]]*BOQs!$L$10</f>
        <v>0</v>
      </c>
      <c r="AG109" s="76"/>
      <c r="AH109" s="37"/>
      <c r="AI109" s="86">
        <f>tbl_estimated_costs_quantities[[#This Row],[Bathroom Rehabilitation]]*BOQs!$L$11</f>
        <v>0</v>
      </c>
      <c r="AJ109" s="76"/>
      <c r="AK109" s="37"/>
      <c r="AL109" s="86">
        <f>tbl_estimated_costs_quantities[[#This Row],[Ceramic Tile Works WASH]]*BOQs!$L$12</f>
        <v>0</v>
      </c>
      <c r="AM109" s="76"/>
      <c r="AN109" s="37"/>
      <c r="AO109" s="86">
        <f>tbl_estimated_costs_quantities[[#This Row],[Electrical Repairs Lighting]]*BOQs!$L$13</f>
        <v>0</v>
      </c>
      <c r="AP109" s="76"/>
      <c r="AQ109" s="37"/>
      <c r="AR109" s="86">
        <f>tbl_estimated_costs_quantities[[#This Row],[Roof Insulation Leak Sealing]]*BOQs!$L$14</f>
        <v>0</v>
      </c>
      <c r="AS109" s="76"/>
      <c r="AT109" s="37"/>
      <c r="AU109" s="86">
        <f>tbl_estimated_costs_quantities[[#This Row],[Chimney Duct Cleaning Repair]]*BOQs!$L$15</f>
        <v>0</v>
      </c>
      <c r="AV109" s="76"/>
      <c r="AW109" s="37"/>
      <c r="AX109" s="89">
        <f>tbl_estimated_costs_quantities[[#This Row],[Accessibility Adaptations]]*BOQs!$L$16</f>
        <v>0</v>
      </c>
      <c r="AY109" s="86" t="str">
        <f>IF(tbl_estimated_costs_quantities[[#This Row],[Total cost]]&lt;&gt;0,tbl_estimated_costs_quantities[[#This Row],[Total cost]]/BOQs!$A$1,"")</f>
        <v/>
      </c>
      <c r="AZ109" s="37"/>
      <c r="BA109" s="37"/>
      <c r="BB109" s="37"/>
      <c r="BC109" s="37"/>
      <c r="BD109" s="41"/>
      <c r="BE109" s="37"/>
      <c r="BF109" s="37"/>
      <c r="BG109" s="37"/>
      <c r="BH109" s="41"/>
    </row>
    <row r="110" spans="2:60" ht="25.15" customHeight="1" x14ac:dyDescent="0.25">
      <c r="B110" s="49">
        <v>106</v>
      </c>
      <c r="C110" s="37"/>
      <c r="D110" s="41"/>
      <c r="E110" s="40"/>
      <c r="F110" s="87" t="str">
        <f>IF(tbl_estimated_costs_quantities[[#This Row],[House Code]]&lt;&gt;"",INDEX(tbl_Assessment[],MATCH(tbl_estimated_costs_quantities[[#This Row],[House Code]],tbl_Assessment[House Code],0),3),"")</f>
        <v/>
      </c>
      <c r="G110" s="115" t="str">
        <f>IF(tbl_estimated_costs_quantities[[#This Row],[House Code]]&lt;&gt;"",INDEX(tbl_Assessment[],MATCH(tbl_estimated_costs_quantities[[#This Row],[House Code]],tbl_Assessment[House Code],0),9),"")</f>
        <v/>
      </c>
      <c r="H11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0" s="75"/>
      <c r="J110" s="37"/>
      <c r="K110" s="86">
        <f>tbl_estimated_costs_quantities[[#This Row],[Site Preparation]]*BOQs!$L$3</f>
        <v>0</v>
      </c>
      <c r="L110" s="76"/>
      <c r="M110" s="37"/>
      <c r="N110" s="86">
        <f>tbl_estimated_costs_quantities[[#This Row],[Demolition Removal Unsafe Structures]]*BOQs!$L$4</f>
        <v>0</v>
      </c>
      <c r="O110" s="76"/>
      <c r="P110" s="37"/>
      <c r="Q110" s="86">
        <f>tbl_estimated_costs_quantities[[#This Row],[Concrete Works]]*BOQs!$L$5</f>
        <v>0</v>
      </c>
      <c r="R110" s="76"/>
      <c r="S110" s="37"/>
      <c r="T110" s="86">
        <f>tbl_estimated_costs_quantities[[#This Row],[Closure External Openings Walls Windows]]*BOQs!$L$6</f>
        <v>0</v>
      </c>
      <c r="U110" s="76"/>
      <c r="V110" s="37"/>
      <c r="W110" s="86">
        <f>tbl_estimated_costs_quantities[[#This Row],[Plastering Painting]]*BOQs!$L$7</f>
        <v>0</v>
      </c>
      <c r="X110" s="76"/>
      <c r="Y110" s="37"/>
      <c r="Z110" s="86">
        <f>tbl_estimated_costs_quantities[[#This Row],[Floor Repairs]]*BOQs!$L$8</f>
        <v>0</v>
      </c>
      <c r="AA110" s="76"/>
      <c r="AB110" s="37"/>
      <c r="AC110" s="86">
        <f>tbl_estimated_costs_quantities[[#This Row],[Doors Replacement Repair]]*BOQs!$L$9</f>
        <v>0</v>
      </c>
      <c r="AD110" s="76"/>
      <c r="AE110" s="37"/>
      <c r="AF110" s="86">
        <f>tbl_estimated_costs_quantities[[#This Row],[Windows Replacement Repair]]*BOQs!$L$10</f>
        <v>0</v>
      </c>
      <c r="AG110" s="76"/>
      <c r="AH110" s="37"/>
      <c r="AI110" s="86">
        <f>tbl_estimated_costs_quantities[[#This Row],[Bathroom Rehabilitation]]*BOQs!$L$11</f>
        <v>0</v>
      </c>
      <c r="AJ110" s="76"/>
      <c r="AK110" s="37"/>
      <c r="AL110" s="86">
        <f>tbl_estimated_costs_quantities[[#This Row],[Ceramic Tile Works WASH]]*BOQs!$L$12</f>
        <v>0</v>
      </c>
      <c r="AM110" s="76"/>
      <c r="AN110" s="37"/>
      <c r="AO110" s="86">
        <f>tbl_estimated_costs_quantities[[#This Row],[Electrical Repairs Lighting]]*BOQs!$L$13</f>
        <v>0</v>
      </c>
      <c r="AP110" s="76"/>
      <c r="AQ110" s="37"/>
      <c r="AR110" s="86">
        <f>tbl_estimated_costs_quantities[[#This Row],[Roof Insulation Leak Sealing]]*BOQs!$L$14</f>
        <v>0</v>
      </c>
      <c r="AS110" s="76"/>
      <c r="AT110" s="37"/>
      <c r="AU110" s="86">
        <f>tbl_estimated_costs_quantities[[#This Row],[Chimney Duct Cleaning Repair]]*BOQs!$L$15</f>
        <v>0</v>
      </c>
      <c r="AV110" s="76"/>
      <c r="AW110" s="37"/>
      <c r="AX110" s="89">
        <f>tbl_estimated_costs_quantities[[#This Row],[Accessibility Adaptations]]*BOQs!$L$16</f>
        <v>0</v>
      </c>
      <c r="AY110" s="86" t="str">
        <f>IF(tbl_estimated_costs_quantities[[#This Row],[Total cost]]&lt;&gt;0,tbl_estimated_costs_quantities[[#This Row],[Total cost]]/BOQs!$A$1,"")</f>
        <v/>
      </c>
      <c r="AZ110" s="37"/>
      <c r="BA110" s="37"/>
      <c r="BB110" s="37"/>
      <c r="BC110" s="37"/>
      <c r="BD110" s="41"/>
      <c r="BE110" s="37"/>
      <c r="BF110" s="37"/>
      <c r="BG110" s="37"/>
      <c r="BH110" s="41"/>
    </row>
    <row r="111" spans="2:60" ht="25.15" customHeight="1" x14ac:dyDescent="0.25">
      <c r="B111" s="49">
        <v>107</v>
      </c>
      <c r="C111" s="37"/>
      <c r="D111" s="41"/>
      <c r="E111" s="40"/>
      <c r="F111" s="87" t="str">
        <f>IF(tbl_estimated_costs_quantities[[#This Row],[House Code]]&lt;&gt;"",INDEX(tbl_Assessment[],MATCH(tbl_estimated_costs_quantities[[#This Row],[House Code]],tbl_Assessment[House Code],0),3),"")</f>
        <v/>
      </c>
      <c r="G111" s="115" t="str">
        <f>IF(tbl_estimated_costs_quantities[[#This Row],[House Code]]&lt;&gt;"",INDEX(tbl_Assessment[],MATCH(tbl_estimated_costs_quantities[[#This Row],[House Code]],tbl_Assessment[House Code],0),9),"")</f>
        <v/>
      </c>
      <c r="H11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1" s="75"/>
      <c r="J111" s="37"/>
      <c r="K111" s="86">
        <f>tbl_estimated_costs_quantities[[#This Row],[Site Preparation]]*BOQs!$L$3</f>
        <v>0</v>
      </c>
      <c r="L111" s="76"/>
      <c r="M111" s="37"/>
      <c r="N111" s="86">
        <f>tbl_estimated_costs_quantities[[#This Row],[Demolition Removal Unsafe Structures]]*BOQs!$L$4</f>
        <v>0</v>
      </c>
      <c r="O111" s="76"/>
      <c r="P111" s="37"/>
      <c r="Q111" s="86">
        <f>tbl_estimated_costs_quantities[[#This Row],[Concrete Works]]*BOQs!$L$5</f>
        <v>0</v>
      </c>
      <c r="R111" s="76"/>
      <c r="S111" s="37"/>
      <c r="T111" s="86">
        <f>tbl_estimated_costs_quantities[[#This Row],[Closure External Openings Walls Windows]]*BOQs!$L$6</f>
        <v>0</v>
      </c>
      <c r="U111" s="76"/>
      <c r="V111" s="37"/>
      <c r="W111" s="86">
        <f>tbl_estimated_costs_quantities[[#This Row],[Plastering Painting]]*BOQs!$L$7</f>
        <v>0</v>
      </c>
      <c r="X111" s="76"/>
      <c r="Y111" s="37"/>
      <c r="Z111" s="86">
        <f>tbl_estimated_costs_quantities[[#This Row],[Floor Repairs]]*BOQs!$L$8</f>
        <v>0</v>
      </c>
      <c r="AA111" s="76"/>
      <c r="AB111" s="37"/>
      <c r="AC111" s="86">
        <f>tbl_estimated_costs_quantities[[#This Row],[Doors Replacement Repair]]*BOQs!$L$9</f>
        <v>0</v>
      </c>
      <c r="AD111" s="76"/>
      <c r="AE111" s="37"/>
      <c r="AF111" s="86">
        <f>tbl_estimated_costs_quantities[[#This Row],[Windows Replacement Repair]]*BOQs!$L$10</f>
        <v>0</v>
      </c>
      <c r="AG111" s="76"/>
      <c r="AH111" s="37"/>
      <c r="AI111" s="86">
        <f>tbl_estimated_costs_quantities[[#This Row],[Bathroom Rehabilitation]]*BOQs!$L$11</f>
        <v>0</v>
      </c>
      <c r="AJ111" s="76"/>
      <c r="AK111" s="37"/>
      <c r="AL111" s="86">
        <f>tbl_estimated_costs_quantities[[#This Row],[Ceramic Tile Works WASH]]*BOQs!$L$12</f>
        <v>0</v>
      </c>
      <c r="AM111" s="76"/>
      <c r="AN111" s="37"/>
      <c r="AO111" s="86">
        <f>tbl_estimated_costs_quantities[[#This Row],[Electrical Repairs Lighting]]*BOQs!$L$13</f>
        <v>0</v>
      </c>
      <c r="AP111" s="76"/>
      <c r="AQ111" s="37"/>
      <c r="AR111" s="86">
        <f>tbl_estimated_costs_quantities[[#This Row],[Roof Insulation Leak Sealing]]*BOQs!$L$14</f>
        <v>0</v>
      </c>
      <c r="AS111" s="76"/>
      <c r="AT111" s="37"/>
      <c r="AU111" s="86">
        <f>tbl_estimated_costs_quantities[[#This Row],[Chimney Duct Cleaning Repair]]*BOQs!$L$15</f>
        <v>0</v>
      </c>
      <c r="AV111" s="76"/>
      <c r="AW111" s="37"/>
      <c r="AX111" s="89">
        <f>tbl_estimated_costs_quantities[[#This Row],[Accessibility Adaptations]]*BOQs!$L$16</f>
        <v>0</v>
      </c>
      <c r="AY111" s="86" t="str">
        <f>IF(tbl_estimated_costs_quantities[[#This Row],[Total cost]]&lt;&gt;0,tbl_estimated_costs_quantities[[#This Row],[Total cost]]/BOQs!$A$1,"")</f>
        <v/>
      </c>
      <c r="AZ111" s="37"/>
      <c r="BA111" s="37"/>
      <c r="BB111" s="37"/>
      <c r="BC111" s="37"/>
      <c r="BD111" s="41"/>
      <c r="BE111" s="37"/>
      <c r="BF111" s="37"/>
      <c r="BG111" s="37"/>
      <c r="BH111" s="41"/>
    </row>
    <row r="112" spans="2:60" ht="25.15" customHeight="1" x14ac:dyDescent="0.25">
      <c r="B112" s="49">
        <v>108</v>
      </c>
      <c r="C112" s="37"/>
      <c r="D112" s="41"/>
      <c r="E112" s="40"/>
      <c r="F112" s="87" t="str">
        <f>IF(tbl_estimated_costs_quantities[[#This Row],[House Code]]&lt;&gt;"",INDEX(tbl_Assessment[],MATCH(tbl_estimated_costs_quantities[[#This Row],[House Code]],tbl_Assessment[House Code],0),3),"")</f>
        <v/>
      </c>
      <c r="G112" s="115" t="str">
        <f>IF(tbl_estimated_costs_quantities[[#This Row],[House Code]]&lt;&gt;"",INDEX(tbl_Assessment[],MATCH(tbl_estimated_costs_quantities[[#This Row],[House Code]],tbl_Assessment[House Code],0),9),"")</f>
        <v/>
      </c>
      <c r="H11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2" s="75"/>
      <c r="J112" s="37"/>
      <c r="K112" s="86">
        <f>tbl_estimated_costs_quantities[[#This Row],[Site Preparation]]*BOQs!$L$3</f>
        <v>0</v>
      </c>
      <c r="L112" s="76"/>
      <c r="M112" s="37"/>
      <c r="N112" s="86">
        <f>tbl_estimated_costs_quantities[[#This Row],[Demolition Removal Unsafe Structures]]*BOQs!$L$4</f>
        <v>0</v>
      </c>
      <c r="O112" s="76"/>
      <c r="P112" s="37"/>
      <c r="Q112" s="86">
        <f>tbl_estimated_costs_quantities[[#This Row],[Concrete Works]]*BOQs!$L$5</f>
        <v>0</v>
      </c>
      <c r="R112" s="76"/>
      <c r="S112" s="37"/>
      <c r="T112" s="86">
        <f>tbl_estimated_costs_quantities[[#This Row],[Closure External Openings Walls Windows]]*BOQs!$L$6</f>
        <v>0</v>
      </c>
      <c r="U112" s="76"/>
      <c r="V112" s="37"/>
      <c r="W112" s="86">
        <f>tbl_estimated_costs_quantities[[#This Row],[Plastering Painting]]*BOQs!$L$7</f>
        <v>0</v>
      </c>
      <c r="X112" s="76"/>
      <c r="Y112" s="37"/>
      <c r="Z112" s="86">
        <f>tbl_estimated_costs_quantities[[#This Row],[Floor Repairs]]*BOQs!$L$8</f>
        <v>0</v>
      </c>
      <c r="AA112" s="76"/>
      <c r="AB112" s="37"/>
      <c r="AC112" s="86">
        <f>tbl_estimated_costs_quantities[[#This Row],[Doors Replacement Repair]]*BOQs!$L$9</f>
        <v>0</v>
      </c>
      <c r="AD112" s="76"/>
      <c r="AE112" s="37"/>
      <c r="AF112" s="86">
        <f>tbl_estimated_costs_quantities[[#This Row],[Windows Replacement Repair]]*BOQs!$L$10</f>
        <v>0</v>
      </c>
      <c r="AG112" s="76"/>
      <c r="AH112" s="37"/>
      <c r="AI112" s="86">
        <f>tbl_estimated_costs_quantities[[#This Row],[Bathroom Rehabilitation]]*BOQs!$L$11</f>
        <v>0</v>
      </c>
      <c r="AJ112" s="76"/>
      <c r="AK112" s="37"/>
      <c r="AL112" s="86">
        <f>tbl_estimated_costs_quantities[[#This Row],[Ceramic Tile Works WASH]]*BOQs!$L$12</f>
        <v>0</v>
      </c>
      <c r="AM112" s="76"/>
      <c r="AN112" s="37"/>
      <c r="AO112" s="86">
        <f>tbl_estimated_costs_quantities[[#This Row],[Electrical Repairs Lighting]]*BOQs!$L$13</f>
        <v>0</v>
      </c>
      <c r="AP112" s="76"/>
      <c r="AQ112" s="37"/>
      <c r="AR112" s="86">
        <f>tbl_estimated_costs_quantities[[#This Row],[Roof Insulation Leak Sealing]]*BOQs!$L$14</f>
        <v>0</v>
      </c>
      <c r="AS112" s="76"/>
      <c r="AT112" s="37"/>
      <c r="AU112" s="86">
        <f>tbl_estimated_costs_quantities[[#This Row],[Chimney Duct Cleaning Repair]]*BOQs!$L$15</f>
        <v>0</v>
      </c>
      <c r="AV112" s="76"/>
      <c r="AW112" s="37"/>
      <c r="AX112" s="89">
        <f>tbl_estimated_costs_quantities[[#This Row],[Accessibility Adaptations]]*BOQs!$L$16</f>
        <v>0</v>
      </c>
      <c r="AY112" s="86" t="str">
        <f>IF(tbl_estimated_costs_quantities[[#This Row],[Total cost]]&lt;&gt;0,tbl_estimated_costs_quantities[[#This Row],[Total cost]]/BOQs!$A$1,"")</f>
        <v/>
      </c>
      <c r="AZ112" s="37"/>
      <c r="BA112" s="37"/>
      <c r="BB112" s="37"/>
      <c r="BC112" s="37"/>
      <c r="BD112" s="41"/>
      <c r="BE112" s="37"/>
      <c r="BF112" s="37"/>
      <c r="BG112" s="37"/>
      <c r="BH112" s="41"/>
    </row>
    <row r="113" spans="2:60" ht="25.15" customHeight="1" x14ac:dyDescent="0.25">
      <c r="B113" s="49">
        <v>109</v>
      </c>
      <c r="C113" s="37"/>
      <c r="D113" s="41"/>
      <c r="E113" s="40"/>
      <c r="F113" s="87" t="str">
        <f>IF(tbl_estimated_costs_quantities[[#This Row],[House Code]]&lt;&gt;"",INDEX(tbl_Assessment[],MATCH(tbl_estimated_costs_quantities[[#This Row],[House Code]],tbl_Assessment[House Code],0),3),"")</f>
        <v/>
      </c>
      <c r="G113" s="115" t="str">
        <f>IF(tbl_estimated_costs_quantities[[#This Row],[House Code]]&lt;&gt;"",INDEX(tbl_Assessment[],MATCH(tbl_estimated_costs_quantities[[#This Row],[House Code]],tbl_Assessment[House Code],0),9),"")</f>
        <v/>
      </c>
      <c r="H11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3" s="75"/>
      <c r="J113" s="37"/>
      <c r="K113" s="86">
        <f>tbl_estimated_costs_quantities[[#This Row],[Site Preparation]]*BOQs!$L$3</f>
        <v>0</v>
      </c>
      <c r="L113" s="76"/>
      <c r="M113" s="37"/>
      <c r="N113" s="86">
        <f>tbl_estimated_costs_quantities[[#This Row],[Demolition Removal Unsafe Structures]]*BOQs!$L$4</f>
        <v>0</v>
      </c>
      <c r="O113" s="76"/>
      <c r="P113" s="37"/>
      <c r="Q113" s="86">
        <f>tbl_estimated_costs_quantities[[#This Row],[Concrete Works]]*BOQs!$L$5</f>
        <v>0</v>
      </c>
      <c r="R113" s="76"/>
      <c r="S113" s="37"/>
      <c r="T113" s="86">
        <f>tbl_estimated_costs_quantities[[#This Row],[Closure External Openings Walls Windows]]*BOQs!$L$6</f>
        <v>0</v>
      </c>
      <c r="U113" s="76"/>
      <c r="V113" s="37"/>
      <c r="W113" s="86">
        <f>tbl_estimated_costs_quantities[[#This Row],[Plastering Painting]]*BOQs!$L$7</f>
        <v>0</v>
      </c>
      <c r="X113" s="76"/>
      <c r="Y113" s="37"/>
      <c r="Z113" s="86">
        <f>tbl_estimated_costs_quantities[[#This Row],[Floor Repairs]]*BOQs!$L$8</f>
        <v>0</v>
      </c>
      <c r="AA113" s="76"/>
      <c r="AB113" s="37"/>
      <c r="AC113" s="86">
        <f>tbl_estimated_costs_quantities[[#This Row],[Doors Replacement Repair]]*BOQs!$L$9</f>
        <v>0</v>
      </c>
      <c r="AD113" s="76"/>
      <c r="AE113" s="37"/>
      <c r="AF113" s="86">
        <f>tbl_estimated_costs_quantities[[#This Row],[Windows Replacement Repair]]*BOQs!$L$10</f>
        <v>0</v>
      </c>
      <c r="AG113" s="76"/>
      <c r="AH113" s="37"/>
      <c r="AI113" s="86">
        <f>tbl_estimated_costs_quantities[[#This Row],[Bathroom Rehabilitation]]*BOQs!$L$11</f>
        <v>0</v>
      </c>
      <c r="AJ113" s="76"/>
      <c r="AK113" s="37"/>
      <c r="AL113" s="86">
        <f>tbl_estimated_costs_quantities[[#This Row],[Ceramic Tile Works WASH]]*BOQs!$L$12</f>
        <v>0</v>
      </c>
      <c r="AM113" s="76"/>
      <c r="AN113" s="37"/>
      <c r="AO113" s="86">
        <f>tbl_estimated_costs_quantities[[#This Row],[Electrical Repairs Lighting]]*BOQs!$L$13</f>
        <v>0</v>
      </c>
      <c r="AP113" s="76"/>
      <c r="AQ113" s="37"/>
      <c r="AR113" s="86">
        <f>tbl_estimated_costs_quantities[[#This Row],[Roof Insulation Leak Sealing]]*BOQs!$L$14</f>
        <v>0</v>
      </c>
      <c r="AS113" s="76"/>
      <c r="AT113" s="37"/>
      <c r="AU113" s="86">
        <f>tbl_estimated_costs_quantities[[#This Row],[Chimney Duct Cleaning Repair]]*BOQs!$L$15</f>
        <v>0</v>
      </c>
      <c r="AV113" s="76"/>
      <c r="AW113" s="37"/>
      <c r="AX113" s="89">
        <f>tbl_estimated_costs_quantities[[#This Row],[Accessibility Adaptations]]*BOQs!$L$16</f>
        <v>0</v>
      </c>
      <c r="AY113" s="86" t="str">
        <f>IF(tbl_estimated_costs_quantities[[#This Row],[Total cost]]&lt;&gt;0,tbl_estimated_costs_quantities[[#This Row],[Total cost]]/BOQs!$A$1,"")</f>
        <v/>
      </c>
      <c r="AZ113" s="37"/>
      <c r="BA113" s="37"/>
      <c r="BB113" s="37"/>
      <c r="BC113" s="37"/>
      <c r="BD113" s="41"/>
      <c r="BE113" s="37"/>
      <c r="BF113" s="37"/>
      <c r="BG113" s="37"/>
      <c r="BH113" s="41"/>
    </row>
    <row r="114" spans="2:60" ht="25.15" customHeight="1" x14ac:dyDescent="0.25">
      <c r="B114" s="49">
        <v>110</v>
      </c>
      <c r="C114" s="37"/>
      <c r="D114" s="41"/>
      <c r="E114" s="40"/>
      <c r="F114" s="87" t="str">
        <f>IF(tbl_estimated_costs_quantities[[#This Row],[House Code]]&lt;&gt;"",INDEX(tbl_Assessment[],MATCH(tbl_estimated_costs_quantities[[#This Row],[House Code]],tbl_Assessment[House Code],0),3),"")</f>
        <v/>
      </c>
      <c r="G114" s="115" t="str">
        <f>IF(tbl_estimated_costs_quantities[[#This Row],[House Code]]&lt;&gt;"",INDEX(tbl_Assessment[],MATCH(tbl_estimated_costs_quantities[[#This Row],[House Code]],tbl_Assessment[House Code],0),9),"")</f>
        <v/>
      </c>
      <c r="H11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4" s="75"/>
      <c r="J114" s="37"/>
      <c r="K114" s="86">
        <f>tbl_estimated_costs_quantities[[#This Row],[Site Preparation]]*BOQs!$L$3</f>
        <v>0</v>
      </c>
      <c r="L114" s="76"/>
      <c r="M114" s="37"/>
      <c r="N114" s="86">
        <f>tbl_estimated_costs_quantities[[#This Row],[Demolition Removal Unsafe Structures]]*BOQs!$L$4</f>
        <v>0</v>
      </c>
      <c r="O114" s="76"/>
      <c r="P114" s="37"/>
      <c r="Q114" s="86">
        <f>tbl_estimated_costs_quantities[[#This Row],[Concrete Works]]*BOQs!$L$5</f>
        <v>0</v>
      </c>
      <c r="R114" s="76"/>
      <c r="S114" s="37"/>
      <c r="T114" s="86">
        <f>tbl_estimated_costs_quantities[[#This Row],[Closure External Openings Walls Windows]]*BOQs!$L$6</f>
        <v>0</v>
      </c>
      <c r="U114" s="76"/>
      <c r="V114" s="37"/>
      <c r="W114" s="86">
        <f>tbl_estimated_costs_quantities[[#This Row],[Plastering Painting]]*BOQs!$L$7</f>
        <v>0</v>
      </c>
      <c r="X114" s="76"/>
      <c r="Y114" s="37"/>
      <c r="Z114" s="86">
        <f>tbl_estimated_costs_quantities[[#This Row],[Floor Repairs]]*BOQs!$L$8</f>
        <v>0</v>
      </c>
      <c r="AA114" s="76"/>
      <c r="AB114" s="37"/>
      <c r="AC114" s="86">
        <f>tbl_estimated_costs_quantities[[#This Row],[Doors Replacement Repair]]*BOQs!$L$9</f>
        <v>0</v>
      </c>
      <c r="AD114" s="76"/>
      <c r="AE114" s="37"/>
      <c r="AF114" s="86">
        <f>tbl_estimated_costs_quantities[[#This Row],[Windows Replacement Repair]]*BOQs!$L$10</f>
        <v>0</v>
      </c>
      <c r="AG114" s="76"/>
      <c r="AH114" s="37"/>
      <c r="AI114" s="86">
        <f>tbl_estimated_costs_quantities[[#This Row],[Bathroom Rehabilitation]]*BOQs!$L$11</f>
        <v>0</v>
      </c>
      <c r="AJ114" s="76"/>
      <c r="AK114" s="37"/>
      <c r="AL114" s="86">
        <f>tbl_estimated_costs_quantities[[#This Row],[Ceramic Tile Works WASH]]*BOQs!$L$12</f>
        <v>0</v>
      </c>
      <c r="AM114" s="76"/>
      <c r="AN114" s="37"/>
      <c r="AO114" s="86">
        <f>tbl_estimated_costs_quantities[[#This Row],[Electrical Repairs Lighting]]*BOQs!$L$13</f>
        <v>0</v>
      </c>
      <c r="AP114" s="76"/>
      <c r="AQ114" s="37"/>
      <c r="AR114" s="86">
        <f>tbl_estimated_costs_quantities[[#This Row],[Roof Insulation Leak Sealing]]*BOQs!$L$14</f>
        <v>0</v>
      </c>
      <c r="AS114" s="76"/>
      <c r="AT114" s="37"/>
      <c r="AU114" s="86">
        <f>tbl_estimated_costs_quantities[[#This Row],[Chimney Duct Cleaning Repair]]*BOQs!$L$15</f>
        <v>0</v>
      </c>
      <c r="AV114" s="76"/>
      <c r="AW114" s="37"/>
      <c r="AX114" s="89">
        <f>tbl_estimated_costs_quantities[[#This Row],[Accessibility Adaptations]]*BOQs!$L$16</f>
        <v>0</v>
      </c>
      <c r="AY114" s="86" t="str">
        <f>IF(tbl_estimated_costs_quantities[[#This Row],[Total cost]]&lt;&gt;0,tbl_estimated_costs_quantities[[#This Row],[Total cost]]/BOQs!$A$1,"")</f>
        <v/>
      </c>
      <c r="AZ114" s="37"/>
      <c r="BA114" s="37"/>
      <c r="BB114" s="37"/>
      <c r="BC114" s="37"/>
      <c r="BD114" s="41"/>
      <c r="BE114" s="37"/>
      <c r="BF114" s="37"/>
      <c r="BG114" s="37"/>
      <c r="BH114" s="41"/>
    </row>
    <row r="115" spans="2:60" ht="25.15" customHeight="1" x14ac:dyDescent="0.25">
      <c r="B115" s="49">
        <v>111</v>
      </c>
      <c r="C115" s="37"/>
      <c r="D115" s="41"/>
      <c r="E115" s="40"/>
      <c r="F115" s="87" t="str">
        <f>IF(tbl_estimated_costs_quantities[[#This Row],[House Code]]&lt;&gt;"",INDEX(tbl_Assessment[],MATCH(tbl_estimated_costs_quantities[[#This Row],[House Code]],tbl_Assessment[House Code],0),3),"")</f>
        <v/>
      </c>
      <c r="G115" s="115" t="str">
        <f>IF(tbl_estimated_costs_quantities[[#This Row],[House Code]]&lt;&gt;"",INDEX(tbl_Assessment[],MATCH(tbl_estimated_costs_quantities[[#This Row],[House Code]],tbl_Assessment[House Code],0),9),"")</f>
        <v/>
      </c>
      <c r="H11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5" s="75"/>
      <c r="J115" s="37"/>
      <c r="K115" s="86">
        <f>tbl_estimated_costs_quantities[[#This Row],[Site Preparation]]*BOQs!$L$3</f>
        <v>0</v>
      </c>
      <c r="L115" s="76"/>
      <c r="M115" s="37"/>
      <c r="N115" s="86">
        <f>tbl_estimated_costs_quantities[[#This Row],[Demolition Removal Unsafe Structures]]*BOQs!$L$4</f>
        <v>0</v>
      </c>
      <c r="O115" s="76"/>
      <c r="P115" s="37"/>
      <c r="Q115" s="86">
        <f>tbl_estimated_costs_quantities[[#This Row],[Concrete Works]]*BOQs!$L$5</f>
        <v>0</v>
      </c>
      <c r="R115" s="76"/>
      <c r="S115" s="37"/>
      <c r="T115" s="86">
        <f>tbl_estimated_costs_quantities[[#This Row],[Closure External Openings Walls Windows]]*BOQs!$L$6</f>
        <v>0</v>
      </c>
      <c r="U115" s="76"/>
      <c r="V115" s="37"/>
      <c r="W115" s="86">
        <f>tbl_estimated_costs_quantities[[#This Row],[Plastering Painting]]*BOQs!$L$7</f>
        <v>0</v>
      </c>
      <c r="X115" s="76"/>
      <c r="Y115" s="37"/>
      <c r="Z115" s="86">
        <f>tbl_estimated_costs_quantities[[#This Row],[Floor Repairs]]*BOQs!$L$8</f>
        <v>0</v>
      </c>
      <c r="AA115" s="76"/>
      <c r="AB115" s="37"/>
      <c r="AC115" s="86">
        <f>tbl_estimated_costs_quantities[[#This Row],[Doors Replacement Repair]]*BOQs!$L$9</f>
        <v>0</v>
      </c>
      <c r="AD115" s="76"/>
      <c r="AE115" s="37"/>
      <c r="AF115" s="86">
        <f>tbl_estimated_costs_quantities[[#This Row],[Windows Replacement Repair]]*BOQs!$L$10</f>
        <v>0</v>
      </c>
      <c r="AG115" s="76"/>
      <c r="AH115" s="37"/>
      <c r="AI115" s="86">
        <f>tbl_estimated_costs_quantities[[#This Row],[Bathroom Rehabilitation]]*BOQs!$L$11</f>
        <v>0</v>
      </c>
      <c r="AJ115" s="76"/>
      <c r="AK115" s="37"/>
      <c r="AL115" s="86">
        <f>tbl_estimated_costs_quantities[[#This Row],[Ceramic Tile Works WASH]]*BOQs!$L$12</f>
        <v>0</v>
      </c>
      <c r="AM115" s="76"/>
      <c r="AN115" s="37"/>
      <c r="AO115" s="86">
        <f>tbl_estimated_costs_quantities[[#This Row],[Electrical Repairs Lighting]]*BOQs!$L$13</f>
        <v>0</v>
      </c>
      <c r="AP115" s="76"/>
      <c r="AQ115" s="37"/>
      <c r="AR115" s="86">
        <f>tbl_estimated_costs_quantities[[#This Row],[Roof Insulation Leak Sealing]]*BOQs!$L$14</f>
        <v>0</v>
      </c>
      <c r="AS115" s="76"/>
      <c r="AT115" s="37"/>
      <c r="AU115" s="86">
        <f>tbl_estimated_costs_quantities[[#This Row],[Chimney Duct Cleaning Repair]]*BOQs!$L$15</f>
        <v>0</v>
      </c>
      <c r="AV115" s="76"/>
      <c r="AW115" s="37"/>
      <c r="AX115" s="89">
        <f>tbl_estimated_costs_quantities[[#This Row],[Accessibility Adaptations]]*BOQs!$L$16</f>
        <v>0</v>
      </c>
      <c r="AY115" s="86" t="str">
        <f>IF(tbl_estimated_costs_quantities[[#This Row],[Total cost]]&lt;&gt;0,tbl_estimated_costs_quantities[[#This Row],[Total cost]]/BOQs!$A$1,"")</f>
        <v/>
      </c>
      <c r="AZ115" s="37"/>
      <c r="BA115" s="37"/>
      <c r="BB115" s="37"/>
      <c r="BC115" s="37"/>
      <c r="BD115" s="41"/>
      <c r="BE115" s="37"/>
      <c r="BF115" s="37"/>
      <c r="BG115" s="37"/>
      <c r="BH115" s="41"/>
    </row>
    <row r="116" spans="2:60" ht="25.15" customHeight="1" x14ac:dyDescent="0.25">
      <c r="B116" s="49">
        <v>112</v>
      </c>
      <c r="C116" s="37"/>
      <c r="D116" s="41"/>
      <c r="E116" s="40"/>
      <c r="F116" s="87" t="str">
        <f>IF(tbl_estimated_costs_quantities[[#This Row],[House Code]]&lt;&gt;"",INDEX(tbl_Assessment[],MATCH(tbl_estimated_costs_quantities[[#This Row],[House Code]],tbl_Assessment[House Code],0),3),"")</f>
        <v/>
      </c>
      <c r="G116" s="115" t="str">
        <f>IF(tbl_estimated_costs_quantities[[#This Row],[House Code]]&lt;&gt;"",INDEX(tbl_Assessment[],MATCH(tbl_estimated_costs_quantities[[#This Row],[House Code]],tbl_Assessment[House Code],0),9),"")</f>
        <v/>
      </c>
      <c r="H11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6" s="75"/>
      <c r="J116" s="37"/>
      <c r="K116" s="86">
        <f>tbl_estimated_costs_quantities[[#This Row],[Site Preparation]]*BOQs!$L$3</f>
        <v>0</v>
      </c>
      <c r="L116" s="76"/>
      <c r="M116" s="37"/>
      <c r="N116" s="86">
        <f>tbl_estimated_costs_quantities[[#This Row],[Demolition Removal Unsafe Structures]]*BOQs!$L$4</f>
        <v>0</v>
      </c>
      <c r="O116" s="76"/>
      <c r="P116" s="37"/>
      <c r="Q116" s="86">
        <f>tbl_estimated_costs_quantities[[#This Row],[Concrete Works]]*BOQs!$L$5</f>
        <v>0</v>
      </c>
      <c r="R116" s="76"/>
      <c r="S116" s="37"/>
      <c r="T116" s="86">
        <f>tbl_estimated_costs_quantities[[#This Row],[Closure External Openings Walls Windows]]*BOQs!$L$6</f>
        <v>0</v>
      </c>
      <c r="U116" s="76"/>
      <c r="V116" s="37"/>
      <c r="W116" s="86">
        <f>tbl_estimated_costs_quantities[[#This Row],[Plastering Painting]]*BOQs!$L$7</f>
        <v>0</v>
      </c>
      <c r="X116" s="76"/>
      <c r="Y116" s="37"/>
      <c r="Z116" s="86">
        <f>tbl_estimated_costs_quantities[[#This Row],[Floor Repairs]]*BOQs!$L$8</f>
        <v>0</v>
      </c>
      <c r="AA116" s="76"/>
      <c r="AB116" s="37"/>
      <c r="AC116" s="86">
        <f>tbl_estimated_costs_quantities[[#This Row],[Doors Replacement Repair]]*BOQs!$L$9</f>
        <v>0</v>
      </c>
      <c r="AD116" s="76"/>
      <c r="AE116" s="37"/>
      <c r="AF116" s="86">
        <f>tbl_estimated_costs_quantities[[#This Row],[Windows Replacement Repair]]*BOQs!$L$10</f>
        <v>0</v>
      </c>
      <c r="AG116" s="76"/>
      <c r="AH116" s="37"/>
      <c r="AI116" s="86">
        <f>tbl_estimated_costs_quantities[[#This Row],[Bathroom Rehabilitation]]*BOQs!$L$11</f>
        <v>0</v>
      </c>
      <c r="AJ116" s="76"/>
      <c r="AK116" s="37"/>
      <c r="AL116" s="86">
        <f>tbl_estimated_costs_quantities[[#This Row],[Ceramic Tile Works WASH]]*BOQs!$L$12</f>
        <v>0</v>
      </c>
      <c r="AM116" s="76"/>
      <c r="AN116" s="37"/>
      <c r="AO116" s="86">
        <f>tbl_estimated_costs_quantities[[#This Row],[Electrical Repairs Lighting]]*BOQs!$L$13</f>
        <v>0</v>
      </c>
      <c r="AP116" s="76"/>
      <c r="AQ116" s="37"/>
      <c r="AR116" s="86">
        <f>tbl_estimated_costs_quantities[[#This Row],[Roof Insulation Leak Sealing]]*BOQs!$L$14</f>
        <v>0</v>
      </c>
      <c r="AS116" s="76"/>
      <c r="AT116" s="37"/>
      <c r="AU116" s="86">
        <f>tbl_estimated_costs_quantities[[#This Row],[Chimney Duct Cleaning Repair]]*BOQs!$L$15</f>
        <v>0</v>
      </c>
      <c r="AV116" s="76"/>
      <c r="AW116" s="37"/>
      <c r="AX116" s="89">
        <f>tbl_estimated_costs_quantities[[#This Row],[Accessibility Adaptations]]*BOQs!$L$16</f>
        <v>0</v>
      </c>
      <c r="AY116" s="86" t="str">
        <f>IF(tbl_estimated_costs_quantities[[#This Row],[Total cost]]&lt;&gt;0,tbl_estimated_costs_quantities[[#This Row],[Total cost]]/BOQs!$A$1,"")</f>
        <v/>
      </c>
      <c r="AZ116" s="37"/>
      <c r="BA116" s="37"/>
      <c r="BB116" s="37"/>
      <c r="BC116" s="37"/>
      <c r="BD116" s="41"/>
      <c r="BE116" s="37"/>
      <c r="BF116" s="37"/>
      <c r="BG116" s="37"/>
      <c r="BH116" s="41"/>
    </row>
    <row r="117" spans="2:60" ht="25.15" customHeight="1" x14ac:dyDescent="0.25">
      <c r="B117" s="49">
        <v>113</v>
      </c>
      <c r="C117" s="37"/>
      <c r="D117" s="41"/>
      <c r="E117" s="40"/>
      <c r="F117" s="87" t="str">
        <f>IF(tbl_estimated_costs_quantities[[#This Row],[House Code]]&lt;&gt;"",INDEX(tbl_Assessment[],MATCH(tbl_estimated_costs_quantities[[#This Row],[House Code]],tbl_Assessment[House Code],0),3),"")</f>
        <v/>
      </c>
      <c r="G117" s="115" t="str">
        <f>IF(tbl_estimated_costs_quantities[[#This Row],[House Code]]&lt;&gt;"",INDEX(tbl_Assessment[],MATCH(tbl_estimated_costs_quantities[[#This Row],[House Code]],tbl_Assessment[House Code],0),9),"")</f>
        <v/>
      </c>
      <c r="H11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7" s="75"/>
      <c r="J117" s="37"/>
      <c r="K117" s="86">
        <f>tbl_estimated_costs_quantities[[#This Row],[Site Preparation]]*BOQs!$L$3</f>
        <v>0</v>
      </c>
      <c r="L117" s="76"/>
      <c r="M117" s="37"/>
      <c r="N117" s="86">
        <f>tbl_estimated_costs_quantities[[#This Row],[Demolition Removal Unsafe Structures]]*BOQs!$L$4</f>
        <v>0</v>
      </c>
      <c r="O117" s="76"/>
      <c r="P117" s="37"/>
      <c r="Q117" s="86">
        <f>tbl_estimated_costs_quantities[[#This Row],[Concrete Works]]*BOQs!$L$5</f>
        <v>0</v>
      </c>
      <c r="R117" s="76"/>
      <c r="S117" s="37"/>
      <c r="T117" s="86">
        <f>tbl_estimated_costs_quantities[[#This Row],[Closure External Openings Walls Windows]]*BOQs!$L$6</f>
        <v>0</v>
      </c>
      <c r="U117" s="76"/>
      <c r="V117" s="37"/>
      <c r="W117" s="86">
        <f>tbl_estimated_costs_quantities[[#This Row],[Plastering Painting]]*BOQs!$L$7</f>
        <v>0</v>
      </c>
      <c r="X117" s="76"/>
      <c r="Y117" s="37"/>
      <c r="Z117" s="86">
        <f>tbl_estimated_costs_quantities[[#This Row],[Floor Repairs]]*BOQs!$L$8</f>
        <v>0</v>
      </c>
      <c r="AA117" s="76"/>
      <c r="AB117" s="37"/>
      <c r="AC117" s="86">
        <f>tbl_estimated_costs_quantities[[#This Row],[Doors Replacement Repair]]*BOQs!$L$9</f>
        <v>0</v>
      </c>
      <c r="AD117" s="76"/>
      <c r="AE117" s="37"/>
      <c r="AF117" s="86">
        <f>tbl_estimated_costs_quantities[[#This Row],[Windows Replacement Repair]]*BOQs!$L$10</f>
        <v>0</v>
      </c>
      <c r="AG117" s="76"/>
      <c r="AH117" s="37"/>
      <c r="AI117" s="86">
        <f>tbl_estimated_costs_quantities[[#This Row],[Bathroom Rehabilitation]]*BOQs!$L$11</f>
        <v>0</v>
      </c>
      <c r="AJ117" s="76"/>
      <c r="AK117" s="37"/>
      <c r="AL117" s="86">
        <f>tbl_estimated_costs_quantities[[#This Row],[Ceramic Tile Works WASH]]*BOQs!$L$12</f>
        <v>0</v>
      </c>
      <c r="AM117" s="76"/>
      <c r="AN117" s="37"/>
      <c r="AO117" s="86">
        <f>tbl_estimated_costs_quantities[[#This Row],[Electrical Repairs Lighting]]*BOQs!$L$13</f>
        <v>0</v>
      </c>
      <c r="AP117" s="76"/>
      <c r="AQ117" s="37"/>
      <c r="AR117" s="86">
        <f>tbl_estimated_costs_quantities[[#This Row],[Roof Insulation Leak Sealing]]*BOQs!$L$14</f>
        <v>0</v>
      </c>
      <c r="AS117" s="76"/>
      <c r="AT117" s="37"/>
      <c r="AU117" s="86">
        <f>tbl_estimated_costs_quantities[[#This Row],[Chimney Duct Cleaning Repair]]*BOQs!$L$15</f>
        <v>0</v>
      </c>
      <c r="AV117" s="76"/>
      <c r="AW117" s="37"/>
      <c r="AX117" s="89">
        <f>tbl_estimated_costs_quantities[[#This Row],[Accessibility Adaptations]]*BOQs!$L$16</f>
        <v>0</v>
      </c>
      <c r="AY117" s="86" t="str">
        <f>IF(tbl_estimated_costs_quantities[[#This Row],[Total cost]]&lt;&gt;0,tbl_estimated_costs_quantities[[#This Row],[Total cost]]/BOQs!$A$1,"")</f>
        <v/>
      </c>
      <c r="AZ117" s="37"/>
      <c r="BA117" s="37"/>
      <c r="BB117" s="37"/>
      <c r="BC117" s="37"/>
      <c r="BD117" s="41"/>
      <c r="BE117" s="37"/>
      <c r="BF117" s="37"/>
      <c r="BG117" s="37"/>
      <c r="BH117" s="41"/>
    </row>
    <row r="118" spans="2:60" ht="25.15" customHeight="1" x14ac:dyDescent="0.25">
      <c r="B118" s="49">
        <v>114</v>
      </c>
      <c r="C118" s="37"/>
      <c r="D118" s="41"/>
      <c r="E118" s="40"/>
      <c r="F118" s="87" t="str">
        <f>IF(tbl_estimated_costs_quantities[[#This Row],[House Code]]&lt;&gt;"",INDEX(tbl_Assessment[],MATCH(tbl_estimated_costs_quantities[[#This Row],[House Code]],tbl_Assessment[House Code],0),3),"")</f>
        <v/>
      </c>
      <c r="G118" s="115" t="str">
        <f>IF(tbl_estimated_costs_quantities[[#This Row],[House Code]]&lt;&gt;"",INDEX(tbl_Assessment[],MATCH(tbl_estimated_costs_quantities[[#This Row],[House Code]],tbl_Assessment[House Code],0),9),"")</f>
        <v/>
      </c>
      <c r="H11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8" s="75"/>
      <c r="J118" s="37"/>
      <c r="K118" s="86">
        <f>tbl_estimated_costs_quantities[[#This Row],[Site Preparation]]*BOQs!$L$3</f>
        <v>0</v>
      </c>
      <c r="L118" s="76"/>
      <c r="M118" s="37"/>
      <c r="N118" s="86">
        <f>tbl_estimated_costs_quantities[[#This Row],[Demolition Removal Unsafe Structures]]*BOQs!$L$4</f>
        <v>0</v>
      </c>
      <c r="O118" s="76"/>
      <c r="P118" s="37"/>
      <c r="Q118" s="86">
        <f>tbl_estimated_costs_quantities[[#This Row],[Concrete Works]]*BOQs!$L$5</f>
        <v>0</v>
      </c>
      <c r="R118" s="76"/>
      <c r="S118" s="37"/>
      <c r="T118" s="86">
        <f>tbl_estimated_costs_quantities[[#This Row],[Closure External Openings Walls Windows]]*BOQs!$L$6</f>
        <v>0</v>
      </c>
      <c r="U118" s="76"/>
      <c r="V118" s="37"/>
      <c r="W118" s="86">
        <f>tbl_estimated_costs_quantities[[#This Row],[Plastering Painting]]*BOQs!$L$7</f>
        <v>0</v>
      </c>
      <c r="X118" s="76"/>
      <c r="Y118" s="37"/>
      <c r="Z118" s="86">
        <f>tbl_estimated_costs_quantities[[#This Row],[Floor Repairs]]*BOQs!$L$8</f>
        <v>0</v>
      </c>
      <c r="AA118" s="76"/>
      <c r="AB118" s="37"/>
      <c r="AC118" s="86">
        <f>tbl_estimated_costs_quantities[[#This Row],[Doors Replacement Repair]]*BOQs!$L$9</f>
        <v>0</v>
      </c>
      <c r="AD118" s="76"/>
      <c r="AE118" s="37"/>
      <c r="AF118" s="86">
        <f>tbl_estimated_costs_quantities[[#This Row],[Windows Replacement Repair]]*BOQs!$L$10</f>
        <v>0</v>
      </c>
      <c r="AG118" s="76"/>
      <c r="AH118" s="37"/>
      <c r="AI118" s="86">
        <f>tbl_estimated_costs_quantities[[#This Row],[Bathroom Rehabilitation]]*BOQs!$L$11</f>
        <v>0</v>
      </c>
      <c r="AJ118" s="76"/>
      <c r="AK118" s="37"/>
      <c r="AL118" s="86">
        <f>tbl_estimated_costs_quantities[[#This Row],[Ceramic Tile Works WASH]]*BOQs!$L$12</f>
        <v>0</v>
      </c>
      <c r="AM118" s="76"/>
      <c r="AN118" s="37"/>
      <c r="AO118" s="86">
        <f>tbl_estimated_costs_quantities[[#This Row],[Electrical Repairs Lighting]]*BOQs!$L$13</f>
        <v>0</v>
      </c>
      <c r="AP118" s="76"/>
      <c r="AQ118" s="37"/>
      <c r="AR118" s="86">
        <f>tbl_estimated_costs_quantities[[#This Row],[Roof Insulation Leak Sealing]]*BOQs!$L$14</f>
        <v>0</v>
      </c>
      <c r="AS118" s="76"/>
      <c r="AT118" s="37"/>
      <c r="AU118" s="86">
        <f>tbl_estimated_costs_quantities[[#This Row],[Chimney Duct Cleaning Repair]]*BOQs!$L$15</f>
        <v>0</v>
      </c>
      <c r="AV118" s="76"/>
      <c r="AW118" s="37"/>
      <c r="AX118" s="89">
        <f>tbl_estimated_costs_quantities[[#This Row],[Accessibility Adaptations]]*BOQs!$L$16</f>
        <v>0</v>
      </c>
      <c r="AY118" s="86" t="str">
        <f>IF(tbl_estimated_costs_quantities[[#This Row],[Total cost]]&lt;&gt;0,tbl_estimated_costs_quantities[[#This Row],[Total cost]]/BOQs!$A$1,"")</f>
        <v/>
      </c>
      <c r="AZ118" s="37"/>
      <c r="BA118" s="37"/>
      <c r="BB118" s="37"/>
      <c r="BC118" s="37"/>
      <c r="BD118" s="41"/>
      <c r="BE118" s="37"/>
      <c r="BF118" s="37"/>
      <c r="BG118" s="37"/>
      <c r="BH118" s="41"/>
    </row>
    <row r="119" spans="2:60" ht="25.15" customHeight="1" x14ac:dyDescent="0.25">
      <c r="B119" s="49">
        <v>115</v>
      </c>
      <c r="C119" s="37"/>
      <c r="D119" s="41"/>
      <c r="E119" s="40"/>
      <c r="F119" s="87" t="str">
        <f>IF(tbl_estimated_costs_quantities[[#This Row],[House Code]]&lt;&gt;"",INDEX(tbl_Assessment[],MATCH(tbl_estimated_costs_quantities[[#This Row],[House Code]],tbl_Assessment[House Code],0),3),"")</f>
        <v/>
      </c>
      <c r="G119" s="115" t="str">
        <f>IF(tbl_estimated_costs_quantities[[#This Row],[House Code]]&lt;&gt;"",INDEX(tbl_Assessment[],MATCH(tbl_estimated_costs_quantities[[#This Row],[House Code]],tbl_Assessment[House Code],0),9),"")</f>
        <v/>
      </c>
      <c r="H11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19" s="75"/>
      <c r="J119" s="37"/>
      <c r="K119" s="86">
        <f>tbl_estimated_costs_quantities[[#This Row],[Site Preparation]]*BOQs!$L$3</f>
        <v>0</v>
      </c>
      <c r="L119" s="76"/>
      <c r="M119" s="37"/>
      <c r="N119" s="86">
        <f>tbl_estimated_costs_quantities[[#This Row],[Demolition Removal Unsafe Structures]]*BOQs!$L$4</f>
        <v>0</v>
      </c>
      <c r="O119" s="76"/>
      <c r="P119" s="37"/>
      <c r="Q119" s="86">
        <f>tbl_estimated_costs_quantities[[#This Row],[Concrete Works]]*BOQs!$L$5</f>
        <v>0</v>
      </c>
      <c r="R119" s="76"/>
      <c r="S119" s="37"/>
      <c r="T119" s="86">
        <f>tbl_estimated_costs_quantities[[#This Row],[Closure External Openings Walls Windows]]*BOQs!$L$6</f>
        <v>0</v>
      </c>
      <c r="U119" s="76"/>
      <c r="V119" s="37"/>
      <c r="W119" s="86">
        <f>tbl_estimated_costs_quantities[[#This Row],[Plastering Painting]]*BOQs!$L$7</f>
        <v>0</v>
      </c>
      <c r="X119" s="76"/>
      <c r="Y119" s="37"/>
      <c r="Z119" s="86">
        <f>tbl_estimated_costs_quantities[[#This Row],[Floor Repairs]]*BOQs!$L$8</f>
        <v>0</v>
      </c>
      <c r="AA119" s="76"/>
      <c r="AB119" s="37"/>
      <c r="AC119" s="86">
        <f>tbl_estimated_costs_quantities[[#This Row],[Doors Replacement Repair]]*BOQs!$L$9</f>
        <v>0</v>
      </c>
      <c r="AD119" s="76"/>
      <c r="AE119" s="37"/>
      <c r="AF119" s="86">
        <f>tbl_estimated_costs_quantities[[#This Row],[Windows Replacement Repair]]*BOQs!$L$10</f>
        <v>0</v>
      </c>
      <c r="AG119" s="76"/>
      <c r="AH119" s="37"/>
      <c r="AI119" s="86">
        <f>tbl_estimated_costs_quantities[[#This Row],[Bathroom Rehabilitation]]*BOQs!$L$11</f>
        <v>0</v>
      </c>
      <c r="AJ119" s="76"/>
      <c r="AK119" s="37"/>
      <c r="AL119" s="86">
        <f>tbl_estimated_costs_quantities[[#This Row],[Ceramic Tile Works WASH]]*BOQs!$L$12</f>
        <v>0</v>
      </c>
      <c r="AM119" s="76"/>
      <c r="AN119" s="37"/>
      <c r="AO119" s="86">
        <f>tbl_estimated_costs_quantities[[#This Row],[Electrical Repairs Lighting]]*BOQs!$L$13</f>
        <v>0</v>
      </c>
      <c r="AP119" s="76"/>
      <c r="AQ119" s="37"/>
      <c r="AR119" s="86">
        <f>tbl_estimated_costs_quantities[[#This Row],[Roof Insulation Leak Sealing]]*BOQs!$L$14</f>
        <v>0</v>
      </c>
      <c r="AS119" s="76"/>
      <c r="AT119" s="37"/>
      <c r="AU119" s="86">
        <f>tbl_estimated_costs_quantities[[#This Row],[Chimney Duct Cleaning Repair]]*BOQs!$L$15</f>
        <v>0</v>
      </c>
      <c r="AV119" s="76"/>
      <c r="AW119" s="37"/>
      <c r="AX119" s="89">
        <f>tbl_estimated_costs_quantities[[#This Row],[Accessibility Adaptations]]*BOQs!$L$16</f>
        <v>0</v>
      </c>
      <c r="AY119" s="86" t="str">
        <f>IF(tbl_estimated_costs_quantities[[#This Row],[Total cost]]&lt;&gt;0,tbl_estimated_costs_quantities[[#This Row],[Total cost]]/BOQs!$A$1,"")</f>
        <v/>
      </c>
      <c r="AZ119" s="37"/>
      <c r="BA119" s="37"/>
      <c r="BB119" s="37"/>
      <c r="BC119" s="37"/>
      <c r="BD119" s="41"/>
      <c r="BE119" s="37"/>
      <c r="BF119" s="37"/>
      <c r="BG119" s="37"/>
      <c r="BH119" s="41"/>
    </row>
    <row r="120" spans="2:60" ht="25.15" customHeight="1" x14ac:dyDescent="0.25">
      <c r="B120" s="49">
        <v>116</v>
      </c>
      <c r="C120" s="37"/>
      <c r="D120" s="41"/>
      <c r="E120" s="40"/>
      <c r="F120" s="87" t="str">
        <f>IF(tbl_estimated_costs_quantities[[#This Row],[House Code]]&lt;&gt;"",INDEX(tbl_Assessment[],MATCH(tbl_estimated_costs_quantities[[#This Row],[House Code]],tbl_Assessment[House Code],0),3),"")</f>
        <v/>
      </c>
      <c r="G120" s="115" t="str">
        <f>IF(tbl_estimated_costs_quantities[[#This Row],[House Code]]&lt;&gt;"",INDEX(tbl_Assessment[],MATCH(tbl_estimated_costs_quantities[[#This Row],[House Code]],tbl_Assessment[House Code],0),9),"")</f>
        <v/>
      </c>
      <c r="H12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0" s="75"/>
      <c r="J120" s="37"/>
      <c r="K120" s="86">
        <f>tbl_estimated_costs_quantities[[#This Row],[Site Preparation]]*BOQs!$L$3</f>
        <v>0</v>
      </c>
      <c r="L120" s="76"/>
      <c r="M120" s="37"/>
      <c r="N120" s="86">
        <f>tbl_estimated_costs_quantities[[#This Row],[Demolition Removal Unsafe Structures]]*BOQs!$L$4</f>
        <v>0</v>
      </c>
      <c r="O120" s="76"/>
      <c r="P120" s="37"/>
      <c r="Q120" s="86">
        <f>tbl_estimated_costs_quantities[[#This Row],[Concrete Works]]*BOQs!$L$5</f>
        <v>0</v>
      </c>
      <c r="R120" s="76"/>
      <c r="S120" s="37"/>
      <c r="T120" s="86">
        <f>tbl_estimated_costs_quantities[[#This Row],[Closure External Openings Walls Windows]]*BOQs!$L$6</f>
        <v>0</v>
      </c>
      <c r="U120" s="76"/>
      <c r="V120" s="37"/>
      <c r="W120" s="86">
        <f>tbl_estimated_costs_quantities[[#This Row],[Plastering Painting]]*BOQs!$L$7</f>
        <v>0</v>
      </c>
      <c r="X120" s="76"/>
      <c r="Y120" s="37"/>
      <c r="Z120" s="86">
        <f>tbl_estimated_costs_quantities[[#This Row],[Floor Repairs]]*BOQs!$L$8</f>
        <v>0</v>
      </c>
      <c r="AA120" s="76"/>
      <c r="AB120" s="37"/>
      <c r="AC120" s="86">
        <f>tbl_estimated_costs_quantities[[#This Row],[Doors Replacement Repair]]*BOQs!$L$9</f>
        <v>0</v>
      </c>
      <c r="AD120" s="76"/>
      <c r="AE120" s="37"/>
      <c r="AF120" s="86">
        <f>tbl_estimated_costs_quantities[[#This Row],[Windows Replacement Repair]]*BOQs!$L$10</f>
        <v>0</v>
      </c>
      <c r="AG120" s="76"/>
      <c r="AH120" s="37"/>
      <c r="AI120" s="86">
        <f>tbl_estimated_costs_quantities[[#This Row],[Bathroom Rehabilitation]]*BOQs!$L$11</f>
        <v>0</v>
      </c>
      <c r="AJ120" s="76"/>
      <c r="AK120" s="37"/>
      <c r="AL120" s="86">
        <f>tbl_estimated_costs_quantities[[#This Row],[Ceramic Tile Works WASH]]*BOQs!$L$12</f>
        <v>0</v>
      </c>
      <c r="AM120" s="76"/>
      <c r="AN120" s="37"/>
      <c r="AO120" s="86">
        <f>tbl_estimated_costs_quantities[[#This Row],[Electrical Repairs Lighting]]*BOQs!$L$13</f>
        <v>0</v>
      </c>
      <c r="AP120" s="76"/>
      <c r="AQ120" s="37"/>
      <c r="AR120" s="86">
        <f>tbl_estimated_costs_quantities[[#This Row],[Roof Insulation Leak Sealing]]*BOQs!$L$14</f>
        <v>0</v>
      </c>
      <c r="AS120" s="76"/>
      <c r="AT120" s="37"/>
      <c r="AU120" s="86">
        <f>tbl_estimated_costs_quantities[[#This Row],[Chimney Duct Cleaning Repair]]*BOQs!$L$15</f>
        <v>0</v>
      </c>
      <c r="AV120" s="76"/>
      <c r="AW120" s="37"/>
      <c r="AX120" s="89">
        <f>tbl_estimated_costs_quantities[[#This Row],[Accessibility Adaptations]]*BOQs!$L$16</f>
        <v>0</v>
      </c>
      <c r="AY120" s="86" t="str">
        <f>IF(tbl_estimated_costs_quantities[[#This Row],[Total cost]]&lt;&gt;0,tbl_estimated_costs_quantities[[#This Row],[Total cost]]/BOQs!$A$1,"")</f>
        <v/>
      </c>
      <c r="AZ120" s="37"/>
      <c r="BA120" s="37"/>
      <c r="BB120" s="37"/>
      <c r="BC120" s="37"/>
      <c r="BD120" s="41"/>
      <c r="BE120" s="37"/>
      <c r="BF120" s="37"/>
      <c r="BG120" s="37"/>
      <c r="BH120" s="41"/>
    </row>
    <row r="121" spans="2:60" ht="25.15" customHeight="1" x14ac:dyDescent="0.25">
      <c r="B121" s="49">
        <v>117</v>
      </c>
      <c r="C121" s="37"/>
      <c r="D121" s="41"/>
      <c r="E121" s="40"/>
      <c r="F121" s="87" t="str">
        <f>IF(tbl_estimated_costs_quantities[[#This Row],[House Code]]&lt;&gt;"",INDEX(tbl_Assessment[],MATCH(tbl_estimated_costs_quantities[[#This Row],[House Code]],tbl_Assessment[House Code],0),3),"")</f>
        <v/>
      </c>
      <c r="G121" s="115" t="str">
        <f>IF(tbl_estimated_costs_quantities[[#This Row],[House Code]]&lt;&gt;"",INDEX(tbl_Assessment[],MATCH(tbl_estimated_costs_quantities[[#This Row],[House Code]],tbl_Assessment[House Code],0),9),"")</f>
        <v/>
      </c>
      <c r="H12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1" s="75"/>
      <c r="J121" s="37"/>
      <c r="K121" s="86">
        <f>tbl_estimated_costs_quantities[[#This Row],[Site Preparation]]*BOQs!$L$3</f>
        <v>0</v>
      </c>
      <c r="L121" s="76"/>
      <c r="M121" s="37"/>
      <c r="N121" s="86">
        <f>tbl_estimated_costs_quantities[[#This Row],[Demolition Removal Unsafe Structures]]*BOQs!$L$4</f>
        <v>0</v>
      </c>
      <c r="O121" s="76"/>
      <c r="P121" s="37"/>
      <c r="Q121" s="86">
        <f>tbl_estimated_costs_quantities[[#This Row],[Concrete Works]]*BOQs!$L$5</f>
        <v>0</v>
      </c>
      <c r="R121" s="76"/>
      <c r="S121" s="37"/>
      <c r="T121" s="86">
        <f>tbl_estimated_costs_quantities[[#This Row],[Closure External Openings Walls Windows]]*BOQs!$L$6</f>
        <v>0</v>
      </c>
      <c r="U121" s="76"/>
      <c r="V121" s="37"/>
      <c r="W121" s="86">
        <f>tbl_estimated_costs_quantities[[#This Row],[Plastering Painting]]*BOQs!$L$7</f>
        <v>0</v>
      </c>
      <c r="X121" s="76"/>
      <c r="Y121" s="37"/>
      <c r="Z121" s="86">
        <f>tbl_estimated_costs_quantities[[#This Row],[Floor Repairs]]*BOQs!$L$8</f>
        <v>0</v>
      </c>
      <c r="AA121" s="76"/>
      <c r="AB121" s="37"/>
      <c r="AC121" s="86">
        <f>tbl_estimated_costs_quantities[[#This Row],[Doors Replacement Repair]]*BOQs!$L$9</f>
        <v>0</v>
      </c>
      <c r="AD121" s="76"/>
      <c r="AE121" s="37"/>
      <c r="AF121" s="86">
        <f>tbl_estimated_costs_quantities[[#This Row],[Windows Replacement Repair]]*BOQs!$L$10</f>
        <v>0</v>
      </c>
      <c r="AG121" s="76"/>
      <c r="AH121" s="37"/>
      <c r="AI121" s="86">
        <f>tbl_estimated_costs_quantities[[#This Row],[Bathroom Rehabilitation]]*BOQs!$L$11</f>
        <v>0</v>
      </c>
      <c r="AJ121" s="76"/>
      <c r="AK121" s="37"/>
      <c r="AL121" s="86">
        <f>tbl_estimated_costs_quantities[[#This Row],[Ceramic Tile Works WASH]]*BOQs!$L$12</f>
        <v>0</v>
      </c>
      <c r="AM121" s="76"/>
      <c r="AN121" s="37"/>
      <c r="AO121" s="86">
        <f>tbl_estimated_costs_quantities[[#This Row],[Electrical Repairs Lighting]]*BOQs!$L$13</f>
        <v>0</v>
      </c>
      <c r="AP121" s="76"/>
      <c r="AQ121" s="37"/>
      <c r="AR121" s="86">
        <f>tbl_estimated_costs_quantities[[#This Row],[Roof Insulation Leak Sealing]]*BOQs!$L$14</f>
        <v>0</v>
      </c>
      <c r="AS121" s="76"/>
      <c r="AT121" s="37"/>
      <c r="AU121" s="86">
        <f>tbl_estimated_costs_quantities[[#This Row],[Chimney Duct Cleaning Repair]]*BOQs!$L$15</f>
        <v>0</v>
      </c>
      <c r="AV121" s="76"/>
      <c r="AW121" s="37"/>
      <c r="AX121" s="89">
        <f>tbl_estimated_costs_quantities[[#This Row],[Accessibility Adaptations]]*BOQs!$L$16</f>
        <v>0</v>
      </c>
      <c r="AY121" s="86" t="str">
        <f>IF(tbl_estimated_costs_quantities[[#This Row],[Total cost]]&lt;&gt;0,tbl_estimated_costs_quantities[[#This Row],[Total cost]]/BOQs!$A$1,"")</f>
        <v/>
      </c>
      <c r="AZ121" s="37"/>
      <c r="BA121" s="37"/>
      <c r="BB121" s="37"/>
      <c r="BC121" s="37"/>
      <c r="BD121" s="41"/>
      <c r="BE121" s="37"/>
      <c r="BF121" s="37"/>
      <c r="BG121" s="37"/>
      <c r="BH121" s="41"/>
    </row>
    <row r="122" spans="2:60" ht="25.15" customHeight="1" x14ac:dyDescent="0.25">
      <c r="B122" s="49">
        <v>118</v>
      </c>
      <c r="C122" s="37"/>
      <c r="D122" s="41"/>
      <c r="E122" s="40"/>
      <c r="F122" s="87" t="str">
        <f>IF(tbl_estimated_costs_quantities[[#This Row],[House Code]]&lt;&gt;"",INDEX(tbl_Assessment[],MATCH(tbl_estimated_costs_quantities[[#This Row],[House Code]],tbl_Assessment[House Code],0),3),"")</f>
        <v/>
      </c>
      <c r="G122" s="115" t="str">
        <f>IF(tbl_estimated_costs_quantities[[#This Row],[House Code]]&lt;&gt;"",INDEX(tbl_Assessment[],MATCH(tbl_estimated_costs_quantities[[#This Row],[House Code]],tbl_Assessment[House Code],0),9),"")</f>
        <v/>
      </c>
      <c r="H12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2" s="75"/>
      <c r="J122" s="37"/>
      <c r="K122" s="86">
        <f>tbl_estimated_costs_quantities[[#This Row],[Site Preparation]]*BOQs!$L$3</f>
        <v>0</v>
      </c>
      <c r="L122" s="76"/>
      <c r="M122" s="37"/>
      <c r="N122" s="86">
        <f>tbl_estimated_costs_quantities[[#This Row],[Demolition Removal Unsafe Structures]]*BOQs!$L$4</f>
        <v>0</v>
      </c>
      <c r="O122" s="76"/>
      <c r="P122" s="37"/>
      <c r="Q122" s="86">
        <f>tbl_estimated_costs_quantities[[#This Row],[Concrete Works]]*BOQs!$L$5</f>
        <v>0</v>
      </c>
      <c r="R122" s="76"/>
      <c r="S122" s="37"/>
      <c r="T122" s="86">
        <f>tbl_estimated_costs_quantities[[#This Row],[Closure External Openings Walls Windows]]*BOQs!$L$6</f>
        <v>0</v>
      </c>
      <c r="U122" s="76"/>
      <c r="V122" s="37"/>
      <c r="W122" s="86">
        <f>tbl_estimated_costs_quantities[[#This Row],[Plastering Painting]]*BOQs!$L$7</f>
        <v>0</v>
      </c>
      <c r="X122" s="76"/>
      <c r="Y122" s="37"/>
      <c r="Z122" s="86">
        <f>tbl_estimated_costs_quantities[[#This Row],[Floor Repairs]]*BOQs!$L$8</f>
        <v>0</v>
      </c>
      <c r="AA122" s="76"/>
      <c r="AB122" s="37"/>
      <c r="AC122" s="86">
        <f>tbl_estimated_costs_quantities[[#This Row],[Doors Replacement Repair]]*BOQs!$L$9</f>
        <v>0</v>
      </c>
      <c r="AD122" s="76"/>
      <c r="AE122" s="37"/>
      <c r="AF122" s="86">
        <f>tbl_estimated_costs_quantities[[#This Row],[Windows Replacement Repair]]*BOQs!$L$10</f>
        <v>0</v>
      </c>
      <c r="AG122" s="76"/>
      <c r="AH122" s="37"/>
      <c r="AI122" s="86">
        <f>tbl_estimated_costs_quantities[[#This Row],[Bathroom Rehabilitation]]*BOQs!$L$11</f>
        <v>0</v>
      </c>
      <c r="AJ122" s="76"/>
      <c r="AK122" s="37"/>
      <c r="AL122" s="86">
        <f>tbl_estimated_costs_quantities[[#This Row],[Ceramic Tile Works WASH]]*BOQs!$L$12</f>
        <v>0</v>
      </c>
      <c r="AM122" s="76"/>
      <c r="AN122" s="37"/>
      <c r="AO122" s="86">
        <f>tbl_estimated_costs_quantities[[#This Row],[Electrical Repairs Lighting]]*BOQs!$L$13</f>
        <v>0</v>
      </c>
      <c r="AP122" s="76"/>
      <c r="AQ122" s="37"/>
      <c r="AR122" s="86">
        <f>tbl_estimated_costs_quantities[[#This Row],[Roof Insulation Leak Sealing]]*BOQs!$L$14</f>
        <v>0</v>
      </c>
      <c r="AS122" s="76"/>
      <c r="AT122" s="37"/>
      <c r="AU122" s="86">
        <f>tbl_estimated_costs_quantities[[#This Row],[Chimney Duct Cleaning Repair]]*BOQs!$L$15</f>
        <v>0</v>
      </c>
      <c r="AV122" s="76"/>
      <c r="AW122" s="37"/>
      <c r="AX122" s="89">
        <f>tbl_estimated_costs_quantities[[#This Row],[Accessibility Adaptations]]*BOQs!$L$16</f>
        <v>0</v>
      </c>
      <c r="AY122" s="86" t="str">
        <f>IF(tbl_estimated_costs_quantities[[#This Row],[Total cost]]&lt;&gt;0,tbl_estimated_costs_quantities[[#This Row],[Total cost]]/BOQs!$A$1,"")</f>
        <v/>
      </c>
      <c r="AZ122" s="37"/>
      <c r="BA122" s="37"/>
      <c r="BB122" s="37"/>
      <c r="BC122" s="37"/>
      <c r="BD122" s="41"/>
      <c r="BE122" s="37"/>
      <c r="BF122" s="37"/>
      <c r="BG122" s="37"/>
      <c r="BH122" s="41"/>
    </row>
    <row r="123" spans="2:60" ht="25.15" customHeight="1" x14ac:dyDescent="0.25">
      <c r="B123" s="49">
        <v>119</v>
      </c>
      <c r="C123" s="37"/>
      <c r="D123" s="41"/>
      <c r="E123" s="40"/>
      <c r="F123" s="87" t="str">
        <f>IF(tbl_estimated_costs_quantities[[#This Row],[House Code]]&lt;&gt;"",INDEX(tbl_Assessment[],MATCH(tbl_estimated_costs_quantities[[#This Row],[House Code]],tbl_Assessment[House Code],0),3),"")</f>
        <v/>
      </c>
      <c r="G123" s="115" t="str">
        <f>IF(tbl_estimated_costs_quantities[[#This Row],[House Code]]&lt;&gt;"",INDEX(tbl_Assessment[],MATCH(tbl_estimated_costs_quantities[[#This Row],[House Code]],tbl_Assessment[House Code],0),9),"")</f>
        <v/>
      </c>
      <c r="H12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3" s="75"/>
      <c r="J123" s="37"/>
      <c r="K123" s="86">
        <f>tbl_estimated_costs_quantities[[#This Row],[Site Preparation]]*BOQs!$L$3</f>
        <v>0</v>
      </c>
      <c r="L123" s="76"/>
      <c r="M123" s="37"/>
      <c r="N123" s="86">
        <f>tbl_estimated_costs_quantities[[#This Row],[Demolition Removal Unsafe Structures]]*BOQs!$L$4</f>
        <v>0</v>
      </c>
      <c r="O123" s="76"/>
      <c r="P123" s="37"/>
      <c r="Q123" s="86">
        <f>tbl_estimated_costs_quantities[[#This Row],[Concrete Works]]*BOQs!$L$5</f>
        <v>0</v>
      </c>
      <c r="R123" s="76"/>
      <c r="S123" s="37"/>
      <c r="T123" s="86">
        <f>tbl_estimated_costs_quantities[[#This Row],[Closure External Openings Walls Windows]]*BOQs!$L$6</f>
        <v>0</v>
      </c>
      <c r="U123" s="76"/>
      <c r="V123" s="37"/>
      <c r="W123" s="86">
        <f>tbl_estimated_costs_quantities[[#This Row],[Plastering Painting]]*BOQs!$L$7</f>
        <v>0</v>
      </c>
      <c r="X123" s="76"/>
      <c r="Y123" s="37"/>
      <c r="Z123" s="86">
        <f>tbl_estimated_costs_quantities[[#This Row],[Floor Repairs]]*BOQs!$L$8</f>
        <v>0</v>
      </c>
      <c r="AA123" s="76"/>
      <c r="AB123" s="37"/>
      <c r="AC123" s="86">
        <f>tbl_estimated_costs_quantities[[#This Row],[Doors Replacement Repair]]*BOQs!$L$9</f>
        <v>0</v>
      </c>
      <c r="AD123" s="76"/>
      <c r="AE123" s="37"/>
      <c r="AF123" s="86">
        <f>tbl_estimated_costs_quantities[[#This Row],[Windows Replacement Repair]]*BOQs!$L$10</f>
        <v>0</v>
      </c>
      <c r="AG123" s="76"/>
      <c r="AH123" s="37"/>
      <c r="AI123" s="86">
        <f>tbl_estimated_costs_quantities[[#This Row],[Bathroom Rehabilitation]]*BOQs!$L$11</f>
        <v>0</v>
      </c>
      <c r="AJ123" s="76"/>
      <c r="AK123" s="37"/>
      <c r="AL123" s="86">
        <f>tbl_estimated_costs_quantities[[#This Row],[Ceramic Tile Works WASH]]*BOQs!$L$12</f>
        <v>0</v>
      </c>
      <c r="AM123" s="76"/>
      <c r="AN123" s="37"/>
      <c r="AO123" s="86">
        <f>tbl_estimated_costs_quantities[[#This Row],[Electrical Repairs Lighting]]*BOQs!$L$13</f>
        <v>0</v>
      </c>
      <c r="AP123" s="76"/>
      <c r="AQ123" s="37"/>
      <c r="AR123" s="86">
        <f>tbl_estimated_costs_quantities[[#This Row],[Roof Insulation Leak Sealing]]*BOQs!$L$14</f>
        <v>0</v>
      </c>
      <c r="AS123" s="76"/>
      <c r="AT123" s="37"/>
      <c r="AU123" s="86">
        <f>tbl_estimated_costs_quantities[[#This Row],[Chimney Duct Cleaning Repair]]*BOQs!$L$15</f>
        <v>0</v>
      </c>
      <c r="AV123" s="76"/>
      <c r="AW123" s="37"/>
      <c r="AX123" s="89">
        <f>tbl_estimated_costs_quantities[[#This Row],[Accessibility Adaptations]]*BOQs!$L$16</f>
        <v>0</v>
      </c>
      <c r="AY123" s="86" t="str">
        <f>IF(tbl_estimated_costs_quantities[[#This Row],[Total cost]]&lt;&gt;0,tbl_estimated_costs_quantities[[#This Row],[Total cost]]/BOQs!$A$1,"")</f>
        <v/>
      </c>
      <c r="AZ123" s="37"/>
      <c r="BA123" s="37"/>
      <c r="BB123" s="37"/>
      <c r="BC123" s="37"/>
      <c r="BD123" s="41"/>
      <c r="BE123" s="37"/>
      <c r="BF123" s="37"/>
      <c r="BG123" s="37"/>
      <c r="BH123" s="41"/>
    </row>
    <row r="124" spans="2:60" ht="25.15" customHeight="1" x14ac:dyDescent="0.25">
      <c r="B124" s="49">
        <v>120</v>
      </c>
      <c r="C124" s="37"/>
      <c r="D124" s="41"/>
      <c r="E124" s="40"/>
      <c r="F124" s="87" t="str">
        <f>IF(tbl_estimated_costs_quantities[[#This Row],[House Code]]&lt;&gt;"",INDEX(tbl_Assessment[],MATCH(tbl_estimated_costs_quantities[[#This Row],[House Code]],tbl_Assessment[House Code],0),3),"")</f>
        <v/>
      </c>
      <c r="G124" s="115" t="str">
        <f>IF(tbl_estimated_costs_quantities[[#This Row],[House Code]]&lt;&gt;"",INDEX(tbl_Assessment[],MATCH(tbl_estimated_costs_quantities[[#This Row],[House Code]],tbl_Assessment[House Code],0),9),"")</f>
        <v/>
      </c>
      <c r="H12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4" s="75"/>
      <c r="J124" s="37"/>
      <c r="K124" s="86">
        <f>tbl_estimated_costs_quantities[[#This Row],[Site Preparation]]*BOQs!$L$3</f>
        <v>0</v>
      </c>
      <c r="L124" s="76"/>
      <c r="M124" s="37"/>
      <c r="N124" s="86">
        <f>tbl_estimated_costs_quantities[[#This Row],[Demolition Removal Unsafe Structures]]*BOQs!$L$4</f>
        <v>0</v>
      </c>
      <c r="O124" s="76"/>
      <c r="P124" s="37"/>
      <c r="Q124" s="86">
        <f>tbl_estimated_costs_quantities[[#This Row],[Concrete Works]]*BOQs!$L$5</f>
        <v>0</v>
      </c>
      <c r="R124" s="76"/>
      <c r="S124" s="37"/>
      <c r="T124" s="86">
        <f>tbl_estimated_costs_quantities[[#This Row],[Closure External Openings Walls Windows]]*BOQs!$L$6</f>
        <v>0</v>
      </c>
      <c r="U124" s="76"/>
      <c r="V124" s="37"/>
      <c r="W124" s="86">
        <f>tbl_estimated_costs_quantities[[#This Row],[Plastering Painting]]*BOQs!$L$7</f>
        <v>0</v>
      </c>
      <c r="X124" s="76"/>
      <c r="Y124" s="37"/>
      <c r="Z124" s="86">
        <f>tbl_estimated_costs_quantities[[#This Row],[Floor Repairs]]*BOQs!$L$8</f>
        <v>0</v>
      </c>
      <c r="AA124" s="76"/>
      <c r="AB124" s="37"/>
      <c r="AC124" s="86">
        <f>tbl_estimated_costs_quantities[[#This Row],[Doors Replacement Repair]]*BOQs!$L$9</f>
        <v>0</v>
      </c>
      <c r="AD124" s="76"/>
      <c r="AE124" s="37"/>
      <c r="AF124" s="86">
        <f>tbl_estimated_costs_quantities[[#This Row],[Windows Replacement Repair]]*BOQs!$L$10</f>
        <v>0</v>
      </c>
      <c r="AG124" s="76"/>
      <c r="AH124" s="37"/>
      <c r="AI124" s="86">
        <f>tbl_estimated_costs_quantities[[#This Row],[Bathroom Rehabilitation]]*BOQs!$L$11</f>
        <v>0</v>
      </c>
      <c r="AJ124" s="76"/>
      <c r="AK124" s="37"/>
      <c r="AL124" s="86">
        <f>tbl_estimated_costs_quantities[[#This Row],[Ceramic Tile Works WASH]]*BOQs!$L$12</f>
        <v>0</v>
      </c>
      <c r="AM124" s="76"/>
      <c r="AN124" s="37"/>
      <c r="AO124" s="86">
        <f>tbl_estimated_costs_quantities[[#This Row],[Electrical Repairs Lighting]]*BOQs!$L$13</f>
        <v>0</v>
      </c>
      <c r="AP124" s="76"/>
      <c r="AQ124" s="37"/>
      <c r="AR124" s="86">
        <f>tbl_estimated_costs_quantities[[#This Row],[Roof Insulation Leak Sealing]]*BOQs!$L$14</f>
        <v>0</v>
      </c>
      <c r="AS124" s="76"/>
      <c r="AT124" s="37"/>
      <c r="AU124" s="86">
        <f>tbl_estimated_costs_quantities[[#This Row],[Chimney Duct Cleaning Repair]]*BOQs!$L$15</f>
        <v>0</v>
      </c>
      <c r="AV124" s="76"/>
      <c r="AW124" s="37"/>
      <c r="AX124" s="89">
        <f>tbl_estimated_costs_quantities[[#This Row],[Accessibility Adaptations]]*BOQs!$L$16</f>
        <v>0</v>
      </c>
      <c r="AY124" s="86" t="str">
        <f>IF(tbl_estimated_costs_quantities[[#This Row],[Total cost]]&lt;&gt;0,tbl_estimated_costs_quantities[[#This Row],[Total cost]]/BOQs!$A$1,"")</f>
        <v/>
      </c>
      <c r="AZ124" s="37"/>
      <c r="BA124" s="37"/>
      <c r="BB124" s="37"/>
      <c r="BC124" s="37"/>
      <c r="BD124" s="41"/>
      <c r="BE124" s="37"/>
      <c r="BF124" s="37"/>
      <c r="BG124" s="37"/>
      <c r="BH124" s="41"/>
    </row>
    <row r="125" spans="2:60" ht="25.15" customHeight="1" x14ac:dyDescent="0.25">
      <c r="B125" s="49">
        <v>121</v>
      </c>
      <c r="C125" s="37"/>
      <c r="D125" s="41"/>
      <c r="E125" s="40"/>
      <c r="F125" s="87" t="str">
        <f>IF(tbl_estimated_costs_quantities[[#This Row],[House Code]]&lt;&gt;"",INDEX(tbl_Assessment[],MATCH(tbl_estimated_costs_quantities[[#This Row],[House Code]],tbl_Assessment[House Code],0),3),"")</f>
        <v/>
      </c>
      <c r="G125" s="115" t="str">
        <f>IF(tbl_estimated_costs_quantities[[#This Row],[House Code]]&lt;&gt;"",INDEX(tbl_Assessment[],MATCH(tbl_estimated_costs_quantities[[#This Row],[House Code]],tbl_Assessment[House Code],0),9),"")</f>
        <v/>
      </c>
      <c r="H12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5" s="75"/>
      <c r="J125" s="37"/>
      <c r="K125" s="86">
        <f>tbl_estimated_costs_quantities[[#This Row],[Site Preparation]]*BOQs!$L$3</f>
        <v>0</v>
      </c>
      <c r="L125" s="76"/>
      <c r="M125" s="37"/>
      <c r="N125" s="86">
        <f>tbl_estimated_costs_quantities[[#This Row],[Demolition Removal Unsafe Structures]]*BOQs!$L$4</f>
        <v>0</v>
      </c>
      <c r="O125" s="76"/>
      <c r="P125" s="37"/>
      <c r="Q125" s="86">
        <f>tbl_estimated_costs_quantities[[#This Row],[Concrete Works]]*BOQs!$L$5</f>
        <v>0</v>
      </c>
      <c r="R125" s="76"/>
      <c r="S125" s="37"/>
      <c r="T125" s="86">
        <f>tbl_estimated_costs_quantities[[#This Row],[Closure External Openings Walls Windows]]*BOQs!$L$6</f>
        <v>0</v>
      </c>
      <c r="U125" s="76"/>
      <c r="V125" s="37"/>
      <c r="W125" s="86">
        <f>tbl_estimated_costs_quantities[[#This Row],[Plastering Painting]]*BOQs!$L$7</f>
        <v>0</v>
      </c>
      <c r="X125" s="76"/>
      <c r="Y125" s="37"/>
      <c r="Z125" s="86">
        <f>tbl_estimated_costs_quantities[[#This Row],[Floor Repairs]]*BOQs!$L$8</f>
        <v>0</v>
      </c>
      <c r="AA125" s="76"/>
      <c r="AB125" s="37"/>
      <c r="AC125" s="86">
        <f>tbl_estimated_costs_quantities[[#This Row],[Doors Replacement Repair]]*BOQs!$L$9</f>
        <v>0</v>
      </c>
      <c r="AD125" s="76"/>
      <c r="AE125" s="37"/>
      <c r="AF125" s="86">
        <f>tbl_estimated_costs_quantities[[#This Row],[Windows Replacement Repair]]*BOQs!$L$10</f>
        <v>0</v>
      </c>
      <c r="AG125" s="76"/>
      <c r="AH125" s="37"/>
      <c r="AI125" s="86">
        <f>tbl_estimated_costs_quantities[[#This Row],[Bathroom Rehabilitation]]*BOQs!$L$11</f>
        <v>0</v>
      </c>
      <c r="AJ125" s="76"/>
      <c r="AK125" s="37"/>
      <c r="AL125" s="86">
        <f>tbl_estimated_costs_quantities[[#This Row],[Ceramic Tile Works WASH]]*BOQs!$L$12</f>
        <v>0</v>
      </c>
      <c r="AM125" s="76"/>
      <c r="AN125" s="37"/>
      <c r="AO125" s="86">
        <f>tbl_estimated_costs_quantities[[#This Row],[Electrical Repairs Lighting]]*BOQs!$L$13</f>
        <v>0</v>
      </c>
      <c r="AP125" s="76"/>
      <c r="AQ125" s="37"/>
      <c r="AR125" s="86">
        <f>tbl_estimated_costs_quantities[[#This Row],[Roof Insulation Leak Sealing]]*BOQs!$L$14</f>
        <v>0</v>
      </c>
      <c r="AS125" s="76"/>
      <c r="AT125" s="37"/>
      <c r="AU125" s="86">
        <f>tbl_estimated_costs_quantities[[#This Row],[Chimney Duct Cleaning Repair]]*BOQs!$L$15</f>
        <v>0</v>
      </c>
      <c r="AV125" s="76"/>
      <c r="AW125" s="37"/>
      <c r="AX125" s="89">
        <f>tbl_estimated_costs_quantities[[#This Row],[Accessibility Adaptations]]*BOQs!$L$16</f>
        <v>0</v>
      </c>
      <c r="AY125" s="86" t="str">
        <f>IF(tbl_estimated_costs_quantities[[#This Row],[Total cost]]&lt;&gt;0,tbl_estimated_costs_quantities[[#This Row],[Total cost]]/BOQs!$A$1,"")</f>
        <v/>
      </c>
      <c r="AZ125" s="37"/>
      <c r="BA125" s="37"/>
      <c r="BB125" s="37"/>
      <c r="BC125" s="37"/>
      <c r="BD125" s="41"/>
      <c r="BE125" s="37"/>
      <c r="BF125" s="37"/>
      <c r="BG125" s="37"/>
      <c r="BH125" s="41"/>
    </row>
    <row r="126" spans="2:60" ht="25.15" customHeight="1" x14ac:dyDescent="0.25">
      <c r="B126" s="49">
        <v>122</v>
      </c>
      <c r="C126" s="37"/>
      <c r="D126" s="41"/>
      <c r="E126" s="40"/>
      <c r="F126" s="87" t="str">
        <f>IF(tbl_estimated_costs_quantities[[#This Row],[House Code]]&lt;&gt;"",INDEX(tbl_Assessment[],MATCH(tbl_estimated_costs_quantities[[#This Row],[House Code]],tbl_Assessment[House Code],0),3),"")</f>
        <v/>
      </c>
      <c r="G126" s="115" t="str">
        <f>IF(tbl_estimated_costs_quantities[[#This Row],[House Code]]&lt;&gt;"",INDEX(tbl_Assessment[],MATCH(tbl_estimated_costs_quantities[[#This Row],[House Code]],tbl_Assessment[House Code],0),9),"")</f>
        <v/>
      </c>
      <c r="H12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6" s="75"/>
      <c r="J126" s="37"/>
      <c r="K126" s="86">
        <f>tbl_estimated_costs_quantities[[#This Row],[Site Preparation]]*BOQs!$L$3</f>
        <v>0</v>
      </c>
      <c r="L126" s="76"/>
      <c r="M126" s="37"/>
      <c r="N126" s="86">
        <f>tbl_estimated_costs_quantities[[#This Row],[Demolition Removal Unsafe Structures]]*BOQs!$L$4</f>
        <v>0</v>
      </c>
      <c r="O126" s="76"/>
      <c r="P126" s="37"/>
      <c r="Q126" s="86">
        <f>tbl_estimated_costs_quantities[[#This Row],[Concrete Works]]*BOQs!$L$5</f>
        <v>0</v>
      </c>
      <c r="R126" s="76"/>
      <c r="S126" s="37"/>
      <c r="T126" s="86">
        <f>tbl_estimated_costs_quantities[[#This Row],[Closure External Openings Walls Windows]]*BOQs!$L$6</f>
        <v>0</v>
      </c>
      <c r="U126" s="76"/>
      <c r="V126" s="37"/>
      <c r="W126" s="86">
        <f>tbl_estimated_costs_quantities[[#This Row],[Plastering Painting]]*BOQs!$L$7</f>
        <v>0</v>
      </c>
      <c r="X126" s="76"/>
      <c r="Y126" s="37"/>
      <c r="Z126" s="86">
        <f>tbl_estimated_costs_quantities[[#This Row],[Floor Repairs]]*BOQs!$L$8</f>
        <v>0</v>
      </c>
      <c r="AA126" s="76"/>
      <c r="AB126" s="37"/>
      <c r="AC126" s="86">
        <f>tbl_estimated_costs_quantities[[#This Row],[Doors Replacement Repair]]*BOQs!$L$9</f>
        <v>0</v>
      </c>
      <c r="AD126" s="76"/>
      <c r="AE126" s="37"/>
      <c r="AF126" s="86">
        <f>tbl_estimated_costs_quantities[[#This Row],[Windows Replacement Repair]]*BOQs!$L$10</f>
        <v>0</v>
      </c>
      <c r="AG126" s="76"/>
      <c r="AH126" s="37"/>
      <c r="AI126" s="86">
        <f>tbl_estimated_costs_quantities[[#This Row],[Bathroom Rehabilitation]]*BOQs!$L$11</f>
        <v>0</v>
      </c>
      <c r="AJ126" s="76"/>
      <c r="AK126" s="37"/>
      <c r="AL126" s="86">
        <f>tbl_estimated_costs_quantities[[#This Row],[Ceramic Tile Works WASH]]*BOQs!$L$12</f>
        <v>0</v>
      </c>
      <c r="AM126" s="76"/>
      <c r="AN126" s="37"/>
      <c r="AO126" s="86">
        <f>tbl_estimated_costs_quantities[[#This Row],[Electrical Repairs Lighting]]*BOQs!$L$13</f>
        <v>0</v>
      </c>
      <c r="AP126" s="76"/>
      <c r="AQ126" s="37"/>
      <c r="AR126" s="86">
        <f>tbl_estimated_costs_quantities[[#This Row],[Roof Insulation Leak Sealing]]*BOQs!$L$14</f>
        <v>0</v>
      </c>
      <c r="AS126" s="76"/>
      <c r="AT126" s="37"/>
      <c r="AU126" s="86">
        <f>tbl_estimated_costs_quantities[[#This Row],[Chimney Duct Cleaning Repair]]*BOQs!$L$15</f>
        <v>0</v>
      </c>
      <c r="AV126" s="76"/>
      <c r="AW126" s="37"/>
      <c r="AX126" s="89">
        <f>tbl_estimated_costs_quantities[[#This Row],[Accessibility Adaptations]]*BOQs!$L$16</f>
        <v>0</v>
      </c>
      <c r="AY126" s="86" t="str">
        <f>IF(tbl_estimated_costs_quantities[[#This Row],[Total cost]]&lt;&gt;0,tbl_estimated_costs_quantities[[#This Row],[Total cost]]/BOQs!$A$1,"")</f>
        <v/>
      </c>
      <c r="AZ126" s="37"/>
      <c r="BA126" s="37"/>
      <c r="BB126" s="37"/>
      <c r="BC126" s="37"/>
      <c r="BD126" s="41"/>
      <c r="BE126" s="37"/>
      <c r="BF126" s="37"/>
      <c r="BG126" s="37"/>
      <c r="BH126" s="41"/>
    </row>
    <row r="127" spans="2:60" ht="25.15" customHeight="1" x14ac:dyDescent="0.25">
      <c r="B127" s="49">
        <v>123</v>
      </c>
      <c r="C127" s="37"/>
      <c r="D127" s="41"/>
      <c r="E127" s="40"/>
      <c r="F127" s="87" t="str">
        <f>IF(tbl_estimated_costs_quantities[[#This Row],[House Code]]&lt;&gt;"",INDEX(tbl_Assessment[],MATCH(tbl_estimated_costs_quantities[[#This Row],[House Code]],tbl_Assessment[House Code],0),3),"")</f>
        <v/>
      </c>
      <c r="G127" s="115" t="str">
        <f>IF(tbl_estimated_costs_quantities[[#This Row],[House Code]]&lt;&gt;"",INDEX(tbl_Assessment[],MATCH(tbl_estimated_costs_quantities[[#This Row],[House Code]],tbl_Assessment[House Code],0),9),"")</f>
        <v/>
      </c>
      <c r="H12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7" s="75"/>
      <c r="J127" s="37"/>
      <c r="K127" s="86">
        <f>tbl_estimated_costs_quantities[[#This Row],[Site Preparation]]*BOQs!$L$3</f>
        <v>0</v>
      </c>
      <c r="L127" s="76"/>
      <c r="M127" s="37"/>
      <c r="N127" s="86">
        <f>tbl_estimated_costs_quantities[[#This Row],[Demolition Removal Unsafe Structures]]*BOQs!$L$4</f>
        <v>0</v>
      </c>
      <c r="O127" s="76"/>
      <c r="P127" s="37"/>
      <c r="Q127" s="86">
        <f>tbl_estimated_costs_quantities[[#This Row],[Concrete Works]]*BOQs!$L$5</f>
        <v>0</v>
      </c>
      <c r="R127" s="76"/>
      <c r="S127" s="37"/>
      <c r="T127" s="86">
        <f>tbl_estimated_costs_quantities[[#This Row],[Closure External Openings Walls Windows]]*BOQs!$L$6</f>
        <v>0</v>
      </c>
      <c r="U127" s="76"/>
      <c r="V127" s="37"/>
      <c r="W127" s="86">
        <f>tbl_estimated_costs_quantities[[#This Row],[Plastering Painting]]*BOQs!$L$7</f>
        <v>0</v>
      </c>
      <c r="X127" s="76"/>
      <c r="Y127" s="37"/>
      <c r="Z127" s="86">
        <f>tbl_estimated_costs_quantities[[#This Row],[Floor Repairs]]*BOQs!$L$8</f>
        <v>0</v>
      </c>
      <c r="AA127" s="76"/>
      <c r="AB127" s="37"/>
      <c r="AC127" s="86">
        <f>tbl_estimated_costs_quantities[[#This Row],[Doors Replacement Repair]]*BOQs!$L$9</f>
        <v>0</v>
      </c>
      <c r="AD127" s="76"/>
      <c r="AE127" s="37"/>
      <c r="AF127" s="86">
        <f>tbl_estimated_costs_quantities[[#This Row],[Windows Replacement Repair]]*BOQs!$L$10</f>
        <v>0</v>
      </c>
      <c r="AG127" s="76"/>
      <c r="AH127" s="37"/>
      <c r="AI127" s="86">
        <f>tbl_estimated_costs_quantities[[#This Row],[Bathroom Rehabilitation]]*BOQs!$L$11</f>
        <v>0</v>
      </c>
      <c r="AJ127" s="76"/>
      <c r="AK127" s="37"/>
      <c r="AL127" s="86">
        <f>tbl_estimated_costs_quantities[[#This Row],[Ceramic Tile Works WASH]]*BOQs!$L$12</f>
        <v>0</v>
      </c>
      <c r="AM127" s="76"/>
      <c r="AN127" s="37"/>
      <c r="AO127" s="86">
        <f>tbl_estimated_costs_quantities[[#This Row],[Electrical Repairs Lighting]]*BOQs!$L$13</f>
        <v>0</v>
      </c>
      <c r="AP127" s="76"/>
      <c r="AQ127" s="37"/>
      <c r="AR127" s="86">
        <f>tbl_estimated_costs_quantities[[#This Row],[Roof Insulation Leak Sealing]]*BOQs!$L$14</f>
        <v>0</v>
      </c>
      <c r="AS127" s="76"/>
      <c r="AT127" s="37"/>
      <c r="AU127" s="86">
        <f>tbl_estimated_costs_quantities[[#This Row],[Chimney Duct Cleaning Repair]]*BOQs!$L$15</f>
        <v>0</v>
      </c>
      <c r="AV127" s="76"/>
      <c r="AW127" s="37"/>
      <c r="AX127" s="89">
        <f>tbl_estimated_costs_quantities[[#This Row],[Accessibility Adaptations]]*BOQs!$L$16</f>
        <v>0</v>
      </c>
      <c r="AY127" s="86" t="str">
        <f>IF(tbl_estimated_costs_quantities[[#This Row],[Total cost]]&lt;&gt;0,tbl_estimated_costs_quantities[[#This Row],[Total cost]]/BOQs!$A$1,"")</f>
        <v/>
      </c>
      <c r="AZ127" s="37"/>
      <c r="BA127" s="37"/>
      <c r="BB127" s="37"/>
      <c r="BC127" s="37"/>
      <c r="BD127" s="41"/>
      <c r="BE127" s="37"/>
      <c r="BF127" s="37"/>
      <c r="BG127" s="37"/>
      <c r="BH127" s="41"/>
    </row>
    <row r="128" spans="2:60" ht="25.15" customHeight="1" x14ac:dyDescent="0.25">
      <c r="B128" s="49">
        <v>124</v>
      </c>
      <c r="C128" s="37"/>
      <c r="D128" s="41"/>
      <c r="E128" s="40"/>
      <c r="F128" s="87" t="str">
        <f>IF(tbl_estimated_costs_quantities[[#This Row],[House Code]]&lt;&gt;"",INDEX(tbl_Assessment[],MATCH(tbl_estimated_costs_quantities[[#This Row],[House Code]],tbl_Assessment[House Code],0),3),"")</f>
        <v/>
      </c>
      <c r="G128" s="115" t="str">
        <f>IF(tbl_estimated_costs_quantities[[#This Row],[House Code]]&lt;&gt;"",INDEX(tbl_Assessment[],MATCH(tbl_estimated_costs_quantities[[#This Row],[House Code]],tbl_Assessment[House Code],0),9),"")</f>
        <v/>
      </c>
      <c r="H12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8" s="75"/>
      <c r="J128" s="37"/>
      <c r="K128" s="86">
        <f>tbl_estimated_costs_quantities[[#This Row],[Site Preparation]]*BOQs!$L$3</f>
        <v>0</v>
      </c>
      <c r="L128" s="76"/>
      <c r="M128" s="37"/>
      <c r="N128" s="86">
        <f>tbl_estimated_costs_quantities[[#This Row],[Demolition Removal Unsafe Structures]]*BOQs!$L$4</f>
        <v>0</v>
      </c>
      <c r="O128" s="76"/>
      <c r="P128" s="37"/>
      <c r="Q128" s="86">
        <f>tbl_estimated_costs_quantities[[#This Row],[Concrete Works]]*BOQs!$L$5</f>
        <v>0</v>
      </c>
      <c r="R128" s="76"/>
      <c r="S128" s="37"/>
      <c r="T128" s="86">
        <f>tbl_estimated_costs_quantities[[#This Row],[Closure External Openings Walls Windows]]*BOQs!$L$6</f>
        <v>0</v>
      </c>
      <c r="U128" s="76"/>
      <c r="V128" s="37"/>
      <c r="W128" s="86">
        <f>tbl_estimated_costs_quantities[[#This Row],[Plastering Painting]]*BOQs!$L$7</f>
        <v>0</v>
      </c>
      <c r="X128" s="76"/>
      <c r="Y128" s="37"/>
      <c r="Z128" s="86">
        <f>tbl_estimated_costs_quantities[[#This Row],[Floor Repairs]]*BOQs!$L$8</f>
        <v>0</v>
      </c>
      <c r="AA128" s="76"/>
      <c r="AB128" s="37"/>
      <c r="AC128" s="86">
        <f>tbl_estimated_costs_quantities[[#This Row],[Doors Replacement Repair]]*BOQs!$L$9</f>
        <v>0</v>
      </c>
      <c r="AD128" s="76"/>
      <c r="AE128" s="37"/>
      <c r="AF128" s="86">
        <f>tbl_estimated_costs_quantities[[#This Row],[Windows Replacement Repair]]*BOQs!$L$10</f>
        <v>0</v>
      </c>
      <c r="AG128" s="76"/>
      <c r="AH128" s="37"/>
      <c r="AI128" s="86">
        <f>tbl_estimated_costs_quantities[[#This Row],[Bathroom Rehabilitation]]*BOQs!$L$11</f>
        <v>0</v>
      </c>
      <c r="AJ128" s="76"/>
      <c r="AK128" s="37"/>
      <c r="AL128" s="86">
        <f>tbl_estimated_costs_quantities[[#This Row],[Ceramic Tile Works WASH]]*BOQs!$L$12</f>
        <v>0</v>
      </c>
      <c r="AM128" s="76"/>
      <c r="AN128" s="37"/>
      <c r="AO128" s="86">
        <f>tbl_estimated_costs_quantities[[#This Row],[Electrical Repairs Lighting]]*BOQs!$L$13</f>
        <v>0</v>
      </c>
      <c r="AP128" s="76"/>
      <c r="AQ128" s="37"/>
      <c r="AR128" s="86">
        <f>tbl_estimated_costs_quantities[[#This Row],[Roof Insulation Leak Sealing]]*BOQs!$L$14</f>
        <v>0</v>
      </c>
      <c r="AS128" s="76"/>
      <c r="AT128" s="37"/>
      <c r="AU128" s="86">
        <f>tbl_estimated_costs_quantities[[#This Row],[Chimney Duct Cleaning Repair]]*BOQs!$L$15</f>
        <v>0</v>
      </c>
      <c r="AV128" s="76"/>
      <c r="AW128" s="37"/>
      <c r="AX128" s="89">
        <f>tbl_estimated_costs_quantities[[#This Row],[Accessibility Adaptations]]*BOQs!$L$16</f>
        <v>0</v>
      </c>
      <c r="AY128" s="86" t="str">
        <f>IF(tbl_estimated_costs_quantities[[#This Row],[Total cost]]&lt;&gt;0,tbl_estimated_costs_quantities[[#This Row],[Total cost]]/BOQs!$A$1,"")</f>
        <v/>
      </c>
      <c r="AZ128" s="37"/>
      <c r="BA128" s="37"/>
      <c r="BB128" s="37"/>
      <c r="BC128" s="37"/>
      <c r="BD128" s="41"/>
      <c r="BE128" s="37"/>
      <c r="BF128" s="37"/>
      <c r="BG128" s="37"/>
      <c r="BH128" s="41"/>
    </row>
    <row r="129" spans="2:60" ht="25.15" customHeight="1" x14ac:dyDescent="0.25">
      <c r="B129" s="49">
        <v>125</v>
      </c>
      <c r="C129" s="37"/>
      <c r="D129" s="41"/>
      <c r="E129" s="40"/>
      <c r="F129" s="87" t="str">
        <f>IF(tbl_estimated_costs_quantities[[#This Row],[House Code]]&lt;&gt;"",INDEX(tbl_Assessment[],MATCH(tbl_estimated_costs_quantities[[#This Row],[House Code]],tbl_Assessment[House Code],0),3),"")</f>
        <v/>
      </c>
      <c r="G129" s="115" t="str">
        <f>IF(tbl_estimated_costs_quantities[[#This Row],[House Code]]&lt;&gt;"",INDEX(tbl_Assessment[],MATCH(tbl_estimated_costs_quantities[[#This Row],[House Code]],tbl_Assessment[House Code],0),9),"")</f>
        <v/>
      </c>
      <c r="H12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29" s="75"/>
      <c r="J129" s="37"/>
      <c r="K129" s="86">
        <f>tbl_estimated_costs_quantities[[#This Row],[Site Preparation]]*BOQs!$L$3</f>
        <v>0</v>
      </c>
      <c r="L129" s="76"/>
      <c r="M129" s="37"/>
      <c r="N129" s="86">
        <f>tbl_estimated_costs_quantities[[#This Row],[Demolition Removal Unsafe Structures]]*BOQs!$L$4</f>
        <v>0</v>
      </c>
      <c r="O129" s="76"/>
      <c r="P129" s="37"/>
      <c r="Q129" s="86">
        <f>tbl_estimated_costs_quantities[[#This Row],[Concrete Works]]*BOQs!$L$5</f>
        <v>0</v>
      </c>
      <c r="R129" s="76"/>
      <c r="S129" s="37"/>
      <c r="T129" s="86">
        <f>tbl_estimated_costs_quantities[[#This Row],[Closure External Openings Walls Windows]]*BOQs!$L$6</f>
        <v>0</v>
      </c>
      <c r="U129" s="76"/>
      <c r="V129" s="37"/>
      <c r="W129" s="86">
        <f>tbl_estimated_costs_quantities[[#This Row],[Plastering Painting]]*BOQs!$L$7</f>
        <v>0</v>
      </c>
      <c r="X129" s="76"/>
      <c r="Y129" s="37"/>
      <c r="Z129" s="86">
        <f>tbl_estimated_costs_quantities[[#This Row],[Floor Repairs]]*BOQs!$L$8</f>
        <v>0</v>
      </c>
      <c r="AA129" s="76"/>
      <c r="AB129" s="37"/>
      <c r="AC129" s="86">
        <f>tbl_estimated_costs_quantities[[#This Row],[Doors Replacement Repair]]*BOQs!$L$9</f>
        <v>0</v>
      </c>
      <c r="AD129" s="76"/>
      <c r="AE129" s="37"/>
      <c r="AF129" s="86">
        <f>tbl_estimated_costs_quantities[[#This Row],[Windows Replacement Repair]]*BOQs!$L$10</f>
        <v>0</v>
      </c>
      <c r="AG129" s="76"/>
      <c r="AH129" s="37"/>
      <c r="AI129" s="86">
        <f>tbl_estimated_costs_quantities[[#This Row],[Bathroom Rehabilitation]]*BOQs!$L$11</f>
        <v>0</v>
      </c>
      <c r="AJ129" s="76"/>
      <c r="AK129" s="37"/>
      <c r="AL129" s="86">
        <f>tbl_estimated_costs_quantities[[#This Row],[Ceramic Tile Works WASH]]*BOQs!$L$12</f>
        <v>0</v>
      </c>
      <c r="AM129" s="76"/>
      <c r="AN129" s="37"/>
      <c r="AO129" s="86">
        <f>tbl_estimated_costs_quantities[[#This Row],[Electrical Repairs Lighting]]*BOQs!$L$13</f>
        <v>0</v>
      </c>
      <c r="AP129" s="76"/>
      <c r="AQ129" s="37"/>
      <c r="AR129" s="86">
        <f>tbl_estimated_costs_quantities[[#This Row],[Roof Insulation Leak Sealing]]*BOQs!$L$14</f>
        <v>0</v>
      </c>
      <c r="AS129" s="76"/>
      <c r="AT129" s="37"/>
      <c r="AU129" s="86">
        <f>tbl_estimated_costs_quantities[[#This Row],[Chimney Duct Cleaning Repair]]*BOQs!$L$15</f>
        <v>0</v>
      </c>
      <c r="AV129" s="76"/>
      <c r="AW129" s="37"/>
      <c r="AX129" s="89">
        <f>tbl_estimated_costs_quantities[[#This Row],[Accessibility Adaptations]]*BOQs!$L$16</f>
        <v>0</v>
      </c>
      <c r="AY129" s="86" t="str">
        <f>IF(tbl_estimated_costs_quantities[[#This Row],[Total cost]]&lt;&gt;0,tbl_estimated_costs_quantities[[#This Row],[Total cost]]/BOQs!$A$1,"")</f>
        <v/>
      </c>
      <c r="AZ129" s="37"/>
      <c r="BA129" s="37"/>
      <c r="BB129" s="37"/>
      <c r="BC129" s="37"/>
      <c r="BD129" s="41"/>
      <c r="BE129" s="37"/>
      <c r="BF129" s="37"/>
      <c r="BG129" s="37"/>
      <c r="BH129" s="41"/>
    </row>
    <row r="130" spans="2:60" ht="25.15" customHeight="1" x14ac:dyDescent="0.25">
      <c r="B130" s="49">
        <v>126</v>
      </c>
      <c r="C130" s="37"/>
      <c r="D130" s="41"/>
      <c r="E130" s="40"/>
      <c r="F130" s="87" t="str">
        <f>IF(tbl_estimated_costs_quantities[[#This Row],[House Code]]&lt;&gt;"",INDEX(tbl_Assessment[],MATCH(tbl_estimated_costs_quantities[[#This Row],[House Code]],tbl_Assessment[House Code],0),3),"")</f>
        <v/>
      </c>
      <c r="G130" s="115" t="str">
        <f>IF(tbl_estimated_costs_quantities[[#This Row],[House Code]]&lt;&gt;"",INDEX(tbl_Assessment[],MATCH(tbl_estimated_costs_quantities[[#This Row],[House Code]],tbl_Assessment[House Code],0),9),"")</f>
        <v/>
      </c>
      <c r="H13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0" s="75"/>
      <c r="J130" s="37"/>
      <c r="K130" s="86">
        <f>tbl_estimated_costs_quantities[[#This Row],[Site Preparation]]*BOQs!$L$3</f>
        <v>0</v>
      </c>
      <c r="L130" s="76"/>
      <c r="M130" s="37"/>
      <c r="N130" s="86">
        <f>tbl_estimated_costs_quantities[[#This Row],[Demolition Removal Unsafe Structures]]*BOQs!$L$4</f>
        <v>0</v>
      </c>
      <c r="O130" s="76"/>
      <c r="P130" s="37"/>
      <c r="Q130" s="86">
        <f>tbl_estimated_costs_quantities[[#This Row],[Concrete Works]]*BOQs!$L$5</f>
        <v>0</v>
      </c>
      <c r="R130" s="76"/>
      <c r="S130" s="37"/>
      <c r="T130" s="86">
        <f>tbl_estimated_costs_quantities[[#This Row],[Closure External Openings Walls Windows]]*BOQs!$L$6</f>
        <v>0</v>
      </c>
      <c r="U130" s="76"/>
      <c r="V130" s="37"/>
      <c r="W130" s="86">
        <f>tbl_estimated_costs_quantities[[#This Row],[Plastering Painting]]*BOQs!$L$7</f>
        <v>0</v>
      </c>
      <c r="X130" s="76"/>
      <c r="Y130" s="37"/>
      <c r="Z130" s="86">
        <f>tbl_estimated_costs_quantities[[#This Row],[Floor Repairs]]*BOQs!$L$8</f>
        <v>0</v>
      </c>
      <c r="AA130" s="76"/>
      <c r="AB130" s="37"/>
      <c r="AC130" s="86">
        <f>tbl_estimated_costs_quantities[[#This Row],[Doors Replacement Repair]]*BOQs!$L$9</f>
        <v>0</v>
      </c>
      <c r="AD130" s="76"/>
      <c r="AE130" s="37"/>
      <c r="AF130" s="86">
        <f>tbl_estimated_costs_quantities[[#This Row],[Windows Replacement Repair]]*BOQs!$L$10</f>
        <v>0</v>
      </c>
      <c r="AG130" s="76"/>
      <c r="AH130" s="37"/>
      <c r="AI130" s="86">
        <f>tbl_estimated_costs_quantities[[#This Row],[Bathroom Rehabilitation]]*BOQs!$L$11</f>
        <v>0</v>
      </c>
      <c r="AJ130" s="76"/>
      <c r="AK130" s="37"/>
      <c r="AL130" s="86">
        <f>tbl_estimated_costs_quantities[[#This Row],[Ceramic Tile Works WASH]]*BOQs!$L$12</f>
        <v>0</v>
      </c>
      <c r="AM130" s="76"/>
      <c r="AN130" s="37"/>
      <c r="AO130" s="86">
        <f>tbl_estimated_costs_quantities[[#This Row],[Electrical Repairs Lighting]]*BOQs!$L$13</f>
        <v>0</v>
      </c>
      <c r="AP130" s="76"/>
      <c r="AQ130" s="37"/>
      <c r="AR130" s="86">
        <f>tbl_estimated_costs_quantities[[#This Row],[Roof Insulation Leak Sealing]]*BOQs!$L$14</f>
        <v>0</v>
      </c>
      <c r="AS130" s="76"/>
      <c r="AT130" s="37"/>
      <c r="AU130" s="86">
        <f>tbl_estimated_costs_quantities[[#This Row],[Chimney Duct Cleaning Repair]]*BOQs!$L$15</f>
        <v>0</v>
      </c>
      <c r="AV130" s="76"/>
      <c r="AW130" s="37"/>
      <c r="AX130" s="89">
        <f>tbl_estimated_costs_quantities[[#This Row],[Accessibility Adaptations]]*BOQs!$L$16</f>
        <v>0</v>
      </c>
      <c r="AY130" s="86" t="str">
        <f>IF(tbl_estimated_costs_quantities[[#This Row],[Total cost]]&lt;&gt;0,tbl_estimated_costs_quantities[[#This Row],[Total cost]]/BOQs!$A$1,"")</f>
        <v/>
      </c>
      <c r="AZ130" s="37"/>
      <c r="BA130" s="37"/>
      <c r="BB130" s="37"/>
      <c r="BC130" s="37"/>
      <c r="BD130" s="41"/>
      <c r="BE130" s="37"/>
      <c r="BF130" s="37"/>
      <c r="BG130" s="37"/>
      <c r="BH130" s="41"/>
    </row>
    <row r="131" spans="2:60" ht="25.15" customHeight="1" x14ac:dyDescent="0.25">
      <c r="B131" s="49">
        <v>127</v>
      </c>
      <c r="C131" s="37"/>
      <c r="D131" s="41"/>
      <c r="E131" s="40"/>
      <c r="F131" s="87" t="str">
        <f>IF(tbl_estimated_costs_quantities[[#This Row],[House Code]]&lt;&gt;"",INDEX(tbl_Assessment[],MATCH(tbl_estimated_costs_quantities[[#This Row],[House Code]],tbl_Assessment[House Code],0),3),"")</f>
        <v/>
      </c>
      <c r="G131" s="115" t="str">
        <f>IF(tbl_estimated_costs_quantities[[#This Row],[House Code]]&lt;&gt;"",INDEX(tbl_Assessment[],MATCH(tbl_estimated_costs_quantities[[#This Row],[House Code]],tbl_Assessment[House Code],0),9),"")</f>
        <v/>
      </c>
      <c r="H13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1" s="75"/>
      <c r="J131" s="37"/>
      <c r="K131" s="86">
        <f>tbl_estimated_costs_quantities[[#This Row],[Site Preparation]]*BOQs!$L$3</f>
        <v>0</v>
      </c>
      <c r="L131" s="76"/>
      <c r="M131" s="37"/>
      <c r="N131" s="86">
        <f>tbl_estimated_costs_quantities[[#This Row],[Demolition Removal Unsafe Structures]]*BOQs!$L$4</f>
        <v>0</v>
      </c>
      <c r="O131" s="76"/>
      <c r="P131" s="37"/>
      <c r="Q131" s="86">
        <f>tbl_estimated_costs_quantities[[#This Row],[Concrete Works]]*BOQs!$L$5</f>
        <v>0</v>
      </c>
      <c r="R131" s="76"/>
      <c r="S131" s="37"/>
      <c r="T131" s="86">
        <f>tbl_estimated_costs_quantities[[#This Row],[Closure External Openings Walls Windows]]*BOQs!$L$6</f>
        <v>0</v>
      </c>
      <c r="U131" s="76"/>
      <c r="V131" s="37"/>
      <c r="W131" s="86">
        <f>tbl_estimated_costs_quantities[[#This Row],[Plastering Painting]]*BOQs!$L$7</f>
        <v>0</v>
      </c>
      <c r="X131" s="76"/>
      <c r="Y131" s="37"/>
      <c r="Z131" s="86">
        <f>tbl_estimated_costs_quantities[[#This Row],[Floor Repairs]]*BOQs!$L$8</f>
        <v>0</v>
      </c>
      <c r="AA131" s="76"/>
      <c r="AB131" s="37"/>
      <c r="AC131" s="86">
        <f>tbl_estimated_costs_quantities[[#This Row],[Doors Replacement Repair]]*BOQs!$L$9</f>
        <v>0</v>
      </c>
      <c r="AD131" s="76"/>
      <c r="AE131" s="37"/>
      <c r="AF131" s="86">
        <f>tbl_estimated_costs_quantities[[#This Row],[Windows Replacement Repair]]*BOQs!$L$10</f>
        <v>0</v>
      </c>
      <c r="AG131" s="76"/>
      <c r="AH131" s="37"/>
      <c r="AI131" s="86">
        <f>tbl_estimated_costs_quantities[[#This Row],[Bathroom Rehabilitation]]*BOQs!$L$11</f>
        <v>0</v>
      </c>
      <c r="AJ131" s="76"/>
      <c r="AK131" s="37"/>
      <c r="AL131" s="86">
        <f>tbl_estimated_costs_quantities[[#This Row],[Ceramic Tile Works WASH]]*BOQs!$L$12</f>
        <v>0</v>
      </c>
      <c r="AM131" s="76"/>
      <c r="AN131" s="37"/>
      <c r="AO131" s="86">
        <f>tbl_estimated_costs_quantities[[#This Row],[Electrical Repairs Lighting]]*BOQs!$L$13</f>
        <v>0</v>
      </c>
      <c r="AP131" s="76"/>
      <c r="AQ131" s="37"/>
      <c r="AR131" s="86">
        <f>tbl_estimated_costs_quantities[[#This Row],[Roof Insulation Leak Sealing]]*BOQs!$L$14</f>
        <v>0</v>
      </c>
      <c r="AS131" s="76"/>
      <c r="AT131" s="37"/>
      <c r="AU131" s="86">
        <f>tbl_estimated_costs_quantities[[#This Row],[Chimney Duct Cleaning Repair]]*BOQs!$L$15</f>
        <v>0</v>
      </c>
      <c r="AV131" s="76"/>
      <c r="AW131" s="37"/>
      <c r="AX131" s="89">
        <f>tbl_estimated_costs_quantities[[#This Row],[Accessibility Adaptations]]*BOQs!$L$16</f>
        <v>0</v>
      </c>
      <c r="AY131" s="86" t="str">
        <f>IF(tbl_estimated_costs_quantities[[#This Row],[Total cost]]&lt;&gt;0,tbl_estimated_costs_quantities[[#This Row],[Total cost]]/BOQs!$A$1,"")</f>
        <v/>
      </c>
      <c r="AZ131" s="37"/>
      <c r="BA131" s="37"/>
      <c r="BB131" s="37"/>
      <c r="BC131" s="37"/>
      <c r="BD131" s="41"/>
      <c r="BE131" s="37"/>
      <c r="BF131" s="37"/>
      <c r="BG131" s="37"/>
      <c r="BH131" s="41"/>
    </row>
    <row r="132" spans="2:60" ht="25.15" customHeight="1" x14ac:dyDescent="0.25">
      <c r="B132" s="49">
        <v>128</v>
      </c>
      <c r="C132" s="37"/>
      <c r="D132" s="41"/>
      <c r="E132" s="40"/>
      <c r="F132" s="87" t="str">
        <f>IF(tbl_estimated_costs_quantities[[#This Row],[House Code]]&lt;&gt;"",INDEX(tbl_Assessment[],MATCH(tbl_estimated_costs_quantities[[#This Row],[House Code]],tbl_Assessment[House Code],0),3),"")</f>
        <v/>
      </c>
      <c r="G132" s="115" t="str">
        <f>IF(tbl_estimated_costs_quantities[[#This Row],[House Code]]&lt;&gt;"",INDEX(tbl_Assessment[],MATCH(tbl_estimated_costs_quantities[[#This Row],[House Code]],tbl_Assessment[House Code],0),9),"")</f>
        <v/>
      </c>
      <c r="H13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2" s="75"/>
      <c r="J132" s="37"/>
      <c r="K132" s="86">
        <f>tbl_estimated_costs_quantities[[#This Row],[Site Preparation]]*BOQs!$L$3</f>
        <v>0</v>
      </c>
      <c r="L132" s="76"/>
      <c r="M132" s="37"/>
      <c r="N132" s="86">
        <f>tbl_estimated_costs_quantities[[#This Row],[Demolition Removal Unsafe Structures]]*BOQs!$L$4</f>
        <v>0</v>
      </c>
      <c r="O132" s="76"/>
      <c r="P132" s="37"/>
      <c r="Q132" s="86">
        <f>tbl_estimated_costs_quantities[[#This Row],[Concrete Works]]*BOQs!$L$5</f>
        <v>0</v>
      </c>
      <c r="R132" s="76"/>
      <c r="S132" s="37"/>
      <c r="T132" s="86">
        <f>tbl_estimated_costs_quantities[[#This Row],[Closure External Openings Walls Windows]]*BOQs!$L$6</f>
        <v>0</v>
      </c>
      <c r="U132" s="76"/>
      <c r="V132" s="37"/>
      <c r="W132" s="86">
        <f>tbl_estimated_costs_quantities[[#This Row],[Plastering Painting]]*BOQs!$L$7</f>
        <v>0</v>
      </c>
      <c r="X132" s="76"/>
      <c r="Y132" s="37"/>
      <c r="Z132" s="86">
        <f>tbl_estimated_costs_quantities[[#This Row],[Floor Repairs]]*BOQs!$L$8</f>
        <v>0</v>
      </c>
      <c r="AA132" s="76"/>
      <c r="AB132" s="37"/>
      <c r="AC132" s="86">
        <f>tbl_estimated_costs_quantities[[#This Row],[Doors Replacement Repair]]*BOQs!$L$9</f>
        <v>0</v>
      </c>
      <c r="AD132" s="76"/>
      <c r="AE132" s="37"/>
      <c r="AF132" s="86">
        <f>tbl_estimated_costs_quantities[[#This Row],[Windows Replacement Repair]]*BOQs!$L$10</f>
        <v>0</v>
      </c>
      <c r="AG132" s="76"/>
      <c r="AH132" s="37"/>
      <c r="AI132" s="86">
        <f>tbl_estimated_costs_quantities[[#This Row],[Bathroom Rehabilitation]]*BOQs!$L$11</f>
        <v>0</v>
      </c>
      <c r="AJ132" s="76"/>
      <c r="AK132" s="37"/>
      <c r="AL132" s="86">
        <f>tbl_estimated_costs_quantities[[#This Row],[Ceramic Tile Works WASH]]*BOQs!$L$12</f>
        <v>0</v>
      </c>
      <c r="AM132" s="76"/>
      <c r="AN132" s="37"/>
      <c r="AO132" s="86">
        <f>tbl_estimated_costs_quantities[[#This Row],[Electrical Repairs Lighting]]*BOQs!$L$13</f>
        <v>0</v>
      </c>
      <c r="AP132" s="76"/>
      <c r="AQ132" s="37"/>
      <c r="AR132" s="86">
        <f>tbl_estimated_costs_quantities[[#This Row],[Roof Insulation Leak Sealing]]*BOQs!$L$14</f>
        <v>0</v>
      </c>
      <c r="AS132" s="76"/>
      <c r="AT132" s="37"/>
      <c r="AU132" s="86">
        <f>tbl_estimated_costs_quantities[[#This Row],[Chimney Duct Cleaning Repair]]*BOQs!$L$15</f>
        <v>0</v>
      </c>
      <c r="AV132" s="76"/>
      <c r="AW132" s="37"/>
      <c r="AX132" s="89">
        <f>tbl_estimated_costs_quantities[[#This Row],[Accessibility Adaptations]]*BOQs!$L$16</f>
        <v>0</v>
      </c>
      <c r="AY132" s="86" t="str">
        <f>IF(tbl_estimated_costs_quantities[[#This Row],[Total cost]]&lt;&gt;0,tbl_estimated_costs_quantities[[#This Row],[Total cost]]/BOQs!$A$1,"")</f>
        <v/>
      </c>
      <c r="AZ132" s="37"/>
      <c r="BA132" s="37"/>
      <c r="BB132" s="37"/>
      <c r="BC132" s="37"/>
      <c r="BD132" s="41"/>
      <c r="BE132" s="37"/>
      <c r="BF132" s="37"/>
      <c r="BG132" s="37"/>
      <c r="BH132" s="41"/>
    </row>
    <row r="133" spans="2:60" ht="25.15" customHeight="1" x14ac:dyDescent="0.25">
      <c r="B133" s="49">
        <v>129</v>
      </c>
      <c r="C133" s="37"/>
      <c r="D133" s="41"/>
      <c r="E133" s="40"/>
      <c r="F133" s="87" t="str">
        <f>IF(tbl_estimated_costs_quantities[[#This Row],[House Code]]&lt;&gt;"",INDEX(tbl_Assessment[],MATCH(tbl_estimated_costs_quantities[[#This Row],[House Code]],tbl_Assessment[House Code],0),3),"")</f>
        <v/>
      </c>
      <c r="G133" s="115" t="str">
        <f>IF(tbl_estimated_costs_quantities[[#This Row],[House Code]]&lt;&gt;"",INDEX(tbl_Assessment[],MATCH(tbl_estimated_costs_quantities[[#This Row],[House Code]],tbl_Assessment[House Code],0),9),"")</f>
        <v/>
      </c>
      <c r="H13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3" s="75"/>
      <c r="J133" s="37"/>
      <c r="K133" s="86">
        <f>tbl_estimated_costs_quantities[[#This Row],[Site Preparation]]*BOQs!$L$3</f>
        <v>0</v>
      </c>
      <c r="L133" s="76"/>
      <c r="M133" s="37"/>
      <c r="N133" s="86">
        <f>tbl_estimated_costs_quantities[[#This Row],[Demolition Removal Unsafe Structures]]*BOQs!$L$4</f>
        <v>0</v>
      </c>
      <c r="O133" s="76"/>
      <c r="P133" s="37"/>
      <c r="Q133" s="86">
        <f>tbl_estimated_costs_quantities[[#This Row],[Concrete Works]]*BOQs!$L$5</f>
        <v>0</v>
      </c>
      <c r="R133" s="76"/>
      <c r="S133" s="37"/>
      <c r="T133" s="86">
        <f>tbl_estimated_costs_quantities[[#This Row],[Closure External Openings Walls Windows]]*BOQs!$L$6</f>
        <v>0</v>
      </c>
      <c r="U133" s="76"/>
      <c r="V133" s="37"/>
      <c r="W133" s="86">
        <f>tbl_estimated_costs_quantities[[#This Row],[Plastering Painting]]*BOQs!$L$7</f>
        <v>0</v>
      </c>
      <c r="X133" s="76"/>
      <c r="Y133" s="37"/>
      <c r="Z133" s="86">
        <f>tbl_estimated_costs_quantities[[#This Row],[Floor Repairs]]*BOQs!$L$8</f>
        <v>0</v>
      </c>
      <c r="AA133" s="76"/>
      <c r="AB133" s="37"/>
      <c r="AC133" s="86">
        <f>tbl_estimated_costs_quantities[[#This Row],[Doors Replacement Repair]]*BOQs!$L$9</f>
        <v>0</v>
      </c>
      <c r="AD133" s="76"/>
      <c r="AE133" s="37"/>
      <c r="AF133" s="86">
        <f>tbl_estimated_costs_quantities[[#This Row],[Windows Replacement Repair]]*BOQs!$L$10</f>
        <v>0</v>
      </c>
      <c r="AG133" s="76"/>
      <c r="AH133" s="37"/>
      <c r="AI133" s="86">
        <f>tbl_estimated_costs_quantities[[#This Row],[Bathroom Rehabilitation]]*BOQs!$L$11</f>
        <v>0</v>
      </c>
      <c r="AJ133" s="76"/>
      <c r="AK133" s="37"/>
      <c r="AL133" s="86">
        <f>tbl_estimated_costs_quantities[[#This Row],[Ceramic Tile Works WASH]]*BOQs!$L$12</f>
        <v>0</v>
      </c>
      <c r="AM133" s="76"/>
      <c r="AN133" s="37"/>
      <c r="AO133" s="86">
        <f>tbl_estimated_costs_quantities[[#This Row],[Electrical Repairs Lighting]]*BOQs!$L$13</f>
        <v>0</v>
      </c>
      <c r="AP133" s="76"/>
      <c r="AQ133" s="37"/>
      <c r="AR133" s="86">
        <f>tbl_estimated_costs_quantities[[#This Row],[Roof Insulation Leak Sealing]]*BOQs!$L$14</f>
        <v>0</v>
      </c>
      <c r="AS133" s="76"/>
      <c r="AT133" s="37"/>
      <c r="AU133" s="86">
        <f>tbl_estimated_costs_quantities[[#This Row],[Chimney Duct Cleaning Repair]]*BOQs!$L$15</f>
        <v>0</v>
      </c>
      <c r="AV133" s="76"/>
      <c r="AW133" s="37"/>
      <c r="AX133" s="89">
        <f>tbl_estimated_costs_quantities[[#This Row],[Accessibility Adaptations]]*BOQs!$L$16</f>
        <v>0</v>
      </c>
      <c r="AY133" s="86" t="str">
        <f>IF(tbl_estimated_costs_quantities[[#This Row],[Total cost]]&lt;&gt;0,tbl_estimated_costs_quantities[[#This Row],[Total cost]]/BOQs!$A$1,"")</f>
        <v/>
      </c>
      <c r="AZ133" s="37"/>
      <c r="BA133" s="37"/>
      <c r="BB133" s="37"/>
      <c r="BC133" s="37"/>
      <c r="BD133" s="41"/>
      <c r="BE133" s="37"/>
      <c r="BF133" s="37"/>
      <c r="BG133" s="37"/>
      <c r="BH133" s="41"/>
    </row>
    <row r="134" spans="2:60" ht="25.15" customHeight="1" x14ac:dyDescent="0.25">
      <c r="B134" s="49">
        <v>130</v>
      </c>
      <c r="C134" s="37"/>
      <c r="D134" s="41"/>
      <c r="E134" s="40"/>
      <c r="F134" s="87" t="str">
        <f>IF(tbl_estimated_costs_quantities[[#This Row],[House Code]]&lt;&gt;"",INDEX(tbl_Assessment[],MATCH(tbl_estimated_costs_quantities[[#This Row],[House Code]],tbl_Assessment[House Code],0),3),"")</f>
        <v/>
      </c>
      <c r="G134" s="115" t="str">
        <f>IF(tbl_estimated_costs_quantities[[#This Row],[House Code]]&lt;&gt;"",INDEX(tbl_Assessment[],MATCH(tbl_estimated_costs_quantities[[#This Row],[House Code]],tbl_Assessment[House Code],0),9),"")</f>
        <v/>
      </c>
      <c r="H13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4" s="75"/>
      <c r="J134" s="37"/>
      <c r="K134" s="86">
        <f>tbl_estimated_costs_quantities[[#This Row],[Site Preparation]]*BOQs!$L$3</f>
        <v>0</v>
      </c>
      <c r="L134" s="76"/>
      <c r="M134" s="37"/>
      <c r="N134" s="86">
        <f>tbl_estimated_costs_quantities[[#This Row],[Demolition Removal Unsafe Structures]]*BOQs!$L$4</f>
        <v>0</v>
      </c>
      <c r="O134" s="76"/>
      <c r="P134" s="37"/>
      <c r="Q134" s="86">
        <f>tbl_estimated_costs_quantities[[#This Row],[Concrete Works]]*BOQs!$L$5</f>
        <v>0</v>
      </c>
      <c r="R134" s="76"/>
      <c r="S134" s="37"/>
      <c r="T134" s="86">
        <f>tbl_estimated_costs_quantities[[#This Row],[Closure External Openings Walls Windows]]*BOQs!$L$6</f>
        <v>0</v>
      </c>
      <c r="U134" s="76"/>
      <c r="V134" s="37"/>
      <c r="W134" s="86">
        <f>tbl_estimated_costs_quantities[[#This Row],[Plastering Painting]]*BOQs!$L$7</f>
        <v>0</v>
      </c>
      <c r="X134" s="76"/>
      <c r="Y134" s="37"/>
      <c r="Z134" s="86">
        <f>tbl_estimated_costs_quantities[[#This Row],[Floor Repairs]]*BOQs!$L$8</f>
        <v>0</v>
      </c>
      <c r="AA134" s="76"/>
      <c r="AB134" s="37"/>
      <c r="AC134" s="86">
        <f>tbl_estimated_costs_quantities[[#This Row],[Doors Replacement Repair]]*BOQs!$L$9</f>
        <v>0</v>
      </c>
      <c r="AD134" s="76"/>
      <c r="AE134" s="37"/>
      <c r="AF134" s="86">
        <f>tbl_estimated_costs_quantities[[#This Row],[Windows Replacement Repair]]*BOQs!$L$10</f>
        <v>0</v>
      </c>
      <c r="AG134" s="76"/>
      <c r="AH134" s="37"/>
      <c r="AI134" s="86">
        <f>tbl_estimated_costs_quantities[[#This Row],[Bathroom Rehabilitation]]*BOQs!$L$11</f>
        <v>0</v>
      </c>
      <c r="AJ134" s="76"/>
      <c r="AK134" s="37"/>
      <c r="AL134" s="86">
        <f>tbl_estimated_costs_quantities[[#This Row],[Ceramic Tile Works WASH]]*BOQs!$L$12</f>
        <v>0</v>
      </c>
      <c r="AM134" s="76"/>
      <c r="AN134" s="37"/>
      <c r="AO134" s="86">
        <f>tbl_estimated_costs_quantities[[#This Row],[Electrical Repairs Lighting]]*BOQs!$L$13</f>
        <v>0</v>
      </c>
      <c r="AP134" s="76"/>
      <c r="AQ134" s="37"/>
      <c r="AR134" s="86">
        <f>tbl_estimated_costs_quantities[[#This Row],[Roof Insulation Leak Sealing]]*BOQs!$L$14</f>
        <v>0</v>
      </c>
      <c r="AS134" s="76"/>
      <c r="AT134" s="37"/>
      <c r="AU134" s="86">
        <f>tbl_estimated_costs_quantities[[#This Row],[Chimney Duct Cleaning Repair]]*BOQs!$L$15</f>
        <v>0</v>
      </c>
      <c r="AV134" s="76"/>
      <c r="AW134" s="37"/>
      <c r="AX134" s="89">
        <f>tbl_estimated_costs_quantities[[#This Row],[Accessibility Adaptations]]*BOQs!$L$16</f>
        <v>0</v>
      </c>
      <c r="AY134" s="86" t="str">
        <f>IF(tbl_estimated_costs_quantities[[#This Row],[Total cost]]&lt;&gt;0,tbl_estimated_costs_quantities[[#This Row],[Total cost]]/BOQs!$A$1,"")</f>
        <v/>
      </c>
      <c r="AZ134" s="37"/>
      <c r="BA134" s="37"/>
      <c r="BB134" s="37"/>
      <c r="BC134" s="37"/>
      <c r="BD134" s="41"/>
      <c r="BE134" s="37"/>
      <c r="BF134" s="37"/>
      <c r="BG134" s="37"/>
      <c r="BH134" s="41"/>
    </row>
    <row r="135" spans="2:60" ht="25.15" customHeight="1" x14ac:dyDescent="0.25">
      <c r="B135" s="49">
        <v>131</v>
      </c>
      <c r="C135" s="37"/>
      <c r="D135" s="41"/>
      <c r="E135" s="40"/>
      <c r="F135" s="87" t="str">
        <f>IF(tbl_estimated_costs_quantities[[#This Row],[House Code]]&lt;&gt;"",INDEX(tbl_Assessment[],MATCH(tbl_estimated_costs_quantities[[#This Row],[House Code]],tbl_Assessment[House Code],0),3),"")</f>
        <v/>
      </c>
      <c r="G135" s="115" t="str">
        <f>IF(tbl_estimated_costs_quantities[[#This Row],[House Code]]&lt;&gt;"",INDEX(tbl_Assessment[],MATCH(tbl_estimated_costs_quantities[[#This Row],[House Code]],tbl_Assessment[House Code],0),9),"")</f>
        <v/>
      </c>
      <c r="H13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5" s="75"/>
      <c r="J135" s="37"/>
      <c r="K135" s="86">
        <f>tbl_estimated_costs_quantities[[#This Row],[Site Preparation]]*BOQs!$L$3</f>
        <v>0</v>
      </c>
      <c r="L135" s="76"/>
      <c r="M135" s="37"/>
      <c r="N135" s="86">
        <f>tbl_estimated_costs_quantities[[#This Row],[Demolition Removal Unsafe Structures]]*BOQs!$L$4</f>
        <v>0</v>
      </c>
      <c r="O135" s="76"/>
      <c r="P135" s="37"/>
      <c r="Q135" s="86">
        <f>tbl_estimated_costs_quantities[[#This Row],[Concrete Works]]*BOQs!$L$5</f>
        <v>0</v>
      </c>
      <c r="R135" s="76"/>
      <c r="S135" s="37"/>
      <c r="T135" s="86">
        <f>tbl_estimated_costs_quantities[[#This Row],[Closure External Openings Walls Windows]]*BOQs!$L$6</f>
        <v>0</v>
      </c>
      <c r="U135" s="76"/>
      <c r="V135" s="37"/>
      <c r="W135" s="86">
        <f>tbl_estimated_costs_quantities[[#This Row],[Plastering Painting]]*BOQs!$L$7</f>
        <v>0</v>
      </c>
      <c r="X135" s="76"/>
      <c r="Y135" s="37"/>
      <c r="Z135" s="86">
        <f>tbl_estimated_costs_quantities[[#This Row],[Floor Repairs]]*BOQs!$L$8</f>
        <v>0</v>
      </c>
      <c r="AA135" s="76"/>
      <c r="AB135" s="37"/>
      <c r="AC135" s="86">
        <f>tbl_estimated_costs_quantities[[#This Row],[Doors Replacement Repair]]*BOQs!$L$9</f>
        <v>0</v>
      </c>
      <c r="AD135" s="76"/>
      <c r="AE135" s="37"/>
      <c r="AF135" s="86">
        <f>tbl_estimated_costs_quantities[[#This Row],[Windows Replacement Repair]]*BOQs!$L$10</f>
        <v>0</v>
      </c>
      <c r="AG135" s="76"/>
      <c r="AH135" s="37"/>
      <c r="AI135" s="86">
        <f>tbl_estimated_costs_quantities[[#This Row],[Bathroom Rehabilitation]]*BOQs!$L$11</f>
        <v>0</v>
      </c>
      <c r="AJ135" s="76"/>
      <c r="AK135" s="37"/>
      <c r="AL135" s="86">
        <f>tbl_estimated_costs_quantities[[#This Row],[Ceramic Tile Works WASH]]*BOQs!$L$12</f>
        <v>0</v>
      </c>
      <c r="AM135" s="76"/>
      <c r="AN135" s="37"/>
      <c r="AO135" s="86">
        <f>tbl_estimated_costs_quantities[[#This Row],[Electrical Repairs Lighting]]*BOQs!$L$13</f>
        <v>0</v>
      </c>
      <c r="AP135" s="76"/>
      <c r="AQ135" s="37"/>
      <c r="AR135" s="86">
        <f>tbl_estimated_costs_quantities[[#This Row],[Roof Insulation Leak Sealing]]*BOQs!$L$14</f>
        <v>0</v>
      </c>
      <c r="AS135" s="76"/>
      <c r="AT135" s="37"/>
      <c r="AU135" s="86">
        <f>tbl_estimated_costs_quantities[[#This Row],[Chimney Duct Cleaning Repair]]*BOQs!$L$15</f>
        <v>0</v>
      </c>
      <c r="AV135" s="76"/>
      <c r="AW135" s="37"/>
      <c r="AX135" s="89">
        <f>tbl_estimated_costs_quantities[[#This Row],[Accessibility Adaptations]]*BOQs!$L$16</f>
        <v>0</v>
      </c>
      <c r="AY135" s="86" t="str">
        <f>IF(tbl_estimated_costs_quantities[[#This Row],[Total cost]]&lt;&gt;0,tbl_estimated_costs_quantities[[#This Row],[Total cost]]/BOQs!$A$1,"")</f>
        <v/>
      </c>
      <c r="AZ135" s="37"/>
      <c r="BA135" s="37"/>
      <c r="BB135" s="37"/>
      <c r="BC135" s="37"/>
      <c r="BD135" s="41"/>
      <c r="BE135" s="37"/>
      <c r="BF135" s="37"/>
      <c r="BG135" s="37"/>
      <c r="BH135" s="41"/>
    </row>
    <row r="136" spans="2:60" ht="25.15" customHeight="1" x14ac:dyDescent="0.25">
      <c r="B136" s="49">
        <v>132</v>
      </c>
      <c r="C136" s="37"/>
      <c r="D136" s="41"/>
      <c r="E136" s="40"/>
      <c r="F136" s="87" t="str">
        <f>IF(tbl_estimated_costs_quantities[[#This Row],[House Code]]&lt;&gt;"",INDEX(tbl_Assessment[],MATCH(tbl_estimated_costs_quantities[[#This Row],[House Code]],tbl_Assessment[House Code],0),3),"")</f>
        <v/>
      </c>
      <c r="G136" s="115" t="str">
        <f>IF(tbl_estimated_costs_quantities[[#This Row],[House Code]]&lt;&gt;"",INDEX(tbl_Assessment[],MATCH(tbl_estimated_costs_quantities[[#This Row],[House Code]],tbl_Assessment[House Code],0),9),"")</f>
        <v/>
      </c>
      <c r="H13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6" s="75"/>
      <c r="J136" s="37"/>
      <c r="K136" s="86">
        <f>tbl_estimated_costs_quantities[[#This Row],[Site Preparation]]*BOQs!$L$3</f>
        <v>0</v>
      </c>
      <c r="L136" s="76"/>
      <c r="M136" s="37"/>
      <c r="N136" s="86">
        <f>tbl_estimated_costs_quantities[[#This Row],[Demolition Removal Unsafe Structures]]*BOQs!$L$4</f>
        <v>0</v>
      </c>
      <c r="O136" s="76"/>
      <c r="P136" s="37"/>
      <c r="Q136" s="86">
        <f>tbl_estimated_costs_quantities[[#This Row],[Concrete Works]]*BOQs!$L$5</f>
        <v>0</v>
      </c>
      <c r="R136" s="76"/>
      <c r="S136" s="37"/>
      <c r="T136" s="86">
        <f>tbl_estimated_costs_quantities[[#This Row],[Closure External Openings Walls Windows]]*BOQs!$L$6</f>
        <v>0</v>
      </c>
      <c r="U136" s="76"/>
      <c r="V136" s="37"/>
      <c r="W136" s="86">
        <f>tbl_estimated_costs_quantities[[#This Row],[Plastering Painting]]*BOQs!$L$7</f>
        <v>0</v>
      </c>
      <c r="X136" s="76"/>
      <c r="Y136" s="37"/>
      <c r="Z136" s="86">
        <f>tbl_estimated_costs_quantities[[#This Row],[Floor Repairs]]*BOQs!$L$8</f>
        <v>0</v>
      </c>
      <c r="AA136" s="76"/>
      <c r="AB136" s="37"/>
      <c r="AC136" s="86">
        <f>tbl_estimated_costs_quantities[[#This Row],[Doors Replacement Repair]]*BOQs!$L$9</f>
        <v>0</v>
      </c>
      <c r="AD136" s="76"/>
      <c r="AE136" s="37"/>
      <c r="AF136" s="86">
        <f>tbl_estimated_costs_quantities[[#This Row],[Windows Replacement Repair]]*BOQs!$L$10</f>
        <v>0</v>
      </c>
      <c r="AG136" s="76"/>
      <c r="AH136" s="37"/>
      <c r="AI136" s="86">
        <f>tbl_estimated_costs_quantities[[#This Row],[Bathroom Rehabilitation]]*BOQs!$L$11</f>
        <v>0</v>
      </c>
      <c r="AJ136" s="76"/>
      <c r="AK136" s="37"/>
      <c r="AL136" s="86">
        <f>tbl_estimated_costs_quantities[[#This Row],[Ceramic Tile Works WASH]]*BOQs!$L$12</f>
        <v>0</v>
      </c>
      <c r="AM136" s="76"/>
      <c r="AN136" s="37"/>
      <c r="AO136" s="86">
        <f>tbl_estimated_costs_quantities[[#This Row],[Electrical Repairs Lighting]]*BOQs!$L$13</f>
        <v>0</v>
      </c>
      <c r="AP136" s="76"/>
      <c r="AQ136" s="37"/>
      <c r="AR136" s="86">
        <f>tbl_estimated_costs_quantities[[#This Row],[Roof Insulation Leak Sealing]]*BOQs!$L$14</f>
        <v>0</v>
      </c>
      <c r="AS136" s="76"/>
      <c r="AT136" s="37"/>
      <c r="AU136" s="86">
        <f>tbl_estimated_costs_quantities[[#This Row],[Chimney Duct Cleaning Repair]]*BOQs!$L$15</f>
        <v>0</v>
      </c>
      <c r="AV136" s="76"/>
      <c r="AW136" s="37"/>
      <c r="AX136" s="89">
        <f>tbl_estimated_costs_quantities[[#This Row],[Accessibility Adaptations]]*BOQs!$L$16</f>
        <v>0</v>
      </c>
      <c r="AY136" s="86" t="str">
        <f>IF(tbl_estimated_costs_quantities[[#This Row],[Total cost]]&lt;&gt;0,tbl_estimated_costs_quantities[[#This Row],[Total cost]]/BOQs!$A$1,"")</f>
        <v/>
      </c>
      <c r="AZ136" s="37"/>
      <c r="BA136" s="37"/>
      <c r="BB136" s="37"/>
      <c r="BC136" s="37"/>
      <c r="BD136" s="41"/>
      <c r="BE136" s="37"/>
      <c r="BF136" s="37"/>
      <c r="BG136" s="37"/>
      <c r="BH136" s="41"/>
    </row>
    <row r="137" spans="2:60" ht="25.15" customHeight="1" x14ac:dyDescent="0.25">
      <c r="B137" s="49">
        <v>133</v>
      </c>
      <c r="C137" s="37"/>
      <c r="D137" s="41"/>
      <c r="E137" s="40"/>
      <c r="F137" s="87" t="str">
        <f>IF(tbl_estimated_costs_quantities[[#This Row],[House Code]]&lt;&gt;"",INDEX(tbl_Assessment[],MATCH(tbl_estimated_costs_quantities[[#This Row],[House Code]],tbl_Assessment[House Code],0),3),"")</f>
        <v/>
      </c>
      <c r="G137" s="115" t="str">
        <f>IF(tbl_estimated_costs_quantities[[#This Row],[House Code]]&lt;&gt;"",INDEX(tbl_Assessment[],MATCH(tbl_estimated_costs_quantities[[#This Row],[House Code]],tbl_Assessment[House Code],0),9),"")</f>
        <v/>
      </c>
      <c r="H13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7" s="75"/>
      <c r="J137" s="37"/>
      <c r="K137" s="86">
        <f>tbl_estimated_costs_quantities[[#This Row],[Site Preparation]]*BOQs!$L$3</f>
        <v>0</v>
      </c>
      <c r="L137" s="76"/>
      <c r="M137" s="37"/>
      <c r="N137" s="86">
        <f>tbl_estimated_costs_quantities[[#This Row],[Demolition Removal Unsafe Structures]]*BOQs!$L$4</f>
        <v>0</v>
      </c>
      <c r="O137" s="76"/>
      <c r="P137" s="37"/>
      <c r="Q137" s="86">
        <f>tbl_estimated_costs_quantities[[#This Row],[Concrete Works]]*BOQs!$L$5</f>
        <v>0</v>
      </c>
      <c r="R137" s="76"/>
      <c r="S137" s="37"/>
      <c r="T137" s="86">
        <f>tbl_estimated_costs_quantities[[#This Row],[Closure External Openings Walls Windows]]*BOQs!$L$6</f>
        <v>0</v>
      </c>
      <c r="U137" s="76"/>
      <c r="V137" s="37"/>
      <c r="W137" s="86">
        <f>tbl_estimated_costs_quantities[[#This Row],[Plastering Painting]]*BOQs!$L$7</f>
        <v>0</v>
      </c>
      <c r="X137" s="76"/>
      <c r="Y137" s="37"/>
      <c r="Z137" s="86">
        <f>tbl_estimated_costs_quantities[[#This Row],[Floor Repairs]]*BOQs!$L$8</f>
        <v>0</v>
      </c>
      <c r="AA137" s="76"/>
      <c r="AB137" s="37"/>
      <c r="AC137" s="86">
        <f>tbl_estimated_costs_quantities[[#This Row],[Doors Replacement Repair]]*BOQs!$L$9</f>
        <v>0</v>
      </c>
      <c r="AD137" s="76"/>
      <c r="AE137" s="37"/>
      <c r="AF137" s="86">
        <f>tbl_estimated_costs_quantities[[#This Row],[Windows Replacement Repair]]*BOQs!$L$10</f>
        <v>0</v>
      </c>
      <c r="AG137" s="76"/>
      <c r="AH137" s="37"/>
      <c r="AI137" s="86">
        <f>tbl_estimated_costs_quantities[[#This Row],[Bathroom Rehabilitation]]*BOQs!$L$11</f>
        <v>0</v>
      </c>
      <c r="AJ137" s="76"/>
      <c r="AK137" s="37"/>
      <c r="AL137" s="86">
        <f>tbl_estimated_costs_quantities[[#This Row],[Ceramic Tile Works WASH]]*BOQs!$L$12</f>
        <v>0</v>
      </c>
      <c r="AM137" s="76"/>
      <c r="AN137" s="37"/>
      <c r="AO137" s="86">
        <f>tbl_estimated_costs_quantities[[#This Row],[Electrical Repairs Lighting]]*BOQs!$L$13</f>
        <v>0</v>
      </c>
      <c r="AP137" s="76"/>
      <c r="AQ137" s="37"/>
      <c r="AR137" s="86">
        <f>tbl_estimated_costs_quantities[[#This Row],[Roof Insulation Leak Sealing]]*BOQs!$L$14</f>
        <v>0</v>
      </c>
      <c r="AS137" s="76"/>
      <c r="AT137" s="37"/>
      <c r="AU137" s="86">
        <f>tbl_estimated_costs_quantities[[#This Row],[Chimney Duct Cleaning Repair]]*BOQs!$L$15</f>
        <v>0</v>
      </c>
      <c r="AV137" s="76"/>
      <c r="AW137" s="37"/>
      <c r="AX137" s="89">
        <f>tbl_estimated_costs_quantities[[#This Row],[Accessibility Adaptations]]*BOQs!$L$16</f>
        <v>0</v>
      </c>
      <c r="AY137" s="86" t="str">
        <f>IF(tbl_estimated_costs_quantities[[#This Row],[Total cost]]&lt;&gt;0,tbl_estimated_costs_quantities[[#This Row],[Total cost]]/BOQs!$A$1,"")</f>
        <v/>
      </c>
      <c r="AZ137" s="37"/>
      <c r="BA137" s="37"/>
      <c r="BB137" s="37"/>
      <c r="BC137" s="37"/>
      <c r="BD137" s="41"/>
      <c r="BE137" s="37"/>
      <c r="BF137" s="37"/>
      <c r="BG137" s="37"/>
      <c r="BH137" s="41"/>
    </row>
    <row r="138" spans="2:60" ht="25.15" customHeight="1" x14ac:dyDescent="0.25">
      <c r="B138" s="49">
        <v>134</v>
      </c>
      <c r="C138" s="37"/>
      <c r="D138" s="41"/>
      <c r="E138" s="40"/>
      <c r="F138" s="87" t="str">
        <f>IF(tbl_estimated_costs_quantities[[#This Row],[House Code]]&lt;&gt;"",INDEX(tbl_Assessment[],MATCH(tbl_estimated_costs_quantities[[#This Row],[House Code]],tbl_Assessment[House Code],0),3),"")</f>
        <v/>
      </c>
      <c r="G138" s="115" t="str">
        <f>IF(tbl_estimated_costs_quantities[[#This Row],[House Code]]&lt;&gt;"",INDEX(tbl_Assessment[],MATCH(tbl_estimated_costs_quantities[[#This Row],[House Code]],tbl_Assessment[House Code],0),9),"")</f>
        <v/>
      </c>
      <c r="H13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8" s="75"/>
      <c r="J138" s="37"/>
      <c r="K138" s="86">
        <f>tbl_estimated_costs_quantities[[#This Row],[Site Preparation]]*BOQs!$L$3</f>
        <v>0</v>
      </c>
      <c r="L138" s="76"/>
      <c r="M138" s="37"/>
      <c r="N138" s="86">
        <f>tbl_estimated_costs_quantities[[#This Row],[Demolition Removal Unsafe Structures]]*BOQs!$L$4</f>
        <v>0</v>
      </c>
      <c r="O138" s="76"/>
      <c r="P138" s="37"/>
      <c r="Q138" s="86">
        <f>tbl_estimated_costs_quantities[[#This Row],[Concrete Works]]*BOQs!$L$5</f>
        <v>0</v>
      </c>
      <c r="R138" s="76"/>
      <c r="S138" s="37"/>
      <c r="T138" s="86">
        <f>tbl_estimated_costs_quantities[[#This Row],[Closure External Openings Walls Windows]]*BOQs!$L$6</f>
        <v>0</v>
      </c>
      <c r="U138" s="76"/>
      <c r="V138" s="37"/>
      <c r="W138" s="86">
        <f>tbl_estimated_costs_quantities[[#This Row],[Plastering Painting]]*BOQs!$L$7</f>
        <v>0</v>
      </c>
      <c r="X138" s="76"/>
      <c r="Y138" s="37"/>
      <c r="Z138" s="86">
        <f>tbl_estimated_costs_quantities[[#This Row],[Floor Repairs]]*BOQs!$L$8</f>
        <v>0</v>
      </c>
      <c r="AA138" s="76"/>
      <c r="AB138" s="37"/>
      <c r="AC138" s="86">
        <f>tbl_estimated_costs_quantities[[#This Row],[Doors Replacement Repair]]*BOQs!$L$9</f>
        <v>0</v>
      </c>
      <c r="AD138" s="76"/>
      <c r="AE138" s="37"/>
      <c r="AF138" s="86">
        <f>tbl_estimated_costs_quantities[[#This Row],[Windows Replacement Repair]]*BOQs!$L$10</f>
        <v>0</v>
      </c>
      <c r="AG138" s="76"/>
      <c r="AH138" s="37"/>
      <c r="AI138" s="86">
        <f>tbl_estimated_costs_quantities[[#This Row],[Bathroom Rehabilitation]]*BOQs!$L$11</f>
        <v>0</v>
      </c>
      <c r="AJ138" s="76"/>
      <c r="AK138" s="37"/>
      <c r="AL138" s="86">
        <f>tbl_estimated_costs_quantities[[#This Row],[Ceramic Tile Works WASH]]*BOQs!$L$12</f>
        <v>0</v>
      </c>
      <c r="AM138" s="76"/>
      <c r="AN138" s="37"/>
      <c r="AO138" s="86">
        <f>tbl_estimated_costs_quantities[[#This Row],[Electrical Repairs Lighting]]*BOQs!$L$13</f>
        <v>0</v>
      </c>
      <c r="AP138" s="76"/>
      <c r="AQ138" s="37"/>
      <c r="AR138" s="86">
        <f>tbl_estimated_costs_quantities[[#This Row],[Roof Insulation Leak Sealing]]*BOQs!$L$14</f>
        <v>0</v>
      </c>
      <c r="AS138" s="76"/>
      <c r="AT138" s="37"/>
      <c r="AU138" s="86">
        <f>tbl_estimated_costs_quantities[[#This Row],[Chimney Duct Cleaning Repair]]*BOQs!$L$15</f>
        <v>0</v>
      </c>
      <c r="AV138" s="76"/>
      <c r="AW138" s="37"/>
      <c r="AX138" s="89">
        <f>tbl_estimated_costs_quantities[[#This Row],[Accessibility Adaptations]]*BOQs!$L$16</f>
        <v>0</v>
      </c>
      <c r="AY138" s="86" t="str">
        <f>IF(tbl_estimated_costs_quantities[[#This Row],[Total cost]]&lt;&gt;0,tbl_estimated_costs_quantities[[#This Row],[Total cost]]/BOQs!$A$1,"")</f>
        <v/>
      </c>
      <c r="AZ138" s="37"/>
      <c r="BA138" s="37"/>
      <c r="BB138" s="37"/>
      <c r="BC138" s="37"/>
      <c r="BD138" s="41"/>
      <c r="BE138" s="37"/>
      <c r="BF138" s="37"/>
      <c r="BG138" s="37"/>
      <c r="BH138" s="41"/>
    </row>
    <row r="139" spans="2:60" ht="25.15" customHeight="1" x14ac:dyDescent="0.25">
      <c r="B139" s="49">
        <v>135</v>
      </c>
      <c r="C139" s="37"/>
      <c r="D139" s="41"/>
      <c r="E139" s="40"/>
      <c r="F139" s="87" t="str">
        <f>IF(tbl_estimated_costs_quantities[[#This Row],[House Code]]&lt;&gt;"",INDEX(tbl_Assessment[],MATCH(tbl_estimated_costs_quantities[[#This Row],[House Code]],tbl_Assessment[House Code],0),3),"")</f>
        <v/>
      </c>
      <c r="G139" s="115" t="str">
        <f>IF(tbl_estimated_costs_quantities[[#This Row],[House Code]]&lt;&gt;"",INDEX(tbl_Assessment[],MATCH(tbl_estimated_costs_quantities[[#This Row],[House Code]],tbl_Assessment[House Code],0),9),"")</f>
        <v/>
      </c>
      <c r="H13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39" s="75"/>
      <c r="J139" s="37"/>
      <c r="K139" s="86">
        <f>tbl_estimated_costs_quantities[[#This Row],[Site Preparation]]*BOQs!$L$3</f>
        <v>0</v>
      </c>
      <c r="L139" s="76"/>
      <c r="M139" s="37"/>
      <c r="N139" s="86">
        <f>tbl_estimated_costs_quantities[[#This Row],[Demolition Removal Unsafe Structures]]*BOQs!$L$4</f>
        <v>0</v>
      </c>
      <c r="O139" s="76"/>
      <c r="P139" s="37"/>
      <c r="Q139" s="86">
        <f>tbl_estimated_costs_quantities[[#This Row],[Concrete Works]]*BOQs!$L$5</f>
        <v>0</v>
      </c>
      <c r="R139" s="76"/>
      <c r="S139" s="37"/>
      <c r="T139" s="86">
        <f>tbl_estimated_costs_quantities[[#This Row],[Closure External Openings Walls Windows]]*BOQs!$L$6</f>
        <v>0</v>
      </c>
      <c r="U139" s="76"/>
      <c r="V139" s="37"/>
      <c r="W139" s="86">
        <f>tbl_estimated_costs_quantities[[#This Row],[Plastering Painting]]*BOQs!$L$7</f>
        <v>0</v>
      </c>
      <c r="X139" s="76"/>
      <c r="Y139" s="37"/>
      <c r="Z139" s="86">
        <f>tbl_estimated_costs_quantities[[#This Row],[Floor Repairs]]*BOQs!$L$8</f>
        <v>0</v>
      </c>
      <c r="AA139" s="76"/>
      <c r="AB139" s="37"/>
      <c r="AC139" s="86">
        <f>tbl_estimated_costs_quantities[[#This Row],[Doors Replacement Repair]]*BOQs!$L$9</f>
        <v>0</v>
      </c>
      <c r="AD139" s="76"/>
      <c r="AE139" s="37"/>
      <c r="AF139" s="86">
        <f>tbl_estimated_costs_quantities[[#This Row],[Windows Replacement Repair]]*BOQs!$L$10</f>
        <v>0</v>
      </c>
      <c r="AG139" s="76"/>
      <c r="AH139" s="37"/>
      <c r="AI139" s="86">
        <f>tbl_estimated_costs_quantities[[#This Row],[Bathroom Rehabilitation]]*BOQs!$L$11</f>
        <v>0</v>
      </c>
      <c r="AJ139" s="76"/>
      <c r="AK139" s="37"/>
      <c r="AL139" s="86">
        <f>tbl_estimated_costs_quantities[[#This Row],[Ceramic Tile Works WASH]]*BOQs!$L$12</f>
        <v>0</v>
      </c>
      <c r="AM139" s="76"/>
      <c r="AN139" s="37"/>
      <c r="AO139" s="86">
        <f>tbl_estimated_costs_quantities[[#This Row],[Electrical Repairs Lighting]]*BOQs!$L$13</f>
        <v>0</v>
      </c>
      <c r="AP139" s="76"/>
      <c r="AQ139" s="37"/>
      <c r="AR139" s="86">
        <f>tbl_estimated_costs_quantities[[#This Row],[Roof Insulation Leak Sealing]]*BOQs!$L$14</f>
        <v>0</v>
      </c>
      <c r="AS139" s="76"/>
      <c r="AT139" s="37"/>
      <c r="AU139" s="86">
        <f>tbl_estimated_costs_quantities[[#This Row],[Chimney Duct Cleaning Repair]]*BOQs!$L$15</f>
        <v>0</v>
      </c>
      <c r="AV139" s="76"/>
      <c r="AW139" s="37"/>
      <c r="AX139" s="89">
        <f>tbl_estimated_costs_quantities[[#This Row],[Accessibility Adaptations]]*BOQs!$L$16</f>
        <v>0</v>
      </c>
      <c r="AY139" s="86" t="str">
        <f>IF(tbl_estimated_costs_quantities[[#This Row],[Total cost]]&lt;&gt;0,tbl_estimated_costs_quantities[[#This Row],[Total cost]]/BOQs!$A$1,"")</f>
        <v/>
      </c>
      <c r="AZ139" s="37"/>
      <c r="BA139" s="37"/>
      <c r="BB139" s="37"/>
      <c r="BC139" s="37"/>
      <c r="BD139" s="41"/>
      <c r="BE139" s="37"/>
      <c r="BF139" s="37"/>
      <c r="BG139" s="37"/>
      <c r="BH139" s="41"/>
    </row>
    <row r="140" spans="2:60" ht="25.15" customHeight="1" x14ac:dyDescent="0.25">
      <c r="B140" s="49">
        <v>136</v>
      </c>
      <c r="C140" s="37"/>
      <c r="D140" s="41"/>
      <c r="E140" s="40"/>
      <c r="F140" s="87" t="str">
        <f>IF(tbl_estimated_costs_quantities[[#This Row],[House Code]]&lt;&gt;"",INDEX(tbl_Assessment[],MATCH(tbl_estimated_costs_quantities[[#This Row],[House Code]],tbl_Assessment[House Code],0),3),"")</f>
        <v/>
      </c>
      <c r="G140" s="115" t="str">
        <f>IF(tbl_estimated_costs_quantities[[#This Row],[House Code]]&lt;&gt;"",INDEX(tbl_Assessment[],MATCH(tbl_estimated_costs_quantities[[#This Row],[House Code]],tbl_Assessment[House Code],0),9),"")</f>
        <v/>
      </c>
      <c r="H14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0" s="75"/>
      <c r="J140" s="37"/>
      <c r="K140" s="86">
        <f>tbl_estimated_costs_quantities[[#This Row],[Site Preparation]]*BOQs!$L$3</f>
        <v>0</v>
      </c>
      <c r="L140" s="76"/>
      <c r="M140" s="37"/>
      <c r="N140" s="86">
        <f>tbl_estimated_costs_quantities[[#This Row],[Demolition Removal Unsafe Structures]]*BOQs!$L$4</f>
        <v>0</v>
      </c>
      <c r="O140" s="76"/>
      <c r="P140" s="37"/>
      <c r="Q140" s="86">
        <f>tbl_estimated_costs_quantities[[#This Row],[Concrete Works]]*BOQs!$L$5</f>
        <v>0</v>
      </c>
      <c r="R140" s="76"/>
      <c r="S140" s="37"/>
      <c r="T140" s="86">
        <f>tbl_estimated_costs_quantities[[#This Row],[Closure External Openings Walls Windows]]*BOQs!$L$6</f>
        <v>0</v>
      </c>
      <c r="U140" s="76"/>
      <c r="V140" s="37"/>
      <c r="W140" s="86">
        <f>tbl_estimated_costs_quantities[[#This Row],[Plastering Painting]]*BOQs!$L$7</f>
        <v>0</v>
      </c>
      <c r="X140" s="76"/>
      <c r="Y140" s="37"/>
      <c r="Z140" s="86">
        <f>tbl_estimated_costs_quantities[[#This Row],[Floor Repairs]]*BOQs!$L$8</f>
        <v>0</v>
      </c>
      <c r="AA140" s="76"/>
      <c r="AB140" s="37"/>
      <c r="AC140" s="86">
        <f>tbl_estimated_costs_quantities[[#This Row],[Doors Replacement Repair]]*BOQs!$L$9</f>
        <v>0</v>
      </c>
      <c r="AD140" s="76"/>
      <c r="AE140" s="37"/>
      <c r="AF140" s="86">
        <f>tbl_estimated_costs_quantities[[#This Row],[Windows Replacement Repair]]*BOQs!$L$10</f>
        <v>0</v>
      </c>
      <c r="AG140" s="76"/>
      <c r="AH140" s="37"/>
      <c r="AI140" s="86">
        <f>tbl_estimated_costs_quantities[[#This Row],[Bathroom Rehabilitation]]*BOQs!$L$11</f>
        <v>0</v>
      </c>
      <c r="AJ140" s="76"/>
      <c r="AK140" s="37"/>
      <c r="AL140" s="86">
        <f>tbl_estimated_costs_quantities[[#This Row],[Ceramic Tile Works WASH]]*BOQs!$L$12</f>
        <v>0</v>
      </c>
      <c r="AM140" s="76"/>
      <c r="AN140" s="37"/>
      <c r="AO140" s="86">
        <f>tbl_estimated_costs_quantities[[#This Row],[Electrical Repairs Lighting]]*BOQs!$L$13</f>
        <v>0</v>
      </c>
      <c r="AP140" s="76"/>
      <c r="AQ140" s="37"/>
      <c r="AR140" s="86">
        <f>tbl_estimated_costs_quantities[[#This Row],[Roof Insulation Leak Sealing]]*BOQs!$L$14</f>
        <v>0</v>
      </c>
      <c r="AS140" s="76"/>
      <c r="AT140" s="37"/>
      <c r="AU140" s="86">
        <f>tbl_estimated_costs_quantities[[#This Row],[Chimney Duct Cleaning Repair]]*BOQs!$L$15</f>
        <v>0</v>
      </c>
      <c r="AV140" s="76"/>
      <c r="AW140" s="37"/>
      <c r="AX140" s="89">
        <f>tbl_estimated_costs_quantities[[#This Row],[Accessibility Adaptations]]*BOQs!$L$16</f>
        <v>0</v>
      </c>
      <c r="AY140" s="86" t="str">
        <f>IF(tbl_estimated_costs_quantities[[#This Row],[Total cost]]&lt;&gt;0,tbl_estimated_costs_quantities[[#This Row],[Total cost]]/BOQs!$A$1,"")</f>
        <v/>
      </c>
      <c r="AZ140" s="37"/>
      <c r="BA140" s="37"/>
      <c r="BB140" s="37"/>
      <c r="BC140" s="37"/>
      <c r="BD140" s="41"/>
      <c r="BE140" s="37"/>
      <c r="BF140" s="37"/>
      <c r="BG140" s="37"/>
      <c r="BH140" s="41"/>
    </row>
    <row r="141" spans="2:60" ht="25.15" customHeight="1" x14ac:dyDescent="0.25">
      <c r="B141" s="49">
        <v>137</v>
      </c>
      <c r="C141" s="37"/>
      <c r="D141" s="41"/>
      <c r="E141" s="40"/>
      <c r="F141" s="87" t="str">
        <f>IF(tbl_estimated_costs_quantities[[#This Row],[House Code]]&lt;&gt;"",INDEX(tbl_Assessment[],MATCH(tbl_estimated_costs_quantities[[#This Row],[House Code]],tbl_Assessment[House Code],0),3),"")</f>
        <v/>
      </c>
      <c r="G141" s="115" t="str">
        <f>IF(tbl_estimated_costs_quantities[[#This Row],[House Code]]&lt;&gt;"",INDEX(tbl_Assessment[],MATCH(tbl_estimated_costs_quantities[[#This Row],[House Code]],tbl_Assessment[House Code],0),9),"")</f>
        <v/>
      </c>
      <c r="H14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1" s="75"/>
      <c r="J141" s="37"/>
      <c r="K141" s="86">
        <f>tbl_estimated_costs_quantities[[#This Row],[Site Preparation]]*BOQs!$L$3</f>
        <v>0</v>
      </c>
      <c r="L141" s="76"/>
      <c r="M141" s="37"/>
      <c r="N141" s="86">
        <f>tbl_estimated_costs_quantities[[#This Row],[Demolition Removal Unsafe Structures]]*BOQs!$L$4</f>
        <v>0</v>
      </c>
      <c r="O141" s="76"/>
      <c r="P141" s="37"/>
      <c r="Q141" s="86">
        <f>tbl_estimated_costs_quantities[[#This Row],[Concrete Works]]*BOQs!$L$5</f>
        <v>0</v>
      </c>
      <c r="R141" s="76"/>
      <c r="S141" s="37"/>
      <c r="T141" s="86">
        <f>tbl_estimated_costs_quantities[[#This Row],[Closure External Openings Walls Windows]]*BOQs!$L$6</f>
        <v>0</v>
      </c>
      <c r="U141" s="76"/>
      <c r="V141" s="37"/>
      <c r="W141" s="86">
        <f>tbl_estimated_costs_quantities[[#This Row],[Plastering Painting]]*BOQs!$L$7</f>
        <v>0</v>
      </c>
      <c r="X141" s="76"/>
      <c r="Y141" s="37"/>
      <c r="Z141" s="86">
        <f>tbl_estimated_costs_quantities[[#This Row],[Floor Repairs]]*BOQs!$L$8</f>
        <v>0</v>
      </c>
      <c r="AA141" s="76"/>
      <c r="AB141" s="37"/>
      <c r="AC141" s="86">
        <f>tbl_estimated_costs_quantities[[#This Row],[Doors Replacement Repair]]*BOQs!$L$9</f>
        <v>0</v>
      </c>
      <c r="AD141" s="76"/>
      <c r="AE141" s="37"/>
      <c r="AF141" s="86">
        <f>tbl_estimated_costs_quantities[[#This Row],[Windows Replacement Repair]]*BOQs!$L$10</f>
        <v>0</v>
      </c>
      <c r="AG141" s="76"/>
      <c r="AH141" s="37"/>
      <c r="AI141" s="86">
        <f>tbl_estimated_costs_quantities[[#This Row],[Bathroom Rehabilitation]]*BOQs!$L$11</f>
        <v>0</v>
      </c>
      <c r="AJ141" s="76"/>
      <c r="AK141" s="37"/>
      <c r="AL141" s="86">
        <f>tbl_estimated_costs_quantities[[#This Row],[Ceramic Tile Works WASH]]*BOQs!$L$12</f>
        <v>0</v>
      </c>
      <c r="AM141" s="76"/>
      <c r="AN141" s="37"/>
      <c r="AO141" s="86">
        <f>tbl_estimated_costs_quantities[[#This Row],[Electrical Repairs Lighting]]*BOQs!$L$13</f>
        <v>0</v>
      </c>
      <c r="AP141" s="76"/>
      <c r="AQ141" s="37"/>
      <c r="AR141" s="86">
        <f>tbl_estimated_costs_quantities[[#This Row],[Roof Insulation Leak Sealing]]*BOQs!$L$14</f>
        <v>0</v>
      </c>
      <c r="AS141" s="76"/>
      <c r="AT141" s="37"/>
      <c r="AU141" s="86">
        <f>tbl_estimated_costs_quantities[[#This Row],[Chimney Duct Cleaning Repair]]*BOQs!$L$15</f>
        <v>0</v>
      </c>
      <c r="AV141" s="76"/>
      <c r="AW141" s="37"/>
      <c r="AX141" s="89">
        <f>tbl_estimated_costs_quantities[[#This Row],[Accessibility Adaptations]]*BOQs!$L$16</f>
        <v>0</v>
      </c>
      <c r="AY141" s="86" t="str">
        <f>IF(tbl_estimated_costs_quantities[[#This Row],[Total cost]]&lt;&gt;0,tbl_estimated_costs_quantities[[#This Row],[Total cost]]/BOQs!$A$1,"")</f>
        <v/>
      </c>
      <c r="AZ141" s="37"/>
      <c r="BA141" s="37"/>
      <c r="BB141" s="37"/>
      <c r="BC141" s="37"/>
      <c r="BD141" s="41"/>
      <c r="BE141" s="37"/>
      <c r="BF141" s="37"/>
      <c r="BG141" s="37"/>
      <c r="BH141" s="41"/>
    </row>
    <row r="142" spans="2:60" ht="25.15" customHeight="1" x14ac:dyDescent="0.25">
      <c r="B142" s="49">
        <v>138</v>
      </c>
      <c r="C142" s="37"/>
      <c r="D142" s="41"/>
      <c r="E142" s="40"/>
      <c r="F142" s="87" t="str">
        <f>IF(tbl_estimated_costs_quantities[[#This Row],[House Code]]&lt;&gt;"",INDEX(tbl_Assessment[],MATCH(tbl_estimated_costs_quantities[[#This Row],[House Code]],tbl_Assessment[House Code],0),3),"")</f>
        <v/>
      </c>
      <c r="G142" s="115" t="str">
        <f>IF(tbl_estimated_costs_quantities[[#This Row],[House Code]]&lt;&gt;"",INDEX(tbl_Assessment[],MATCH(tbl_estimated_costs_quantities[[#This Row],[House Code]],tbl_Assessment[House Code],0),9),"")</f>
        <v/>
      </c>
      <c r="H14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2" s="75"/>
      <c r="J142" s="37"/>
      <c r="K142" s="86">
        <f>tbl_estimated_costs_quantities[[#This Row],[Site Preparation]]*BOQs!$L$3</f>
        <v>0</v>
      </c>
      <c r="L142" s="76"/>
      <c r="M142" s="37"/>
      <c r="N142" s="86">
        <f>tbl_estimated_costs_quantities[[#This Row],[Demolition Removal Unsafe Structures]]*BOQs!$L$4</f>
        <v>0</v>
      </c>
      <c r="O142" s="76"/>
      <c r="P142" s="37"/>
      <c r="Q142" s="86">
        <f>tbl_estimated_costs_quantities[[#This Row],[Concrete Works]]*BOQs!$L$5</f>
        <v>0</v>
      </c>
      <c r="R142" s="76"/>
      <c r="S142" s="37"/>
      <c r="T142" s="86">
        <f>tbl_estimated_costs_quantities[[#This Row],[Closure External Openings Walls Windows]]*BOQs!$L$6</f>
        <v>0</v>
      </c>
      <c r="U142" s="76"/>
      <c r="V142" s="37"/>
      <c r="W142" s="86">
        <f>tbl_estimated_costs_quantities[[#This Row],[Plastering Painting]]*BOQs!$L$7</f>
        <v>0</v>
      </c>
      <c r="X142" s="76"/>
      <c r="Y142" s="37"/>
      <c r="Z142" s="86">
        <f>tbl_estimated_costs_quantities[[#This Row],[Floor Repairs]]*BOQs!$L$8</f>
        <v>0</v>
      </c>
      <c r="AA142" s="76"/>
      <c r="AB142" s="37"/>
      <c r="AC142" s="86">
        <f>tbl_estimated_costs_quantities[[#This Row],[Doors Replacement Repair]]*BOQs!$L$9</f>
        <v>0</v>
      </c>
      <c r="AD142" s="76"/>
      <c r="AE142" s="37"/>
      <c r="AF142" s="86">
        <f>tbl_estimated_costs_quantities[[#This Row],[Windows Replacement Repair]]*BOQs!$L$10</f>
        <v>0</v>
      </c>
      <c r="AG142" s="76"/>
      <c r="AH142" s="37"/>
      <c r="AI142" s="86">
        <f>tbl_estimated_costs_quantities[[#This Row],[Bathroom Rehabilitation]]*BOQs!$L$11</f>
        <v>0</v>
      </c>
      <c r="AJ142" s="76"/>
      <c r="AK142" s="37"/>
      <c r="AL142" s="86">
        <f>tbl_estimated_costs_quantities[[#This Row],[Ceramic Tile Works WASH]]*BOQs!$L$12</f>
        <v>0</v>
      </c>
      <c r="AM142" s="76"/>
      <c r="AN142" s="37"/>
      <c r="AO142" s="86">
        <f>tbl_estimated_costs_quantities[[#This Row],[Electrical Repairs Lighting]]*BOQs!$L$13</f>
        <v>0</v>
      </c>
      <c r="AP142" s="76"/>
      <c r="AQ142" s="37"/>
      <c r="AR142" s="86">
        <f>tbl_estimated_costs_quantities[[#This Row],[Roof Insulation Leak Sealing]]*BOQs!$L$14</f>
        <v>0</v>
      </c>
      <c r="AS142" s="76"/>
      <c r="AT142" s="37"/>
      <c r="AU142" s="86">
        <f>tbl_estimated_costs_quantities[[#This Row],[Chimney Duct Cleaning Repair]]*BOQs!$L$15</f>
        <v>0</v>
      </c>
      <c r="AV142" s="76"/>
      <c r="AW142" s="37"/>
      <c r="AX142" s="89">
        <f>tbl_estimated_costs_quantities[[#This Row],[Accessibility Adaptations]]*BOQs!$L$16</f>
        <v>0</v>
      </c>
      <c r="AY142" s="86" t="str">
        <f>IF(tbl_estimated_costs_quantities[[#This Row],[Total cost]]&lt;&gt;0,tbl_estimated_costs_quantities[[#This Row],[Total cost]]/BOQs!$A$1,"")</f>
        <v/>
      </c>
      <c r="AZ142" s="37"/>
      <c r="BA142" s="37"/>
      <c r="BB142" s="37"/>
      <c r="BC142" s="37"/>
      <c r="BD142" s="41"/>
      <c r="BE142" s="37"/>
      <c r="BF142" s="37"/>
      <c r="BG142" s="37"/>
      <c r="BH142" s="41"/>
    </row>
    <row r="143" spans="2:60" ht="25.15" customHeight="1" x14ac:dyDescent="0.25">
      <c r="B143" s="49">
        <v>139</v>
      </c>
      <c r="C143" s="37"/>
      <c r="D143" s="41"/>
      <c r="E143" s="40"/>
      <c r="F143" s="87" t="str">
        <f>IF(tbl_estimated_costs_quantities[[#This Row],[House Code]]&lt;&gt;"",INDEX(tbl_Assessment[],MATCH(tbl_estimated_costs_quantities[[#This Row],[House Code]],tbl_Assessment[House Code],0),3),"")</f>
        <v/>
      </c>
      <c r="G143" s="115" t="str">
        <f>IF(tbl_estimated_costs_quantities[[#This Row],[House Code]]&lt;&gt;"",INDEX(tbl_Assessment[],MATCH(tbl_estimated_costs_quantities[[#This Row],[House Code]],tbl_Assessment[House Code],0),9),"")</f>
        <v/>
      </c>
      <c r="H14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3" s="75"/>
      <c r="J143" s="37"/>
      <c r="K143" s="86">
        <f>tbl_estimated_costs_quantities[[#This Row],[Site Preparation]]*BOQs!$L$3</f>
        <v>0</v>
      </c>
      <c r="L143" s="76"/>
      <c r="M143" s="37"/>
      <c r="N143" s="86">
        <f>tbl_estimated_costs_quantities[[#This Row],[Demolition Removal Unsafe Structures]]*BOQs!$L$4</f>
        <v>0</v>
      </c>
      <c r="O143" s="76"/>
      <c r="P143" s="37"/>
      <c r="Q143" s="86">
        <f>tbl_estimated_costs_quantities[[#This Row],[Concrete Works]]*BOQs!$L$5</f>
        <v>0</v>
      </c>
      <c r="R143" s="76"/>
      <c r="S143" s="37"/>
      <c r="T143" s="86">
        <f>tbl_estimated_costs_quantities[[#This Row],[Closure External Openings Walls Windows]]*BOQs!$L$6</f>
        <v>0</v>
      </c>
      <c r="U143" s="76"/>
      <c r="V143" s="37"/>
      <c r="W143" s="86">
        <f>tbl_estimated_costs_quantities[[#This Row],[Plastering Painting]]*BOQs!$L$7</f>
        <v>0</v>
      </c>
      <c r="X143" s="76"/>
      <c r="Y143" s="37"/>
      <c r="Z143" s="86">
        <f>tbl_estimated_costs_quantities[[#This Row],[Floor Repairs]]*BOQs!$L$8</f>
        <v>0</v>
      </c>
      <c r="AA143" s="76"/>
      <c r="AB143" s="37"/>
      <c r="AC143" s="86">
        <f>tbl_estimated_costs_quantities[[#This Row],[Doors Replacement Repair]]*BOQs!$L$9</f>
        <v>0</v>
      </c>
      <c r="AD143" s="76"/>
      <c r="AE143" s="37"/>
      <c r="AF143" s="86">
        <f>tbl_estimated_costs_quantities[[#This Row],[Windows Replacement Repair]]*BOQs!$L$10</f>
        <v>0</v>
      </c>
      <c r="AG143" s="76"/>
      <c r="AH143" s="37"/>
      <c r="AI143" s="86">
        <f>tbl_estimated_costs_quantities[[#This Row],[Bathroom Rehabilitation]]*BOQs!$L$11</f>
        <v>0</v>
      </c>
      <c r="AJ143" s="76"/>
      <c r="AK143" s="37"/>
      <c r="AL143" s="86">
        <f>tbl_estimated_costs_quantities[[#This Row],[Ceramic Tile Works WASH]]*BOQs!$L$12</f>
        <v>0</v>
      </c>
      <c r="AM143" s="76"/>
      <c r="AN143" s="37"/>
      <c r="AO143" s="86">
        <f>tbl_estimated_costs_quantities[[#This Row],[Electrical Repairs Lighting]]*BOQs!$L$13</f>
        <v>0</v>
      </c>
      <c r="AP143" s="76"/>
      <c r="AQ143" s="37"/>
      <c r="AR143" s="86">
        <f>tbl_estimated_costs_quantities[[#This Row],[Roof Insulation Leak Sealing]]*BOQs!$L$14</f>
        <v>0</v>
      </c>
      <c r="AS143" s="76"/>
      <c r="AT143" s="37"/>
      <c r="AU143" s="86">
        <f>tbl_estimated_costs_quantities[[#This Row],[Chimney Duct Cleaning Repair]]*BOQs!$L$15</f>
        <v>0</v>
      </c>
      <c r="AV143" s="76"/>
      <c r="AW143" s="37"/>
      <c r="AX143" s="89">
        <f>tbl_estimated_costs_quantities[[#This Row],[Accessibility Adaptations]]*BOQs!$L$16</f>
        <v>0</v>
      </c>
      <c r="AY143" s="86" t="str">
        <f>IF(tbl_estimated_costs_quantities[[#This Row],[Total cost]]&lt;&gt;0,tbl_estimated_costs_quantities[[#This Row],[Total cost]]/BOQs!$A$1,"")</f>
        <v/>
      </c>
      <c r="AZ143" s="37"/>
      <c r="BA143" s="37"/>
      <c r="BB143" s="37"/>
      <c r="BC143" s="37"/>
      <c r="BD143" s="41"/>
      <c r="BE143" s="37"/>
      <c r="BF143" s="37"/>
      <c r="BG143" s="37"/>
      <c r="BH143" s="41"/>
    </row>
    <row r="144" spans="2:60" ht="25.15" customHeight="1" x14ac:dyDescent="0.25">
      <c r="B144" s="49">
        <v>140</v>
      </c>
      <c r="C144" s="37"/>
      <c r="D144" s="41"/>
      <c r="E144" s="40"/>
      <c r="F144" s="87" t="str">
        <f>IF(tbl_estimated_costs_quantities[[#This Row],[House Code]]&lt;&gt;"",INDEX(tbl_Assessment[],MATCH(tbl_estimated_costs_quantities[[#This Row],[House Code]],tbl_Assessment[House Code],0),3),"")</f>
        <v/>
      </c>
      <c r="G144" s="115" t="str">
        <f>IF(tbl_estimated_costs_quantities[[#This Row],[House Code]]&lt;&gt;"",INDEX(tbl_Assessment[],MATCH(tbl_estimated_costs_quantities[[#This Row],[House Code]],tbl_Assessment[House Code],0),9),"")</f>
        <v/>
      </c>
      <c r="H14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4" s="75"/>
      <c r="J144" s="37"/>
      <c r="K144" s="86">
        <f>tbl_estimated_costs_quantities[[#This Row],[Site Preparation]]*BOQs!$L$3</f>
        <v>0</v>
      </c>
      <c r="L144" s="76"/>
      <c r="M144" s="37"/>
      <c r="N144" s="86">
        <f>tbl_estimated_costs_quantities[[#This Row],[Demolition Removal Unsafe Structures]]*BOQs!$L$4</f>
        <v>0</v>
      </c>
      <c r="O144" s="76"/>
      <c r="P144" s="37"/>
      <c r="Q144" s="86">
        <f>tbl_estimated_costs_quantities[[#This Row],[Concrete Works]]*BOQs!$L$5</f>
        <v>0</v>
      </c>
      <c r="R144" s="76"/>
      <c r="S144" s="37"/>
      <c r="T144" s="86">
        <f>tbl_estimated_costs_quantities[[#This Row],[Closure External Openings Walls Windows]]*BOQs!$L$6</f>
        <v>0</v>
      </c>
      <c r="U144" s="76"/>
      <c r="V144" s="37"/>
      <c r="W144" s="86">
        <f>tbl_estimated_costs_quantities[[#This Row],[Plastering Painting]]*BOQs!$L$7</f>
        <v>0</v>
      </c>
      <c r="X144" s="76"/>
      <c r="Y144" s="37"/>
      <c r="Z144" s="86">
        <f>tbl_estimated_costs_quantities[[#This Row],[Floor Repairs]]*BOQs!$L$8</f>
        <v>0</v>
      </c>
      <c r="AA144" s="76"/>
      <c r="AB144" s="37"/>
      <c r="AC144" s="86">
        <f>tbl_estimated_costs_quantities[[#This Row],[Doors Replacement Repair]]*BOQs!$L$9</f>
        <v>0</v>
      </c>
      <c r="AD144" s="76"/>
      <c r="AE144" s="37"/>
      <c r="AF144" s="86">
        <f>tbl_estimated_costs_quantities[[#This Row],[Windows Replacement Repair]]*BOQs!$L$10</f>
        <v>0</v>
      </c>
      <c r="AG144" s="76"/>
      <c r="AH144" s="37"/>
      <c r="AI144" s="86">
        <f>tbl_estimated_costs_quantities[[#This Row],[Bathroom Rehabilitation]]*BOQs!$L$11</f>
        <v>0</v>
      </c>
      <c r="AJ144" s="76"/>
      <c r="AK144" s="37"/>
      <c r="AL144" s="86">
        <f>tbl_estimated_costs_quantities[[#This Row],[Ceramic Tile Works WASH]]*BOQs!$L$12</f>
        <v>0</v>
      </c>
      <c r="AM144" s="76"/>
      <c r="AN144" s="37"/>
      <c r="AO144" s="86">
        <f>tbl_estimated_costs_quantities[[#This Row],[Electrical Repairs Lighting]]*BOQs!$L$13</f>
        <v>0</v>
      </c>
      <c r="AP144" s="76"/>
      <c r="AQ144" s="37"/>
      <c r="AR144" s="86">
        <f>tbl_estimated_costs_quantities[[#This Row],[Roof Insulation Leak Sealing]]*BOQs!$L$14</f>
        <v>0</v>
      </c>
      <c r="AS144" s="76"/>
      <c r="AT144" s="37"/>
      <c r="AU144" s="86">
        <f>tbl_estimated_costs_quantities[[#This Row],[Chimney Duct Cleaning Repair]]*BOQs!$L$15</f>
        <v>0</v>
      </c>
      <c r="AV144" s="76"/>
      <c r="AW144" s="37"/>
      <c r="AX144" s="89">
        <f>tbl_estimated_costs_quantities[[#This Row],[Accessibility Adaptations]]*BOQs!$L$16</f>
        <v>0</v>
      </c>
      <c r="AY144" s="86" t="str">
        <f>IF(tbl_estimated_costs_quantities[[#This Row],[Total cost]]&lt;&gt;0,tbl_estimated_costs_quantities[[#This Row],[Total cost]]/BOQs!$A$1,"")</f>
        <v/>
      </c>
      <c r="AZ144" s="37"/>
      <c r="BA144" s="37"/>
      <c r="BB144" s="37"/>
      <c r="BC144" s="37"/>
      <c r="BD144" s="41"/>
      <c r="BE144" s="37"/>
      <c r="BF144" s="37"/>
      <c r="BG144" s="37"/>
      <c r="BH144" s="41"/>
    </row>
    <row r="145" spans="2:60" ht="25.15" customHeight="1" x14ac:dyDescent="0.25">
      <c r="B145" s="49">
        <v>141</v>
      </c>
      <c r="C145" s="37"/>
      <c r="D145" s="41"/>
      <c r="E145" s="40"/>
      <c r="F145" s="87" t="str">
        <f>IF(tbl_estimated_costs_quantities[[#This Row],[House Code]]&lt;&gt;"",INDEX(tbl_Assessment[],MATCH(tbl_estimated_costs_quantities[[#This Row],[House Code]],tbl_Assessment[House Code],0),3),"")</f>
        <v/>
      </c>
      <c r="G145" s="115" t="str">
        <f>IF(tbl_estimated_costs_quantities[[#This Row],[House Code]]&lt;&gt;"",INDEX(tbl_Assessment[],MATCH(tbl_estimated_costs_quantities[[#This Row],[House Code]],tbl_Assessment[House Code],0),9),"")</f>
        <v/>
      </c>
      <c r="H14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5" s="75"/>
      <c r="J145" s="37"/>
      <c r="K145" s="86">
        <f>tbl_estimated_costs_quantities[[#This Row],[Site Preparation]]*BOQs!$L$3</f>
        <v>0</v>
      </c>
      <c r="L145" s="76"/>
      <c r="M145" s="37"/>
      <c r="N145" s="86">
        <f>tbl_estimated_costs_quantities[[#This Row],[Demolition Removal Unsafe Structures]]*BOQs!$L$4</f>
        <v>0</v>
      </c>
      <c r="O145" s="76"/>
      <c r="P145" s="37"/>
      <c r="Q145" s="86">
        <f>tbl_estimated_costs_quantities[[#This Row],[Concrete Works]]*BOQs!$L$5</f>
        <v>0</v>
      </c>
      <c r="R145" s="76"/>
      <c r="S145" s="37"/>
      <c r="T145" s="86">
        <f>tbl_estimated_costs_quantities[[#This Row],[Closure External Openings Walls Windows]]*BOQs!$L$6</f>
        <v>0</v>
      </c>
      <c r="U145" s="76"/>
      <c r="V145" s="37"/>
      <c r="W145" s="86">
        <f>tbl_estimated_costs_quantities[[#This Row],[Plastering Painting]]*BOQs!$L$7</f>
        <v>0</v>
      </c>
      <c r="X145" s="76"/>
      <c r="Y145" s="37"/>
      <c r="Z145" s="86">
        <f>tbl_estimated_costs_quantities[[#This Row],[Floor Repairs]]*BOQs!$L$8</f>
        <v>0</v>
      </c>
      <c r="AA145" s="76"/>
      <c r="AB145" s="37"/>
      <c r="AC145" s="86">
        <f>tbl_estimated_costs_quantities[[#This Row],[Doors Replacement Repair]]*BOQs!$L$9</f>
        <v>0</v>
      </c>
      <c r="AD145" s="76"/>
      <c r="AE145" s="37"/>
      <c r="AF145" s="86">
        <f>tbl_estimated_costs_quantities[[#This Row],[Windows Replacement Repair]]*BOQs!$L$10</f>
        <v>0</v>
      </c>
      <c r="AG145" s="76"/>
      <c r="AH145" s="37"/>
      <c r="AI145" s="86">
        <f>tbl_estimated_costs_quantities[[#This Row],[Bathroom Rehabilitation]]*BOQs!$L$11</f>
        <v>0</v>
      </c>
      <c r="AJ145" s="76"/>
      <c r="AK145" s="37"/>
      <c r="AL145" s="86">
        <f>tbl_estimated_costs_quantities[[#This Row],[Ceramic Tile Works WASH]]*BOQs!$L$12</f>
        <v>0</v>
      </c>
      <c r="AM145" s="76"/>
      <c r="AN145" s="37"/>
      <c r="AO145" s="86">
        <f>tbl_estimated_costs_quantities[[#This Row],[Electrical Repairs Lighting]]*BOQs!$L$13</f>
        <v>0</v>
      </c>
      <c r="AP145" s="76"/>
      <c r="AQ145" s="37"/>
      <c r="AR145" s="86">
        <f>tbl_estimated_costs_quantities[[#This Row],[Roof Insulation Leak Sealing]]*BOQs!$L$14</f>
        <v>0</v>
      </c>
      <c r="AS145" s="76"/>
      <c r="AT145" s="37"/>
      <c r="AU145" s="86">
        <f>tbl_estimated_costs_quantities[[#This Row],[Chimney Duct Cleaning Repair]]*BOQs!$L$15</f>
        <v>0</v>
      </c>
      <c r="AV145" s="76"/>
      <c r="AW145" s="37"/>
      <c r="AX145" s="89">
        <f>tbl_estimated_costs_quantities[[#This Row],[Accessibility Adaptations]]*BOQs!$L$16</f>
        <v>0</v>
      </c>
      <c r="AY145" s="86" t="str">
        <f>IF(tbl_estimated_costs_quantities[[#This Row],[Total cost]]&lt;&gt;0,tbl_estimated_costs_quantities[[#This Row],[Total cost]]/BOQs!$A$1,"")</f>
        <v/>
      </c>
      <c r="AZ145" s="37"/>
      <c r="BA145" s="37"/>
      <c r="BB145" s="37"/>
      <c r="BC145" s="37"/>
      <c r="BD145" s="41"/>
      <c r="BE145" s="37"/>
      <c r="BF145" s="37"/>
      <c r="BG145" s="37"/>
      <c r="BH145" s="41"/>
    </row>
    <row r="146" spans="2:60" ht="25.15" customHeight="1" x14ac:dyDescent="0.25">
      <c r="B146" s="49">
        <v>142</v>
      </c>
      <c r="C146" s="37"/>
      <c r="D146" s="41"/>
      <c r="E146" s="40"/>
      <c r="F146" s="87" t="str">
        <f>IF(tbl_estimated_costs_quantities[[#This Row],[House Code]]&lt;&gt;"",INDEX(tbl_Assessment[],MATCH(tbl_estimated_costs_quantities[[#This Row],[House Code]],tbl_Assessment[House Code],0),3),"")</f>
        <v/>
      </c>
      <c r="G146" s="115" t="str">
        <f>IF(tbl_estimated_costs_quantities[[#This Row],[House Code]]&lt;&gt;"",INDEX(tbl_Assessment[],MATCH(tbl_estimated_costs_quantities[[#This Row],[House Code]],tbl_Assessment[House Code],0),9),"")</f>
        <v/>
      </c>
      <c r="H14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6" s="75"/>
      <c r="J146" s="37"/>
      <c r="K146" s="86">
        <f>tbl_estimated_costs_quantities[[#This Row],[Site Preparation]]*BOQs!$L$3</f>
        <v>0</v>
      </c>
      <c r="L146" s="76"/>
      <c r="M146" s="37"/>
      <c r="N146" s="86">
        <f>tbl_estimated_costs_quantities[[#This Row],[Demolition Removal Unsafe Structures]]*BOQs!$L$4</f>
        <v>0</v>
      </c>
      <c r="O146" s="76"/>
      <c r="P146" s="37"/>
      <c r="Q146" s="86">
        <f>tbl_estimated_costs_quantities[[#This Row],[Concrete Works]]*BOQs!$L$5</f>
        <v>0</v>
      </c>
      <c r="R146" s="76"/>
      <c r="S146" s="37"/>
      <c r="T146" s="86">
        <f>tbl_estimated_costs_quantities[[#This Row],[Closure External Openings Walls Windows]]*BOQs!$L$6</f>
        <v>0</v>
      </c>
      <c r="U146" s="76"/>
      <c r="V146" s="37"/>
      <c r="W146" s="86">
        <f>tbl_estimated_costs_quantities[[#This Row],[Plastering Painting]]*BOQs!$L$7</f>
        <v>0</v>
      </c>
      <c r="X146" s="76"/>
      <c r="Y146" s="37"/>
      <c r="Z146" s="86">
        <f>tbl_estimated_costs_quantities[[#This Row],[Floor Repairs]]*BOQs!$L$8</f>
        <v>0</v>
      </c>
      <c r="AA146" s="76"/>
      <c r="AB146" s="37"/>
      <c r="AC146" s="86">
        <f>tbl_estimated_costs_quantities[[#This Row],[Doors Replacement Repair]]*BOQs!$L$9</f>
        <v>0</v>
      </c>
      <c r="AD146" s="76"/>
      <c r="AE146" s="37"/>
      <c r="AF146" s="86">
        <f>tbl_estimated_costs_quantities[[#This Row],[Windows Replacement Repair]]*BOQs!$L$10</f>
        <v>0</v>
      </c>
      <c r="AG146" s="76"/>
      <c r="AH146" s="37"/>
      <c r="AI146" s="86">
        <f>tbl_estimated_costs_quantities[[#This Row],[Bathroom Rehabilitation]]*BOQs!$L$11</f>
        <v>0</v>
      </c>
      <c r="AJ146" s="76"/>
      <c r="AK146" s="37"/>
      <c r="AL146" s="86">
        <f>tbl_estimated_costs_quantities[[#This Row],[Ceramic Tile Works WASH]]*BOQs!$L$12</f>
        <v>0</v>
      </c>
      <c r="AM146" s="76"/>
      <c r="AN146" s="37"/>
      <c r="AO146" s="86">
        <f>tbl_estimated_costs_quantities[[#This Row],[Electrical Repairs Lighting]]*BOQs!$L$13</f>
        <v>0</v>
      </c>
      <c r="AP146" s="76"/>
      <c r="AQ146" s="37"/>
      <c r="AR146" s="86">
        <f>tbl_estimated_costs_quantities[[#This Row],[Roof Insulation Leak Sealing]]*BOQs!$L$14</f>
        <v>0</v>
      </c>
      <c r="AS146" s="76"/>
      <c r="AT146" s="37"/>
      <c r="AU146" s="86">
        <f>tbl_estimated_costs_quantities[[#This Row],[Chimney Duct Cleaning Repair]]*BOQs!$L$15</f>
        <v>0</v>
      </c>
      <c r="AV146" s="76"/>
      <c r="AW146" s="37"/>
      <c r="AX146" s="89">
        <f>tbl_estimated_costs_quantities[[#This Row],[Accessibility Adaptations]]*BOQs!$L$16</f>
        <v>0</v>
      </c>
      <c r="AY146" s="86" t="str">
        <f>IF(tbl_estimated_costs_quantities[[#This Row],[Total cost]]&lt;&gt;0,tbl_estimated_costs_quantities[[#This Row],[Total cost]]/BOQs!$A$1,"")</f>
        <v/>
      </c>
      <c r="AZ146" s="37"/>
      <c r="BA146" s="37"/>
      <c r="BB146" s="37"/>
      <c r="BC146" s="37"/>
      <c r="BD146" s="41"/>
      <c r="BE146" s="37"/>
      <c r="BF146" s="37"/>
      <c r="BG146" s="37"/>
      <c r="BH146" s="41"/>
    </row>
    <row r="147" spans="2:60" ht="25.15" customHeight="1" x14ac:dyDescent="0.25">
      <c r="B147" s="49">
        <v>143</v>
      </c>
      <c r="C147" s="37"/>
      <c r="D147" s="41"/>
      <c r="E147" s="40"/>
      <c r="F147" s="87" t="str">
        <f>IF(tbl_estimated_costs_quantities[[#This Row],[House Code]]&lt;&gt;"",INDEX(tbl_Assessment[],MATCH(tbl_estimated_costs_quantities[[#This Row],[House Code]],tbl_Assessment[House Code],0),3),"")</f>
        <v/>
      </c>
      <c r="G147" s="115" t="str">
        <f>IF(tbl_estimated_costs_quantities[[#This Row],[House Code]]&lt;&gt;"",INDEX(tbl_Assessment[],MATCH(tbl_estimated_costs_quantities[[#This Row],[House Code]],tbl_Assessment[House Code],0),9),"")</f>
        <v/>
      </c>
      <c r="H14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7" s="75"/>
      <c r="J147" s="37"/>
      <c r="K147" s="86">
        <f>tbl_estimated_costs_quantities[[#This Row],[Site Preparation]]*BOQs!$L$3</f>
        <v>0</v>
      </c>
      <c r="L147" s="76"/>
      <c r="M147" s="37"/>
      <c r="N147" s="86">
        <f>tbl_estimated_costs_quantities[[#This Row],[Demolition Removal Unsafe Structures]]*BOQs!$L$4</f>
        <v>0</v>
      </c>
      <c r="O147" s="76"/>
      <c r="P147" s="37"/>
      <c r="Q147" s="86">
        <f>tbl_estimated_costs_quantities[[#This Row],[Concrete Works]]*BOQs!$L$5</f>
        <v>0</v>
      </c>
      <c r="R147" s="76"/>
      <c r="S147" s="37"/>
      <c r="T147" s="86">
        <f>tbl_estimated_costs_quantities[[#This Row],[Closure External Openings Walls Windows]]*BOQs!$L$6</f>
        <v>0</v>
      </c>
      <c r="U147" s="76"/>
      <c r="V147" s="37"/>
      <c r="W147" s="86">
        <f>tbl_estimated_costs_quantities[[#This Row],[Plastering Painting]]*BOQs!$L$7</f>
        <v>0</v>
      </c>
      <c r="X147" s="76"/>
      <c r="Y147" s="37"/>
      <c r="Z147" s="86">
        <f>tbl_estimated_costs_quantities[[#This Row],[Floor Repairs]]*BOQs!$L$8</f>
        <v>0</v>
      </c>
      <c r="AA147" s="76"/>
      <c r="AB147" s="37"/>
      <c r="AC147" s="86">
        <f>tbl_estimated_costs_quantities[[#This Row],[Doors Replacement Repair]]*BOQs!$L$9</f>
        <v>0</v>
      </c>
      <c r="AD147" s="76"/>
      <c r="AE147" s="37"/>
      <c r="AF147" s="86">
        <f>tbl_estimated_costs_quantities[[#This Row],[Windows Replacement Repair]]*BOQs!$L$10</f>
        <v>0</v>
      </c>
      <c r="AG147" s="76"/>
      <c r="AH147" s="37"/>
      <c r="AI147" s="86">
        <f>tbl_estimated_costs_quantities[[#This Row],[Bathroom Rehabilitation]]*BOQs!$L$11</f>
        <v>0</v>
      </c>
      <c r="AJ147" s="76"/>
      <c r="AK147" s="37"/>
      <c r="AL147" s="86">
        <f>tbl_estimated_costs_quantities[[#This Row],[Ceramic Tile Works WASH]]*BOQs!$L$12</f>
        <v>0</v>
      </c>
      <c r="AM147" s="76"/>
      <c r="AN147" s="37"/>
      <c r="AO147" s="86">
        <f>tbl_estimated_costs_quantities[[#This Row],[Electrical Repairs Lighting]]*BOQs!$L$13</f>
        <v>0</v>
      </c>
      <c r="AP147" s="76"/>
      <c r="AQ147" s="37"/>
      <c r="AR147" s="86">
        <f>tbl_estimated_costs_quantities[[#This Row],[Roof Insulation Leak Sealing]]*BOQs!$L$14</f>
        <v>0</v>
      </c>
      <c r="AS147" s="76"/>
      <c r="AT147" s="37"/>
      <c r="AU147" s="86">
        <f>tbl_estimated_costs_quantities[[#This Row],[Chimney Duct Cleaning Repair]]*BOQs!$L$15</f>
        <v>0</v>
      </c>
      <c r="AV147" s="76"/>
      <c r="AW147" s="37"/>
      <c r="AX147" s="89">
        <f>tbl_estimated_costs_quantities[[#This Row],[Accessibility Adaptations]]*BOQs!$L$16</f>
        <v>0</v>
      </c>
      <c r="AY147" s="86" t="str">
        <f>IF(tbl_estimated_costs_quantities[[#This Row],[Total cost]]&lt;&gt;0,tbl_estimated_costs_quantities[[#This Row],[Total cost]]/BOQs!$A$1,"")</f>
        <v/>
      </c>
      <c r="AZ147" s="37"/>
      <c r="BA147" s="37"/>
      <c r="BB147" s="37"/>
      <c r="BC147" s="37"/>
      <c r="BD147" s="41"/>
      <c r="BE147" s="37"/>
      <c r="BF147" s="37"/>
      <c r="BG147" s="37"/>
      <c r="BH147" s="41"/>
    </row>
    <row r="148" spans="2:60" ht="25.15" customHeight="1" x14ac:dyDescent="0.25">
      <c r="B148" s="49">
        <v>144</v>
      </c>
      <c r="C148" s="37"/>
      <c r="D148" s="41"/>
      <c r="E148" s="40"/>
      <c r="F148" s="87" t="str">
        <f>IF(tbl_estimated_costs_quantities[[#This Row],[House Code]]&lt;&gt;"",INDEX(tbl_Assessment[],MATCH(tbl_estimated_costs_quantities[[#This Row],[House Code]],tbl_Assessment[House Code],0),3),"")</f>
        <v/>
      </c>
      <c r="G148" s="115" t="str">
        <f>IF(tbl_estimated_costs_quantities[[#This Row],[House Code]]&lt;&gt;"",INDEX(tbl_Assessment[],MATCH(tbl_estimated_costs_quantities[[#This Row],[House Code]],tbl_Assessment[House Code],0),9),"")</f>
        <v/>
      </c>
      <c r="H14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8" s="75"/>
      <c r="J148" s="37"/>
      <c r="K148" s="86">
        <f>tbl_estimated_costs_quantities[[#This Row],[Site Preparation]]*BOQs!$L$3</f>
        <v>0</v>
      </c>
      <c r="L148" s="76"/>
      <c r="M148" s="37"/>
      <c r="N148" s="86">
        <f>tbl_estimated_costs_quantities[[#This Row],[Demolition Removal Unsafe Structures]]*BOQs!$L$4</f>
        <v>0</v>
      </c>
      <c r="O148" s="76"/>
      <c r="P148" s="37"/>
      <c r="Q148" s="86">
        <f>tbl_estimated_costs_quantities[[#This Row],[Concrete Works]]*BOQs!$L$5</f>
        <v>0</v>
      </c>
      <c r="R148" s="76"/>
      <c r="S148" s="37"/>
      <c r="T148" s="86">
        <f>tbl_estimated_costs_quantities[[#This Row],[Closure External Openings Walls Windows]]*BOQs!$L$6</f>
        <v>0</v>
      </c>
      <c r="U148" s="76"/>
      <c r="V148" s="37"/>
      <c r="W148" s="86">
        <f>tbl_estimated_costs_quantities[[#This Row],[Plastering Painting]]*BOQs!$L$7</f>
        <v>0</v>
      </c>
      <c r="X148" s="76"/>
      <c r="Y148" s="37"/>
      <c r="Z148" s="86">
        <f>tbl_estimated_costs_quantities[[#This Row],[Floor Repairs]]*BOQs!$L$8</f>
        <v>0</v>
      </c>
      <c r="AA148" s="76"/>
      <c r="AB148" s="37"/>
      <c r="AC148" s="86">
        <f>tbl_estimated_costs_quantities[[#This Row],[Doors Replacement Repair]]*BOQs!$L$9</f>
        <v>0</v>
      </c>
      <c r="AD148" s="76"/>
      <c r="AE148" s="37"/>
      <c r="AF148" s="86">
        <f>tbl_estimated_costs_quantities[[#This Row],[Windows Replacement Repair]]*BOQs!$L$10</f>
        <v>0</v>
      </c>
      <c r="AG148" s="76"/>
      <c r="AH148" s="37"/>
      <c r="AI148" s="86">
        <f>tbl_estimated_costs_quantities[[#This Row],[Bathroom Rehabilitation]]*BOQs!$L$11</f>
        <v>0</v>
      </c>
      <c r="AJ148" s="76"/>
      <c r="AK148" s="37"/>
      <c r="AL148" s="86">
        <f>tbl_estimated_costs_quantities[[#This Row],[Ceramic Tile Works WASH]]*BOQs!$L$12</f>
        <v>0</v>
      </c>
      <c r="AM148" s="76"/>
      <c r="AN148" s="37"/>
      <c r="AO148" s="86">
        <f>tbl_estimated_costs_quantities[[#This Row],[Electrical Repairs Lighting]]*BOQs!$L$13</f>
        <v>0</v>
      </c>
      <c r="AP148" s="76"/>
      <c r="AQ148" s="37"/>
      <c r="AR148" s="86">
        <f>tbl_estimated_costs_quantities[[#This Row],[Roof Insulation Leak Sealing]]*BOQs!$L$14</f>
        <v>0</v>
      </c>
      <c r="AS148" s="76"/>
      <c r="AT148" s="37"/>
      <c r="AU148" s="86">
        <f>tbl_estimated_costs_quantities[[#This Row],[Chimney Duct Cleaning Repair]]*BOQs!$L$15</f>
        <v>0</v>
      </c>
      <c r="AV148" s="76"/>
      <c r="AW148" s="37"/>
      <c r="AX148" s="89">
        <f>tbl_estimated_costs_quantities[[#This Row],[Accessibility Adaptations]]*BOQs!$L$16</f>
        <v>0</v>
      </c>
      <c r="AY148" s="86" t="str">
        <f>IF(tbl_estimated_costs_quantities[[#This Row],[Total cost]]&lt;&gt;0,tbl_estimated_costs_quantities[[#This Row],[Total cost]]/BOQs!$A$1,"")</f>
        <v/>
      </c>
      <c r="AZ148" s="37"/>
      <c r="BA148" s="37"/>
      <c r="BB148" s="37"/>
      <c r="BC148" s="37"/>
      <c r="BD148" s="41"/>
      <c r="BE148" s="37"/>
      <c r="BF148" s="37"/>
      <c r="BG148" s="37"/>
      <c r="BH148" s="41"/>
    </row>
    <row r="149" spans="2:60" ht="25.15" customHeight="1" x14ac:dyDescent="0.25">
      <c r="B149" s="49">
        <v>145</v>
      </c>
      <c r="C149" s="37"/>
      <c r="D149" s="41"/>
      <c r="E149" s="40"/>
      <c r="F149" s="87" t="str">
        <f>IF(tbl_estimated_costs_quantities[[#This Row],[House Code]]&lt;&gt;"",INDEX(tbl_Assessment[],MATCH(tbl_estimated_costs_quantities[[#This Row],[House Code]],tbl_Assessment[House Code],0),3),"")</f>
        <v/>
      </c>
      <c r="G149" s="115" t="str">
        <f>IF(tbl_estimated_costs_quantities[[#This Row],[House Code]]&lt;&gt;"",INDEX(tbl_Assessment[],MATCH(tbl_estimated_costs_quantities[[#This Row],[House Code]],tbl_Assessment[House Code],0),9),"")</f>
        <v/>
      </c>
      <c r="H14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49" s="75"/>
      <c r="J149" s="37"/>
      <c r="K149" s="86">
        <f>tbl_estimated_costs_quantities[[#This Row],[Site Preparation]]*BOQs!$L$3</f>
        <v>0</v>
      </c>
      <c r="L149" s="76"/>
      <c r="M149" s="37"/>
      <c r="N149" s="86">
        <f>tbl_estimated_costs_quantities[[#This Row],[Demolition Removal Unsafe Structures]]*BOQs!$L$4</f>
        <v>0</v>
      </c>
      <c r="O149" s="76"/>
      <c r="P149" s="37"/>
      <c r="Q149" s="86">
        <f>tbl_estimated_costs_quantities[[#This Row],[Concrete Works]]*BOQs!$L$5</f>
        <v>0</v>
      </c>
      <c r="R149" s="76"/>
      <c r="S149" s="37"/>
      <c r="T149" s="86">
        <f>tbl_estimated_costs_quantities[[#This Row],[Closure External Openings Walls Windows]]*BOQs!$L$6</f>
        <v>0</v>
      </c>
      <c r="U149" s="76"/>
      <c r="V149" s="37"/>
      <c r="W149" s="86">
        <f>tbl_estimated_costs_quantities[[#This Row],[Plastering Painting]]*BOQs!$L$7</f>
        <v>0</v>
      </c>
      <c r="X149" s="76"/>
      <c r="Y149" s="37"/>
      <c r="Z149" s="86">
        <f>tbl_estimated_costs_quantities[[#This Row],[Floor Repairs]]*BOQs!$L$8</f>
        <v>0</v>
      </c>
      <c r="AA149" s="76"/>
      <c r="AB149" s="37"/>
      <c r="AC149" s="86">
        <f>tbl_estimated_costs_quantities[[#This Row],[Doors Replacement Repair]]*BOQs!$L$9</f>
        <v>0</v>
      </c>
      <c r="AD149" s="76"/>
      <c r="AE149" s="37"/>
      <c r="AF149" s="86">
        <f>tbl_estimated_costs_quantities[[#This Row],[Windows Replacement Repair]]*BOQs!$L$10</f>
        <v>0</v>
      </c>
      <c r="AG149" s="76"/>
      <c r="AH149" s="37"/>
      <c r="AI149" s="86">
        <f>tbl_estimated_costs_quantities[[#This Row],[Bathroom Rehabilitation]]*BOQs!$L$11</f>
        <v>0</v>
      </c>
      <c r="AJ149" s="76"/>
      <c r="AK149" s="37"/>
      <c r="AL149" s="86">
        <f>tbl_estimated_costs_quantities[[#This Row],[Ceramic Tile Works WASH]]*BOQs!$L$12</f>
        <v>0</v>
      </c>
      <c r="AM149" s="76"/>
      <c r="AN149" s="37"/>
      <c r="AO149" s="86">
        <f>tbl_estimated_costs_quantities[[#This Row],[Electrical Repairs Lighting]]*BOQs!$L$13</f>
        <v>0</v>
      </c>
      <c r="AP149" s="76"/>
      <c r="AQ149" s="37"/>
      <c r="AR149" s="86">
        <f>tbl_estimated_costs_quantities[[#This Row],[Roof Insulation Leak Sealing]]*BOQs!$L$14</f>
        <v>0</v>
      </c>
      <c r="AS149" s="76"/>
      <c r="AT149" s="37"/>
      <c r="AU149" s="86">
        <f>tbl_estimated_costs_quantities[[#This Row],[Chimney Duct Cleaning Repair]]*BOQs!$L$15</f>
        <v>0</v>
      </c>
      <c r="AV149" s="76"/>
      <c r="AW149" s="37"/>
      <c r="AX149" s="89">
        <f>tbl_estimated_costs_quantities[[#This Row],[Accessibility Adaptations]]*BOQs!$L$16</f>
        <v>0</v>
      </c>
      <c r="AY149" s="86" t="str">
        <f>IF(tbl_estimated_costs_quantities[[#This Row],[Total cost]]&lt;&gt;0,tbl_estimated_costs_quantities[[#This Row],[Total cost]]/BOQs!$A$1,"")</f>
        <v/>
      </c>
      <c r="AZ149" s="37"/>
      <c r="BA149" s="37"/>
      <c r="BB149" s="37"/>
      <c r="BC149" s="37"/>
      <c r="BD149" s="41"/>
      <c r="BE149" s="37"/>
      <c r="BF149" s="37"/>
      <c r="BG149" s="37"/>
      <c r="BH149" s="41"/>
    </row>
    <row r="150" spans="2:60" ht="25.15" customHeight="1" x14ac:dyDescent="0.25">
      <c r="B150" s="49">
        <v>146</v>
      </c>
      <c r="C150" s="37"/>
      <c r="D150" s="41"/>
      <c r="E150" s="40"/>
      <c r="F150" s="87" t="str">
        <f>IF(tbl_estimated_costs_quantities[[#This Row],[House Code]]&lt;&gt;"",INDEX(tbl_Assessment[],MATCH(tbl_estimated_costs_quantities[[#This Row],[House Code]],tbl_Assessment[House Code],0),3),"")</f>
        <v/>
      </c>
      <c r="G150" s="115" t="str">
        <f>IF(tbl_estimated_costs_quantities[[#This Row],[House Code]]&lt;&gt;"",INDEX(tbl_Assessment[],MATCH(tbl_estimated_costs_quantities[[#This Row],[House Code]],tbl_Assessment[House Code],0),9),"")</f>
        <v/>
      </c>
      <c r="H15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0" s="75"/>
      <c r="J150" s="37"/>
      <c r="K150" s="86">
        <f>tbl_estimated_costs_quantities[[#This Row],[Site Preparation]]*BOQs!$L$3</f>
        <v>0</v>
      </c>
      <c r="L150" s="76"/>
      <c r="M150" s="37"/>
      <c r="N150" s="86">
        <f>tbl_estimated_costs_quantities[[#This Row],[Demolition Removal Unsafe Structures]]*BOQs!$L$4</f>
        <v>0</v>
      </c>
      <c r="O150" s="76"/>
      <c r="P150" s="37"/>
      <c r="Q150" s="86">
        <f>tbl_estimated_costs_quantities[[#This Row],[Concrete Works]]*BOQs!$L$5</f>
        <v>0</v>
      </c>
      <c r="R150" s="76"/>
      <c r="S150" s="37"/>
      <c r="T150" s="86">
        <f>tbl_estimated_costs_quantities[[#This Row],[Closure External Openings Walls Windows]]*BOQs!$L$6</f>
        <v>0</v>
      </c>
      <c r="U150" s="76"/>
      <c r="V150" s="37"/>
      <c r="W150" s="86">
        <f>tbl_estimated_costs_quantities[[#This Row],[Plastering Painting]]*BOQs!$L$7</f>
        <v>0</v>
      </c>
      <c r="X150" s="76"/>
      <c r="Y150" s="37"/>
      <c r="Z150" s="86">
        <f>tbl_estimated_costs_quantities[[#This Row],[Floor Repairs]]*BOQs!$L$8</f>
        <v>0</v>
      </c>
      <c r="AA150" s="76"/>
      <c r="AB150" s="37"/>
      <c r="AC150" s="86">
        <f>tbl_estimated_costs_quantities[[#This Row],[Doors Replacement Repair]]*BOQs!$L$9</f>
        <v>0</v>
      </c>
      <c r="AD150" s="76"/>
      <c r="AE150" s="37"/>
      <c r="AF150" s="86">
        <f>tbl_estimated_costs_quantities[[#This Row],[Windows Replacement Repair]]*BOQs!$L$10</f>
        <v>0</v>
      </c>
      <c r="AG150" s="76"/>
      <c r="AH150" s="37"/>
      <c r="AI150" s="86">
        <f>tbl_estimated_costs_quantities[[#This Row],[Bathroom Rehabilitation]]*BOQs!$L$11</f>
        <v>0</v>
      </c>
      <c r="AJ150" s="76"/>
      <c r="AK150" s="37"/>
      <c r="AL150" s="86">
        <f>tbl_estimated_costs_quantities[[#This Row],[Ceramic Tile Works WASH]]*BOQs!$L$12</f>
        <v>0</v>
      </c>
      <c r="AM150" s="76"/>
      <c r="AN150" s="37"/>
      <c r="AO150" s="86">
        <f>tbl_estimated_costs_quantities[[#This Row],[Electrical Repairs Lighting]]*BOQs!$L$13</f>
        <v>0</v>
      </c>
      <c r="AP150" s="76"/>
      <c r="AQ150" s="37"/>
      <c r="AR150" s="86">
        <f>tbl_estimated_costs_quantities[[#This Row],[Roof Insulation Leak Sealing]]*BOQs!$L$14</f>
        <v>0</v>
      </c>
      <c r="AS150" s="76"/>
      <c r="AT150" s="37"/>
      <c r="AU150" s="86">
        <f>tbl_estimated_costs_quantities[[#This Row],[Chimney Duct Cleaning Repair]]*BOQs!$L$15</f>
        <v>0</v>
      </c>
      <c r="AV150" s="76"/>
      <c r="AW150" s="37"/>
      <c r="AX150" s="89">
        <f>tbl_estimated_costs_quantities[[#This Row],[Accessibility Adaptations]]*BOQs!$L$16</f>
        <v>0</v>
      </c>
      <c r="AY150" s="86" t="str">
        <f>IF(tbl_estimated_costs_quantities[[#This Row],[Total cost]]&lt;&gt;0,tbl_estimated_costs_quantities[[#This Row],[Total cost]]/BOQs!$A$1,"")</f>
        <v/>
      </c>
      <c r="AZ150" s="37"/>
      <c r="BA150" s="37"/>
      <c r="BB150" s="37"/>
      <c r="BC150" s="37"/>
      <c r="BD150" s="41"/>
      <c r="BE150" s="37"/>
      <c r="BF150" s="37"/>
      <c r="BG150" s="37"/>
      <c r="BH150" s="41"/>
    </row>
    <row r="151" spans="2:60" ht="25.15" customHeight="1" x14ac:dyDescent="0.25">
      <c r="B151" s="49">
        <v>147</v>
      </c>
      <c r="C151" s="37"/>
      <c r="D151" s="41"/>
      <c r="E151" s="40"/>
      <c r="F151" s="87" t="str">
        <f>IF(tbl_estimated_costs_quantities[[#This Row],[House Code]]&lt;&gt;"",INDEX(tbl_Assessment[],MATCH(tbl_estimated_costs_quantities[[#This Row],[House Code]],tbl_Assessment[House Code],0),3),"")</f>
        <v/>
      </c>
      <c r="G151" s="115" t="str">
        <f>IF(tbl_estimated_costs_quantities[[#This Row],[House Code]]&lt;&gt;"",INDEX(tbl_Assessment[],MATCH(tbl_estimated_costs_quantities[[#This Row],[House Code]],tbl_Assessment[House Code],0),9),"")</f>
        <v/>
      </c>
      <c r="H15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1" s="75"/>
      <c r="J151" s="37"/>
      <c r="K151" s="86">
        <f>tbl_estimated_costs_quantities[[#This Row],[Site Preparation]]*BOQs!$L$3</f>
        <v>0</v>
      </c>
      <c r="L151" s="76"/>
      <c r="M151" s="37"/>
      <c r="N151" s="86">
        <f>tbl_estimated_costs_quantities[[#This Row],[Demolition Removal Unsafe Structures]]*BOQs!$L$4</f>
        <v>0</v>
      </c>
      <c r="O151" s="76"/>
      <c r="P151" s="37"/>
      <c r="Q151" s="86">
        <f>tbl_estimated_costs_quantities[[#This Row],[Concrete Works]]*BOQs!$L$5</f>
        <v>0</v>
      </c>
      <c r="R151" s="76"/>
      <c r="S151" s="37"/>
      <c r="T151" s="86">
        <f>tbl_estimated_costs_quantities[[#This Row],[Closure External Openings Walls Windows]]*BOQs!$L$6</f>
        <v>0</v>
      </c>
      <c r="U151" s="76"/>
      <c r="V151" s="37"/>
      <c r="W151" s="86">
        <f>tbl_estimated_costs_quantities[[#This Row],[Plastering Painting]]*BOQs!$L$7</f>
        <v>0</v>
      </c>
      <c r="X151" s="76"/>
      <c r="Y151" s="37"/>
      <c r="Z151" s="86">
        <f>tbl_estimated_costs_quantities[[#This Row],[Floor Repairs]]*BOQs!$L$8</f>
        <v>0</v>
      </c>
      <c r="AA151" s="76"/>
      <c r="AB151" s="37"/>
      <c r="AC151" s="86">
        <f>tbl_estimated_costs_quantities[[#This Row],[Doors Replacement Repair]]*BOQs!$L$9</f>
        <v>0</v>
      </c>
      <c r="AD151" s="76"/>
      <c r="AE151" s="37"/>
      <c r="AF151" s="86">
        <f>tbl_estimated_costs_quantities[[#This Row],[Windows Replacement Repair]]*BOQs!$L$10</f>
        <v>0</v>
      </c>
      <c r="AG151" s="76"/>
      <c r="AH151" s="37"/>
      <c r="AI151" s="86">
        <f>tbl_estimated_costs_quantities[[#This Row],[Bathroom Rehabilitation]]*BOQs!$L$11</f>
        <v>0</v>
      </c>
      <c r="AJ151" s="76"/>
      <c r="AK151" s="37"/>
      <c r="AL151" s="86">
        <f>tbl_estimated_costs_quantities[[#This Row],[Ceramic Tile Works WASH]]*BOQs!$L$12</f>
        <v>0</v>
      </c>
      <c r="AM151" s="76"/>
      <c r="AN151" s="37"/>
      <c r="AO151" s="86">
        <f>tbl_estimated_costs_quantities[[#This Row],[Electrical Repairs Lighting]]*BOQs!$L$13</f>
        <v>0</v>
      </c>
      <c r="AP151" s="76"/>
      <c r="AQ151" s="37"/>
      <c r="AR151" s="86">
        <f>tbl_estimated_costs_quantities[[#This Row],[Roof Insulation Leak Sealing]]*BOQs!$L$14</f>
        <v>0</v>
      </c>
      <c r="AS151" s="76"/>
      <c r="AT151" s="37"/>
      <c r="AU151" s="86">
        <f>tbl_estimated_costs_quantities[[#This Row],[Chimney Duct Cleaning Repair]]*BOQs!$L$15</f>
        <v>0</v>
      </c>
      <c r="AV151" s="76"/>
      <c r="AW151" s="37"/>
      <c r="AX151" s="89">
        <f>tbl_estimated_costs_quantities[[#This Row],[Accessibility Adaptations]]*BOQs!$L$16</f>
        <v>0</v>
      </c>
      <c r="AY151" s="86" t="str">
        <f>IF(tbl_estimated_costs_quantities[[#This Row],[Total cost]]&lt;&gt;0,tbl_estimated_costs_quantities[[#This Row],[Total cost]]/BOQs!$A$1,"")</f>
        <v/>
      </c>
      <c r="AZ151" s="37"/>
      <c r="BA151" s="37"/>
      <c r="BB151" s="37"/>
      <c r="BC151" s="37"/>
      <c r="BD151" s="41"/>
      <c r="BE151" s="37"/>
      <c r="BF151" s="37"/>
      <c r="BG151" s="37"/>
      <c r="BH151" s="41"/>
    </row>
    <row r="152" spans="2:60" ht="25.15" customHeight="1" x14ac:dyDescent="0.25">
      <c r="B152" s="49">
        <v>148</v>
      </c>
      <c r="C152" s="37"/>
      <c r="D152" s="41"/>
      <c r="E152" s="40"/>
      <c r="F152" s="87" t="str">
        <f>IF(tbl_estimated_costs_quantities[[#This Row],[House Code]]&lt;&gt;"",INDEX(tbl_Assessment[],MATCH(tbl_estimated_costs_quantities[[#This Row],[House Code]],tbl_Assessment[House Code],0),3),"")</f>
        <v/>
      </c>
      <c r="G152" s="115" t="str">
        <f>IF(tbl_estimated_costs_quantities[[#This Row],[House Code]]&lt;&gt;"",INDEX(tbl_Assessment[],MATCH(tbl_estimated_costs_quantities[[#This Row],[House Code]],tbl_Assessment[House Code],0),9),"")</f>
        <v/>
      </c>
      <c r="H15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2" s="75"/>
      <c r="J152" s="37"/>
      <c r="K152" s="86">
        <f>tbl_estimated_costs_quantities[[#This Row],[Site Preparation]]*BOQs!$L$3</f>
        <v>0</v>
      </c>
      <c r="L152" s="76"/>
      <c r="M152" s="37"/>
      <c r="N152" s="86">
        <f>tbl_estimated_costs_quantities[[#This Row],[Demolition Removal Unsafe Structures]]*BOQs!$L$4</f>
        <v>0</v>
      </c>
      <c r="O152" s="76"/>
      <c r="P152" s="37"/>
      <c r="Q152" s="86">
        <f>tbl_estimated_costs_quantities[[#This Row],[Concrete Works]]*BOQs!$L$5</f>
        <v>0</v>
      </c>
      <c r="R152" s="76"/>
      <c r="S152" s="37"/>
      <c r="T152" s="86">
        <f>tbl_estimated_costs_quantities[[#This Row],[Closure External Openings Walls Windows]]*BOQs!$L$6</f>
        <v>0</v>
      </c>
      <c r="U152" s="76"/>
      <c r="V152" s="37"/>
      <c r="W152" s="86">
        <f>tbl_estimated_costs_quantities[[#This Row],[Plastering Painting]]*BOQs!$L$7</f>
        <v>0</v>
      </c>
      <c r="X152" s="76"/>
      <c r="Y152" s="37"/>
      <c r="Z152" s="86">
        <f>tbl_estimated_costs_quantities[[#This Row],[Floor Repairs]]*BOQs!$L$8</f>
        <v>0</v>
      </c>
      <c r="AA152" s="76"/>
      <c r="AB152" s="37"/>
      <c r="AC152" s="86">
        <f>tbl_estimated_costs_quantities[[#This Row],[Doors Replacement Repair]]*BOQs!$L$9</f>
        <v>0</v>
      </c>
      <c r="AD152" s="76"/>
      <c r="AE152" s="37"/>
      <c r="AF152" s="86">
        <f>tbl_estimated_costs_quantities[[#This Row],[Windows Replacement Repair]]*BOQs!$L$10</f>
        <v>0</v>
      </c>
      <c r="AG152" s="76"/>
      <c r="AH152" s="37"/>
      <c r="AI152" s="86">
        <f>tbl_estimated_costs_quantities[[#This Row],[Bathroom Rehabilitation]]*BOQs!$L$11</f>
        <v>0</v>
      </c>
      <c r="AJ152" s="76"/>
      <c r="AK152" s="37"/>
      <c r="AL152" s="86">
        <f>tbl_estimated_costs_quantities[[#This Row],[Ceramic Tile Works WASH]]*BOQs!$L$12</f>
        <v>0</v>
      </c>
      <c r="AM152" s="76"/>
      <c r="AN152" s="37"/>
      <c r="AO152" s="86">
        <f>tbl_estimated_costs_quantities[[#This Row],[Electrical Repairs Lighting]]*BOQs!$L$13</f>
        <v>0</v>
      </c>
      <c r="AP152" s="76"/>
      <c r="AQ152" s="37"/>
      <c r="AR152" s="86">
        <f>tbl_estimated_costs_quantities[[#This Row],[Roof Insulation Leak Sealing]]*BOQs!$L$14</f>
        <v>0</v>
      </c>
      <c r="AS152" s="76"/>
      <c r="AT152" s="37"/>
      <c r="AU152" s="86">
        <f>tbl_estimated_costs_quantities[[#This Row],[Chimney Duct Cleaning Repair]]*BOQs!$L$15</f>
        <v>0</v>
      </c>
      <c r="AV152" s="76"/>
      <c r="AW152" s="37"/>
      <c r="AX152" s="89">
        <f>tbl_estimated_costs_quantities[[#This Row],[Accessibility Adaptations]]*BOQs!$L$16</f>
        <v>0</v>
      </c>
      <c r="AY152" s="86" t="str">
        <f>IF(tbl_estimated_costs_quantities[[#This Row],[Total cost]]&lt;&gt;0,tbl_estimated_costs_quantities[[#This Row],[Total cost]]/BOQs!$A$1,"")</f>
        <v/>
      </c>
      <c r="AZ152" s="37"/>
      <c r="BA152" s="37"/>
      <c r="BB152" s="37"/>
      <c r="BC152" s="37"/>
      <c r="BD152" s="41"/>
      <c r="BE152" s="37"/>
      <c r="BF152" s="37"/>
      <c r="BG152" s="37"/>
      <c r="BH152" s="41"/>
    </row>
    <row r="153" spans="2:60" ht="25.15" customHeight="1" x14ac:dyDescent="0.25">
      <c r="B153" s="49">
        <v>149</v>
      </c>
      <c r="C153" s="37"/>
      <c r="D153" s="41"/>
      <c r="E153" s="40"/>
      <c r="F153" s="87" t="str">
        <f>IF(tbl_estimated_costs_quantities[[#This Row],[House Code]]&lt;&gt;"",INDEX(tbl_Assessment[],MATCH(tbl_estimated_costs_quantities[[#This Row],[House Code]],tbl_Assessment[House Code],0),3),"")</f>
        <v/>
      </c>
      <c r="G153" s="115" t="str">
        <f>IF(tbl_estimated_costs_quantities[[#This Row],[House Code]]&lt;&gt;"",INDEX(tbl_Assessment[],MATCH(tbl_estimated_costs_quantities[[#This Row],[House Code]],tbl_Assessment[House Code],0),9),"")</f>
        <v/>
      </c>
      <c r="H15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3" s="75"/>
      <c r="J153" s="37"/>
      <c r="K153" s="86">
        <f>tbl_estimated_costs_quantities[[#This Row],[Site Preparation]]*BOQs!$L$3</f>
        <v>0</v>
      </c>
      <c r="L153" s="76"/>
      <c r="M153" s="37"/>
      <c r="N153" s="86">
        <f>tbl_estimated_costs_quantities[[#This Row],[Demolition Removal Unsafe Structures]]*BOQs!$L$4</f>
        <v>0</v>
      </c>
      <c r="O153" s="76"/>
      <c r="P153" s="37"/>
      <c r="Q153" s="86">
        <f>tbl_estimated_costs_quantities[[#This Row],[Concrete Works]]*BOQs!$L$5</f>
        <v>0</v>
      </c>
      <c r="R153" s="76"/>
      <c r="S153" s="37"/>
      <c r="T153" s="86">
        <f>tbl_estimated_costs_quantities[[#This Row],[Closure External Openings Walls Windows]]*BOQs!$L$6</f>
        <v>0</v>
      </c>
      <c r="U153" s="76"/>
      <c r="V153" s="37"/>
      <c r="W153" s="86">
        <f>tbl_estimated_costs_quantities[[#This Row],[Plastering Painting]]*BOQs!$L$7</f>
        <v>0</v>
      </c>
      <c r="X153" s="76"/>
      <c r="Y153" s="37"/>
      <c r="Z153" s="86">
        <f>tbl_estimated_costs_quantities[[#This Row],[Floor Repairs]]*BOQs!$L$8</f>
        <v>0</v>
      </c>
      <c r="AA153" s="76"/>
      <c r="AB153" s="37"/>
      <c r="AC153" s="86">
        <f>tbl_estimated_costs_quantities[[#This Row],[Doors Replacement Repair]]*BOQs!$L$9</f>
        <v>0</v>
      </c>
      <c r="AD153" s="76"/>
      <c r="AE153" s="37"/>
      <c r="AF153" s="86">
        <f>tbl_estimated_costs_quantities[[#This Row],[Windows Replacement Repair]]*BOQs!$L$10</f>
        <v>0</v>
      </c>
      <c r="AG153" s="76"/>
      <c r="AH153" s="37"/>
      <c r="AI153" s="86">
        <f>tbl_estimated_costs_quantities[[#This Row],[Bathroom Rehabilitation]]*BOQs!$L$11</f>
        <v>0</v>
      </c>
      <c r="AJ153" s="76"/>
      <c r="AK153" s="37"/>
      <c r="AL153" s="86">
        <f>tbl_estimated_costs_quantities[[#This Row],[Ceramic Tile Works WASH]]*BOQs!$L$12</f>
        <v>0</v>
      </c>
      <c r="AM153" s="76"/>
      <c r="AN153" s="37"/>
      <c r="AO153" s="86">
        <f>tbl_estimated_costs_quantities[[#This Row],[Electrical Repairs Lighting]]*BOQs!$L$13</f>
        <v>0</v>
      </c>
      <c r="AP153" s="76"/>
      <c r="AQ153" s="37"/>
      <c r="AR153" s="86">
        <f>tbl_estimated_costs_quantities[[#This Row],[Roof Insulation Leak Sealing]]*BOQs!$L$14</f>
        <v>0</v>
      </c>
      <c r="AS153" s="76"/>
      <c r="AT153" s="37"/>
      <c r="AU153" s="86">
        <f>tbl_estimated_costs_quantities[[#This Row],[Chimney Duct Cleaning Repair]]*BOQs!$L$15</f>
        <v>0</v>
      </c>
      <c r="AV153" s="76"/>
      <c r="AW153" s="37"/>
      <c r="AX153" s="89">
        <f>tbl_estimated_costs_quantities[[#This Row],[Accessibility Adaptations]]*BOQs!$L$16</f>
        <v>0</v>
      </c>
      <c r="AY153" s="86" t="str">
        <f>IF(tbl_estimated_costs_quantities[[#This Row],[Total cost]]&lt;&gt;0,tbl_estimated_costs_quantities[[#This Row],[Total cost]]/BOQs!$A$1,"")</f>
        <v/>
      </c>
      <c r="AZ153" s="37"/>
      <c r="BA153" s="37"/>
      <c r="BB153" s="37"/>
      <c r="BC153" s="37"/>
      <c r="BD153" s="41"/>
      <c r="BE153" s="37"/>
      <c r="BF153" s="37"/>
      <c r="BG153" s="37"/>
      <c r="BH153" s="41"/>
    </row>
    <row r="154" spans="2:60" ht="25.15" customHeight="1" x14ac:dyDescent="0.25">
      <c r="B154" s="49">
        <v>150</v>
      </c>
      <c r="C154" s="37"/>
      <c r="D154" s="41"/>
      <c r="E154" s="40"/>
      <c r="F154" s="87" t="str">
        <f>IF(tbl_estimated_costs_quantities[[#This Row],[House Code]]&lt;&gt;"",INDEX(tbl_Assessment[],MATCH(tbl_estimated_costs_quantities[[#This Row],[House Code]],tbl_Assessment[House Code],0),3),"")</f>
        <v/>
      </c>
      <c r="G154" s="115" t="str">
        <f>IF(tbl_estimated_costs_quantities[[#This Row],[House Code]]&lt;&gt;"",INDEX(tbl_Assessment[],MATCH(tbl_estimated_costs_quantities[[#This Row],[House Code]],tbl_Assessment[House Code],0),9),"")</f>
        <v/>
      </c>
      <c r="H15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4" s="75"/>
      <c r="J154" s="37"/>
      <c r="K154" s="86">
        <f>tbl_estimated_costs_quantities[[#This Row],[Site Preparation]]*BOQs!$L$3</f>
        <v>0</v>
      </c>
      <c r="L154" s="76"/>
      <c r="M154" s="37"/>
      <c r="N154" s="86">
        <f>tbl_estimated_costs_quantities[[#This Row],[Demolition Removal Unsafe Structures]]*BOQs!$L$4</f>
        <v>0</v>
      </c>
      <c r="O154" s="76"/>
      <c r="P154" s="37"/>
      <c r="Q154" s="86">
        <f>tbl_estimated_costs_quantities[[#This Row],[Concrete Works]]*BOQs!$L$5</f>
        <v>0</v>
      </c>
      <c r="R154" s="76"/>
      <c r="S154" s="37"/>
      <c r="T154" s="86">
        <f>tbl_estimated_costs_quantities[[#This Row],[Closure External Openings Walls Windows]]*BOQs!$L$6</f>
        <v>0</v>
      </c>
      <c r="U154" s="76"/>
      <c r="V154" s="37"/>
      <c r="W154" s="86">
        <f>tbl_estimated_costs_quantities[[#This Row],[Plastering Painting]]*BOQs!$L$7</f>
        <v>0</v>
      </c>
      <c r="X154" s="76"/>
      <c r="Y154" s="37"/>
      <c r="Z154" s="86">
        <f>tbl_estimated_costs_quantities[[#This Row],[Floor Repairs]]*BOQs!$L$8</f>
        <v>0</v>
      </c>
      <c r="AA154" s="76"/>
      <c r="AB154" s="37"/>
      <c r="AC154" s="86">
        <f>tbl_estimated_costs_quantities[[#This Row],[Doors Replacement Repair]]*BOQs!$L$9</f>
        <v>0</v>
      </c>
      <c r="AD154" s="76"/>
      <c r="AE154" s="37"/>
      <c r="AF154" s="86">
        <f>tbl_estimated_costs_quantities[[#This Row],[Windows Replacement Repair]]*BOQs!$L$10</f>
        <v>0</v>
      </c>
      <c r="AG154" s="76"/>
      <c r="AH154" s="37"/>
      <c r="AI154" s="86">
        <f>tbl_estimated_costs_quantities[[#This Row],[Bathroom Rehabilitation]]*BOQs!$L$11</f>
        <v>0</v>
      </c>
      <c r="AJ154" s="76"/>
      <c r="AK154" s="37"/>
      <c r="AL154" s="86">
        <f>tbl_estimated_costs_quantities[[#This Row],[Ceramic Tile Works WASH]]*BOQs!$L$12</f>
        <v>0</v>
      </c>
      <c r="AM154" s="76"/>
      <c r="AN154" s="37"/>
      <c r="AO154" s="86">
        <f>tbl_estimated_costs_quantities[[#This Row],[Electrical Repairs Lighting]]*BOQs!$L$13</f>
        <v>0</v>
      </c>
      <c r="AP154" s="76"/>
      <c r="AQ154" s="37"/>
      <c r="AR154" s="86">
        <f>tbl_estimated_costs_quantities[[#This Row],[Roof Insulation Leak Sealing]]*BOQs!$L$14</f>
        <v>0</v>
      </c>
      <c r="AS154" s="76"/>
      <c r="AT154" s="37"/>
      <c r="AU154" s="86">
        <f>tbl_estimated_costs_quantities[[#This Row],[Chimney Duct Cleaning Repair]]*BOQs!$L$15</f>
        <v>0</v>
      </c>
      <c r="AV154" s="76"/>
      <c r="AW154" s="37"/>
      <c r="AX154" s="89">
        <f>tbl_estimated_costs_quantities[[#This Row],[Accessibility Adaptations]]*BOQs!$L$16</f>
        <v>0</v>
      </c>
      <c r="AY154" s="86" t="str">
        <f>IF(tbl_estimated_costs_quantities[[#This Row],[Total cost]]&lt;&gt;0,tbl_estimated_costs_quantities[[#This Row],[Total cost]]/BOQs!$A$1,"")</f>
        <v/>
      </c>
      <c r="AZ154" s="37"/>
      <c r="BA154" s="37"/>
      <c r="BB154" s="37"/>
      <c r="BC154" s="37"/>
      <c r="BD154" s="41"/>
      <c r="BE154" s="37"/>
      <c r="BF154" s="37"/>
      <c r="BG154" s="37"/>
      <c r="BH154" s="41"/>
    </row>
    <row r="155" spans="2:60" ht="25.15" customHeight="1" x14ac:dyDescent="0.25">
      <c r="B155" s="49">
        <v>151</v>
      </c>
      <c r="C155" s="37"/>
      <c r="D155" s="41"/>
      <c r="E155" s="40"/>
      <c r="F155" s="87" t="str">
        <f>IF(tbl_estimated_costs_quantities[[#This Row],[House Code]]&lt;&gt;"",INDEX(tbl_Assessment[],MATCH(tbl_estimated_costs_quantities[[#This Row],[House Code]],tbl_Assessment[House Code],0),3),"")</f>
        <v/>
      </c>
      <c r="G155" s="115" t="str">
        <f>IF(tbl_estimated_costs_quantities[[#This Row],[House Code]]&lt;&gt;"",INDEX(tbl_Assessment[],MATCH(tbl_estimated_costs_quantities[[#This Row],[House Code]],tbl_Assessment[House Code],0),9),"")</f>
        <v/>
      </c>
      <c r="H15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5" s="75"/>
      <c r="J155" s="37"/>
      <c r="K155" s="86">
        <f>tbl_estimated_costs_quantities[[#This Row],[Site Preparation]]*BOQs!$L$3</f>
        <v>0</v>
      </c>
      <c r="L155" s="76"/>
      <c r="M155" s="37"/>
      <c r="N155" s="86">
        <f>tbl_estimated_costs_quantities[[#This Row],[Demolition Removal Unsafe Structures]]*BOQs!$L$4</f>
        <v>0</v>
      </c>
      <c r="O155" s="76"/>
      <c r="P155" s="37"/>
      <c r="Q155" s="86">
        <f>tbl_estimated_costs_quantities[[#This Row],[Concrete Works]]*BOQs!$L$5</f>
        <v>0</v>
      </c>
      <c r="R155" s="76"/>
      <c r="S155" s="37"/>
      <c r="T155" s="86">
        <f>tbl_estimated_costs_quantities[[#This Row],[Closure External Openings Walls Windows]]*BOQs!$L$6</f>
        <v>0</v>
      </c>
      <c r="U155" s="76"/>
      <c r="V155" s="37"/>
      <c r="W155" s="86">
        <f>tbl_estimated_costs_quantities[[#This Row],[Plastering Painting]]*BOQs!$L$7</f>
        <v>0</v>
      </c>
      <c r="X155" s="76"/>
      <c r="Y155" s="37"/>
      <c r="Z155" s="86">
        <f>tbl_estimated_costs_quantities[[#This Row],[Floor Repairs]]*BOQs!$L$8</f>
        <v>0</v>
      </c>
      <c r="AA155" s="76"/>
      <c r="AB155" s="37"/>
      <c r="AC155" s="86">
        <f>tbl_estimated_costs_quantities[[#This Row],[Doors Replacement Repair]]*BOQs!$L$9</f>
        <v>0</v>
      </c>
      <c r="AD155" s="76"/>
      <c r="AE155" s="37"/>
      <c r="AF155" s="86">
        <f>tbl_estimated_costs_quantities[[#This Row],[Windows Replacement Repair]]*BOQs!$L$10</f>
        <v>0</v>
      </c>
      <c r="AG155" s="76"/>
      <c r="AH155" s="37"/>
      <c r="AI155" s="86">
        <f>tbl_estimated_costs_quantities[[#This Row],[Bathroom Rehabilitation]]*BOQs!$L$11</f>
        <v>0</v>
      </c>
      <c r="AJ155" s="76"/>
      <c r="AK155" s="37"/>
      <c r="AL155" s="86">
        <f>tbl_estimated_costs_quantities[[#This Row],[Ceramic Tile Works WASH]]*BOQs!$L$12</f>
        <v>0</v>
      </c>
      <c r="AM155" s="76"/>
      <c r="AN155" s="37"/>
      <c r="AO155" s="86">
        <f>tbl_estimated_costs_quantities[[#This Row],[Electrical Repairs Lighting]]*BOQs!$L$13</f>
        <v>0</v>
      </c>
      <c r="AP155" s="76"/>
      <c r="AQ155" s="37"/>
      <c r="AR155" s="86">
        <f>tbl_estimated_costs_quantities[[#This Row],[Roof Insulation Leak Sealing]]*BOQs!$L$14</f>
        <v>0</v>
      </c>
      <c r="AS155" s="76"/>
      <c r="AT155" s="37"/>
      <c r="AU155" s="86">
        <f>tbl_estimated_costs_quantities[[#This Row],[Chimney Duct Cleaning Repair]]*BOQs!$L$15</f>
        <v>0</v>
      </c>
      <c r="AV155" s="76"/>
      <c r="AW155" s="37"/>
      <c r="AX155" s="89">
        <f>tbl_estimated_costs_quantities[[#This Row],[Accessibility Adaptations]]*BOQs!$L$16</f>
        <v>0</v>
      </c>
      <c r="AY155" s="86" t="str">
        <f>IF(tbl_estimated_costs_quantities[[#This Row],[Total cost]]&lt;&gt;0,tbl_estimated_costs_quantities[[#This Row],[Total cost]]/BOQs!$A$1,"")</f>
        <v/>
      </c>
      <c r="AZ155" s="37"/>
      <c r="BA155" s="37"/>
      <c r="BB155" s="37"/>
      <c r="BC155" s="37"/>
      <c r="BD155" s="41"/>
      <c r="BE155" s="37"/>
      <c r="BF155" s="37"/>
      <c r="BG155" s="37"/>
      <c r="BH155" s="41"/>
    </row>
    <row r="156" spans="2:60" ht="25.15" customHeight="1" x14ac:dyDescent="0.25">
      <c r="B156" s="49">
        <v>152</v>
      </c>
      <c r="C156" s="37"/>
      <c r="D156" s="41"/>
      <c r="E156" s="40"/>
      <c r="F156" s="87" t="str">
        <f>IF(tbl_estimated_costs_quantities[[#This Row],[House Code]]&lt;&gt;"",INDEX(tbl_Assessment[],MATCH(tbl_estimated_costs_quantities[[#This Row],[House Code]],tbl_Assessment[House Code],0),3),"")</f>
        <v/>
      </c>
      <c r="G156" s="115" t="str">
        <f>IF(tbl_estimated_costs_quantities[[#This Row],[House Code]]&lt;&gt;"",INDEX(tbl_Assessment[],MATCH(tbl_estimated_costs_quantities[[#This Row],[House Code]],tbl_Assessment[House Code],0),9),"")</f>
        <v/>
      </c>
      <c r="H15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6" s="75"/>
      <c r="J156" s="37"/>
      <c r="K156" s="86">
        <f>tbl_estimated_costs_quantities[[#This Row],[Site Preparation]]*BOQs!$L$3</f>
        <v>0</v>
      </c>
      <c r="L156" s="76"/>
      <c r="M156" s="37"/>
      <c r="N156" s="86">
        <f>tbl_estimated_costs_quantities[[#This Row],[Demolition Removal Unsafe Structures]]*BOQs!$L$4</f>
        <v>0</v>
      </c>
      <c r="O156" s="76"/>
      <c r="P156" s="37"/>
      <c r="Q156" s="86">
        <f>tbl_estimated_costs_quantities[[#This Row],[Concrete Works]]*BOQs!$L$5</f>
        <v>0</v>
      </c>
      <c r="R156" s="76"/>
      <c r="S156" s="37"/>
      <c r="T156" s="86">
        <f>tbl_estimated_costs_quantities[[#This Row],[Closure External Openings Walls Windows]]*BOQs!$L$6</f>
        <v>0</v>
      </c>
      <c r="U156" s="76"/>
      <c r="V156" s="37"/>
      <c r="W156" s="86">
        <f>tbl_estimated_costs_quantities[[#This Row],[Plastering Painting]]*BOQs!$L$7</f>
        <v>0</v>
      </c>
      <c r="X156" s="76"/>
      <c r="Y156" s="37"/>
      <c r="Z156" s="86">
        <f>tbl_estimated_costs_quantities[[#This Row],[Floor Repairs]]*BOQs!$L$8</f>
        <v>0</v>
      </c>
      <c r="AA156" s="76"/>
      <c r="AB156" s="37"/>
      <c r="AC156" s="86">
        <f>tbl_estimated_costs_quantities[[#This Row],[Doors Replacement Repair]]*BOQs!$L$9</f>
        <v>0</v>
      </c>
      <c r="AD156" s="76"/>
      <c r="AE156" s="37"/>
      <c r="AF156" s="86">
        <f>tbl_estimated_costs_quantities[[#This Row],[Windows Replacement Repair]]*BOQs!$L$10</f>
        <v>0</v>
      </c>
      <c r="AG156" s="76"/>
      <c r="AH156" s="37"/>
      <c r="AI156" s="86">
        <f>tbl_estimated_costs_quantities[[#This Row],[Bathroom Rehabilitation]]*BOQs!$L$11</f>
        <v>0</v>
      </c>
      <c r="AJ156" s="76"/>
      <c r="AK156" s="37"/>
      <c r="AL156" s="86">
        <f>tbl_estimated_costs_quantities[[#This Row],[Ceramic Tile Works WASH]]*BOQs!$L$12</f>
        <v>0</v>
      </c>
      <c r="AM156" s="76"/>
      <c r="AN156" s="37"/>
      <c r="AO156" s="86">
        <f>tbl_estimated_costs_quantities[[#This Row],[Electrical Repairs Lighting]]*BOQs!$L$13</f>
        <v>0</v>
      </c>
      <c r="AP156" s="76"/>
      <c r="AQ156" s="37"/>
      <c r="AR156" s="86">
        <f>tbl_estimated_costs_quantities[[#This Row],[Roof Insulation Leak Sealing]]*BOQs!$L$14</f>
        <v>0</v>
      </c>
      <c r="AS156" s="76"/>
      <c r="AT156" s="37"/>
      <c r="AU156" s="86">
        <f>tbl_estimated_costs_quantities[[#This Row],[Chimney Duct Cleaning Repair]]*BOQs!$L$15</f>
        <v>0</v>
      </c>
      <c r="AV156" s="76"/>
      <c r="AW156" s="37"/>
      <c r="AX156" s="89">
        <f>tbl_estimated_costs_quantities[[#This Row],[Accessibility Adaptations]]*BOQs!$L$16</f>
        <v>0</v>
      </c>
      <c r="AY156" s="86" t="str">
        <f>IF(tbl_estimated_costs_quantities[[#This Row],[Total cost]]&lt;&gt;0,tbl_estimated_costs_quantities[[#This Row],[Total cost]]/BOQs!$A$1,"")</f>
        <v/>
      </c>
      <c r="AZ156" s="37"/>
      <c r="BA156" s="37"/>
      <c r="BB156" s="37"/>
      <c r="BC156" s="37"/>
      <c r="BD156" s="41"/>
      <c r="BE156" s="37"/>
      <c r="BF156" s="37"/>
      <c r="BG156" s="37"/>
      <c r="BH156" s="41"/>
    </row>
    <row r="157" spans="2:60" ht="25.15" customHeight="1" x14ac:dyDescent="0.25">
      <c r="B157" s="49">
        <v>153</v>
      </c>
      <c r="C157" s="37"/>
      <c r="D157" s="41"/>
      <c r="E157" s="40"/>
      <c r="F157" s="87" t="str">
        <f>IF(tbl_estimated_costs_quantities[[#This Row],[House Code]]&lt;&gt;"",INDEX(tbl_Assessment[],MATCH(tbl_estimated_costs_quantities[[#This Row],[House Code]],tbl_Assessment[House Code],0),3),"")</f>
        <v/>
      </c>
      <c r="G157" s="115" t="str">
        <f>IF(tbl_estimated_costs_quantities[[#This Row],[House Code]]&lt;&gt;"",INDEX(tbl_Assessment[],MATCH(tbl_estimated_costs_quantities[[#This Row],[House Code]],tbl_Assessment[House Code],0),9),"")</f>
        <v/>
      </c>
      <c r="H15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7" s="75"/>
      <c r="J157" s="37"/>
      <c r="K157" s="86">
        <f>tbl_estimated_costs_quantities[[#This Row],[Site Preparation]]*BOQs!$L$3</f>
        <v>0</v>
      </c>
      <c r="L157" s="76"/>
      <c r="M157" s="37"/>
      <c r="N157" s="86">
        <f>tbl_estimated_costs_quantities[[#This Row],[Demolition Removal Unsafe Structures]]*BOQs!$L$4</f>
        <v>0</v>
      </c>
      <c r="O157" s="76"/>
      <c r="P157" s="37"/>
      <c r="Q157" s="86">
        <f>tbl_estimated_costs_quantities[[#This Row],[Concrete Works]]*BOQs!$L$5</f>
        <v>0</v>
      </c>
      <c r="R157" s="76"/>
      <c r="S157" s="37"/>
      <c r="T157" s="86">
        <f>tbl_estimated_costs_quantities[[#This Row],[Closure External Openings Walls Windows]]*BOQs!$L$6</f>
        <v>0</v>
      </c>
      <c r="U157" s="76"/>
      <c r="V157" s="37"/>
      <c r="W157" s="86">
        <f>tbl_estimated_costs_quantities[[#This Row],[Plastering Painting]]*BOQs!$L$7</f>
        <v>0</v>
      </c>
      <c r="X157" s="76"/>
      <c r="Y157" s="37"/>
      <c r="Z157" s="86">
        <f>tbl_estimated_costs_quantities[[#This Row],[Floor Repairs]]*BOQs!$L$8</f>
        <v>0</v>
      </c>
      <c r="AA157" s="76"/>
      <c r="AB157" s="37"/>
      <c r="AC157" s="86">
        <f>tbl_estimated_costs_quantities[[#This Row],[Doors Replacement Repair]]*BOQs!$L$9</f>
        <v>0</v>
      </c>
      <c r="AD157" s="76"/>
      <c r="AE157" s="37"/>
      <c r="AF157" s="86">
        <f>tbl_estimated_costs_quantities[[#This Row],[Windows Replacement Repair]]*BOQs!$L$10</f>
        <v>0</v>
      </c>
      <c r="AG157" s="76"/>
      <c r="AH157" s="37"/>
      <c r="AI157" s="86">
        <f>tbl_estimated_costs_quantities[[#This Row],[Bathroom Rehabilitation]]*BOQs!$L$11</f>
        <v>0</v>
      </c>
      <c r="AJ157" s="76"/>
      <c r="AK157" s="37"/>
      <c r="AL157" s="86">
        <f>tbl_estimated_costs_quantities[[#This Row],[Ceramic Tile Works WASH]]*BOQs!$L$12</f>
        <v>0</v>
      </c>
      <c r="AM157" s="76"/>
      <c r="AN157" s="37"/>
      <c r="AO157" s="86">
        <f>tbl_estimated_costs_quantities[[#This Row],[Electrical Repairs Lighting]]*BOQs!$L$13</f>
        <v>0</v>
      </c>
      <c r="AP157" s="76"/>
      <c r="AQ157" s="37"/>
      <c r="AR157" s="86">
        <f>tbl_estimated_costs_quantities[[#This Row],[Roof Insulation Leak Sealing]]*BOQs!$L$14</f>
        <v>0</v>
      </c>
      <c r="AS157" s="76"/>
      <c r="AT157" s="37"/>
      <c r="AU157" s="86">
        <f>tbl_estimated_costs_quantities[[#This Row],[Chimney Duct Cleaning Repair]]*BOQs!$L$15</f>
        <v>0</v>
      </c>
      <c r="AV157" s="76"/>
      <c r="AW157" s="37"/>
      <c r="AX157" s="89">
        <f>tbl_estimated_costs_quantities[[#This Row],[Accessibility Adaptations]]*BOQs!$L$16</f>
        <v>0</v>
      </c>
      <c r="AY157" s="86" t="str">
        <f>IF(tbl_estimated_costs_quantities[[#This Row],[Total cost]]&lt;&gt;0,tbl_estimated_costs_quantities[[#This Row],[Total cost]]/BOQs!$A$1,"")</f>
        <v/>
      </c>
      <c r="AZ157" s="37"/>
      <c r="BA157" s="37"/>
      <c r="BB157" s="37"/>
      <c r="BC157" s="37"/>
      <c r="BD157" s="41"/>
      <c r="BE157" s="37"/>
      <c r="BF157" s="37"/>
      <c r="BG157" s="37"/>
      <c r="BH157" s="41"/>
    </row>
    <row r="158" spans="2:60" ht="25.15" customHeight="1" x14ac:dyDescent="0.25">
      <c r="B158" s="49">
        <v>154</v>
      </c>
      <c r="C158" s="37"/>
      <c r="D158" s="41"/>
      <c r="E158" s="40"/>
      <c r="F158" s="87" t="str">
        <f>IF(tbl_estimated_costs_quantities[[#This Row],[House Code]]&lt;&gt;"",INDEX(tbl_Assessment[],MATCH(tbl_estimated_costs_quantities[[#This Row],[House Code]],tbl_Assessment[House Code],0),3),"")</f>
        <v/>
      </c>
      <c r="G158" s="115" t="str">
        <f>IF(tbl_estimated_costs_quantities[[#This Row],[House Code]]&lt;&gt;"",INDEX(tbl_Assessment[],MATCH(tbl_estimated_costs_quantities[[#This Row],[House Code]],tbl_Assessment[House Code],0),9),"")</f>
        <v/>
      </c>
      <c r="H15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8" s="75"/>
      <c r="J158" s="37"/>
      <c r="K158" s="86">
        <f>tbl_estimated_costs_quantities[[#This Row],[Site Preparation]]*BOQs!$L$3</f>
        <v>0</v>
      </c>
      <c r="L158" s="76"/>
      <c r="M158" s="37"/>
      <c r="N158" s="86">
        <f>tbl_estimated_costs_quantities[[#This Row],[Demolition Removal Unsafe Structures]]*BOQs!$L$4</f>
        <v>0</v>
      </c>
      <c r="O158" s="76"/>
      <c r="P158" s="37"/>
      <c r="Q158" s="86">
        <f>tbl_estimated_costs_quantities[[#This Row],[Concrete Works]]*BOQs!$L$5</f>
        <v>0</v>
      </c>
      <c r="R158" s="76"/>
      <c r="S158" s="37"/>
      <c r="T158" s="86">
        <f>tbl_estimated_costs_quantities[[#This Row],[Closure External Openings Walls Windows]]*BOQs!$L$6</f>
        <v>0</v>
      </c>
      <c r="U158" s="76"/>
      <c r="V158" s="37"/>
      <c r="W158" s="86">
        <f>tbl_estimated_costs_quantities[[#This Row],[Plastering Painting]]*BOQs!$L$7</f>
        <v>0</v>
      </c>
      <c r="X158" s="76"/>
      <c r="Y158" s="37"/>
      <c r="Z158" s="86">
        <f>tbl_estimated_costs_quantities[[#This Row],[Floor Repairs]]*BOQs!$L$8</f>
        <v>0</v>
      </c>
      <c r="AA158" s="76"/>
      <c r="AB158" s="37"/>
      <c r="AC158" s="86">
        <f>tbl_estimated_costs_quantities[[#This Row],[Doors Replacement Repair]]*BOQs!$L$9</f>
        <v>0</v>
      </c>
      <c r="AD158" s="76"/>
      <c r="AE158" s="37"/>
      <c r="AF158" s="86">
        <f>tbl_estimated_costs_quantities[[#This Row],[Windows Replacement Repair]]*BOQs!$L$10</f>
        <v>0</v>
      </c>
      <c r="AG158" s="76"/>
      <c r="AH158" s="37"/>
      <c r="AI158" s="86">
        <f>tbl_estimated_costs_quantities[[#This Row],[Bathroom Rehabilitation]]*BOQs!$L$11</f>
        <v>0</v>
      </c>
      <c r="AJ158" s="76"/>
      <c r="AK158" s="37"/>
      <c r="AL158" s="86">
        <f>tbl_estimated_costs_quantities[[#This Row],[Ceramic Tile Works WASH]]*BOQs!$L$12</f>
        <v>0</v>
      </c>
      <c r="AM158" s="76"/>
      <c r="AN158" s="37"/>
      <c r="AO158" s="86">
        <f>tbl_estimated_costs_quantities[[#This Row],[Electrical Repairs Lighting]]*BOQs!$L$13</f>
        <v>0</v>
      </c>
      <c r="AP158" s="76"/>
      <c r="AQ158" s="37"/>
      <c r="AR158" s="86">
        <f>tbl_estimated_costs_quantities[[#This Row],[Roof Insulation Leak Sealing]]*BOQs!$L$14</f>
        <v>0</v>
      </c>
      <c r="AS158" s="76"/>
      <c r="AT158" s="37"/>
      <c r="AU158" s="86">
        <f>tbl_estimated_costs_quantities[[#This Row],[Chimney Duct Cleaning Repair]]*BOQs!$L$15</f>
        <v>0</v>
      </c>
      <c r="AV158" s="76"/>
      <c r="AW158" s="37"/>
      <c r="AX158" s="89">
        <f>tbl_estimated_costs_quantities[[#This Row],[Accessibility Adaptations]]*BOQs!$L$16</f>
        <v>0</v>
      </c>
      <c r="AY158" s="86" t="str">
        <f>IF(tbl_estimated_costs_quantities[[#This Row],[Total cost]]&lt;&gt;0,tbl_estimated_costs_quantities[[#This Row],[Total cost]]/BOQs!$A$1,"")</f>
        <v/>
      </c>
      <c r="AZ158" s="37"/>
      <c r="BA158" s="37"/>
      <c r="BB158" s="37"/>
      <c r="BC158" s="37"/>
      <c r="BD158" s="41"/>
      <c r="BE158" s="37"/>
      <c r="BF158" s="37"/>
      <c r="BG158" s="37"/>
      <c r="BH158" s="41"/>
    </row>
    <row r="159" spans="2:60" ht="25.15" customHeight="1" x14ac:dyDescent="0.25">
      <c r="B159" s="49">
        <v>155</v>
      </c>
      <c r="C159" s="37"/>
      <c r="D159" s="41"/>
      <c r="E159" s="40"/>
      <c r="F159" s="87" t="str">
        <f>IF(tbl_estimated_costs_quantities[[#This Row],[House Code]]&lt;&gt;"",INDEX(tbl_Assessment[],MATCH(tbl_estimated_costs_quantities[[#This Row],[House Code]],tbl_Assessment[House Code],0),3),"")</f>
        <v/>
      </c>
      <c r="G159" s="115" t="str">
        <f>IF(tbl_estimated_costs_quantities[[#This Row],[House Code]]&lt;&gt;"",INDEX(tbl_Assessment[],MATCH(tbl_estimated_costs_quantities[[#This Row],[House Code]],tbl_Assessment[House Code],0),9),"")</f>
        <v/>
      </c>
      <c r="H15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59" s="75"/>
      <c r="J159" s="37"/>
      <c r="K159" s="86">
        <f>tbl_estimated_costs_quantities[[#This Row],[Site Preparation]]*BOQs!$L$3</f>
        <v>0</v>
      </c>
      <c r="L159" s="76"/>
      <c r="M159" s="37"/>
      <c r="N159" s="86">
        <f>tbl_estimated_costs_quantities[[#This Row],[Demolition Removal Unsafe Structures]]*BOQs!$L$4</f>
        <v>0</v>
      </c>
      <c r="O159" s="76"/>
      <c r="P159" s="37"/>
      <c r="Q159" s="86">
        <f>tbl_estimated_costs_quantities[[#This Row],[Concrete Works]]*BOQs!$L$5</f>
        <v>0</v>
      </c>
      <c r="R159" s="76"/>
      <c r="S159" s="37"/>
      <c r="T159" s="86">
        <f>tbl_estimated_costs_quantities[[#This Row],[Closure External Openings Walls Windows]]*BOQs!$L$6</f>
        <v>0</v>
      </c>
      <c r="U159" s="76"/>
      <c r="V159" s="37"/>
      <c r="W159" s="86">
        <f>tbl_estimated_costs_quantities[[#This Row],[Plastering Painting]]*BOQs!$L$7</f>
        <v>0</v>
      </c>
      <c r="X159" s="76"/>
      <c r="Y159" s="37"/>
      <c r="Z159" s="86">
        <f>tbl_estimated_costs_quantities[[#This Row],[Floor Repairs]]*BOQs!$L$8</f>
        <v>0</v>
      </c>
      <c r="AA159" s="76"/>
      <c r="AB159" s="37"/>
      <c r="AC159" s="86">
        <f>tbl_estimated_costs_quantities[[#This Row],[Doors Replacement Repair]]*BOQs!$L$9</f>
        <v>0</v>
      </c>
      <c r="AD159" s="76"/>
      <c r="AE159" s="37"/>
      <c r="AF159" s="86">
        <f>tbl_estimated_costs_quantities[[#This Row],[Windows Replacement Repair]]*BOQs!$L$10</f>
        <v>0</v>
      </c>
      <c r="AG159" s="76"/>
      <c r="AH159" s="37"/>
      <c r="AI159" s="86">
        <f>tbl_estimated_costs_quantities[[#This Row],[Bathroom Rehabilitation]]*BOQs!$L$11</f>
        <v>0</v>
      </c>
      <c r="AJ159" s="76"/>
      <c r="AK159" s="37"/>
      <c r="AL159" s="86">
        <f>tbl_estimated_costs_quantities[[#This Row],[Ceramic Tile Works WASH]]*BOQs!$L$12</f>
        <v>0</v>
      </c>
      <c r="AM159" s="76"/>
      <c r="AN159" s="37"/>
      <c r="AO159" s="86">
        <f>tbl_estimated_costs_quantities[[#This Row],[Electrical Repairs Lighting]]*BOQs!$L$13</f>
        <v>0</v>
      </c>
      <c r="AP159" s="76"/>
      <c r="AQ159" s="37"/>
      <c r="AR159" s="86">
        <f>tbl_estimated_costs_quantities[[#This Row],[Roof Insulation Leak Sealing]]*BOQs!$L$14</f>
        <v>0</v>
      </c>
      <c r="AS159" s="76"/>
      <c r="AT159" s="37"/>
      <c r="AU159" s="86">
        <f>tbl_estimated_costs_quantities[[#This Row],[Chimney Duct Cleaning Repair]]*BOQs!$L$15</f>
        <v>0</v>
      </c>
      <c r="AV159" s="76"/>
      <c r="AW159" s="37"/>
      <c r="AX159" s="89">
        <f>tbl_estimated_costs_quantities[[#This Row],[Accessibility Adaptations]]*BOQs!$L$16</f>
        <v>0</v>
      </c>
      <c r="AY159" s="86" t="str">
        <f>IF(tbl_estimated_costs_quantities[[#This Row],[Total cost]]&lt;&gt;0,tbl_estimated_costs_quantities[[#This Row],[Total cost]]/BOQs!$A$1,"")</f>
        <v/>
      </c>
      <c r="AZ159" s="37"/>
      <c r="BA159" s="37"/>
      <c r="BB159" s="37"/>
      <c r="BC159" s="37"/>
      <c r="BD159" s="41"/>
      <c r="BE159" s="37"/>
      <c r="BF159" s="37"/>
      <c r="BG159" s="37"/>
      <c r="BH159" s="41"/>
    </row>
    <row r="160" spans="2:60" ht="25.15" customHeight="1" x14ac:dyDescent="0.25">
      <c r="B160" s="49">
        <v>156</v>
      </c>
      <c r="C160" s="37"/>
      <c r="D160" s="41"/>
      <c r="E160" s="40"/>
      <c r="F160" s="87" t="str">
        <f>IF(tbl_estimated_costs_quantities[[#This Row],[House Code]]&lt;&gt;"",INDEX(tbl_Assessment[],MATCH(tbl_estimated_costs_quantities[[#This Row],[House Code]],tbl_Assessment[House Code],0),3),"")</f>
        <v/>
      </c>
      <c r="G160" s="115" t="str">
        <f>IF(tbl_estimated_costs_quantities[[#This Row],[House Code]]&lt;&gt;"",INDEX(tbl_Assessment[],MATCH(tbl_estimated_costs_quantities[[#This Row],[House Code]],tbl_Assessment[House Code],0),9),"")</f>
        <v/>
      </c>
      <c r="H16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0" s="75"/>
      <c r="J160" s="37"/>
      <c r="K160" s="86">
        <f>tbl_estimated_costs_quantities[[#This Row],[Site Preparation]]*BOQs!$L$3</f>
        <v>0</v>
      </c>
      <c r="L160" s="76"/>
      <c r="M160" s="37"/>
      <c r="N160" s="86">
        <f>tbl_estimated_costs_quantities[[#This Row],[Demolition Removal Unsafe Structures]]*BOQs!$L$4</f>
        <v>0</v>
      </c>
      <c r="O160" s="76"/>
      <c r="P160" s="37"/>
      <c r="Q160" s="86">
        <f>tbl_estimated_costs_quantities[[#This Row],[Concrete Works]]*BOQs!$L$5</f>
        <v>0</v>
      </c>
      <c r="R160" s="76"/>
      <c r="S160" s="37"/>
      <c r="T160" s="86">
        <f>tbl_estimated_costs_quantities[[#This Row],[Closure External Openings Walls Windows]]*BOQs!$L$6</f>
        <v>0</v>
      </c>
      <c r="U160" s="76"/>
      <c r="V160" s="37"/>
      <c r="W160" s="86">
        <f>tbl_estimated_costs_quantities[[#This Row],[Plastering Painting]]*BOQs!$L$7</f>
        <v>0</v>
      </c>
      <c r="X160" s="76"/>
      <c r="Y160" s="37"/>
      <c r="Z160" s="86">
        <f>tbl_estimated_costs_quantities[[#This Row],[Floor Repairs]]*BOQs!$L$8</f>
        <v>0</v>
      </c>
      <c r="AA160" s="76"/>
      <c r="AB160" s="37"/>
      <c r="AC160" s="86">
        <f>tbl_estimated_costs_quantities[[#This Row],[Doors Replacement Repair]]*BOQs!$L$9</f>
        <v>0</v>
      </c>
      <c r="AD160" s="76"/>
      <c r="AE160" s="37"/>
      <c r="AF160" s="86">
        <f>tbl_estimated_costs_quantities[[#This Row],[Windows Replacement Repair]]*BOQs!$L$10</f>
        <v>0</v>
      </c>
      <c r="AG160" s="76"/>
      <c r="AH160" s="37"/>
      <c r="AI160" s="86">
        <f>tbl_estimated_costs_quantities[[#This Row],[Bathroom Rehabilitation]]*BOQs!$L$11</f>
        <v>0</v>
      </c>
      <c r="AJ160" s="76"/>
      <c r="AK160" s="37"/>
      <c r="AL160" s="86">
        <f>tbl_estimated_costs_quantities[[#This Row],[Ceramic Tile Works WASH]]*BOQs!$L$12</f>
        <v>0</v>
      </c>
      <c r="AM160" s="76"/>
      <c r="AN160" s="37"/>
      <c r="AO160" s="86">
        <f>tbl_estimated_costs_quantities[[#This Row],[Electrical Repairs Lighting]]*BOQs!$L$13</f>
        <v>0</v>
      </c>
      <c r="AP160" s="76"/>
      <c r="AQ160" s="37"/>
      <c r="AR160" s="86">
        <f>tbl_estimated_costs_quantities[[#This Row],[Roof Insulation Leak Sealing]]*BOQs!$L$14</f>
        <v>0</v>
      </c>
      <c r="AS160" s="76"/>
      <c r="AT160" s="37"/>
      <c r="AU160" s="86">
        <f>tbl_estimated_costs_quantities[[#This Row],[Chimney Duct Cleaning Repair]]*BOQs!$L$15</f>
        <v>0</v>
      </c>
      <c r="AV160" s="76"/>
      <c r="AW160" s="37"/>
      <c r="AX160" s="89">
        <f>tbl_estimated_costs_quantities[[#This Row],[Accessibility Adaptations]]*BOQs!$L$16</f>
        <v>0</v>
      </c>
      <c r="AY160" s="86" t="str">
        <f>IF(tbl_estimated_costs_quantities[[#This Row],[Total cost]]&lt;&gt;0,tbl_estimated_costs_quantities[[#This Row],[Total cost]]/BOQs!$A$1,"")</f>
        <v/>
      </c>
      <c r="AZ160" s="37"/>
      <c r="BA160" s="37"/>
      <c r="BB160" s="37"/>
      <c r="BC160" s="37"/>
      <c r="BD160" s="41"/>
      <c r="BE160" s="37"/>
      <c r="BF160" s="37"/>
      <c r="BG160" s="37"/>
      <c r="BH160" s="41"/>
    </row>
    <row r="161" spans="2:60" ht="25.15" customHeight="1" x14ac:dyDescent="0.25">
      <c r="B161" s="49">
        <v>157</v>
      </c>
      <c r="C161" s="37"/>
      <c r="D161" s="41"/>
      <c r="E161" s="40"/>
      <c r="F161" s="87" t="str">
        <f>IF(tbl_estimated_costs_quantities[[#This Row],[House Code]]&lt;&gt;"",INDEX(tbl_Assessment[],MATCH(tbl_estimated_costs_quantities[[#This Row],[House Code]],tbl_Assessment[House Code],0),3),"")</f>
        <v/>
      </c>
      <c r="G161" s="115" t="str">
        <f>IF(tbl_estimated_costs_quantities[[#This Row],[House Code]]&lt;&gt;"",INDEX(tbl_Assessment[],MATCH(tbl_estimated_costs_quantities[[#This Row],[House Code]],tbl_Assessment[House Code],0),9),"")</f>
        <v/>
      </c>
      <c r="H16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1" s="75"/>
      <c r="J161" s="37"/>
      <c r="K161" s="86">
        <f>tbl_estimated_costs_quantities[[#This Row],[Site Preparation]]*BOQs!$L$3</f>
        <v>0</v>
      </c>
      <c r="L161" s="76"/>
      <c r="M161" s="37"/>
      <c r="N161" s="86">
        <f>tbl_estimated_costs_quantities[[#This Row],[Demolition Removal Unsafe Structures]]*BOQs!$L$4</f>
        <v>0</v>
      </c>
      <c r="O161" s="76"/>
      <c r="P161" s="37"/>
      <c r="Q161" s="86">
        <f>tbl_estimated_costs_quantities[[#This Row],[Concrete Works]]*BOQs!$L$5</f>
        <v>0</v>
      </c>
      <c r="R161" s="76"/>
      <c r="S161" s="37"/>
      <c r="T161" s="86">
        <f>tbl_estimated_costs_quantities[[#This Row],[Closure External Openings Walls Windows]]*BOQs!$L$6</f>
        <v>0</v>
      </c>
      <c r="U161" s="76"/>
      <c r="V161" s="37"/>
      <c r="W161" s="86">
        <f>tbl_estimated_costs_quantities[[#This Row],[Plastering Painting]]*BOQs!$L$7</f>
        <v>0</v>
      </c>
      <c r="X161" s="76"/>
      <c r="Y161" s="37"/>
      <c r="Z161" s="86">
        <f>tbl_estimated_costs_quantities[[#This Row],[Floor Repairs]]*BOQs!$L$8</f>
        <v>0</v>
      </c>
      <c r="AA161" s="76"/>
      <c r="AB161" s="37"/>
      <c r="AC161" s="86">
        <f>tbl_estimated_costs_quantities[[#This Row],[Doors Replacement Repair]]*BOQs!$L$9</f>
        <v>0</v>
      </c>
      <c r="AD161" s="76"/>
      <c r="AE161" s="37"/>
      <c r="AF161" s="86">
        <f>tbl_estimated_costs_quantities[[#This Row],[Windows Replacement Repair]]*BOQs!$L$10</f>
        <v>0</v>
      </c>
      <c r="AG161" s="76"/>
      <c r="AH161" s="37"/>
      <c r="AI161" s="86">
        <f>tbl_estimated_costs_quantities[[#This Row],[Bathroom Rehabilitation]]*BOQs!$L$11</f>
        <v>0</v>
      </c>
      <c r="AJ161" s="76"/>
      <c r="AK161" s="37"/>
      <c r="AL161" s="86">
        <f>tbl_estimated_costs_quantities[[#This Row],[Ceramic Tile Works WASH]]*BOQs!$L$12</f>
        <v>0</v>
      </c>
      <c r="AM161" s="76"/>
      <c r="AN161" s="37"/>
      <c r="AO161" s="86">
        <f>tbl_estimated_costs_quantities[[#This Row],[Electrical Repairs Lighting]]*BOQs!$L$13</f>
        <v>0</v>
      </c>
      <c r="AP161" s="76"/>
      <c r="AQ161" s="37"/>
      <c r="AR161" s="86">
        <f>tbl_estimated_costs_quantities[[#This Row],[Roof Insulation Leak Sealing]]*BOQs!$L$14</f>
        <v>0</v>
      </c>
      <c r="AS161" s="76"/>
      <c r="AT161" s="37"/>
      <c r="AU161" s="86">
        <f>tbl_estimated_costs_quantities[[#This Row],[Chimney Duct Cleaning Repair]]*BOQs!$L$15</f>
        <v>0</v>
      </c>
      <c r="AV161" s="76"/>
      <c r="AW161" s="37"/>
      <c r="AX161" s="89">
        <f>tbl_estimated_costs_quantities[[#This Row],[Accessibility Adaptations]]*BOQs!$L$16</f>
        <v>0</v>
      </c>
      <c r="AY161" s="86" t="str">
        <f>IF(tbl_estimated_costs_quantities[[#This Row],[Total cost]]&lt;&gt;0,tbl_estimated_costs_quantities[[#This Row],[Total cost]]/BOQs!$A$1,"")</f>
        <v/>
      </c>
      <c r="AZ161" s="37"/>
      <c r="BA161" s="37"/>
      <c r="BB161" s="37"/>
      <c r="BC161" s="37"/>
      <c r="BD161" s="41"/>
      <c r="BE161" s="37"/>
      <c r="BF161" s="37"/>
      <c r="BG161" s="37"/>
      <c r="BH161" s="41"/>
    </row>
    <row r="162" spans="2:60" ht="25.15" customHeight="1" x14ac:dyDescent="0.25">
      <c r="B162" s="49">
        <v>158</v>
      </c>
      <c r="C162" s="37"/>
      <c r="D162" s="41"/>
      <c r="E162" s="40"/>
      <c r="F162" s="87" t="str">
        <f>IF(tbl_estimated_costs_quantities[[#This Row],[House Code]]&lt;&gt;"",INDEX(tbl_Assessment[],MATCH(tbl_estimated_costs_quantities[[#This Row],[House Code]],tbl_Assessment[House Code],0),3),"")</f>
        <v/>
      </c>
      <c r="G162" s="115" t="str">
        <f>IF(tbl_estimated_costs_quantities[[#This Row],[House Code]]&lt;&gt;"",INDEX(tbl_Assessment[],MATCH(tbl_estimated_costs_quantities[[#This Row],[House Code]],tbl_Assessment[House Code],0),9),"")</f>
        <v/>
      </c>
      <c r="H16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2" s="75"/>
      <c r="J162" s="37"/>
      <c r="K162" s="86">
        <f>tbl_estimated_costs_quantities[[#This Row],[Site Preparation]]*BOQs!$L$3</f>
        <v>0</v>
      </c>
      <c r="L162" s="76"/>
      <c r="M162" s="37"/>
      <c r="N162" s="86">
        <f>tbl_estimated_costs_quantities[[#This Row],[Demolition Removal Unsafe Structures]]*BOQs!$L$4</f>
        <v>0</v>
      </c>
      <c r="O162" s="76"/>
      <c r="P162" s="37"/>
      <c r="Q162" s="86">
        <f>tbl_estimated_costs_quantities[[#This Row],[Concrete Works]]*BOQs!$L$5</f>
        <v>0</v>
      </c>
      <c r="R162" s="76"/>
      <c r="S162" s="37"/>
      <c r="T162" s="86">
        <f>tbl_estimated_costs_quantities[[#This Row],[Closure External Openings Walls Windows]]*BOQs!$L$6</f>
        <v>0</v>
      </c>
      <c r="U162" s="76"/>
      <c r="V162" s="37"/>
      <c r="W162" s="86">
        <f>tbl_estimated_costs_quantities[[#This Row],[Plastering Painting]]*BOQs!$L$7</f>
        <v>0</v>
      </c>
      <c r="X162" s="76"/>
      <c r="Y162" s="37"/>
      <c r="Z162" s="86">
        <f>tbl_estimated_costs_quantities[[#This Row],[Floor Repairs]]*BOQs!$L$8</f>
        <v>0</v>
      </c>
      <c r="AA162" s="76"/>
      <c r="AB162" s="37"/>
      <c r="AC162" s="86">
        <f>tbl_estimated_costs_quantities[[#This Row],[Doors Replacement Repair]]*BOQs!$L$9</f>
        <v>0</v>
      </c>
      <c r="AD162" s="76"/>
      <c r="AE162" s="37"/>
      <c r="AF162" s="86">
        <f>tbl_estimated_costs_quantities[[#This Row],[Windows Replacement Repair]]*BOQs!$L$10</f>
        <v>0</v>
      </c>
      <c r="AG162" s="76"/>
      <c r="AH162" s="37"/>
      <c r="AI162" s="86">
        <f>tbl_estimated_costs_quantities[[#This Row],[Bathroom Rehabilitation]]*BOQs!$L$11</f>
        <v>0</v>
      </c>
      <c r="AJ162" s="76"/>
      <c r="AK162" s="37"/>
      <c r="AL162" s="86">
        <f>tbl_estimated_costs_quantities[[#This Row],[Ceramic Tile Works WASH]]*BOQs!$L$12</f>
        <v>0</v>
      </c>
      <c r="AM162" s="76"/>
      <c r="AN162" s="37"/>
      <c r="AO162" s="86">
        <f>tbl_estimated_costs_quantities[[#This Row],[Electrical Repairs Lighting]]*BOQs!$L$13</f>
        <v>0</v>
      </c>
      <c r="AP162" s="76"/>
      <c r="AQ162" s="37"/>
      <c r="AR162" s="86">
        <f>tbl_estimated_costs_quantities[[#This Row],[Roof Insulation Leak Sealing]]*BOQs!$L$14</f>
        <v>0</v>
      </c>
      <c r="AS162" s="76"/>
      <c r="AT162" s="37"/>
      <c r="AU162" s="86">
        <f>tbl_estimated_costs_quantities[[#This Row],[Chimney Duct Cleaning Repair]]*BOQs!$L$15</f>
        <v>0</v>
      </c>
      <c r="AV162" s="76"/>
      <c r="AW162" s="37"/>
      <c r="AX162" s="89">
        <f>tbl_estimated_costs_quantities[[#This Row],[Accessibility Adaptations]]*BOQs!$L$16</f>
        <v>0</v>
      </c>
      <c r="AY162" s="86" t="str">
        <f>IF(tbl_estimated_costs_quantities[[#This Row],[Total cost]]&lt;&gt;0,tbl_estimated_costs_quantities[[#This Row],[Total cost]]/BOQs!$A$1,"")</f>
        <v/>
      </c>
      <c r="AZ162" s="37"/>
      <c r="BA162" s="37"/>
      <c r="BB162" s="37"/>
      <c r="BC162" s="37"/>
      <c r="BD162" s="41"/>
      <c r="BE162" s="37"/>
      <c r="BF162" s="37"/>
      <c r="BG162" s="37"/>
      <c r="BH162" s="41"/>
    </row>
    <row r="163" spans="2:60" ht="25.15" customHeight="1" x14ac:dyDescent="0.25">
      <c r="B163" s="49">
        <v>159</v>
      </c>
      <c r="C163" s="37"/>
      <c r="D163" s="41"/>
      <c r="E163" s="40"/>
      <c r="F163" s="87" t="str">
        <f>IF(tbl_estimated_costs_quantities[[#This Row],[House Code]]&lt;&gt;"",INDEX(tbl_Assessment[],MATCH(tbl_estimated_costs_quantities[[#This Row],[House Code]],tbl_Assessment[House Code],0),3),"")</f>
        <v/>
      </c>
      <c r="G163" s="115" t="str">
        <f>IF(tbl_estimated_costs_quantities[[#This Row],[House Code]]&lt;&gt;"",INDEX(tbl_Assessment[],MATCH(tbl_estimated_costs_quantities[[#This Row],[House Code]],tbl_Assessment[House Code],0),9),"")</f>
        <v/>
      </c>
      <c r="H16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3" s="75"/>
      <c r="J163" s="37"/>
      <c r="K163" s="86">
        <f>tbl_estimated_costs_quantities[[#This Row],[Site Preparation]]*BOQs!$L$3</f>
        <v>0</v>
      </c>
      <c r="L163" s="76"/>
      <c r="M163" s="37"/>
      <c r="N163" s="86">
        <f>tbl_estimated_costs_quantities[[#This Row],[Demolition Removal Unsafe Structures]]*BOQs!$L$4</f>
        <v>0</v>
      </c>
      <c r="O163" s="76"/>
      <c r="P163" s="37"/>
      <c r="Q163" s="86">
        <f>tbl_estimated_costs_quantities[[#This Row],[Concrete Works]]*BOQs!$L$5</f>
        <v>0</v>
      </c>
      <c r="R163" s="76"/>
      <c r="S163" s="37"/>
      <c r="T163" s="86">
        <f>tbl_estimated_costs_quantities[[#This Row],[Closure External Openings Walls Windows]]*BOQs!$L$6</f>
        <v>0</v>
      </c>
      <c r="U163" s="76"/>
      <c r="V163" s="37"/>
      <c r="W163" s="86">
        <f>tbl_estimated_costs_quantities[[#This Row],[Plastering Painting]]*BOQs!$L$7</f>
        <v>0</v>
      </c>
      <c r="X163" s="76"/>
      <c r="Y163" s="37"/>
      <c r="Z163" s="86">
        <f>tbl_estimated_costs_quantities[[#This Row],[Floor Repairs]]*BOQs!$L$8</f>
        <v>0</v>
      </c>
      <c r="AA163" s="76"/>
      <c r="AB163" s="37"/>
      <c r="AC163" s="86">
        <f>tbl_estimated_costs_quantities[[#This Row],[Doors Replacement Repair]]*BOQs!$L$9</f>
        <v>0</v>
      </c>
      <c r="AD163" s="76"/>
      <c r="AE163" s="37"/>
      <c r="AF163" s="86">
        <f>tbl_estimated_costs_quantities[[#This Row],[Windows Replacement Repair]]*BOQs!$L$10</f>
        <v>0</v>
      </c>
      <c r="AG163" s="76"/>
      <c r="AH163" s="37"/>
      <c r="AI163" s="86">
        <f>tbl_estimated_costs_quantities[[#This Row],[Bathroom Rehabilitation]]*BOQs!$L$11</f>
        <v>0</v>
      </c>
      <c r="AJ163" s="76"/>
      <c r="AK163" s="37"/>
      <c r="AL163" s="86">
        <f>tbl_estimated_costs_quantities[[#This Row],[Ceramic Tile Works WASH]]*BOQs!$L$12</f>
        <v>0</v>
      </c>
      <c r="AM163" s="76"/>
      <c r="AN163" s="37"/>
      <c r="AO163" s="86">
        <f>tbl_estimated_costs_quantities[[#This Row],[Electrical Repairs Lighting]]*BOQs!$L$13</f>
        <v>0</v>
      </c>
      <c r="AP163" s="76"/>
      <c r="AQ163" s="37"/>
      <c r="AR163" s="86">
        <f>tbl_estimated_costs_quantities[[#This Row],[Roof Insulation Leak Sealing]]*BOQs!$L$14</f>
        <v>0</v>
      </c>
      <c r="AS163" s="76"/>
      <c r="AT163" s="37"/>
      <c r="AU163" s="86">
        <f>tbl_estimated_costs_quantities[[#This Row],[Chimney Duct Cleaning Repair]]*BOQs!$L$15</f>
        <v>0</v>
      </c>
      <c r="AV163" s="76"/>
      <c r="AW163" s="37"/>
      <c r="AX163" s="89">
        <f>tbl_estimated_costs_quantities[[#This Row],[Accessibility Adaptations]]*BOQs!$L$16</f>
        <v>0</v>
      </c>
      <c r="AY163" s="86" t="str">
        <f>IF(tbl_estimated_costs_quantities[[#This Row],[Total cost]]&lt;&gt;0,tbl_estimated_costs_quantities[[#This Row],[Total cost]]/BOQs!$A$1,"")</f>
        <v/>
      </c>
      <c r="AZ163" s="37"/>
      <c r="BA163" s="37"/>
      <c r="BB163" s="37"/>
      <c r="BC163" s="37"/>
      <c r="BD163" s="41"/>
      <c r="BE163" s="37"/>
      <c r="BF163" s="37"/>
      <c r="BG163" s="37"/>
      <c r="BH163" s="41"/>
    </row>
    <row r="164" spans="2:60" ht="25.15" customHeight="1" x14ac:dyDescent="0.25">
      <c r="B164" s="49">
        <v>160</v>
      </c>
      <c r="C164" s="37"/>
      <c r="D164" s="41"/>
      <c r="E164" s="40"/>
      <c r="F164" s="87" t="str">
        <f>IF(tbl_estimated_costs_quantities[[#This Row],[House Code]]&lt;&gt;"",INDEX(tbl_Assessment[],MATCH(tbl_estimated_costs_quantities[[#This Row],[House Code]],tbl_Assessment[House Code],0),3),"")</f>
        <v/>
      </c>
      <c r="G164" s="115" t="str">
        <f>IF(tbl_estimated_costs_quantities[[#This Row],[House Code]]&lt;&gt;"",INDEX(tbl_Assessment[],MATCH(tbl_estimated_costs_quantities[[#This Row],[House Code]],tbl_Assessment[House Code],0),9),"")</f>
        <v/>
      </c>
      <c r="H16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4" s="75"/>
      <c r="J164" s="37"/>
      <c r="K164" s="86">
        <f>tbl_estimated_costs_quantities[[#This Row],[Site Preparation]]*BOQs!$L$3</f>
        <v>0</v>
      </c>
      <c r="L164" s="76"/>
      <c r="M164" s="37"/>
      <c r="N164" s="86">
        <f>tbl_estimated_costs_quantities[[#This Row],[Demolition Removal Unsafe Structures]]*BOQs!$L$4</f>
        <v>0</v>
      </c>
      <c r="O164" s="76"/>
      <c r="P164" s="37"/>
      <c r="Q164" s="86">
        <f>tbl_estimated_costs_quantities[[#This Row],[Concrete Works]]*BOQs!$L$5</f>
        <v>0</v>
      </c>
      <c r="R164" s="76"/>
      <c r="S164" s="37"/>
      <c r="T164" s="86">
        <f>tbl_estimated_costs_quantities[[#This Row],[Closure External Openings Walls Windows]]*BOQs!$L$6</f>
        <v>0</v>
      </c>
      <c r="U164" s="76"/>
      <c r="V164" s="37"/>
      <c r="W164" s="86">
        <f>tbl_estimated_costs_quantities[[#This Row],[Plastering Painting]]*BOQs!$L$7</f>
        <v>0</v>
      </c>
      <c r="X164" s="76"/>
      <c r="Y164" s="37"/>
      <c r="Z164" s="86">
        <f>tbl_estimated_costs_quantities[[#This Row],[Floor Repairs]]*BOQs!$L$8</f>
        <v>0</v>
      </c>
      <c r="AA164" s="76"/>
      <c r="AB164" s="37"/>
      <c r="AC164" s="86">
        <f>tbl_estimated_costs_quantities[[#This Row],[Doors Replacement Repair]]*BOQs!$L$9</f>
        <v>0</v>
      </c>
      <c r="AD164" s="76"/>
      <c r="AE164" s="37"/>
      <c r="AF164" s="86">
        <f>tbl_estimated_costs_quantities[[#This Row],[Windows Replacement Repair]]*BOQs!$L$10</f>
        <v>0</v>
      </c>
      <c r="AG164" s="76"/>
      <c r="AH164" s="37"/>
      <c r="AI164" s="86">
        <f>tbl_estimated_costs_quantities[[#This Row],[Bathroom Rehabilitation]]*BOQs!$L$11</f>
        <v>0</v>
      </c>
      <c r="AJ164" s="76"/>
      <c r="AK164" s="37"/>
      <c r="AL164" s="86">
        <f>tbl_estimated_costs_quantities[[#This Row],[Ceramic Tile Works WASH]]*BOQs!$L$12</f>
        <v>0</v>
      </c>
      <c r="AM164" s="76"/>
      <c r="AN164" s="37"/>
      <c r="AO164" s="86">
        <f>tbl_estimated_costs_quantities[[#This Row],[Electrical Repairs Lighting]]*BOQs!$L$13</f>
        <v>0</v>
      </c>
      <c r="AP164" s="76"/>
      <c r="AQ164" s="37"/>
      <c r="AR164" s="86">
        <f>tbl_estimated_costs_quantities[[#This Row],[Roof Insulation Leak Sealing]]*BOQs!$L$14</f>
        <v>0</v>
      </c>
      <c r="AS164" s="76"/>
      <c r="AT164" s="37"/>
      <c r="AU164" s="86">
        <f>tbl_estimated_costs_quantities[[#This Row],[Chimney Duct Cleaning Repair]]*BOQs!$L$15</f>
        <v>0</v>
      </c>
      <c r="AV164" s="76"/>
      <c r="AW164" s="37"/>
      <c r="AX164" s="89">
        <f>tbl_estimated_costs_quantities[[#This Row],[Accessibility Adaptations]]*BOQs!$L$16</f>
        <v>0</v>
      </c>
      <c r="AY164" s="86" t="str">
        <f>IF(tbl_estimated_costs_quantities[[#This Row],[Total cost]]&lt;&gt;0,tbl_estimated_costs_quantities[[#This Row],[Total cost]]/BOQs!$A$1,"")</f>
        <v/>
      </c>
      <c r="AZ164" s="37"/>
      <c r="BA164" s="37"/>
      <c r="BB164" s="37"/>
      <c r="BC164" s="37"/>
      <c r="BD164" s="41"/>
      <c r="BE164" s="37"/>
      <c r="BF164" s="37"/>
      <c r="BG164" s="37"/>
      <c r="BH164" s="41"/>
    </row>
    <row r="165" spans="2:60" ht="25.15" customHeight="1" x14ac:dyDescent="0.25">
      <c r="B165" s="49">
        <v>161</v>
      </c>
      <c r="C165" s="37"/>
      <c r="D165" s="41"/>
      <c r="E165" s="40"/>
      <c r="F165" s="87" t="str">
        <f>IF(tbl_estimated_costs_quantities[[#This Row],[House Code]]&lt;&gt;"",INDEX(tbl_Assessment[],MATCH(tbl_estimated_costs_quantities[[#This Row],[House Code]],tbl_Assessment[House Code],0),3),"")</f>
        <v/>
      </c>
      <c r="G165" s="115" t="str">
        <f>IF(tbl_estimated_costs_quantities[[#This Row],[House Code]]&lt;&gt;"",INDEX(tbl_Assessment[],MATCH(tbl_estimated_costs_quantities[[#This Row],[House Code]],tbl_Assessment[House Code],0),9),"")</f>
        <v/>
      </c>
      <c r="H16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5" s="75"/>
      <c r="J165" s="37"/>
      <c r="K165" s="86">
        <f>tbl_estimated_costs_quantities[[#This Row],[Site Preparation]]*BOQs!$L$3</f>
        <v>0</v>
      </c>
      <c r="L165" s="76"/>
      <c r="M165" s="37"/>
      <c r="N165" s="86">
        <f>tbl_estimated_costs_quantities[[#This Row],[Demolition Removal Unsafe Structures]]*BOQs!$L$4</f>
        <v>0</v>
      </c>
      <c r="O165" s="76"/>
      <c r="P165" s="37"/>
      <c r="Q165" s="86">
        <f>tbl_estimated_costs_quantities[[#This Row],[Concrete Works]]*BOQs!$L$5</f>
        <v>0</v>
      </c>
      <c r="R165" s="76"/>
      <c r="S165" s="37"/>
      <c r="T165" s="86">
        <f>tbl_estimated_costs_quantities[[#This Row],[Closure External Openings Walls Windows]]*BOQs!$L$6</f>
        <v>0</v>
      </c>
      <c r="U165" s="76"/>
      <c r="V165" s="37"/>
      <c r="W165" s="86">
        <f>tbl_estimated_costs_quantities[[#This Row],[Plastering Painting]]*BOQs!$L$7</f>
        <v>0</v>
      </c>
      <c r="X165" s="76"/>
      <c r="Y165" s="37"/>
      <c r="Z165" s="86">
        <f>tbl_estimated_costs_quantities[[#This Row],[Floor Repairs]]*BOQs!$L$8</f>
        <v>0</v>
      </c>
      <c r="AA165" s="76"/>
      <c r="AB165" s="37"/>
      <c r="AC165" s="86">
        <f>tbl_estimated_costs_quantities[[#This Row],[Doors Replacement Repair]]*BOQs!$L$9</f>
        <v>0</v>
      </c>
      <c r="AD165" s="76"/>
      <c r="AE165" s="37"/>
      <c r="AF165" s="86">
        <f>tbl_estimated_costs_quantities[[#This Row],[Windows Replacement Repair]]*BOQs!$L$10</f>
        <v>0</v>
      </c>
      <c r="AG165" s="76"/>
      <c r="AH165" s="37"/>
      <c r="AI165" s="86">
        <f>tbl_estimated_costs_quantities[[#This Row],[Bathroom Rehabilitation]]*BOQs!$L$11</f>
        <v>0</v>
      </c>
      <c r="AJ165" s="76"/>
      <c r="AK165" s="37"/>
      <c r="AL165" s="86">
        <f>tbl_estimated_costs_quantities[[#This Row],[Ceramic Tile Works WASH]]*BOQs!$L$12</f>
        <v>0</v>
      </c>
      <c r="AM165" s="76"/>
      <c r="AN165" s="37"/>
      <c r="AO165" s="86">
        <f>tbl_estimated_costs_quantities[[#This Row],[Electrical Repairs Lighting]]*BOQs!$L$13</f>
        <v>0</v>
      </c>
      <c r="AP165" s="76"/>
      <c r="AQ165" s="37"/>
      <c r="AR165" s="86">
        <f>tbl_estimated_costs_quantities[[#This Row],[Roof Insulation Leak Sealing]]*BOQs!$L$14</f>
        <v>0</v>
      </c>
      <c r="AS165" s="76"/>
      <c r="AT165" s="37"/>
      <c r="AU165" s="86">
        <f>tbl_estimated_costs_quantities[[#This Row],[Chimney Duct Cleaning Repair]]*BOQs!$L$15</f>
        <v>0</v>
      </c>
      <c r="AV165" s="76"/>
      <c r="AW165" s="37"/>
      <c r="AX165" s="89">
        <f>tbl_estimated_costs_quantities[[#This Row],[Accessibility Adaptations]]*BOQs!$L$16</f>
        <v>0</v>
      </c>
      <c r="AY165" s="86" t="str">
        <f>IF(tbl_estimated_costs_quantities[[#This Row],[Total cost]]&lt;&gt;0,tbl_estimated_costs_quantities[[#This Row],[Total cost]]/BOQs!$A$1,"")</f>
        <v/>
      </c>
      <c r="AZ165" s="37"/>
      <c r="BA165" s="37"/>
      <c r="BB165" s="37"/>
      <c r="BC165" s="37"/>
      <c r="BD165" s="41"/>
      <c r="BE165" s="37"/>
      <c r="BF165" s="37"/>
      <c r="BG165" s="37"/>
      <c r="BH165" s="41"/>
    </row>
    <row r="166" spans="2:60" ht="25.15" customHeight="1" x14ac:dyDescent="0.25">
      <c r="B166" s="49">
        <v>162</v>
      </c>
      <c r="C166" s="37"/>
      <c r="D166" s="41"/>
      <c r="E166" s="40"/>
      <c r="F166" s="87" t="str">
        <f>IF(tbl_estimated_costs_quantities[[#This Row],[House Code]]&lt;&gt;"",INDEX(tbl_Assessment[],MATCH(tbl_estimated_costs_quantities[[#This Row],[House Code]],tbl_Assessment[House Code],0),3),"")</f>
        <v/>
      </c>
      <c r="G166" s="115" t="str">
        <f>IF(tbl_estimated_costs_quantities[[#This Row],[House Code]]&lt;&gt;"",INDEX(tbl_Assessment[],MATCH(tbl_estimated_costs_quantities[[#This Row],[House Code]],tbl_Assessment[House Code],0),9),"")</f>
        <v/>
      </c>
      <c r="H16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6" s="75"/>
      <c r="J166" s="37"/>
      <c r="K166" s="86">
        <f>tbl_estimated_costs_quantities[[#This Row],[Site Preparation]]*BOQs!$L$3</f>
        <v>0</v>
      </c>
      <c r="L166" s="76"/>
      <c r="M166" s="37"/>
      <c r="N166" s="86">
        <f>tbl_estimated_costs_quantities[[#This Row],[Demolition Removal Unsafe Structures]]*BOQs!$L$4</f>
        <v>0</v>
      </c>
      <c r="O166" s="76"/>
      <c r="P166" s="37"/>
      <c r="Q166" s="86">
        <f>tbl_estimated_costs_quantities[[#This Row],[Concrete Works]]*BOQs!$L$5</f>
        <v>0</v>
      </c>
      <c r="R166" s="76"/>
      <c r="S166" s="37"/>
      <c r="T166" s="86">
        <f>tbl_estimated_costs_quantities[[#This Row],[Closure External Openings Walls Windows]]*BOQs!$L$6</f>
        <v>0</v>
      </c>
      <c r="U166" s="76"/>
      <c r="V166" s="37"/>
      <c r="W166" s="86">
        <f>tbl_estimated_costs_quantities[[#This Row],[Plastering Painting]]*BOQs!$L$7</f>
        <v>0</v>
      </c>
      <c r="X166" s="76"/>
      <c r="Y166" s="37"/>
      <c r="Z166" s="86">
        <f>tbl_estimated_costs_quantities[[#This Row],[Floor Repairs]]*BOQs!$L$8</f>
        <v>0</v>
      </c>
      <c r="AA166" s="76"/>
      <c r="AB166" s="37"/>
      <c r="AC166" s="86">
        <f>tbl_estimated_costs_quantities[[#This Row],[Doors Replacement Repair]]*BOQs!$L$9</f>
        <v>0</v>
      </c>
      <c r="AD166" s="76"/>
      <c r="AE166" s="37"/>
      <c r="AF166" s="86">
        <f>tbl_estimated_costs_quantities[[#This Row],[Windows Replacement Repair]]*BOQs!$L$10</f>
        <v>0</v>
      </c>
      <c r="AG166" s="76"/>
      <c r="AH166" s="37"/>
      <c r="AI166" s="86">
        <f>tbl_estimated_costs_quantities[[#This Row],[Bathroom Rehabilitation]]*BOQs!$L$11</f>
        <v>0</v>
      </c>
      <c r="AJ166" s="76"/>
      <c r="AK166" s="37"/>
      <c r="AL166" s="86">
        <f>tbl_estimated_costs_quantities[[#This Row],[Ceramic Tile Works WASH]]*BOQs!$L$12</f>
        <v>0</v>
      </c>
      <c r="AM166" s="76"/>
      <c r="AN166" s="37"/>
      <c r="AO166" s="86">
        <f>tbl_estimated_costs_quantities[[#This Row],[Electrical Repairs Lighting]]*BOQs!$L$13</f>
        <v>0</v>
      </c>
      <c r="AP166" s="76"/>
      <c r="AQ166" s="37"/>
      <c r="AR166" s="86">
        <f>tbl_estimated_costs_quantities[[#This Row],[Roof Insulation Leak Sealing]]*BOQs!$L$14</f>
        <v>0</v>
      </c>
      <c r="AS166" s="76"/>
      <c r="AT166" s="37"/>
      <c r="AU166" s="86">
        <f>tbl_estimated_costs_quantities[[#This Row],[Chimney Duct Cleaning Repair]]*BOQs!$L$15</f>
        <v>0</v>
      </c>
      <c r="AV166" s="76"/>
      <c r="AW166" s="37"/>
      <c r="AX166" s="89">
        <f>tbl_estimated_costs_quantities[[#This Row],[Accessibility Adaptations]]*BOQs!$L$16</f>
        <v>0</v>
      </c>
      <c r="AY166" s="86" t="str">
        <f>IF(tbl_estimated_costs_quantities[[#This Row],[Total cost]]&lt;&gt;0,tbl_estimated_costs_quantities[[#This Row],[Total cost]]/BOQs!$A$1,"")</f>
        <v/>
      </c>
      <c r="AZ166" s="37"/>
      <c r="BA166" s="37"/>
      <c r="BB166" s="37"/>
      <c r="BC166" s="37"/>
      <c r="BD166" s="41"/>
      <c r="BE166" s="37"/>
      <c r="BF166" s="37"/>
      <c r="BG166" s="37"/>
      <c r="BH166" s="41"/>
    </row>
    <row r="167" spans="2:60" ht="25.15" customHeight="1" x14ac:dyDescent="0.25">
      <c r="B167" s="49">
        <v>163</v>
      </c>
      <c r="C167" s="37"/>
      <c r="D167" s="41"/>
      <c r="E167" s="40"/>
      <c r="F167" s="87" t="str">
        <f>IF(tbl_estimated_costs_quantities[[#This Row],[House Code]]&lt;&gt;"",INDEX(tbl_Assessment[],MATCH(tbl_estimated_costs_quantities[[#This Row],[House Code]],tbl_Assessment[House Code],0),3),"")</f>
        <v/>
      </c>
      <c r="G167" s="115" t="str">
        <f>IF(tbl_estimated_costs_quantities[[#This Row],[House Code]]&lt;&gt;"",INDEX(tbl_Assessment[],MATCH(tbl_estimated_costs_quantities[[#This Row],[House Code]],tbl_Assessment[House Code],0),9),"")</f>
        <v/>
      </c>
      <c r="H16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7" s="75"/>
      <c r="J167" s="37"/>
      <c r="K167" s="86">
        <f>tbl_estimated_costs_quantities[[#This Row],[Site Preparation]]*BOQs!$L$3</f>
        <v>0</v>
      </c>
      <c r="L167" s="76"/>
      <c r="M167" s="37"/>
      <c r="N167" s="86">
        <f>tbl_estimated_costs_quantities[[#This Row],[Demolition Removal Unsafe Structures]]*BOQs!$L$4</f>
        <v>0</v>
      </c>
      <c r="O167" s="76"/>
      <c r="P167" s="37"/>
      <c r="Q167" s="86">
        <f>tbl_estimated_costs_quantities[[#This Row],[Concrete Works]]*BOQs!$L$5</f>
        <v>0</v>
      </c>
      <c r="R167" s="76"/>
      <c r="S167" s="37"/>
      <c r="T167" s="86">
        <f>tbl_estimated_costs_quantities[[#This Row],[Closure External Openings Walls Windows]]*BOQs!$L$6</f>
        <v>0</v>
      </c>
      <c r="U167" s="76"/>
      <c r="V167" s="37"/>
      <c r="W167" s="86">
        <f>tbl_estimated_costs_quantities[[#This Row],[Plastering Painting]]*BOQs!$L$7</f>
        <v>0</v>
      </c>
      <c r="X167" s="76"/>
      <c r="Y167" s="37"/>
      <c r="Z167" s="86">
        <f>tbl_estimated_costs_quantities[[#This Row],[Floor Repairs]]*BOQs!$L$8</f>
        <v>0</v>
      </c>
      <c r="AA167" s="76"/>
      <c r="AB167" s="37"/>
      <c r="AC167" s="86">
        <f>tbl_estimated_costs_quantities[[#This Row],[Doors Replacement Repair]]*BOQs!$L$9</f>
        <v>0</v>
      </c>
      <c r="AD167" s="76"/>
      <c r="AE167" s="37"/>
      <c r="AF167" s="86">
        <f>tbl_estimated_costs_quantities[[#This Row],[Windows Replacement Repair]]*BOQs!$L$10</f>
        <v>0</v>
      </c>
      <c r="AG167" s="76"/>
      <c r="AH167" s="37"/>
      <c r="AI167" s="86">
        <f>tbl_estimated_costs_quantities[[#This Row],[Bathroom Rehabilitation]]*BOQs!$L$11</f>
        <v>0</v>
      </c>
      <c r="AJ167" s="76"/>
      <c r="AK167" s="37"/>
      <c r="AL167" s="86">
        <f>tbl_estimated_costs_quantities[[#This Row],[Ceramic Tile Works WASH]]*BOQs!$L$12</f>
        <v>0</v>
      </c>
      <c r="AM167" s="76"/>
      <c r="AN167" s="37"/>
      <c r="AO167" s="86">
        <f>tbl_estimated_costs_quantities[[#This Row],[Electrical Repairs Lighting]]*BOQs!$L$13</f>
        <v>0</v>
      </c>
      <c r="AP167" s="76"/>
      <c r="AQ167" s="37"/>
      <c r="AR167" s="86">
        <f>tbl_estimated_costs_quantities[[#This Row],[Roof Insulation Leak Sealing]]*BOQs!$L$14</f>
        <v>0</v>
      </c>
      <c r="AS167" s="76"/>
      <c r="AT167" s="37"/>
      <c r="AU167" s="86">
        <f>tbl_estimated_costs_quantities[[#This Row],[Chimney Duct Cleaning Repair]]*BOQs!$L$15</f>
        <v>0</v>
      </c>
      <c r="AV167" s="76"/>
      <c r="AW167" s="37"/>
      <c r="AX167" s="89">
        <f>tbl_estimated_costs_quantities[[#This Row],[Accessibility Adaptations]]*BOQs!$L$16</f>
        <v>0</v>
      </c>
      <c r="AY167" s="86" t="str">
        <f>IF(tbl_estimated_costs_quantities[[#This Row],[Total cost]]&lt;&gt;0,tbl_estimated_costs_quantities[[#This Row],[Total cost]]/BOQs!$A$1,"")</f>
        <v/>
      </c>
      <c r="AZ167" s="37"/>
      <c r="BA167" s="37"/>
      <c r="BB167" s="37"/>
      <c r="BC167" s="37"/>
      <c r="BD167" s="41"/>
      <c r="BE167" s="37"/>
      <c r="BF167" s="37"/>
      <c r="BG167" s="37"/>
      <c r="BH167" s="41"/>
    </row>
    <row r="168" spans="2:60" ht="25.15" customHeight="1" x14ac:dyDescent="0.25">
      <c r="B168" s="49">
        <v>164</v>
      </c>
      <c r="C168" s="37"/>
      <c r="D168" s="41"/>
      <c r="E168" s="40"/>
      <c r="F168" s="87" t="str">
        <f>IF(tbl_estimated_costs_quantities[[#This Row],[House Code]]&lt;&gt;"",INDEX(tbl_Assessment[],MATCH(tbl_estimated_costs_quantities[[#This Row],[House Code]],tbl_Assessment[House Code],0),3),"")</f>
        <v/>
      </c>
      <c r="G168" s="115" t="str">
        <f>IF(tbl_estimated_costs_quantities[[#This Row],[House Code]]&lt;&gt;"",INDEX(tbl_Assessment[],MATCH(tbl_estimated_costs_quantities[[#This Row],[House Code]],tbl_Assessment[House Code],0),9),"")</f>
        <v/>
      </c>
      <c r="H16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8" s="75"/>
      <c r="J168" s="37"/>
      <c r="K168" s="86">
        <f>tbl_estimated_costs_quantities[[#This Row],[Site Preparation]]*BOQs!$L$3</f>
        <v>0</v>
      </c>
      <c r="L168" s="76"/>
      <c r="M168" s="37"/>
      <c r="N168" s="86">
        <f>tbl_estimated_costs_quantities[[#This Row],[Demolition Removal Unsafe Structures]]*BOQs!$L$4</f>
        <v>0</v>
      </c>
      <c r="O168" s="76"/>
      <c r="P168" s="37"/>
      <c r="Q168" s="86">
        <f>tbl_estimated_costs_quantities[[#This Row],[Concrete Works]]*BOQs!$L$5</f>
        <v>0</v>
      </c>
      <c r="R168" s="76"/>
      <c r="S168" s="37"/>
      <c r="T168" s="86">
        <f>tbl_estimated_costs_quantities[[#This Row],[Closure External Openings Walls Windows]]*BOQs!$L$6</f>
        <v>0</v>
      </c>
      <c r="U168" s="76"/>
      <c r="V168" s="37"/>
      <c r="W168" s="86">
        <f>tbl_estimated_costs_quantities[[#This Row],[Plastering Painting]]*BOQs!$L$7</f>
        <v>0</v>
      </c>
      <c r="X168" s="76"/>
      <c r="Y168" s="37"/>
      <c r="Z168" s="86">
        <f>tbl_estimated_costs_quantities[[#This Row],[Floor Repairs]]*BOQs!$L$8</f>
        <v>0</v>
      </c>
      <c r="AA168" s="76"/>
      <c r="AB168" s="37"/>
      <c r="AC168" s="86">
        <f>tbl_estimated_costs_quantities[[#This Row],[Doors Replacement Repair]]*BOQs!$L$9</f>
        <v>0</v>
      </c>
      <c r="AD168" s="76"/>
      <c r="AE168" s="37"/>
      <c r="AF168" s="86">
        <f>tbl_estimated_costs_quantities[[#This Row],[Windows Replacement Repair]]*BOQs!$L$10</f>
        <v>0</v>
      </c>
      <c r="AG168" s="76"/>
      <c r="AH168" s="37"/>
      <c r="AI168" s="86">
        <f>tbl_estimated_costs_quantities[[#This Row],[Bathroom Rehabilitation]]*BOQs!$L$11</f>
        <v>0</v>
      </c>
      <c r="AJ168" s="76"/>
      <c r="AK168" s="37"/>
      <c r="AL168" s="86">
        <f>tbl_estimated_costs_quantities[[#This Row],[Ceramic Tile Works WASH]]*BOQs!$L$12</f>
        <v>0</v>
      </c>
      <c r="AM168" s="76"/>
      <c r="AN168" s="37"/>
      <c r="AO168" s="86">
        <f>tbl_estimated_costs_quantities[[#This Row],[Electrical Repairs Lighting]]*BOQs!$L$13</f>
        <v>0</v>
      </c>
      <c r="AP168" s="76"/>
      <c r="AQ168" s="37"/>
      <c r="AR168" s="86">
        <f>tbl_estimated_costs_quantities[[#This Row],[Roof Insulation Leak Sealing]]*BOQs!$L$14</f>
        <v>0</v>
      </c>
      <c r="AS168" s="76"/>
      <c r="AT168" s="37"/>
      <c r="AU168" s="86">
        <f>tbl_estimated_costs_quantities[[#This Row],[Chimney Duct Cleaning Repair]]*BOQs!$L$15</f>
        <v>0</v>
      </c>
      <c r="AV168" s="76"/>
      <c r="AW168" s="37"/>
      <c r="AX168" s="89">
        <f>tbl_estimated_costs_quantities[[#This Row],[Accessibility Adaptations]]*BOQs!$L$16</f>
        <v>0</v>
      </c>
      <c r="AY168" s="86" t="str">
        <f>IF(tbl_estimated_costs_quantities[[#This Row],[Total cost]]&lt;&gt;0,tbl_estimated_costs_quantities[[#This Row],[Total cost]]/BOQs!$A$1,"")</f>
        <v/>
      </c>
      <c r="AZ168" s="37"/>
      <c r="BA168" s="37"/>
      <c r="BB168" s="37"/>
      <c r="BC168" s="37"/>
      <c r="BD168" s="41"/>
      <c r="BE168" s="37"/>
      <c r="BF168" s="37"/>
      <c r="BG168" s="37"/>
      <c r="BH168" s="41"/>
    </row>
    <row r="169" spans="2:60" ht="25.15" customHeight="1" x14ac:dyDescent="0.25">
      <c r="B169" s="49">
        <v>165</v>
      </c>
      <c r="C169" s="37"/>
      <c r="D169" s="41"/>
      <c r="E169" s="40"/>
      <c r="F169" s="87" t="str">
        <f>IF(tbl_estimated_costs_quantities[[#This Row],[House Code]]&lt;&gt;"",INDEX(tbl_Assessment[],MATCH(tbl_estimated_costs_quantities[[#This Row],[House Code]],tbl_Assessment[House Code],0),3),"")</f>
        <v/>
      </c>
      <c r="G169" s="115" t="str">
        <f>IF(tbl_estimated_costs_quantities[[#This Row],[House Code]]&lt;&gt;"",INDEX(tbl_Assessment[],MATCH(tbl_estimated_costs_quantities[[#This Row],[House Code]],tbl_Assessment[House Code],0),9),"")</f>
        <v/>
      </c>
      <c r="H16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69" s="75"/>
      <c r="J169" s="37"/>
      <c r="K169" s="86">
        <f>tbl_estimated_costs_quantities[[#This Row],[Site Preparation]]*BOQs!$L$3</f>
        <v>0</v>
      </c>
      <c r="L169" s="76"/>
      <c r="M169" s="37"/>
      <c r="N169" s="86">
        <f>tbl_estimated_costs_quantities[[#This Row],[Demolition Removal Unsafe Structures]]*BOQs!$L$4</f>
        <v>0</v>
      </c>
      <c r="O169" s="76"/>
      <c r="P169" s="37"/>
      <c r="Q169" s="86">
        <f>tbl_estimated_costs_quantities[[#This Row],[Concrete Works]]*BOQs!$L$5</f>
        <v>0</v>
      </c>
      <c r="R169" s="76"/>
      <c r="S169" s="37"/>
      <c r="T169" s="86">
        <f>tbl_estimated_costs_quantities[[#This Row],[Closure External Openings Walls Windows]]*BOQs!$L$6</f>
        <v>0</v>
      </c>
      <c r="U169" s="76"/>
      <c r="V169" s="37"/>
      <c r="W169" s="86">
        <f>tbl_estimated_costs_quantities[[#This Row],[Plastering Painting]]*BOQs!$L$7</f>
        <v>0</v>
      </c>
      <c r="X169" s="76"/>
      <c r="Y169" s="37"/>
      <c r="Z169" s="86">
        <f>tbl_estimated_costs_quantities[[#This Row],[Floor Repairs]]*BOQs!$L$8</f>
        <v>0</v>
      </c>
      <c r="AA169" s="76"/>
      <c r="AB169" s="37"/>
      <c r="AC169" s="86">
        <f>tbl_estimated_costs_quantities[[#This Row],[Doors Replacement Repair]]*BOQs!$L$9</f>
        <v>0</v>
      </c>
      <c r="AD169" s="76"/>
      <c r="AE169" s="37"/>
      <c r="AF169" s="86">
        <f>tbl_estimated_costs_quantities[[#This Row],[Windows Replacement Repair]]*BOQs!$L$10</f>
        <v>0</v>
      </c>
      <c r="AG169" s="76"/>
      <c r="AH169" s="37"/>
      <c r="AI169" s="86">
        <f>tbl_estimated_costs_quantities[[#This Row],[Bathroom Rehabilitation]]*BOQs!$L$11</f>
        <v>0</v>
      </c>
      <c r="AJ169" s="76"/>
      <c r="AK169" s="37"/>
      <c r="AL169" s="86">
        <f>tbl_estimated_costs_quantities[[#This Row],[Ceramic Tile Works WASH]]*BOQs!$L$12</f>
        <v>0</v>
      </c>
      <c r="AM169" s="76"/>
      <c r="AN169" s="37"/>
      <c r="AO169" s="86">
        <f>tbl_estimated_costs_quantities[[#This Row],[Electrical Repairs Lighting]]*BOQs!$L$13</f>
        <v>0</v>
      </c>
      <c r="AP169" s="76"/>
      <c r="AQ169" s="37"/>
      <c r="AR169" s="86">
        <f>tbl_estimated_costs_quantities[[#This Row],[Roof Insulation Leak Sealing]]*BOQs!$L$14</f>
        <v>0</v>
      </c>
      <c r="AS169" s="76"/>
      <c r="AT169" s="37"/>
      <c r="AU169" s="86">
        <f>tbl_estimated_costs_quantities[[#This Row],[Chimney Duct Cleaning Repair]]*BOQs!$L$15</f>
        <v>0</v>
      </c>
      <c r="AV169" s="76"/>
      <c r="AW169" s="37"/>
      <c r="AX169" s="89">
        <f>tbl_estimated_costs_quantities[[#This Row],[Accessibility Adaptations]]*BOQs!$L$16</f>
        <v>0</v>
      </c>
      <c r="AY169" s="86" t="str">
        <f>IF(tbl_estimated_costs_quantities[[#This Row],[Total cost]]&lt;&gt;0,tbl_estimated_costs_quantities[[#This Row],[Total cost]]/BOQs!$A$1,"")</f>
        <v/>
      </c>
      <c r="AZ169" s="37"/>
      <c r="BA169" s="37"/>
      <c r="BB169" s="37"/>
      <c r="BC169" s="37"/>
      <c r="BD169" s="41"/>
      <c r="BE169" s="37"/>
      <c r="BF169" s="37"/>
      <c r="BG169" s="37"/>
      <c r="BH169" s="41"/>
    </row>
    <row r="170" spans="2:60" ht="25.15" customHeight="1" x14ac:dyDescent="0.25">
      <c r="B170" s="49">
        <v>166</v>
      </c>
      <c r="C170" s="37"/>
      <c r="D170" s="41"/>
      <c r="E170" s="40"/>
      <c r="F170" s="87" t="str">
        <f>IF(tbl_estimated_costs_quantities[[#This Row],[House Code]]&lt;&gt;"",INDEX(tbl_Assessment[],MATCH(tbl_estimated_costs_quantities[[#This Row],[House Code]],tbl_Assessment[House Code],0),3),"")</f>
        <v/>
      </c>
      <c r="G170" s="115" t="str">
        <f>IF(tbl_estimated_costs_quantities[[#This Row],[House Code]]&lt;&gt;"",INDEX(tbl_Assessment[],MATCH(tbl_estimated_costs_quantities[[#This Row],[House Code]],tbl_Assessment[House Code],0),9),"")</f>
        <v/>
      </c>
      <c r="H17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0" s="75"/>
      <c r="J170" s="37"/>
      <c r="K170" s="86">
        <f>tbl_estimated_costs_quantities[[#This Row],[Site Preparation]]*BOQs!$L$3</f>
        <v>0</v>
      </c>
      <c r="L170" s="76"/>
      <c r="M170" s="37"/>
      <c r="N170" s="86">
        <f>tbl_estimated_costs_quantities[[#This Row],[Demolition Removal Unsafe Structures]]*BOQs!$L$4</f>
        <v>0</v>
      </c>
      <c r="O170" s="76"/>
      <c r="P170" s="37"/>
      <c r="Q170" s="86">
        <f>tbl_estimated_costs_quantities[[#This Row],[Concrete Works]]*BOQs!$L$5</f>
        <v>0</v>
      </c>
      <c r="R170" s="76"/>
      <c r="S170" s="37"/>
      <c r="T170" s="86">
        <f>tbl_estimated_costs_quantities[[#This Row],[Closure External Openings Walls Windows]]*BOQs!$L$6</f>
        <v>0</v>
      </c>
      <c r="U170" s="76"/>
      <c r="V170" s="37"/>
      <c r="W170" s="86">
        <f>tbl_estimated_costs_quantities[[#This Row],[Plastering Painting]]*BOQs!$L$7</f>
        <v>0</v>
      </c>
      <c r="X170" s="76"/>
      <c r="Y170" s="37"/>
      <c r="Z170" s="86">
        <f>tbl_estimated_costs_quantities[[#This Row],[Floor Repairs]]*BOQs!$L$8</f>
        <v>0</v>
      </c>
      <c r="AA170" s="76"/>
      <c r="AB170" s="37"/>
      <c r="AC170" s="86">
        <f>tbl_estimated_costs_quantities[[#This Row],[Doors Replacement Repair]]*BOQs!$L$9</f>
        <v>0</v>
      </c>
      <c r="AD170" s="76"/>
      <c r="AE170" s="37"/>
      <c r="AF170" s="86">
        <f>tbl_estimated_costs_quantities[[#This Row],[Windows Replacement Repair]]*BOQs!$L$10</f>
        <v>0</v>
      </c>
      <c r="AG170" s="76"/>
      <c r="AH170" s="37"/>
      <c r="AI170" s="86">
        <f>tbl_estimated_costs_quantities[[#This Row],[Bathroom Rehabilitation]]*BOQs!$L$11</f>
        <v>0</v>
      </c>
      <c r="AJ170" s="76"/>
      <c r="AK170" s="37"/>
      <c r="AL170" s="86">
        <f>tbl_estimated_costs_quantities[[#This Row],[Ceramic Tile Works WASH]]*BOQs!$L$12</f>
        <v>0</v>
      </c>
      <c r="AM170" s="76"/>
      <c r="AN170" s="37"/>
      <c r="AO170" s="86">
        <f>tbl_estimated_costs_quantities[[#This Row],[Electrical Repairs Lighting]]*BOQs!$L$13</f>
        <v>0</v>
      </c>
      <c r="AP170" s="76"/>
      <c r="AQ170" s="37"/>
      <c r="AR170" s="86">
        <f>tbl_estimated_costs_quantities[[#This Row],[Roof Insulation Leak Sealing]]*BOQs!$L$14</f>
        <v>0</v>
      </c>
      <c r="AS170" s="76"/>
      <c r="AT170" s="37"/>
      <c r="AU170" s="86">
        <f>tbl_estimated_costs_quantities[[#This Row],[Chimney Duct Cleaning Repair]]*BOQs!$L$15</f>
        <v>0</v>
      </c>
      <c r="AV170" s="76"/>
      <c r="AW170" s="37"/>
      <c r="AX170" s="89">
        <f>tbl_estimated_costs_quantities[[#This Row],[Accessibility Adaptations]]*BOQs!$L$16</f>
        <v>0</v>
      </c>
      <c r="AY170" s="86" t="str">
        <f>IF(tbl_estimated_costs_quantities[[#This Row],[Total cost]]&lt;&gt;0,tbl_estimated_costs_quantities[[#This Row],[Total cost]]/BOQs!$A$1,"")</f>
        <v/>
      </c>
      <c r="AZ170" s="37"/>
      <c r="BA170" s="37"/>
      <c r="BB170" s="37"/>
      <c r="BC170" s="37"/>
      <c r="BD170" s="41"/>
      <c r="BE170" s="37"/>
      <c r="BF170" s="37"/>
      <c r="BG170" s="37"/>
      <c r="BH170" s="41"/>
    </row>
    <row r="171" spans="2:60" ht="25.15" customHeight="1" x14ac:dyDescent="0.25">
      <c r="B171" s="49">
        <v>167</v>
      </c>
      <c r="C171" s="37"/>
      <c r="D171" s="41"/>
      <c r="E171" s="40"/>
      <c r="F171" s="87" t="str">
        <f>IF(tbl_estimated_costs_quantities[[#This Row],[House Code]]&lt;&gt;"",INDEX(tbl_Assessment[],MATCH(tbl_estimated_costs_quantities[[#This Row],[House Code]],tbl_Assessment[House Code],0),3),"")</f>
        <v/>
      </c>
      <c r="G171" s="115" t="str">
        <f>IF(tbl_estimated_costs_quantities[[#This Row],[House Code]]&lt;&gt;"",INDEX(tbl_Assessment[],MATCH(tbl_estimated_costs_quantities[[#This Row],[House Code]],tbl_Assessment[House Code],0),9),"")</f>
        <v/>
      </c>
      <c r="H17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1" s="75"/>
      <c r="J171" s="37"/>
      <c r="K171" s="86">
        <f>tbl_estimated_costs_quantities[[#This Row],[Site Preparation]]*BOQs!$L$3</f>
        <v>0</v>
      </c>
      <c r="L171" s="76"/>
      <c r="M171" s="37"/>
      <c r="N171" s="86">
        <f>tbl_estimated_costs_quantities[[#This Row],[Demolition Removal Unsafe Structures]]*BOQs!$L$4</f>
        <v>0</v>
      </c>
      <c r="O171" s="76"/>
      <c r="P171" s="37"/>
      <c r="Q171" s="86">
        <f>tbl_estimated_costs_quantities[[#This Row],[Concrete Works]]*BOQs!$L$5</f>
        <v>0</v>
      </c>
      <c r="R171" s="76"/>
      <c r="S171" s="37"/>
      <c r="T171" s="86">
        <f>tbl_estimated_costs_quantities[[#This Row],[Closure External Openings Walls Windows]]*BOQs!$L$6</f>
        <v>0</v>
      </c>
      <c r="U171" s="76"/>
      <c r="V171" s="37"/>
      <c r="W171" s="86">
        <f>tbl_estimated_costs_quantities[[#This Row],[Plastering Painting]]*BOQs!$L$7</f>
        <v>0</v>
      </c>
      <c r="X171" s="76"/>
      <c r="Y171" s="37"/>
      <c r="Z171" s="86">
        <f>tbl_estimated_costs_quantities[[#This Row],[Floor Repairs]]*BOQs!$L$8</f>
        <v>0</v>
      </c>
      <c r="AA171" s="76"/>
      <c r="AB171" s="37"/>
      <c r="AC171" s="86">
        <f>tbl_estimated_costs_quantities[[#This Row],[Doors Replacement Repair]]*BOQs!$L$9</f>
        <v>0</v>
      </c>
      <c r="AD171" s="76"/>
      <c r="AE171" s="37"/>
      <c r="AF171" s="86">
        <f>tbl_estimated_costs_quantities[[#This Row],[Windows Replacement Repair]]*BOQs!$L$10</f>
        <v>0</v>
      </c>
      <c r="AG171" s="76"/>
      <c r="AH171" s="37"/>
      <c r="AI171" s="86">
        <f>tbl_estimated_costs_quantities[[#This Row],[Bathroom Rehabilitation]]*BOQs!$L$11</f>
        <v>0</v>
      </c>
      <c r="AJ171" s="76"/>
      <c r="AK171" s="37"/>
      <c r="AL171" s="86">
        <f>tbl_estimated_costs_quantities[[#This Row],[Ceramic Tile Works WASH]]*BOQs!$L$12</f>
        <v>0</v>
      </c>
      <c r="AM171" s="76"/>
      <c r="AN171" s="37"/>
      <c r="AO171" s="86">
        <f>tbl_estimated_costs_quantities[[#This Row],[Electrical Repairs Lighting]]*BOQs!$L$13</f>
        <v>0</v>
      </c>
      <c r="AP171" s="76"/>
      <c r="AQ171" s="37"/>
      <c r="AR171" s="86">
        <f>tbl_estimated_costs_quantities[[#This Row],[Roof Insulation Leak Sealing]]*BOQs!$L$14</f>
        <v>0</v>
      </c>
      <c r="AS171" s="76"/>
      <c r="AT171" s="37"/>
      <c r="AU171" s="86">
        <f>tbl_estimated_costs_quantities[[#This Row],[Chimney Duct Cleaning Repair]]*BOQs!$L$15</f>
        <v>0</v>
      </c>
      <c r="AV171" s="76"/>
      <c r="AW171" s="37"/>
      <c r="AX171" s="89">
        <f>tbl_estimated_costs_quantities[[#This Row],[Accessibility Adaptations]]*BOQs!$L$16</f>
        <v>0</v>
      </c>
      <c r="AY171" s="86" t="str">
        <f>IF(tbl_estimated_costs_quantities[[#This Row],[Total cost]]&lt;&gt;0,tbl_estimated_costs_quantities[[#This Row],[Total cost]]/BOQs!$A$1,"")</f>
        <v/>
      </c>
      <c r="AZ171" s="37"/>
      <c r="BA171" s="37"/>
      <c r="BB171" s="37"/>
      <c r="BC171" s="37"/>
      <c r="BD171" s="41"/>
      <c r="BE171" s="37"/>
      <c r="BF171" s="37"/>
      <c r="BG171" s="37"/>
      <c r="BH171" s="41"/>
    </row>
    <row r="172" spans="2:60" ht="25.15" customHeight="1" x14ac:dyDescent="0.25">
      <c r="B172" s="49">
        <v>168</v>
      </c>
      <c r="C172" s="37"/>
      <c r="D172" s="41"/>
      <c r="E172" s="40"/>
      <c r="F172" s="87" t="str">
        <f>IF(tbl_estimated_costs_quantities[[#This Row],[House Code]]&lt;&gt;"",INDEX(tbl_Assessment[],MATCH(tbl_estimated_costs_quantities[[#This Row],[House Code]],tbl_Assessment[House Code],0),3),"")</f>
        <v/>
      </c>
      <c r="G172" s="115" t="str">
        <f>IF(tbl_estimated_costs_quantities[[#This Row],[House Code]]&lt;&gt;"",INDEX(tbl_Assessment[],MATCH(tbl_estimated_costs_quantities[[#This Row],[House Code]],tbl_Assessment[House Code],0),9),"")</f>
        <v/>
      </c>
      <c r="H17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2" s="75"/>
      <c r="J172" s="37"/>
      <c r="K172" s="86">
        <f>tbl_estimated_costs_quantities[[#This Row],[Site Preparation]]*BOQs!$L$3</f>
        <v>0</v>
      </c>
      <c r="L172" s="76"/>
      <c r="M172" s="37"/>
      <c r="N172" s="86">
        <f>tbl_estimated_costs_quantities[[#This Row],[Demolition Removal Unsafe Structures]]*BOQs!$L$4</f>
        <v>0</v>
      </c>
      <c r="O172" s="76"/>
      <c r="P172" s="37"/>
      <c r="Q172" s="86">
        <f>tbl_estimated_costs_quantities[[#This Row],[Concrete Works]]*BOQs!$L$5</f>
        <v>0</v>
      </c>
      <c r="R172" s="76"/>
      <c r="S172" s="37"/>
      <c r="T172" s="86">
        <f>tbl_estimated_costs_quantities[[#This Row],[Closure External Openings Walls Windows]]*BOQs!$L$6</f>
        <v>0</v>
      </c>
      <c r="U172" s="76"/>
      <c r="V172" s="37"/>
      <c r="W172" s="86">
        <f>tbl_estimated_costs_quantities[[#This Row],[Plastering Painting]]*BOQs!$L$7</f>
        <v>0</v>
      </c>
      <c r="X172" s="76"/>
      <c r="Y172" s="37"/>
      <c r="Z172" s="86">
        <f>tbl_estimated_costs_quantities[[#This Row],[Floor Repairs]]*BOQs!$L$8</f>
        <v>0</v>
      </c>
      <c r="AA172" s="76"/>
      <c r="AB172" s="37"/>
      <c r="AC172" s="86">
        <f>tbl_estimated_costs_quantities[[#This Row],[Doors Replacement Repair]]*BOQs!$L$9</f>
        <v>0</v>
      </c>
      <c r="AD172" s="76"/>
      <c r="AE172" s="37"/>
      <c r="AF172" s="86">
        <f>tbl_estimated_costs_quantities[[#This Row],[Windows Replacement Repair]]*BOQs!$L$10</f>
        <v>0</v>
      </c>
      <c r="AG172" s="76"/>
      <c r="AH172" s="37"/>
      <c r="AI172" s="86">
        <f>tbl_estimated_costs_quantities[[#This Row],[Bathroom Rehabilitation]]*BOQs!$L$11</f>
        <v>0</v>
      </c>
      <c r="AJ172" s="76"/>
      <c r="AK172" s="37"/>
      <c r="AL172" s="86">
        <f>tbl_estimated_costs_quantities[[#This Row],[Ceramic Tile Works WASH]]*BOQs!$L$12</f>
        <v>0</v>
      </c>
      <c r="AM172" s="76"/>
      <c r="AN172" s="37"/>
      <c r="AO172" s="86">
        <f>tbl_estimated_costs_quantities[[#This Row],[Electrical Repairs Lighting]]*BOQs!$L$13</f>
        <v>0</v>
      </c>
      <c r="AP172" s="76"/>
      <c r="AQ172" s="37"/>
      <c r="AR172" s="86">
        <f>tbl_estimated_costs_quantities[[#This Row],[Roof Insulation Leak Sealing]]*BOQs!$L$14</f>
        <v>0</v>
      </c>
      <c r="AS172" s="76"/>
      <c r="AT172" s="37"/>
      <c r="AU172" s="86">
        <f>tbl_estimated_costs_quantities[[#This Row],[Chimney Duct Cleaning Repair]]*BOQs!$L$15</f>
        <v>0</v>
      </c>
      <c r="AV172" s="76"/>
      <c r="AW172" s="37"/>
      <c r="AX172" s="89">
        <f>tbl_estimated_costs_quantities[[#This Row],[Accessibility Adaptations]]*BOQs!$L$16</f>
        <v>0</v>
      </c>
      <c r="AY172" s="86" t="str">
        <f>IF(tbl_estimated_costs_quantities[[#This Row],[Total cost]]&lt;&gt;0,tbl_estimated_costs_quantities[[#This Row],[Total cost]]/BOQs!$A$1,"")</f>
        <v/>
      </c>
      <c r="AZ172" s="37"/>
      <c r="BA172" s="37"/>
      <c r="BB172" s="37"/>
      <c r="BC172" s="37"/>
      <c r="BD172" s="41"/>
      <c r="BE172" s="37"/>
      <c r="BF172" s="37"/>
      <c r="BG172" s="37"/>
      <c r="BH172" s="41"/>
    </row>
    <row r="173" spans="2:60" ht="25.15" customHeight="1" x14ac:dyDescent="0.25">
      <c r="B173" s="49">
        <v>169</v>
      </c>
      <c r="C173" s="37"/>
      <c r="D173" s="41"/>
      <c r="E173" s="40"/>
      <c r="F173" s="87" t="str">
        <f>IF(tbl_estimated_costs_quantities[[#This Row],[House Code]]&lt;&gt;"",INDEX(tbl_Assessment[],MATCH(tbl_estimated_costs_quantities[[#This Row],[House Code]],tbl_Assessment[House Code],0),3),"")</f>
        <v/>
      </c>
      <c r="G173" s="115" t="str">
        <f>IF(tbl_estimated_costs_quantities[[#This Row],[House Code]]&lt;&gt;"",INDEX(tbl_Assessment[],MATCH(tbl_estimated_costs_quantities[[#This Row],[House Code]],tbl_Assessment[House Code],0),9),"")</f>
        <v/>
      </c>
      <c r="H17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3" s="75"/>
      <c r="J173" s="37"/>
      <c r="K173" s="86">
        <f>tbl_estimated_costs_quantities[[#This Row],[Site Preparation]]*BOQs!$L$3</f>
        <v>0</v>
      </c>
      <c r="L173" s="76"/>
      <c r="M173" s="37"/>
      <c r="N173" s="86">
        <f>tbl_estimated_costs_quantities[[#This Row],[Demolition Removal Unsafe Structures]]*BOQs!$L$4</f>
        <v>0</v>
      </c>
      <c r="O173" s="76"/>
      <c r="P173" s="37"/>
      <c r="Q173" s="86">
        <f>tbl_estimated_costs_quantities[[#This Row],[Concrete Works]]*BOQs!$L$5</f>
        <v>0</v>
      </c>
      <c r="R173" s="76"/>
      <c r="S173" s="37"/>
      <c r="T173" s="86">
        <f>tbl_estimated_costs_quantities[[#This Row],[Closure External Openings Walls Windows]]*BOQs!$L$6</f>
        <v>0</v>
      </c>
      <c r="U173" s="76"/>
      <c r="V173" s="37"/>
      <c r="W173" s="86">
        <f>tbl_estimated_costs_quantities[[#This Row],[Plastering Painting]]*BOQs!$L$7</f>
        <v>0</v>
      </c>
      <c r="X173" s="76"/>
      <c r="Y173" s="37"/>
      <c r="Z173" s="86">
        <f>tbl_estimated_costs_quantities[[#This Row],[Floor Repairs]]*BOQs!$L$8</f>
        <v>0</v>
      </c>
      <c r="AA173" s="76"/>
      <c r="AB173" s="37"/>
      <c r="AC173" s="86">
        <f>tbl_estimated_costs_quantities[[#This Row],[Doors Replacement Repair]]*BOQs!$L$9</f>
        <v>0</v>
      </c>
      <c r="AD173" s="76"/>
      <c r="AE173" s="37"/>
      <c r="AF173" s="86">
        <f>tbl_estimated_costs_quantities[[#This Row],[Windows Replacement Repair]]*BOQs!$L$10</f>
        <v>0</v>
      </c>
      <c r="AG173" s="76"/>
      <c r="AH173" s="37"/>
      <c r="AI173" s="86">
        <f>tbl_estimated_costs_quantities[[#This Row],[Bathroom Rehabilitation]]*BOQs!$L$11</f>
        <v>0</v>
      </c>
      <c r="AJ173" s="76"/>
      <c r="AK173" s="37"/>
      <c r="AL173" s="86">
        <f>tbl_estimated_costs_quantities[[#This Row],[Ceramic Tile Works WASH]]*BOQs!$L$12</f>
        <v>0</v>
      </c>
      <c r="AM173" s="76"/>
      <c r="AN173" s="37"/>
      <c r="AO173" s="86">
        <f>tbl_estimated_costs_quantities[[#This Row],[Electrical Repairs Lighting]]*BOQs!$L$13</f>
        <v>0</v>
      </c>
      <c r="AP173" s="76"/>
      <c r="AQ173" s="37"/>
      <c r="AR173" s="86">
        <f>tbl_estimated_costs_quantities[[#This Row],[Roof Insulation Leak Sealing]]*BOQs!$L$14</f>
        <v>0</v>
      </c>
      <c r="AS173" s="76"/>
      <c r="AT173" s="37"/>
      <c r="AU173" s="86">
        <f>tbl_estimated_costs_quantities[[#This Row],[Chimney Duct Cleaning Repair]]*BOQs!$L$15</f>
        <v>0</v>
      </c>
      <c r="AV173" s="76"/>
      <c r="AW173" s="37"/>
      <c r="AX173" s="89">
        <f>tbl_estimated_costs_quantities[[#This Row],[Accessibility Adaptations]]*BOQs!$L$16</f>
        <v>0</v>
      </c>
      <c r="AY173" s="86" t="str">
        <f>IF(tbl_estimated_costs_quantities[[#This Row],[Total cost]]&lt;&gt;0,tbl_estimated_costs_quantities[[#This Row],[Total cost]]/BOQs!$A$1,"")</f>
        <v/>
      </c>
      <c r="AZ173" s="37"/>
      <c r="BA173" s="37"/>
      <c r="BB173" s="37"/>
      <c r="BC173" s="37"/>
      <c r="BD173" s="41"/>
      <c r="BE173" s="37"/>
      <c r="BF173" s="37"/>
      <c r="BG173" s="37"/>
      <c r="BH173" s="41"/>
    </row>
    <row r="174" spans="2:60" ht="25.15" customHeight="1" x14ac:dyDescent="0.25">
      <c r="B174" s="49">
        <v>170</v>
      </c>
      <c r="C174" s="37"/>
      <c r="D174" s="41"/>
      <c r="E174" s="40"/>
      <c r="F174" s="87" t="str">
        <f>IF(tbl_estimated_costs_quantities[[#This Row],[House Code]]&lt;&gt;"",INDEX(tbl_Assessment[],MATCH(tbl_estimated_costs_quantities[[#This Row],[House Code]],tbl_Assessment[House Code],0),3),"")</f>
        <v/>
      </c>
      <c r="G174" s="115" t="str">
        <f>IF(tbl_estimated_costs_quantities[[#This Row],[House Code]]&lt;&gt;"",INDEX(tbl_Assessment[],MATCH(tbl_estimated_costs_quantities[[#This Row],[House Code]],tbl_Assessment[House Code],0),9),"")</f>
        <v/>
      </c>
      <c r="H17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4" s="75"/>
      <c r="J174" s="37"/>
      <c r="K174" s="86">
        <f>tbl_estimated_costs_quantities[[#This Row],[Site Preparation]]*BOQs!$L$3</f>
        <v>0</v>
      </c>
      <c r="L174" s="76"/>
      <c r="M174" s="37"/>
      <c r="N174" s="86">
        <f>tbl_estimated_costs_quantities[[#This Row],[Demolition Removal Unsafe Structures]]*BOQs!$L$4</f>
        <v>0</v>
      </c>
      <c r="O174" s="76"/>
      <c r="P174" s="37"/>
      <c r="Q174" s="86">
        <f>tbl_estimated_costs_quantities[[#This Row],[Concrete Works]]*BOQs!$L$5</f>
        <v>0</v>
      </c>
      <c r="R174" s="76"/>
      <c r="S174" s="37"/>
      <c r="T174" s="86">
        <f>tbl_estimated_costs_quantities[[#This Row],[Closure External Openings Walls Windows]]*BOQs!$L$6</f>
        <v>0</v>
      </c>
      <c r="U174" s="76"/>
      <c r="V174" s="37"/>
      <c r="W174" s="86">
        <f>tbl_estimated_costs_quantities[[#This Row],[Plastering Painting]]*BOQs!$L$7</f>
        <v>0</v>
      </c>
      <c r="X174" s="76"/>
      <c r="Y174" s="37"/>
      <c r="Z174" s="86">
        <f>tbl_estimated_costs_quantities[[#This Row],[Floor Repairs]]*BOQs!$L$8</f>
        <v>0</v>
      </c>
      <c r="AA174" s="76"/>
      <c r="AB174" s="37"/>
      <c r="AC174" s="86">
        <f>tbl_estimated_costs_quantities[[#This Row],[Doors Replacement Repair]]*BOQs!$L$9</f>
        <v>0</v>
      </c>
      <c r="AD174" s="76"/>
      <c r="AE174" s="37"/>
      <c r="AF174" s="86">
        <f>tbl_estimated_costs_quantities[[#This Row],[Windows Replacement Repair]]*BOQs!$L$10</f>
        <v>0</v>
      </c>
      <c r="AG174" s="76"/>
      <c r="AH174" s="37"/>
      <c r="AI174" s="86">
        <f>tbl_estimated_costs_quantities[[#This Row],[Bathroom Rehabilitation]]*BOQs!$L$11</f>
        <v>0</v>
      </c>
      <c r="AJ174" s="76"/>
      <c r="AK174" s="37"/>
      <c r="AL174" s="86">
        <f>tbl_estimated_costs_quantities[[#This Row],[Ceramic Tile Works WASH]]*BOQs!$L$12</f>
        <v>0</v>
      </c>
      <c r="AM174" s="76"/>
      <c r="AN174" s="37"/>
      <c r="AO174" s="86">
        <f>tbl_estimated_costs_quantities[[#This Row],[Electrical Repairs Lighting]]*BOQs!$L$13</f>
        <v>0</v>
      </c>
      <c r="AP174" s="76"/>
      <c r="AQ174" s="37"/>
      <c r="AR174" s="86">
        <f>tbl_estimated_costs_quantities[[#This Row],[Roof Insulation Leak Sealing]]*BOQs!$L$14</f>
        <v>0</v>
      </c>
      <c r="AS174" s="76"/>
      <c r="AT174" s="37"/>
      <c r="AU174" s="86">
        <f>tbl_estimated_costs_quantities[[#This Row],[Chimney Duct Cleaning Repair]]*BOQs!$L$15</f>
        <v>0</v>
      </c>
      <c r="AV174" s="76"/>
      <c r="AW174" s="37"/>
      <c r="AX174" s="89">
        <f>tbl_estimated_costs_quantities[[#This Row],[Accessibility Adaptations]]*BOQs!$L$16</f>
        <v>0</v>
      </c>
      <c r="AY174" s="86" t="str">
        <f>IF(tbl_estimated_costs_quantities[[#This Row],[Total cost]]&lt;&gt;0,tbl_estimated_costs_quantities[[#This Row],[Total cost]]/BOQs!$A$1,"")</f>
        <v/>
      </c>
      <c r="AZ174" s="37"/>
      <c r="BA174" s="37"/>
      <c r="BB174" s="37"/>
      <c r="BC174" s="37"/>
      <c r="BD174" s="41"/>
      <c r="BE174" s="37"/>
      <c r="BF174" s="37"/>
      <c r="BG174" s="37"/>
      <c r="BH174" s="41"/>
    </row>
    <row r="175" spans="2:60" ht="25.15" customHeight="1" x14ac:dyDescent="0.25">
      <c r="B175" s="49">
        <v>171</v>
      </c>
      <c r="C175" s="37"/>
      <c r="D175" s="41"/>
      <c r="E175" s="40"/>
      <c r="F175" s="87" t="str">
        <f>IF(tbl_estimated_costs_quantities[[#This Row],[House Code]]&lt;&gt;"",INDEX(tbl_Assessment[],MATCH(tbl_estimated_costs_quantities[[#This Row],[House Code]],tbl_Assessment[House Code],0),3),"")</f>
        <v/>
      </c>
      <c r="G175" s="115" t="str">
        <f>IF(tbl_estimated_costs_quantities[[#This Row],[House Code]]&lt;&gt;"",INDEX(tbl_Assessment[],MATCH(tbl_estimated_costs_quantities[[#This Row],[House Code]],tbl_Assessment[House Code],0),9),"")</f>
        <v/>
      </c>
      <c r="H17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5" s="75"/>
      <c r="J175" s="37"/>
      <c r="K175" s="86">
        <f>tbl_estimated_costs_quantities[[#This Row],[Site Preparation]]*BOQs!$L$3</f>
        <v>0</v>
      </c>
      <c r="L175" s="76"/>
      <c r="M175" s="37"/>
      <c r="N175" s="86">
        <f>tbl_estimated_costs_quantities[[#This Row],[Demolition Removal Unsafe Structures]]*BOQs!$L$4</f>
        <v>0</v>
      </c>
      <c r="O175" s="76"/>
      <c r="P175" s="37"/>
      <c r="Q175" s="86">
        <f>tbl_estimated_costs_quantities[[#This Row],[Concrete Works]]*BOQs!$L$5</f>
        <v>0</v>
      </c>
      <c r="R175" s="76"/>
      <c r="S175" s="37"/>
      <c r="T175" s="86">
        <f>tbl_estimated_costs_quantities[[#This Row],[Closure External Openings Walls Windows]]*BOQs!$L$6</f>
        <v>0</v>
      </c>
      <c r="U175" s="76"/>
      <c r="V175" s="37"/>
      <c r="W175" s="86">
        <f>tbl_estimated_costs_quantities[[#This Row],[Plastering Painting]]*BOQs!$L$7</f>
        <v>0</v>
      </c>
      <c r="X175" s="76"/>
      <c r="Y175" s="37"/>
      <c r="Z175" s="86">
        <f>tbl_estimated_costs_quantities[[#This Row],[Floor Repairs]]*BOQs!$L$8</f>
        <v>0</v>
      </c>
      <c r="AA175" s="76"/>
      <c r="AB175" s="37"/>
      <c r="AC175" s="86">
        <f>tbl_estimated_costs_quantities[[#This Row],[Doors Replacement Repair]]*BOQs!$L$9</f>
        <v>0</v>
      </c>
      <c r="AD175" s="76"/>
      <c r="AE175" s="37"/>
      <c r="AF175" s="86">
        <f>tbl_estimated_costs_quantities[[#This Row],[Windows Replacement Repair]]*BOQs!$L$10</f>
        <v>0</v>
      </c>
      <c r="AG175" s="76"/>
      <c r="AH175" s="37"/>
      <c r="AI175" s="86">
        <f>tbl_estimated_costs_quantities[[#This Row],[Bathroom Rehabilitation]]*BOQs!$L$11</f>
        <v>0</v>
      </c>
      <c r="AJ175" s="76"/>
      <c r="AK175" s="37"/>
      <c r="AL175" s="86">
        <f>tbl_estimated_costs_quantities[[#This Row],[Ceramic Tile Works WASH]]*BOQs!$L$12</f>
        <v>0</v>
      </c>
      <c r="AM175" s="76"/>
      <c r="AN175" s="37"/>
      <c r="AO175" s="86">
        <f>tbl_estimated_costs_quantities[[#This Row],[Electrical Repairs Lighting]]*BOQs!$L$13</f>
        <v>0</v>
      </c>
      <c r="AP175" s="76"/>
      <c r="AQ175" s="37"/>
      <c r="AR175" s="86">
        <f>tbl_estimated_costs_quantities[[#This Row],[Roof Insulation Leak Sealing]]*BOQs!$L$14</f>
        <v>0</v>
      </c>
      <c r="AS175" s="76"/>
      <c r="AT175" s="37"/>
      <c r="AU175" s="86">
        <f>tbl_estimated_costs_quantities[[#This Row],[Chimney Duct Cleaning Repair]]*BOQs!$L$15</f>
        <v>0</v>
      </c>
      <c r="AV175" s="76"/>
      <c r="AW175" s="37"/>
      <c r="AX175" s="89">
        <f>tbl_estimated_costs_quantities[[#This Row],[Accessibility Adaptations]]*BOQs!$L$16</f>
        <v>0</v>
      </c>
      <c r="AY175" s="86" t="str">
        <f>IF(tbl_estimated_costs_quantities[[#This Row],[Total cost]]&lt;&gt;0,tbl_estimated_costs_quantities[[#This Row],[Total cost]]/BOQs!$A$1,"")</f>
        <v/>
      </c>
      <c r="AZ175" s="37"/>
      <c r="BA175" s="37"/>
      <c r="BB175" s="37"/>
      <c r="BC175" s="37"/>
      <c r="BD175" s="41"/>
      <c r="BE175" s="37"/>
      <c r="BF175" s="37"/>
      <c r="BG175" s="37"/>
      <c r="BH175" s="41"/>
    </row>
    <row r="176" spans="2:60" ht="25.15" customHeight="1" x14ac:dyDescent="0.25">
      <c r="B176" s="49">
        <v>172</v>
      </c>
      <c r="C176" s="37"/>
      <c r="D176" s="41"/>
      <c r="E176" s="40"/>
      <c r="F176" s="87" t="str">
        <f>IF(tbl_estimated_costs_quantities[[#This Row],[House Code]]&lt;&gt;"",INDEX(tbl_Assessment[],MATCH(tbl_estimated_costs_quantities[[#This Row],[House Code]],tbl_Assessment[House Code],0),3),"")</f>
        <v/>
      </c>
      <c r="G176" s="115" t="str">
        <f>IF(tbl_estimated_costs_quantities[[#This Row],[House Code]]&lt;&gt;"",INDEX(tbl_Assessment[],MATCH(tbl_estimated_costs_quantities[[#This Row],[House Code]],tbl_Assessment[House Code],0),9),"")</f>
        <v/>
      </c>
      <c r="H17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6" s="75"/>
      <c r="J176" s="37"/>
      <c r="K176" s="86">
        <f>tbl_estimated_costs_quantities[[#This Row],[Site Preparation]]*BOQs!$L$3</f>
        <v>0</v>
      </c>
      <c r="L176" s="76"/>
      <c r="M176" s="37"/>
      <c r="N176" s="86">
        <f>tbl_estimated_costs_quantities[[#This Row],[Demolition Removal Unsafe Structures]]*BOQs!$L$4</f>
        <v>0</v>
      </c>
      <c r="O176" s="76"/>
      <c r="P176" s="37"/>
      <c r="Q176" s="86">
        <f>tbl_estimated_costs_quantities[[#This Row],[Concrete Works]]*BOQs!$L$5</f>
        <v>0</v>
      </c>
      <c r="R176" s="76"/>
      <c r="S176" s="37"/>
      <c r="T176" s="86">
        <f>tbl_estimated_costs_quantities[[#This Row],[Closure External Openings Walls Windows]]*BOQs!$L$6</f>
        <v>0</v>
      </c>
      <c r="U176" s="76"/>
      <c r="V176" s="37"/>
      <c r="W176" s="86">
        <f>tbl_estimated_costs_quantities[[#This Row],[Plastering Painting]]*BOQs!$L$7</f>
        <v>0</v>
      </c>
      <c r="X176" s="76"/>
      <c r="Y176" s="37"/>
      <c r="Z176" s="86">
        <f>tbl_estimated_costs_quantities[[#This Row],[Floor Repairs]]*BOQs!$L$8</f>
        <v>0</v>
      </c>
      <c r="AA176" s="76"/>
      <c r="AB176" s="37"/>
      <c r="AC176" s="86">
        <f>tbl_estimated_costs_quantities[[#This Row],[Doors Replacement Repair]]*BOQs!$L$9</f>
        <v>0</v>
      </c>
      <c r="AD176" s="76"/>
      <c r="AE176" s="37"/>
      <c r="AF176" s="86">
        <f>tbl_estimated_costs_quantities[[#This Row],[Windows Replacement Repair]]*BOQs!$L$10</f>
        <v>0</v>
      </c>
      <c r="AG176" s="76"/>
      <c r="AH176" s="37"/>
      <c r="AI176" s="86">
        <f>tbl_estimated_costs_quantities[[#This Row],[Bathroom Rehabilitation]]*BOQs!$L$11</f>
        <v>0</v>
      </c>
      <c r="AJ176" s="76"/>
      <c r="AK176" s="37"/>
      <c r="AL176" s="86">
        <f>tbl_estimated_costs_quantities[[#This Row],[Ceramic Tile Works WASH]]*BOQs!$L$12</f>
        <v>0</v>
      </c>
      <c r="AM176" s="76"/>
      <c r="AN176" s="37"/>
      <c r="AO176" s="86">
        <f>tbl_estimated_costs_quantities[[#This Row],[Electrical Repairs Lighting]]*BOQs!$L$13</f>
        <v>0</v>
      </c>
      <c r="AP176" s="76"/>
      <c r="AQ176" s="37"/>
      <c r="AR176" s="86">
        <f>tbl_estimated_costs_quantities[[#This Row],[Roof Insulation Leak Sealing]]*BOQs!$L$14</f>
        <v>0</v>
      </c>
      <c r="AS176" s="76"/>
      <c r="AT176" s="37"/>
      <c r="AU176" s="86">
        <f>tbl_estimated_costs_quantities[[#This Row],[Chimney Duct Cleaning Repair]]*BOQs!$L$15</f>
        <v>0</v>
      </c>
      <c r="AV176" s="76"/>
      <c r="AW176" s="37"/>
      <c r="AX176" s="89">
        <f>tbl_estimated_costs_quantities[[#This Row],[Accessibility Adaptations]]*BOQs!$L$16</f>
        <v>0</v>
      </c>
      <c r="AY176" s="86" t="str">
        <f>IF(tbl_estimated_costs_quantities[[#This Row],[Total cost]]&lt;&gt;0,tbl_estimated_costs_quantities[[#This Row],[Total cost]]/BOQs!$A$1,"")</f>
        <v/>
      </c>
      <c r="AZ176" s="37"/>
      <c r="BA176" s="37"/>
      <c r="BB176" s="37"/>
      <c r="BC176" s="37"/>
      <c r="BD176" s="41"/>
      <c r="BE176" s="37"/>
      <c r="BF176" s="37"/>
      <c r="BG176" s="37"/>
      <c r="BH176" s="41"/>
    </row>
    <row r="177" spans="2:60" ht="25.15" customHeight="1" x14ac:dyDescent="0.25">
      <c r="B177" s="49">
        <v>173</v>
      </c>
      <c r="C177" s="37"/>
      <c r="D177" s="41"/>
      <c r="E177" s="40"/>
      <c r="F177" s="87" t="str">
        <f>IF(tbl_estimated_costs_quantities[[#This Row],[House Code]]&lt;&gt;"",INDEX(tbl_Assessment[],MATCH(tbl_estimated_costs_quantities[[#This Row],[House Code]],tbl_Assessment[House Code],0),3),"")</f>
        <v/>
      </c>
      <c r="G177" s="115" t="str">
        <f>IF(tbl_estimated_costs_quantities[[#This Row],[House Code]]&lt;&gt;"",INDEX(tbl_Assessment[],MATCH(tbl_estimated_costs_quantities[[#This Row],[House Code]],tbl_Assessment[House Code],0),9),"")</f>
        <v/>
      </c>
      <c r="H17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7" s="75"/>
      <c r="J177" s="37"/>
      <c r="K177" s="86">
        <f>tbl_estimated_costs_quantities[[#This Row],[Site Preparation]]*BOQs!$L$3</f>
        <v>0</v>
      </c>
      <c r="L177" s="76"/>
      <c r="M177" s="37"/>
      <c r="N177" s="86">
        <f>tbl_estimated_costs_quantities[[#This Row],[Demolition Removal Unsafe Structures]]*BOQs!$L$4</f>
        <v>0</v>
      </c>
      <c r="O177" s="76"/>
      <c r="P177" s="37"/>
      <c r="Q177" s="86">
        <f>tbl_estimated_costs_quantities[[#This Row],[Concrete Works]]*BOQs!$L$5</f>
        <v>0</v>
      </c>
      <c r="R177" s="76"/>
      <c r="S177" s="37"/>
      <c r="T177" s="86">
        <f>tbl_estimated_costs_quantities[[#This Row],[Closure External Openings Walls Windows]]*BOQs!$L$6</f>
        <v>0</v>
      </c>
      <c r="U177" s="76"/>
      <c r="V177" s="37"/>
      <c r="W177" s="86">
        <f>tbl_estimated_costs_quantities[[#This Row],[Plastering Painting]]*BOQs!$L$7</f>
        <v>0</v>
      </c>
      <c r="X177" s="76"/>
      <c r="Y177" s="37"/>
      <c r="Z177" s="86">
        <f>tbl_estimated_costs_quantities[[#This Row],[Floor Repairs]]*BOQs!$L$8</f>
        <v>0</v>
      </c>
      <c r="AA177" s="76"/>
      <c r="AB177" s="37"/>
      <c r="AC177" s="86">
        <f>tbl_estimated_costs_quantities[[#This Row],[Doors Replacement Repair]]*BOQs!$L$9</f>
        <v>0</v>
      </c>
      <c r="AD177" s="76"/>
      <c r="AE177" s="37"/>
      <c r="AF177" s="86">
        <f>tbl_estimated_costs_quantities[[#This Row],[Windows Replacement Repair]]*BOQs!$L$10</f>
        <v>0</v>
      </c>
      <c r="AG177" s="76"/>
      <c r="AH177" s="37"/>
      <c r="AI177" s="86">
        <f>tbl_estimated_costs_quantities[[#This Row],[Bathroom Rehabilitation]]*BOQs!$L$11</f>
        <v>0</v>
      </c>
      <c r="AJ177" s="76"/>
      <c r="AK177" s="37"/>
      <c r="AL177" s="86">
        <f>tbl_estimated_costs_quantities[[#This Row],[Ceramic Tile Works WASH]]*BOQs!$L$12</f>
        <v>0</v>
      </c>
      <c r="AM177" s="76"/>
      <c r="AN177" s="37"/>
      <c r="AO177" s="86">
        <f>tbl_estimated_costs_quantities[[#This Row],[Electrical Repairs Lighting]]*BOQs!$L$13</f>
        <v>0</v>
      </c>
      <c r="AP177" s="76"/>
      <c r="AQ177" s="37"/>
      <c r="AR177" s="86">
        <f>tbl_estimated_costs_quantities[[#This Row],[Roof Insulation Leak Sealing]]*BOQs!$L$14</f>
        <v>0</v>
      </c>
      <c r="AS177" s="76"/>
      <c r="AT177" s="37"/>
      <c r="AU177" s="86">
        <f>tbl_estimated_costs_quantities[[#This Row],[Chimney Duct Cleaning Repair]]*BOQs!$L$15</f>
        <v>0</v>
      </c>
      <c r="AV177" s="76"/>
      <c r="AW177" s="37"/>
      <c r="AX177" s="89">
        <f>tbl_estimated_costs_quantities[[#This Row],[Accessibility Adaptations]]*BOQs!$L$16</f>
        <v>0</v>
      </c>
      <c r="AY177" s="86" t="str">
        <f>IF(tbl_estimated_costs_quantities[[#This Row],[Total cost]]&lt;&gt;0,tbl_estimated_costs_quantities[[#This Row],[Total cost]]/BOQs!$A$1,"")</f>
        <v/>
      </c>
      <c r="AZ177" s="37"/>
      <c r="BA177" s="37"/>
      <c r="BB177" s="37"/>
      <c r="BC177" s="37"/>
      <c r="BD177" s="41"/>
      <c r="BE177" s="37"/>
      <c r="BF177" s="37"/>
      <c r="BG177" s="37"/>
      <c r="BH177" s="41"/>
    </row>
    <row r="178" spans="2:60" ht="25.15" customHeight="1" x14ac:dyDescent="0.25">
      <c r="B178" s="49">
        <v>174</v>
      </c>
      <c r="C178" s="37"/>
      <c r="D178" s="41"/>
      <c r="E178" s="40"/>
      <c r="F178" s="87" t="str">
        <f>IF(tbl_estimated_costs_quantities[[#This Row],[House Code]]&lt;&gt;"",INDEX(tbl_Assessment[],MATCH(tbl_estimated_costs_quantities[[#This Row],[House Code]],tbl_Assessment[House Code],0),3),"")</f>
        <v/>
      </c>
      <c r="G178" s="115" t="str">
        <f>IF(tbl_estimated_costs_quantities[[#This Row],[House Code]]&lt;&gt;"",INDEX(tbl_Assessment[],MATCH(tbl_estimated_costs_quantities[[#This Row],[House Code]],tbl_Assessment[House Code],0),9),"")</f>
        <v/>
      </c>
      <c r="H17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8" s="75"/>
      <c r="J178" s="37"/>
      <c r="K178" s="86">
        <f>tbl_estimated_costs_quantities[[#This Row],[Site Preparation]]*BOQs!$L$3</f>
        <v>0</v>
      </c>
      <c r="L178" s="76"/>
      <c r="M178" s="37"/>
      <c r="N178" s="86">
        <f>tbl_estimated_costs_quantities[[#This Row],[Demolition Removal Unsafe Structures]]*BOQs!$L$4</f>
        <v>0</v>
      </c>
      <c r="O178" s="76"/>
      <c r="P178" s="37"/>
      <c r="Q178" s="86">
        <f>tbl_estimated_costs_quantities[[#This Row],[Concrete Works]]*BOQs!$L$5</f>
        <v>0</v>
      </c>
      <c r="R178" s="76"/>
      <c r="S178" s="37"/>
      <c r="T178" s="86">
        <f>tbl_estimated_costs_quantities[[#This Row],[Closure External Openings Walls Windows]]*BOQs!$L$6</f>
        <v>0</v>
      </c>
      <c r="U178" s="76"/>
      <c r="V178" s="37"/>
      <c r="W178" s="86">
        <f>tbl_estimated_costs_quantities[[#This Row],[Plastering Painting]]*BOQs!$L$7</f>
        <v>0</v>
      </c>
      <c r="X178" s="76"/>
      <c r="Y178" s="37"/>
      <c r="Z178" s="86">
        <f>tbl_estimated_costs_quantities[[#This Row],[Floor Repairs]]*BOQs!$L$8</f>
        <v>0</v>
      </c>
      <c r="AA178" s="76"/>
      <c r="AB178" s="37"/>
      <c r="AC178" s="86">
        <f>tbl_estimated_costs_quantities[[#This Row],[Doors Replacement Repair]]*BOQs!$L$9</f>
        <v>0</v>
      </c>
      <c r="AD178" s="76"/>
      <c r="AE178" s="37"/>
      <c r="AF178" s="86">
        <f>tbl_estimated_costs_quantities[[#This Row],[Windows Replacement Repair]]*BOQs!$L$10</f>
        <v>0</v>
      </c>
      <c r="AG178" s="76"/>
      <c r="AH178" s="37"/>
      <c r="AI178" s="86">
        <f>tbl_estimated_costs_quantities[[#This Row],[Bathroom Rehabilitation]]*BOQs!$L$11</f>
        <v>0</v>
      </c>
      <c r="AJ178" s="76"/>
      <c r="AK178" s="37"/>
      <c r="AL178" s="86">
        <f>tbl_estimated_costs_quantities[[#This Row],[Ceramic Tile Works WASH]]*BOQs!$L$12</f>
        <v>0</v>
      </c>
      <c r="AM178" s="76"/>
      <c r="AN178" s="37"/>
      <c r="AO178" s="86">
        <f>tbl_estimated_costs_quantities[[#This Row],[Electrical Repairs Lighting]]*BOQs!$L$13</f>
        <v>0</v>
      </c>
      <c r="AP178" s="76"/>
      <c r="AQ178" s="37"/>
      <c r="AR178" s="86">
        <f>tbl_estimated_costs_quantities[[#This Row],[Roof Insulation Leak Sealing]]*BOQs!$L$14</f>
        <v>0</v>
      </c>
      <c r="AS178" s="76"/>
      <c r="AT178" s="37"/>
      <c r="AU178" s="86">
        <f>tbl_estimated_costs_quantities[[#This Row],[Chimney Duct Cleaning Repair]]*BOQs!$L$15</f>
        <v>0</v>
      </c>
      <c r="AV178" s="76"/>
      <c r="AW178" s="37"/>
      <c r="AX178" s="89">
        <f>tbl_estimated_costs_quantities[[#This Row],[Accessibility Adaptations]]*BOQs!$L$16</f>
        <v>0</v>
      </c>
      <c r="AY178" s="86" t="str">
        <f>IF(tbl_estimated_costs_quantities[[#This Row],[Total cost]]&lt;&gt;0,tbl_estimated_costs_quantities[[#This Row],[Total cost]]/BOQs!$A$1,"")</f>
        <v/>
      </c>
      <c r="AZ178" s="37"/>
      <c r="BA178" s="37"/>
      <c r="BB178" s="37"/>
      <c r="BC178" s="37"/>
      <c r="BD178" s="41"/>
      <c r="BE178" s="37"/>
      <c r="BF178" s="37"/>
      <c r="BG178" s="37"/>
      <c r="BH178" s="41"/>
    </row>
    <row r="179" spans="2:60" ht="25.15" customHeight="1" x14ac:dyDescent="0.25">
      <c r="B179" s="49">
        <v>175</v>
      </c>
      <c r="C179" s="37"/>
      <c r="D179" s="41"/>
      <c r="E179" s="40"/>
      <c r="F179" s="87" t="str">
        <f>IF(tbl_estimated_costs_quantities[[#This Row],[House Code]]&lt;&gt;"",INDEX(tbl_Assessment[],MATCH(tbl_estimated_costs_quantities[[#This Row],[House Code]],tbl_Assessment[House Code],0),3),"")</f>
        <v/>
      </c>
      <c r="G179" s="115" t="str">
        <f>IF(tbl_estimated_costs_quantities[[#This Row],[House Code]]&lt;&gt;"",INDEX(tbl_Assessment[],MATCH(tbl_estimated_costs_quantities[[#This Row],[House Code]],tbl_Assessment[House Code],0),9),"")</f>
        <v/>
      </c>
      <c r="H17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79" s="75"/>
      <c r="J179" s="37"/>
      <c r="K179" s="86">
        <f>tbl_estimated_costs_quantities[[#This Row],[Site Preparation]]*BOQs!$L$3</f>
        <v>0</v>
      </c>
      <c r="L179" s="76"/>
      <c r="M179" s="37"/>
      <c r="N179" s="86">
        <f>tbl_estimated_costs_quantities[[#This Row],[Demolition Removal Unsafe Structures]]*BOQs!$L$4</f>
        <v>0</v>
      </c>
      <c r="O179" s="76"/>
      <c r="P179" s="37"/>
      <c r="Q179" s="86">
        <f>tbl_estimated_costs_quantities[[#This Row],[Concrete Works]]*BOQs!$L$5</f>
        <v>0</v>
      </c>
      <c r="R179" s="76"/>
      <c r="S179" s="37"/>
      <c r="T179" s="86">
        <f>tbl_estimated_costs_quantities[[#This Row],[Closure External Openings Walls Windows]]*BOQs!$L$6</f>
        <v>0</v>
      </c>
      <c r="U179" s="76"/>
      <c r="V179" s="37"/>
      <c r="W179" s="86">
        <f>tbl_estimated_costs_quantities[[#This Row],[Plastering Painting]]*BOQs!$L$7</f>
        <v>0</v>
      </c>
      <c r="X179" s="76"/>
      <c r="Y179" s="37"/>
      <c r="Z179" s="86">
        <f>tbl_estimated_costs_quantities[[#This Row],[Floor Repairs]]*BOQs!$L$8</f>
        <v>0</v>
      </c>
      <c r="AA179" s="76"/>
      <c r="AB179" s="37"/>
      <c r="AC179" s="86">
        <f>tbl_estimated_costs_quantities[[#This Row],[Doors Replacement Repair]]*BOQs!$L$9</f>
        <v>0</v>
      </c>
      <c r="AD179" s="76"/>
      <c r="AE179" s="37"/>
      <c r="AF179" s="86">
        <f>tbl_estimated_costs_quantities[[#This Row],[Windows Replacement Repair]]*BOQs!$L$10</f>
        <v>0</v>
      </c>
      <c r="AG179" s="76"/>
      <c r="AH179" s="37"/>
      <c r="AI179" s="86">
        <f>tbl_estimated_costs_quantities[[#This Row],[Bathroom Rehabilitation]]*BOQs!$L$11</f>
        <v>0</v>
      </c>
      <c r="AJ179" s="76"/>
      <c r="AK179" s="37"/>
      <c r="AL179" s="86">
        <f>tbl_estimated_costs_quantities[[#This Row],[Ceramic Tile Works WASH]]*BOQs!$L$12</f>
        <v>0</v>
      </c>
      <c r="AM179" s="76"/>
      <c r="AN179" s="37"/>
      <c r="AO179" s="86">
        <f>tbl_estimated_costs_quantities[[#This Row],[Electrical Repairs Lighting]]*BOQs!$L$13</f>
        <v>0</v>
      </c>
      <c r="AP179" s="76"/>
      <c r="AQ179" s="37"/>
      <c r="AR179" s="86">
        <f>tbl_estimated_costs_quantities[[#This Row],[Roof Insulation Leak Sealing]]*BOQs!$L$14</f>
        <v>0</v>
      </c>
      <c r="AS179" s="76"/>
      <c r="AT179" s="37"/>
      <c r="AU179" s="86">
        <f>tbl_estimated_costs_quantities[[#This Row],[Chimney Duct Cleaning Repair]]*BOQs!$L$15</f>
        <v>0</v>
      </c>
      <c r="AV179" s="76"/>
      <c r="AW179" s="37"/>
      <c r="AX179" s="89">
        <f>tbl_estimated_costs_quantities[[#This Row],[Accessibility Adaptations]]*BOQs!$L$16</f>
        <v>0</v>
      </c>
      <c r="AY179" s="86" t="str">
        <f>IF(tbl_estimated_costs_quantities[[#This Row],[Total cost]]&lt;&gt;0,tbl_estimated_costs_quantities[[#This Row],[Total cost]]/BOQs!$A$1,"")</f>
        <v/>
      </c>
      <c r="AZ179" s="37"/>
      <c r="BA179" s="37"/>
      <c r="BB179" s="37"/>
      <c r="BC179" s="37"/>
      <c r="BD179" s="41"/>
      <c r="BE179" s="37"/>
      <c r="BF179" s="37"/>
      <c r="BG179" s="37"/>
      <c r="BH179" s="41"/>
    </row>
    <row r="180" spans="2:60" ht="25.15" customHeight="1" x14ac:dyDescent="0.25">
      <c r="B180" s="49">
        <v>176</v>
      </c>
      <c r="C180" s="37"/>
      <c r="D180" s="41"/>
      <c r="E180" s="40"/>
      <c r="F180" s="87" t="str">
        <f>IF(tbl_estimated_costs_quantities[[#This Row],[House Code]]&lt;&gt;"",INDEX(tbl_Assessment[],MATCH(tbl_estimated_costs_quantities[[#This Row],[House Code]],tbl_Assessment[House Code],0),3),"")</f>
        <v/>
      </c>
      <c r="G180" s="115" t="str">
        <f>IF(tbl_estimated_costs_quantities[[#This Row],[House Code]]&lt;&gt;"",INDEX(tbl_Assessment[],MATCH(tbl_estimated_costs_quantities[[#This Row],[House Code]],tbl_Assessment[House Code],0),9),"")</f>
        <v/>
      </c>
      <c r="H18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0" s="75"/>
      <c r="J180" s="37"/>
      <c r="K180" s="86">
        <f>tbl_estimated_costs_quantities[[#This Row],[Site Preparation]]*BOQs!$L$3</f>
        <v>0</v>
      </c>
      <c r="L180" s="76"/>
      <c r="M180" s="37"/>
      <c r="N180" s="86">
        <f>tbl_estimated_costs_quantities[[#This Row],[Demolition Removal Unsafe Structures]]*BOQs!$L$4</f>
        <v>0</v>
      </c>
      <c r="O180" s="76"/>
      <c r="P180" s="37"/>
      <c r="Q180" s="86">
        <f>tbl_estimated_costs_quantities[[#This Row],[Concrete Works]]*BOQs!$L$5</f>
        <v>0</v>
      </c>
      <c r="R180" s="76"/>
      <c r="S180" s="37"/>
      <c r="T180" s="86">
        <f>tbl_estimated_costs_quantities[[#This Row],[Closure External Openings Walls Windows]]*BOQs!$L$6</f>
        <v>0</v>
      </c>
      <c r="U180" s="76"/>
      <c r="V180" s="37"/>
      <c r="W180" s="86">
        <f>tbl_estimated_costs_quantities[[#This Row],[Plastering Painting]]*BOQs!$L$7</f>
        <v>0</v>
      </c>
      <c r="X180" s="76"/>
      <c r="Y180" s="37"/>
      <c r="Z180" s="86">
        <f>tbl_estimated_costs_quantities[[#This Row],[Floor Repairs]]*BOQs!$L$8</f>
        <v>0</v>
      </c>
      <c r="AA180" s="76"/>
      <c r="AB180" s="37"/>
      <c r="AC180" s="86">
        <f>tbl_estimated_costs_quantities[[#This Row],[Doors Replacement Repair]]*BOQs!$L$9</f>
        <v>0</v>
      </c>
      <c r="AD180" s="76"/>
      <c r="AE180" s="37"/>
      <c r="AF180" s="86">
        <f>tbl_estimated_costs_quantities[[#This Row],[Windows Replacement Repair]]*BOQs!$L$10</f>
        <v>0</v>
      </c>
      <c r="AG180" s="76"/>
      <c r="AH180" s="37"/>
      <c r="AI180" s="86">
        <f>tbl_estimated_costs_quantities[[#This Row],[Bathroom Rehabilitation]]*BOQs!$L$11</f>
        <v>0</v>
      </c>
      <c r="AJ180" s="76"/>
      <c r="AK180" s="37"/>
      <c r="AL180" s="86">
        <f>tbl_estimated_costs_quantities[[#This Row],[Ceramic Tile Works WASH]]*BOQs!$L$12</f>
        <v>0</v>
      </c>
      <c r="AM180" s="76"/>
      <c r="AN180" s="37"/>
      <c r="AO180" s="86">
        <f>tbl_estimated_costs_quantities[[#This Row],[Electrical Repairs Lighting]]*BOQs!$L$13</f>
        <v>0</v>
      </c>
      <c r="AP180" s="76"/>
      <c r="AQ180" s="37"/>
      <c r="AR180" s="86">
        <f>tbl_estimated_costs_quantities[[#This Row],[Roof Insulation Leak Sealing]]*BOQs!$L$14</f>
        <v>0</v>
      </c>
      <c r="AS180" s="76"/>
      <c r="AT180" s="37"/>
      <c r="AU180" s="86">
        <f>tbl_estimated_costs_quantities[[#This Row],[Chimney Duct Cleaning Repair]]*BOQs!$L$15</f>
        <v>0</v>
      </c>
      <c r="AV180" s="76"/>
      <c r="AW180" s="37"/>
      <c r="AX180" s="89">
        <f>tbl_estimated_costs_quantities[[#This Row],[Accessibility Adaptations]]*BOQs!$L$16</f>
        <v>0</v>
      </c>
      <c r="AY180" s="86" t="str">
        <f>IF(tbl_estimated_costs_quantities[[#This Row],[Total cost]]&lt;&gt;0,tbl_estimated_costs_quantities[[#This Row],[Total cost]]/BOQs!$A$1,"")</f>
        <v/>
      </c>
      <c r="AZ180" s="37"/>
      <c r="BA180" s="37"/>
      <c r="BB180" s="37"/>
      <c r="BC180" s="37"/>
      <c r="BD180" s="41"/>
      <c r="BE180" s="37"/>
      <c r="BF180" s="37"/>
      <c r="BG180" s="37"/>
      <c r="BH180" s="41"/>
    </row>
    <row r="181" spans="2:60" ht="25.15" customHeight="1" x14ac:dyDescent="0.25">
      <c r="B181" s="49">
        <v>177</v>
      </c>
      <c r="C181" s="37"/>
      <c r="D181" s="41"/>
      <c r="E181" s="40"/>
      <c r="F181" s="87" t="str">
        <f>IF(tbl_estimated_costs_quantities[[#This Row],[House Code]]&lt;&gt;"",INDEX(tbl_Assessment[],MATCH(tbl_estimated_costs_quantities[[#This Row],[House Code]],tbl_Assessment[House Code],0),3),"")</f>
        <v/>
      </c>
      <c r="G181" s="115" t="str">
        <f>IF(tbl_estimated_costs_quantities[[#This Row],[House Code]]&lt;&gt;"",INDEX(tbl_Assessment[],MATCH(tbl_estimated_costs_quantities[[#This Row],[House Code]],tbl_Assessment[House Code],0),9),"")</f>
        <v/>
      </c>
      <c r="H18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1" s="75"/>
      <c r="J181" s="37"/>
      <c r="K181" s="86">
        <f>tbl_estimated_costs_quantities[[#This Row],[Site Preparation]]*BOQs!$L$3</f>
        <v>0</v>
      </c>
      <c r="L181" s="76"/>
      <c r="M181" s="37"/>
      <c r="N181" s="86">
        <f>tbl_estimated_costs_quantities[[#This Row],[Demolition Removal Unsafe Structures]]*BOQs!$L$4</f>
        <v>0</v>
      </c>
      <c r="O181" s="76"/>
      <c r="P181" s="37"/>
      <c r="Q181" s="86">
        <f>tbl_estimated_costs_quantities[[#This Row],[Concrete Works]]*BOQs!$L$5</f>
        <v>0</v>
      </c>
      <c r="R181" s="76"/>
      <c r="S181" s="37"/>
      <c r="T181" s="86">
        <f>tbl_estimated_costs_quantities[[#This Row],[Closure External Openings Walls Windows]]*BOQs!$L$6</f>
        <v>0</v>
      </c>
      <c r="U181" s="76"/>
      <c r="V181" s="37"/>
      <c r="W181" s="86">
        <f>tbl_estimated_costs_quantities[[#This Row],[Plastering Painting]]*BOQs!$L$7</f>
        <v>0</v>
      </c>
      <c r="X181" s="76"/>
      <c r="Y181" s="37"/>
      <c r="Z181" s="86">
        <f>tbl_estimated_costs_quantities[[#This Row],[Floor Repairs]]*BOQs!$L$8</f>
        <v>0</v>
      </c>
      <c r="AA181" s="76"/>
      <c r="AB181" s="37"/>
      <c r="AC181" s="86">
        <f>tbl_estimated_costs_quantities[[#This Row],[Doors Replacement Repair]]*BOQs!$L$9</f>
        <v>0</v>
      </c>
      <c r="AD181" s="76"/>
      <c r="AE181" s="37"/>
      <c r="AF181" s="86">
        <f>tbl_estimated_costs_quantities[[#This Row],[Windows Replacement Repair]]*BOQs!$L$10</f>
        <v>0</v>
      </c>
      <c r="AG181" s="76"/>
      <c r="AH181" s="37"/>
      <c r="AI181" s="86">
        <f>tbl_estimated_costs_quantities[[#This Row],[Bathroom Rehabilitation]]*BOQs!$L$11</f>
        <v>0</v>
      </c>
      <c r="AJ181" s="76"/>
      <c r="AK181" s="37"/>
      <c r="AL181" s="86">
        <f>tbl_estimated_costs_quantities[[#This Row],[Ceramic Tile Works WASH]]*BOQs!$L$12</f>
        <v>0</v>
      </c>
      <c r="AM181" s="76"/>
      <c r="AN181" s="37"/>
      <c r="AO181" s="86">
        <f>tbl_estimated_costs_quantities[[#This Row],[Electrical Repairs Lighting]]*BOQs!$L$13</f>
        <v>0</v>
      </c>
      <c r="AP181" s="76"/>
      <c r="AQ181" s="37"/>
      <c r="AR181" s="86">
        <f>tbl_estimated_costs_quantities[[#This Row],[Roof Insulation Leak Sealing]]*BOQs!$L$14</f>
        <v>0</v>
      </c>
      <c r="AS181" s="76"/>
      <c r="AT181" s="37"/>
      <c r="AU181" s="86">
        <f>tbl_estimated_costs_quantities[[#This Row],[Chimney Duct Cleaning Repair]]*BOQs!$L$15</f>
        <v>0</v>
      </c>
      <c r="AV181" s="76"/>
      <c r="AW181" s="37"/>
      <c r="AX181" s="89">
        <f>tbl_estimated_costs_quantities[[#This Row],[Accessibility Adaptations]]*BOQs!$L$16</f>
        <v>0</v>
      </c>
      <c r="AY181" s="86" t="str">
        <f>IF(tbl_estimated_costs_quantities[[#This Row],[Total cost]]&lt;&gt;0,tbl_estimated_costs_quantities[[#This Row],[Total cost]]/BOQs!$A$1,"")</f>
        <v/>
      </c>
      <c r="AZ181" s="37"/>
      <c r="BA181" s="37"/>
      <c r="BB181" s="37"/>
      <c r="BC181" s="37"/>
      <c r="BD181" s="41"/>
      <c r="BE181" s="37"/>
      <c r="BF181" s="37"/>
      <c r="BG181" s="37"/>
      <c r="BH181" s="41"/>
    </row>
    <row r="182" spans="2:60" ht="25.15" customHeight="1" x14ac:dyDescent="0.25">
      <c r="B182" s="49">
        <v>178</v>
      </c>
      <c r="C182" s="37"/>
      <c r="D182" s="41"/>
      <c r="E182" s="40"/>
      <c r="F182" s="87" t="str">
        <f>IF(tbl_estimated_costs_quantities[[#This Row],[House Code]]&lt;&gt;"",INDEX(tbl_Assessment[],MATCH(tbl_estimated_costs_quantities[[#This Row],[House Code]],tbl_Assessment[House Code],0),3),"")</f>
        <v/>
      </c>
      <c r="G182" s="115" t="str">
        <f>IF(tbl_estimated_costs_quantities[[#This Row],[House Code]]&lt;&gt;"",INDEX(tbl_Assessment[],MATCH(tbl_estimated_costs_quantities[[#This Row],[House Code]],tbl_Assessment[House Code],0),9),"")</f>
        <v/>
      </c>
      <c r="H18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2" s="75"/>
      <c r="J182" s="37"/>
      <c r="K182" s="86">
        <f>tbl_estimated_costs_quantities[[#This Row],[Site Preparation]]*BOQs!$L$3</f>
        <v>0</v>
      </c>
      <c r="L182" s="76"/>
      <c r="M182" s="37"/>
      <c r="N182" s="86">
        <f>tbl_estimated_costs_quantities[[#This Row],[Demolition Removal Unsafe Structures]]*BOQs!$L$4</f>
        <v>0</v>
      </c>
      <c r="O182" s="76"/>
      <c r="P182" s="37"/>
      <c r="Q182" s="86">
        <f>tbl_estimated_costs_quantities[[#This Row],[Concrete Works]]*BOQs!$L$5</f>
        <v>0</v>
      </c>
      <c r="R182" s="76"/>
      <c r="S182" s="37"/>
      <c r="T182" s="86">
        <f>tbl_estimated_costs_quantities[[#This Row],[Closure External Openings Walls Windows]]*BOQs!$L$6</f>
        <v>0</v>
      </c>
      <c r="U182" s="76"/>
      <c r="V182" s="37"/>
      <c r="W182" s="86">
        <f>tbl_estimated_costs_quantities[[#This Row],[Plastering Painting]]*BOQs!$L$7</f>
        <v>0</v>
      </c>
      <c r="X182" s="76"/>
      <c r="Y182" s="37"/>
      <c r="Z182" s="86">
        <f>tbl_estimated_costs_quantities[[#This Row],[Floor Repairs]]*BOQs!$L$8</f>
        <v>0</v>
      </c>
      <c r="AA182" s="76"/>
      <c r="AB182" s="37"/>
      <c r="AC182" s="86">
        <f>tbl_estimated_costs_quantities[[#This Row],[Doors Replacement Repair]]*BOQs!$L$9</f>
        <v>0</v>
      </c>
      <c r="AD182" s="76"/>
      <c r="AE182" s="37"/>
      <c r="AF182" s="86">
        <f>tbl_estimated_costs_quantities[[#This Row],[Windows Replacement Repair]]*BOQs!$L$10</f>
        <v>0</v>
      </c>
      <c r="AG182" s="76"/>
      <c r="AH182" s="37"/>
      <c r="AI182" s="86">
        <f>tbl_estimated_costs_quantities[[#This Row],[Bathroom Rehabilitation]]*BOQs!$L$11</f>
        <v>0</v>
      </c>
      <c r="AJ182" s="76"/>
      <c r="AK182" s="37"/>
      <c r="AL182" s="86">
        <f>tbl_estimated_costs_quantities[[#This Row],[Ceramic Tile Works WASH]]*BOQs!$L$12</f>
        <v>0</v>
      </c>
      <c r="AM182" s="76"/>
      <c r="AN182" s="37"/>
      <c r="AO182" s="86">
        <f>tbl_estimated_costs_quantities[[#This Row],[Electrical Repairs Lighting]]*BOQs!$L$13</f>
        <v>0</v>
      </c>
      <c r="AP182" s="76"/>
      <c r="AQ182" s="37"/>
      <c r="AR182" s="86">
        <f>tbl_estimated_costs_quantities[[#This Row],[Roof Insulation Leak Sealing]]*BOQs!$L$14</f>
        <v>0</v>
      </c>
      <c r="AS182" s="76"/>
      <c r="AT182" s="37"/>
      <c r="AU182" s="86">
        <f>tbl_estimated_costs_quantities[[#This Row],[Chimney Duct Cleaning Repair]]*BOQs!$L$15</f>
        <v>0</v>
      </c>
      <c r="AV182" s="76"/>
      <c r="AW182" s="37"/>
      <c r="AX182" s="89">
        <f>tbl_estimated_costs_quantities[[#This Row],[Accessibility Adaptations]]*BOQs!$L$16</f>
        <v>0</v>
      </c>
      <c r="AY182" s="86" t="str">
        <f>IF(tbl_estimated_costs_quantities[[#This Row],[Total cost]]&lt;&gt;0,tbl_estimated_costs_quantities[[#This Row],[Total cost]]/BOQs!$A$1,"")</f>
        <v/>
      </c>
      <c r="AZ182" s="37"/>
      <c r="BA182" s="37"/>
      <c r="BB182" s="37"/>
      <c r="BC182" s="37"/>
      <c r="BD182" s="41"/>
      <c r="BE182" s="37"/>
      <c r="BF182" s="37"/>
      <c r="BG182" s="37"/>
      <c r="BH182" s="41"/>
    </row>
    <row r="183" spans="2:60" ht="25.15" customHeight="1" x14ac:dyDescent="0.25">
      <c r="B183" s="49">
        <v>179</v>
      </c>
      <c r="C183" s="37"/>
      <c r="D183" s="41"/>
      <c r="E183" s="40"/>
      <c r="F183" s="87" t="str">
        <f>IF(tbl_estimated_costs_quantities[[#This Row],[House Code]]&lt;&gt;"",INDEX(tbl_Assessment[],MATCH(tbl_estimated_costs_quantities[[#This Row],[House Code]],tbl_Assessment[House Code],0),3),"")</f>
        <v/>
      </c>
      <c r="G183" s="115" t="str">
        <f>IF(tbl_estimated_costs_quantities[[#This Row],[House Code]]&lt;&gt;"",INDEX(tbl_Assessment[],MATCH(tbl_estimated_costs_quantities[[#This Row],[House Code]],tbl_Assessment[House Code],0),9),"")</f>
        <v/>
      </c>
      <c r="H18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3" s="75"/>
      <c r="J183" s="37"/>
      <c r="K183" s="86">
        <f>tbl_estimated_costs_quantities[[#This Row],[Site Preparation]]*BOQs!$L$3</f>
        <v>0</v>
      </c>
      <c r="L183" s="76"/>
      <c r="M183" s="37"/>
      <c r="N183" s="86">
        <f>tbl_estimated_costs_quantities[[#This Row],[Demolition Removal Unsafe Structures]]*BOQs!$L$4</f>
        <v>0</v>
      </c>
      <c r="O183" s="76"/>
      <c r="P183" s="37"/>
      <c r="Q183" s="86">
        <f>tbl_estimated_costs_quantities[[#This Row],[Concrete Works]]*BOQs!$L$5</f>
        <v>0</v>
      </c>
      <c r="R183" s="76"/>
      <c r="S183" s="37"/>
      <c r="T183" s="86">
        <f>tbl_estimated_costs_quantities[[#This Row],[Closure External Openings Walls Windows]]*BOQs!$L$6</f>
        <v>0</v>
      </c>
      <c r="U183" s="76"/>
      <c r="V183" s="37"/>
      <c r="W183" s="86">
        <f>tbl_estimated_costs_quantities[[#This Row],[Plastering Painting]]*BOQs!$L$7</f>
        <v>0</v>
      </c>
      <c r="X183" s="76"/>
      <c r="Y183" s="37"/>
      <c r="Z183" s="86">
        <f>tbl_estimated_costs_quantities[[#This Row],[Floor Repairs]]*BOQs!$L$8</f>
        <v>0</v>
      </c>
      <c r="AA183" s="76"/>
      <c r="AB183" s="37"/>
      <c r="AC183" s="86">
        <f>tbl_estimated_costs_quantities[[#This Row],[Doors Replacement Repair]]*BOQs!$L$9</f>
        <v>0</v>
      </c>
      <c r="AD183" s="76"/>
      <c r="AE183" s="37"/>
      <c r="AF183" s="86">
        <f>tbl_estimated_costs_quantities[[#This Row],[Windows Replacement Repair]]*BOQs!$L$10</f>
        <v>0</v>
      </c>
      <c r="AG183" s="76"/>
      <c r="AH183" s="37"/>
      <c r="AI183" s="86">
        <f>tbl_estimated_costs_quantities[[#This Row],[Bathroom Rehabilitation]]*BOQs!$L$11</f>
        <v>0</v>
      </c>
      <c r="AJ183" s="76"/>
      <c r="AK183" s="37"/>
      <c r="AL183" s="86">
        <f>tbl_estimated_costs_quantities[[#This Row],[Ceramic Tile Works WASH]]*BOQs!$L$12</f>
        <v>0</v>
      </c>
      <c r="AM183" s="76"/>
      <c r="AN183" s="37"/>
      <c r="AO183" s="86">
        <f>tbl_estimated_costs_quantities[[#This Row],[Electrical Repairs Lighting]]*BOQs!$L$13</f>
        <v>0</v>
      </c>
      <c r="AP183" s="76"/>
      <c r="AQ183" s="37"/>
      <c r="AR183" s="86">
        <f>tbl_estimated_costs_quantities[[#This Row],[Roof Insulation Leak Sealing]]*BOQs!$L$14</f>
        <v>0</v>
      </c>
      <c r="AS183" s="76"/>
      <c r="AT183" s="37"/>
      <c r="AU183" s="86">
        <f>tbl_estimated_costs_quantities[[#This Row],[Chimney Duct Cleaning Repair]]*BOQs!$L$15</f>
        <v>0</v>
      </c>
      <c r="AV183" s="76"/>
      <c r="AW183" s="37"/>
      <c r="AX183" s="89">
        <f>tbl_estimated_costs_quantities[[#This Row],[Accessibility Adaptations]]*BOQs!$L$16</f>
        <v>0</v>
      </c>
      <c r="AY183" s="86" t="str">
        <f>IF(tbl_estimated_costs_quantities[[#This Row],[Total cost]]&lt;&gt;0,tbl_estimated_costs_quantities[[#This Row],[Total cost]]/BOQs!$A$1,"")</f>
        <v/>
      </c>
      <c r="AZ183" s="37"/>
      <c r="BA183" s="37"/>
      <c r="BB183" s="37"/>
      <c r="BC183" s="37"/>
      <c r="BD183" s="41"/>
      <c r="BE183" s="37"/>
      <c r="BF183" s="37"/>
      <c r="BG183" s="37"/>
      <c r="BH183" s="41"/>
    </row>
    <row r="184" spans="2:60" ht="25.15" customHeight="1" x14ac:dyDescent="0.25">
      <c r="B184" s="49">
        <v>180</v>
      </c>
      <c r="C184" s="37"/>
      <c r="D184" s="41"/>
      <c r="E184" s="40"/>
      <c r="F184" s="87" t="str">
        <f>IF(tbl_estimated_costs_quantities[[#This Row],[House Code]]&lt;&gt;"",INDEX(tbl_Assessment[],MATCH(tbl_estimated_costs_quantities[[#This Row],[House Code]],tbl_Assessment[House Code],0),3),"")</f>
        <v/>
      </c>
      <c r="G184" s="115" t="str">
        <f>IF(tbl_estimated_costs_quantities[[#This Row],[House Code]]&lt;&gt;"",INDEX(tbl_Assessment[],MATCH(tbl_estimated_costs_quantities[[#This Row],[House Code]],tbl_Assessment[House Code],0),9),"")</f>
        <v/>
      </c>
      <c r="H18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4" s="75"/>
      <c r="J184" s="37"/>
      <c r="K184" s="86">
        <f>tbl_estimated_costs_quantities[[#This Row],[Site Preparation]]*BOQs!$L$3</f>
        <v>0</v>
      </c>
      <c r="L184" s="76"/>
      <c r="M184" s="37"/>
      <c r="N184" s="86">
        <f>tbl_estimated_costs_quantities[[#This Row],[Demolition Removal Unsafe Structures]]*BOQs!$L$4</f>
        <v>0</v>
      </c>
      <c r="O184" s="76"/>
      <c r="P184" s="37"/>
      <c r="Q184" s="86">
        <f>tbl_estimated_costs_quantities[[#This Row],[Concrete Works]]*BOQs!$L$5</f>
        <v>0</v>
      </c>
      <c r="R184" s="76"/>
      <c r="S184" s="37"/>
      <c r="T184" s="86">
        <f>tbl_estimated_costs_quantities[[#This Row],[Closure External Openings Walls Windows]]*BOQs!$L$6</f>
        <v>0</v>
      </c>
      <c r="U184" s="76"/>
      <c r="V184" s="37"/>
      <c r="W184" s="86">
        <f>tbl_estimated_costs_quantities[[#This Row],[Plastering Painting]]*BOQs!$L$7</f>
        <v>0</v>
      </c>
      <c r="X184" s="76"/>
      <c r="Y184" s="37"/>
      <c r="Z184" s="86">
        <f>tbl_estimated_costs_quantities[[#This Row],[Floor Repairs]]*BOQs!$L$8</f>
        <v>0</v>
      </c>
      <c r="AA184" s="76"/>
      <c r="AB184" s="37"/>
      <c r="AC184" s="86">
        <f>tbl_estimated_costs_quantities[[#This Row],[Doors Replacement Repair]]*BOQs!$L$9</f>
        <v>0</v>
      </c>
      <c r="AD184" s="76"/>
      <c r="AE184" s="37"/>
      <c r="AF184" s="86">
        <f>tbl_estimated_costs_quantities[[#This Row],[Windows Replacement Repair]]*BOQs!$L$10</f>
        <v>0</v>
      </c>
      <c r="AG184" s="76"/>
      <c r="AH184" s="37"/>
      <c r="AI184" s="86">
        <f>tbl_estimated_costs_quantities[[#This Row],[Bathroom Rehabilitation]]*BOQs!$L$11</f>
        <v>0</v>
      </c>
      <c r="AJ184" s="76"/>
      <c r="AK184" s="37"/>
      <c r="AL184" s="86">
        <f>tbl_estimated_costs_quantities[[#This Row],[Ceramic Tile Works WASH]]*BOQs!$L$12</f>
        <v>0</v>
      </c>
      <c r="AM184" s="76"/>
      <c r="AN184" s="37"/>
      <c r="AO184" s="86">
        <f>tbl_estimated_costs_quantities[[#This Row],[Electrical Repairs Lighting]]*BOQs!$L$13</f>
        <v>0</v>
      </c>
      <c r="AP184" s="76"/>
      <c r="AQ184" s="37"/>
      <c r="AR184" s="86">
        <f>tbl_estimated_costs_quantities[[#This Row],[Roof Insulation Leak Sealing]]*BOQs!$L$14</f>
        <v>0</v>
      </c>
      <c r="AS184" s="76"/>
      <c r="AT184" s="37"/>
      <c r="AU184" s="86">
        <f>tbl_estimated_costs_quantities[[#This Row],[Chimney Duct Cleaning Repair]]*BOQs!$L$15</f>
        <v>0</v>
      </c>
      <c r="AV184" s="76"/>
      <c r="AW184" s="37"/>
      <c r="AX184" s="89">
        <f>tbl_estimated_costs_quantities[[#This Row],[Accessibility Adaptations]]*BOQs!$L$16</f>
        <v>0</v>
      </c>
      <c r="AY184" s="86" t="str">
        <f>IF(tbl_estimated_costs_quantities[[#This Row],[Total cost]]&lt;&gt;0,tbl_estimated_costs_quantities[[#This Row],[Total cost]]/BOQs!$A$1,"")</f>
        <v/>
      </c>
      <c r="AZ184" s="37"/>
      <c r="BA184" s="37"/>
      <c r="BB184" s="37"/>
      <c r="BC184" s="37"/>
      <c r="BD184" s="41"/>
      <c r="BE184" s="37"/>
      <c r="BF184" s="37"/>
      <c r="BG184" s="37"/>
      <c r="BH184" s="41"/>
    </row>
    <row r="185" spans="2:60" ht="25.15" customHeight="1" x14ac:dyDescent="0.25">
      <c r="B185" s="49">
        <v>181</v>
      </c>
      <c r="C185" s="37"/>
      <c r="D185" s="41"/>
      <c r="E185" s="40"/>
      <c r="F185" s="87" t="str">
        <f>IF(tbl_estimated_costs_quantities[[#This Row],[House Code]]&lt;&gt;"",INDEX(tbl_Assessment[],MATCH(tbl_estimated_costs_quantities[[#This Row],[House Code]],tbl_Assessment[House Code],0),3),"")</f>
        <v/>
      </c>
      <c r="G185" s="115" t="str">
        <f>IF(tbl_estimated_costs_quantities[[#This Row],[House Code]]&lt;&gt;"",INDEX(tbl_Assessment[],MATCH(tbl_estimated_costs_quantities[[#This Row],[House Code]],tbl_Assessment[House Code],0),9),"")</f>
        <v/>
      </c>
      <c r="H18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5" s="75"/>
      <c r="J185" s="37"/>
      <c r="K185" s="86">
        <f>tbl_estimated_costs_quantities[[#This Row],[Site Preparation]]*BOQs!$L$3</f>
        <v>0</v>
      </c>
      <c r="L185" s="76"/>
      <c r="M185" s="37"/>
      <c r="N185" s="86">
        <f>tbl_estimated_costs_quantities[[#This Row],[Demolition Removal Unsafe Structures]]*BOQs!$L$4</f>
        <v>0</v>
      </c>
      <c r="O185" s="76"/>
      <c r="P185" s="37"/>
      <c r="Q185" s="86">
        <f>tbl_estimated_costs_quantities[[#This Row],[Concrete Works]]*BOQs!$L$5</f>
        <v>0</v>
      </c>
      <c r="R185" s="76"/>
      <c r="S185" s="37"/>
      <c r="T185" s="86">
        <f>tbl_estimated_costs_quantities[[#This Row],[Closure External Openings Walls Windows]]*BOQs!$L$6</f>
        <v>0</v>
      </c>
      <c r="U185" s="76"/>
      <c r="V185" s="37"/>
      <c r="W185" s="86">
        <f>tbl_estimated_costs_quantities[[#This Row],[Plastering Painting]]*BOQs!$L$7</f>
        <v>0</v>
      </c>
      <c r="X185" s="76"/>
      <c r="Y185" s="37"/>
      <c r="Z185" s="86">
        <f>tbl_estimated_costs_quantities[[#This Row],[Floor Repairs]]*BOQs!$L$8</f>
        <v>0</v>
      </c>
      <c r="AA185" s="76"/>
      <c r="AB185" s="37"/>
      <c r="AC185" s="86">
        <f>tbl_estimated_costs_quantities[[#This Row],[Doors Replacement Repair]]*BOQs!$L$9</f>
        <v>0</v>
      </c>
      <c r="AD185" s="76"/>
      <c r="AE185" s="37"/>
      <c r="AF185" s="86">
        <f>tbl_estimated_costs_quantities[[#This Row],[Windows Replacement Repair]]*BOQs!$L$10</f>
        <v>0</v>
      </c>
      <c r="AG185" s="76"/>
      <c r="AH185" s="37"/>
      <c r="AI185" s="86">
        <f>tbl_estimated_costs_quantities[[#This Row],[Bathroom Rehabilitation]]*BOQs!$L$11</f>
        <v>0</v>
      </c>
      <c r="AJ185" s="76"/>
      <c r="AK185" s="37"/>
      <c r="AL185" s="86">
        <f>tbl_estimated_costs_quantities[[#This Row],[Ceramic Tile Works WASH]]*BOQs!$L$12</f>
        <v>0</v>
      </c>
      <c r="AM185" s="76"/>
      <c r="AN185" s="37"/>
      <c r="AO185" s="86">
        <f>tbl_estimated_costs_quantities[[#This Row],[Electrical Repairs Lighting]]*BOQs!$L$13</f>
        <v>0</v>
      </c>
      <c r="AP185" s="76"/>
      <c r="AQ185" s="37"/>
      <c r="AR185" s="86">
        <f>tbl_estimated_costs_quantities[[#This Row],[Roof Insulation Leak Sealing]]*BOQs!$L$14</f>
        <v>0</v>
      </c>
      <c r="AS185" s="76"/>
      <c r="AT185" s="37"/>
      <c r="AU185" s="86">
        <f>tbl_estimated_costs_quantities[[#This Row],[Chimney Duct Cleaning Repair]]*BOQs!$L$15</f>
        <v>0</v>
      </c>
      <c r="AV185" s="76"/>
      <c r="AW185" s="37"/>
      <c r="AX185" s="89">
        <f>tbl_estimated_costs_quantities[[#This Row],[Accessibility Adaptations]]*BOQs!$L$16</f>
        <v>0</v>
      </c>
      <c r="AY185" s="86" t="str">
        <f>IF(tbl_estimated_costs_quantities[[#This Row],[Total cost]]&lt;&gt;0,tbl_estimated_costs_quantities[[#This Row],[Total cost]]/BOQs!$A$1,"")</f>
        <v/>
      </c>
      <c r="AZ185" s="37"/>
      <c r="BA185" s="37"/>
      <c r="BB185" s="37"/>
      <c r="BC185" s="37"/>
      <c r="BD185" s="41"/>
      <c r="BE185" s="37"/>
      <c r="BF185" s="37"/>
      <c r="BG185" s="37"/>
      <c r="BH185" s="41"/>
    </row>
    <row r="186" spans="2:60" ht="25.15" customHeight="1" x14ac:dyDescent="0.25">
      <c r="B186" s="49">
        <v>182</v>
      </c>
      <c r="C186" s="37"/>
      <c r="D186" s="41"/>
      <c r="E186" s="40"/>
      <c r="F186" s="87" t="str">
        <f>IF(tbl_estimated_costs_quantities[[#This Row],[House Code]]&lt;&gt;"",INDEX(tbl_Assessment[],MATCH(tbl_estimated_costs_quantities[[#This Row],[House Code]],tbl_Assessment[House Code],0),3),"")</f>
        <v/>
      </c>
      <c r="G186" s="115" t="str">
        <f>IF(tbl_estimated_costs_quantities[[#This Row],[House Code]]&lt;&gt;"",INDEX(tbl_Assessment[],MATCH(tbl_estimated_costs_quantities[[#This Row],[House Code]],tbl_Assessment[House Code],0),9),"")</f>
        <v/>
      </c>
      <c r="H18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6" s="75"/>
      <c r="J186" s="37"/>
      <c r="K186" s="86">
        <f>tbl_estimated_costs_quantities[[#This Row],[Site Preparation]]*BOQs!$L$3</f>
        <v>0</v>
      </c>
      <c r="L186" s="76"/>
      <c r="M186" s="37"/>
      <c r="N186" s="86">
        <f>tbl_estimated_costs_quantities[[#This Row],[Demolition Removal Unsafe Structures]]*BOQs!$L$4</f>
        <v>0</v>
      </c>
      <c r="O186" s="76"/>
      <c r="P186" s="37"/>
      <c r="Q186" s="86">
        <f>tbl_estimated_costs_quantities[[#This Row],[Concrete Works]]*BOQs!$L$5</f>
        <v>0</v>
      </c>
      <c r="R186" s="76"/>
      <c r="S186" s="37"/>
      <c r="T186" s="86">
        <f>tbl_estimated_costs_quantities[[#This Row],[Closure External Openings Walls Windows]]*BOQs!$L$6</f>
        <v>0</v>
      </c>
      <c r="U186" s="76"/>
      <c r="V186" s="37"/>
      <c r="W186" s="86">
        <f>tbl_estimated_costs_quantities[[#This Row],[Plastering Painting]]*BOQs!$L$7</f>
        <v>0</v>
      </c>
      <c r="X186" s="76"/>
      <c r="Y186" s="37"/>
      <c r="Z186" s="86">
        <f>tbl_estimated_costs_quantities[[#This Row],[Floor Repairs]]*BOQs!$L$8</f>
        <v>0</v>
      </c>
      <c r="AA186" s="76"/>
      <c r="AB186" s="37"/>
      <c r="AC186" s="86">
        <f>tbl_estimated_costs_quantities[[#This Row],[Doors Replacement Repair]]*BOQs!$L$9</f>
        <v>0</v>
      </c>
      <c r="AD186" s="76"/>
      <c r="AE186" s="37"/>
      <c r="AF186" s="86">
        <f>tbl_estimated_costs_quantities[[#This Row],[Windows Replacement Repair]]*BOQs!$L$10</f>
        <v>0</v>
      </c>
      <c r="AG186" s="76"/>
      <c r="AH186" s="37"/>
      <c r="AI186" s="86">
        <f>tbl_estimated_costs_quantities[[#This Row],[Bathroom Rehabilitation]]*BOQs!$L$11</f>
        <v>0</v>
      </c>
      <c r="AJ186" s="76"/>
      <c r="AK186" s="37"/>
      <c r="AL186" s="86">
        <f>tbl_estimated_costs_quantities[[#This Row],[Ceramic Tile Works WASH]]*BOQs!$L$12</f>
        <v>0</v>
      </c>
      <c r="AM186" s="76"/>
      <c r="AN186" s="37"/>
      <c r="AO186" s="86">
        <f>tbl_estimated_costs_quantities[[#This Row],[Electrical Repairs Lighting]]*BOQs!$L$13</f>
        <v>0</v>
      </c>
      <c r="AP186" s="76"/>
      <c r="AQ186" s="37"/>
      <c r="AR186" s="86">
        <f>tbl_estimated_costs_quantities[[#This Row],[Roof Insulation Leak Sealing]]*BOQs!$L$14</f>
        <v>0</v>
      </c>
      <c r="AS186" s="76"/>
      <c r="AT186" s="37"/>
      <c r="AU186" s="86">
        <f>tbl_estimated_costs_quantities[[#This Row],[Chimney Duct Cleaning Repair]]*BOQs!$L$15</f>
        <v>0</v>
      </c>
      <c r="AV186" s="76"/>
      <c r="AW186" s="37"/>
      <c r="AX186" s="89">
        <f>tbl_estimated_costs_quantities[[#This Row],[Accessibility Adaptations]]*BOQs!$L$16</f>
        <v>0</v>
      </c>
      <c r="AY186" s="86" t="str">
        <f>IF(tbl_estimated_costs_quantities[[#This Row],[Total cost]]&lt;&gt;0,tbl_estimated_costs_quantities[[#This Row],[Total cost]]/BOQs!$A$1,"")</f>
        <v/>
      </c>
      <c r="AZ186" s="37"/>
      <c r="BA186" s="37"/>
      <c r="BB186" s="37"/>
      <c r="BC186" s="37"/>
      <c r="BD186" s="41"/>
      <c r="BE186" s="37"/>
      <c r="BF186" s="37"/>
      <c r="BG186" s="37"/>
      <c r="BH186" s="41"/>
    </row>
    <row r="187" spans="2:60" ht="25.15" customHeight="1" x14ac:dyDescent="0.25">
      <c r="B187" s="49">
        <v>183</v>
      </c>
      <c r="C187" s="37"/>
      <c r="D187" s="41"/>
      <c r="E187" s="40"/>
      <c r="F187" s="87" t="str">
        <f>IF(tbl_estimated_costs_quantities[[#This Row],[House Code]]&lt;&gt;"",INDEX(tbl_Assessment[],MATCH(tbl_estimated_costs_quantities[[#This Row],[House Code]],tbl_Assessment[House Code],0),3),"")</f>
        <v/>
      </c>
      <c r="G187" s="115" t="str">
        <f>IF(tbl_estimated_costs_quantities[[#This Row],[House Code]]&lt;&gt;"",INDEX(tbl_Assessment[],MATCH(tbl_estimated_costs_quantities[[#This Row],[House Code]],tbl_Assessment[House Code],0),9),"")</f>
        <v/>
      </c>
      <c r="H18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7" s="75"/>
      <c r="J187" s="37"/>
      <c r="K187" s="86">
        <f>tbl_estimated_costs_quantities[[#This Row],[Site Preparation]]*BOQs!$L$3</f>
        <v>0</v>
      </c>
      <c r="L187" s="76"/>
      <c r="M187" s="37"/>
      <c r="N187" s="86">
        <f>tbl_estimated_costs_quantities[[#This Row],[Demolition Removal Unsafe Structures]]*BOQs!$L$4</f>
        <v>0</v>
      </c>
      <c r="O187" s="76"/>
      <c r="P187" s="37"/>
      <c r="Q187" s="86">
        <f>tbl_estimated_costs_quantities[[#This Row],[Concrete Works]]*BOQs!$L$5</f>
        <v>0</v>
      </c>
      <c r="R187" s="76"/>
      <c r="S187" s="37"/>
      <c r="T187" s="86">
        <f>tbl_estimated_costs_quantities[[#This Row],[Closure External Openings Walls Windows]]*BOQs!$L$6</f>
        <v>0</v>
      </c>
      <c r="U187" s="76"/>
      <c r="V187" s="37"/>
      <c r="W187" s="86">
        <f>tbl_estimated_costs_quantities[[#This Row],[Plastering Painting]]*BOQs!$L$7</f>
        <v>0</v>
      </c>
      <c r="X187" s="76"/>
      <c r="Y187" s="37"/>
      <c r="Z187" s="86">
        <f>tbl_estimated_costs_quantities[[#This Row],[Floor Repairs]]*BOQs!$L$8</f>
        <v>0</v>
      </c>
      <c r="AA187" s="76"/>
      <c r="AB187" s="37"/>
      <c r="AC187" s="86">
        <f>tbl_estimated_costs_quantities[[#This Row],[Doors Replacement Repair]]*BOQs!$L$9</f>
        <v>0</v>
      </c>
      <c r="AD187" s="76"/>
      <c r="AE187" s="37"/>
      <c r="AF187" s="86">
        <f>tbl_estimated_costs_quantities[[#This Row],[Windows Replacement Repair]]*BOQs!$L$10</f>
        <v>0</v>
      </c>
      <c r="AG187" s="76"/>
      <c r="AH187" s="37"/>
      <c r="AI187" s="86">
        <f>tbl_estimated_costs_quantities[[#This Row],[Bathroom Rehabilitation]]*BOQs!$L$11</f>
        <v>0</v>
      </c>
      <c r="AJ187" s="76"/>
      <c r="AK187" s="37"/>
      <c r="AL187" s="86">
        <f>tbl_estimated_costs_quantities[[#This Row],[Ceramic Tile Works WASH]]*BOQs!$L$12</f>
        <v>0</v>
      </c>
      <c r="AM187" s="76"/>
      <c r="AN187" s="37"/>
      <c r="AO187" s="86">
        <f>tbl_estimated_costs_quantities[[#This Row],[Electrical Repairs Lighting]]*BOQs!$L$13</f>
        <v>0</v>
      </c>
      <c r="AP187" s="76"/>
      <c r="AQ187" s="37"/>
      <c r="AR187" s="86">
        <f>tbl_estimated_costs_quantities[[#This Row],[Roof Insulation Leak Sealing]]*BOQs!$L$14</f>
        <v>0</v>
      </c>
      <c r="AS187" s="76"/>
      <c r="AT187" s="37"/>
      <c r="AU187" s="86">
        <f>tbl_estimated_costs_quantities[[#This Row],[Chimney Duct Cleaning Repair]]*BOQs!$L$15</f>
        <v>0</v>
      </c>
      <c r="AV187" s="76"/>
      <c r="AW187" s="37"/>
      <c r="AX187" s="89">
        <f>tbl_estimated_costs_quantities[[#This Row],[Accessibility Adaptations]]*BOQs!$L$16</f>
        <v>0</v>
      </c>
      <c r="AY187" s="86" t="str">
        <f>IF(tbl_estimated_costs_quantities[[#This Row],[Total cost]]&lt;&gt;0,tbl_estimated_costs_quantities[[#This Row],[Total cost]]/BOQs!$A$1,"")</f>
        <v/>
      </c>
      <c r="AZ187" s="37"/>
      <c r="BA187" s="37"/>
      <c r="BB187" s="37"/>
      <c r="BC187" s="37"/>
      <c r="BD187" s="41"/>
      <c r="BE187" s="37"/>
      <c r="BF187" s="37"/>
      <c r="BG187" s="37"/>
      <c r="BH187" s="41"/>
    </row>
    <row r="188" spans="2:60" ht="25.15" customHeight="1" x14ac:dyDescent="0.25">
      <c r="B188" s="49">
        <v>184</v>
      </c>
      <c r="C188" s="37"/>
      <c r="D188" s="41"/>
      <c r="E188" s="40"/>
      <c r="F188" s="87" t="str">
        <f>IF(tbl_estimated_costs_quantities[[#This Row],[House Code]]&lt;&gt;"",INDEX(tbl_Assessment[],MATCH(tbl_estimated_costs_quantities[[#This Row],[House Code]],tbl_Assessment[House Code],0),3),"")</f>
        <v/>
      </c>
      <c r="G188" s="115" t="str">
        <f>IF(tbl_estimated_costs_quantities[[#This Row],[House Code]]&lt;&gt;"",INDEX(tbl_Assessment[],MATCH(tbl_estimated_costs_quantities[[#This Row],[House Code]],tbl_Assessment[House Code],0),9),"")</f>
        <v/>
      </c>
      <c r="H18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8" s="75"/>
      <c r="J188" s="37"/>
      <c r="K188" s="86">
        <f>tbl_estimated_costs_quantities[[#This Row],[Site Preparation]]*BOQs!$L$3</f>
        <v>0</v>
      </c>
      <c r="L188" s="76"/>
      <c r="M188" s="37"/>
      <c r="N188" s="86">
        <f>tbl_estimated_costs_quantities[[#This Row],[Demolition Removal Unsafe Structures]]*BOQs!$L$4</f>
        <v>0</v>
      </c>
      <c r="O188" s="76"/>
      <c r="P188" s="37"/>
      <c r="Q188" s="86">
        <f>tbl_estimated_costs_quantities[[#This Row],[Concrete Works]]*BOQs!$L$5</f>
        <v>0</v>
      </c>
      <c r="R188" s="76"/>
      <c r="S188" s="37"/>
      <c r="T188" s="86">
        <f>tbl_estimated_costs_quantities[[#This Row],[Closure External Openings Walls Windows]]*BOQs!$L$6</f>
        <v>0</v>
      </c>
      <c r="U188" s="76"/>
      <c r="V188" s="37"/>
      <c r="W188" s="86">
        <f>tbl_estimated_costs_quantities[[#This Row],[Plastering Painting]]*BOQs!$L$7</f>
        <v>0</v>
      </c>
      <c r="X188" s="76"/>
      <c r="Y188" s="37"/>
      <c r="Z188" s="86">
        <f>tbl_estimated_costs_quantities[[#This Row],[Floor Repairs]]*BOQs!$L$8</f>
        <v>0</v>
      </c>
      <c r="AA188" s="76"/>
      <c r="AB188" s="37"/>
      <c r="AC188" s="86">
        <f>tbl_estimated_costs_quantities[[#This Row],[Doors Replacement Repair]]*BOQs!$L$9</f>
        <v>0</v>
      </c>
      <c r="AD188" s="76"/>
      <c r="AE188" s="37"/>
      <c r="AF188" s="86">
        <f>tbl_estimated_costs_quantities[[#This Row],[Windows Replacement Repair]]*BOQs!$L$10</f>
        <v>0</v>
      </c>
      <c r="AG188" s="76"/>
      <c r="AH188" s="37"/>
      <c r="AI188" s="86">
        <f>tbl_estimated_costs_quantities[[#This Row],[Bathroom Rehabilitation]]*BOQs!$L$11</f>
        <v>0</v>
      </c>
      <c r="AJ188" s="76"/>
      <c r="AK188" s="37"/>
      <c r="AL188" s="86">
        <f>tbl_estimated_costs_quantities[[#This Row],[Ceramic Tile Works WASH]]*BOQs!$L$12</f>
        <v>0</v>
      </c>
      <c r="AM188" s="76"/>
      <c r="AN188" s="37"/>
      <c r="AO188" s="86">
        <f>tbl_estimated_costs_quantities[[#This Row],[Electrical Repairs Lighting]]*BOQs!$L$13</f>
        <v>0</v>
      </c>
      <c r="AP188" s="76"/>
      <c r="AQ188" s="37"/>
      <c r="AR188" s="86">
        <f>tbl_estimated_costs_quantities[[#This Row],[Roof Insulation Leak Sealing]]*BOQs!$L$14</f>
        <v>0</v>
      </c>
      <c r="AS188" s="76"/>
      <c r="AT188" s="37"/>
      <c r="AU188" s="86">
        <f>tbl_estimated_costs_quantities[[#This Row],[Chimney Duct Cleaning Repair]]*BOQs!$L$15</f>
        <v>0</v>
      </c>
      <c r="AV188" s="76"/>
      <c r="AW188" s="37"/>
      <c r="AX188" s="89">
        <f>tbl_estimated_costs_quantities[[#This Row],[Accessibility Adaptations]]*BOQs!$L$16</f>
        <v>0</v>
      </c>
      <c r="AY188" s="86" t="str">
        <f>IF(tbl_estimated_costs_quantities[[#This Row],[Total cost]]&lt;&gt;0,tbl_estimated_costs_quantities[[#This Row],[Total cost]]/BOQs!$A$1,"")</f>
        <v/>
      </c>
      <c r="AZ188" s="37"/>
      <c r="BA188" s="37"/>
      <c r="BB188" s="37"/>
      <c r="BC188" s="37"/>
      <c r="BD188" s="41"/>
      <c r="BE188" s="37"/>
      <c r="BF188" s="37"/>
      <c r="BG188" s="37"/>
      <c r="BH188" s="41"/>
    </row>
    <row r="189" spans="2:60" ht="25.15" customHeight="1" x14ac:dyDescent="0.25">
      <c r="B189" s="49">
        <v>185</v>
      </c>
      <c r="C189" s="37"/>
      <c r="D189" s="41"/>
      <c r="E189" s="40"/>
      <c r="F189" s="87" t="str">
        <f>IF(tbl_estimated_costs_quantities[[#This Row],[House Code]]&lt;&gt;"",INDEX(tbl_Assessment[],MATCH(tbl_estimated_costs_quantities[[#This Row],[House Code]],tbl_Assessment[House Code],0),3),"")</f>
        <v/>
      </c>
      <c r="G189" s="115" t="str">
        <f>IF(tbl_estimated_costs_quantities[[#This Row],[House Code]]&lt;&gt;"",INDEX(tbl_Assessment[],MATCH(tbl_estimated_costs_quantities[[#This Row],[House Code]],tbl_Assessment[House Code],0),9),"")</f>
        <v/>
      </c>
      <c r="H18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89" s="75"/>
      <c r="J189" s="37"/>
      <c r="K189" s="86">
        <f>tbl_estimated_costs_quantities[[#This Row],[Site Preparation]]*BOQs!$L$3</f>
        <v>0</v>
      </c>
      <c r="L189" s="76"/>
      <c r="M189" s="37"/>
      <c r="N189" s="86">
        <f>tbl_estimated_costs_quantities[[#This Row],[Demolition Removal Unsafe Structures]]*BOQs!$L$4</f>
        <v>0</v>
      </c>
      <c r="O189" s="76"/>
      <c r="P189" s="37"/>
      <c r="Q189" s="86">
        <f>tbl_estimated_costs_quantities[[#This Row],[Concrete Works]]*BOQs!$L$5</f>
        <v>0</v>
      </c>
      <c r="R189" s="76"/>
      <c r="S189" s="37"/>
      <c r="T189" s="86">
        <f>tbl_estimated_costs_quantities[[#This Row],[Closure External Openings Walls Windows]]*BOQs!$L$6</f>
        <v>0</v>
      </c>
      <c r="U189" s="76"/>
      <c r="V189" s="37"/>
      <c r="W189" s="86">
        <f>tbl_estimated_costs_quantities[[#This Row],[Plastering Painting]]*BOQs!$L$7</f>
        <v>0</v>
      </c>
      <c r="X189" s="76"/>
      <c r="Y189" s="37"/>
      <c r="Z189" s="86">
        <f>tbl_estimated_costs_quantities[[#This Row],[Floor Repairs]]*BOQs!$L$8</f>
        <v>0</v>
      </c>
      <c r="AA189" s="76"/>
      <c r="AB189" s="37"/>
      <c r="AC189" s="86">
        <f>tbl_estimated_costs_quantities[[#This Row],[Doors Replacement Repair]]*BOQs!$L$9</f>
        <v>0</v>
      </c>
      <c r="AD189" s="76"/>
      <c r="AE189" s="37"/>
      <c r="AF189" s="86">
        <f>tbl_estimated_costs_quantities[[#This Row],[Windows Replacement Repair]]*BOQs!$L$10</f>
        <v>0</v>
      </c>
      <c r="AG189" s="76"/>
      <c r="AH189" s="37"/>
      <c r="AI189" s="86">
        <f>tbl_estimated_costs_quantities[[#This Row],[Bathroom Rehabilitation]]*BOQs!$L$11</f>
        <v>0</v>
      </c>
      <c r="AJ189" s="76"/>
      <c r="AK189" s="37"/>
      <c r="AL189" s="86">
        <f>tbl_estimated_costs_quantities[[#This Row],[Ceramic Tile Works WASH]]*BOQs!$L$12</f>
        <v>0</v>
      </c>
      <c r="AM189" s="76"/>
      <c r="AN189" s="37"/>
      <c r="AO189" s="86">
        <f>tbl_estimated_costs_quantities[[#This Row],[Electrical Repairs Lighting]]*BOQs!$L$13</f>
        <v>0</v>
      </c>
      <c r="AP189" s="76"/>
      <c r="AQ189" s="37"/>
      <c r="AR189" s="86">
        <f>tbl_estimated_costs_quantities[[#This Row],[Roof Insulation Leak Sealing]]*BOQs!$L$14</f>
        <v>0</v>
      </c>
      <c r="AS189" s="76"/>
      <c r="AT189" s="37"/>
      <c r="AU189" s="86">
        <f>tbl_estimated_costs_quantities[[#This Row],[Chimney Duct Cleaning Repair]]*BOQs!$L$15</f>
        <v>0</v>
      </c>
      <c r="AV189" s="76"/>
      <c r="AW189" s="37"/>
      <c r="AX189" s="89">
        <f>tbl_estimated_costs_quantities[[#This Row],[Accessibility Adaptations]]*BOQs!$L$16</f>
        <v>0</v>
      </c>
      <c r="AY189" s="86" t="str">
        <f>IF(tbl_estimated_costs_quantities[[#This Row],[Total cost]]&lt;&gt;0,tbl_estimated_costs_quantities[[#This Row],[Total cost]]/BOQs!$A$1,"")</f>
        <v/>
      </c>
      <c r="AZ189" s="37"/>
      <c r="BA189" s="37"/>
      <c r="BB189" s="37"/>
      <c r="BC189" s="37"/>
      <c r="BD189" s="41"/>
      <c r="BE189" s="37"/>
      <c r="BF189" s="37"/>
      <c r="BG189" s="37"/>
      <c r="BH189" s="41"/>
    </row>
    <row r="190" spans="2:60" ht="25.15" customHeight="1" x14ac:dyDescent="0.25">
      <c r="B190" s="49">
        <v>186</v>
      </c>
      <c r="C190" s="37"/>
      <c r="D190" s="41"/>
      <c r="E190" s="40"/>
      <c r="F190" s="87" t="str">
        <f>IF(tbl_estimated_costs_quantities[[#This Row],[House Code]]&lt;&gt;"",INDEX(tbl_Assessment[],MATCH(tbl_estimated_costs_quantities[[#This Row],[House Code]],tbl_Assessment[House Code],0),3),"")</f>
        <v/>
      </c>
      <c r="G190" s="115" t="str">
        <f>IF(tbl_estimated_costs_quantities[[#This Row],[House Code]]&lt;&gt;"",INDEX(tbl_Assessment[],MATCH(tbl_estimated_costs_quantities[[#This Row],[House Code]],tbl_Assessment[House Code],0),9),"")</f>
        <v/>
      </c>
      <c r="H19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0" s="75"/>
      <c r="J190" s="37"/>
      <c r="K190" s="86">
        <f>tbl_estimated_costs_quantities[[#This Row],[Site Preparation]]*BOQs!$L$3</f>
        <v>0</v>
      </c>
      <c r="L190" s="76"/>
      <c r="M190" s="37"/>
      <c r="N190" s="86">
        <f>tbl_estimated_costs_quantities[[#This Row],[Demolition Removal Unsafe Structures]]*BOQs!$L$4</f>
        <v>0</v>
      </c>
      <c r="O190" s="76"/>
      <c r="P190" s="37"/>
      <c r="Q190" s="86">
        <f>tbl_estimated_costs_quantities[[#This Row],[Concrete Works]]*BOQs!$L$5</f>
        <v>0</v>
      </c>
      <c r="R190" s="76"/>
      <c r="S190" s="37"/>
      <c r="T190" s="86">
        <f>tbl_estimated_costs_quantities[[#This Row],[Closure External Openings Walls Windows]]*BOQs!$L$6</f>
        <v>0</v>
      </c>
      <c r="U190" s="76"/>
      <c r="V190" s="37"/>
      <c r="W190" s="86">
        <f>tbl_estimated_costs_quantities[[#This Row],[Plastering Painting]]*BOQs!$L$7</f>
        <v>0</v>
      </c>
      <c r="X190" s="76"/>
      <c r="Y190" s="37"/>
      <c r="Z190" s="86">
        <f>tbl_estimated_costs_quantities[[#This Row],[Floor Repairs]]*BOQs!$L$8</f>
        <v>0</v>
      </c>
      <c r="AA190" s="76"/>
      <c r="AB190" s="37"/>
      <c r="AC190" s="86">
        <f>tbl_estimated_costs_quantities[[#This Row],[Doors Replacement Repair]]*BOQs!$L$9</f>
        <v>0</v>
      </c>
      <c r="AD190" s="76"/>
      <c r="AE190" s="37"/>
      <c r="AF190" s="86">
        <f>tbl_estimated_costs_quantities[[#This Row],[Windows Replacement Repair]]*BOQs!$L$10</f>
        <v>0</v>
      </c>
      <c r="AG190" s="76"/>
      <c r="AH190" s="37"/>
      <c r="AI190" s="86">
        <f>tbl_estimated_costs_quantities[[#This Row],[Bathroom Rehabilitation]]*BOQs!$L$11</f>
        <v>0</v>
      </c>
      <c r="AJ190" s="76"/>
      <c r="AK190" s="37"/>
      <c r="AL190" s="86">
        <f>tbl_estimated_costs_quantities[[#This Row],[Ceramic Tile Works WASH]]*BOQs!$L$12</f>
        <v>0</v>
      </c>
      <c r="AM190" s="76"/>
      <c r="AN190" s="37"/>
      <c r="AO190" s="86">
        <f>tbl_estimated_costs_quantities[[#This Row],[Electrical Repairs Lighting]]*BOQs!$L$13</f>
        <v>0</v>
      </c>
      <c r="AP190" s="76"/>
      <c r="AQ190" s="37"/>
      <c r="AR190" s="86">
        <f>tbl_estimated_costs_quantities[[#This Row],[Roof Insulation Leak Sealing]]*BOQs!$L$14</f>
        <v>0</v>
      </c>
      <c r="AS190" s="76"/>
      <c r="AT190" s="37"/>
      <c r="AU190" s="86">
        <f>tbl_estimated_costs_quantities[[#This Row],[Chimney Duct Cleaning Repair]]*BOQs!$L$15</f>
        <v>0</v>
      </c>
      <c r="AV190" s="76"/>
      <c r="AW190" s="37"/>
      <c r="AX190" s="89">
        <f>tbl_estimated_costs_quantities[[#This Row],[Accessibility Adaptations]]*BOQs!$L$16</f>
        <v>0</v>
      </c>
      <c r="AY190" s="86" t="str">
        <f>IF(tbl_estimated_costs_quantities[[#This Row],[Total cost]]&lt;&gt;0,tbl_estimated_costs_quantities[[#This Row],[Total cost]]/BOQs!$A$1,"")</f>
        <v/>
      </c>
      <c r="AZ190" s="37"/>
      <c r="BA190" s="37"/>
      <c r="BB190" s="37"/>
      <c r="BC190" s="37"/>
      <c r="BD190" s="41"/>
      <c r="BE190" s="37"/>
      <c r="BF190" s="37"/>
      <c r="BG190" s="37"/>
      <c r="BH190" s="41"/>
    </row>
    <row r="191" spans="2:60" ht="25.15" customHeight="1" x14ac:dyDescent="0.25">
      <c r="B191" s="49">
        <v>187</v>
      </c>
      <c r="C191" s="37"/>
      <c r="D191" s="41"/>
      <c r="E191" s="40"/>
      <c r="F191" s="87" t="str">
        <f>IF(tbl_estimated_costs_quantities[[#This Row],[House Code]]&lt;&gt;"",INDEX(tbl_Assessment[],MATCH(tbl_estimated_costs_quantities[[#This Row],[House Code]],tbl_Assessment[House Code],0),3),"")</f>
        <v/>
      </c>
      <c r="G191" s="115" t="str">
        <f>IF(tbl_estimated_costs_quantities[[#This Row],[House Code]]&lt;&gt;"",INDEX(tbl_Assessment[],MATCH(tbl_estimated_costs_quantities[[#This Row],[House Code]],tbl_Assessment[House Code],0),9),"")</f>
        <v/>
      </c>
      <c r="H19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1" s="75"/>
      <c r="J191" s="37"/>
      <c r="K191" s="86">
        <f>tbl_estimated_costs_quantities[[#This Row],[Site Preparation]]*BOQs!$L$3</f>
        <v>0</v>
      </c>
      <c r="L191" s="76"/>
      <c r="M191" s="37"/>
      <c r="N191" s="86">
        <f>tbl_estimated_costs_quantities[[#This Row],[Demolition Removal Unsafe Structures]]*BOQs!$L$4</f>
        <v>0</v>
      </c>
      <c r="O191" s="76"/>
      <c r="P191" s="37"/>
      <c r="Q191" s="86">
        <f>tbl_estimated_costs_quantities[[#This Row],[Concrete Works]]*BOQs!$L$5</f>
        <v>0</v>
      </c>
      <c r="R191" s="76"/>
      <c r="S191" s="37"/>
      <c r="T191" s="86">
        <f>tbl_estimated_costs_quantities[[#This Row],[Closure External Openings Walls Windows]]*BOQs!$L$6</f>
        <v>0</v>
      </c>
      <c r="U191" s="76"/>
      <c r="V191" s="37"/>
      <c r="W191" s="86">
        <f>tbl_estimated_costs_quantities[[#This Row],[Plastering Painting]]*BOQs!$L$7</f>
        <v>0</v>
      </c>
      <c r="X191" s="76"/>
      <c r="Y191" s="37"/>
      <c r="Z191" s="86">
        <f>tbl_estimated_costs_quantities[[#This Row],[Floor Repairs]]*BOQs!$L$8</f>
        <v>0</v>
      </c>
      <c r="AA191" s="76"/>
      <c r="AB191" s="37"/>
      <c r="AC191" s="86">
        <f>tbl_estimated_costs_quantities[[#This Row],[Doors Replacement Repair]]*BOQs!$L$9</f>
        <v>0</v>
      </c>
      <c r="AD191" s="76"/>
      <c r="AE191" s="37"/>
      <c r="AF191" s="86">
        <f>tbl_estimated_costs_quantities[[#This Row],[Windows Replacement Repair]]*BOQs!$L$10</f>
        <v>0</v>
      </c>
      <c r="AG191" s="76"/>
      <c r="AH191" s="37"/>
      <c r="AI191" s="86">
        <f>tbl_estimated_costs_quantities[[#This Row],[Bathroom Rehabilitation]]*BOQs!$L$11</f>
        <v>0</v>
      </c>
      <c r="AJ191" s="76"/>
      <c r="AK191" s="37"/>
      <c r="AL191" s="86">
        <f>tbl_estimated_costs_quantities[[#This Row],[Ceramic Tile Works WASH]]*BOQs!$L$12</f>
        <v>0</v>
      </c>
      <c r="AM191" s="76"/>
      <c r="AN191" s="37"/>
      <c r="AO191" s="86">
        <f>tbl_estimated_costs_quantities[[#This Row],[Electrical Repairs Lighting]]*BOQs!$L$13</f>
        <v>0</v>
      </c>
      <c r="AP191" s="76"/>
      <c r="AQ191" s="37"/>
      <c r="AR191" s="86">
        <f>tbl_estimated_costs_quantities[[#This Row],[Roof Insulation Leak Sealing]]*BOQs!$L$14</f>
        <v>0</v>
      </c>
      <c r="AS191" s="76"/>
      <c r="AT191" s="37"/>
      <c r="AU191" s="86">
        <f>tbl_estimated_costs_quantities[[#This Row],[Chimney Duct Cleaning Repair]]*BOQs!$L$15</f>
        <v>0</v>
      </c>
      <c r="AV191" s="76"/>
      <c r="AW191" s="37"/>
      <c r="AX191" s="89">
        <f>tbl_estimated_costs_quantities[[#This Row],[Accessibility Adaptations]]*BOQs!$L$16</f>
        <v>0</v>
      </c>
      <c r="AY191" s="86" t="str">
        <f>IF(tbl_estimated_costs_quantities[[#This Row],[Total cost]]&lt;&gt;0,tbl_estimated_costs_quantities[[#This Row],[Total cost]]/BOQs!$A$1,"")</f>
        <v/>
      </c>
      <c r="AZ191" s="37"/>
      <c r="BA191" s="37"/>
      <c r="BB191" s="37"/>
      <c r="BC191" s="37"/>
      <c r="BD191" s="41"/>
      <c r="BE191" s="37"/>
      <c r="BF191" s="37"/>
      <c r="BG191" s="37"/>
      <c r="BH191" s="41"/>
    </row>
    <row r="192" spans="2:60" ht="25.15" customHeight="1" x14ac:dyDescent="0.25">
      <c r="B192" s="49">
        <v>188</v>
      </c>
      <c r="C192" s="37"/>
      <c r="D192" s="41"/>
      <c r="E192" s="40"/>
      <c r="F192" s="87" t="str">
        <f>IF(tbl_estimated_costs_quantities[[#This Row],[House Code]]&lt;&gt;"",INDEX(tbl_Assessment[],MATCH(tbl_estimated_costs_quantities[[#This Row],[House Code]],tbl_Assessment[House Code],0),3),"")</f>
        <v/>
      </c>
      <c r="G192" s="115" t="str">
        <f>IF(tbl_estimated_costs_quantities[[#This Row],[House Code]]&lt;&gt;"",INDEX(tbl_Assessment[],MATCH(tbl_estimated_costs_quantities[[#This Row],[House Code]],tbl_Assessment[House Code],0),9),"")</f>
        <v/>
      </c>
      <c r="H19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2" s="75"/>
      <c r="J192" s="37"/>
      <c r="K192" s="86">
        <f>tbl_estimated_costs_quantities[[#This Row],[Site Preparation]]*BOQs!$L$3</f>
        <v>0</v>
      </c>
      <c r="L192" s="76"/>
      <c r="M192" s="37"/>
      <c r="N192" s="86">
        <f>tbl_estimated_costs_quantities[[#This Row],[Demolition Removal Unsafe Structures]]*BOQs!$L$4</f>
        <v>0</v>
      </c>
      <c r="O192" s="76"/>
      <c r="P192" s="37"/>
      <c r="Q192" s="86">
        <f>tbl_estimated_costs_quantities[[#This Row],[Concrete Works]]*BOQs!$L$5</f>
        <v>0</v>
      </c>
      <c r="R192" s="76"/>
      <c r="S192" s="37"/>
      <c r="T192" s="86">
        <f>tbl_estimated_costs_quantities[[#This Row],[Closure External Openings Walls Windows]]*BOQs!$L$6</f>
        <v>0</v>
      </c>
      <c r="U192" s="76"/>
      <c r="V192" s="37"/>
      <c r="W192" s="86">
        <f>tbl_estimated_costs_quantities[[#This Row],[Plastering Painting]]*BOQs!$L$7</f>
        <v>0</v>
      </c>
      <c r="X192" s="76"/>
      <c r="Y192" s="37"/>
      <c r="Z192" s="86">
        <f>tbl_estimated_costs_quantities[[#This Row],[Floor Repairs]]*BOQs!$L$8</f>
        <v>0</v>
      </c>
      <c r="AA192" s="76"/>
      <c r="AB192" s="37"/>
      <c r="AC192" s="86">
        <f>tbl_estimated_costs_quantities[[#This Row],[Doors Replacement Repair]]*BOQs!$L$9</f>
        <v>0</v>
      </c>
      <c r="AD192" s="76"/>
      <c r="AE192" s="37"/>
      <c r="AF192" s="86">
        <f>tbl_estimated_costs_quantities[[#This Row],[Windows Replacement Repair]]*BOQs!$L$10</f>
        <v>0</v>
      </c>
      <c r="AG192" s="76"/>
      <c r="AH192" s="37"/>
      <c r="AI192" s="86">
        <f>tbl_estimated_costs_quantities[[#This Row],[Bathroom Rehabilitation]]*BOQs!$L$11</f>
        <v>0</v>
      </c>
      <c r="AJ192" s="76"/>
      <c r="AK192" s="37"/>
      <c r="AL192" s="86">
        <f>tbl_estimated_costs_quantities[[#This Row],[Ceramic Tile Works WASH]]*BOQs!$L$12</f>
        <v>0</v>
      </c>
      <c r="AM192" s="76"/>
      <c r="AN192" s="37"/>
      <c r="AO192" s="86">
        <f>tbl_estimated_costs_quantities[[#This Row],[Electrical Repairs Lighting]]*BOQs!$L$13</f>
        <v>0</v>
      </c>
      <c r="AP192" s="76"/>
      <c r="AQ192" s="37"/>
      <c r="AR192" s="86">
        <f>tbl_estimated_costs_quantities[[#This Row],[Roof Insulation Leak Sealing]]*BOQs!$L$14</f>
        <v>0</v>
      </c>
      <c r="AS192" s="76"/>
      <c r="AT192" s="37"/>
      <c r="AU192" s="86">
        <f>tbl_estimated_costs_quantities[[#This Row],[Chimney Duct Cleaning Repair]]*BOQs!$L$15</f>
        <v>0</v>
      </c>
      <c r="AV192" s="76"/>
      <c r="AW192" s="37"/>
      <c r="AX192" s="89">
        <f>tbl_estimated_costs_quantities[[#This Row],[Accessibility Adaptations]]*BOQs!$L$16</f>
        <v>0</v>
      </c>
      <c r="AY192" s="86" t="str">
        <f>IF(tbl_estimated_costs_quantities[[#This Row],[Total cost]]&lt;&gt;0,tbl_estimated_costs_quantities[[#This Row],[Total cost]]/BOQs!$A$1,"")</f>
        <v/>
      </c>
      <c r="AZ192" s="37"/>
      <c r="BA192" s="37"/>
      <c r="BB192" s="37"/>
      <c r="BC192" s="37"/>
      <c r="BD192" s="41"/>
      <c r="BE192" s="37"/>
      <c r="BF192" s="37"/>
      <c r="BG192" s="37"/>
      <c r="BH192" s="41"/>
    </row>
    <row r="193" spans="2:60" ht="25.15" customHeight="1" x14ac:dyDescent="0.25">
      <c r="B193" s="49">
        <v>189</v>
      </c>
      <c r="C193" s="37"/>
      <c r="D193" s="41"/>
      <c r="E193" s="40"/>
      <c r="F193" s="87" t="str">
        <f>IF(tbl_estimated_costs_quantities[[#This Row],[House Code]]&lt;&gt;"",INDEX(tbl_Assessment[],MATCH(tbl_estimated_costs_quantities[[#This Row],[House Code]],tbl_Assessment[House Code],0),3),"")</f>
        <v/>
      </c>
      <c r="G193" s="115" t="str">
        <f>IF(tbl_estimated_costs_quantities[[#This Row],[House Code]]&lt;&gt;"",INDEX(tbl_Assessment[],MATCH(tbl_estimated_costs_quantities[[#This Row],[House Code]],tbl_Assessment[House Code],0),9),"")</f>
        <v/>
      </c>
      <c r="H19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3" s="75"/>
      <c r="J193" s="37"/>
      <c r="K193" s="86">
        <f>tbl_estimated_costs_quantities[[#This Row],[Site Preparation]]*BOQs!$L$3</f>
        <v>0</v>
      </c>
      <c r="L193" s="76"/>
      <c r="M193" s="37"/>
      <c r="N193" s="86">
        <f>tbl_estimated_costs_quantities[[#This Row],[Demolition Removal Unsafe Structures]]*BOQs!$L$4</f>
        <v>0</v>
      </c>
      <c r="O193" s="76"/>
      <c r="P193" s="37"/>
      <c r="Q193" s="86">
        <f>tbl_estimated_costs_quantities[[#This Row],[Concrete Works]]*BOQs!$L$5</f>
        <v>0</v>
      </c>
      <c r="R193" s="76"/>
      <c r="S193" s="37"/>
      <c r="T193" s="86">
        <f>tbl_estimated_costs_quantities[[#This Row],[Closure External Openings Walls Windows]]*BOQs!$L$6</f>
        <v>0</v>
      </c>
      <c r="U193" s="76"/>
      <c r="V193" s="37"/>
      <c r="W193" s="86">
        <f>tbl_estimated_costs_quantities[[#This Row],[Plastering Painting]]*BOQs!$L$7</f>
        <v>0</v>
      </c>
      <c r="X193" s="76"/>
      <c r="Y193" s="37"/>
      <c r="Z193" s="86">
        <f>tbl_estimated_costs_quantities[[#This Row],[Floor Repairs]]*BOQs!$L$8</f>
        <v>0</v>
      </c>
      <c r="AA193" s="76"/>
      <c r="AB193" s="37"/>
      <c r="AC193" s="86">
        <f>tbl_estimated_costs_quantities[[#This Row],[Doors Replacement Repair]]*BOQs!$L$9</f>
        <v>0</v>
      </c>
      <c r="AD193" s="76"/>
      <c r="AE193" s="37"/>
      <c r="AF193" s="86">
        <f>tbl_estimated_costs_quantities[[#This Row],[Windows Replacement Repair]]*BOQs!$L$10</f>
        <v>0</v>
      </c>
      <c r="AG193" s="76"/>
      <c r="AH193" s="37"/>
      <c r="AI193" s="86">
        <f>tbl_estimated_costs_quantities[[#This Row],[Bathroom Rehabilitation]]*BOQs!$L$11</f>
        <v>0</v>
      </c>
      <c r="AJ193" s="76"/>
      <c r="AK193" s="37"/>
      <c r="AL193" s="86">
        <f>tbl_estimated_costs_quantities[[#This Row],[Ceramic Tile Works WASH]]*BOQs!$L$12</f>
        <v>0</v>
      </c>
      <c r="AM193" s="76"/>
      <c r="AN193" s="37"/>
      <c r="AO193" s="86">
        <f>tbl_estimated_costs_quantities[[#This Row],[Electrical Repairs Lighting]]*BOQs!$L$13</f>
        <v>0</v>
      </c>
      <c r="AP193" s="76"/>
      <c r="AQ193" s="37"/>
      <c r="AR193" s="86">
        <f>tbl_estimated_costs_quantities[[#This Row],[Roof Insulation Leak Sealing]]*BOQs!$L$14</f>
        <v>0</v>
      </c>
      <c r="AS193" s="76"/>
      <c r="AT193" s="37"/>
      <c r="AU193" s="86">
        <f>tbl_estimated_costs_quantities[[#This Row],[Chimney Duct Cleaning Repair]]*BOQs!$L$15</f>
        <v>0</v>
      </c>
      <c r="AV193" s="76"/>
      <c r="AW193" s="37"/>
      <c r="AX193" s="89">
        <f>tbl_estimated_costs_quantities[[#This Row],[Accessibility Adaptations]]*BOQs!$L$16</f>
        <v>0</v>
      </c>
      <c r="AY193" s="86" t="str">
        <f>IF(tbl_estimated_costs_quantities[[#This Row],[Total cost]]&lt;&gt;0,tbl_estimated_costs_quantities[[#This Row],[Total cost]]/BOQs!$A$1,"")</f>
        <v/>
      </c>
      <c r="AZ193" s="37"/>
      <c r="BA193" s="37"/>
      <c r="BB193" s="37"/>
      <c r="BC193" s="37"/>
      <c r="BD193" s="41"/>
      <c r="BE193" s="37"/>
      <c r="BF193" s="37"/>
      <c r="BG193" s="37"/>
      <c r="BH193" s="41"/>
    </row>
    <row r="194" spans="2:60" ht="25.15" customHeight="1" x14ac:dyDescent="0.25">
      <c r="B194" s="49">
        <v>190</v>
      </c>
      <c r="C194" s="37"/>
      <c r="D194" s="41"/>
      <c r="E194" s="40"/>
      <c r="F194" s="87" t="str">
        <f>IF(tbl_estimated_costs_quantities[[#This Row],[House Code]]&lt;&gt;"",INDEX(tbl_Assessment[],MATCH(tbl_estimated_costs_quantities[[#This Row],[House Code]],tbl_Assessment[House Code],0),3),"")</f>
        <v/>
      </c>
      <c r="G194" s="115" t="str">
        <f>IF(tbl_estimated_costs_quantities[[#This Row],[House Code]]&lt;&gt;"",INDEX(tbl_Assessment[],MATCH(tbl_estimated_costs_quantities[[#This Row],[House Code]],tbl_Assessment[House Code],0),9),"")</f>
        <v/>
      </c>
      <c r="H19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4" s="75"/>
      <c r="J194" s="37"/>
      <c r="K194" s="86">
        <f>tbl_estimated_costs_quantities[[#This Row],[Site Preparation]]*BOQs!$L$3</f>
        <v>0</v>
      </c>
      <c r="L194" s="76"/>
      <c r="M194" s="37"/>
      <c r="N194" s="86">
        <f>tbl_estimated_costs_quantities[[#This Row],[Demolition Removal Unsafe Structures]]*BOQs!$L$4</f>
        <v>0</v>
      </c>
      <c r="O194" s="76"/>
      <c r="P194" s="37"/>
      <c r="Q194" s="86">
        <f>tbl_estimated_costs_quantities[[#This Row],[Concrete Works]]*BOQs!$L$5</f>
        <v>0</v>
      </c>
      <c r="R194" s="76"/>
      <c r="S194" s="37"/>
      <c r="T194" s="86">
        <f>tbl_estimated_costs_quantities[[#This Row],[Closure External Openings Walls Windows]]*BOQs!$L$6</f>
        <v>0</v>
      </c>
      <c r="U194" s="76"/>
      <c r="V194" s="37"/>
      <c r="W194" s="86">
        <f>tbl_estimated_costs_quantities[[#This Row],[Plastering Painting]]*BOQs!$L$7</f>
        <v>0</v>
      </c>
      <c r="X194" s="76"/>
      <c r="Y194" s="37"/>
      <c r="Z194" s="86">
        <f>tbl_estimated_costs_quantities[[#This Row],[Floor Repairs]]*BOQs!$L$8</f>
        <v>0</v>
      </c>
      <c r="AA194" s="76"/>
      <c r="AB194" s="37"/>
      <c r="AC194" s="86">
        <f>tbl_estimated_costs_quantities[[#This Row],[Doors Replacement Repair]]*BOQs!$L$9</f>
        <v>0</v>
      </c>
      <c r="AD194" s="76"/>
      <c r="AE194" s="37"/>
      <c r="AF194" s="86">
        <f>tbl_estimated_costs_quantities[[#This Row],[Windows Replacement Repair]]*BOQs!$L$10</f>
        <v>0</v>
      </c>
      <c r="AG194" s="76"/>
      <c r="AH194" s="37"/>
      <c r="AI194" s="86">
        <f>tbl_estimated_costs_quantities[[#This Row],[Bathroom Rehabilitation]]*BOQs!$L$11</f>
        <v>0</v>
      </c>
      <c r="AJ194" s="76"/>
      <c r="AK194" s="37"/>
      <c r="AL194" s="86">
        <f>tbl_estimated_costs_quantities[[#This Row],[Ceramic Tile Works WASH]]*BOQs!$L$12</f>
        <v>0</v>
      </c>
      <c r="AM194" s="76"/>
      <c r="AN194" s="37"/>
      <c r="AO194" s="86">
        <f>tbl_estimated_costs_quantities[[#This Row],[Electrical Repairs Lighting]]*BOQs!$L$13</f>
        <v>0</v>
      </c>
      <c r="AP194" s="76"/>
      <c r="AQ194" s="37"/>
      <c r="AR194" s="86">
        <f>tbl_estimated_costs_quantities[[#This Row],[Roof Insulation Leak Sealing]]*BOQs!$L$14</f>
        <v>0</v>
      </c>
      <c r="AS194" s="76"/>
      <c r="AT194" s="37"/>
      <c r="AU194" s="86">
        <f>tbl_estimated_costs_quantities[[#This Row],[Chimney Duct Cleaning Repair]]*BOQs!$L$15</f>
        <v>0</v>
      </c>
      <c r="AV194" s="76"/>
      <c r="AW194" s="37"/>
      <c r="AX194" s="89">
        <f>tbl_estimated_costs_quantities[[#This Row],[Accessibility Adaptations]]*BOQs!$L$16</f>
        <v>0</v>
      </c>
      <c r="AY194" s="86" t="str">
        <f>IF(tbl_estimated_costs_quantities[[#This Row],[Total cost]]&lt;&gt;0,tbl_estimated_costs_quantities[[#This Row],[Total cost]]/BOQs!$A$1,"")</f>
        <v/>
      </c>
      <c r="AZ194" s="37"/>
      <c r="BA194" s="37"/>
      <c r="BB194" s="37"/>
      <c r="BC194" s="37"/>
      <c r="BD194" s="41"/>
      <c r="BE194" s="37"/>
      <c r="BF194" s="37"/>
      <c r="BG194" s="37"/>
      <c r="BH194" s="41"/>
    </row>
    <row r="195" spans="2:60" ht="25.15" customHeight="1" x14ac:dyDescent="0.25">
      <c r="B195" s="49">
        <v>191</v>
      </c>
      <c r="C195" s="37"/>
      <c r="D195" s="41"/>
      <c r="E195" s="40"/>
      <c r="F195" s="87" t="str">
        <f>IF(tbl_estimated_costs_quantities[[#This Row],[House Code]]&lt;&gt;"",INDEX(tbl_Assessment[],MATCH(tbl_estimated_costs_quantities[[#This Row],[House Code]],tbl_Assessment[House Code],0),3),"")</f>
        <v/>
      </c>
      <c r="G195" s="115" t="str">
        <f>IF(tbl_estimated_costs_quantities[[#This Row],[House Code]]&lt;&gt;"",INDEX(tbl_Assessment[],MATCH(tbl_estimated_costs_quantities[[#This Row],[House Code]],tbl_Assessment[House Code],0),9),"")</f>
        <v/>
      </c>
      <c r="H19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5" s="75"/>
      <c r="J195" s="37"/>
      <c r="K195" s="86">
        <f>tbl_estimated_costs_quantities[[#This Row],[Site Preparation]]*BOQs!$L$3</f>
        <v>0</v>
      </c>
      <c r="L195" s="76"/>
      <c r="M195" s="37"/>
      <c r="N195" s="86">
        <f>tbl_estimated_costs_quantities[[#This Row],[Demolition Removal Unsafe Structures]]*BOQs!$L$4</f>
        <v>0</v>
      </c>
      <c r="O195" s="76"/>
      <c r="P195" s="37"/>
      <c r="Q195" s="86">
        <f>tbl_estimated_costs_quantities[[#This Row],[Concrete Works]]*BOQs!$L$5</f>
        <v>0</v>
      </c>
      <c r="R195" s="76"/>
      <c r="S195" s="37"/>
      <c r="T195" s="86">
        <f>tbl_estimated_costs_quantities[[#This Row],[Closure External Openings Walls Windows]]*BOQs!$L$6</f>
        <v>0</v>
      </c>
      <c r="U195" s="76"/>
      <c r="V195" s="37"/>
      <c r="W195" s="86">
        <f>tbl_estimated_costs_quantities[[#This Row],[Plastering Painting]]*BOQs!$L$7</f>
        <v>0</v>
      </c>
      <c r="X195" s="76"/>
      <c r="Y195" s="37"/>
      <c r="Z195" s="86">
        <f>tbl_estimated_costs_quantities[[#This Row],[Floor Repairs]]*BOQs!$L$8</f>
        <v>0</v>
      </c>
      <c r="AA195" s="76"/>
      <c r="AB195" s="37"/>
      <c r="AC195" s="86">
        <f>tbl_estimated_costs_quantities[[#This Row],[Doors Replacement Repair]]*BOQs!$L$9</f>
        <v>0</v>
      </c>
      <c r="AD195" s="76"/>
      <c r="AE195" s="37"/>
      <c r="AF195" s="86">
        <f>tbl_estimated_costs_quantities[[#This Row],[Windows Replacement Repair]]*BOQs!$L$10</f>
        <v>0</v>
      </c>
      <c r="AG195" s="76"/>
      <c r="AH195" s="37"/>
      <c r="AI195" s="86">
        <f>tbl_estimated_costs_quantities[[#This Row],[Bathroom Rehabilitation]]*BOQs!$L$11</f>
        <v>0</v>
      </c>
      <c r="AJ195" s="76"/>
      <c r="AK195" s="37"/>
      <c r="AL195" s="86">
        <f>tbl_estimated_costs_quantities[[#This Row],[Ceramic Tile Works WASH]]*BOQs!$L$12</f>
        <v>0</v>
      </c>
      <c r="AM195" s="76"/>
      <c r="AN195" s="37"/>
      <c r="AO195" s="86">
        <f>tbl_estimated_costs_quantities[[#This Row],[Electrical Repairs Lighting]]*BOQs!$L$13</f>
        <v>0</v>
      </c>
      <c r="AP195" s="76"/>
      <c r="AQ195" s="37"/>
      <c r="AR195" s="86">
        <f>tbl_estimated_costs_quantities[[#This Row],[Roof Insulation Leak Sealing]]*BOQs!$L$14</f>
        <v>0</v>
      </c>
      <c r="AS195" s="76"/>
      <c r="AT195" s="37"/>
      <c r="AU195" s="86">
        <f>tbl_estimated_costs_quantities[[#This Row],[Chimney Duct Cleaning Repair]]*BOQs!$L$15</f>
        <v>0</v>
      </c>
      <c r="AV195" s="76"/>
      <c r="AW195" s="37"/>
      <c r="AX195" s="89">
        <f>tbl_estimated_costs_quantities[[#This Row],[Accessibility Adaptations]]*BOQs!$L$16</f>
        <v>0</v>
      </c>
      <c r="AY195" s="86" t="str">
        <f>IF(tbl_estimated_costs_quantities[[#This Row],[Total cost]]&lt;&gt;0,tbl_estimated_costs_quantities[[#This Row],[Total cost]]/BOQs!$A$1,"")</f>
        <v/>
      </c>
      <c r="AZ195" s="37"/>
      <c r="BA195" s="37"/>
      <c r="BB195" s="37"/>
      <c r="BC195" s="37"/>
      <c r="BD195" s="41"/>
      <c r="BE195" s="37"/>
      <c r="BF195" s="37"/>
      <c r="BG195" s="37"/>
      <c r="BH195" s="41"/>
    </row>
    <row r="196" spans="2:60" ht="25.15" customHeight="1" x14ac:dyDescent="0.25">
      <c r="B196" s="49">
        <v>192</v>
      </c>
      <c r="C196" s="37"/>
      <c r="D196" s="41"/>
      <c r="E196" s="40"/>
      <c r="F196" s="87" t="str">
        <f>IF(tbl_estimated_costs_quantities[[#This Row],[House Code]]&lt;&gt;"",INDEX(tbl_Assessment[],MATCH(tbl_estimated_costs_quantities[[#This Row],[House Code]],tbl_Assessment[House Code],0),3),"")</f>
        <v/>
      </c>
      <c r="G196" s="115" t="str">
        <f>IF(tbl_estimated_costs_quantities[[#This Row],[House Code]]&lt;&gt;"",INDEX(tbl_Assessment[],MATCH(tbl_estimated_costs_quantities[[#This Row],[House Code]],tbl_Assessment[House Code],0),9),"")</f>
        <v/>
      </c>
      <c r="H19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6" s="75"/>
      <c r="J196" s="37"/>
      <c r="K196" s="86">
        <f>tbl_estimated_costs_quantities[[#This Row],[Site Preparation]]*BOQs!$L$3</f>
        <v>0</v>
      </c>
      <c r="L196" s="76"/>
      <c r="M196" s="37"/>
      <c r="N196" s="86">
        <f>tbl_estimated_costs_quantities[[#This Row],[Demolition Removal Unsafe Structures]]*BOQs!$L$4</f>
        <v>0</v>
      </c>
      <c r="O196" s="76"/>
      <c r="P196" s="37"/>
      <c r="Q196" s="86">
        <f>tbl_estimated_costs_quantities[[#This Row],[Concrete Works]]*BOQs!$L$5</f>
        <v>0</v>
      </c>
      <c r="R196" s="76"/>
      <c r="S196" s="37"/>
      <c r="T196" s="86">
        <f>tbl_estimated_costs_quantities[[#This Row],[Closure External Openings Walls Windows]]*BOQs!$L$6</f>
        <v>0</v>
      </c>
      <c r="U196" s="76"/>
      <c r="V196" s="37"/>
      <c r="W196" s="86">
        <f>tbl_estimated_costs_quantities[[#This Row],[Plastering Painting]]*BOQs!$L$7</f>
        <v>0</v>
      </c>
      <c r="X196" s="76"/>
      <c r="Y196" s="37"/>
      <c r="Z196" s="86">
        <f>tbl_estimated_costs_quantities[[#This Row],[Floor Repairs]]*BOQs!$L$8</f>
        <v>0</v>
      </c>
      <c r="AA196" s="76"/>
      <c r="AB196" s="37"/>
      <c r="AC196" s="86">
        <f>tbl_estimated_costs_quantities[[#This Row],[Doors Replacement Repair]]*BOQs!$L$9</f>
        <v>0</v>
      </c>
      <c r="AD196" s="76"/>
      <c r="AE196" s="37"/>
      <c r="AF196" s="86">
        <f>tbl_estimated_costs_quantities[[#This Row],[Windows Replacement Repair]]*BOQs!$L$10</f>
        <v>0</v>
      </c>
      <c r="AG196" s="76"/>
      <c r="AH196" s="37"/>
      <c r="AI196" s="86">
        <f>tbl_estimated_costs_quantities[[#This Row],[Bathroom Rehabilitation]]*BOQs!$L$11</f>
        <v>0</v>
      </c>
      <c r="AJ196" s="76"/>
      <c r="AK196" s="37"/>
      <c r="AL196" s="86">
        <f>tbl_estimated_costs_quantities[[#This Row],[Ceramic Tile Works WASH]]*BOQs!$L$12</f>
        <v>0</v>
      </c>
      <c r="AM196" s="76"/>
      <c r="AN196" s="37"/>
      <c r="AO196" s="86">
        <f>tbl_estimated_costs_quantities[[#This Row],[Electrical Repairs Lighting]]*BOQs!$L$13</f>
        <v>0</v>
      </c>
      <c r="AP196" s="76"/>
      <c r="AQ196" s="37"/>
      <c r="AR196" s="86">
        <f>tbl_estimated_costs_quantities[[#This Row],[Roof Insulation Leak Sealing]]*BOQs!$L$14</f>
        <v>0</v>
      </c>
      <c r="AS196" s="76"/>
      <c r="AT196" s="37"/>
      <c r="AU196" s="86">
        <f>tbl_estimated_costs_quantities[[#This Row],[Chimney Duct Cleaning Repair]]*BOQs!$L$15</f>
        <v>0</v>
      </c>
      <c r="AV196" s="76"/>
      <c r="AW196" s="37"/>
      <c r="AX196" s="89">
        <f>tbl_estimated_costs_quantities[[#This Row],[Accessibility Adaptations]]*BOQs!$L$16</f>
        <v>0</v>
      </c>
      <c r="AY196" s="86" t="str">
        <f>IF(tbl_estimated_costs_quantities[[#This Row],[Total cost]]&lt;&gt;0,tbl_estimated_costs_quantities[[#This Row],[Total cost]]/BOQs!$A$1,"")</f>
        <v/>
      </c>
      <c r="AZ196" s="37"/>
      <c r="BA196" s="37"/>
      <c r="BB196" s="37"/>
      <c r="BC196" s="37"/>
      <c r="BD196" s="41"/>
      <c r="BE196" s="37"/>
      <c r="BF196" s="37"/>
      <c r="BG196" s="37"/>
      <c r="BH196" s="41"/>
    </row>
    <row r="197" spans="2:60" ht="25.15" customHeight="1" x14ac:dyDescent="0.25">
      <c r="B197" s="49">
        <v>193</v>
      </c>
      <c r="C197" s="37"/>
      <c r="D197" s="41"/>
      <c r="E197" s="40"/>
      <c r="F197" s="87" t="str">
        <f>IF(tbl_estimated_costs_quantities[[#This Row],[House Code]]&lt;&gt;"",INDEX(tbl_Assessment[],MATCH(tbl_estimated_costs_quantities[[#This Row],[House Code]],tbl_Assessment[House Code],0),3),"")</f>
        <v/>
      </c>
      <c r="G197" s="115" t="str">
        <f>IF(tbl_estimated_costs_quantities[[#This Row],[House Code]]&lt;&gt;"",INDEX(tbl_Assessment[],MATCH(tbl_estimated_costs_quantities[[#This Row],[House Code]],tbl_Assessment[House Code],0),9),"")</f>
        <v/>
      </c>
      <c r="H19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7" s="75"/>
      <c r="J197" s="37"/>
      <c r="K197" s="86">
        <f>tbl_estimated_costs_quantities[[#This Row],[Site Preparation]]*BOQs!$L$3</f>
        <v>0</v>
      </c>
      <c r="L197" s="76"/>
      <c r="M197" s="37"/>
      <c r="N197" s="86">
        <f>tbl_estimated_costs_quantities[[#This Row],[Demolition Removal Unsafe Structures]]*BOQs!$L$4</f>
        <v>0</v>
      </c>
      <c r="O197" s="76"/>
      <c r="P197" s="37"/>
      <c r="Q197" s="86">
        <f>tbl_estimated_costs_quantities[[#This Row],[Concrete Works]]*BOQs!$L$5</f>
        <v>0</v>
      </c>
      <c r="R197" s="76"/>
      <c r="S197" s="37"/>
      <c r="T197" s="86">
        <f>tbl_estimated_costs_quantities[[#This Row],[Closure External Openings Walls Windows]]*BOQs!$L$6</f>
        <v>0</v>
      </c>
      <c r="U197" s="76"/>
      <c r="V197" s="37"/>
      <c r="W197" s="86">
        <f>tbl_estimated_costs_quantities[[#This Row],[Plastering Painting]]*BOQs!$L$7</f>
        <v>0</v>
      </c>
      <c r="X197" s="76"/>
      <c r="Y197" s="37"/>
      <c r="Z197" s="86">
        <f>tbl_estimated_costs_quantities[[#This Row],[Floor Repairs]]*BOQs!$L$8</f>
        <v>0</v>
      </c>
      <c r="AA197" s="76"/>
      <c r="AB197" s="37"/>
      <c r="AC197" s="86">
        <f>tbl_estimated_costs_quantities[[#This Row],[Doors Replacement Repair]]*BOQs!$L$9</f>
        <v>0</v>
      </c>
      <c r="AD197" s="76"/>
      <c r="AE197" s="37"/>
      <c r="AF197" s="86">
        <f>tbl_estimated_costs_quantities[[#This Row],[Windows Replacement Repair]]*BOQs!$L$10</f>
        <v>0</v>
      </c>
      <c r="AG197" s="76"/>
      <c r="AH197" s="37"/>
      <c r="AI197" s="86">
        <f>tbl_estimated_costs_quantities[[#This Row],[Bathroom Rehabilitation]]*BOQs!$L$11</f>
        <v>0</v>
      </c>
      <c r="AJ197" s="76"/>
      <c r="AK197" s="37"/>
      <c r="AL197" s="86">
        <f>tbl_estimated_costs_quantities[[#This Row],[Ceramic Tile Works WASH]]*BOQs!$L$12</f>
        <v>0</v>
      </c>
      <c r="AM197" s="76"/>
      <c r="AN197" s="37"/>
      <c r="AO197" s="86">
        <f>tbl_estimated_costs_quantities[[#This Row],[Electrical Repairs Lighting]]*BOQs!$L$13</f>
        <v>0</v>
      </c>
      <c r="AP197" s="76"/>
      <c r="AQ197" s="37"/>
      <c r="AR197" s="86">
        <f>tbl_estimated_costs_quantities[[#This Row],[Roof Insulation Leak Sealing]]*BOQs!$L$14</f>
        <v>0</v>
      </c>
      <c r="AS197" s="76"/>
      <c r="AT197" s="37"/>
      <c r="AU197" s="86">
        <f>tbl_estimated_costs_quantities[[#This Row],[Chimney Duct Cleaning Repair]]*BOQs!$L$15</f>
        <v>0</v>
      </c>
      <c r="AV197" s="76"/>
      <c r="AW197" s="37"/>
      <c r="AX197" s="89">
        <f>tbl_estimated_costs_quantities[[#This Row],[Accessibility Adaptations]]*BOQs!$L$16</f>
        <v>0</v>
      </c>
      <c r="AY197" s="86" t="str">
        <f>IF(tbl_estimated_costs_quantities[[#This Row],[Total cost]]&lt;&gt;0,tbl_estimated_costs_quantities[[#This Row],[Total cost]]/BOQs!$A$1,"")</f>
        <v/>
      </c>
      <c r="AZ197" s="37"/>
      <c r="BA197" s="37"/>
      <c r="BB197" s="37"/>
      <c r="BC197" s="37"/>
      <c r="BD197" s="41"/>
      <c r="BE197" s="37"/>
      <c r="BF197" s="37"/>
      <c r="BG197" s="37"/>
      <c r="BH197" s="41"/>
    </row>
    <row r="198" spans="2:60" ht="25.15" customHeight="1" x14ac:dyDescent="0.25">
      <c r="B198" s="49">
        <v>194</v>
      </c>
      <c r="C198" s="37"/>
      <c r="D198" s="41"/>
      <c r="E198" s="40"/>
      <c r="F198" s="87" t="str">
        <f>IF(tbl_estimated_costs_quantities[[#This Row],[House Code]]&lt;&gt;"",INDEX(tbl_Assessment[],MATCH(tbl_estimated_costs_quantities[[#This Row],[House Code]],tbl_Assessment[House Code],0),3),"")</f>
        <v/>
      </c>
      <c r="G198" s="115" t="str">
        <f>IF(tbl_estimated_costs_quantities[[#This Row],[House Code]]&lt;&gt;"",INDEX(tbl_Assessment[],MATCH(tbl_estimated_costs_quantities[[#This Row],[House Code]],tbl_Assessment[House Code],0),9),"")</f>
        <v/>
      </c>
      <c r="H19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8" s="75"/>
      <c r="J198" s="37"/>
      <c r="K198" s="86">
        <f>tbl_estimated_costs_quantities[[#This Row],[Site Preparation]]*BOQs!$L$3</f>
        <v>0</v>
      </c>
      <c r="L198" s="76"/>
      <c r="M198" s="37"/>
      <c r="N198" s="86">
        <f>tbl_estimated_costs_quantities[[#This Row],[Demolition Removal Unsafe Structures]]*BOQs!$L$4</f>
        <v>0</v>
      </c>
      <c r="O198" s="76"/>
      <c r="P198" s="37"/>
      <c r="Q198" s="86">
        <f>tbl_estimated_costs_quantities[[#This Row],[Concrete Works]]*BOQs!$L$5</f>
        <v>0</v>
      </c>
      <c r="R198" s="76"/>
      <c r="S198" s="37"/>
      <c r="T198" s="86">
        <f>tbl_estimated_costs_quantities[[#This Row],[Closure External Openings Walls Windows]]*BOQs!$L$6</f>
        <v>0</v>
      </c>
      <c r="U198" s="76"/>
      <c r="V198" s="37"/>
      <c r="W198" s="86">
        <f>tbl_estimated_costs_quantities[[#This Row],[Plastering Painting]]*BOQs!$L$7</f>
        <v>0</v>
      </c>
      <c r="X198" s="76"/>
      <c r="Y198" s="37"/>
      <c r="Z198" s="86">
        <f>tbl_estimated_costs_quantities[[#This Row],[Floor Repairs]]*BOQs!$L$8</f>
        <v>0</v>
      </c>
      <c r="AA198" s="76"/>
      <c r="AB198" s="37"/>
      <c r="AC198" s="86">
        <f>tbl_estimated_costs_quantities[[#This Row],[Doors Replacement Repair]]*BOQs!$L$9</f>
        <v>0</v>
      </c>
      <c r="AD198" s="76"/>
      <c r="AE198" s="37"/>
      <c r="AF198" s="86">
        <f>tbl_estimated_costs_quantities[[#This Row],[Windows Replacement Repair]]*BOQs!$L$10</f>
        <v>0</v>
      </c>
      <c r="AG198" s="76"/>
      <c r="AH198" s="37"/>
      <c r="AI198" s="86">
        <f>tbl_estimated_costs_quantities[[#This Row],[Bathroom Rehabilitation]]*BOQs!$L$11</f>
        <v>0</v>
      </c>
      <c r="AJ198" s="76"/>
      <c r="AK198" s="37"/>
      <c r="AL198" s="86">
        <f>tbl_estimated_costs_quantities[[#This Row],[Ceramic Tile Works WASH]]*BOQs!$L$12</f>
        <v>0</v>
      </c>
      <c r="AM198" s="76"/>
      <c r="AN198" s="37"/>
      <c r="AO198" s="86">
        <f>tbl_estimated_costs_quantities[[#This Row],[Electrical Repairs Lighting]]*BOQs!$L$13</f>
        <v>0</v>
      </c>
      <c r="AP198" s="76"/>
      <c r="AQ198" s="37"/>
      <c r="AR198" s="86">
        <f>tbl_estimated_costs_quantities[[#This Row],[Roof Insulation Leak Sealing]]*BOQs!$L$14</f>
        <v>0</v>
      </c>
      <c r="AS198" s="76"/>
      <c r="AT198" s="37"/>
      <c r="AU198" s="86">
        <f>tbl_estimated_costs_quantities[[#This Row],[Chimney Duct Cleaning Repair]]*BOQs!$L$15</f>
        <v>0</v>
      </c>
      <c r="AV198" s="76"/>
      <c r="AW198" s="37"/>
      <c r="AX198" s="89">
        <f>tbl_estimated_costs_quantities[[#This Row],[Accessibility Adaptations]]*BOQs!$L$16</f>
        <v>0</v>
      </c>
      <c r="AY198" s="86" t="str">
        <f>IF(tbl_estimated_costs_quantities[[#This Row],[Total cost]]&lt;&gt;0,tbl_estimated_costs_quantities[[#This Row],[Total cost]]/BOQs!$A$1,"")</f>
        <v/>
      </c>
      <c r="AZ198" s="37"/>
      <c r="BA198" s="37"/>
      <c r="BB198" s="37"/>
      <c r="BC198" s="37"/>
      <c r="BD198" s="41"/>
      <c r="BE198" s="37"/>
      <c r="BF198" s="37"/>
      <c r="BG198" s="37"/>
      <c r="BH198" s="41"/>
    </row>
    <row r="199" spans="2:60" ht="25.15" customHeight="1" x14ac:dyDescent="0.25">
      <c r="B199" s="49">
        <v>195</v>
      </c>
      <c r="C199" s="37"/>
      <c r="D199" s="41"/>
      <c r="E199" s="40"/>
      <c r="F199" s="87" t="str">
        <f>IF(tbl_estimated_costs_quantities[[#This Row],[House Code]]&lt;&gt;"",INDEX(tbl_Assessment[],MATCH(tbl_estimated_costs_quantities[[#This Row],[House Code]],tbl_Assessment[House Code],0),3),"")</f>
        <v/>
      </c>
      <c r="G199" s="115" t="str">
        <f>IF(tbl_estimated_costs_quantities[[#This Row],[House Code]]&lt;&gt;"",INDEX(tbl_Assessment[],MATCH(tbl_estimated_costs_quantities[[#This Row],[House Code]],tbl_Assessment[House Code],0),9),"")</f>
        <v/>
      </c>
      <c r="H19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199" s="75"/>
      <c r="J199" s="37"/>
      <c r="K199" s="86">
        <f>tbl_estimated_costs_quantities[[#This Row],[Site Preparation]]*BOQs!$L$3</f>
        <v>0</v>
      </c>
      <c r="L199" s="76"/>
      <c r="M199" s="37"/>
      <c r="N199" s="86">
        <f>tbl_estimated_costs_quantities[[#This Row],[Demolition Removal Unsafe Structures]]*BOQs!$L$4</f>
        <v>0</v>
      </c>
      <c r="O199" s="76"/>
      <c r="P199" s="37"/>
      <c r="Q199" s="86">
        <f>tbl_estimated_costs_quantities[[#This Row],[Concrete Works]]*BOQs!$L$5</f>
        <v>0</v>
      </c>
      <c r="R199" s="76"/>
      <c r="S199" s="37"/>
      <c r="T199" s="86">
        <f>tbl_estimated_costs_quantities[[#This Row],[Closure External Openings Walls Windows]]*BOQs!$L$6</f>
        <v>0</v>
      </c>
      <c r="U199" s="76"/>
      <c r="V199" s="37"/>
      <c r="W199" s="86">
        <f>tbl_estimated_costs_quantities[[#This Row],[Plastering Painting]]*BOQs!$L$7</f>
        <v>0</v>
      </c>
      <c r="X199" s="76"/>
      <c r="Y199" s="37"/>
      <c r="Z199" s="86">
        <f>tbl_estimated_costs_quantities[[#This Row],[Floor Repairs]]*BOQs!$L$8</f>
        <v>0</v>
      </c>
      <c r="AA199" s="76"/>
      <c r="AB199" s="37"/>
      <c r="AC199" s="86">
        <f>tbl_estimated_costs_quantities[[#This Row],[Doors Replacement Repair]]*BOQs!$L$9</f>
        <v>0</v>
      </c>
      <c r="AD199" s="76"/>
      <c r="AE199" s="37"/>
      <c r="AF199" s="86">
        <f>tbl_estimated_costs_quantities[[#This Row],[Windows Replacement Repair]]*BOQs!$L$10</f>
        <v>0</v>
      </c>
      <c r="AG199" s="76"/>
      <c r="AH199" s="37"/>
      <c r="AI199" s="86">
        <f>tbl_estimated_costs_quantities[[#This Row],[Bathroom Rehabilitation]]*BOQs!$L$11</f>
        <v>0</v>
      </c>
      <c r="AJ199" s="76"/>
      <c r="AK199" s="37"/>
      <c r="AL199" s="86">
        <f>tbl_estimated_costs_quantities[[#This Row],[Ceramic Tile Works WASH]]*BOQs!$L$12</f>
        <v>0</v>
      </c>
      <c r="AM199" s="76"/>
      <c r="AN199" s="37"/>
      <c r="AO199" s="86">
        <f>tbl_estimated_costs_quantities[[#This Row],[Electrical Repairs Lighting]]*BOQs!$L$13</f>
        <v>0</v>
      </c>
      <c r="AP199" s="76"/>
      <c r="AQ199" s="37"/>
      <c r="AR199" s="86">
        <f>tbl_estimated_costs_quantities[[#This Row],[Roof Insulation Leak Sealing]]*BOQs!$L$14</f>
        <v>0</v>
      </c>
      <c r="AS199" s="76"/>
      <c r="AT199" s="37"/>
      <c r="AU199" s="86">
        <f>tbl_estimated_costs_quantities[[#This Row],[Chimney Duct Cleaning Repair]]*BOQs!$L$15</f>
        <v>0</v>
      </c>
      <c r="AV199" s="76"/>
      <c r="AW199" s="37"/>
      <c r="AX199" s="89">
        <f>tbl_estimated_costs_quantities[[#This Row],[Accessibility Adaptations]]*BOQs!$L$16</f>
        <v>0</v>
      </c>
      <c r="AY199" s="86" t="str">
        <f>IF(tbl_estimated_costs_quantities[[#This Row],[Total cost]]&lt;&gt;0,tbl_estimated_costs_quantities[[#This Row],[Total cost]]/BOQs!$A$1,"")</f>
        <v/>
      </c>
      <c r="AZ199" s="37"/>
      <c r="BA199" s="37"/>
      <c r="BB199" s="37"/>
      <c r="BC199" s="37"/>
      <c r="BD199" s="41"/>
      <c r="BE199" s="37"/>
      <c r="BF199" s="37"/>
      <c r="BG199" s="37"/>
      <c r="BH199" s="41"/>
    </row>
    <row r="200" spans="2:60" ht="25.15" customHeight="1" x14ac:dyDescent="0.25">
      <c r="B200" s="49">
        <v>196</v>
      </c>
      <c r="C200" s="37"/>
      <c r="D200" s="41"/>
      <c r="E200" s="40"/>
      <c r="F200" s="87" t="str">
        <f>IF(tbl_estimated_costs_quantities[[#This Row],[House Code]]&lt;&gt;"",INDEX(tbl_Assessment[],MATCH(tbl_estimated_costs_quantities[[#This Row],[House Code]],tbl_Assessment[House Code],0),3),"")</f>
        <v/>
      </c>
      <c r="G200" s="115" t="str">
        <f>IF(tbl_estimated_costs_quantities[[#This Row],[House Code]]&lt;&gt;"",INDEX(tbl_Assessment[],MATCH(tbl_estimated_costs_quantities[[#This Row],[House Code]],tbl_Assessment[House Code],0),9),"")</f>
        <v/>
      </c>
      <c r="H20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0" s="75"/>
      <c r="J200" s="37"/>
      <c r="K200" s="86">
        <f>tbl_estimated_costs_quantities[[#This Row],[Site Preparation]]*BOQs!$L$3</f>
        <v>0</v>
      </c>
      <c r="L200" s="76"/>
      <c r="M200" s="37"/>
      <c r="N200" s="86">
        <f>tbl_estimated_costs_quantities[[#This Row],[Demolition Removal Unsafe Structures]]*BOQs!$L$4</f>
        <v>0</v>
      </c>
      <c r="O200" s="76"/>
      <c r="P200" s="37"/>
      <c r="Q200" s="86">
        <f>tbl_estimated_costs_quantities[[#This Row],[Concrete Works]]*BOQs!$L$5</f>
        <v>0</v>
      </c>
      <c r="R200" s="76"/>
      <c r="S200" s="37"/>
      <c r="T200" s="86">
        <f>tbl_estimated_costs_quantities[[#This Row],[Closure External Openings Walls Windows]]*BOQs!$L$6</f>
        <v>0</v>
      </c>
      <c r="U200" s="76"/>
      <c r="V200" s="37"/>
      <c r="W200" s="86">
        <f>tbl_estimated_costs_quantities[[#This Row],[Plastering Painting]]*BOQs!$L$7</f>
        <v>0</v>
      </c>
      <c r="X200" s="76"/>
      <c r="Y200" s="37"/>
      <c r="Z200" s="86">
        <f>tbl_estimated_costs_quantities[[#This Row],[Floor Repairs]]*BOQs!$L$8</f>
        <v>0</v>
      </c>
      <c r="AA200" s="76"/>
      <c r="AB200" s="37"/>
      <c r="AC200" s="86">
        <f>tbl_estimated_costs_quantities[[#This Row],[Doors Replacement Repair]]*BOQs!$L$9</f>
        <v>0</v>
      </c>
      <c r="AD200" s="76"/>
      <c r="AE200" s="37"/>
      <c r="AF200" s="86">
        <f>tbl_estimated_costs_quantities[[#This Row],[Windows Replacement Repair]]*BOQs!$L$10</f>
        <v>0</v>
      </c>
      <c r="AG200" s="76"/>
      <c r="AH200" s="37"/>
      <c r="AI200" s="86">
        <f>tbl_estimated_costs_quantities[[#This Row],[Bathroom Rehabilitation]]*BOQs!$L$11</f>
        <v>0</v>
      </c>
      <c r="AJ200" s="76"/>
      <c r="AK200" s="37"/>
      <c r="AL200" s="86">
        <f>tbl_estimated_costs_quantities[[#This Row],[Ceramic Tile Works WASH]]*BOQs!$L$12</f>
        <v>0</v>
      </c>
      <c r="AM200" s="76"/>
      <c r="AN200" s="37"/>
      <c r="AO200" s="86">
        <f>tbl_estimated_costs_quantities[[#This Row],[Electrical Repairs Lighting]]*BOQs!$L$13</f>
        <v>0</v>
      </c>
      <c r="AP200" s="76"/>
      <c r="AQ200" s="37"/>
      <c r="AR200" s="86">
        <f>tbl_estimated_costs_quantities[[#This Row],[Roof Insulation Leak Sealing]]*BOQs!$L$14</f>
        <v>0</v>
      </c>
      <c r="AS200" s="76"/>
      <c r="AT200" s="37"/>
      <c r="AU200" s="86">
        <f>tbl_estimated_costs_quantities[[#This Row],[Chimney Duct Cleaning Repair]]*BOQs!$L$15</f>
        <v>0</v>
      </c>
      <c r="AV200" s="76"/>
      <c r="AW200" s="37"/>
      <c r="AX200" s="89">
        <f>tbl_estimated_costs_quantities[[#This Row],[Accessibility Adaptations]]*BOQs!$L$16</f>
        <v>0</v>
      </c>
      <c r="AY200" s="86" t="str">
        <f>IF(tbl_estimated_costs_quantities[[#This Row],[Total cost]]&lt;&gt;0,tbl_estimated_costs_quantities[[#This Row],[Total cost]]/BOQs!$A$1,"")</f>
        <v/>
      </c>
      <c r="AZ200" s="37"/>
      <c r="BA200" s="37"/>
      <c r="BB200" s="37"/>
      <c r="BC200" s="37"/>
      <c r="BD200" s="41"/>
      <c r="BE200" s="37"/>
      <c r="BF200" s="37"/>
      <c r="BG200" s="37"/>
      <c r="BH200" s="41"/>
    </row>
    <row r="201" spans="2:60" ht="25.15" customHeight="1" x14ac:dyDescent="0.25">
      <c r="B201" s="49">
        <v>197</v>
      </c>
      <c r="C201" s="37"/>
      <c r="D201" s="41"/>
      <c r="E201" s="40"/>
      <c r="F201" s="87" t="str">
        <f>IF(tbl_estimated_costs_quantities[[#This Row],[House Code]]&lt;&gt;"",INDEX(tbl_Assessment[],MATCH(tbl_estimated_costs_quantities[[#This Row],[House Code]],tbl_Assessment[House Code],0),3),"")</f>
        <v/>
      </c>
      <c r="G201" s="115" t="str">
        <f>IF(tbl_estimated_costs_quantities[[#This Row],[House Code]]&lt;&gt;"",INDEX(tbl_Assessment[],MATCH(tbl_estimated_costs_quantities[[#This Row],[House Code]],tbl_Assessment[House Code],0),9),"")</f>
        <v/>
      </c>
      <c r="H20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1" s="75"/>
      <c r="J201" s="37"/>
      <c r="K201" s="86">
        <f>tbl_estimated_costs_quantities[[#This Row],[Site Preparation]]*BOQs!$L$3</f>
        <v>0</v>
      </c>
      <c r="L201" s="76"/>
      <c r="M201" s="37"/>
      <c r="N201" s="86">
        <f>tbl_estimated_costs_quantities[[#This Row],[Demolition Removal Unsafe Structures]]*BOQs!$L$4</f>
        <v>0</v>
      </c>
      <c r="O201" s="76"/>
      <c r="P201" s="37"/>
      <c r="Q201" s="86">
        <f>tbl_estimated_costs_quantities[[#This Row],[Concrete Works]]*BOQs!$L$5</f>
        <v>0</v>
      </c>
      <c r="R201" s="76"/>
      <c r="S201" s="37"/>
      <c r="T201" s="86">
        <f>tbl_estimated_costs_quantities[[#This Row],[Closure External Openings Walls Windows]]*BOQs!$L$6</f>
        <v>0</v>
      </c>
      <c r="U201" s="76"/>
      <c r="V201" s="37"/>
      <c r="W201" s="86">
        <f>tbl_estimated_costs_quantities[[#This Row],[Plastering Painting]]*BOQs!$L$7</f>
        <v>0</v>
      </c>
      <c r="X201" s="76"/>
      <c r="Y201" s="37"/>
      <c r="Z201" s="86">
        <f>tbl_estimated_costs_quantities[[#This Row],[Floor Repairs]]*BOQs!$L$8</f>
        <v>0</v>
      </c>
      <c r="AA201" s="76"/>
      <c r="AB201" s="37"/>
      <c r="AC201" s="86">
        <f>tbl_estimated_costs_quantities[[#This Row],[Doors Replacement Repair]]*BOQs!$L$9</f>
        <v>0</v>
      </c>
      <c r="AD201" s="76"/>
      <c r="AE201" s="37"/>
      <c r="AF201" s="86">
        <f>tbl_estimated_costs_quantities[[#This Row],[Windows Replacement Repair]]*BOQs!$L$10</f>
        <v>0</v>
      </c>
      <c r="AG201" s="76"/>
      <c r="AH201" s="37"/>
      <c r="AI201" s="86">
        <f>tbl_estimated_costs_quantities[[#This Row],[Bathroom Rehabilitation]]*BOQs!$L$11</f>
        <v>0</v>
      </c>
      <c r="AJ201" s="76"/>
      <c r="AK201" s="37"/>
      <c r="AL201" s="86">
        <f>tbl_estimated_costs_quantities[[#This Row],[Ceramic Tile Works WASH]]*BOQs!$L$12</f>
        <v>0</v>
      </c>
      <c r="AM201" s="76"/>
      <c r="AN201" s="37"/>
      <c r="AO201" s="86">
        <f>tbl_estimated_costs_quantities[[#This Row],[Electrical Repairs Lighting]]*BOQs!$L$13</f>
        <v>0</v>
      </c>
      <c r="AP201" s="76"/>
      <c r="AQ201" s="37"/>
      <c r="AR201" s="86">
        <f>tbl_estimated_costs_quantities[[#This Row],[Roof Insulation Leak Sealing]]*BOQs!$L$14</f>
        <v>0</v>
      </c>
      <c r="AS201" s="76"/>
      <c r="AT201" s="37"/>
      <c r="AU201" s="86">
        <f>tbl_estimated_costs_quantities[[#This Row],[Chimney Duct Cleaning Repair]]*BOQs!$L$15</f>
        <v>0</v>
      </c>
      <c r="AV201" s="76"/>
      <c r="AW201" s="37"/>
      <c r="AX201" s="89">
        <f>tbl_estimated_costs_quantities[[#This Row],[Accessibility Adaptations]]*BOQs!$L$16</f>
        <v>0</v>
      </c>
      <c r="AY201" s="86" t="str">
        <f>IF(tbl_estimated_costs_quantities[[#This Row],[Total cost]]&lt;&gt;0,tbl_estimated_costs_quantities[[#This Row],[Total cost]]/BOQs!$A$1,"")</f>
        <v/>
      </c>
      <c r="AZ201" s="37"/>
      <c r="BA201" s="37"/>
      <c r="BB201" s="37"/>
      <c r="BC201" s="37"/>
      <c r="BD201" s="41"/>
      <c r="BE201" s="37"/>
      <c r="BF201" s="37"/>
      <c r="BG201" s="37"/>
      <c r="BH201" s="41"/>
    </row>
    <row r="202" spans="2:60" ht="25.15" customHeight="1" x14ac:dyDescent="0.25">
      <c r="B202" s="49">
        <v>198</v>
      </c>
      <c r="C202" s="37"/>
      <c r="D202" s="41"/>
      <c r="E202" s="40"/>
      <c r="F202" s="87" t="str">
        <f>IF(tbl_estimated_costs_quantities[[#This Row],[House Code]]&lt;&gt;"",INDEX(tbl_Assessment[],MATCH(tbl_estimated_costs_quantities[[#This Row],[House Code]],tbl_Assessment[House Code],0),3),"")</f>
        <v/>
      </c>
      <c r="G202" s="115" t="str">
        <f>IF(tbl_estimated_costs_quantities[[#This Row],[House Code]]&lt;&gt;"",INDEX(tbl_Assessment[],MATCH(tbl_estimated_costs_quantities[[#This Row],[House Code]],tbl_Assessment[House Code],0),9),"")</f>
        <v/>
      </c>
      <c r="H20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2" s="75"/>
      <c r="J202" s="37"/>
      <c r="K202" s="86">
        <f>tbl_estimated_costs_quantities[[#This Row],[Site Preparation]]*BOQs!$L$3</f>
        <v>0</v>
      </c>
      <c r="L202" s="76"/>
      <c r="M202" s="37"/>
      <c r="N202" s="86">
        <f>tbl_estimated_costs_quantities[[#This Row],[Demolition Removal Unsafe Structures]]*BOQs!$L$4</f>
        <v>0</v>
      </c>
      <c r="O202" s="76"/>
      <c r="P202" s="37"/>
      <c r="Q202" s="86">
        <f>tbl_estimated_costs_quantities[[#This Row],[Concrete Works]]*BOQs!$L$5</f>
        <v>0</v>
      </c>
      <c r="R202" s="76"/>
      <c r="S202" s="37"/>
      <c r="T202" s="86">
        <f>tbl_estimated_costs_quantities[[#This Row],[Closure External Openings Walls Windows]]*BOQs!$L$6</f>
        <v>0</v>
      </c>
      <c r="U202" s="76"/>
      <c r="V202" s="37"/>
      <c r="W202" s="86">
        <f>tbl_estimated_costs_quantities[[#This Row],[Plastering Painting]]*BOQs!$L$7</f>
        <v>0</v>
      </c>
      <c r="X202" s="76"/>
      <c r="Y202" s="37"/>
      <c r="Z202" s="86">
        <f>tbl_estimated_costs_quantities[[#This Row],[Floor Repairs]]*BOQs!$L$8</f>
        <v>0</v>
      </c>
      <c r="AA202" s="76"/>
      <c r="AB202" s="37"/>
      <c r="AC202" s="86">
        <f>tbl_estimated_costs_quantities[[#This Row],[Doors Replacement Repair]]*BOQs!$L$9</f>
        <v>0</v>
      </c>
      <c r="AD202" s="76"/>
      <c r="AE202" s="37"/>
      <c r="AF202" s="86">
        <f>tbl_estimated_costs_quantities[[#This Row],[Windows Replacement Repair]]*BOQs!$L$10</f>
        <v>0</v>
      </c>
      <c r="AG202" s="76"/>
      <c r="AH202" s="37"/>
      <c r="AI202" s="86">
        <f>tbl_estimated_costs_quantities[[#This Row],[Bathroom Rehabilitation]]*BOQs!$L$11</f>
        <v>0</v>
      </c>
      <c r="AJ202" s="76"/>
      <c r="AK202" s="37"/>
      <c r="AL202" s="86">
        <f>tbl_estimated_costs_quantities[[#This Row],[Ceramic Tile Works WASH]]*BOQs!$L$12</f>
        <v>0</v>
      </c>
      <c r="AM202" s="76"/>
      <c r="AN202" s="37"/>
      <c r="AO202" s="86">
        <f>tbl_estimated_costs_quantities[[#This Row],[Electrical Repairs Lighting]]*BOQs!$L$13</f>
        <v>0</v>
      </c>
      <c r="AP202" s="76"/>
      <c r="AQ202" s="37"/>
      <c r="AR202" s="86">
        <f>tbl_estimated_costs_quantities[[#This Row],[Roof Insulation Leak Sealing]]*BOQs!$L$14</f>
        <v>0</v>
      </c>
      <c r="AS202" s="76"/>
      <c r="AT202" s="37"/>
      <c r="AU202" s="86">
        <f>tbl_estimated_costs_quantities[[#This Row],[Chimney Duct Cleaning Repair]]*BOQs!$L$15</f>
        <v>0</v>
      </c>
      <c r="AV202" s="76"/>
      <c r="AW202" s="37"/>
      <c r="AX202" s="89">
        <f>tbl_estimated_costs_quantities[[#This Row],[Accessibility Adaptations]]*BOQs!$L$16</f>
        <v>0</v>
      </c>
      <c r="AY202" s="86" t="str">
        <f>IF(tbl_estimated_costs_quantities[[#This Row],[Total cost]]&lt;&gt;0,tbl_estimated_costs_quantities[[#This Row],[Total cost]]/BOQs!$A$1,"")</f>
        <v/>
      </c>
      <c r="AZ202" s="37"/>
      <c r="BA202" s="37"/>
      <c r="BB202" s="37"/>
      <c r="BC202" s="37"/>
      <c r="BD202" s="41"/>
      <c r="BE202" s="37"/>
      <c r="BF202" s="37"/>
      <c r="BG202" s="37"/>
      <c r="BH202" s="41"/>
    </row>
    <row r="203" spans="2:60" ht="25.15" customHeight="1" x14ac:dyDescent="0.25">
      <c r="B203" s="49">
        <v>199</v>
      </c>
      <c r="C203" s="37"/>
      <c r="D203" s="41"/>
      <c r="E203" s="40"/>
      <c r="F203" s="87" t="str">
        <f>IF(tbl_estimated_costs_quantities[[#This Row],[House Code]]&lt;&gt;"",INDEX(tbl_Assessment[],MATCH(tbl_estimated_costs_quantities[[#This Row],[House Code]],tbl_Assessment[House Code],0),3),"")</f>
        <v/>
      </c>
      <c r="G203" s="115" t="str">
        <f>IF(tbl_estimated_costs_quantities[[#This Row],[House Code]]&lt;&gt;"",INDEX(tbl_Assessment[],MATCH(tbl_estimated_costs_quantities[[#This Row],[House Code]],tbl_Assessment[House Code],0),9),"")</f>
        <v/>
      </c>
      <c r="H20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3" s="75"/>
      <c r="J203" s="37"/>
      <c r="K203" s="86">
        <f>tbl_estimated_costs_quantities[[#This Row],[Site Preparation]]*BOQs!$L$3</f>
        <v>0</v>
      </c>
      <c r="L203" s="76"/>
      <c r="M203" s="37"/>
      <c r="N203" s="86">
        <f>tbl_estimated_costs_quantities[[#This Row],[Demolition Removal Unsafe Structures]]*BOQs!$L$4</f>
        <v>0</v>
      </c>
      <c r="O203" s="76"/>
      <c r="P203" s="37"/>
      <c r="Q203" s="86">
        <f>tbl_estimated_costs_quantities[[#This Row],[Concrete Works]]*BOQs!$L$5</f>
        <v>0</v>
      </c>
      <c r="R203" s="76"/>
      <c r="S203" s="37"/>
      <c r="T203" s="86">
        <f>tbl_estimated_costs_quantities[[#This Row],[Closure External Openings Walls Windows]]*BOQs!$L$6</f>
        <v>0</v>
      </c>
      <c r="U203" s="76"/>
      <c r="V203" s="37"/>
      <c r="W203" s="86">
        <f>tbl_estimated_costs_quantities[[#This Row],[Plastering Painting]]*BOQs!$L$7</f>
        <v>0</v>
      </c>
      <c r="X203" s="76"/>
      <c r="Y203" s="37"/>
      <c r="Z203" s="86">
        <f>tbl_estimated_costs_quantities[[#This Row],[Floor Repairs]]*BOQs!$L$8</f>
        <v>0</v>
      </c>
      <c r="AA203" s="76"/>
      <c r="AB203" s="37"/>
      <c r="AC203" s="86">
        <f>tbl_estimated_costs_quantities[[#This Row],[Doors Replacement Repair]]*BOQs!$L$9</f>
        <v>0</v>
      </c>
      <c r="AD203" s="76"/>
      <c r="AE203" s="37"/>
      <c r="AF203" s="86">
        <f>tbl_estimated_costs_quantities[[#This Row],[Windows Replacement Repair]]*BOQs!$L$10</f>
        <v>0</v>
      </c>
      <c r="AG203" s="76"/>
      <c r="AH203" s="37"/>
      <c r="AI203" s="86">
        <f>tbl_estimated_costs_quantities[[#This Row],[Bathroom Rehabilitation]]*BOQs!$L$11</f>
        <v>0</v>
      </c>
      <c r="AJ203" s="76"/>
      <c r="AK203" s="37"/>
      <c r="AL203" s="86">
        <f>tbl_estimated_costs_quantities[[#This Row],[Ceramic Tile Works WASH]]*BOQs!$L$12</f>
        <v>0</v>
      </c>
      <c r="AM203" s="76"/>
      <c r="AN203" s="37"/>
      <c r="AO203" s="86">
        <f>tbl_estimated_costs_quantities[[#This Row],[Electrical Repairs Lighting]]*BOQs!$L$13</f>
        <v>0</v>
      </c>
      <c r="AP203" s="76"/>
      <c r="AQ203" s="37"/>
      <c r="AR203" s="86">
        <f>tbl_estimated_costs_quantities[[#This Row],[Roof Insulation Leak Sealing]]*BOQs!$L$14</f>
        <v>0</v>
      </c>
      <c r="AS203" s="76"/>
      <c r="AT203" s="37"/>
      <c r="AU203" s="86">
        <f>tbl_estimated_costs_quantities[[#This Row],[Chimney Duct Cleaning Repair]]*BOQs!$L$15</f>
        <v>0</v>
      </c>
      <c r="AV203" s="76"/>
      <c r="AW203" s="37"/>
      <c r="AX203" s="89">
        <f>tbl_estimated_costs_quantities[[#This Row],[Accessibility Adaptations]]*BOQs!$L$16</f>
        <v>0</v>
      </c>
      <c r="AY203" s="86" t="str">
        <f>IF(tbl_estimated_costs_quantities[[#This Row],[Total cost]]&lt;&gt;0,tbl_estimated_costs_quantities[[#This Row],[Total cost]]/BOQs!$A$1,"")</f>
        <v/>
      </c>
      <c r="AZ203" s="37"/>
      <c r="BA203" s="37"/>
      <c r="BB203" s="37"/>
      <c r="BC203" s="37"/>
      <c r="BD203" s="41"/>
      <c r="BE203" s="37"/>
      <c r="BF203" s="37"/>
      <c r="BG203" s="37"/>
      <c r="BH203" s="41"/>
    </row>
    <row r="204" spans="2:60" ht="25.15" customHeight="1" x14ac:dyDescent="0.25">
      <c r="B204" s="49">
        <v>200</v>
      </c>
      <c r="C204" s="37"/>
      <c r="D204" s="41"/>
      <c r="E204" s="40"/>
      <c r="F204" s="87" t="str">
        <f>IF(tbl_estimated_costs_quantities[[#This Row],[House Code]]&lt;&gt;"",INDEX(tbl_Assessment[],MATCH(tbl_estimated_costs_quantities[[#This Row],[House Code]],tbl_Assessment[House Code],0),3),"")</f>
        <v/>
      </c>
      <c r="G204" s="115" t="str">
        <f>IF(tbl_estimated_costs_quantities[[#This Row],[House Code]]&lt;&gt;"",INDEX(tbl_Assessment[],MATCH(tbl_estimated_costs_quantities[[#This Row],[House Code]],tbl_Assessment[House Code],0),9),"")</f>
        <v/>
      </c>
      <c r="H20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4" s="75"/>
      <c r="J204" s="37"/>
      <c r="K204" s="86">
        <f>tbl_estimated_costs_quantities[[#This Row],[Site Preparation]]*BOQs!$L$3</f>
        <v>0</v>
      </c>
      <c r="L204" s="76"/>
      <c r="M204" s="37"/>
      <c r="N204" s="86">
        <f>tbl_estimated_costs_quantities[[#This Row],[Demolition Removal Unsafe Structures]]*BOQs!$L$4</f>
        <v>0</v>
      </c>
      <c r="O204" s="76"/>
      <c r="P204" s="37"/>
      <c r="Q204" s="86">
        <f>tbl_estimated_costs_quantities[[#This Row],[Concrete Works]]*BOQs!$L$5</f>
        <v>0</v>
      </c>
      <c r="R204" s="76"/>
      <c r="S204" s="37"/>
      <c r="T204" s="86">
        <f>tbl_estimated_costs_quantities[[#This Row],[Closure External Openings Walls Windows]]*BOQs!$L$6</f>
        <v>0</v>
      </c>
      <c r="U204" s="76"/>
      <c r="V204" s="37"/>
      <c r="W204" s="86">
        <f>tbl_estimated_costs_quantities[[#This Row],[Plastering Painting]]*BOQs!$L$7</f>
        <v>0</v>
      </c>
      <c r="X204" s="76"/>
      <c r="Y204" s="37"/>
      <c r="Z204" s="86">
        <f>tbl_estimated_costs_quantities[[#This Row],[Floor Repairs]]*BOQs!$L$8</f>
        <v>0</v>
      </c>
      <c r="AA204" s="76"/>
      <c r="AB204" s="37"/>
      <c r="AC204" s="86">
        <f>tbl_estimated_costs_quantities[[#This Row],[Doors Replacement Repair]]*BOQs!$L$9</f>
        <v>0</v>
      </c>
      <c r="AD204" s="76"/>
      <c r="AE204" s="37"/>
      <c r="AF204" s="86">
        <f>tbl_estimated_costs_quantities[[#This Row],[Windows Replacement Repair]]*BOQs!$L$10</f>
        <v>0</v>
      </c>
      <c r="AG204" s="76"/>
      <c r="AH204" s="37"/>
      <c r="AI204" s="86">
        <f>tbl_estimated_costs_quantities[[#This Row],[Bathroom Rehabilitation]]*BOQs!$L$11</f>
        <v>0</v>
      </c>
      <c r="AJ204" s="76"/>
      <c r="AK204" s="37"/>
      <c r="AL204" s="86">
        <f>tbl_estimated_costs_quantities[[#This Row],[Ceramic Tile Works WASH]]*BOQs!$L$12</f>
        <v>0</v>
      </c>
      <c r="AM204" s="76"/>
      <c r="AN204" s="37"/>
      <c r="AO204" s="86">
        <f>tbl_estimated_costs_quantities[[#This Row],[Electrical Repairs Lighting]]*BOQs!$L$13</f>
        <v>0</v>
      </c>
      <c r="AP204" s="76"/>
      <c r="AQ204" s="37"/>
      <c r="AR204" s="86">
        <f>tbl_estimated_costs_quantities[[#This Row],[Roof Insulation Leak Sealing]]*BOQs!$L$14</f>
        <v>0</v>
      </c>
      <c r="AS204" s="76"/>
      <c r="AT204" s="37"/>
      <c r="AU204" s="86">
        <f>tbl_estimated_costs_quantities[[#This Row],[Chimney Duct Cleaning Repair]]*BOQs!$L$15</f>
        <v>0</v>
      </c>
      <c r="AV204" s="76"/>
      <c r="AW204" s="37"/>
      <c r="AX204" s="89">
        <f>tbl_estimated_costs_quantities[[#This Row],[Accessibility Adaptations]]*BOQs!$L$16</f>
        <v>0</v>
      </c>
      <c r="AY204" s="86" t="str">
        <f>IF(tbl_estimated_costs_quantities[[#This Row],[Total cost]]&lt;&gt;0,tbl_estimated_costs_quantities[[#This Row],[Total cost]]/BOQs!$A$1,"")</f>
        <v/>
      </c>
      <c r="AZ204" s="37"/>
      <c r="BA204" s="37"/>
      <c r="BB204" s="37"/>
      <c r="BC204" s="37"/>
      <c r="BD204" s="41"/>
      <c r="BE204" s="37"/>
      <c r="BF204" s="37"/>
      <c r="BG204" s="37"/>
      <c r="BH204" s="41"/>
    </row>
    <row r="205" spans="2:60" ht="25.15" customHeight="1" x14ac:dyDescent="0.25">
      <c r="B205" s="49">
        <v>201</v>
      </c>
      <c r="C205" s="37"/>
      <c r="D205" s="41"/>
      <c r="E205" s="40"/>
      <c r="F205" s="87" t="str">
        <f>IF(tbl_estimated_costs_quantities[[#This Row],[House Code]]&lt;&gt;"",INDEX(tbl_Assessment[],MATCH(tbl_estimated_costs_quantities[[#This Row],[House Code]],tbl_Assessment[House Code],0),3),"")</f>
        <v/>
      </c>
      <c r="G205" s="115" t="str">
        <f>IF(tbl_estimated_costs_quantities[[#This Row],[House Code]]&lt;&gt;"",INDEX(tbl_Assessment[],MATCH(tbl_estimated_costs_quantities[[#This Row],[House Code]],tbl_Assessment[House Code],0),9),"")</f>
        <v/>
      </c>
      <c r="H20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5" s="75"/>
      <c r="J205" s="37"/>
      <c r="K205" s="86">
        <f>tbl_estimated_costs_quantities[[#This Row],[Site Preparation]]*BOQs!$L$3</f>
        <v>0</v>
      </c>
      <c r="L205" s="76"/>
      <c r="M205" s="37"/>
      <c r="N205" s="86">
        <f>tbl_estimated_costs_quantities[[#This Row],[Demolition Removal Unsafe Structures]]*BOQs!$L$4</f>
        <v>0</v>
      </c>
      <c r="O205" s="76"/>
      <c r="P205" s="37"/>
      <c r="Q205" s="86">
        <f>tbl_estimated_costs_quantities[[#This Row],[Concrete Works]]*BOQs!$L$5</f>
        <v>0</v>
      </c>
      <c r="R205" s="76"/>
      <c r="S205" s="37"/>
      <c r="T205" s="86">
        <f>tbl_estimated_costs_quantities[[#This Row],[Closure External Openings Walls Windows]]*BOQs!$L$6</f>
        <v>0</v>
      </c>
      <c r="U205" s="76"/>
      <c r="V205" s="37"/>
      <c r="W205" s="86">
        <f>tbl_estimated_costs_quantities[[#This Row],[Plastering Painting]]*BOQs!$L$7</f>
        <v>0</v>
      </c>
      <c r="X205" s="76"/>
      <c r="Y205" s="37"/>
      <c r="Z205" s="86">
        <f>tbl_estimated_costs_quantities[[#This Row],[Floor Repairs]]*BOQs!$L$8</f>
        <v>0</v>
      </c>
      <c r="AA205" s="76"/>
      <c r="AB205" s="37"/>
      <c r="AC205" s="86">
        <f>tbl_estimated_costs_quantities[[#This Row],[Doors Replacement Repair]]*BOQs!$L$9</f>
        <v>0</v>
      </c>
      <c r="AD205" s="76"/>
      <c r="AE205" s="37"/>
      <c r="AF205" s="86">
        <f>tbl_estimated_costs_quantities[[#This Row],[Windows Replacement Repair]]*BOQs!$L$10</f>
        <v>0</v>
      </c>
      <c r="AG205" s="76"/>
      <c r="AH205" s="37"/>
      <c r="AI205" s="86">
        <f>tbl_estimated_costs_quantities[[#This Row],[Bathroom Rehabilitation]]*BOQs!$L$11</f>
        <v>0</v>
      </c>
      <c r="AJ205" s="76"/>
      <c r="AK205" s="37"/>
      <c r="AL205" s="86">
        <f>tbl_estimated_costs_quantities[[#This Row],[Ceramic Tile Works WASH]]*BOQs!$L$12</f>
        <v>0</v>
      </c>
      <c r="AM205" s="76"/>
      <c r="AN205" s="37"/>
      <c r="AO205" s="86">
        <f>tbl_estimated_costs_quantities[[#This Row],[Electrical Repairs Lighting]]*BOQs!$L$13</f>
        <v>0</v>
      </c>
      <c r="AP205" s="76"/>
      <c r="AQ205" s="37"/>
      <c r="AR205" s="86">
        <f>tbl_estimated_costs_quantities[[#This Row],[Roof Insulation Leak Sealing]]*BOQs!$L$14</f>
        <v>0</v>
      </c>
      <c r="AS205" s="76"/>
      <c r="AT205" s="37"/>
      <c r="AU205" s="86">
        <f>tbl_estimated_costs_quantities[[#This Row],[Chimney Duct Cleaning Repair]]*BOQs!$L$15</f>
        <v>0</v>
      </c>
      <c r="AV205" s="76"/>
      <c r="AW205" s="37"/>
      <c r="AX205" s="89">
        <f>tbl_estimated_costs_quantities[[#This Row],[Accessibility Adaptations]]*BOQs!$L$16</f>
        <v>0</v>
      </c>
      <c r="AY205" s="86" t="str">
        <f>IF(tbl_estimated_costs_quantities[[#This Row],[Total cost]]&lt;&gt;0,tbl_estimated_costs_quantities[[#This Row],[Total cost]]/BOQs!$A$1,"")</f>
        <v/>
      </c>
      <c r="AZ205" s="37"/>
      <c r="BA205" s="37"/>
      <c r="BB205" s="37"/>
      <c r="BC205" s="37"/>
      <c r="BD205" s="41"/>
      <c r="BE205" s="37"/>
      <c r="BF205" s="37"/>
      <c r="BG205" s="37"/>
      <c r="BH205" s="41"/>
    </row>
    <row r="206" spans="2:60" ht="25.15" customHeight="1" x14ac:dyDescent="0.25">
      <c r="B206" s="49">
        <v>202</v>
      </c>
      <c r="C206" s="37"/>
      <c r="D206" s="41"/>
      <c r="E206" s="40"/>
      <c r="F206" s="87" t="str">
        <f>IF(tbl_estimated_costs_quantities[[#This Row],[House Code]]&lt;&gt;"",INDEX(tbl_Assessment[],MATCH(tbl_estimated_costs_quantities[[#This Row],[House Code]],tbl_Assessment[House Code],0),3),"")</f>
        <v/>
      </c>
      <c r="G206" s="115" t="str">
        <f>IF(tbl_estimated_costs_quantities[[#This Row],[House Code]]&lt;&gt;"",INDEX(tbl_Assessment[],MATCH(tbl_estimated_costs_quantities[[#This Row],[House Code]],tbl_Assessment[House Code],0),9),"")</f>
        <v/>
      </c>
      <c r="H20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6" s="75"/>
      <c r="J206" s="37"/>
      <c r="K206" s="86">
        <f>tbl_estimated_costs_quantities[[#This Row],[Site Preparation]]*BOQs!$L$3</f>
        <v>0</v>
      </c>
      <c r="L206" s="76"/>
      <c r="M206" s="37"/>
      <c r="N206" s="86">
        <f>tbl_estimated_costs_quantities[[#This Row],[Demolition Removal Unsafe Structures]]*BOQs!$L$4</f>
        <v>0</v>
      </c>
      <c r="O206" s="76"/>
      <c r="P206" s="37"/>
      <c r="Q206" s="86">
        <f>tbl_estimated_costs_quantities[[#This Row],[Concrete Works]]*BOQs!$L$5</f>
        <v>0</v>
      </c>
      <c r="R206" s="76"/>
      <c r="S206" s="37"/>
      <c r="T206" s="86">
        <f>tbl_estimated_costs_quantities[[#This Row],[Closure External Openings Walls Windows]]*BOQs!$L$6</f>
        <v>0</v>
      </c>
      <c r="U206" s="76"/>
      <c r="V206" s="37"/>
      <c r="W206" s="86">
        <f>tbl_estimated_costs_quantities[[#This Row],[Plastering Painting]]*BOQs!$L$7</f>
        <v>0</v>
      </c>
      <c r="X206" s="76"/>
      <c r="Y206" s="37"/>
      <c r="Z206" s="86">
        <f>tbl_estimated_costs_quantities[[#This Row],[Floor Repairs]]*BOQs!$L$8</f>
        <v>0</v>
      </c>
      <c r="AA206" s="76"/>
      <c r="AB206" s="37"/>
      <c r="AC206" s="86">
        <f>tbl_estimated_costs_quantities[[#This Row],[Doors Replacement Repair]]*BOQs!$L$9</f>
        <v>0</v>
      </c>
      <c r="AD206" s="76"/>
      <c r="AE206" s="37"/>
      <c r="AF206" s="86">
        <f>tbl_estimated_costs_quantities[[#This Row],[Windows Replacement Repair]]*BOQs!$L$10</f>
        <v>0</v>
      </c>
      <c r="AG206" s="76"/>
      <c r="AH206" s="37"/>
      <c r="AI206" s="86">
        <f>tbl_estimated_costs_quantities[[#This Row],[Bathroom Rehabilitation]]*BOQs!$L$11</f>
        <v>0</v>
      </c>
      <c r="AJ206" s="76"/>
      <c r="AK206" s="37"/>
      <c r="AL206" s="86">
        <f>tbl_estimated_costs_quantities[[#This Row],[Ceramic Tile Works WASH]]*BOQs!$L$12</f>
        <v>0</v>
      </c>
      <c r="AM206" s="76"/>
      <c r="AN206" s="37"/>
      <c r="AO206" s="86">
        <f>tbl_estimated_costs_quantities[[#This Row],[Electrical Repairs Lighting]]*BOQs!$L$13</f>
        <v>0</v>
      </c>
      <c r="AP206" s="76"/>
      <c r="AQ206" s="37"/>
      <c r="AR206" s="86">
        <f>tbl_estimated_costs_quantities[[#This Row],[Roof Insulation Leak Sealing]]*BOQs!$L$14</f>
        <v>0</v>
      </c>
      <c r="AS206" s="76"/>
      <c r="AT206" s="37"/>
      <c r="AU206" s="86">
        <f>tbl_estimated_costs_quantities[[#This Row],[Chimney Duct Cleaning Repair]]*BOQs!$L$15</f>
        <v>0</v>
      </c>
      <c r="AV206" s="76"/>
      <c r="AW206" s="37"/>
      <c r="AX206" s="89">
        <f>tbl_estimated_costs_quantities[[#This Row],[Accessibility Adaptations]]*BOQs!$L$16</f>
        <v>0</v>
      </c>
      <c r="AY206" s="86" t="str">
        <f>IF(tbl_estimated_costs_quantities[[#This Row],[Total cost]]&lt;&gt;0,tbl_estimated_costs_quantities[[#This Row],[Total cost]]/BOQs!$A$1,"")</f>
        <v/>
      </c>
      <c r="AZ206" s="37"/>
      <c r="BA206" s="37"/>
      <c r="BB206" s="37"/>
      <c r="BC206" s="37"/>
      <c r="BD206" s="41"/>
      <c r="BE206" s="37"/>
      <c r="BF206" s="37"/>
      <c r="BG206" s="37"/>
      <c r="BH206" s="41"/>
    </row>
    <row r="207" spans="2:60" ht="25.15" customHeight="1" x14ac:dyDescent="0.25">
      <c r="B207" s="49">
        <v>203</v>
      </c>
      <c r="C207" s="37"/>
      <c r="D207" s="41"/>
      <c r="E207" s="40"/>
      <c r="F207" s="87" t="str">
        <f>IF(tbl_estimated_costs_quantities[[#This Row],[House Code]]&lt;&gt;"",INDEX(tbl_Assessment[],MATCH(tbl_estimated_costs_quantities[[#This Row],[House Code]],tbl_Assessment[House Code],0),3),"")</f>
        <v/>
      </c>
      <c r="G207" s="115" t="str">
        <f>IF(tbl_estimated_costs_quantities[[#This Row],[House Code]]&lt;&gt;"",INDEX(tbl_Assessment[],MATCH(tbl_estimated_costs_quantities[[#This Row],[House Code]],tbl_Assessment[House Code],0),9),"")</f>
        <v/>
      </c>
      <c r="H20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7" s="75"/>
      <c r="J207" s="37"/>
      <c r="K207" s="86">
        <f>tbl_estimated_costs_quantities[[#This Row],[Site Preparation]]*BOQs!$L$3</f>
        <v>0</v>
      </c>
      <c r="L207" s="76"/>
      <c r="M207" s="37"/>
      <c r="N207" s="86">
        <f>tbl_estimated_costs_quantities[[#This Row],[Demolition Removal Unsafe Structures]]*BOQs!$L$4</f>
        <v>0</v>
      </c>
      <c r="O207" s="76"/>
      <c r="P207" s="37"/>
      <c r="Q207" s="86">
        <f>tbl_estimated_costs_quantities[[#This Row],[Concrete Works]]*BOQs!$L$5</f>
        <v>0</v>
      </c>
      <c r="R207" s="76"/>
      <c r="S207" s="37"/>
      <c r="T207" s="86">
        <f>tbl_estimated_costs_quantities[[#This Row],[Closure External Openings Walls Windows]]*BOQs!$L$6</f>
        <v>0</v>
      </c>
      <c r="U207" s="76"/>
      <c r="V207" s="37"/>
      <c r="W207" s="86">
        <f>tbl_estimated_costs_quantities[[#This Row],[Plastering Painting]]*BOQs!$L$7</f>
        <v>0</v>
      </c>
      <c r="X207" s="76"/>
      <c r="Y207" s="37"/>
      <c r="Z207" s="86">
        <f>tbl_estimated_costs_quantities[[#This Row],[Floor Repairs]]*BOQs!$L$8</f>
        <v>0</v>
      </c>
      <c r="AA207" s="76"/>
      <c r="AB207" s="37"/>
      <c r="AC207" s="86">
        <f>tbl_estimated_costs_quantities[[#This Row],[Doors Replacement Repair]]*BOQs!$L$9</f>
        <v>0</v>
      </c>
      <c r="AD207" s="76"/>
      <c r="AE207" s="37"/>
      <c r="AF207" s="86">
        <f>tbl_estimated_costs_quantities[[#This Row],[Windows Replacement Repair]]*BOQs!$L$10</f>
        <v>0</v>
      </c>
      <c r="AG207" s="76"/>
      <c r="AH207" s="37"/>
      <c r="AI207" s="86">
        <f>tbl_estimated_costs_quantities[[#This Row],[Bathroom Rehabilitation]]*BOQs!$L$11</f>
        <v>0</v>
      </c>
      <c r="AJ207" s="76"/>
      <c r="AK207" s="37"/>
      <c r="AL207" s="86">
        <f>tbl_estimated_costs_quantities[[#This Row],[Ceramic Tile Works WASH]]*BOQs!$L$12</f>
        <v>0</v>
      </c>
      <c r="AM207" s="76"/>
      <c r="AN207" s="37"/>
      <c r="AO207" s="86">
        <f>tbl_estimated_costs_quantities[[#This Row],[Electrical Repairs Lighting]]*BOQs!$L$13</f>
        <v>0</v>
      </c>
      <c r="AP207" s="76"/>
      <c r="AQ207" s="37"/>
      <c r="AR207" s="86">
        <f>tbl_estimated_costs_quantities[[#This Row],[Roof Insulation Leak Sealing]]*BOQs!$L$14</f>
        <v>0</v>
      </c>
      <c r="AS207" s="76"/>
      <c r="AT207" s="37"/>
      <c r="AU207" s="86">
        <f>tbl_estimated_costs_quantities[[#This Row],[Chimney Duct Cleaning Repair]]*BOQs!$L$15</f>
        <v>0</v>
      </c>
      <c r="AV207" s="76"/>
      <c r="AW207" s="37"/>
      <c r="AX207" s="89">
        <f>tbl_estimated_costs_quantities[[#This Row],[Accessibility Adaptations]]*BOQs!$L$16</f>
        <v>0</v>
      </c>
      <c r="AY207" s="86" t="str">
        <f>IF(tbl_estimated_costs_quantities[[#This Row],[Total cost]]&lt;&gt;0,tbl_estimated_costs_quantities[[#This Row],[Total cost]]/BOQs!$A$1,"")</f>
        <v/>
      </c>
      <c r="AZ207" s="37"/>
      <c r="BA207" s="37"/>
      <c r="BB207" s="37"/>
      <c r="BC207" s="37"/>
      <c r="BD207" s="41"/>
      <c r="BE207" s="37"/>
      <c r="BF207" s="37"/>
      <c r="BG207" s="37"/>
      <c r="BH207" s="41"/>
    </row>
    <row r="208" spans="2:60" ht="25.15" customHeight="1" x14ac:dyDescent="0.25">
      <c r="B208" s="49">
        <v>204</v>
      </c>
      <c r="C208" s="37"/>
      <c r="D208" s="41"/>
      <c r="E208" s="40"/>
      <c r="F208" s="87" t="str">
        <f>IF(tbl_estimated_costs_quantities[[#This Row],[House Code]]&lt;&gt;"",INDEX(tbl_Assessment[],MATCH(tbl_estimated_costs_quantities[[#This Row],[House Code]],tbl_Assessment[House Code],0),3),"")</f>
        <v/>
      </c>
      <c r="G208" s="115" t="str">
        <f>IF(tbl_estimated_costs_quantities[[#This Row],[House Code]]&lt;&gt;"",INDEX(tbl_Assessment[],MATCH(tbl_estimated_costs_quantities[[#This Row],[House Code]],tbl_Assessment[House Code],0),9),"")</f>
        <v/>
      </c>
      <c r="H20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8" s="75"/>
      <c r="J208" s="37"/>
      <c r="K208" s="86">
        <f>tbl_estimated_costs_quantities[[#This Row],[Site Preparation]]*BOQs!$L$3</f>
        <v>0</v>
      </c>
      <c r="L208" s="76"/>
      <c r="M208" s="37"/>
      <c r="N208" s="86">
        <f>tbl_estimated_costs_quantities[[#This Row],[Demolition Removal Unsafe Structures]]*BOQs!$L$4</f>
        <v>0</v>
      </c>
      <c r="O208" s="76"/>
      <c r="P208" s="37"/>
      <c r="Q208" s="86">
        <f>tbl_estimated_costs_quantities[[#This Row],[Concrete Works]]*BOQs!$L$5</f>
        <v>0</v>
      </c>
      <c r="R208" s="76"/>
      <c r="S208" s="37"/>
      <c r="T208" s="86">
        <f>tbl_estimated_costs_quantities[[#This Row],[Closure External Openings Walls Windows]]*BOQs!$L$6</f>
        <v>0</v>
      </c>
      <c r="U208" s="76"/>
      <c r="V208" s="37"/>
      <c r="W208" s="86">
        <f>tbl_estimated_costs_quantities[[#This Row],[Plastering Painting]]*BOQs!$L$7</f>
        <v>0</v>
      </c>
      <c r="X208" s="76"/>
      <c r="Y208" s="37"/>
      <c r="Z208" s="86">
        <f>tbl_estimated_costs_quantities[[#This Row],[Floor Repairs]]*BOQs!$L$8</f>
        <v>0</v>
      </c>
      <c r="AA208" s="76"/>
      <c r="AB208" s="37"/>
      <c r="AC208" s="86">
        <f>tbl_estimated_costs_quantities[[#This Row],[Doors Replacement Repair]]*BOQs!$L$9</f>
        <v>0</v>
      </c>
      <c r="AD208" s="76"/>
      <c r="AE208" s="37"/>
      <c r="AF208" s="86">
        <f>tbl_estimated_costs_quantities[[#This Row],[Windows Replacement Repair]]*BOQs!$L$10</f>
        <v>0</v>
      </c>
      <c r="AG208" s="76"/>
      <c r="AH208" s="37"/>
      <c r="AI208" s="86">
        <f>tbl_estimated_costs_quantities[[#This Row],[Bathroom Rehabilitation]]*BOQs!$L$11</f>
        <v>0</v>
      </c>
      <c r="AJ208" s="76"/>
      <c r="AK208" s="37"/>
      <c r="AL208" s="86">
        <f>tbl_estimated_costs_quantities[[#This Row],[Ceramic Tile Works WASH]]*BOQs!$L$12</f>
        <v>0</v>
      </c>
      <c r="AM208" s="76"/>
      <c r="AN208" s="37"/>
      <c r="AO208" s="86">
        <f>tbl_estimated_costs_quantities[[#This Row],[Electrical Repairs Lighting]]*BOQs!$L$13</f>
        <v>0</v>
      </c>
      <c r="AP208" s="76"/>
      <c r="AQ208" s="37"/>
      <c r="AR208" s="86">
        <f>tbl_estimated_costs_quantities[[#This Row],[Roof Insulation Leak Sealing]]*BOQs!$L$14</f>
        <v>0</v>
      </c>
      <c r="AS208" s="76"/>
      <c r="AT208" s="37"/>
      <c r="AU208" s="86">
        <f>tbl_estimated_costs_quantities[[#This Row],[Chimney Duct Cleaning Repair]]*BOQs!$L$15</f>
        <v>0</v>
      </c>
      <c r="AV208" s="76"/>
      <c r="AW208" s="37"/>
      <c r="AX208" s="89">
        <f>tbl_estimated_costs_quantities[[#This Row],[Accessibility Adaptations]]*BOQs!$L$16</f>
        <v>0</v>
      </c>
      <c r="AY208" s="86" t="str">
        <f>IF(tbl_estimated_costs_quantities[[#This Row],[Total cost]]&lt;&gt;0,tbl_estimated_costs_quantities[[#This Row],[Total cost]]/BOQs!$A$1,"")</f>
        <v/>
      </c>
      <c r="AZ208" s="37"/>
      <c r="BA208" s="37"/>
      <c r="BB208" s="37"/>
      <c r="BC208" s="37"/>
      <c r="BD208" s="41"/>
      <c r="BE208" s="37"/>
      <c r="BF208" s="37"/>
      <c r="BG208" s="37"/>
      <c r="BH208" s="41"/>
    </row>
    <row r="209" spans="2:60" ht="25.15" customHeight="1" x14ac:dyDescent="0.25">
      <c r="B209" s="49">
        <v>205</v>
      </c>
      <c r="C209" s="37"/>
      <c r="D209" s="41"/>
      <c r="E209" s="40"/>
      <c r="F209" s="87" t="str">
        <f>IF(tbl_estimated_costs_quantities[[#This Row],[House Code]]&lt;&gt;"",INDEX(tbl_Assessment[],MATCH(tbl_estimated_costs_quantities[[#This Row],[House Code]],tbl_Assessment[House Code],0),3),"")</f>
        <v/>
      </c>
      <c r="G209" s="115" t="str">
        <f>IF(tbl_estimated_costs_quantities[[#This Row],[House Code]]&lt;&gt;"",INDEX(tbl_Assessment[],MATCH(tbl_estimated_costs_quantities[[#This Row],[House Code]],tbl_Assessment[House Code],0),9),"")</f>
        <v/>
      </c>
      <c r="H20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09" s="75"/>
      <c r="J209" s="37"/>
      <c r="K209" s="86">
        <f>tbl_estimated_costs_quantities[[#This Row],[Site Preparation]]*BOQs!$L$3</f>
        <v>0</v>
      </c>
      <c r="L209" s="76"/>
      <c r="M209" s="37"/>
      <c r="N209" s="86">
        <f>tbl_estimated_costs_quantities[[#This Row],[Demolition Removal Unsafe Structures]]*BOQs!$L$4</f>
        <v>0</v>
      </c>
      <c r="O209" s="76"/>
      <c r="P209" s="37"/>
      <c r="Q209" s="86">
        <f>tbl_estimated_costs_quantities[[#This Row],[Concrete Works]]*BOQs!$L$5</f>
        <v>0</v>
      </c>
      <c r="R209" s="76"/>
      <c r="S209" s="37"/>
      <c r="T209" s="86">
        <f>tbl_estimated_costs_quantities[[#This Row],[Closure External Openings Walls Windows]]*BOQs!$L$6</f>
        <v>0</v>
      </c>
      <c r="U209" s="76"/>
      <c r="V209" s="37"/>
      <c r="W209" s="86">
        <f>tbl_estimated_costs_quantities[[#This Row],[Plastering Painting]]*BOQs!$L$7</f>
        <v>0</v>
      </c>
      <c r="X209" s="76"/>
      <c r="Y209" s="37"/>
      <c r="Z209" s="86">
        <f>tbl_estimated_costs_quantities[[#This Row],[Floor Repairs]]*BOQs!$L$8</f>
        <v>0</v>
      </c>
      <c r="AA209" s="76"/>
      <c r="AB209" s="37"/>
      <c r="AC209" s="86">
        <f>tbl_estimated_costs_quantities[[#This Row],[Doors Replacement Repair]]*BOQs!$L$9</f>
        <v>0</v>
      </c>
      <c r="AD209" s="76"/>
      <c r="AE209" s="37"/>
      <c r="AF209" s="86">
        <f>tbl_estimated_costs_quantities[[#This Row],[Windows Replacement Repair]]*BOQs!$L$10</f>
        <v>0</v>
      </c>
      <c r="AG209" s="76"/>
      <c r="AH209" s="37"/>
      <c r="AI209" s="86">
        <f>tbl_estimated_costs_quantities[[#This Row],[Bathroom Rehabilitation]]*BOQs!$L$11</f>
        <v>0</v>
      </c>
      <c r="AJ209" s="76"/>
      <c r="AK209" s="37"/>
      <c r="AL209" s="86">
        <f>tbl_estimated_costs_quantities[[#This Row],[Ceramic Tile Works WASH]]*BOQs!$L$12</f>
        <v>0</v>
      </c>
      <c r="AM209" s="76"/>
      <c r="AN209" s="37"/>
      <c r="AO209" s="86">
        <f>tbl_estimated_costs_quantities[[#This Row],[Electrical Repairs Lighting]]*BOQs!$L$13</f>
        <v>0</v>
      </c>
      <c r="AP209" s="76"/>
      <c r="AQ209" s="37"/>
      <c r="AR209" s="86">
        <f>tbl_estimated_costs_quantities[[#This Row],[Roof Insulation Leak Sealing]]*BOQs!$L$14</f>
        <v>0</v>
      </c>
      <c r="AS209" s="76"/>
      <c r="AT209" s="37"/>
      <c r="AU209" s="86">
        <f>tbl_estimated_costs_quantities[[#This Row],[Chimney Duct Cleaning Repair]]*BOQs!$L$15</f>
        <v>0</v>
      </c>
      <c r="AV209" s="76"/>
      <c r="AW209" s="37"/>
      <c r="AX209" s="89">
        <f>tbl_estimated_costs_quantities[[#This Row],[Accessibility Adaptations]]*BOQs!$L$16</f>
        <v>0</v>
      </c>
      <c r="AY209" s="86" t="str">
        <f>IF(tbl_estimated_costs_quantities[[#This Row],[Total cost]]&lt;&gt;0,tbl_estimated_costs_quantities[[#This Row],[Total cost]]/BOQs!$A$1,"")</f>
        <v/>
      </c>
      <c r="AZ209" s="37"/>
      <c r="BA209" s="37"/>
      <c r="BB209" s="37"/>
      <c r="BC209" s="37"/>
      <c r="BD209" s="41"/>
      <c r="BE209" s="37"/>
      <c r="BF209" s="37"/>
      <c r="BG209" s="37"/>
      <c r="BH209" s="41"/>
    </row>
    <row r="210" spans="2:60" ht="25.15" customHeight="1" x14ac:dyDescent="0.25">
      <c r="B210" s="49">
        <v>206</v>
      </c>
      <c r="C210" s="37"/>
      <c r="D210" s="41"/>
      <c r="E210" s="40"/>
      <c r="F210" s="87" t="str">
        <f>IF(tbl_estimated_costs_quantities[[#This Row],[House Code]]&lt;&gt;"",INDEX(tbl_Assessment[],MATCH(tbl_estimated_costs_quantities[[#This Row],[House Code]],tbl_Assessment[House Code],0),3),"")</f>
        <v/>
      </c>
      <c r="G210" s="115" t="str">
        <f>IF(tbl_estimated_costs_quantities[[#This Row],[House Code]]&lt;&gt;"",INDEX(tbl_Assessment[],MATCH(tbl_estimated_costs_quantities[[#This Row],[House Code]],tbl_Assessment[House Code],0),9),"")</f>
        <v/>
      </c>
      <c r="H21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0" s="75"/>
      <c r="J210" s="37"/>
      <c r="K210" s="86">
        <f>tbl_estimated_costs_quantities[[#This Row],[Site Preparation]]*BOQs!$L$3</f>
        <v>0</v>
      </c>
      <c r="L210" s="76"/>
      <c r="M210" s="37"/>
      <c r="N210" s="86">
        <f>tbl_estimated_costs_quantities[[#This Row],[Demolition Removal Unsafe Structures]]*BOQs!$L$4</f>
        <v>0</v>
      </c>
      <c r="O210" s="76"/>
      <c r="P210" s="37"/>
      <c r="Q210" s="86">
        <f>tbl_estimated_costs_quantities[[#This Row],[Concrete Works]]*BOQs!$L$5</f>
        <v>0</v>
      </c>
      <c r="R210" s="76"/>
      <c r="S210" s="37"/>
      <c r="T210" s="86">
        <f>tbl_estimated_costs_quantities[[#This Row],[Closure External Openings Walls Windows]]*BOQs!$L$6</f>
        <v>0</v>
      </c>
      <c r="U210" s="76"/>
      <c r="V210" s="37"/>
      <c r="W210" s="86">
        <f>tbl_estimated_costs_quantities[[#This Row],[Plastering Painting]]*BOQs!$L$7</f>
        <v>0</v>
      </c>
      <c r="X210" s="76"/>
      <c r="Y210" s="37"/>
      <c r="Z210" s="86">
        <f>tbl_estimated_costs_quantities[[#This Row],[Floor Repairs]]*BOQs!$L$8</f>
        <v>0</v>
      </c>
      <c r="AA210" s="76"/>
      <c r="AB210" s="37"/>
      <c r="AC210" s="86">
        <f>tbl_estimated_costs_quantities[[#This Row],[Doors Replacement Repair]]*BOQs!$L$9</f>
        <v>0</v>
      </c>
      <c r="AD210" s="76"/>
      <c r="AE210" s="37"/>
      <c r="AF210" s="86">
        <f>tbl_estimated_costs_quantities[[#This Row],[Windows Replacement Repair]]*BOQs!$L$10</f>
        <v>0</v>
      </c>
      <c r="AG210" s="76"/>
      <c r="AH210" s="37"/>
      <c r="AI210" s="86">
        <f>tbl_estimated_costs_quantities[[#This Row],[Bathroom Rehabilitation]]*BOQs!$L$11</f>
        <v>0</v>
      </c>
      <c r="AJ210" s="76"/>
      <c r="AK210" s="37"/>
      <c r="AL210" s="86">
        <f>tbl_estimated_costs_quantities[[#This Row],[Ceramic Tile Works WASH]]*BOQs!$L$12</f>
        <v>0</v>
      </c>
      <c r="AM210" s="76"/>
      <c r="AN210" s="37"/>
      <c r="AO210" s="86">
        <f>tbl_estimated_costs_quantities[[#This Row],[Electrical Repairs Lighting]]*BOQs!$L$13</f>
        <v>0</v>
      </c>
      <c r="AP210" s="76"/>
      <c r="AQ210" s="37"/>
      <c r="AR210" s="86">
        <f>tbl_estimated_costs_quantities[[#This Row],[Roof Insulation Leak Sealing]]*BOQs!$L$14</f>
        <v>0</v>
      </c>
      <c r="AS210" s="76"/>
      <c r="AT210" s="37"/>
      <c r="AU210" s="86">
        <f>tbl_estimated_costs_quantities[[#This Row],[Chimney Duct Cleaning Repair]]*BOQs!$L$15</f>
        <v>0</v>
      </c>
      <c r="AV210" s="76"/>
      <c r="AW210" s="37"/>
      <c r="AX210" s="89">
        <f>tbl_estimated_costs_quantities[[#This Row],[Accessibility Adaptations]]*BOQs!$L$16</f>
        <v>0</v>
      </c>
      <c r="AY210" s="86" t="str">
        <f>IF(tbl_estimated_costs_quantities[[#This Row],[Total cost]]&lt;&gt;0,tbl_estimated_costs_quantities[[#This Row],[Total cost]]/BOQs!$A$1,"")</f>
        <v/>
      </c>
      <c r="AZ210" s="37"/>
      <c r="BA210" s="37"/>
      <c r="BB210" s="37"/>
      <c r="BC210" s="37"/>
      <c r="BD210" s="41"/>
      <c r="BE210" s="37"/>
      <c r="BF210" s="37"/>
      <c r="BG210" s="37"/>
      <c r="BH210" s="41"/>
    </row>
    <row r="211" spans="2:60" ht="25.15" customHeight="1" x14ac:dyDescent="0.25">
      <c r="B211" s="49">
        <v>207</v>
      </c>
      <c r="C211" s="37"/>
      <c r="D211" s="41"/>
      <c r="E211" s="40"/>
      <c r="F211" s="87" t="str">
        <f>IF(tbl_estimated_costs_quantities[[#This Row],[House Code]]&lt;&gt;"",INDEX(tbl_Assessment[],MATCH(tbl_estimated_costs_quantities[[#This Row],[House Code]],tbl_Assessment[House Code],0),3),"")</f>
        <v/>
      </c>
      <c r="G211" s="115" t="str">
        <f>IF(tbl_estimated_costs_quantities[[#This Row],[House Code]]&lt;&gt;"",INDEX(tbl_Assessment[],MATCH(tbl_estimated_costs_quantities[[#This Row],[House Code]],tbl_Assessment[House Code],0),9),"")</f>
        <v/>
      </c>
      <c r="H21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1" s="75"/>
      <c r="J211" s="37"/>
      <c r="K211" s="86">
        <f>tbl_estimated_costs_quantities[[#This Row],[Site Preparation]]*BOQs!$L$3</f>
        <v>0</v>
      </c>
      <c r="L211" s="76"/>
      <c r="M211" s="37"/>
      <c r="N211" s="86">
        <f>tbl_estimated_costs_quantities[[#This Row],[Demolition Removal Unsafe Structures]]*BOQs!$L$4</f>
        <v>0</v>
      </c>
      <c r="O211" s="76"/>
      <c r="P211" s="37"/>
      <c r="Q211" s="86">
        <f>tbl_estimated_costs_quantities[[#This Row],[Concrete Works]]*BOQs!$L$5</f>
        <v>0</v>
      </c>
      <c r="R211" s="76"/>
      <c r="S211" s="37"/>
      <c r="T211" s="86">
        <f>tbl_estimated_costs_quantities[[#This Row],[Closure External Openings Walls Windows]]*BOQs!$L$6</f>
        <v>0</v>
      </c>
      <c r="U211" s="76"/>
      <c r="V211" s="37"/>
      <c r="W211" s="86">
        <f>tbl_estimated_costs_quantities[[#This Row],[Plastering Painting]]*BOQs!$L$7</f>
        <v>0</v>
      </c>
      <c r="X211" s="76"/>
      <c r="Y211" s="37"/>
      <c r="Z211" s="86">
        <f>tbl_estimated_costs_quantities[[#This Row],[Floor Repairs]]*BOQs!$L$8</f>
        <v>0</v>
      </c>
      <c r="AA211" s="76"/>
      <c r="AB211" s="37"/>
      <c r="AC211" s="86">
        <f>tbl_estimated_costs_quantities[[#This Row],[Doors Replacement Repair]]*BOQs!$L$9</f>
        <v>0</v>
      </c>
      <c r="AD211" s="76"/>
      <c r="AE211" s="37"/>
      <c r="AF211" s="86">
        <f>tbl_estimated_costs_quantities[[#This Row],[Windows Replacement Repair]]*BOQs!$L$10</f>
        <v>0</v>
      </c>
      <c r="AG211" s="76"/>
      <c r="AH211" s="37"/>
      <c r="AI211" s="86">
        <f>tbl_estimated_costs_quantities[[#This Row],[Bathroom Rehabilitation]]*BOQs!$L$11</f>
        <v>0</v>
      </c>
      <c r="AJ211" s="76"/>
      <c r="AK211" s="37"/>
      <c r="AL211" s="86">
        <f>tbl_estimated_costs_quantities[[#This Row],[Ceramic Tile Works WASH]]*BOQs!$L$12</f>
        <v>0</v>
      </c>
      <c r="AM211" s="76"/>
      <c r="AN211" s="37"/>
      <c r="AO211" s="86">
        <f>tbl_estimated_costs_quantities[[#This Row],[Electrical Repairs Lighting]]*BOQs!$L$13</f>
        <v>0</v>
      </c>
      <c r="AP211" s="76"/>
      <c r="AQ211" s="37"/>
      <c r="AR211" s="86">
        <f>tbl_estimated_costs_quantities[[#This Row],[Roof Insulation Leak Sealing]]*BOQs!$L$14</f>
        <v>0</v>
      </c>
      <c r="AS211" s="76"/>
      <c r="AT211" s="37"/>
      <c r="AU211" s="86">
        <f>tbl_estimated_costs_quantities[[#This Row],[Chimney Duct Cleaning Repair]]*BOQs!$L$15</f>
        <v>0</v>
      </c>
      <c r="AV211" s="76"/>
      <c r="AW211" s="37"/>
      <c r="AX211" s="89">
        <f>tbl_estimated_costs_quantities[[#This Row],[Accessibility Adaptations]]*BOQs!$L$16</f>
        <v>0</v>
      </c>
      <c r="AY211" s="86" t="str">
        <f>IF(tbl_estimated_costs_quantities[[#This Row],[Total cost]]&lt;&gt;0,tbl_estimated_costs_quantities[[#This Row],[Total cost]]/BOQs!$A$1,"")</f>
        <v/>
      </c>
      <c r="AZ211" s="37"/>
      <c r="BA211" s="37"/>
      <c r="BB211" s="37"/>
      <c r="BC211" s="37"/>
      <c r="BD211" s="41"/>
      <c r="BE211" s="37"/>
      <c r="BF211" s="37"/>
      <c r="BG211" s="37"/>
      <c r="BH211" s="41"/>
    </row>
    <row r="212" spans="2:60" ht="25.15" customHeight="1" x14ac:dyDescent="0.25">
      <c r="B212" s="49">
        <v>208</v>
      </c>
      <c r="C212" s="37"/>
      <c r="D212" s="41"/>
      <c r="E212" s="40"/>
      <c r="F212" s="87" t="str">
        <f>IF(tbl_estimated_costs_quantities[[#This Row],[House Code]]&lt;&gt;"",INDEX(tbl_Assessment[],MATCH(tbl_estimated_costs_quantities[[#This Row],[House Code]],tbl_Assessment[House Code],0),3),"")</f>
        <v/>
      </c>
      <c r="G212" s="115" t="str">
        <f>IF(tbl_estimated_costs_quantities[[#This Row],[House Code]]&lt;&gt;"",INDEX(tbl_Assessment[],MATCH(tbl_estimated_costs_quantities[[#This Row],[House Code]],tbl_Assessment[House Code],0),9),"")</f>
        <v/>
      </c>
      <c r="H21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2" s="75"/>
      <c r="J212" s="37"/>
      <c r="K212" s="86">
        <f>tbl_estimated_costs_quantities[[#This Row],[Site Preparation]]*BOQs!$L$3</f>
        <v>0</v>
      </c>
      <c r="L212" s="76"/>
      <c r="M212" s="37"/>
      <c r="N212" s="86">
        <f>tbl_estimated_costs_quantities[[#This Row],[Demolition Removal Unsafe Structures]]*BOQs!$L$4</f>
        <v>0</v>
      </c>
      <c r="O212" s="76"/>
      <c r="P212" s="37"/>
      <c r="Q212" s="86">
        <f>tbl_estimated_costs_quantities[[#This Row],[Concrete Works]]*BOQs!$L$5</f>
        <v>0</v>
      </c>
      <c r="R212" s="76"/>
      <c r="S212" s="37"/>
      <c r="T212" s="86">
        <f>tbl_estimated_costs_quantities[[#This Row],[Closure External Openings Walls Windows]]*BOQs!$L$6</f>
        <v>0</v>
      </c>
      <c r="U212" s="76"/>
      <c r="V212" s="37"/>
      <c r="W212" s="86">
        <f>tbl_estimated_costs_quantities[[#This Row],[Plastering Painting]]*BOQs!$L$7</f>
        <v>0</v>
      </c>
      <c r="X212" s="76"/>
      <c r="Y212" s="37"/>
      <c r="Z212" s="86">
        <f>tbl_estimated_costs_quantities[[#This Row],[Floor Repairs]]*BOQs!$L$8</f>
        <v>0</v>
      </c>
      <c r="AA212" s="76"/>
      <c r="AB212" s="37"/>
      <c r="AC212" s="86">
        <f>tbl_estimated_costs_quantities[[#This Row],[Doors Replacement Repair]]*BOQs!$L$9</f>
        <v>0</v>
      </c>
      <c r="AD212" s="76"/>
      <c r="AE212" s="37"/>
      <c r="AF212" s="86">
        <f>tbl_estimated_costs_quantities[[#This Row],[Windows Replacement Repair]]*BOQs!$L$10</f>
        <v>0</v>
      </c>
      <c r="AG212" s="76"/>
      <c r="AH212" s="37"/>
      <c r="AI212" s="86">
        <f>tbl_estimated_costs_quantities[[#This Row],[Bathroom Rehabilitation]]*BOQs!$L$11</f>
        <v>0</v>
      </c>
      <c r="AJ212" s="76"/>
      <c r="AK212" s="37"/>
      <c r="AL212" s="86">
        <f>tbl_estimated_costs_quantities[[#This Row],[Ceramic Tile Works WASH]]*BOQs!$L$12</f>
        <v>0</v>
      </c>
      <c r="AM212" s="76"/>
      <c r="AN212" s="37"/>
      <c r="AO212" s="86">
        <f>tbl_estimated_costs_quantities[[#This Row],[Electrical Repairs Lighting]]*BOQs!$L$13</f>
        <v>0</v>
      </c>
      <c r="AP212" s="76"/>
      <c r="AQ212" s="37"/>
      <c r="AR212" s="86">
        <f>tbl_estimated_costs_quantities[[#This Row],[Roof Insulation Leak Sealing]]*BOQs!$L$14</f>
        <v>0</v>
      </c>
      <c r="AS212" s="76"/>
      <c r="AT212" s="37"/>
      <c r="AU212" s="86">
        <f>tbl_estimated_costs_quantities[[#This Row],[Chimney Duct Cleaning Repair]]*BOQs!$L$15</f>
        <v>0</v>
      </c>
      <c r="AV212" s="76"/>
      <c r="AW212" s="37"/>
      <c r="AX212" s="89">
        <f>tbl_estimated_costs_quantities[[#This Row],[Accessibility Adaptations]]*BOQs!$L$16</f>
        <v>0</v>
      </c>
      <c r="AY212" s="86" t="str">
        <f>IF(tbl_estimated_costs_quantities[[#This Row],[Total cost]]&lt;&gt;0,tbl_estimated_costs_quantities[[#This Row],[Total cost]]/BOQs!$A$1,"")</f>
        <v/>
      </c>
      <c r="AZ212" s="37"/>
      <c r="BA212" s="37"/>
      <c r="BB212" s="37"/>
      <c r="BC212" s="37"/>
      <c r="BD212" s="41"/>
      <c r="BE212" s="37"/>
      <c r="BF212" s="37"/>
      <c r="BG212" s="37"/>
      <c r="BH212" s="41"/>
    </row>
    <row r="213" spans="2:60" ht="25.15" customHeight="1" x14ac:dyDescent="0.25">
      <c r="B213" s="49">
        <v>209</v>
      </c>
      <c r="C213" s="37"/>
      <c r="D213" s="41"/>
      <c r="E213" s="40"/>
      <c r="F213" s="87" t="str">
        <f>IF(tbl_estimated_costs_quantities[[#This Row],[House Code]]&lt;&gt;"",INDEX(tbl_Assessment[],MATCH(tbl_estimated_costs_quantities[[#This Row],[House Code]],tbl_Assessment[House Code],0),3),"")</f>
        <v/>
      </c>
      <c r="G213" s="115" t="str">
        <f>IF(tbl_estimated_costs_quantities[[#This Row],[House Code]]&lt;&gt;"",INDEX(tbl_Assessment[],MATCH(tbl_estimated_costs_quantities[[#This Row],[House Code]],tbl_Assessment[House Code],0),9),"")</f>
        <v/>
      </c>
      <c r="H21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3" s="75"/>
      <c r="J213" s="37"/>
      <c r="K213" s="86">
        <f>tbl_estimated_costs_quantities[[#This Row],[Site Preparation]]*BOQs!$L$3</f>
        <v>0</v>
      </c>
      <c r="L213" s="76"/>
      <c r="M213" s="37"/>
      <c r="N213" s="86">
        <f>tbl_estimated_costs_quantities[[#This Row],[Demolition Removal Unsafe Structures]]*BOQs!$L$4</f>
        <v>0</v>
      </c>
      <c r="O213" s="76"/>
      <c r="P213" s="37"/>
      <c r="Q213" s="86">
        <f>tbl_estimated_costs_quantities[[#This Row],[Concrete Works]]*BOQs!$L$5</f>
        <v>0</v>
      </c>
      <c r="R213" s="76"/>
      <c r="S213" s="37"/>
      <c r="T213" s="86">
        <f>tbl_estimated_costs_quantities[[#This Row],[Closure External Openings Walls Windows]]*BOQs!$L$6</f>
        <v>0</v>
      </c>
      <c r="U213" s="76"/>
      <c r="V213" s="37"/>
      <c r="W213" s="86">
        <f>tbl_estimated_costs_quantities[[#This Row],[Plastering Painting]]*BOQs!$L$7</f>
        <v>0</v>
      </c>
      <c r="X213" s="76"/>
      <c r="Y213" s="37"/>
      <c r="Z213" s="86">
        <f>tbl_estimated_costs_quantities[[#This Row],[Floor Repairs]]*BOQs!$L$8</f>
        <v>0</v>
      </c>
      <c r="AA213" s="76"/>
      <c r="AB213" s="37"/>
      <c r="AC213" s="86">
        <f>tbl_estimated_costs_quantities[[#This Row],[Doors Replacement Repair]]*BOQs!$L$9</f>
        <v>0</v>
      </c>
      <c r="AD213" s="76"/>
      <c r="AE213" s="37"/>
      <c r="AF213" s="86">
        <f>tbl_estimated_costs_quantities[[#This Row],[Windows Replacement Repair]]*BOQs!$L$10</f>
        <v>0</v>
      </c>
      <c r="AG213" s="76"/>
      <c r="AH213" s="37"/>
      <c r="AI213" s="86">
        <f>tbl_estimated_costs_quantities[[#This Row],[Bathroom Rehabilitation]]*BOQs!$L$11</f>
        <v>0</v>
      </c>
      <c r="AJ213" s="76"/>
      <c r="AK213" s="37"/>
      <c r="AL213" s="86">
        <f>tbl_estimated_costs_quantities[[#This Row],[Ceramic Tile Works WASH]]*BOQs!$L$12</f>
        <v>0</v>
      </c>
      <c r="AM213" s="76"/>
      <c r="AN213" s="37"/>
      <c r="AO213" s="86">
        <f>tbl_estimated_costs_quantities[[#This Row],[Electrical Repairs Lighting]]*BOQs!$L$13</f>
        <v>0</v>
      </c>
      <c r="AP213" s="76"/>
      <c r="AQ213" s="37"/>
      <c r="AR213" s="86">
        <f>tbl_estimated_costs_quantities[[#This Row],[Roof Insulation Leak Sealing]]*BOQs!$L$14</f>
        <v>0</v>
      </c>
      <c r="AS213" s="76"/>
      <c r="AT213" s="37"/>
      <c r="AU213" s="86">
        <f>tbl_estimated_costs_quantities[[#This Row],[Chimney Duct Cleaning Repair]]*BOQs!$L$15</f>
        <v>0</v>
      </c>
      <c r="AV213" s="76"/>
      <c r="AW213" s="37"/>
      <c r="AX213" s="89">
        <f>tbl_estimated_costs_quantities[[#This Row],[Accessibility Adaptations]]*BOQs!$L$16</f>
        <v>0</v>
      </c>
      <c r="AY213" s="86" t="str">
        <f>IF(tbl_estimated_costs_quantities[[#This Row],[Total cost]]&lt;&gt;0,tbl_estimated_costs_quantities[[#This Row],[Total cost]]/BOQs!$A$1,"")</f>
        <v/>
      </c>
      <c r="AZ213" s="37"/>
      <c r="BA213" s="37"/>
      <c r="BB213" s="37"/>
      <c r="BC213" s="37"/>
      <c r="BD213" s="41"/>
      <c r="BE213" s="37"/>
      <c r="BF213" s="37"/>
      <c r="BG213" s="37"/>
      <c r="BH213" s="41"/>
    </row>
    <row r="214" spans="2:60" ht="25.15" customHeight="1" x14ac:dyDescent="0.25">
      <c r="B214" s="49">
        <v>210</v>
      </c>
      <c r="C214" s="37"/>
      <c r="D214" s="41"/>
      <c r="E214" s="40"/>
      <c r="F214" s="87" t="str">
        <f>IF(tbl_estimated_costs_quantities[[#This Row],[House Code]]&lt;&gt;"",INDEX(tbl_Assessment[],MATCH(tbl_estimated_costs_quantities[[#This Row],[House Code]],tbl_Assessment[House Code],0),3),"")</f>
        <v/>
      </c>
      <c r="G214" s="115" t="str">
        <f>IF(tbl_estimated_costs_quantities[[#This Row],[House Code]]&lt;&gt;"",INDEX(tbl_Assessment[],MATCH(tbl_estimated_costs_quantities[[#This Row],[House Code]],tbl_Assessment[House Code],0),9),"")</f>
        <v/>
      </c>
      <c r="H21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4" s="75"/>
      <c r="J214" s="37"/>
      <c r="K214" s="86">
        <f>tbl_estimated_costs_quantities[[#This Row],[Site Preparation]]*BOQs!$L$3</f>
        <v>0</v>
      </c>
      <c r="L214" s="76"/>
      <c r="M214" s="37"/>
      <c r="N214" s="86">
        <f>tbl_estimated_costs_quantities[[#This Row],[Demolition Removal Unsafe Structures]]*BOQs!$L$4</f>
        <v>0</v>
      </c>
      <c r="O214" s="76"/>
      <c r="P214" s="37"/>
      <c r="Q214" s="86">
        <f>tbl_estimated_costs_quantities[[#This Row],[Concrete Works]]*BOQs!$L$5</f>
        <v>0</v>
      </c>
      <c r="R214" s="76"/>
      <c r="S214" s="37"/>
      <c r="T214" s="86">
        <f>tbl_estimated_costs_quantities[[#This Row],[Closure External Openings Walls Windows]]*BOQs!$L$6</f>
        <v>0</v>
      </c>
      <c r="U214" s="76"/>
      <c r="V214" s="37"/>
      <c r="W214" s="86">
        <f>tbl_estimated_costs_quantities[[#This Row],[Plastering Painting]]*BOQs!$L$7</f>
        <v>0</v>
      </c>
      <c r="X214" s="76"/>
      <c r="Y214" s="37"/>
      <c r="Z214" s="86">
        <f>tbl_estimated_costs_quantities[[#This Row],[Floor Repairs]]*BOQs!$L$8</f>
        <v>0</v>
      </c>
      <c r="AA214" s="76"/>
      <c r="AB214" s="37"/>
      <c r="AC214" s="86">
        <f>tbl_estimated_costs_quantities[[#This Row],[Doors Replacement Repair]]*BOQs!$L$9</f>
        <v>0</v>
      </c>
      <c r="AD214" s="76"/>
      <c r="AE214" s="37"/>
      <c r="AF214" s="86">
        <f>tbl_estimated_costs_quantities[[#This Row],[Windows Replacement Repair]]*BOQs!$L$10</f>
        <v>0</v>
      </c>
      <c r="AG214" s="76"/>
      <c r="AH214" s="37"/>
      <c r="AI214" s="86">
        <f>tbl_estimated_costs_quantities[[#This Row],[Bathroom Rehabilitation]]*BOQs!$L$11</f>
        <v>0</v>
      </c>
      <c r="AJ214" s="76"/>
      <c r="AK214" s="37"/>
      <c r="AL214" s="86">
        <f>tbl_estimated_costs_quantities[[#This Row],[Ceramic Tile Works WASH]]*BOQs!$L$12</f>
        <v>0</v>
      </c>
      <c r="AM214" s="76"/>
      <c r="AN214" s="37"/>
      <c r="AO214" s="86">
        <f>tbl_estimated_costs_quantities[[#This Row],[Electrical Repairs Lighting]]*BOQs!$L$13</f>
        <v>0</v>
      </c>
      <c r="AP214" s="76"/>
      <c r="AQ214" s="37"/>
      <c r="AR214" s="86">
        <f>tbl_estimated_costs_quantities[[#This Row],[Roof Insulation Leak Sealing]]*BOQs!$L$14</f>
        <v>0</v>
      </c>
      <c r="AS214" s="76"/>
      <c r="AT214" s="37"/>
      <c r="AU214" s="86">
        <f>tbl_estimated_costs_quantities[[#This Row],[Chimney Duct Cleaning Repair]]*BOQs!$L$15</f>
        <v>0</v>
      </c>
      <c r="AV214" s="76"/>
      <c r="AW214" s="37"/>
      <c r="AX214" s="89">
        <f>tbl_estimated_costs_quantities[[#This Row],[Accessibility Adaptations]]*BOQs!$L$16</f>
        <v>0</v>
      </c>
      <c r="AY214" s="86" t="str">
        <f>IF(tbl_estimated_costs_quantities[[#This Row],[Total cost]]&lt;&gt;0,tbl_estimated_costs_quantities[[#This Row],[Total cost]]/BOQs!$A$1,"")</f>
        <v/>
      </c>
      <c r="AZ214" s="37"/>
      <c r="BA214" s="37"/>
      <c r="BB214" s="37"/>
      <c r="BC214" s="37"/>
      <c r="BD214" s="41"/>
      <c r="BE214" s="37"/>
      <c r="BF214" s="37"/>
      <c r="BG214" s="37"/>
      <c r="BH214" s="41"/>
    </row>
    <row r="215" spans="2:60" ht="25.15" customHeight="1" x14ac:dyDescent="0.25">
      <c r="B215" s="49">
        <v>211</v>
      </c>
      <c r="C215" s="37"/>
      <c r="D215" s="41"/>
      <c r="E215" s="40"/>
      <c r="F215" s="87" t="str">
        <f>IF(tbl_estimated_costs_quantities[[#This Row],[House Code]]&lt;&gt;"",INDEX(tbl_Assessment[],MATCH(tbl_estimated_costs_quantities[[#This Row],[House Code]],tbl_Assessment[House Code],0),3),"")</f>
        <v/>
      </c>
      <c r="G215" s="115" t="str">
        <f>IF(tbl_estimated_costs_quantities[[#This Row],[House Code]]&lt;&gt;"",INDEX(tbl_Assessment[],MATCH(tbl_estimated_costs_quantities[[#This Row],[House Code]],tbl_Assessment[House Code],0),9),"")</f>
        <v/>
      </c>
      <c r="H21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5" s="75"/>
      <c r="J215" s="37"/>
      <c r="K215" s="86">
        <f>tbl_estimated_costs_quantities[[#This Row],[Site Preparation]]*BOQs!$L$3</f>
        <v>0</v>
      </c>
      <c r="L215" s="76"/>
      <c r="M215" s="37"/>
      <c r="N215" s="86">
        <f>tbl_estimated_costs_quantities[[#This Row],[Demolition Removal Unsafe Structures]]*BOQs!$L$4</f>
        <v>0</v>
      </c>
      <c r="O215" s="76"/>
      <c r="P215" s="37"/>
      <c r="Q215" s="86">
        <f>tbl_estimated_costs_quantities[[#This Row],[Concrete Works]]*BOQs!$L$5</f>
        <v>0</v>
      </c>
      <c r="R215" s="76"/>
      <c r="S215" s="37"/>
      <c r="T215" s="86">
        <f>tbl_estimated_costs_quantities[[#This Row],[Closure External Openings Walls Windows]]*BOQs!$L$6</f>
        <v>0</v>
      </c>
      <c r="U215" s="76"/>
      <c r="V215" s="37"/>
      <c r="W215" s="86">
        <f>tbl_estimated_costs_quantities[[#This Row],[Plastering Painting]]*BOQs!$L$7</f>
        <v>0</v>
      </c>
      <c r="X215" s="76"/>
      <c r="Y215" s="37"/>
      <c r="Z215" s="86">
        <f>tbl_estimated_costs_quantities[[#This Row],[Floor Repairs]]*BOQs!$L$8</f>
        <v>0</v>
      </c>
      <c r="AA215" s="76"/>
      <c r="AB215" s="37"/>
      <c r="AC215" s="86">
        <f>tbl_estimated_costs_quantities[[#This Row],[Doors Replacement Repair]]*BOQs!$L$9</f>
        <v>0</v>
      </c>
      <c r="AD215" s="76"/>
      <c r="AE215" s="37"/>
      <c r="AF215" s="86">
        <f>tbl_estimated_costs_quantities[[#This Row],[Windows Replacement Repair]]*BOQs!$L$10</f>
        <v>0</v>
      </c>
      <c r="AG215" s="76"/>
      <c r="AH215" s="37"/>
      <c r="AI215" s="86">
        <f>tbl_estimated_costs_quantities[[#This Row],[Bathroom Rehabilitation]]*BOQs!$L$11</f>
        <v>0</v>
      </c>
      <c r="AJ215" s="76"/>
      <c r="AK215" s="37"/>
      <c r="AL215" s="86">
        <f>tbl_estimated_costs_quantities[[#This Row],[Ceramic Tile Works WASH]]*BOQs!$L$12</f>
        <v>0</v>
      </c>
      <c r="AM215" s="76"/>
      <c r="AN215" s="37"/>
      <c r="AO215" s="86">
        <f>tbl_estimated_costs_quantities[[#This Row],[Electrical Repairs Lighting]]*BOQs!$L$13</f>
        <v>0</v>
      </c>
      <c r="AP215" s="76"/>
      <c r="AQ215" s="37"/>
      <c r="AR215" s="86">
        <f>tbl_estimated_costs_quantities[[#This Row],[Roof Insulation Leak Sealing]]*BOQs!$L$14</f>
        <v>0</v>
      </c>
      <c r="AS215" s="76"/>
      <c r="AT215" s="37"/>
      <c r="AU215" s="86">
        <f>tbl_estimated_costs_quantities[[#This Row],[Chimney Duct Cleaning Repair]]*BOQs!$L$15</f>
        <v>0</v>
      </c>
      <c r="AV215" s="76"/>
      <c r="AW215" s="37"/>
      <c r="AX215" s="89">
        <f>tbl_estimated_costs_quantities[[#This Row],[Accessibility Adaptations]]*BOQs!$L$16</f>
        <v>0</v>
      </c>
      <c r="AY215" s="86" t="str">
        <f>IF(tbl_estimated_costs_quantities[[#This Row],[Total cost]]&lt;&gt;0,tbl_estimated_costs_quantities[[#This Row],[Total cost]]/BOQs!$A$1,"")</f>
        <v/>
      </c>
      <c r="AZ215" s="37"/>
      <c r="BA215" s="37"/>
      <c r="BB215" s="37"/>
      <c r="BC215" s="37"/>
      <c r="BD215" s="41"/>
      <c r="BE215" s="37"/>
      <c r="BF215" s="37"/>
      <c r="BG215" s="37"/>
      <c r="BH215" s="41"/>
    </row>
    <row r="216" spans="2:60" ht="25.15" customHeight="1" x14ac:dyDescent="0.25">
      <c r="B216" s="49">
        <v>212</v>
      </c>
      <c r="C216" s="37"/>
      <c r="D216" s="41"/>
      <c r="E216" s="40"/>
      <c r="F216" s="87" t="str">
        <f>IF(tbl_estimated_costs_quantities[[#This Row],[House Code]]&lt;&gt;"",INDEX(tbl_Assessment[],MATCH(tbl_estimated_costs_quantities[[#This Row],[House Code]],tbl_Assessment[House Code],0),3),"")</f>
        <v/>
      </c>
      <c r="G216" s="115" t="str">
        <f>IF(tbl_estimated_costs_quantities[[#This Row],[House Code]]&lt;&gt;"",INDEX(tbl_Assessment[],MATCH(tbl_estimated_costs_quantities[[#This Row],[House Code]],tbl_Assessment[House Code],0),9),"")</f>
        <v/>
      </c>
      <c r="H21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6" s="75"/>
      <c r="J216" s="37"/>
      <c r="K216" s="86">
        <f>tbl_estimated_costs_quantities[[#This Row],[Site Preparation]]*BOQs!$L$3</f>
        <v>0</v>
      </c>
      <c r="L216" s="76"/>
      <c r="M216" s="37"/>
      <c r="N216" s="86">
        <f>tbl_estimated_costs_quantities[[#This Row],[Demolition Removal Unsafe Structures]]*BOQs!$L$4</f>
        <v>0</v>
      </c>
      <c r="O216" s="76"/>
      <c r="P216" s="37"/>
      <c r="Q216" s="86">
        <f>tbl_estimated_costs_quantities[[#This Row],[Concrete Works]]*BOQs!$L$5</f>
        <v>0</v>
      </c>
      <c r="R216" s="76"/>
      <c r="S216" s="37"/>
      <c r="T216" s="86">
        <f>tbl_estimated_costs_quantities[[#This Row],[Closure External Openings Walls Windows]]*BOQs!$L$6</f>
        <v>0</v>
      </c>
      <c r="U216" s="76"/>
      <c r="V216" s="37"/>
      <c r="W216" s="86">
        <f>tbl_estimated_costs_quantities[[#This Row],[Plastering Painting]]*BOQs!$L$7</f>
        <v>0</v>
      </c>
      <c r="X216" s="76"/>
      <c r="Y216" s="37"/>
      <c r="Z216" s="86">
        <f>tbl_estimated_costs_quantities[[#This Row],[Floor Repairs]]*BOQs!$L$8</f>
        <v>0</v>
      </c>
      <c r="AA216" s="76"/>
      <c r="AB216" s="37"/>
      <c r="AC216" s="86">
        <f>tbl_estimated_costs_quantities[[#This Row],[Doors Replacement Repair]]*BOQs!$L$9</f>
        <v>0</v>
      </c>
      <c r="AD216" s="76"/>
      <c r="AE216" s="37"/>
      <c r="AF216" s="86">
        <f>tbl_estimated_costs_quantities[[#This Row],[Windows Replacement Repair]]*BOQs!$L$10</f>
        <v>0</v>
      </c>
      <c r="AG216" s="76"/>
      <c r="AH216" s="37"/>
      <c r="AI216" s="86">
        <f>tbl_estimated_costs_quantities[[#This Row],[Bathroom Rehabilitation]]*BOQs!$L$11</f>
        <v>0</v>
      </c>
      <c r="AJ216" s="76"/>
      <c r="AK216" s="37"/>
      <c r="AL216" s="86">
        <f>tbl_estimated_costs_quantities[[#This Row],[Ceramic Tile Works WASH]]*BOQs!$L$12</f>
        <v>0</v>
      </c>
      <c r="AM216" s="76"/>
      <c r="AN216" s="37"/>
      <c r="AO216" s="86">
        <f>tbl_estimated_costs_quantities[[#This Row],[Electrical Repairs Lighting]]*BOQs!$L$13</f>
        <v>0</v>
      </c>
      <c r="AP216" s="76"/>
      <c r="AQ216" s="37"/>
      <c r="AR216" s="86">
        <f>tbl_estimated_costs_quantities[[#This Row],[Roof Insulation Leak Sealing]]*BOQs!$L$14</f>
        <v>0</v>
      </c>
      <c r="AS216" s="76"/>
      <c r="AT216" s="37"/>
      <c r="AU216" s="86">
        <f>tbl_estimated_costs_quantities[[#This Row],[Chimney Duct Cleaning Repair]]*BOQs!$L$15</f>
        <v>0</v>
      </c>
      <c r="AV216" s="76"/>
      <c r="AW216" s="37"/>
      <c r="AX216" s="89">
        <f>tbl_estimated_costs_quantities[[#This Row],[Accessibility Adaptations]]*BOQs!$L$16</f>
        <v>0</v>
      </c>
      <c r="AY216" s="86" t="str">
        <f>IF(tbl_estimated_costs_quantities[[#This Row],[Total cost]]&lt;&gt;0,tbl_estimated_costs_quantities[[#This Row],[Total cost]]/BOQs!$A$1,"")</f>
        <v/>
      </c>
      <c r="AZ216" s="37"/>
      <c r="BA216" s="37"/>
      <c r="BB216" s="37"/>
      <c r="BC216" s="37"/>
      <c r="BD216" s="41"/>
      <c r="BE216" s="37"/>
      <c r="BF216" s="37"/>
      <c r="BG216" s="37"/>
      <c r="BH216" s="41"/>
    </row>
    <row r="217" spans="2:60" ht="25.15" customHeight="1" x14ac:dyDescent="0.25">
      <c r="B217" s="49">
        <v>213</v>
      </c>
      <c r="C217" s="37"/>
      <c r="D217" s="41"/>
      <c r="E217" s="40"/>
      <c r="F217" s="87" t="str">
        <f>IF(tbl_estimated_costs_quantities[[#This Row],[House Code]]&lt;&gt;"",INDEX(tbl_Assessment[],MATCH(tbl_estimated_costs_quantities[[#This Row],[House Code]],tbl_Assessment[House Code],0),3),"")</f>
        <v/>
      </c>
      <c r="G217" s="115" t="str">
        <f>IF(tbl_estimated_costs_quantities[[#This Row],[House Code]]&lt;&gt;"",INDEX(tbl_Assessment[],MATCH(tbl_estimated_costs_quantities[[#This Row],[House Code]],tbl_Assessment[House Code],0),9),"")</f>
        <v/>
      </c>
      <c r="H21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7" s="75"/>
      <c r="J217" s="37"/>
      <c r="K217" s="86">
        <f>tbl_estimated_costs_quantities[[#This Row],[Site Preparation]]*BOQs!$L$3</f>
        <v>0</v>
      </c>
      <c r="L217" s="76"/>
      <c r="M217" s="37"/>
      <c r="N217" s="86">
        <f>tbl_estimated_costs_quantities[[#This Row],[Demolition Removal Unsafe Structures]]*BOQs!$L$4</f>
        <v>0</v>
      </c>
      <c r="O217" s="76"/>
      <c r="P217" s="37"/>
      <c r="Q217" s="86">
        <f>tbl_estimated_costs_quantities[[#This Row],[Concrete Works]]*BOQs!$L$5</f>
        <v>0</v>
      </c>
      <c r="R217" s="76"/>
      <c r="S217" s="37"/>
      <c r="T217" s="86">
        <f>tbl_estimated_costs_quantities[[#This Row],[Closure External Openings Walls Windows]]*BOQs!$L$6</f>
        <v>0</v>
      </c>
      <c r="U217" s="76"/>
      <c r="V217" s="37"/>
      <c r="W217" s="86">
        <f>tbl_estimated_costs_quantities[[#This Row],[Plastering Painting]]*BOQs!$L$7</f>
        <v>0</v>
      </c>
      <c r="X217" s="76"/>
      <c r="Y217" s="37"/>
      <c r="Z217" s="86">
        <f>tbl_estimated_costs_quantities[[#This Row],[Floor Repairs]]*BOQs!$L$8</f>
        <v>0</v>
      </c>
      <c r="AA217" s="76"/>
      <c r="AB217" s="37"/>
      <c r="AC217" s="86">
        <f>tbl_estimated_costs_quantities[[#This Row],[Doors Replacement Repair]]*BOQs!$L$9</f>
        <v>0</v>
      </c>
      <c r="AD217" s="76"/>
      <c r="AE217" s="37"/>
      <c r="AF217" s="86">
        <f>tbl_estimated_costs_quantities[[#This Row],[Windows Replacement Repair]]*BOQs!$L$10</f>
        <v>0</v>
      </c>
      <c r="AG217" s="76"/>
      <c r="AH217" s="37"/>
      <c r="AI217" s="86">
        <f>tbl_estimated_costs_quantities[[#This Row],[Bathroom Rehabilitation]]*BOQs!$L$11</f>
        <v>0</v>
      </c>
      <c r="AJ217" s="76"/>
      <c r="AK217" s="37"/>
      <c r="AL217" s="86">
        <f>tbl_estimated_costs_quantities[[#This Row],[Ceramic Tile Works WASH]]*BOQs!$L$12</f>
        <v>0</v>
      </c>
      <c r="AM217" s="76"/>
      <c r="AN217" s="37"/>
      <c r="AO217" s="86">
        <f>tbl_estimated_costs_quantities[[#This Row],[Electrical Repairs Lighting]]*BOQs!$L$13</f>
        <v>0</v>
      </c>
      <c r="AP217" s="76"/>
      <c r="AQ217" s="37"/>
      <c r="AR217" s="86">
        <f>tbl_estimated_costs_quantities[[#This Row],[Roof Insulation Leak Sealing]]*BOQs!$L$14</f>
        <v>0</v>
      </c>
      <c r="AS217" s="76"/>
      <c r="AT217" s="37"/>
      <c r="AU217" s="86">
        <f>tbl_estimated_costs_quantities[[#This Row],[Chimney Duct Cleaning Repair]]*BOQs!$L$15</f>
        <v>0</v>
      </c>
      <c r="AV217" s="76"/>
      <c r="AW217" s="37"/>
      <c r="AX217" s="89">
        <f>tbl_estimated_costs_quantities[[#This Row],[Accessibility Adaptations]]*BOQs!$L$16</f>
        <v>0</v>
      </c>
      <c r="AY217" s="86" t="str">
        <f>IF(tbl_estimated_costs_quantities[[#This Row],[Total cost]]&lt;&gt;0,tbl_estimated_costs_quantities[[#This Row],[Total cost]]/BOQs!$A$1,"")</f>
        <v/>
      </c>
      <c r="AZ217" s="37"/>
      <c r="BA217" s="37"/>
      <c r="BB217" s="37"/>
      <c r="BC217" s="37"/>
      <c r="BD217" s="41"/>
      <c r="BE217" s="37"/>
      <c r="BF217" s="37"/>
      <c r="BG217" s="37"/>
      <c r="BH217" s="41"/>
    </row>
    <row r="218" spans="2:60" ht="25.15" customHeight="1" x14ac:dyDescent="0.25">
      <c r="B218" s="49">
        <v>214</v>
      </c>
      <c r="C218" s="37"/>
      <c r="D218" s="41"/>
      <c r="E218" s="40"/>
      <c r="F218" s="87" t="str">
        <f>IF(tbl_estimated_costs_quantities[[#This Row],[House Code]]&lt;&gt;"",INDEX(tbl_Assessment[],MATCH(tbl_estimated_costs_quantities[[#This Row],[House Code]],tbl_Assessment[House Code],0),3),"")</f>
        <v/>
      </c>
      <c r="G218" s="115" t="str">
        <f>IF(tbl_estimated_costs_quantities[[#This Row],[House Code]]&lt;&gt;"",INDEX(tbl_Assessment[],MATCH(tbl_estimated_costs_quantities[[#This Row],[House Code]],tbl_Assessment[House Code],0),9),"")</f>
        <v/>
      </c>
      <c r="H21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8" s="75"/>
      <c r="J218" s="37"/>
      <c r="K218" s="86">
        <f>tbl_estimated_costs_quantities[[#This Row],[Site Preparation]]*BOQs!$L$3</f>
        <v>0</v>
      </c>
      <c r="L218" s="76"/>
      <c r="M218" s="37"/>
      <c r="N218" s="86">
        <f>tbl_estimated_costs_quantities[[#This Row],[Demolition Removal Unsafe Structures]]*BOQs!$L$4</f>
        <v>0</v>
      </c>
      <c r="O218" s="76"/>
      <c r="P218" s="37"/>
      <c r="Q218" s="86">
        <f>tbl_estimated_costs_quantities[[#This Row],[Concrete Works]]*BOQs!$L$5</f>
        <v>0</v>
      </c>
      <c r="R218" s="76"/>
      <c r="S218" s="37"/>
      <c r="T218" s="86">
        <f>tbl_estimated_costs_quantities[[#This Row],[Closure External Openings Walls Windows]]*BOQs!$L$6</f>
        <v>0</v>
      </c>
      <c r="U218" s="76"/>
      <c r="V218" s="37"/>
      <c r="W218" s="86">
        <f>tbl_estimated_costs_quantities[[#This Row],[Plastering Painting]]*BOQs!$L$7</f>
        <v>0</v>
      </c>
      <c r="X218" s="76"/>
      <c r="Y218" s="37"/>
      <c r="Z218" s="86">
        <f>tbl_estimated_costs_quantities[[#This Row],[Floor Repairs]]*BOQs!$L$8</f>
        <v>0</v>
      </c>
      <c r="AA218" s="76"/>
      <c r="AB218" s="37"/>
      <c r="AC218" s="86">
        <f>tbl_estimated_costs_quantities[[#This Row],[Doors Replacement Repair]]*BOQs!$L$9</f>
        <v>0</v>
      </c>
      <c r="AD218" s="76"/>
      <c r="AE218" s="37"/>
      <c r="AF218" s="86">
        <f>tbl_estimated_costs_quantities[[#This Row],[Windows Replacement Repair]]*BOQs!$L$10</f>
        <v>0</v>
      </c>
      <c r="AG218" s="76"/>
      <c r="AH218" s="37"/>
      <c r="AI218" s="86">
        <f>tbl_estimated_costs_quantities[[#This Row],[Bathroom Rehabilitation]]*BOQs!$L$11</f>
        <v>0</v>
      </c>
      <c r="AJ218" s="76"/>
      <c r="AK218" s="37"/>
      <c r="AL218" s="86">
        <f>tbl_estimated_costs_quantities[[#This Row],[Ceramic Tile Works WASH]]*BOQs!$L$12</f>
        <v>0</v>
      </c>
      <c r="AM218" s="76"/>
      <c r="AN218" s="37"/>
      <c r="AO218" s="86">
        <f>tbl_estimated_costs_quantities[[#This Row],[Electrical Repairs Lighting]]*BOQs!$L$13</f>
        <v>0</v>
      </c>
      <c r="AP218" s="76"/>
      <c r="AQ218" s="37"/>
      <c r="AR218" s="86">
        <f>tbl_estimated_costs_quantities[[#This Row],[Roof Insulation Leak Sealing]]*BOQs!$L$14</f>
        <v>0</v>
      </c>
      <c r="AS218" s="76"/>
      <c r="AT218" s="37"/>
      <c r="AU218" s="86">
        <f>tbl_estimated_costs_quantities[[#This Row],[Chimney Duct Cleaning Repair]]*BOQs!$L$15</f>
        <v>0</v>
      </c>
      <c r="AV218" s="76"/>
      <c r="AW218" s="37"/>
      <c r="AX218" s="89">
        <f>tbl_estimated_costs_quantities[[#This Row],[Accessibility Adaptations]]*BOQs!$L$16</f>
        <v>0</v>
      </c>
      <c r="AY218" s="86" t="str">
        <f>IF(tbl_estimated_costs_quantities[[#This Row],[Total cost]]&lt;&gt;0,tbl_estimated_costs_quantities[[#This Row],[Total cost]]/BOQs!$A$1,"")</f>
        <v/>
      </c>
      <c r="AZ218" s="37"/>
      <c r="BA218" s="37"/>
      <c r="BB218" s="37"/>
      <c r="BC218" s="37"/>
      <c r="BD218" s="41"/>
      <c r="BE218" s="37"/>
      <c r="BF218" s="37"/>
      <c r="BG218" s="37"/>
      <c r="BH218" s="41"/>
    </row>
    <row r="219" spans="2:60" ht="25.15" customHeight="1" x14ac:dyDescent="0.25">
      <c r="B219" s="49">
        <v>215</v>
      </c>
      <c r="C219" s="37"/>
      <c r="D219" s="41"/>
      <c r="E219" s="40"/>
      <c r="F219" s="87" t="str">
        <f>IF(tbl_estimated_costs_quantities[[#This Row],[House Code]]&lt;&gt;"",INDEX(tbl_Assessment[],MATCH(tbl_estimated_costs_quantities[[#This Row],[House Code]],tbl_Assessment[House Code],0),3),"")</f>
        <v/>
      </c>
      <c r="G219" s="115" t="str">
        <f>IF(tbl_estimated_costs_quantities[[#This Row],[House Code]]&lt;&gt;"",INDEX(tbl_Assessment[],MATCH(tbl_estimated_costs_quantities[[#This Row],[House Code]],tbl_Assessment[House Code],0),9),"")</f>
        <v/>
      </c>
      <c r="H21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19" s="75"/>
      <c r="J219" s="37"/>
      <c r="K219" s="86">
        <f>tbl_estimated_costs_quantities[[#This Row],[Site Preparation]]*BOQs!$L$3</f>
        <v>0</v>
      </c>
      <c r="L219" s="76"/>
      <c r="M219" s="37"/>
      <c r="N219" s="86">
        <f>tbl_estimated_costs_quantities[[#This Row],[Demolition Removal Unsafe Structures]]*BOQs!$L$4</f>
        <v>0</v>
      </c>
      <c r="O219" s="76"/>
      <c r="P219" s="37"/>
      <c r="Q219" s="86">
        <f>tbl_estimated_costs_quantities[[#This Row],[Concrete Works]]*BOQs!$L$5</f>
        <v>0</v>
      </c>
      <c r="R219" s="76"/>
      <c r="S219" s="37"/>
      <c r="T219" s="86">
        <f>tbl_estimated_costs_quantities[[#This Row],[Closure External Openings Walls Windows]]*BOQs!$L$6</f>
        <v>0</v>
      </c>
      <c r="U219" s="76"/>
      <c r="V219" s="37"/>
      <c r="W219" s="86">
        <f>tbl_estimated_costs_quantities[[#This Row],[Plastering Painting]]*BOQs!$L$7</f>
        <v>0</v>
      </c>
      <c r="X219" s="76"/>
      <c r="Y219" s="37"/>
      <c r="Z219" s="86">
        <f>tbl_estimated_costs_quantities[[#This Row],[Floor Repairs]]*BOQs!$L$8</f>
        <v>0</v>
      </c>
      <c r="AA219" s="76"/>
      <c r="AB219" s="37"/>
      <c r="AC219" s="86">
        <f>tbl_estimated_costs_quantities[[#This Row],[Doors Replacement Repair]]*BOQs!$L$9</f>
        <v>0</v>
      </c>
      <c r="AD219" s="76"/>
      <c r="AE219" s="37"/>
      <c r="AF219" s="86">
        <f>tbl_estimated_costs_quantities[[#This Row],[Windows Replacement Repair]]*BOQs!$L$10</f>
        <v>0</v>
      </c>
      <c r="AG219" s="76"/>
      <c r="AH219" s="37"/>
      <c r="AI219" s="86">
        <f>tbl_estimated_costs_quantities[[#This Row],[Bathroom Rehabilitation]]*BOQs!$L$11</f>
        <v>0</v>
      </c>
      <c r="AJ219" s="76"/>
      <c r="AK219" s="37"/>
      <c r="AL219" s="86">
        <f>tbl_estimated_costs_quantities[[#This Row],[Ceramic Tile Works WASH]]*BOQs!$L$12</f>
        <v>0</v>
      </c>
      <c r="AM219" s="76"/>
      <c r="AN219" s="37"/>
      <c r="AO219" s="86">
        <f>tbl_estimated_costs_quantities[[#This Row],[Electrical Repairs Lighting]]*BOQs!$L$13</f>
        <v>0</v>
      </c>
      <c r="AP219" s="76"/>
      <c r="AQ219" s="37"/>
      <c r="AR219" s="86">
        <f>tbl_estimated_costs_quantities[[#This Row],[Roof Insulation Leak Sealing]]*BOQs!$L$14</f>
        <v>0</v>
      </c>
      <c r="AS219" s="76"/>
      <c r="AT219" s="37"/>
      <c r="AU219" s="86">
        <f>tbl_estimated_costs_quantities[[#This Row],[Chimney Duct Cleaning Repair]]*BOQs!$L$15</f>
        <v>0</v>
      </c>
      <c r="AV219" s="76"/>
      <c r="AW219" s="37"/>
      <c r="AX219" s="89">
        <f>tbl_estimated_costs_quantities[[#This Row],[Accessibility Adaptations]]*BOQs!$L$16</f>
        <v>0</v>
      </c>
      <c r="AY219" s="86" t="str">
        <f>IF(tbl_estimated_costs_quantities[[#This Row],[Total cost]]&lt;&gt;0,tbl_estimated_costs_quantities[[#This Row],[Total cost]]/BOQs!$A$1,"")</f>
        <v/>
      </c>
      <c r="AZ219" s="37"/>
      <c r="BA219" s="37"/>
      <c r="BB219" s="37"/>
      <c r="BC219" s="37"/>
      <c r="BD219" s="41"/>
      <c r="BE219" s="37"/>
      <c r="BF219" s="37"/>
      <c r="BG219" s="37"/>
      <c r="BH219" s="41"/>
    </row>
    <row r="220" spans="2:60" ht="25.15" customHeight="1" x14ac:dyDescent="0.25">
      <c r="B220" s="49">
        <v>216</v>
      </c>
      <c r="C220" s="37"/>
      <c r="D220" s="41"/>
      <c r="E220" s="40"/>
      <c r="F220" s="87" t="str">
        <f>IF(tbl_estimated_costs_quantities[[#This Row],[House Code]]&lt;&gt;"",INDEX(tbl_Assessment[],MATCH(tbl_estimated_costs_quantities[[#This Row],[House Code]],tbl_Assessment[House Code],0),3),"")</f>
        <v/>
      </c>
      <c r="G220" s="115" t="str">
        <f>IF(tbl_estimated_costs_quantities[[#This Row],[House Code]]&lt;&gt;"",INDEX(tbl_Assessment[],MATCH(tbl_estimated_costs_quantities[[#This Row],[House Code]],tbl_Assessment[House Code],0),9),"")</f>
        <v/>
      </c>
      <c r="H22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0" s="75"/>
      <c r="J220" s="37"/>
      <c r="K220" s="86">
        <f>tbl_estimated_costs_quantities[[#This Row],[Site Preparation]]*BOQs!$L$3</f>
        <v>0</v>
      </c>
      <c r="L220" s="76"/>
      <c r="M220" s="37"/>
      <c r="N220" s="86">
        <f>tbl_estimated_costs_quantities[[#This Row],[Demolition Removal Unsafe Structures]]*BOQs!$L$4</f>
        <v>0</v>
      </c>
      <c r="O220" s="76"/>
      <c r="P220" s="37"/>
      <c r="Q220" s="86">
        <f>tbl_estimated_costs_quantities[[#This Row],[Concrete Works]]*BOQs!$L$5</f>
        <v>0</v>
      </c>
      <c r="R220" s="76"/>
      <c r="S220" s="37"/>
      <c r="T220" s="86">
        <f>tbl_estimated_costs_quantities[[#This Row],[Closure External Openings Walls Windows]]*BOQs!$L$6</f>
        <v>0</v>
      </c>
      <c r="U220" s="76"/>
      <c r="V220" s="37"/>
      <c r="W220" s="86">
        <f>tbl_estimated_costs_quantities[[#This Row],[Plastering Painting]]*BOQs!$L$7</f>
        <v>0</v>
      </c>
      <c r="X220" s="76"/>
      <c r="Y220" s="37"/>
      <c r="Z220" s="86">
        <f>tbl_estimated_costs_quantities[[#This Row],[Floor Repairs]]*BOQs!$L$8</f>
        <v>0</v>
      </c>
      <c r="AA220" s="76"/>
      <c r="AB220" s="37"/>
      <c r="AC220" s="86">
        <f>tbl_estimated_costs_quantities[[#This Row],[Doors Replacement Repair]]*BOQs!$L$9</f>
        <v>0</v>
      </c>
      <c r="AD220" s="76"/>
      <c r="AE220" s="37"/>
      <c r="AF220" s="86">
        <f>tbl_estimated_costs_quantities[[#This Row],[Windows Replacement Repair]]*BOQs!$L$10</f>
        <v>0</v>
      </c>
      <c r="AG220" s="76"/>
      <c r="AH220" s="37"/>
      <c r="AI220" s="86">
        <f>tbl_estimated_costs_quantities[[#This Row],[Bathroom Rehabilitation]]*BOQs!$L$11</f>
        <v>0</v>
      </c>
      <c r="AJ220" s="76"/>
      <c r="AK220" s="37"/>
      <c r="AL220" s="86">
        <f>tbl_estimated_costs_quantities[[#This Row],[Ceramic Tile Works WASH]]*BOQs!$L$12</f>
        <v>0</v>
      </c>
      <c r="AM220" s="76"/>
      <c r="AN220" s="37"/>
      <c r="AO220" s="86">
        <f>tbl_estimated_costs_quantities[[#This Row],[Electrical Repairs Lighting]]*BOQs!$L$13</f>
        <v>0</v>
      </c>
      <c r="AP220" s="76"/>
      <c r="AQ220" s="37"/>
      <c r="AR220" s="86">
        <f>tbl_estimated_costs_quantities[[#This Row],[Roof Insulation Leak Sealing]]*BOQs!$L$14</f>
        <v>0</v>
      </c>
      <c r="AS220" s="76"/>
      <c r="AT220" s="37"/>
      <c r="AU220" s="86">
        <f>tbl_estimated_costs_quantities[[#This Row],[Chimney Duct Cleaning Repair]]*BOQs!$L$15</f>
        <v>0</v>
      </c>
      <c r="AV220" s="76"/>
      <c r="AW220" s="37"/>
      <c r="AX220" s="89">
        <f>tbl_estimated_costs_quantities[[#This Row],[Accessibility Adaptations]]*BOQs!$L$16</f>
        <v>0</v>
      </c>
      <c r="AY220" s="86" t="str">
        <f>IF(tbl_estimated_costs_quantities[[#This Row],[Total cost]]&lt;&gt;0,tbl_estimated_costs_quantities[[#This Row],[Total cost]]/BOQs!$A$1,"")</f>
        <v/>
      </c>
      <c r="AZ220" s="37"/>
      <c r="BA220" s="37"/>
      <c r="BB220" s="37"/>
      <c r="BC220" s="37"/>
      <c r="BD220" s="41"/>
      <c r="BE220" s="37"/>
      <c r="BF220" s="37"/>
      <c r="BG220" s="37"/>
      <c r="BH220" s="41"/>
    </row>
    <row r="221" spans="2:60" ht="25.15" customHeight="1" x14ac:dyDescent="0.25">
      <c r="B221" s="49">
        <v>217</v>
      </c>
      <c r="C221" s="37"/>
      <c r="D221" s="41"/>
      <c r="E221" s="40"/>
      <c r="F221" s="87" t="str">
        <f>IF(tbl_estimated_costs_quantities[[#This Row],[House Code]]&lt;&gt;"",INDEX(tbl_Assessment[],MATCH(tbl_estimated_costs_quantities[[#This Row],[House Code]],tbl_Assessment[House Code],0),3),"")</f>
        <v/>
      </c>
      <c r="G221" s="115" t="str">
        <f>IF(tbl_estimated_costs_quantities[[#This Row],[House Code]]&lt;&gt;"",INDEX(tbl_Assessment[],MATCH(tbl_estimated_costs_quantities[[#This Row],[House Code]],tbl_Assessment[House Code],0),9),"")</f>
        <v/>
      </c>
      <c r="H22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1" s="75"/>
      <c r="J221" s="37"/>
      <c r="K221" s="86">
        <f>tbl_estimated_costs_quantities[[#This Row],[Site Preparation]]*BOQs!$L$3</f>
        <v>0</v>
      </c>
      <c r="L221" s="76"/>
      <c r="M221" s="37"/>
      <c r="N221" s="86">
        <f>tbl_estimated_costs_quantities[[#This Row],[Demolition Removal Unsafe Structures]]*BOQs!$L$4</f>
        <v>0</v>
      </c>
      <c r="O221" s="76"/>
      <c r="P221" s="37"/>
      <c r="Q221" s="86">
        <f>tbl_estimated_costs_quantities[[#This Row],[Concrete Works]]*BOQs!$L$5</f>
        <v>0</v>
      </c>
      <c r="R221" s="76"/>
      <c r="S221" s="37"/>
      <c r="T221" s="86">
        <f>tbl_estimated_costs_quantities[[#This Row],[Closure External Openings Walls Windows]]*BOQs!$L$6</f>
        <v>0</v>
      </c>
      <c r="U221" s="76"/>
      <c r="V221" s="37"/>
      <c r="W221" s="86">
        <f>tbl_estimated_costs_quantities[[#This Row],[Plastering Painting]]*BOQs!$L$7</f>
        <v>0</v>
      </c>
      <c r="X221" s="76"/>
      <c r="Y221" s="37"/>
      <c r="Z221" s="86">
        <f>tbl_estimated_costs_quantities[[#This Row],[Floor Repairs]]*BOQs!$L$8</f>
        <v>0</v>
      </c>
      <c r="AA221" s="76"/>
      <c r="AB221" s="37"/>
      <c r="AC221" s="86">
        <f>tbl_estimated_costs_quantities[[#This Row],[Doors Replacement Repair]]*BOQs!$L$9</f>
        <v>0</v>
      </c>
      <c r="AD221" s="76"/>
      <c r="AE221" s="37"/>
      <c r="AF221" s="86">
        <f>tbl_estimated_costs_quantities[[#This Row],[Windows Replacement Repair]]*BOQs!$L$10</f>
        <v>0</v>
      </c>
      <c r="AG221" s="76"/>
      <c r="AH221" s="37"/>
      <c r="AI221" s="86">
        <f>tbl_estimated_costs_quantities[[#This Row],[Bathroom Rehabilitation]]*BOQs!$L$11</f>
        <v>0</v>
      </c>
      <c r="AJ221" s="76"/>
      <c r="AK221" s="37"/>
      <c r="AL221" s="86">
        <f>tbl_estimated_costs_quantities[[#This Row],[Ceramic Tile Works WASH]]*BOQs!$L$12</f>
        <v>0</v>
      </c>
      <c r="AM221" s="76"/>
      <c r="AN221" s="37"/>
      <c r="AO221" s="86">
        <f>tbl_estimated_costs_quantities[[#This Row],[Electrical Repairs Lighting]]*BOQs!$L$13</f>
        <v>0</v>
      </c>
      <c r="AP221" s="76"/>
      <c r="AQ221" s="37"/>
      <c r="AR221" s="86">
        <f>tbl_estimated_costs_quantities[[#This Row],[Roof Insulation Leak Sealing]]*BOQs!$L$14</f>
        <v>0</v>
      </c>
      <c r="AS221" s="76"/>
      <c r="AT221" s="37"/>
      <c r="AU221" s="86">
        <f>tbl_estimated_costs_quantities[[#This Row],[Chimney Duct Cleaning Repair]]*BOQs!$L$15</f>
        <v>0</v>
      </c>
      <c r="AV221" s="76"/>
      <c r="AW221" s="37"/>
      <c r="AX221" s="89">
        <f>tbl_estimated_costs_quantities[[#This Row],[Accessibility Adaptations]]*BOQs!$L$16</f>
        <v>0</v>
      </c>
      <c r="AY221" s="86" t="str">
        <f>IF(tbl_estimated_costs_quantities[[#This Row],[Total cost]]&lt;&gt;0,tbl_estimated_costs_quantities[[#This Row],[Total cost]]/BOQs!$A$1,"")</f>
        <v/>
      </c>
      <c r="AZ221" s="37"/>
      <c r="BA221" s="37"/>
      <c r="BB221" s="37"/>
      <c r="BC221" s="37"/>
      <c r="BD221" s="41"/>
      <c r="BE221" s="37"/>
      <c r="BF221" s="37"/>
      <c r="BG221" s="37"/>
      <c r="BH221" s="41"/>
    </row>
    <row r="222" spans="2:60" ht="25.15" customHeight="1" x14ac:dyDescent="0.25">
      <c r="B222" s="49">
        <v>218</v>
      </c>
      <c r="C222" s="37"/>
      <c r="D222" s="41"/>
      <c r="E222" s="40"/>
      <c r="F222" s="87" t="str">
        <f>IF(tbl_estimated_costs_quantities[[#This Row],[House Code]]&lt;&gt;"",INDEX(tbl_Assessment[],MATCH(tbl_estimated_costs_quantities[[#This Row],[House Code]],tbl_Assessment[House Code],0),3),"")</f>
        <v/>
      </c>
      <c r="G222" s="115" t="str">
        <f>IF(tbl_estimated_costs_quantities[[#This Row],[House Code]]&lt;&gt;"",INDEX(tbl_Assessment[],MATCH(tbl_estimated_costs_quantities[[#This Row],[House Code]],tbl_Assessment[House Code],0),9),"")</f>
        <v/>
      </c>
      <c r="H22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2" s="75"/>
      <c r="J222" s="37"/>
      <c r="K222" s="86">
        <f>tbl_estimated_costs_quantities[[#This Row],[Site Preparation]]*BOQs!$L$3</f>
        <v>0</v>
      </c>
      <c r="L222" s="76"/>
      <c r="M222" s="37"/>
      <c r="N222" s="86">
        <f>tbl_estimated_costs_quantities[[#This Row],[Demolition Removal Unsafe Structures]]*BOQs!$L$4</f>
        <v>0</v>
      </c>
      <c r="O222" s="76"/>
      <c r="P222" s="37"/>
      <c r="Q222" s="86">
        <f>tbl_estimated_costs_quantities[[#This Row],[Concrete Works]]*BOQs!$L$5</f>
        <v>0</v>
      </c>
      <c r="R222" s="76"/>
      <c r="S222" s="37"/>
      <c r="T222" s="86">
        <f>tbl_estimated_costs_quantities[[#This Row],[Closure External Openings Walls Windows]]*BOQs!$L$6</f>
        <v>0</v>
      </c>
      <c r="U222" s="76"/>
      <c r="V222" s="37"/>
      <c r="W222" s="86">
        <f>tbl_estimated_costs_quantities[[#This Row],[Plastering Painting]]*BOQs!$L$7</f>
        <v>0</v>
      </c>
      <c r="X222" s="76"/>
      <c r="Y222" s="37"/>
      <c r="Z222" s="86">
        <f>tbl_estimated_costs_quantities[[#This Row],[Floor Repairs]]*BOQs!$L$8</f>
        <v>0</v>
      </c>
      <c r="AA222" s="76"/>
      <c r="AB222" s="37"/>
      <c r="AC222" s="86">
        <f>tbl_estimated_costs_quantities[[#This Row],[Doors Replacement Repair]]*BOQs!$L$9</f>
        <v>0</v>
      </c>
      <c r="AD222" s="76"/>
      <c r="AE222" s="37"/>
      <c r="AF222" s="86">
        <f>tbl_estimated_costs_quantities[[#This Row],[Windows Replacement Repair]]*BOQs!$L$10</f>
        <v>0</v>
      </c>
      <c r="AG222" s="76"/>
      <c r="AH222" s="37"/>
      <c r="AI222" s="86">
        <f>tbl_estimated_costs_quantities[[#This Row],[Bathroom Rehabilitation]]*BOQs!$L$11</f>
        <v>0</v>
      </c>
      <c r="AJ222" s="76"/>
      <c r="AK222" s="37"/>
      <c r="AL222" s="86">
        <f>tbl_estimated_costs_quantities[[#This Row],[Ceramic Tile Works WASH]]*BOQs!$L$12</f>
        <v>0</v>
      </c>
      <c r="AM222" s="76"/>
      <c r="AN222" s="37"/>
      <c r="AO222" s="86">
        <f>tbl_estimated_costs_quantities[[#This Row],[Electrical Repairs Lighting]]*BOQs!$L$13</f>
        <v>0</v>
      </c>
      <c r="AP222" s="76"/>
      <c r="AQ222" s="37"/>
      <c r="AR222" s="86">
        <f>tbl_estimated_costs_quantities[[#This Row],[Roof Insulation Leak Sealing]]*BOQs!$L$14</f>
        <v>0</v>
      </c>
      <c r="AS222" s="76"/>
      <c r="AT222" s="37"/>
      <c r="AU222" s="86">
        <f>tbl_estimated_costs_quantities[[#This Row],[Chimney Duct Cleaning Repair]]*BOQs!$L$15</f>
        <v>0</v>
      </c>
      <c r="AV222" s="76"/>
      <c r="AW222" s="37"/>
      <c r="AX222" s="89">
        <f>tbl_estimated_costs_quantities[[#This Row],[Accessibility Adaptations]]*BOQs!$L$16</f>
        <v>0</v>
      </c>
      <c r="AY222" s="86" t="str">
        <f>IF(tbl_estimated_costs_quantities[[#This Row],[Total cost]]&lt;&gt;0,tbl_estimated_costs_quantities[[#This Row],[Total cost]]/BOQs!$A$1,"")</f>
        <v/>
      </c>
      <c r="AZ222" s="37"/>
      <c r="BA222" s="37"/>
      <c r="BB222" s="37"/>
      <c r="BC222" s="37"/>
      <c r="BD222" s="41"/>
      <c r="BE222" s="37"/>
      <c r="BF222" s="37"/>
      <c r="BG222" s="37"/>
      <c r="BH222" s="41"/>
    </row>
    <row r="223" spans="2:60" ht="25.15" customHeight="1" x14ac:dyDescent="0.25">
      <c r="B223" s="49">
        <v>219</v>
      </c>
      <c r="C223" s="37"/>
      <c r="D223" s="41"/>
      <c r="E223" s="40"/>
      <c r="F223" s="87" t="str">
        <f>IF(tbl_estimated_costs_quantities[[#This Row],[House Code]]&lt;&gt;"",INDEX(tbl_Assessment[],MATCH(tbl_estimated_costs_quantities[[#This Row],[House Code]],tbl_Assessment[House Code],0),3),"")</f>
        <v/>
      </c>
      <c r="G223" s="115" t="str">
        <f>IF(tbl_estimated_costs_quantities[[#This Row],[House Code]]&lt;&gt;"",INDEX(tbl_Assessment[],MATCH(tbl_estimated_costs_quantities[[#This Row],[House Code]],tbl_Assessment[House Code],0),9),"")</f>
        <v/>
      </c>
      <c r="H22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3" s="75"/>
      <c r="J223" s="37"/>
      <c r="K223" s="86">
        <f>tbl_estimated_costs_quantities[[#This Row],[Site Preparation]]*BOQs!$L$3</f>
        <v>0</v>
      </c>
      <c r="L223" s="76"/>
      <c r="M223" s="37"/>
      <c r="N223" s="86">
        <f>tbl_estimated_costs_quantities[[#This Row],[Demolition Removal Unsafe Structures]]*BOQs!$L$4</f>
        <v>0</v>
      </c>
      <c r="O223" s="76"/>
      <c r="P223" s="37"/>
      <c r="Q223" s="86">
        <f>tbl_estimated_costs_quantities[[#This Row],[Concrete Works]]*BOQs!$L$5</f>
        <v>0</v>
      </c>
      <c r="R223" s="76"/>
      <c r="S223" s="37"/>
      <c r="T223" s="86">
        <f>tbl_estimated_costs_quantities[[#This Row],[Closure External Openings Walls Windows]]*BOQs!$L$6</f>
        <v>0</v>
      </c>
      <c r="U223" s="76"/>
      <c r="V223" s="37"/>
      <c r="W223" s="86">
        <f>tbl_estimated_costs_quantities[[#This Row],[Plastering Painting]]*BOQs!$L$7</f>
        <v>0</v>
      </c>
      <c r="X223" s="76"/>
      <c r="Y223" s="37"/>
      <c r="Z223" s="86">
        <f>tbl_estimated_costs_quantities[[#This Row],[Floor Repairs]]*BOQs!$L$8</f>
        <v>0</v>
      </c>
      <c r="AA223" s="76"/>
      <c r="AB223" s="37"/>
      <c r="AC223" s="86">
        <f>tbl_estimated_costs_quantities[[#This Row],[Doors Replacement Repair]]*BOQs!$L$9</f>
        <v>0</v>
      </c>
      <c r="AD223" s="76"/>
      <c r="AE223" s="37"/>
      <c r="AF223" s="86">
        <f>tbl_estimated_costs_quantities[[#This Row],[Windows Replacement Repair]]*BOQs!$L$10</f>
        <v>0</v>
      </c>
      <c r="AG223" s="76"/>
      <c r="AH223" s="37"/>
      <c r="AI223" s="86">
        <f>tbl_estimated_costs_quantities[[#This Row],[Bathroom Rehabilitation]]*BOQs!$L$11</f>
        <v>0</v>
      </c>
      <c r="AJ223" s="76"/>
      <c r="AK223" s="37"/>
      <c r="AL223" s="86">
        <f>tbl_estimated_costs_quantities[[#This Row],[Ceramic Tile Works WASH]]*BOQs!$L$12</f>
        <v>0</v>
      </c>
      <c r="AM223" s="76"/>
      <c r="AN223" s="37"/>
      <c r="AO223" s="86">
        <f>tbl_estimated_costs_quantities[[#This Row],[Electrical Repairs Lighting]]*BOQs!$L$13</f>
        <v>0</v>
      </c>
      <c r="AP223" s="76"/>
      <c r="AQ223" s="37"/>
      <c r="AR223" s="86">
        <f>tbl_estimated_costs_quantities[[#This Row],[Roof Insulation Leak Sealing]]*BOQs!$L$14</f>
        <v>0</v>
      </c>
      <c r="AS223" s="76"/>
      <c r="AT223" s="37"/>
      <c r="AU223" s="86">
        <f>tbl_estimated_costs_quantities[[#This Row],[Chimney Duct Cleaning Repair]]*BOQs!$L$15</f>
        <v>0</v>
      </c>
      <c r="AV223" s="76"/>
      <c r="AW223" s="37"/>
      <c r="AX223" s="89">
        <f>tbl_estimated_costs_quantities[[#This Row],[Accessibility Adaptations]]*BOQs!$L$16</f>
        <v>0</v>
      </c>
      <c r="AY223" s="86" t="str">
        <f>IF(tbl_estimated_costs_quantities[[#This Row],[Total cost]]&lt;&gt;0,tbl_estimated_costs_quantities[[#This Row],[Total cost]]/BOQs!$A$1,"")</f>
        <v/>
      </c>
      <c r="AZ223" s="37"/>
      <c r="BA223" s="37"/>
      <c r="BB223" s="37"/>
      <c r="BC223" s="37"/>
      <c r="BD223" s="41"/>
      <c r="BE223" s="37"/>
      <c r="BF223" s="37"/>
      <c r="BG223" s="37"/>
      <c r="BH223" s="41"/>
    </row>
    <row r="224" spans="2:60" ht="25.15" customHeight="1" x14ac:dyDescent="0.25">
      <c r="B224" s="49">
        <v>220</v>
      </c>
      <c r="C224" s="37"/>
      <c r="D224" s="41"/>
      <c r="E224" s="40"/>
      <c r="F224" s="87" t="str">
        <f>IF(tbl_estimated_costs_quantities[[#This Row],[House Code]]&lt;&gt;"",INDEX(tbl_Assessment[],MATCH(tbl_estimated_costs_quantities[[#This Row],[House Code]],tbl_Assessment[House Code],0),3),"")</f>
        <v/>
      </c>
      <c r="G224" s="115" t="str">
        <f>IF(tbl_estimated_costs_quantities[[#This Row],[House Code]]&lt;&gt;"",INDEX(tbl_Assessment[],MATCH(tbl_estimated_costs_quantities[[#This Row],[House Code]],tbl_Assessment[House Code],0),9),"")</f>
        <v/>
      </c>
      <c r="H22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4" s="75"/>
      <c r="J224" s="37"/>
      <c r="K224" s="86">
        <f>tbl_estimated_costs_quantities[[#This Row],[Site Preparation]]*BOQs!$L$3</f>
        <v>0</v>
      </c>
      <c r="L224" s="76"/>
      <c r="M224" s="37"/>
      <c r="N224" s="86">
        <f>tbl_estimated_costs_quantities[[#This Row],[Demolition Removal Unsafe Structures]]*BOQs!$L$4</f>
        <v>0</v>
      </c>
      <c r="O224" s="76"/>
      <c r="P224" s="37"/>
      <c r="Q224" s="86">
        <f>tbl_estimated_costs_quantities[[#This Row],[Concrete Works]]*BOQs!$L$5</f>
        <v>0</v>
      </c>
      <c r="R224" s="76"/>
      <c r="S224" s="37"/>
      <c r="T224" s="86">
        <f>tbl_estimated_costs_quantities[[#This Row],[Closure External Openings Walls Windows]]*BOQs!$L$6</f>
        <v>0</v>
      </c>
      <c r="U224" s="76"/>
      <c r="V224" s="37"/>
      <c r="W224" s="86">
        <f>tbl_estimated_costs_quantities[[#This Row],[Plastering Painting]]*BOQs!$L$7</f>
        <v>0</v>
      </c>
      <c r="X224" s="76"/>
      <c r="Y224" s="37"/>
      <c r="Z224" s="86">
        <f>tbl_estimated_costs_quantities[[#This Row],[Floor Repairs]]*BOQs!$L$8</f>
        <v>0</v>
      </c>
      <c r="AA224" s="76"/>
      <c r="AB224" s="37"/>
      <c r="AC224" s="86">
        <f>tbl_estimated_costs_quantities[[#This Row],[Doors Replacement Repair]]*BOQs!$L$9</f>
        <v>0</v>
      </c>
      <c r="AD224" s="76"/>
      <c r="AE224" s="37"/>
      <c r="AF224" s="86">
        <f>tbl_estimated_costs_quantities[[#This Row],[Windows Replacement Repair]]*BOQs!$L$10</f>
        <v>0</v>
      </c>
      <c r="AG224" s="76"/>
      <c r="AH224" s="37"/>
      <c r="AI224" s="86">
        <f>tbl_estimated_costs_quantities[[#This Row],[Bathroom Rehabilitation]]*BOQs!$L$11</f>
        <v>0</v>
      </c>
      <c r="AJ224" s="76"/>
      <c r="AK224" s="37"/>
      <c r="AL224" s="86">
        <f>tbl_estimated_costs_quantities[[#This Row],[Ceramic Tile Works WASH]]*BOQs!$L$12</f>
        <v>0</v>
      </c>
      <c r="AM224" s="76"/>
      <c r="AN224" s="37"/>
      <c r="AO224" s="86">
        <f>tbl_estimated_costs_quantities[[#This Row],[Electrical Repairs Lighting]]*BOQs!$L$13</f>
        <v>0</v>
      </c>
      <c r="AP224" s="76"/>
      <c r="AQ224" s="37"/>
      <c r="AR224" s="86">
        <f>tbl_estimated_costs_quantities[[#This Row],[Roof Insulation Leak Sealing]]*BOQs!$L$14</f>
        <v>0</v>
      </c>
      <c r="AS224" s="76"/>
      <c r="AT224" s="37"/>
      <c r="AU224" s="86">
        <f>tbl_estimated_costs_quantities[[#This Row],[Chimney Duct Cleaning Repair]]*BOQs!$L$15</f>
        <v>0</v>
      </c>
      <c r="AV224" s="76"/>
      <c r="AW224" s="37"/>
      <c r="AX224" s="89">
        <f>tbl_estimated_costs_quantities[[#This Row],[Accessibility Adaptations]]*BOQs!$L$16</f>
        <v>0</v>
      </c>
      <c r="AY224" s="86" t="str">
        <f>IF(tbl_estimated_costs_quantities[[#This Row],[Total cost]]&lt;&gt;0,tbl_estimated_costs_quantities[[#This Row],[Total cost]]/BOQs!$A$1,"")</f>
        <v/>
      </c>
      <c r="AZ224" s="37"/>
      <c r="BA224" s="37"/>
      <c r="BB224" s="37"/>
      <c r="BC224" s="37"/>
      <c r="BD224" s="41"/>
      <c r="BE224" s="37"/>
      <c r="BF224" s="37"/>
      <c r="BG224" s="37"/>
      <c r="BH224" s="41"/>
    </row>
    <row r="225" spans="2:60" ht="25.15" customHeight="1" x14ac:dyDescent="0.25">
      <c r="B225" s="49">
        <v>221</v>
      </c>
      <c r="C225" s="37"/>
      <c r="D225" s="41"/>
      <c r="E225" s="40"/>
      <c r="F225" s="87" t="str">
        <f>IF(tbl_estimated_costs_quantities[[#This Row],[House Code]]&lt;&gt;"",INDEX(tbl_Assessment[],MATCH(tbl_estimated_costs_quantities[[#This Row],[House Code]],tbl_Assessment[House Code],0),3),"")</f>
        <v/>
      </c>
      <c r="G225" s="115" t="str">
        <f>IF(tbl_estimated_costs_quantities[[#This Row],[House Code]]&lt;&gt;"",INDEX(tbl_Assessment[],MATCH(tbl_estimated_costs_quantities[[#This Row],[House Code]],tbl_Assessment[House Code],0),9),"")</f>
        <v/>
      </c>
      <c r="H22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5" s="75"/>
      <c r="J225" s="37"/>
      <c r="K225" s="86">
        <f>tbl_estimated_costs_quantities[[#This Row],[Site Preparation]]*BOQs!$L$3</f>
        <v>0</v>
      </c>
      <c r="L225" s="76"/>
      <c r="M225" s="37"/>
      <c r="N225" s="86">
        <f>tbl_estimated_costs_quantities[[#This Row],[Demolition Removal Unsafe Structures]]*BOQs!$L$4</f>
        <v>0</v>
      </c>
      <c r="O225" s="76"/>
      <c r="P225" s="37"/>
      <c r="Q225" s="86">
        <f>tbl_estimated_costs_quantities[[#This Row],[Concrete Works]]*BOQs!$L$5</f>
        <v>0</v>
      </c>
      <c r="R225" s="76"/>
      <c r="S225" s="37"/>
      <c r="T225" s="86">
        <f>tbl_estimated_costs_quantities[[#This Row],[Closure External Openings Walls Windows]]*BOQs!$L$6</f>
        <v>0</v>
      </c>
      <c r="U225" s="76"/>
      <c r="V225" s="37"/>
      <c r="W225" s="86">
        <f>tbl_estimated_costs_quantities[[#This Row],[Plastering Painting]]*BOQs!$L$7</f>
        <v>0</v>
      </c>
      <c r="X225" s="76"/>
      <c r="Y225" s="37"/>
      <c r="Z225" s="86">
        <f>tbl_estimated_costs_quantities[[#This Row],[Floor Repairs]]*BOQs!$L$8</f>
        <v>0</v>
      </c>
      <c r="AA225" s="76"/>
      <c r="AB225" s="37"/>
      <c r="AC225" s="86">
        <f>tbl_estimated_costs_quantities[[#This Row],[Doors Replacement Repair]]*BOQs!$L$9</f>
        <v>0</v>
      </c>
      <c r="AD225" s="76"/>
      <c r="AE225" s="37"/>
      <c r="AF225" s="86">
        <f>tbl_estimated_costs_quantities[[#This Row],[Windows Replacement Repair]]*BOQs!$L$10</f>
        <v>0</v>
      </c>
      <c r="AG225" s="76"/>
      <c r="AH225" s="37"/>
      <c r="AI225" s="86">
        <f>tbl_estimated_costs_quantities[[#This Row],[Bathroom Rehabilitation]]*BOQs!$L$11</f>
        <v>0</v>
      </c>
      <c r="AJ225" s="76"/>
      <c r="AK225" s="37"/>
      <c r="AL225" s="86">
        <f>tbl_estimated_costs_quantities[[#This Row],[Ceramic Tile Works WASH]]*BOQs!$L$12</f>
        <v>0</v>
      </c>
      <c r="AM225" s="76"/>
      <c r="AN225" s="37"/>
      <c r="AO225" s="86">
        <f>tbl_estimated_costs_quantities[[#This Row],[Electrical Repairs Lighting]]*BOQs!$L$13</f>
        <v>0</v>
      </c>
      <c r="AP225" s="76"/>
      <c r="AQ225" s="37"/>
      <c r="AR225" s="86">
        <f>tbl_estimated_costs_quantities[[#This Row],[Roof Insulation Leak Sealing]]*BOQs!$L$14</f>
        <v>0</v>
      </c>
      <c r="AS225" s="76"/>
      <c r="AT225" s="37"/>
      <c r="AU225" s="86">
        <f>tbl_estimated_costs_quantities[[#This Row],[Chimney Duct Cleaning Repair]]*BOQs!$L$15</f>
        <v>0</v>
      </c>
      <c r="AV225" s="76"/>
      <c r="AW225" s="37"/>
      <c r="AX225" s="89">
        <f>tbl_estimated_costs_quantities[[#This Row],[Accessibility Adaptations]]*BOQs!$L$16</f>
        <v>0</v>
      </c>
      <c r="AY225" s="86" t="str">
        <f>IF(tbl_estimated_costs_quantities[[#This Row],[Total cost]]&lt;&gt;0,tbl_estimated_costs_quantities[[#This Row],[Total cost]]/BOQs!$A$1,"")</f>
        <v/>
      </c>
      <c r="AZ225" s="37"/>
      <c r="BA225" s="37"/>
      <c r="BB225" s="37"/>
      <c r="BC225" s="37"/>
      <c r="BD225" s="41"/>
      <c r="BE225" s="37"/>
      <c r="BF225" s="37"/>
      <c r="BG225" s="37"/>
      <c r="BH225" s="41"/>
    </row>
    <row r="226" spans="2:60" ht="25.15" customHeight="1" x14ac:dyDescent="0.25">
      <c r="B226" s="49">
        <v>222</v>
      </c>
      <c r="C226" s="37"/>
      <c r="D226" s="41"/>
      <c r="E226" s="40"/>
      <c r="F226" s="87" t="str">
        <f>IF(tbl_estimated_costs_quantities[[#This Row],[House Code]]&lt;&gt;"",INDEX(tbl_Assessment[],MATCH(tbl_estimated_costs_quantities[[#This Row],[House Code]],tbl_Assessment[House Code],0),3),"")</f>
        <v/>
      </c>
      <c r="G226" s="115" t="str">
        <f>IF(tbl_estimated_costs_quantities[[#This Row],[House Code]]&lt;&gt;"",INDEX(tbl_Assessment[],MATCH(tbl_estimated_costs_quantities[[#This Row],[House Code]],tbl_Assessment[House Code],0),9),"")</f>
        <v/>
      </c>
      <c r="H22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6" s="75"/>
      <c r="J226" s="37"/>
      <c r="K226" s="86">
        <f>tbl_estimated_costs_quantities[[#This Row],[Site Preparation]]*BOQs!$L$3</f>
        <v>0</v>
      </c>
      <c r="L226" s="76"/>
      <c r="M226" s="37"/>
      <c r="N226" s="86">
        <f>tbl_estimated_costs_quantities[[#This Row],[Demolition Removal Unsafe Structures]]*BOQs!$L$4</f>
        <v>0</v>
      </c>
      <c r="O226" s="76"/>
      <c r="P226" s="37"/>
      <c r="Q226" s="86">
        <f>tbl_estimated_costs_quantities[[#This Row],[Concrete Works]]*BOQs!$L$5</f>
        <v>0</v>
      </c>
      <c r="R226" s="76"/>
      <c r="S226" s="37"/>
      <c r="T226" s="86">
        <f>tbl_estimated_costs_quantities[[#This Row],[Closure External Openings Walls Windows]]*BOQs!$L$6</f>
        <v>0</v>
      </c>
      <c r="U226" s="76"/>
      <c r="V226" s="37"/>
      <c r="W226" s="86">
        <f>tbl_estimated_costs_quantities[[#This Row],[Plastering Painting]]*BOQs!$L$7</f>
        <v>0</v>
      </c>
      <c r="X226" s="76"/>
      <c r="Y226" s="37"/>
      <c r="Z226" s="86">
        <f>tbl_estimated_costs_quantities[[#This Row],[Floor Repairs]]*BOQs!$L$8</f>
        <v>0</v>
      </c>
      <c r="AA226" s="76"/>
      <c r="AB226" s="37"/>
      <c r="AC226" s="86">
        <f>tbl_estimated_costs_quantities[[#This Row],[Doors Replacement Repair]]*BOQs!$L$9</f>
        <v>0</v>
      </c>
      <c r="AD226" s="76"/>
      <c r="AE226" s="37"/>
      <c r="AF226" s="86">
        <f>tbl_estimated_costs_quantities[[#This Row],[Windows Replacement Repair]]*BOQs!$L$10</f>
        <v>0</v>
      </c>
      <c r="AG226" s="76"/>
      <c r="AH226" s="37"/>
      <c r="AI226" s="86">
        <f>tbl_estimated_costs_quantities[[#This Row],[Bathroom Rehabilitation]]*BOQs!$L$11</f>
        <v>0</v>
      </c>
      <c r="AJ226" s="76"/>
      <c r="AK226" s="37"/>
      <c r="AL226" s="86">
        <f>tbl_estimated_costs_quantities[[#This Row],[Ceramic Tile Works WASH]]*BOQs!$L$12</f>
        <v>0</v>
      </c>
      <c r="AM226" s="76"/>
      <c r="AN226" s="37"/>
      <c r="AO226" s="86">
        <f>tbl_estimated_costs_quantities[[#This Row],[Electrical Repairs Lighting]]*BOQs!$L$13</f>
        <v>0</v>
      </c>
      <c r="AP226" s="76"/>
      <c r="AQ226" s="37"/>
      <c r="AR226" s="86">
        <f>tbl_estimated_costs_quantities[[#This Row],[Roof Insulation Leak Sealing]]*BOQs!$L$14</f>
        <v>0</v>
      </c>
      <c r="AS226" s="76"/>
      <c r="AT226" s="37"/>
      <c r="AU226" s="86">
        <f>tbl_estimated_costs_quantities[[#This Row],[Chimney Duct Cleaning Repair]]*BOQs!$L$15</f>
        <v>0</v>
      </c>
      <c r="AV226" s="76"/>
      <c r="AW226" s="37"/>
      <c r="AX226" s="89">
        <f>tbl_estimated_costs_quantities[[#This Row],[Accessibility Adaptations]]*BOQs!$L$16</f>
        <v>0</v>
      </c>
      <c r="AY226" s="86" t="str">
        <f>IF(tbl_estimated_costs_quantities[[#This Row],[Total cost]]&lt;&gt;0,tbl_estimated_costs_quantities[[#This Row],[Total cost]]/BOQs!$A$1,"")</f>
        <v/>
      </c>
      <c r="AZ226" s="37"/>
      <c r="BA226" s="37"/>
      <c r="BB226" s="37"/>
      <c r="BC226" s="37"/>
      <c r="BD226" s="41"/>
      <c r="BE226" s="37"/>
      <c r="BF226" s="37"/>
      <c r="BG226" s="37"/>
      <c r="BH226" s="41"/>
    </row>
    <row r="227" spans="2:60" ht="25.15" customHeight="1" x14ac:dyDescent="0.25">
      <c r="B227" s="49">
        <v>223</v>
      </c>
      <c r="C227" s="37"/>
      <c r="D227" s="41"/>
      <c r="E227" s="40"/>
      <c r="F227" s="87" t="str">
        <f>IF(tbl_estimated_costs_quantities[[#This Row],[House Code]]&lt;&gt;"",INDEX(tbl_Assessment[],MATCH(tbl_estimated_costs_quantities[[#This Row],[House Code]],tbl_Assessment[House Code],0),3),"")</f>
        <v/>
      </c>
      <c r="G227" s="115" t="str">
        <f>IF(tbl_estimated_costs_quantities[[#This Row],[House Code]]&lt;&gt;"",INDEX(tbl_Assessment[],MATCH(tbl_estimated_costs_quantities[[#This Row],[House Code]],tbl_Assessment[House Code],0),9),"")</f>
        <v/>
      </c>
      <c r="H22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7" s="75"/>
      <c r="J227" s="37"/>
      <c r="K227" s="86">
        <f>tbl_estimated_costs_quantities[[#This Row],[Site Preparation]]*BOQs!$L$3</f>
        <v>0</v>
      </c>
      <c r="L227" s="76"/>
      <c r="M227" s="37"/>
      <c r="N227" s="86">
        <f>tbl_estimated_costs_quantities[[#This Row],[Demolition Removal Unsafe Structures]]*BOQs!$L$4</f>
        <v>0</v>
      </c>
      <c r="O227" s="76"/>
      <c r="P227" s="37"/>
      <c r="Q227" s="86">
        <f>tbl_estimated_costs_quantities[[#This Row],[Concrete Works]]*BOQs!$L$5</f>
        <v>0</v>
      </c>
      <c r="R227" s="76"/>
      <c r="S227" s="37"/>
      <c r="T227" s="86">
        <f>tbl_estimated_costs_quantities[[#This Row],[Closure External Openings Walls Windows]]*BOQs!$L$6</f>
        <v>0</v>
      </c>
      <c r="U227" s="76"/>
      <c r="V227" s="37"/>
      <c r="W227" s="86">
        <f>tbl_estimated_costs_quantities[[#This Row],[Plastering Painting]]*BOQs!$L$7</f>
        <v>0</v>
      </c>
      <c r="X227" s="76"/>
      <c r="Y227" s="37"/>
      <c r="Z227" s="86">
        <f>tbl_estimated_costs_quantities[[#This Row],[Floor Repairs]]*BOQs!$L$8</f>
        <v>0</v>
      </c>
      <c r="AA227" s="76"/>
      <c r="AB227" s="37"/>
      <c r="AC227" s="86">
        <f>tbl_estimated_costs_quantities[[#This Row],[Doors Replacement Repair]]*BOQs!$L$9</f>
        <v>0</v>
      </c>
      <c r="AD227" s="76"/>
      <c r="AE227" s="37"/>
      <c r="AF227" s="86">
        <f>tbl_estimated_costs_quantities[[#This Row],[Windows Replacement Repair]]*BOQs!$L$10</f>
        <v>0</v>
      </c>
      <c r="AG227" s="76"/>
      <c r="AH227" s="37"/>
      <c r="AI227" s="86">
        <f>tbl_estimated_costs_quantities[[#This Row],[Bathroom Rehabilitation]]*BOQs!$L$11</f>
        <v>0</v>
      </c>
      <c r="AJ227" s="76"/>
      <c r="AK227" s="37"/>
      <c r="AL227" s="86">
        <f>tbl_estimated_costs_quantities[[#This Row],[Ceramic Tile Works WASH]]*BOQs!$L$12</f>
        <v>0</v>
      </c>
      <c r="AM227" s="76"/>
      <c r="AN227" s="37"/>
      <c r="AO227" s="86">
        <f>tbl_estimated_costs_quantities[[#This Row],[Electrical Repairs Lighting]]*BOQs!$L$13</f>
        <v>0</v>
      </c>
      <c r="AP227" s="76"/>
      <c r="AQ227" s="37"/>
      <c r="AR227" s="86">
        <f>tbl_estimated_costs_quantities[[#This Row],[Roof Insulation Leak Sealing]]*BOQs!$L$14</f>
        <v>0</v>
      </c>
      <c r="AS227" s="76"/>
      <c r="AT227" s="37"/>
      <c r="AU227" s="86">
        <f>tbl_estimated_costs_quantities[[#This Row],[Chimney Duct Cleaning Repair]]*BOQs!$L$15</f>
        <v>0</v>
      </c>
      <c r="AV227" s="76"/>
      <c r="AW227" s="37"/>
      <c r="AX227" s="89">
        <f>tbl_estimated_costs_quantities[[#This Row],[Accessibility Adaptations]]*BOQs!$L$16</f>
        <v>0</v>
      </c>
      <c r="AY227" s="86" t="str">
        <f>IF(tbl_estimated_costs_quantities[[#This Row],[Total cost]]&lt;&gt;0,tbl_estimated_costs_quantities[[#This Row],[Total cost]]/BOQs!$A$1,"")</f>
        <v/>
      </c>
      <c r="AZ227" s="37"/>
      <c r="BA227" s="37"/>
      <c r="BB227" s="37"/>
      <c r="BC227" s="37"/>
      <c r="BD227" s="41"/>
      <c r="BE227" s="37"/>
      <c r="BF227" s="37"/>
      <c r="BG227" s="37"/>
      <c r="BH227" s="41"/>
    </row>
    <row r="228" spans="2:60" ht="25.15" customHeight="1" x14ac:dyDescent="0.25">
      <c r="B228" s="49">
        <v>224</v>
      </c>
      <c r="C228" s="37"/>
      <c r="D228" s="41"/>
      <c r="E228" s="40"/>
      <c r="F228" s="87" t="str">
        <f>IF(tbl_estimated_costs_quantities[[#This Row],[House Code]]&lt;&gt;"",INDEX(tbl_Assessment[],MATCH(tbl_estimated_costs_quantities[[#This Row],[House Code]],tbl_Assessment[House Code],0),3),"")</f>
        <v/>
      </c>
      <c r="G228" s="115" t="str">
        <f>IF(tbl_estimated_costs_quantities[[#This Row],[House Code]]&lt;&gt;"",INDEX(tbl_Assessment[],MATCH(tbl_estimated_costs_quantities[[#This Row],[House Code]],tbl_Assessment[House Code],0),9),"")</f>
        <v/>
      </c>
      <c r="H22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8" s="75"/>
      <c r="J228" s="37"/>
      <c r="K228" s="86">
        <f>tbl_estimated_costs_quantities[[#This Row],[Site Preparation]]*BOQs!$L$3</f>
        <v>0</v>
      </c>
      <c r="L228" s="76"/>
      <c r="M228" s="37"/>
      <c r="N228" s="86">
        <f>tbl_estimated_costs_quantities[[#This Row],[Demolition Removal Unsafe Structures]]*BOQs!$L$4</f>
        <v>0</v>
      </c>
      <c r="O228" s="76"/>
      <c r="P228" s="37"/>
      <c r="Q228" s="86">
        <f>tbl_estimated_costs_quantities[[#This Row],[Concrete Works]]*BOQs!$L$5</f>
        <v>0</v>
      </c>
      <c r="R228" s="76"/>
      <c r="S228" s="37"/>
      <c r="T228" s="86">
        <f>tbl_estimated_costs_quantities[[#This Row],[Closure External Openings Walls Windows]]*BOQs!$L$6</f>
        <v>0</v>
      </c>
      <c r="U228" s="76"/>
      <c r="V228" s="37"/>
      <c r="W228" s="86">
        <f>tbl_estimated_costs_quantities[[#This Row],[Plastering Painting]]*BOQs!$L$7</f>
        <v>0</v>
      </c>
      <c r="X228" s="76"/>
      <c r="Y228" s="37"/>
      <c r="Z228" s="86">
        <f>tbl_estimated_costs_quantities[[#This Row],[Floor Repairs]]*BOQs!$L$8</f>
        <v>0</v>
      </c>
      <c r="AA228" s="76"/>
      <c r="AB228" s="37"/>
      <c r="AC228" s="86">
        <f>tbl_estimated_costs_quantities[[#This Row],[Doors Replacement Repair]]*BOQs!$L$9</f>
        <v>0</v>
      </c>
      <c r="AD228" s="76"/>
      <c r="AE228" s="37"/>
      <c r="AF228" s="86">
        <f>tbl_estimated_costs_quantities[[#This Row],[Windows Replacement Repair]]*BOQs!$L$10</f>
        <v>0</v>
      </c>
      <c r="AG228" s="76"/>
      <c r="AH228" s="37"/>
      <c r="AI228" s="86">
        <f>tbl_estimated_costs_quantities[[#This Row],[Bathroom Rehabilitation]]*BOQs!$L$11</f>
        <v>0</v>
      </c>
      <c r="AJ228" s="76"/>
      <c r="AK228" s="37"/>
      <c r="AL228" s="86">
        <f>tbl_estimated_costs_quantities[[#This Row],[Ceramic Tile Works WASH]]*BOQs!$L$12</f>
        <v>0</v>
      </c>
      <c r="AM228" s="76"/>
      <c r="AN228" s="37"/>
      <c r="AO228" s="86">
        <f>tbl_estimated_costs_quantities[[#This Row],[Electrical Repairs Lighting]]*BOQs!$L$13</f>
        <v>0</v>
      </c>
      <c r="AP228" s="76"/>
      <c r="AQ228" s="37"/>
      <c r="AR228" s="86">
        <f>tbl_estimated_costs_quantities[[#This Row],[Roof Insulation Leak Sealing]]*BOQs!$L$14</f>
        <v>0</v>
      </c>
      <c r="AS228" s="76"/>
      <c r="AT228" s="37"/>
      <c r="AU228" s="86">
        <f>tbl_estimated_costs_quantities[[#This Row],[Chimney Duct Cleaning Repair]]*BOQs!$L$15</f>
        <v>0</v>
      </c>
      <c r="AV228" s="76"/>
      <c r="AW228" s="37"/>
      <c r="AX228" s="89">
        <f>tbl_estimated_costs_quantities[[#This Row],[Accessibility Adaptations]]*BOQs!$L$16</f>
        <v>0</v>
      </c>
      <c r="AY228" s="86" t="str">
        <f>IF(tbl_estimated_costs_quantities[[#This Row],[Total cost]]&lt;&gt;0,tbl_estimated_costs_quantities[[#This Row],[Total cost]]/BOQs!$A$1,"")</f>
        <v/>
      </c>
      <c r="AZ228" s="37"/>
      <c r="BA228" s="37"/>
      <c r="BB228" s="37"/>
      <c r="BC228" s="37"/>
      <c r="BD228" s="41"/>
      <c r="BE228" s="37"/>
      <c r="BF228" s="37"/>
      <c r="BG228" s="37"/>
      <c r="BH228" s="41"/>
    </row>
    <row r="229" spans="2:60" ht="25.15" customHeight="1" x14ac:dyDescent="0.25">
      <c r="B229" s="49">
        <v>225</v>
      </c>
      <c r="C229" s="37"/>
      <c r="D229" s="41"/>
      <c r="E229" s="40"/>
      <c r="F229" s="87" t="str">
        <f>IF(tbl_estimated_costs_quantities[[#This Row],[House Code]]&lt;&gt;"",INDEX(tbl_Assessment[],MATCH(tbl_estimated_costs_quantities[[#This Row],[House Code]],tbl_Assessment[House Code],0),3),"")</f>
        <v/>
      </c>
      <c r="G229" s="115" t="str">
        <f>IF(tbl_estimated_costs_quantities[[#This Row],[House Code]]&lt;&gt;"",INDEX(tbl_Assessment[],MATCH(tbl_estimated_costs_quantities[[#This Row],[House Code]],tbl_Assessment[House Code],0),9),"")</f>
        <v/>
      </c>
      <c r="H22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29" s="75"/>
      <c r="J229" s="37"/>
      <c r="K229" s="86">
        <f>tbl_estimated_costs_quantities[[#This Row],[Site Preparation]]*BOQs!$L$3</f>
        <v>0</v>
      </c>
      <c r="L229" s="76"/>
      <c r="M229" s="37"/>
      <c r="N229" s="86">
        <f>tbl_estimated_costs_quantities[[#This Row],[Demolition Removal Unsafe Structures]]*BOQs!$L$4</f>
        <v>0</v>
      </c>
      <c r="O229" s="76"/>
      <c r="P229" s="37"/>
      <c r="Q229" s="86">
        <f>tbl_estimated_costs_quantities[[#This Row],[Concrete Works]]*BOQs!$L$5</f>
        <v>0</v>
      </c>
      <c r="R229" s="76"/>
      <c r="S229" s="37"/>
      <c r="T229" s="86">
        <f>tbl_estimated_costs_quantities[[#This Row],[Closure External Openings Walls Windows]]*BOQs!$L$6</f>
        <v>0</v>
      </c>
      <c r="U229" s="76"/>
      <c r="V229" s="37"/>
      <c r="W229" s="86">
        <f>tbl_estimated_costs_quantities[[#This Row],[Plastering Painting]]*BOQs!$L$7</f>
        <v>0</v>
      </c>
      <c r="X229" s="76"/>
      <c r="Y229" s="37"/>
      <c r="Z229" s="86">
        <f>tbl_estimated_costs_quantities[[#This Row],[Floor Repairs]]*BOQs!$L$8</f>
        <v>0</v>
      </c>
      <c r="AA229" s="76"/>
      <c r="AB229" s="37"/>
      <c r="AC229" s="86">
        <f>tbl_estimated_costs_quantities[[#This Row],[Doors Replacement Repair]]*BOQs!$L$9</f>
        <v>0</v>
      </c>
      <c r="AD229" s="76"/>
      <c r="AE229" s="37"/>
      <c r="AF229" s="86">
        <f>tbl_estimated_costs_quantities[[#This Row],[Windows Replacement Repair]]*BOQs!$L$10</f>
        <v>0</v>
      </c>
      <c r="AG229" s="76"/>
      <c r="AH229" s="37"/>
      <c r="AI229" s="86">
        <f>tbl_estimated_costs_quantities[[#This Row],[Bathroom Rehabilitation]]*BOQs!$L$11</f>
        <v>0</v>
      </c>
      <c r="AJ229" s="76"/>
      <c r="AK229" s="37"/>
      <c r="AL229" s="86">
        <f>tbl_estimated_costs_quantities[[#This Row],[Ceramic Tile Works WASH]]*BOQs!$L$12</f>
        <v>0</v>
      </c>
      <c r="AM229" s="76"/>
      <c r="AN229" s="37"/>
      <c r="AO229" s="86">
        <f>tbl_estimated_costs_quantities[[#This Row],[Electrical Repairs Lighting]]*BOQs!$L$13</f>
        <v>0</v>
      </c>
      <c r="AP229" s="76"/>
      <c r="AQ229" s="37"/>
      <c r="AR229" s="86">
        <f>tbl_estimated_costs_quantities[[#This Row],[Roof Insulation Leak Sealing]]*BOQs!$L$14</f>
        <v>0</v>
      </c>
      <c r="AS229" s="76"/>
      <c r="AT229" s="37"/>
      <c r="AU229" s="86">
        <f>tbl_estimated_costs_quantities[[#This Row],[Chimney Duct Cleaning Repair]]*BOQs!$L$15</f>
        <v>0</v>
      </c>
      <c r="AV229" s="76"/>
      <c r="AW229" s="37"/>
      <c r="AX229" s="89">
        <f>tbl_estimated_costs_quantities[[#This Row],[Accessibility Adaptations]]*BOQs!$L$16</f>
        <v>0</v>
      </c>
      <c r="AY229" s="86" t="str">
        <f>IF(tbl_estimated_costs_quantities[[#This Row],[Total cost]]&lt;&gt;0,tbl_estimated_costs_quantities[[#This Row],[Total cost]]/BOQs!$A$1,"")</f>
        <v/>
      </c>
      <c r="AZ229" s="37"/>
      <c r="BA229" s="37"/>
      <c r="BB229" s="37"/>
      <c r="BC229" s="37"/>
      <c r="BD229" s="41"/>
      <c r="BE229" s="37"/>
      <c r="BF229" s="37"/>
      <c r="BG229" s="37"/>
      <c r="BH229" s="41"/>
    </row>
    <row r="230" spans="2:60" ht="25.15" customHeight="1" x14ac:dyDescent="0.25">
      <c r="B230" s="49">
        <v>226</v>
      </c>
      <c r="C230" s="37"/>
      <c r="D230" s="41"/>
      <c r="E230" s="40"/>
      <c r="F230" s="87" t="str">
        <f>IF(tbl_estimated_costs_quantities[[#This Row],[House Code]]&lt;&gt;"",INDEX(tbl_Assessment[],MATCH(tbl_estimated_costs_quantities[[#This Row],[House Code]],tbl_Assessment[House Code],0),3),"")</f>
        <v/>
      </c>
      <c r="G230" s="115" t="str">
        <f>IF(tbl_estimated_costs_quantities[[#This Row],[House Code]]&lt;&gt;"",INDEX(tbl_Assessment[],MATCH(tbl_estimated_costs_quantities[[#This Row],[House Code]],tbl_Assessment[House Code],0),9),"")</f>
        <v/>
      </c>
      <c r="H23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0" s="75"/>
      <c r="J230" s="37"/>
      <c r="K230" s="86">
        <f>tbl_estimated_costs_quantities[[#This Row],[Site Preparation]]*BOQs!$L$3</f>
        <v>0</v>
      </c>
      <c r="L230" s="76"/>
      <c r="M230" s="37"/>
      <c r="N230" s="86">
        <f>tbl_estimated_costs_quantities[[#This Row],[Demolition Removal Unsafe Structures]]*BOQs!$L$4</f>
        <v>0</v>
      </c>
      <c r="O230" s="76"/>
      <c r="P230" s="37"/>
      <c r="Q230" s="86">
        <f>tbl_estimated_costs_quantities[[#This Row],[Concrete Works]]*BOQs!$L$5</f>
        <v>0</v>
      </c>
      <c r="R230" s="76"/>
      <c r="S230" s="37"/>
      <c r="T230" s="86">
        <f>tbl_estimated_costs_quantities[[#This Row],[Closure External Openings Walls Windows]]*BOQs!$L$6</f>
        <v>0</v>
      </c>
      <c r="U230" s="76"/>
      <c r="V230" s="37"/>
      <c r="W230" s="86">
        <f>tbl_estimated_costs_quantities[[#This Row],[Plastering Painting]]*BOQs!$L$7</f>
        <v>0</v>
      </c>
      <c r="X230" s="76"/>
      <c r="Y230" s="37"/>
      <c r="Z230" s="86">
        <f>tbl_estimated_costs_quantities[[#This Row],[Floor Repairs]]*BOQs!$L$8</f>
        <v>0</v>
      </c>
      <c r="AA230" s="76"/>
      <c r="AB230" s="37"/>
      <c r="AC230" s="86">
        <f>tbl_estimated_costs_quantities[[#This Row],[Doors Replacement Repair]]*BOQs!$L$9</f>
        <v>0</v>
      </c>
      <c r="AD230" s="76"/>
      <c r="AE230" s="37"/>
      <c r="AF230" s="86">
        <f>tbl_estimated_costs_quantities[[#This Row],[Windows Replacement Repair]]*BOQs!$L$10</f>
        <v>0</v>
      </c>
      <c r="AG230" s="76"/>
      <c r="AH230" s="37"/>
      <c r="AI230" s="86">
        <f>tbl_estimated_costs_quantities[[#This Row],[Bathroom Rehabilitation]]*BOQs!$L$11</f>
        <v>0</v>
      </c>
      <c r="AJ230" s="76"/>
      <c r="AK230" s="37"/>
      <c r="AL230" s="86">
        <f>tbl_estimated_costs_quantities[[#This Row],[Ceramic Tile Works WASH]]*BOQs!$L$12</f>
        <v>0</v>
      </c>
      <c r="AM230" s="76"/>
      <c r="AN230" s="37"/>
      <c r="AO230" s="86">
        <f>tbl_estimated_costs_quantities[[#This Row],[Electrical Repairs Lighting]]*BOQs!$L$13</f>
        <v>0</v>
      </c>
      <c r="AP230" s="76"/>
      <c r="AQ230" s="37"/>
      <c r="AR230" s="86">
        <f>tbl_estimated_costs_quantities[[#This Row],[Roof Insulation Leak Sealing]]*BOQs!$L$14</f>
        <v>0</v>
      </c>
      <c r="AS230" s="76"/>
      <c r="AT230" s="37"/>
      <c r="AU230" s="86">
        <f>tbl_estimated_costs_quantities[[#This Row],[Chimney Duct Cleaning Repair]]*BOQs!$L$15</f>
        <v>0</v>
      </c>
      <c r="AV230" s="76"/>
      <c r="AW230" s="37"/>
      <c r="AX230" s="89">
        <f>tbl_estimated_costs_quantities[[#This Row],[Accessibility Adaptations]]*BOQs!$L$16</f>
        <v>0</v>
      </c>
      <c r="AY230" s="86" t="str">
        <f>IF(tbl_estimated_costs_quantities[[#This Row],[Total cost]]&lt;&gt;0,tbl_estimated_costs_quantities[[#This Row],[Total cost]]/BOQs!$A$1,"")</f>
        <v/>
      </c>
      <c r="AZ230" s="37"/>
      <c r="BA230" s="37"/>
      <c r="BB230" s="37"/>
      <c r="BC230" s="37"/>
      <c r="BD230" s="41"/>
      <c r="BE230" s="37"/>
      <c r="BF230" s="37"/>
      <c r="BG230" s="37"/>
      <c r="BH230" s="41"/>
    </row>
    <row r="231" spans="2:60" ht="25.15" customHeight="1" x14ac:dyDescent="0.25">
      <c r="B231" s="49">
        <v>227</v>
      </c>
      <c r="C231" s="37"/>
      <c r="D231" s="41"/>
      <c r="E231" s="40"/>
      <c r="F231" s="87" t="str">
        <f>IF(tbl_estimated_costs_quantities[[#This Row],[House Code]]&lt;&gt;"",INDEX(tbl_Assessment[],MATCH(tbl_estimated_costs_quantities[[#This Row],[House Code]],tbl_Assessment[House Code],0),3),"")</f>
        <v/>
      </c>
      <c r="G231" s="115" t="str">
        <f>IF(tbl_estimated_costs_quantities[[#This Row],[House Code]]&lt;&gt;"",INDEX(tbl_Assessment[],MATCH(tbl_estimated_costs_quantities[[#This Row],[House Code]],tbl_Assessment[House Code],0),9),"")</f>
        <v/>
      </c>
      <c r="H23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1" s="75"/>
      <c r="J231" s="37"/>
      <c r="K231" s="86">
        <f>tbl_estimated_costs_quantities[[#This Row],[Site Preparation]]*BOQs!$L$3</f>
        <v>0</v>
      </c>
      <c r="L231" s="76"/>
      <c r="M231" s="37"/>
      <c r="N231" s="86">
        <f>tbl_estimated_costs_quantities[[#This Row],[Demolition Removal Unsafe Structures]]*BOQs!$L$4</f>
        <v>0</v>
      </c>
      <c r="O231" s="76"/>
      <c r="P231" s="37"/>
      <c r="Q231" s="86">
        <f>tbl_estimated_costs_quantities[[#This Row],[Concrete Works]]*BOQs!$L$5</f>
        <v>0</v>
      </c>
      <c r="R231" s="76"/>
      <c r="S231" s="37"/>
      <c r="T231" s="86">
        <f>tbl_estimated_costs_quantities[[#This Row],[Closure External Openings Walls Windows]]*BOQs!$L$6</f>
        <v>0</v>
      </c>
      <c r="U231" s="76"/>
      <c r="V231" s="37"/>
      <c r="W231" s="86">
        <f>tbl_estimated_costs_quantities[[#This Row],[Plastering Painting]]*BOQs!$L$7</f>
        <v>0</v>
      </c>
      <c r="X231" s="76"/>
      <c r="Y231" s="37"/>
      <c r="Z231" s="86">
        <f>tbl_estimated_costs_quantities[[#This Row],[Floor Repairs]]*BOQs!$L$8</f>
        <v>0</v>
      </c>
      <c r="AA231" s="76"/>
      <c r="AB231" s="37"/>
      <c r="AC231" s="86">
        <f>tbl_estimated_costs_quantities[[#This Row],[Doors Replacement Repair]]*BOQs!$L$9</f>
        <v>0</v>
      </c>
      <c r="AD231" s="76"/>
      <c r="AE231" s="37"/>
      <c r="AF231" s="86">
        <f>tbl_estimated_costs_quantities[[#This Row],[Windows Replacement Repair]]*BOQs!$L$10</f>
        <v>0</v>
      </c>
      <c r="AG231" s="76"/>
      <c r="AH231" s="37"/>
      <c r="AI231" s="86">
        <f>tbl_estimated_costs_quantities[[#This Row],[Bathroom Rehabilitation]]*BOQs!$L$11</f>
        <v>0</v>
      </c>
      <c r="AJ231" s="76"/>
      <c r="AK231" s="37"/>
      <c r="AL231" s="86">
        <f>tbl_estimated_costs_quantities[[#This Row],[Ceramic Tile Works WASH]]*BOQs!$L$12</f>
        <v>0</v>
      </c>
      <c r="AM231" s="76"/>
      <c r="AN231" s="37"/>
      <c r="AO231" s="86">
        <f>tbl_estimated_costs_quantities[[#This Row],[Electrical Repairs Lighting]]*BOQs!$L$13</f>
        <v>0</v>
      </c>
      <c r="AP231" s="76"/>
      <c r="AQ231" s="37"/>
      <c r="AR231" s="86">
        <f>tbl_estimated_costs_quantities[[#This Row],[Roof Insulation Leak Sealing]]*BOQs!$L$14</f>
        <v>0</v>
      </c>
      <c r="AS231" s="76"/>
      <c r="AT231" s="37"/>
      <c r="AU231" s="86">
        <f>tbl_estimated_costs_quantities[[#This Row],[Chimney Duct Cleaning Repair]]*BOQs!$L$15</f>
        <v>0</v>
      </c>
      <c r="AV231" s="76"/>
      <c r="AW231" s="37"/>
      <c r="AX231" s="89">
        <f>tbl_estimated_costs_quantities[[#This Row],[Accessibility Adaptations]]*BOQs!$L$16</f>
        <v>0</v>
      </c>
      <c r="AY231" s="86" t="str">
        <f>IF(tbl_estimated_costs_quantities[[#This Row],[Total cost]]&lt;&gt;0,tbl_estimated_costs_quantities[[#This Row],[Total cost]]/BOQs!$A$1,"")</f>
        <v/>
      </c>
      <c r="AZ231" s="37"/>
      <c r="BA231" s="37"/>
      <c r="BB231" s="37"/>
      <c r="BC231" s="37"/>
      <c r="BD231" s="41"/>
      <c r="BE231" s="37"/>
      <c r="BF231" s="37"/>
      <c r="BG231" s="37"/>
      <c r="BH231" s="41"/>
    </row>
    <row r="232" spans="2:60" ht="25.15" customHeight="1" x14ac:dyDescent="0.25">
      <c r="B232" s="49">
        <v>228</v>
      </c>
      <c r="C232" s="37"/>
      <c r="D232" s="41"/>
      <c r="E232" s="40"/>
      <c r="F232" s="87" t="str">
        <f>IF(tbl_estimated_costs_quantities[[#This Row],[House Code]]&lt;&gt;"",INDEX(tbl_Assessment[],MATCH(tbl_estimated_costs_quantities[[#This Row],[House Code]],tbl_Assessment[House Code],0),3),"")</f>
        <v/>
      </c>
      <c r="G232" s="115" t="str">
        <f>IF(tbl_estimated_costs_quantities[[#This Row],[House Code]]&lt;&gt;"",INDEX(tbl_Assessment[],MATCH(tbl_estimated_costs_quantities[[#This Row],[House Code]],tbl_Assessment[House Code],0),9),"")</f>
        <v/>
      </c>
      <c r="H23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2" s="75"/>
      <c r="J232" s="37"/>
      <c r="K232" s="86">
        <f>tbl_estimated_costs_quantities[[#This Row],[Site Preparation]]*BOQs!$L$3</f>
        <v>0</v>
      </c>
      <c r="L232" s="76"/>
      <c r="M232" s="37"/>
      <c r="N232" s="86">
        <f>tbl_estimated_costs_quantities[[#This Row],[Demolition Removal Unsafe Structures]]*BOQs!$L$4</f>
        <v>0</v>
      </c>
      <c r="O232" s="76"/>
      <c r="P232" s="37"/>
      <c r="Q232" s="86">
        <f>tbl_estimated_costs_quantities[[#This Row],[Concrete Works]]*BOQs!$L$5</f>
        <v>0</v>
      </c>
      <c r="R232" s="76"/>
      <c r="S232" s="37"/>
      <c r="T232" s="86">
        <f>tbl_estimated_costs_quantities[[#This Row],[Closure External Openings Walls Windows]]*BOQs!$L$6</f>
        <v>0</v>
      </c>
      <c r="U232" s="76"/>
      <c r="V232" s="37"/>
      <c r="W232" s="86">
        <f>tbl_estimated_costs_quantities[[#This Row],[Plastering Painting]]*BOQs!$L$7</f>
        <v>0</v>
      </c>
      <c r="X232" s="76"/>
      <c r="Y232" s="37"/>
      <c r="Z232" s="86">
        <f>tbl_estimated_costs_quantities[[#This Row],[Floor Repairs]]*BOQs!$L$8</f>
        <v>0</v>
      </c>
      <c r="AA232" s="76"/>
      <c r="AB232" s="37"/>
      <c r="AC232" s="86">
        <f>tbl_estimated_costs_quantities[[#This Row],[Doors Replacement Repair]]*BOQs!$L$9</f>
        <v>0</v>
      </c>
      <c r="AD232" s="76"/>
      <c r="AE232" s="37"/>
      <c r="AF232" s="86">
        <f>tbl_estimated_costs_quantities[[#This Row],[Windows Replacement Repair]]*BOQs!$L$10</f>
        <v>0</v>
      </c>
      <c r="AG232" s="76"/>
      <c r="AH232" s="37"/>
      <c r="AI232" s="86">
        <f>tbl_estimated_costs_quantities[[#This Row],[Bathroom Rehabilitation]]*BOQs!$L$11</f>
        <v>0</v>
      </c>
      <c r="AJ232" s="76"/>
      <c r="AK232" s="37"/>
      <c r="AL232" s="86">
        <f>tbl_estimated_costs_quantities[[#This Row],[Ceramic Tile Works WASH]]*BOQs!$L$12</f>
        <v>0</v>
      </c>
      <c r="AM232" s="76"/>
      <c r="AN232" s="37"/>
      <c r="AO232" s="86">
        <f>tbl_estimated_costs_quantities[[#This Row],[Electrical Repairs Lighting]]*BOQs!$L$13</f>
        <v>0</v>
      </c>
      <c r="AP232" s="76"/>
      <c r="AQ232" s="37"/>
      <c r="AR232" s="86">
        <f>tbl_estimated_costs_quantities[[#This Row],[Roof Insulation Leak Sealing]]*BOQs!$L$14</f>
        <v>0</v>
      </c>
      <c r="AS232" s="76"/>
      <c r="AT232" s="37"/>
      <c r="AU232" s="86">
        <f>tbl_estimated_costs_quantities[[#This Row],[Chimney Duct Cleaning Repair]]*BOQs!$L$15</f>
        <v>0</v>
      </c>
      <c r="AV232" s="76"/>
      <c r="AW232" s="37"/>
      <c r="AX232" s="89">
        <f>tbl_estimated_costs_quantities[[#This Row],[Accessibility Adaptations]]*BOQs!$L$16</f>
        <v>0</v>
      </c>
      <c r="AY232" s="86" t="str">
        <f>IF(tbl_estimated_costs_quantities[[#This Row],[Total cost]]&lt;&gt;0,tbl_estimated_costs_quantities[[#This Row],[Total cost]]/BOQs!$A$1,"")</f>
        <v/>
      </c>
      <c r="AZ232" s="37"/>
      <c r="BA232" s="37"/>
      <c r="BB232" s="37"/>
      <c r="BC232" s="37"/>
      <c r="BD232" s="41"/>
      <c r="BE232" s="37"/>
      <c r="BF232" s="37"/>
      <c r="BG232" s="37"/>
      <c r="BH232" s="41"/>
    </row>
    <row r="233" spans="2:60" ht="25.15" customHeight="1" x14ac:dyDescent="0.25">
      <c r="B233" s="49">
        <v>229</v>
      </c>
      <c r="C233" s="37"/>
      <c r="D233" s="41"/>
      <c r="E233" s="40"/>
      <c r="F233" s="87" t="str">
        <f>IF(tbl_estimated_costs_quantities[[#This Row],[House Code]]&lt;&gt;"",INDEX(tbl_Assessment[],MATCH(tbl_estimated_costs_quantities[[#This Row],[House Code]],tbl_Assessment[House Code],0),3),"")</f>
        <v/>
      </c>
      <c r="G233" s="115" t="str">
        <f>IF(tbl_estimated_costs_quantities[[#This Row],[House Code]]&lt;&gt;"",INDEX(tbl_Assessment[],MATCH(tbl_estimated_costs_quantities[[#This Row],[House Code]],tbl_Assessment[House Code],0),9),"")</f>
        <v/>
      </c>
      <c r="H23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3" s="75"/>
      <c r="J233" s="37"/>
      <c r="K233" s="86">
        <f>tbl_estimated_costs_quantities[[#This Row],[Site Preparation]]*BOQs!$L$3</f>
        <v>0</v>
      </c>
      <c r="L233" s="76"/>
      <c r="M233" s="37"/>
      <c r="N233" s="86">
        <f>tbl_estimated_costs_quantities[[#This Row],[Demolition Removal Unsafe Structures]]*BOQs!$L$4</f>
        <v>0</v>
      </c>
      <c r="O233" s="76"/>
      <c r="P233" s="37"/>
      <c r="Q233" s="86">
        <f>tbl_estimated_costs_quantities[[#This Row],[Concrete Works]]*BOQs!$L$5</f>
        <v>0</v>
      </c>
      <c r="R233" s="76"/>
      <c r="S233" s="37"/>
      <c r="T233" s="86">
        <f>tbl_estimated_costs_quantities[[#This Row],[Closure External Openings Walls Windows]]*BOQs!$L$6</f>
        <v>0</v>
      </c>
      <c r="U233" s="76"/>
      <c r="V233" s="37"/>
      <c r="W233" s="86">
        <f>tbl_estimated_costs_quantities[[#This Row],[Plastering Painting]]*BOQs!$L$7</f>
        <v>0</v>
      </c>
      <c r="X233" s="76"/>
      <c r="Y233" s="37"/>
      <c r="Z233" s="86">
        <f>tbl_estimated_costs_quantities[[#This Row],[Floor Repairs]]*BOQs!$L$8</f>
        <v>0</v>
      </c>
      <c r="AA233" s="76"/>
      <c r="AB233" s="37"/>
      <c r="AC233" s="86">
        <f>tbl_estimated_costs_quantities[[#This Row],[Doors Replacement Repair]]*BOQs!$L$9</f>
        <v>0</v>
      </c>
      <c r="AD233" s="76"/>
      <c r="AE233" s="37"/>
      <c r="AF233" s="86">
        <f>tbl_estimated_costs_quantities[[#This Row],[Windows Replacement Repair]]*BOQs!$L$10</f>
        <v>0</v>
      </c>
      <c r="AG233" s="76"/>
      <c r="AH233" s="37"/>
      <c r="AI233" s="86">
        <f>tbl_estimated_costs_quantities[[#This Row],[Bathroom Rehabilitation]]*BOQs!$L$11</f>
        <v>0</v>
      </c>
      <c r="AJ233" s="76"/>
      <c r="AK233" s="37"/>
      <c r="AL233" s="86">
        <f>tbl_estimated_costs_quantities[[#This Row],[Ceramic Tile Works WASH]]*BOQs!$L$12</f>
        <v>0</v>
      </c>
      <c r="AM233" s="76"/>
      <c r="AN233" s="37"/>
      <c r="AO233" s="86">
        <f>tbl_estimated_costs_quantities[[#This Row],[Electrical Repairs Lighting]]*BOQs!$L$13</f>
        <v>0</v>
      </c>
      <c r="AP233" s="76"/>
      <c r="AQ233" s="37"/>
      <c r="AR233" s="86">
        <f>tbl_estimated_costs_quantities[[#This Row],[Roof Insulation Leak Sealing]]*BOQs!$L$14</f>
        <v>0</v>
      </c>
      <c r="AS233" s="76"/>
      <c r="AT233" s="37"/>
      <c r="AU233" s="86">
        <f>tbl_estimated_costs_quantities[[#This Row],[Chimney Duct Cleaning Repair]]*BOQs!$L$15</f>
        <v>0</v>
      </c>
      <c r="AV233" s="76"/>
      <c r="AW233" s="37"/>
      <c r="AX233" s="89">
        <f>tbl_estimated_costs_quantities[[#This Row],[Accessibility Adaptations]]*BOQs!$L$16</f>
        <v>0</v>
      </c>
      <c r="AY233" s="86" t="str">
        <f>IF(tbl_estimated_costs_quantities[[#This Row],[Total cost]]&lt;&gt;0,tbl_estimated_costs_quantities[[#This Row],[Total cost]]/BOQs!$A$1,"")</f>
        <v/>
      </c>
      <c r="AZ233" s="37"/>
      <c r="BA233" s="37"/>
      <c r="BB233" s="37"/>
      <c r="BC233" s="37"/>
      <c r="BD233" s="41"/>
      <c r="BE233" s="37"/>
      <c r="BF233" s="37"/>
      <c r="BG233" s="37"/>
      <c r="BH233" s="41"/>
    </row>
    <row r="234" spans="2:60" ht="25.15" customHeight="1" x14ac:dyDescent="0.25">
      <c r="B234" s="49">
        <v>230</v>
      </c>
      <c r="C234" s="37"/>
      <c r="D234" s="41"/>
      <c r="E234" s="40"/>
      <c r="F234" s="87" t="str">
        <f>IF(tbl_estimated_costs_quantities[[#This Row],[House Code]]&lt;&gt;"",INDEX(tbl_Assessment[],MATCH(tbl_estimated_costs_quantities[[#This Row],[House Code]],tbl_Assessment[House Code],0),3),"")</f>
        <v/>
      </c>
      <c r="G234" s="115" t="str">
        <f>IF(tbl_estimated_costs_quantities[[#This Row],[House Code]]&lt;&gt;"",INDEX(tbl_Assessment[],MATCH(tbl_estimated_costs_quantities[[#This Row],[House Code]],tbl_Assessment[House Code],0),9),"")</f>
        <v/>
      </c>
      <c r="H23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4" s="75"/>
      <c r="J234" s="37"/>
      <c r="K234" s="86">
        <f>tbl_estimated_costs_quantities[[#This Row],[Site Preparation]]*BOQs!$L$3</f>
        <v>0</v>
      </c>
      <c r="L234" s="76"/>
      <c r="M234" s="37"/>
      <c r="N234" s="86">
        <f>tbl_estimated_costs_quantities[[#This Row],[Demolition Removal Unsafe Structures]]*BOQs!$L$4</f>
        <v>0</v>
      </c>
      <c r="O234" s="76"/>
      <c r="P234" s="37"/>
      <c r="Q234" s="86">
        <f>tbl_estimated_costs_quantities[[#This Row],[Concrete Works]]*BOQs!$L$5</f>
        <v>0</v>
      </c>
      <c r="R234" s="76"/>
      <c r="S234" s="37"/>
      <c r="T234" s="86">
        <f>tbl_estimated_costs_quantities[[#This Row],[Closure External Openings Walls Windows]]*BOQs!$L$6</f>
        <v>0</v>
      </c>
      <c r="U234" s="76"/>
      <c r="V234" s="37"/>
      <c r="W234" s="86">
        <f>tbl_estimated_costs_quantities[[#This Row],[Plastering Painting]]*BOQs!$L$7</f>
        <v>0</v>
      </c>
      <c r="X234" s="76"/>
      <c r="Y234" s="37"/>
      <c r="Z234" s="86">
        <f>tbl_estimated_costs_quantities[[#This Row],[Floor Repairs]]*BOQs!$L$8</f>
        <v>0</v>
      </c>
      <c r="AA234" s="76"/>
      <c r="AB234" s="37"/>
      <c r="AC234" s="86">
        <f>tbl_estimated_costs_quantities[[#This Row],[Doors Replacement Repair]]*BOQs!$L$9</f>
        <v>0</v>
      </c>
      <c r="AD234" s="76"/>
      <c r="AE234" s="37"/>
      <c r="AF234" s="86">
        <f>tbl_estimated_costs_quantities[[#This Row],[Windows Replacement Repair]]*BOQs!$L$10</f>
        <v>0</v>
      </c>
      <c r="AG234" s="76"/>
      <c r="AH234" s="37"/>
      <c r="AI234" s="86">
        <f>tbl_estimated_costs_quantities[[#This Row],[Bathroom Rehabilitation]]*BOQs!$L$11</f>
        <v>0</v>
      </c>
      <c r="AJ234" s="76"/>
      <c r="AK234" s="37"/>
      <c r="AL234" s="86">
        <f>tbl_estimated_costs_quantities[[#This Row],[Ceramic Tile Works WASH]]*BOQs!$L$12</f>
        <v>0</v>
      </c>
      <c r="AM234" s="76"/>
      <c r="AN234" s="37"/>
      <c r="AO234" s="86">
        <f>tbl_estimated_costs_quantities[[#This Row],[Electrical Repairs Lighting]]*BOQs!$L$13</f>
        <v>0</v>
      </c>
      <c r="AP234" s="76"/>
      <c r="AQ234" s="37"/>
      <c r="AR234" s="86">
        <f>tbl_estimated_costs_quantities[[#This Row],[Roof Insulation Leak Sealing]]*BOQs!$L$14</f>
        <v>0</v>
      </c>
      <c r="AS234" s="76"/>
      <c r="AT234" s="37"/>
      <c r="AU234" s="86">
        <f>tbl_estimated_costs_quantities[[#This Row],[Chimney Duct Cleaning Repair]]*BOQs!$L$15</f>
        <v>0</v>
      </c>
      <c r="AV234" s="76"/>
      <c r="AW234" s="37"/>
      <c r="AX234" s="89">
        <f>tbl_estimated_costs_quantities[[#This Row],[Accessibility Adaptations]]*BOQs!$L$16</f>
        <v>0</v>
      </c>
      <c r="AY234" s="86" t="str">
        <f>IF(tbl_estimated_costs_quantities[[#This Row],[Total cost]]&lt;&gt;0,tbl_estimated_costs_quantities[[#This Row],[Total cost]]/BOQs!$A$1,"")</f>
        <v/>
      </c>
      <c r="AZ234" s="37"/>
      <c r="BA234" s="37"/>
      <c r="BB234" s="37"/>
      <c r="BC234" s="37"/>
      <c r="BD234" s="41"/>
      <c r="BE234" s="37"/>
      <c r="BF234" s="37"/>
      <c r="BG234" s="37"/>
      <c r="BH234" s="41"/>
    </row>
    <row r="235" spans="2:60" ht="25.15" customHeight="1" x14ac:dyDescent="0.25">
      <c r="B235" s="49">
        <v>231</v>
      </c>
      <c r="C235" s="37"/>
      <c r="D235" s="41"/>
      <c r="E235" s="40"/>
      <c r="F235" s="87" t="str">
        <f>IF(tbl_estimated_costs_quantities[[#This Row],[House Code]]&lt;&gt;"",INDEX(tbl_Assessment[],MATCH(tbl_estimated_costs_quantities[[#This Row],[House Code]],tbl_Assessment[House Code],0),3),"")</f>
        <v/>
      </c>
      <c r="G235" s="115" t="str">
        <f>IF(tbl_estimated_costs_quantities[[#This Row],[House Code]]&lt;&gt;"",INDEX(tbl_Assessment[],MATCH(tbl_estimated_costs_quantities[[#This Row],[House Code]],tbl_Assessment[House Code],0),9),"")</f>
        <v/>
      </c>
      <c r="H23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5" s="75"/>
      <c r="J235" s="37"/>
      <c r="K235" s="86">
        <f>tbl_estimated_costs_quantities[[#This Row],[Site Preparation]]*BOQs!$L$3</f>
        <v>0</v>
      </c>
      <c r="L235" s="76"/>
      <c r="M235" s="37"/>
      <c r="N235" s="86">
        <f>tbl_estimated_costs_quantities[[#This Row],[Demolition Removal Unsafe Structures]]*BOQs!$L$4</f>
        <v>0</v>
      </c>
      <c r="O235" s="76"/>
      <c r="P235" s="37"/>
      <c r="Q235" s="86">
        <f>tbl_estimated_costs_quantities[[#This Row],[Concrete Works]]*BOQs!$L$5</f>
        <v>0</v>
      </c>
      <c r="R235" s="76"/>
      <c r="S235" s="37"/>
      <c r="T235" s="86">
        <f>tbl_estimated_costs_quantities[[#This Row],[Closure External Openings Walls Windows]]*BOQs!$L$6</f>
        <v>0</v>
      </c>
      <c r="U235" s="76"/>
      <c r="V235" s="37"/>
      <c r="W235" s="86">
        <f>tbl_estimated_costs_quantities[[#This Row],[Plastering Painting]]*BOQs!$L$7</f>
        <v>0</v>
      </c>
      <c r="X235" s="76"/>
      <c r="Y235" s="37"/>
      <c r="Z235" s="86">
        <f>tbl_estimated_costs_quantities[[#This Row],[Floor Repairs]]*BOQs!$L$8</f>
        <v>0</v>
      </c>
      <c r="AA235" s="76"/>
      <c r="AB235" s="37"/>
      <c r="AC235" s="86">
        <f>tbl_estimated_costs_quantities[[#This Row],[Doors Replacement Repair]]*BOQs!$L$9</f>
        <v>0</v>
      </c>
      <c r="AD235" s="76"/>
      <c r="AE235" s="37"/>
      <c r="AF235" s="86">
        <f>tbl_estimated_costs_quantities[[#This Row],[Windows Replacement Repair]]*BOQs!$L$10</f>
        <v>0</v>
      </c>
      <c r="AG235" s="76"/>
      <c r="AH235" s="37"/>
      <c r="AI235" s="86">
        <f>tbl_estimated_costs_quantities[[#This Row],[Bathroom Rehabilitation]]*BOQs!$L$11</f>
        <v>0</v>
      </c>
      <c r="AJ235" s="76"/>
      <c r="AK235" s="37"/>
      <c r="AL235" s="86">
        <f>tbl_estimated_costs_quantities[[#This Row],[Ceramic Tile Works WASH]]*BOQs!$L$12</f>
        <v>0</v>
      </c>
      <c r="AM235" s="76"/>
      <c r="AN235" s="37"/>
      <c r="AO235" s="86">
        <f>tbl_estimated_costs_quantities[[#This Row],[Electrical Repairs Lighting]]*BOQs!$L$13</f>
        <v>0</v>
      </c>
      <c r="AP235" s="76"/>
      <c r="AQ235" s="37"/>
      <c r="AR235" s="86">
        <f>tbl_estimated_costs_quantities[[#This Row],[Roof Insulation Leak Sealing]]*BOQs!$L$14</f>
        <v>0</v>
      </c>
      <c r="AS235" s="76"/>
      <c r="AT235" s="37"/>
      <c r="AU235" s="86">
        <f>tbl_estimated_costs_quantities[[#This Row],[Chimney Duct Cleaning Repair]]*BOQs!$L$15</f>
        <v>0</v>
      </c>
      <c r="AV235" s="76"/>
      <c r="AW235" s="37"/>
      <c r="AX235" s="89">
        <f>tbl_estimated_costs_quantities[[#This Row],[Accessibility Adaptations]]*BOQs!$L$16</f>
        <v>0</v>
      </c>
      <c r="AY235" s="86" t="str">
        <f>IF(tbl_estimated_costs_quantities[[#This Row],[Total cost]]&lt;&gt;0,tbl_estimated_costs_quantities[[#This Row],[Total cost]]/BOQs!$A$1,"")</f>
        <v/>
      </c>
      <c r="AZ235" s="37"/>
      <c r="BA235" s="37"/>
      <c r="BB235" s="37"/>
      <c r="BC235" s="37"/>
      <c r="BD235" s="41"/>
      <c r="BE235" s="37"/>
      <c r="BF235" s="37"/>
      <c r="BG235" s="37"/>
      <c r="BH235" s="41"/>
    </row>
    <row r="236" spans="2:60" ht="25.15" customHeight="1" x14ac:dyDescent="0.25">
      <c r="B236" s="49">
        <v>232</v>
      </c>
      <c r="C236" s="37"/>
      <c r="D236" s="41"/>
      <c r="E236" s="40"/>
      <c r="F236" s="87" t="str">
        <f>IF(tbl_estimated_costs_quantities[[#This Row],[House Code]]&lt;&gt;"",INDEX(tbl_Assessment[],MATCH(tbl_estimated_costs_quantities[[#This Row],[House Code]],tbl_Assessment[House Code],0),3),"")</f>
        <v/>
      </c>
      <c r="G236" s="115" t="str">
        <f>IF(tbl_estimated_costs_quantities[[#This Row],[House Code]]&lt;&gt;"",INDEX(tbl_Assessment[],MATCH(tbl_estimated_costs_quantities[[#This Row],[House Code]],tbl_Assessment[House Code],0),9),"")</f>
        <v/>
      </c>
      <c r="H23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6" s="75"/>
      <c r="J236" s="37"/>
      <c r="K236" s="86">
        <f>tbl_estimated_costs_quantities[[#This Row],[Site Preparation]]*BOQs!$L$3</f>
        <v>0</v>
      </c>
      <c r="L236" s="76"/>
      <c r="M236" s="37"/>
      <c r="N236" s="86">
        <f>tbl_estimated_costs_quantities[[#This Row],[Demolition Removal Unsafe Structures]]*BOQs!$L$4</f>
        <v>0</v>
      </c>
      <c r="O236" s="76"/>
      <c r="P236" s="37"/>
      <c r="Q236" s="86">
        <f>tbl_estimated_costs_quantities[[#This Row],[Concrete Works]]*BOQs!$L$5</f>
        <v>0</v>
      </c>
      <c r="R236" s="76"/>
      <c r="S236" s="37"/>
      <c r="T236" s="86">
        <f>tbl_estimated_costs_quantities[[#This Row],[Closure External Openings Walls Windows]]*BOQs!$L$6</f>
        <v>0</v>
      </c>
      <c r="U236" s="76"/>
      <c r="V236" s="37"/>
      <c r="W236" s="86">
        <f>tbl_estimated_costs_quantities[[#This Row],[Plastering Painting]]*BOQs!$L$7</f>
        <v>0</v>
      </c>
      <c r="X236" s="76"/>
      <c r="Y236" s="37"/>
      <c r="Z236" s="86">
        <f>tbl_estimated_costs_quantities[[#This Row],[Floor Repairs]]*BOQs!$L$8</f>
        <v>0</v>
      </c>
      <c r="AA236" s="76"/>
      <c r="AB236" s="37"/>
      <c r="AC236" s="86">
        <f>tbl_estimated_costs_quantities[[#This Row],[Doors Replacement Repair]]*BOQs!$L$9</f>
        <v>0</v>
      </c>
      <c r="AD236" s="76"/>
      <c r="AE236" s="37"/>
      <c r="AF236" s="86">
        <f>tbl_estimated_costs_quantities[[#This Row],[Windows Replacement Repair]]*BOQs!$L$10</f>
        <v>0</v>
      </c>
      <c r="AG236" s="76"/>
      <c r="AH236" s="37"/>
      <c r="AI236" s="86">
        <f>tbl_estimated_costs_quantities[[#This Row],[Bathroom Rehabilitation]]*BOQs!$L$11</f>
        <v>0</v>
      </c>
      <c r="AJ236" s="76"/>
      <c r="AK236" s="37"/>
      <c r="AL236" s="86">
        <f>tbl_estimated_costs_quantities[[#This Row],[Ceramic Tile Works WASH]]*BOQs!$L$12</f>
        <v>0</v>
      </c>
      <c r="AM236" s="76"/>
      <c r="AN236" s="37"/>
      <c r="AO236" s="86">
        <f>tbl_estimated_costs_quantities[[#This Row],[Electrical Repairs Lighting]]*BOQs!$L$13</f>
        <v>0</v>
      </c>
      <c r="AP236" s="76"/>
      <c r="AQ236" s="37"/>
      <c r="AR236" s="86">
        <f>tbl_estimated_costs_quantities[[#This Row],[Roof Insulation Leak Sealing]]*BOQs!$L$14</f>
        <v>0</v>
      </c>
      <c r="AS236" s="76"/>
      <c r="AT236" s="37"/>
      <c r="AU236" s="86">
        <f>tbl_estimated_costs_quantities[[#This Row],[Chimney Duct Cleaning Repair]]*BOQs!$L$15</f>
        <v>0</v>
      </c>
      <c r="AV236" s="76"/>
      <c r="AW236" s="37"/>
      <c r="AX236" s="89">
        <f>tbl_estimated_costs_quantities[[#This Row],[Accessibility Adaptations]]*BOQs!$L$16</f>
        <v>0</v>
      </c>
      <c r="AY236" s="86" t="str">
        <f>IF(tbl_estimated_costs_quantities[[#This Row],[Total cost]]&lt;&gt;0,tbl_estimated_costs_quantities[[#This Row],[Total cost]]/BOQs!$A$1,"")</f>
        <v/>
      </c>
      <c r="AZ236" s="37"/>
      <c r="BA236" s="37"/>
      <c r="BB236" s="37"/>
      <c r="BC236" s="37"/>
      <c r="BD236" s="41"/>
      <c r="BE236" s="37"/>
      <c r="BF236" s="37"/>
      <c r="BG236" s="37"/>
      <c r="BH236" s="41"/>
    </row>
    <row r="237" spans="2:60" ht="25.15" customHeight="1" x14ac:dyDescent="0.25">
      <c r="B237" s="49">
        <v>233</v>
      </c>
      <c r="C237" s="37"/>
      <c r="D237" s="41"/>
      <c r="E237" s="40"/>
      <c r="F237" s="87" t="str">
        <f>IF(tbl_estimated_costs_quantities[[#This Row],[House Code]]&lt;&gt;"",INDEX(tbl_Assessment[],MATCH(tbl_estimated_costs_quantities[[#This Row],[House Code]],tbl_Assessment[House Code],0),3),"")</f>
        <v/>
      </c>
      <c r="G237" s="115" t="str">
        <f>IF(tbl_estimated_costs_quantities[[#This Row],[House Code]]&lt;&gt;"",INDEX(tbl_Assessment[],MATCH(tbl_estimated_costs_quantities[[#This Row],[House Code]],tbl_Assessment[House Code],0),9),"")</f>
        <v/>
      </c>
      <c r="H23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7" s="75"/>
      <c r="J237" s="37"/>
      <c r="K237" s="86">
        <f>tbl_estimated_costs_quantities[[#This Row],[Site Preparation]]*BOQs!$L$3</f>
        <v>0</v>
      </c>
      <c r="L237" s="76"/>
      <c r="M237" s="37"/>
      <c r="N237" s="86">
        <f>tbl_estimated_costs_quantities[[#This Row],[Demolition Removal Unsafe Structures]]*BOQs!$L$4</f>
        <v>0</v>
      </c>
      <c r="O237" s="76"/>
      <c r="P237" s="37"/>
      <c r="Q237" s="86">
        <f>tbl_estimated_costs_quantities[[#This Row],[Concrete Works]]*BOQs!$L$5</f>
        <v>0</v>
      </c>
      <c r="R237" s="76"/>
      <c r="S237" s="37"/>
      <c r="T237" s="86">
        <f>tbl_estimated_costs_quantities[[#This Row],[Closure External Openings Walls Windows]]*BOQs!$L$6</f>
        <v>0</v>
      </c>
      <c r="U237" s="76"/>
      <c r="V237" s="37"/>
      <c r="W237" s="86">
        <f>tbl_estimated_costs_quantities[[#This Row],[Plastering Painting]]*BOQs!$L$7</f>
        <v>0</v>
      </c>
      <c r="X237" s="76"/>
      <c r="Y237" s="37"/>
      <c r="Z237" s="86">
        <f>tbl_estimated_costs_quantities[[#This Row],[Floor Repairs]]*BOQs!$L$8</f>
        <v>0</v>
      </c>
      <c r="AA237" s="76"/>
      <c r="AB237" s="37"/>
      <c r="AC237" s="86">
        <f>tbl_estimated_costs_quantities[[#This Row],[Doors Replacement Repair]]*BOQs!$L$9</f>
        <v>0</v>
      </c>
      <c r="AD237" s="76"/>
      <c r="AE237" s="37"/>
      <c r="AF237" s="86">
        <f>tbl_estimated_costs_quantities[[#This Row],[Windows Replacement Repair]]*BOQs!$L$10</f>
        <v>0</v>
      </c>
      <c r="AG237" s="76"/>
      <c r="AH237" s="37"/>
      <c r="AI237" s="86">
        <f>tbl_estimated_costs_quantities[[#This Row],[Bathroom Rehabilitation]]*BOQs!$L$11</f>
        <v>0</v>
      </c>
      <c r="AJ237" s="76"/>
      <c r="AK237" s="37"/>
      <c r="AL237" s="86">
        <f>tbl_estimated_costs_quantities[[#This Row],[Ceramic Tile Works WASH]]*BOQs!$L$12</f>
        <v>0</v>
      </c>
      <c r="AM237" s="76"/>
      <c r="AN237" s="37"/>
      <c r="AO237" s="86">
        <f>tbl_estimated_costs_quantities[[#This Row],[Electrical Repairs Lighting]]*BOQs!$L$13</f>
        <v>0</v>
      </c>
      <c r="AP237" s="76"/>
      <c r="AQ237" s="37"/>
      <c r="AR237" s="86">
        <f>tbl_estimated_costs_quantities[[#This Row],[Roof Insulation Leak Sealing]]*BOQs!$L$14</f>
        <v>0</v>
      </c>
      <c r="AS237" s="76"/>
      <c r="AT237" s="37"/>
      <c r="AU237" s="86">
        <f>tbl_estimated_costs_quantities[[#This Row],[Chimney Duct Cleaning Repair]]*BOQs!$L$15</f>
        <v>0</v>
      </c>
      <c r="AV237" s="76"/>
      <c r="AW237" s="37"/>
      <c r="AX237" s="89">
        <f>tbl_estimated_costs_quantities[[#This Row],[Accessibility Adaptations]]*BOQs!$L$16</f>
        <v>0</v>
      </c>
      <c r="AY237" s="86" t="str">
        <f>IF(tbl_estimated_costs_quantities[[#This Row],[Total cost]]&lt;&gt;0,tbl_estimated_costs_quantities[[#This Row],[Total cost]]/BOQs!$A$1,"")</f>
        <v/>
      </c>
      <c r="AZ237" s="37"/>
      <c r="BA237" s="37"/>
      <c r="BB237" s="37"/>
      <c r="BC237" s="37"/>
      <c r="BD237" s="41"/>
      <c r="BE237" s="37"/>
      <c r="BF237" s="37"/>
      <c r="BG237" s="37"/>
      <c r="BH237" s="41"/>
    </row>
    <row r="238" spans="2:60" ht="25.15" customHeight="1" x14ac:dyDescent="0.25">
      <c r="B238" s="49">
        <v>234</v>
      </c>
      <c r="C238" s="37"/>
      <c r="D238" s="41"/>
      <c r="E238" s="40"/>
      <c r="F238" s="87" t="str">
        <f>IF(tbl_estimated_costs_quantities[[#This Row],[House Code]]&lt;&gt;"",INDEX(tbl_Assessment[],MATCH(tbl_estimated_costs_quantities[[#This Row],[House Code]],tbl_Assessment[House Code],0),3),"")</f>
        <v/>
      </c>
      <c r="G238" s="115" t="str">
        <f>IF(tbl_estimated_costs_quantities[[#This Row],[House Code]]&lt;&gt;"",INDEX(tbl_Assessment[],MATCH(tbl_estimated_costs_quantities[[#This Row],[House Code]],tbl_Assessment[House Code],0),9),"")</f>
        <v/>
      </c>
      <c r="H23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8" s="75"/>
      <c r="J238" s="37"/>
      <c r="K238" s="86">
        <f>tbl_estimated_costs_quantities[[#This Row],[Site Preparation]]*BOQs!$L$3</f>
        <v>0</v>
      </c>
      <c r="L238" s="76"/>
      <c r="M238" s="37"/>
      <c r="N238" s="86">
        <f>tbl_estimated_costs_quantities[[#This Row],[Demolition Removal Unsafe Structures]]*BOQs!$L$4</f>
        <v>0</v>
      </c>
      <c r="O238" s="76"/>
      <c r="P238" s="37"/>
      <c r="Q238" s="86">
        <f>tbl_estimated_costs_quantities[[#This Row],[Concrete Works]]*BOQs!$L$5</f>
        <v>0</v>
      </c>
      <c r="R238" s="76"/>
      <c r="S238" s="37"/>
      <c r="T238" s="86">
        <f>tbl_estimated_costs_quantities[[#This Row],[Closure External Openings Walls Windows]]*BOQs!$L$6</f>
        <v>0</v>
      </c>
      <c r="U238" s="76"/>
      <c r="V238" s="37"/>
      <c r="W238" s="86">
        <f>tbl_estimated_costs_quantities[[#This Row],[Plastering Painting]]*BOQs!$L$7</f>
        <v>0</v>
      </c>
      <c r="X238" s="76"/>
      <c r="Y238" s="37"/>
      <c r="Z238" s="86">
        <f>tbl_estimated_costs_quantities[[#This Row],[Floor Repairs]]*BOQs!$L$8</f>
        <v>0</v>
      </c>
      <c r="AA238" s="76"/>
      <c r="AB238" s="37"/>
      <c r="AC238" s="86">
        <f>tbl_estimated_costs_quantities[[#This Row],[Doors Replacement Repair]]*BOQs!$L$9</f>
        <v>0</v>
      </c>
      <c r="AD238" s="76"/>
      <c r="AE238" s="37"/>
      <c r="AF238" s="86">
        <f>tbl_estimated_costs_quantities[[#This Row],[Windows Replacement Repair]]*BOQs!$L$10</f>
        <v>0</v>
      </c>
      <c r="AG238" s="76"/>
      <c r="AH238" s="37"/>
      <c r="AI238" s="86">
        <f>tbl_estimated_costs_quantities[[#This Row],[Bathroom Rehabilitation]]*BOQs!$L$11</f>
        <v>0</v>
      </c>
      <c r="AJ238" s="76"/>
      <c r="AK238" s="37"/>
      <c r="AL238" s="86">
        <f>tbl_estimated_costs_quantities[[#This Row],[Ceramic Tile Works WASH]]*BOQs!$L$12</f>
        <v>0</v>
      </c>
      <c r="AM238" s="76"/>
      <c r="AN238" s="37"/>
      <c r="AO238" s="86">
        <f>tbl_estimated_costs_quantities[[#This Row],[Electrical Repairs Lighting]]*BOQs!$L$13</f>
        <v>0</v>
      </c>
      <c r="AP238" s="76"/>
      <c r="AQ238" s="37"/>
      <c r="AR238" s="86">
        <f>tbl_estimated_costs_quantities[[#This Row],[Roof Insulation Leak Sealing]]*BOQs!$L$14</f>
        <v>0</v>
      </c>
      <c r="AS238" s="76"/>
      <c r="AT238" s="37"/>
      <c r="AU238" s="86">
        <f>tbl_estimated_costs_quantities[[#This Row],[Chimney Duct Cleaning Repair]]*BOQs!$L$15</f>
        <v>0</v>
      </c>
      <c r="AV238" s="76"/>
      <c r="AW238" s="37"/>
      <c r="AX238" s="89">
        <f>tbl_estimated_costs_quantities[[#This Row],[Accessibility Adaptations]]*BOQs!$L$16</f>
        <v>0</v>
      </c>
      <c r="AY238" s="86" t="str">
        <f>IF(tbl_estimated_costs_quantities[[#This Row],[Total cost]]&lt;&gt;0,tbl_estimated_costs_quantities[[#This Row],[Total cost]]/BOQs!$A$1,"")</f>
        <v/>
      </c>
      <c r="AZ238" s="37"/>
      <c r="BA238" s="37"/>
      <c r="BB238" s="37"/>
      <c r="BC238" s="37"/>
      <c r="BD238" s="41"/>
      <c r="BE238" s="37"/>
      <c r="BF238" s="37"/>
      <c r="BG238" s="37"/>
      <c r="BH238" s="41"/>
    </row>
    <row r="239" spans="2:60" ht="25.15" customHeight="1" x14ac:dyDescent="0.25">
      <c r="B239" s="49">
        <v>235</v>
      </c>
      <c r="C239" s="37"/>
      <c r="D239" s="41"/>
      <c r="E239" s="40"/>
      <c r="F239" s="87" t="str">
        <f>IF(tbl_estimated_costs_quantities[[#This Row],[House Code]]&lt;&gt;"",INDEX(tbl_Assessment[],MATCH(tbl_estimated_costs_quantities[[#This Row],[House Code]],tbl_Assessment[House Code],0),3),"")</f>
        <v/>
      </c>
      <c r="G239" s="115" t="str">
        <f>IF(tbl_estimated_costs_quantities[[#This Row],[House Code]]&lt;&gt;"",INDEX(tbl_Assessment[],MATCH(tbl_estimated_costs_quantities[[#This Row],[House Code]],tbl_Assessment[House Code],0),9),"")</f>
        <v/>
      </c>
      <c r="H23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39" s="75"/>
      <c r="J239" s="37"/>
      <c r="K239" s="86">
        <f>tbl_estimated_costs_quantities[[#This Row],[Site Preparation]]*BOQs!$L$3</f>
        <v>0</v>
      </c>
      <c r="L239" s="76"/>
      <c r="M239" s="37"/>
      <c r="N239" s="86">
        <f>tbl_estimated_costs_quantities[[#This Row],[Demolition Removal Unsafe Structures]]*BOQs!$L$4</f>
        <v>0</v>
      </c>
      <c r="O239" s="76"/>
      <c r="P239" s="37"/>
      <c r="Q239" s="86">
        <f>tbl_estimated_costs_quantities[[#This Row],[Concrete Works]]*BOQs!$L$5</f>
        <v>0</v>
      </c>
      <c r="R239" s="76"/>
      <c r="S239" s="37"/>
      <c r="T239" s="86">
        <f>tbl_estimated_costs_quantities[[#This Row],[Closure External Openings Walls Windows]]*BOQs!$L$6</f>
        <v>0</v>
      </c>
      <c r="U239" s="76"/>
      <c r="V239" s="37"/>
      <c r="W239" s="86">
        <f>tbl_estimated_costs_quantities[[#This Row],[Plastering Painting]]*BOQs!$L$7</f>
        <v>0</v>
      </c>
      <c r="X239" s="76"/>
      <c r="Y239" s="37"/>
      <c r="Z239" s="86">
        <f>tbl_estimated_costs_quantities[[#This Row],[Floor Repairs]]*BOQs!$L$8</f>
        <v>0</v>
      </c>
      <c r="AA239" s="76"/>
      <c r="AB239" s="37"/>
      <c r="AC239" s="86">
        <f>tbl_estimated_costs_quantities[[#This Row],[Doors Replacement Repair]]*BOQs!$L$9</f>
        <v>0</v>
      </c>
      <c r="AD239" s="76"/>
      <c r="AE239" s="37"/>
      <c r="AF239" s="86">
        <f>tbl_estimated_costs_quantities[[#This Row],[Windows Replacement Repair]]*BOQs!$L$10</f>
        <v>0</v>
      </c>
      <c r="AG239" s="76"/>
      <c r="AH239" s="37"/>
      <c r="AI239" s="86">
        <f>tbl_estimated_costs_quantities[[#This Row],[Bathroom Rehabilitation]]*BOQs!$L$11</f>
        <v>0</v>
      </c>
      <c r="AJ239" s="76"/>
      <c r="AK239" s="37"/>
      <c r="AL239" s="86">
        <f>tbl_estimated_costs_quantities[[#This Row],[Ceramic Tile Works WASH]]*BOQs!$L$12</f>
        <v>0</v>
      </c>
      <c r="AM239" s="76"/>
      <c r="AN239" s="37"/>
      <c r="AO239" s="86">
        <f>tbl_estimated_costs_quantities[[#This Row],[Electrical Repairs Lighting]]*BOQs!$L$13</f>
        <v>0</v>
      </c>
      <c r="AP239" s="76"/>
      <c r="AQ239" s="37"/>
      <c r="AR239" s="86">
        <f>tbl_estimated_costs_quantities[[#This Row],[Roof Insulation Leak Sealing]]*BOQs!$L$14</f>
        <v>0</v>
      </c>
      <c r="AS239" s="76"/>
      <c r="AT239" s="37"/>
      <c r="AU239" s="86">
        <f>tbl_estimated_costs_quantities[[#This Row],[Chimney Duct Cleaning Repair]]*BOQs!$L$15</f>
        <v>0</v>
      </c>
      <c r="AV239" s="76"/>
      <c r="AW239" s="37"/>
      <c r="AX239" s="89">
        <f>tbl_estimated_costs_quantities[[#This Row],[Accessibility Adaptations]]*BOQs!$L$16</f>
        <v>0</v>
      </c>
      <c r="AY239" s="86" t="str">
        <f>IF(tbl_estimated_costs_quantities[[#This Row],[Total cost]]&lt;&gt;0,tbl_estimated_costs_quantities[[#This Row],[Total cost]]/BOQs!$A$1,"")</f>
        <v/>
      </c>
      <c r="AZ239" s="37"/>
      <c r="BA239" s="37"/>
      <c r="BB239" s="37"/>
      <c r="BC239" s="37"/>
      <c r="BD239" s="41"/>
      <c r="BE239" s="37"/>
      <c r="BF239" s="37"/>
      <c r="BG239" s="37"/>
      <c r="BH239" s="41"/>
    </row>
    <row r="240" spans="2:60" ht="25.15" customHeight="1" x14ac:dyDescent="0.25">
      <c r="B240" s="49">
        <v>236</v>
      </c>
      <c r="C240" s="37"/>
      <c r="D240" s="41"/>
      <c r="E240" s="40"/>
      <c r="F240" s="87" t="str">
        <f>IF(tbl_estimated_costs_quantities[[#This Row],[House Code]]&lt;&gt;"",INDEX(tbl_Assessment[],MATCH(tbl_estimated_costs_quantities[[#This Row],[House Code]],tbl_Assessment[House Code],0),3),"")</f>
        <v/>
      </c>
      <c r="G240" s="115" t="str">
        <f>IF(tbl_estimated_costs_quantities[[#This Row],[House Code]]&lt;&gt;"",INDEX(tbl_Assessment[],MATCH(tbl_estimated_costs_quantities[[#This Row],[House Code]],tbl_Assessment[House Code],0),9),"")</f>
        <v/>
      </c>
      <c r="H24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0" s="75"/>
      <c r="J240" s="37"/>
      <c r="K240" s="86">
        <f>tbl_estimated_costs_quantities[[#This Row],[Site Preparation]]*BOQs!$L$3</f>
        <v>0</v>
      </c>
      <c r="L240" s="76"/>
      <c r="M240" s="37"/>
      <c r="N240" s="86">
        <f>tbl_estimated_costs_quantities[[#This Row],[Demolition Removal Unsafe Structures]]*BOQs!$L$4</f>
        <v>0</v>
      </c>
      <c r="O240" s="76"/>
      <c r="P240" s="37"/>
      <c r="Q240" s="86">
        <f>tbl_estimated_costs_quantities[[#This Row],[Concrete Works]]*BOQs!$L$5</f>
        <v>0</v>
      </c>
      <c r="R240" s="76"/>
      <c r="S240" s="37"/>
      <c r="T240" s="86">
        <f>tbl_estimated_costs_quantities[[#This Row],[Closure External Openings Walls Windows]]*BOQs!$L$6</f>
        <v>0</v>
      </c>
      <c r="U240" s="76"/>
      <c r="V240" s="37"/>
      <c r="W240" s="86">
        <f>tbl_estimated_costs_quantities[[#This Row],[Plastering Painting]]*BOQs!$L$7</f>
        <v>0</v>
      </c>
      <c r="X240" s="76"/>
      <c r="Y240" s="37"/>
      <c r="Z240" s="86">
        <f>tbl_estimated_costs_quantities[[#This Row],[Floor Repairs]]*BOQs!$L$8</f>
        <v>0</v>
      </c>
      <c r="AA240" s="76"/>
      <c r="AB240" s="37"/>
      <c r="AC240" s="86">
        <f>tbl_estimated_costs_quantities[[#This Row],[Doors Replacement Repair]]*BOQs!$L$9</f>
        <v>0</v>
      </c>
      <c r="AD240" s="76"/>
      <c r="AE240" s="37"/>
      <c r="AF240" s="86">
        <f>tbl_estimated_costs_quantities[[#This Row],[Windows Replacement Repair]]*BOQs!$L$10</f>
        <v>0</v>
      </c>
      <c r="AG240" s="76"/>
      <c r="AH240" s="37"/>
      <c r="AI240" s="86">
        <f>tbl_estimated_costs_quantities[[#This Row],[Bathroom Rehabilitation]]*BOQs!$L$11</f>
        <v>0</v>
      </c>
      <c r="AJ240" s="76"/>
      <c r="AK240" s="37"/>
      <c r="AL240" s="86">
        <f>tbl_estimated_costs_quantities[[#This Row],[Ceramic Tile Works WASH]]*BOQs!$L$12</f>
        <v>0</v>
      </c>
      <c r="AM240" s="76"/>
      <c r="AN240" s="37"/>
      <c r="AO240" s="86">
        <f>tbl_estimated_costs_quantities[[#This Row],[Electrical Repairs Lighting]]*BOQs!$L$13</f>
        <v>0</v>
      </c>
      <c r="AP240" s="76"/>
      <c r="AQ240" s="37"/>
      <c r="AR240" s="86">
        <f>tbl_estimated_costs_quantities[[#This Row],[Roof Insulation Leak Sealing]]*BOQs!$L$14</f>
        <v>0</v>
      </c>
      <c r="AS240" s="76"/>
      <c r="AT240" s="37"/>
      <c r="AU240" s="86">
        <f>tbl_estimated_costs_quantities[[#This Row],[Chimney Duct Cleaning Repair]]*BOQs!$L$15</f>
        <v>0</v>
      </c>
      <c r="AV240" s="76"/>
      <c r="AW240" s="37"/>
      <c r="AX240" s="89">
        <f>tbl_estimated_costs_quantities[[#This Row],[Accessibility Adaptations]]*BOQs!$L$16</f>
        <v>0</v>
      </c>
      <c r="AY240" s="86" t="str">
        <f>IF(tbl_estimated_costs_quantities[[#This Row],[Total cost]]&lt;&gt;0,tbl_estimated_costs_quantities[[#This Row],[Total cost]]/BOQs!$A$1,"")</f>
        <v/>
      </c>
      <c r="AZ240" s="37"/>
      <c r="BA240" s="37"/>
      <c r="BB240" s="37"/>
      <c r="BC240" s="37"/>
      <c r="BD240" s="41"/>
      <c r="BE240" s="37"/>
      <c r="BF240" s="37"/>
      <c r="BG240" s="37"/>
      <c r="BH240" s="41"/>
    </row>
    <row r="241" spans="2:60" ht="25.15" customHeight="1" x14ac:dyDescent="0.25">
      <c r="B241" s="49">
        <v>237</v>
      </c>
      <c r="C241" s="37"/>
      <c r="D241" s="41"/>
      <c r="E241" s="40"/>
      <c r="F241" s="87" t="str">
        <f>IF(tbl_estimated_costs_quantities[[#This Row],[House Code]]&lt;&gt;"",INDEX(tbl_Assessment[],MATCH(tbl_estimated_costs_quantities[[#This Row],[House Code]],tbl_Assessment[House Code],0),3),"")</f>
        <v/>
      </c>
      <c r="G241" s="115" t="str">
        <f>IF(tbl_estimated_costs_quantities[[#This Row],[House Code]]&lt;&gt;"",INDEX(tbl_Assessment[],MATCH(tbl_estimated_costs_quantities[[#This Row],[House Code]],tbl_Assessment[House Code],0),9),"")</f>
        <v/>
      </c>
      <c r="H24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1" s="75"/>
      <c r="J241" s="37"/>
      <c r="K241" s="86">
        <f>tbl_estimated_costs_quantities[[#This Row],[Site Preparation]]*BOQs!$L$3</f>
        <v>0</v>
      </c>
      <c r="L241" s="76"/>
      <c r="M241" s="37"/>
      <c r="N241" s="86">
        <f>tbl_estimated_costs_quantities[[#This Row],[Demolition Removal Unsafe Structures]]*BOQs!$L$4</f>
        <v>0</v>
      </c>
      <c r="O241" s="76"/>
      <c r="P241" s="37"/>
      <c r="Q241" s="86">
        <f>tbl_estimated_costs_quantities[[#This Row],[Concrete Works]]*BOQs!$L$5</f>
        <v>0</v>
      </c>
      <c r="R241" s="76"/>
      <c r="S241" s="37"/>
      <c r="T241" s="86">
        <f>tbl_estimated_costs_quantities[[#This Row],[Closure External Openings Walls Windows]]*BOQs!$L$6</f>
        <v>0</v>
      </c>
      <c r="U241" s="76"/>
      <c r="V241" s="37"/>
      <c r="W241" s="86">
        <f>tbl_estimated_costs_quantities[[#This Row],[Plastering Painting]]*BOQs!$L$7</f>
        <v>0</v>
      </c>
      <c r="X241" s="76"/>
      <c r="Y241" s="37"/>
      <c r="Z241" s="86">
        <f>tbl_estimated_costs_quantities[[#This Row],[Floor Repairs]]*BOQs!$L$8</f>
        <v>0</v>
      </c>
      <c r="AA241" s="76"/>
      <c r="AB241" s="37"/>
      <c r="AC241" s="86">
        <f>tbl_estimated_costs_quantities[[#This Row],[Doors Replacement Repair]]*BOQs!$L$9</f>
        <v>0</v>
      </c>
      <c r="AD241" s="76"/>
      <c r="AE241" s="37"/>
      <c r="AF241" s="86">
        <f>tbl_estimated_costs_quantities[[#This Row],[Windows Replacement Repair]]*BOQs!$L$10</f>
        <v>0</v>
      </c>
      <c r="AG241" s="76"/>
      <c r="AH241" s="37"/>
      <c r="AI241" s="86">
        <f>tbl_estimated_costs_quantities[[#This Row],[Bathroom Rehabilitation]]*BOQs!$L$11</f>
        <v>0</v>
      </c>
      <c r="AJ241" s="76"/>
      <c r="AK241" s="37"/>
      <c r="AL241" s="86">
        <f>tbl_estimated_costs_quantities[[#This Row],[Ceramic Tile Works WASH]]*BOQs!$L$12</f>
        <v>0</v>
      </c>
      <c r="AM241" s="76"/>
      <c r="AN241" s="37"/>
      <c r="AO241" s="86">
        <f>tbl_estimated_costs_quantities[[#This Row],[Electrical Repairs Lighting]]*BOQs!$L$13</f>
        <v>0</v>
      </c>
      <c r="AP241" s="76"/>
      <c r="AQ241" s="37"/>
      <c r="AR241" s="86">
        <f>tbl_estimated_costs_quantities[[#This Row],[Roof Insulation Leak Sealing]]*BOQs!$L$14</f>
        <v>0</v>
      </c>
      <c r="AS241" s="76"/>
      <c r="AT241" s="37"/>
      <c r="AU241" s="86">
        <f>tbl_estimated_costs_quantities[[#This Row],[Chimney Duct Cleaning Repair]]*BOQs!$L$15</f>
        <v>0</v>
      </c>
      <c r="AV241" s="76"/>
      <c r="AW241" s="37"/>
      <c r="AX241" s="89">
        <f>tbl_estimated_costs_quantities[[#This Row],[Accessibility Adaptations]]*BOQs!$L$16</f>
        <v>0</v>
      </c>
      <c r="AY241" s="86" t="str">
        <f>IF(tbl_estimated_costs_quantities[[#This Row],[Total cost]]&lt;&gt;0,tbl_estimated_costs_quantities[[#This Row],[Total cost]]/BOQs!$A$1,"")</f>
        <v/>
      </c>
      <c r="AZ241" s="37"/>
      <c r="BA241" s="37"/>
      <c r="BB241" s="37"/>
      <c r="BC241" s="37"/>
      <c r="BD241" s="41"/>
      <c r="BE241" s="37"/>
      <c r="BF241" s="37"/>
      <c r="BG241" s="37"/>
      <c r="BH241" s="41"/>
    </row>
    <row r="242" spans="2:60" ht="25.15" customHeight="1" x14ac:dyDescent="0.25">
      <c r="B242" s="49">
        <v>238</v>
      </c>
      <c r="C242" s="37"/>
      <c r="D242" s="41"/>
      <c r="E242" s="40"/>
      <c r="F242" s="87" t="str">
        <f>IF(tbl_estimated_costs_quantities[[#This Row],[House Code]]&lt;&gt;"",INDEX(tbl_Assessment[],MATCH(tbl_estimated_costs_quantities[[#This Row],[House Code]],tbl_Assessment[House Code],0),3),"")</f>
        <v/>
      </c>
      <c r="G242" s="115" t="str">
        <f>IF(tbl_estimated_costs_quantities[[#This Row],[House Code]]&lt;&gt;"",INDEX(tbl_Assessment[],MATCH(tbl_estimated_costs_quantities[[#This Row],[House Code]],tbl_Assessment[House Code],0),9),"")</f>
        <v/>
      </c>
      <c r="H24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2" s="75"/>
      <c r="J242" s="37"/>
      <c r="K242" s="86">
        <f>tbl_estimated_costs_quantities[[#This Row],[Site Preparation]]*BOQs!$L$3</f>
        <v>0</v>
      </c>
      <c r="L242" s="76"/>
      <c r="M242" s="37"/>
      <c r="N242" s="86">
        <f>tbl_estimated_costs_quantities[[#This Row],[Demolition Removal Unsafe Structures]]*BOQs!$L$4</f>
        <v>0</v>
      </c>
      <c r="O242" s="76"/>
      <c r="P242" s="37"/>
      <c r="Q242" s="86">
        <f>tbl_estimated_costs_quantities[[#This Row],[Concrete Works]]*BOQs!$L$5</f>
        <v>0</v>
      </c>
      <c r="R242" s="76"/>
      <c r="S242" s="37"/>
      <c r="T242" s="86">
        <f>tbl_estimated_costs_quantities[[#This Row],[Closure External Openings Walls Windows]]*BOQs!$L$6</f>
        <v>0</v>
      </c>
      <c r="U242" s="76"/>
      <c r="V242" s="37"/>
      <c r="W242" s="86">
        <f>tbl_estimated_costs_quantities[[#This Row],[Plastering Painting]]*BOQs!$L$7</f>
        <v>0</v>
      </c>
      <c r="X242" s="76"/>
      <c r="Y242" s="37"/>
      <c r="Z242" s="86">
        <f>tbl_estimated_costs_quantities[[#This Row],[Floor Repairs]]*BOQs!$L$8</f>
        <v>0</v>
      </c>
      <c r="AA242" s="76"/>
      <c r="AB242" s="37"/>
      <c r="AC242" s="86">
        <f>tbl_estimated_costs_quantities[[#This Row],[Doors Replacement Repair]]*BOQs!$L$9</f>
        <v>0</v>
      </c>
      <c r="AD242" s="76"/>
      <c r="AE242" s="37"/>
      <c r="AF242" s="86">
        <f>tbl_estimated_costs_quantities[[#This Row],[Windows Replacement Repair]]*BOQs!$L$10</f>
        <v>0</v>
      </c>
      <c r="AG242" s="76"/>
      <c r="AH242" s="37"/>
      <c r="AI242" s="86">
        <f>tbl_estimated_costs_quantities[[#This Row],[Bathroom Rehabilitation]]*BOQs!$L$11</f>
        <v>0</v>
      </c>
      <c r="AJ242" s="76"/>
      <c r="AK242" s="37"/>
      <c r="AL242" s="86">
        <f>tbl_estimated_costs_quantities[[#This Row],[Ceramic Tile Works WASH]]*BOQs!$L$12</f>
        <v>0</v>
      </c>
      <c r="AM242" s="76"/>
      <c r="AN242" s="37"/>
      <c r="AO242" s="86">
        <f>tbl_estimated_costs_quantities[[#This Row],[Electrical Repairs Lighting]]*BOQs!$L$13</f>
        <v>0</v>
      </c>
      <c r="AP242" s="76"/>
      <c r="AQ242" s="37"/>
      <c r="AR242" s="86">
        <f>tbl_estimated_costs_quantities[[#This Row],[Roof Insulation Leak Sealing]]*BOQs!$L$14</f>
        <v>0</v>
      </c>
      <c r="AS242" s="76"/>
      <c r="AT242" s="37"/>
      <c r="AU242" s="86">
        <f>tbl_estimated_costs_quantities[[#This Row],[Chimney Duct Cleaning Repair]]*BOQs!$L$15</f>
        <v>0</v>
      </c>
      <c r="AV242" s="76"/>
      <c r="AW242" s="37"/>
      <c r="AX242" s="89">
        <f>tbl_estimated_costs_quantities[[#This Row],[Accessibility Adaptations]]*BOQs!$L$16</f>
        <v>0</v>
      </c>
      <c r="AY242" s="86" t="str">
        <f>IF(tbl_estimated_costs_quantities[[#This Row],[Total cost]]&lt;&gt;0,tbl_estimated_costs_quantities[[#This Row],[Total cost]]/BOQs!$A$1,"")</f>
        <v/>
      </c>
      <c r="AZ242" s="37"/>
      <c r="BA242" s="37"/>
      <c r="BB242" s="37"/>
      <c r="BC242" s="37"/>
      <c r="BD242" s="41"/>
      <c r="BE242" s="37"/>
      <c r="BF242" s="37"/>
      <c r="BG242" s="37"/>
      <c r="BH242" s="41"/>
    </row>
    <row r="243" spans="2:60" ht="25.15" customHeight="1" x14ac:dyDescent="0.25">
      <c r="B243" s="49">
        <v>239</v>
      </c>
      <c r="C243" s="37"/>
      <c r="D243" s="41"/>
      <c r="E243" s="40"/>
      <c r="F243" s="87" t="str">
        <f>IF(tbl_estimated_costs_quantities[[#This Row],[House Code]]&lt;&gt;"",INDEX(tbl_Assessment[],MATCH(tbl_estimated_costs_quantities[[#This Row],[House Code]],tbl_Assessment[House Code],0),3),"")</f>
        <v/>
      </c>
      <c r="G243" s="115" t="str">
        <f>IF(tbl_estimated_costs_quantities[[#This Row],[House Code]]&lt;&gt;"",INDEX(tbl_Assessment[],MATCH(tbl_estimated_costs_quantities[[#This Row],[House Code]],tbl_Assessment[House Code],0),9),"")</f>
        <v/>
      </c>
      <c r="H24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3" s="75"/>
      <c r="J243" s="37"/>
      <c r="K243" s="86">
        <f>tbl_estimated_costs_quantities[[#This Row],[Site Preparation]]*BOQs!$L$3</f>
        <v>0</v>
      </c>
      <c r="L243" s="76"/>
      <c r="M243" s="37"/>
      <c r="N243" s="86">
        <f>tbl_estimated_costs_quantities[[#This Row],[Demolition Removal Unsafe Structures]]*BOQs!$L$4</f>
        <v>0</v>
      </c>
      <c r="O243" s="76"/>
      <c r="P243" s="37"/>
      <c r="Q243" s="86">
        <f>tbl_estimated_costs_quantities[[#This Row],[Concrete Works]]*BOQs!$L$5</f>
        <v>0</v>
      </c>
      <c r="R243" s="76"/>
      <c r="S243" s="37"/>
      <c r="T243" s="86">
        <f>tbl_estimated_costs_quantities[[#This Row],[Closure External Openings Walls Windows]]*BOQs!$L$6</f>
        <v>0</v>
      </c>
      <c r="U243" s="76"/>
      <c r="V243" s="37"/>
      <c r="W243" s="86">
        <f>tbl_estimated_costs_quantities[[#This Row],[Plastering Painting]]*BOQs!$L$7</f>
        <v>0</v>
      </c>
      <c r="X243" s="76"/>
      <c r="Y243" s="37"/>
      <c r="Z243" s="86">
        <f>tbl_estimated_costs_quantities[[#This Row],[Floor Repairs]]*BOQs!$L$8</f>
        <v>0</v>
      </c>
      <c r="AA243" s="76"/>
      <c r="AB243" s="37"/>
      <c r="AC243" s="86">
        <f>tbl_estimated_costs_quantities[[#This Row],[Doors Replacement Repair]]*BOQs!$L$9</f>
        <v>0</v>
      </c>
      <c r="AD243" s="76"/>
      <c r="AE243" s="37"/>
      <c r="AF243" s="86">
        <f>tbl_estimated_costs_quantities[[#This Row],[Windows Replacement Repair]]*BOQs!$L$10</f>
        <v>0</v>
      </c>
      <c r="AG243" s="76"/>
      <c r="AH243" s="37"/>
      <c r="AI243" s="86">
        <f>tbl_estimated_costs_quantities[[#This Row],[Bathroom Rehabilitation]]*BOQs!$L$11</f>
        <v>0</v>
      </c>
      <c r="AJ243" s="76"/>
      <c r="AK243" s="37"/>
      <c r="AL243" s="86">
        <f>tbl_estimated_costs_quantities[[#This Row],[Ceramic Tile Works WASH]]*BOQs!$L$12</f>
        <v>0</v>
      </c>
      <c r="AM243" s="76"/>
      <c r="AN243" s="37"/>
      <c r="AO243" s="86">
        <f>tbl_estimated_costs_quantities[[#This Row],[Electrical Repairs Lighting]]*BOQs!$L$13</f>
        <v>0</v>
      </c>
      <c r="AP243" s="76"/>
      <c r="AQ243" s="37"/>
      <c r="AR243" s="86">
        <f>tbl_estimated_costs_quantities[[#This Row],[Roof Insulation Leak Sealing]]*BOQs!$L$14</f>
        <v>0</v>
      </c>
      <c r="AS243" s="76"/>
      <c r="AT243" s="37"/>
      <c r="AU243" s="86">
        <f>tbl_estimated_costs_quantities[[#This Row],[Chimney Duct Cleaning Repair]]*BOQs!$L$15</f>
        <v>0</v>
      </c>
      <c r="AV243" s="76"/>
      <c r="AW243" s="37"/>
      <c r="AX243" s="89">
        <f>tbl_estimated_costs_quantities[[#This Row],[Accessibility Adaptations]]*BOQs!$L$16</f>
        <v>0</v>
      </c>
      <c r="AY243" s="86" t="str">
        <f>IF(tbl_estimated_costs_quantities[[#This Row],[Total cost]]&lt;&gt;0,tbl_estimated_costs_quantities[[#This Row],[Total cost]]/BOQs!$A$1,"")</f>
        <v/>
      </c>
      <c r="AZ243" s="37"/>
      <c r="BA243" s="37"/>
      <c r="BB243" s="37"/>
      <c r="BC243" s="37"/>
      <c r="BD243" s="41"/>
      <c r="BE243" s="37"/>
      <c r="BF243" s="37"/>
      <c r="BG243" s="37"/>
      <c r="BH243" s="41"/>
    </row>
    <row r="244" spans="2:60" ht="25.15" customHeight="1" x14ac:dyDescent="0.25">
      <c r="B244" s="49">
        <v>240</v>
      </c>
      <c r="C244" s="37"/>
      <c r="D244" s="41"/>
      <c r="E244" s="40"/>
      <c r="F244" s="87" t="str">
        <f>IF(tbl_estimated_costs_quantities[[#This Row],[House Code]]&lt;&gt;"",INDEX(tbl_Assessment[],MATCH(tbl_estimated_costs_quantities[[#This Row],[House Code]],tbl_Assessment[House Code],0),3),"")</f>
        <v/>
      </c>
      <c r="G244" s="115" t="str">
        <f>IF(tbl_estimated_costs_quantities[[#This Row],[House Code]]&lt;&gt;"",INDEX(tbl_Assessment[],MATCH(tbl_estimated_costs_quantities[[#This Row],[House Code]],tbl_Assessment[House Code],0),9),"")</f>
        <v/>
      </c>
      <c r="H24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4" s="75"/>
      <c r="J244" s="37"/>
      <c r="K244" s="86">
        <f>tbl_estimated_costs_quantities[[#This Row],[Site Preparation]]*BOQs!$L$3</f>
        <v>0</v>
      </c>
      <c r="L244" s="76"/>
      <c r="M244" s="37"/>
      <c r="N244" s="86">
        <f>tbl_estimated_costs_quantities[[#This Row],[Demolition Removal Unsafe Structures]]*BOQs!$L$4</f>
        <v>0</v>
      </c>
      <c r="O244" s="76"/>
      <c r="P244" s="37"/>
      <c r="Q244" s="86">
        <f>tbl_estimated_costs_quantities[[#This Row],[Concrete Works]]*BOQs!$L$5</f>
        <v>0</v>
      </c>
      <c r="R244" s="76"/>
      <c r="S244" s="37"/>
      <c r="T244" s="86">
        <f>tbl_estimated_costs_quantities[[#This Row],[Closure External Openings Walls Windows]]*BOQs!$L$6</f>
        <v>0</v>
      </c>
      <c r="U244" s="76"/>
      <c r="V244" s="37"/>
      <c r="W244" s="86">
        <f>tbl_estimated_costs_quantities[[#This Row],[Plastering Painting]]*BOQs!$L$7</f>
        <v>0</v>
      </c>
      <c r="X244" s="76"/>
      <c r="Y244" s="37"/>
      <c r="Z244" s="86">
        <f>tbl_estimated_costs_quantities[[#This Row],[Floor Repairs]]*BOQs!$L$8</f>
        <v>0</v>
      </c>
      <c r="AA244" s="76"/>
      <c r="AB244" s="37"/>
      <c r="AC244" s="86">
        <f>tbl_estimated_costs_quantities[[#This Row],[Doors Replacement Repair]]*BOQs!$L$9</f>
        <v>0</v>
      </c>
      <c r="AD244" s="76"/>
      <c r="AE244" s="37"/>
      <c r="AF244" s="86">
        <f>tbl_estimated_costs_quantities[[#This Row],[Windows Replacement Repair]]*BOQs!$L$10</f>
        <v>0</v>
      </c>
      <c r="AG244" s="76"/>
      <c r="AH244" s="37"/>
      <c r="AI244" s="86">
        <f>tbl_estimated_costs_quantities[[#This Row],[Bathroom Rehabilitation]]*BOQs!$L$11</f>
        <v>0</v>
      </c>
      <c r="AJ244" s="76"/>
      <c r="AK244" s="37"/>
      <c r="AL244" s="86">
        <f>tbl_estimated_costs_quantities[[#This Row],[Ceramic Tile Works WASH]]*BOQs!$L$12</f>
        <v>0</v>
      </c>
      <c r="AM244" s="76"/>
      <c r="AN244" s="37"/>
      <c r="AO244" s="86">
        <f>tbl_estimated_costs_quantities[[#This Row],[Electrical Repairs Lighting]]*BOQs!$L$13</f>
        <v>0</v>
      </c>
      <c r="AP244" s="76"/>
      <c r="AQ244" s="37"/>
      <c r="AR244" s="86">
        <f>tbl_estimated_costs_quantities[[#This Row],[Roof Insulation Leak Sealing]]*BOQs!$L$14</f>
        <v>0</v>
      </c>
      <c r="AS244" s="76"/>
      <c r="AT244" s="37"/>
      <c r="AU244" s="86">
        <f>tbl_estimated_costs_quantities[[#This Row],[Chimney Duct Cleaning Repair]]*BOQs!$L$15</f>
        <v>0</v>
      </c>
      <c r="AV244" s="76"/>
      <c r="AW244" s="37"/>
      <c r="AX244" s="89">
        <f>tbl_estimated_costs_quantities[[#This Row],[Accessibility Adaptations]]*BOQs!$L$16</f>
        <v>0</v>
      </c>
      <c r="AY244" s="86" t="str">
        <f>IF(tbl_estimated_costs_quantities[[#This Row],[Total cost]]&lt;&gt;0,tbl_estimated_costs_quantities[[#This Row],[Total cost]]/BOQs!$A$1,"")</f>
        <v/>
      </c>
      <c r="AZ244" s="37"/>
      <c r="BA244" s="37"/>
      <c r="BB244" s="37"/>
      <c r="BC244" s="37"/>
      <c r="BD244" s="41"/>
      <c r="BE244" s="37"/>
      <c r="BF244" s="37"/>
      <c r="BG244" s="37"/>
      <c r="BH244" s="41"/>
    </row>
    <row r="245" spans="2:60" ht="25.15" customHeight="1" x14ac:dyDescent="0.25">
      <c r="B245" s="49">
        <v>241</v>
      </c>
      <c r="C245" s="37"/>
      <c r="D245" s="41"/>
      <c r="E245" s="40"/>
      <c r="F245" s="87" t="str">
        <f>IF(tbl_estimated_costs_quantities[[#This Row],[House Code]]&lt;&gt;"",INDEX(tbl_Assessment[],MATCH(tbl_estimated_costs_quantities[[#This Row],[House Code]],tbl_Assessment[House Code],0),3),"")</f>
        <v/>
      </c>
      <c r="G245" s="115" t="str">
        <f>IF(tbl_estimated_costs_quantities[[#This Row],[House Code]]&lt;&gt;"",INDEX(tbl_Assessment[],MATCH(tbl_estimated_costs_quantities[[#This Row],[House Code]],tbl_Assessment[House Code],0),9),"")</f>
        <v/>
      </c>
      <c r="H24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5" s="75"/>
      <c r="J245" s="37"/>
      <c r="K245" s="86">
        <f>tbl_estimated_costs_quantities[[#This Row],[Site Preparation]]*BOQs!$L$3</f>
        <v>0</v>
      </c>
      <c r="L245" s="76"/>
      <c r="M245" s="37"/>
      <c r="N245" s="86">
        <f>tbl_estimated_costs_quantities[[#This Row],[Demolition Removal Unsafe Structures]]*BOQs!$L$4</f>
        <v>0</v>
      </c>
      <c r="O245" s="76"/>
      <c r="P245" s="37"/>
      <c r="Q245" s="86">
        <f>tbl_estimated_costs_quantities[[#This Row],[Concrete Works]]*BOQs!$L$5</f>
        <v>0</v>
      </c>
      <c r="R245" s="76"/>
      <c r="S245" s="37"/>
      <c r="T245" s="86">
        <f>tbl_estimated_costs_quantities[[#This Row],[Closure External Openings Walls Windows]]*BOQs!$L$6</f>
        <v>0</v>
      </c>
      <c r="U245" s="76"/>
      <c r="V245" s="37"/>
      <c r="W245" s="86">
        <f>tbl_estimated_costs_quantities[[#This Row],[Plastering Painting]]*BOQs!$L$7</f>
        <v>0</v>
      </c>
      <c r="X245" s="76"/>
      <c r="Y245" s="37"/>
      <c r="Z245" s="86">
        <f>tbl_estimated_costs_quantities[[#This Row],[Floor Repairs]]*BOQs!$L$8</f>
        <v>0</v>
      </c>
      <c r="AA245" s="76"/>
      <c r="AB245" s="37"/>
      <c r="AC245" s="86">
        <f>tbl_estimated_costs_quantities[[#This Row],[Doors Replacement Repair]]*BOQs!$L$9</f>
        <v>0</v>
      </c>
      <c r="AD245" s="76"/>
      <c r="AE245" s="37"/>
      <c r="AF245" s="86">
        <f>tbl_estimated_costs_quantities[[#This Row],[Windows Replacement Repair]]*BOQs!$L$10</f>
        <v>0</v>
      </c>
      <c r="AG245" s="76"/>
      <c r="AH245" s="37"/>
      <c r="AI245" s="86">
        <f>tbl_estimated_costs_quantities[[#This Row],[Bathroom Rehabilitation]]*BOQs!$L$11</f>
        <v>0</v>
      </c>
      <c r="AJ245" s="76"/>
      <c r="AK245" s="37"/>
      <c r="AL245" s="86">
        <f>tbl_estimated_costs_quantities[[#This Row],[Ceramic Tile Works WASH]]*BOQs!$L$12</f>
        <v>0</v>
      </c>
      <c r="AM245" s="76"/>
      <c r="AN245" s="37"/>
      <c r="AO245" s="86">
        <f>tbl_estimated_costs_quantities[[#This Row],[Electrical Repairs Lighting]]*BOQs!$L$13</f>
        <v>0</v>
      </c>
      <c r="AP245" s="76"/>
      <c r="AQ245" s="37"/>
      <c r="AR245" s="86">
        <f>tbl_estimated_costs_quantities[[#This Row],[Roof Insulation Leak Sealing]]*BOQs!$L$14</f>
        <v>0</v>
      </c>
      <c r="AS245" s="76"/>
      <c r="AT245" s="37"/>
      <c r="AU245" s="86">
        <f>tbl_estimated_costs_quantities[[#This Row],[Chimney Duct Cleaning Repair]]*BOQs!$L$15</f>
        <v>0</v>
      </c>
      <c r="AV245" s="76"/>
      <c r="AW245" s="37"/>
      <c r="AX245" s="89">
        <f>tbl_estimated_costs_quantities[[#This Row],[Accessibility Adaptations]]*BOQs!$L$16</f>
        <v>0</v>
      </c>
      <c r="AY245" s="86" t="str">
        <f>IF(tbl_estimated_costs_quantities[[#This Row],[Total cost]]&lt;&gt;0,tbl_estimated_costs_quantities[[#This Row],[Total cost]]/BOQs!$A$1,"")</f>
        <v/>
      </c>
      <c r="AZ245" s="37"/>
      <c r="BA245" s="37"/>
      <c r="BB245" s="37"/>
      <c r="BC245" s="37"/>
      <c r="BD245" s="41"/>
      <c r="BE245" s="37"/>
      <c r="BF245" s="37"/>
      <c r="BG245" s="37"/>
      <c r="BH245" s="41"/>
    </row>
    <row r="246" spans="2:60" ht="25.15" customHeight="1" x14ac:dyDescent="0.25">
      <c r="B246" s="49">
        <v>242</v>
      </c>
      <c r="C246" s="37"/>
      <c r="D246" s="41"/>
      <c r="E246" s="40"/>
      <c r="F246" s="87" t="str">
        <f>IF(tbl_estimated_costs_quantities[[#This Row],[House Code]]&lt;&gt;"",INDEX(tbl_Assessment[],MATCH(tbl_estimated_costs_quantities[[#This Row],[House Code]],tbl_Assessment[House Code],0),3),"")</f>
        <v/>
      </c>
      <c r="G246" s="115" t="str">
        <f>IF(tbl_estimated_costs_quantities[[#This Row],[House Code]]&lt;&gt;"",INDEX(tbl_Assessment[],MATCH(tbl_estimated_costs_quantities[[#This Row],[House Code]],tbl_Assessment[House Code],0),9),"")</f>
        <v/>
      </c>
      <c r="H24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6" s="75"/>
      <c r="J246" s="37"/>
      <c r="K246" s="86">
        <f>tbl_estimated_costs_quantities[[#This Row],[Site Preparation]]*BOQs!$L$3</f>
        <v>0</v>
      </c>
      <c r="L246" s="76"/>
      <c r="M246" s="37"/>
      <c r="N246" s="86">
        <f>tbl_estimated_costs_quantities[[#This Row],[Demolition Removal Unsafe Structures]]*BOQs!$L$4</f>
        <v>0</v>
      </c>
      <c r="O246" s="76"/>
      <c r="P246" s="37"/>
      <c r="Q246" s="86">
        <f>tbl_estimated_costs_quantities[[#This Row],[Concrete Works]]*BOQs!$L$5</f>
        <v>0</v>
      </c>
      <c r="R246" s="76"/>
      <c r="S246" s="37"/>
      <c r="T246" s="86">
        <f>tbl_estimated_costs_quantities[[#This Row],[Closure External Openings Walls Windows]]*BOQs!$L$6</f>
        <v>0</v>
      </c>
      <c r="U246" s="76"/>
      <c r="V246" s="37"/>
      <c r="W246" s="86">
        <f>tbl_estimated_costs_quantities[[#This Row],[Plastering Painting]]*BOQs!$L$7</f>
        <v>0</v>
      </c>
      <c r="X246" s="76"/>
      <c r="Y246" s="37"/>
      <c r="Z246" s="86">
        <f>tbl_estimated_costs_quantities[[#This Row],[Floor Repairs]]*BOQs!$L$8</f>
        <v>0</v>
      </c>
      <c r="AA246" s="76"/>
      <c r="AB246" s="37"/>
      <c r="AC246" s="86">
        <f>tbl_estimated_costs_quantities[[#This Row],[Doors Replacement Repair]]*BOQs!$L$9</f>
        <v>0</v>
      </c>
      <c r="AD246" s="76"/>
      <c r="AE246" s="37"/>
      <c r="AF246" s="86">
        <f>tbl_estimated_costs_quantities[[#This Row],[Windows Replacement Repair]]*BOQs!$L$10</f>
        <v>0</v>
      </c>
      <c r="AG246" s="76"/>
      <c r="AH246" s="37"/>
      <c r="AI246" s="86">
        <f>tbl_estimated_costs_quantities[[#This Row],[Bathroom Rehabilitation]]*BOQs!$L$11</f>
        <v>0</v>
      </c>
      <c r="AJ246" s="76"/>
      <c r="AK246" s="37"/>
      <c r="AL246" s="86">
        <f>tbl_estimated_costs_quantities[[#This Row],[Ceramic Tile Works WASH]]*BOQs!$L$12</f>
        <v>0</v>
      </c>
      <c r="AM246" s="76"/>
      <c r="AN246" s="37"/>
      <c r="AO246" s="86">
        <f>tbl_estimated_costs_quantities[[#This Row],[Electrical Repairs Lighting]]*BOQs!$L$13</f>
        <v>0</v>
      </c>
      <c r="AP246" s="76"/>
      <c r="AQ246" s="37"/>
      <c r="AR246" s="86">
        <f>tbl_estimated_costs_quantities[[#This Row],[Roof Insulation Leak Sealing]]*BOQs!$L$14</f>
        <v>0</v>
      </c>
      <c r="AS246" s="76"/>
      <c r="AT246" s="37"/>
      <c r="AU246" s="86">
        <f>tbl_estimated_costs_quantities[[#This Row],[Chimney Duct Cleaning Repair]]*BOQs!$L$15</f>
        <v>0</v>
      </c>
      <c r="AV246" s="76"/>
      <c r="AW246" s="37"/>
      <c r="AX246" s="89">
        <f>tbl_estimated_costs_quantities[[#This Row],[Accessibility Adaptations]]*BOQs!$L$16</f>
        <v>0</v>
      </c>
      <c r="AY246" s="86" t="str">
        <f>IF(tbl_estimated_costs_quantities[[#This Row],[Total cost]]&lt;&gt;0,tbl_estimated_costs_quantities[[#This Row],[Total cost]]/BOQs!$A$1,"")</f>
        <v/>
      </c>
      <c r="AZ246" s="37"/>
      <c r="BA246" s="37"/>
      <c r="BB246" s="37"/>
      <c r="BC246" s="37"/>
      <c r="BD246" s="41"/>
      <c r="BE246" s="37"/>
      <c r="BF246" s="37"/>
      <c r="BG246" s="37"/>
      <c r="BH246" s="41"/>
    </row>
    <row r="247" spans="2:60" ht="25.15" customHeight="1" x14ac:dyDescent="0.25">
      <c r="B247" s="49">
        <v>243</v>
      </c>
      <c r="C247" s="37"/>
      <c r="D247" s="41"/>
      <c r="E247" s="40"/>
      <c r="F247" s="87" t="str">
        <f>IF(tbl_estimated_costs_quantities[[#This Row],[House Code]]&lt;&gt;"",INDEX(tbl_Assessment[],MATCH(tbl_estimated_costs_quantities[[#This Row],[House Code]],tbl_Assessment[House Code],0),3),"")</f>
        <v/>
      </c>
      <c r="G247" s="115" t="str">
        <f>IF(tbl_estimated_costs_quantities[[#This Row],[House Code]]&lt;&gt;"",INDEX(tbl_Assessment[],MATCH(tbl_estimated_costs_quantities[[#This Row],[House Code]],tbl_Assessment[House Code],0),9),"")</f>
        <v/>
      </c>
      <c r="H24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7" s="75"/>
      <c r="J247" s="37"/>
      <c r="K247" s="86">
        <f>tbl_estimated_costs_quantities[[#This Row],[Site Preparation]]*BOQs!$L$3</f>
        <v>0</v>
      </c>
      <c r="L247" s="76"/>
      <c r="M247" s="37"/>
      <c r="N247" s="86">
        <f>tbl_estimated_costs_quantities[[#This Row],[Demolition Removal Unsafe Structures]]*BOQs!$L$4</f>
        <v>0</v>
      </c>
      <c r="O247" s="76"/>
      <c r="P247" s="37"/>
      <c r="Q247" s="86">
        <f>tbl_estimated_costs_quantities[[#This Row],[Concrete Works]]*BOQs!$L$5</f>
        <v>0</v>
      </c>
      <c r="R247" s="76"/>
      <c r="S247" s="37"/>
      <c r="T247" s="86">
        <f>tbl_estimated_costs_quantities[[#This Row],[Closure External Openings Walls Windows]]*BOQs!$L$6</f>
        <v>0</v>
      </c>
      <c r="U247" s="76"/>
      <c r="V247" s="37"/>
      <c r="W247" s="86">
        <f>tbl_estimated_costs_quantities[[#This Row],[Plastering Painting]]*BOQs!$L$7</f>
        <v>0</v>
      </c>
      <c r="X247" s="76"/>
      <c r="Y247" s="37"/>
      <c r="Z247" s="86">
        <f>tbl_estimated_costs_quantities[[#This Row],[Floor Repairs]]*BOQs!$L$8</f>
        <v>0</v>
      </c>
      <c r="AA247" s="76"/>
      <c r="AB247" s="37"/>
      <c r="AC247" s="86">
        <f>tbl_estimated_costs_quantities[[#This Row],[Doors Replacement Repair]]*BOQs!$L$9</f>
        <v>0</v>
      </c>
      <c r="AD247" s="76"/>
      <c r="AE247" s="37"/>
      <c r="AF247" s="86">
        <f>tbl_estimated_costs_quantities[[#This Row],[Windows Replacement Repair]]*BOQs!$L$10</f>
        <v>0</v>
      </c>
      <c r="AG247" s="76"/>
      <c r="AH247" s="37"/>
      <c r="AI247" s="86">
        <f>tbl_estimated_costs_quantities[[#This Row],[Bathroom Rehabilitation]]*BOQs!$L$11</f>
        <v>0</v>
      </c>
      <c r="AJ247" s="76"/>
      <c r="AK247" s="37"/>
      <c r="AL247" s="86">
        <f>tbl_estimated_costs_quantities[[#This Row],[Ceramic Tile Works WASH]]*BOQs!$L$12</f>
        <v>0</v>
      </c>
      <c r="AM247" s="76"/>
      <c r="AN247" s="37"/>
      <c r="AO247" s="86">
        <f>tbl_estimated_costs_quantities[[#This Row],[Electrical Repairs Lighting]]*BOQs!$L$13</f>
        <v>0</v>
      </c>
      <c r="AP247" s="76"/>
      <c r="AQ247" s="37"/>
      <c r="AR247" s="86">
        <f>tbl_estimated_costs_quantities[[#This Row],[Roof Insulation Leak Sealing]]*BOQs!$L$14</f>
        <v>0</v>
      </c>
      <c r="AS247" s="76"/>
      <c r="AT247" s="37"/>
      <c r="AU247" s="86">
        <f>tbl_estimated_costs_quantities[[#This Row],[Chimney Duct Cleaning Repair]]*BOQs!$L$15</f>
        <v>0</v>
      </c>
      <c r="AV247" s="76"/>
      <c r="AW247" s="37"/>
      <c r="AX247" s="89">
        <f>tbl_estimated_costs_quantities[[#This Row],[Accessibility Adaptations]]*BOQs!$L$16</f>
        <v>0</v>
      </c>
      <c r="AY247" s="86" t="str">
        <f>IF(tbl_estimated_costs_quantities[[#This Row],[Total cost]]&lt;&gt;0,tbl_estimated_costs_quantities[[#This Row],[Total cost]]/BOQs!$A$1,"")</f>
        <v/>
      </c>
      <c r="AZ247" s="37"/>
      <c r="BA247" s="37"/>
      <c r="BB247" s="37"/>
      <c r="BC247" s="37"/>
      <c r="BD247" s="41"/>
      <c r="BE247" s="37"/>
      <c r="BF247" s="37"/>
      <c r="BG247" s="37"/>
      <c r="BH247" s="41"/>
    </row>
    <row r="248" spans="2:60" ht="25.15" customHeight="1" x14ac:dyDescent="0.25">
      <c r="B248" s="49">
        <v>244</v>
      </c>
      <c r="C248" s="37"/>
      <c r="D248" s="41"/>
      <c r="E248" s="40"/>
      <c r="F248" s="87" t="str">
        <f>IF(tbl_estimated_costs_quantities[[#This Row],[House Code]]&lt;&gt;"",INDEX(tbl_Assessment[],MATCH(tbl_estimated_costs_quantities[[#This Row],[House Code]],tbl_Assessment[House Code],0),3),"")</f>
        <v/>
      </c>
      <c r="G248" s="115" t="str">
        <f>IF(tbl_estimated_costs_quantities[[#This Row],[House Code]]&lt;&gt;"",INDEX(tbl_Assessment[],MATCH(tbl_estimated_costs_quantities[[#This Row],[House Code]],tbl_Assessment[House Code],0),9),"")</f>
        <v/>
      </c>
      <c r="H24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8" s="75"/>
      <c r="J248" s="37"/>
      <c r="K248" s="86">
        <f>tbl_estimated_costs_quantities[[#This Row],[Site Preparation]]*BOQs!$L$3</f>
        <v>0</v>
      </c>
      <c r="L248" s="76"/>
      <c r="M248" s="37"/>
      <c r="N248" s="86">
        <f>tbl_estimated_costs_quantities[[#This Row],[Demolition Removal Unsafe Structures]]*BOQs!$L$4</f>
        <v>0</v>
      </c>
      <c r="O248" s="76"/>
      <c r="P248" s="37"/>
      <c r="Q248" s="86">
        <f>tbl_estimated_costs_quantities[[#This Row],[Concrete Works]]*BOQs!$L$5</f>
        <v>0</v>
      </c>
      <c r="R248" s="76"/>
      <c r="S248" s="37"/>
      <c r="T248" s="86">
        <f>tbl_estimated_costs_quantities[[#This Row],[Closure External Openings Walls Windows]]*BOQs!$L$6</f>
        <v>0</v>
      </c>
      <c r="U248" s="76"/>
      <c r="V248" s="37"/>
      <c r="W248" s="86">
        <f>tbl_estimated_costs_quantities[[#This Row],[Plastering Painting]]*BOQs!$L$7</f>
        <v>0</v>
      </c>
      <c r="X248" s="76"/>
      <c r="Y248" s="37"/>
      <c r="Z248" s="86">
        <f>tbl_estimated_costs_quantities[[#This Row],[Floor Repairs]]*BOQs!$L$8</f>
        <v>0</v>
      </c>
      <c r="AA248" s="76"/>
      <c r="AB248" s="37"/>
      <c r="AC248" s="86">
        <f>tbl_estimated_costs_quantities[[#This Row],[Doors Replacement Repair]]*BOQs!$L$9</f>
        <v>0</v>
      </c>
      <c r="AD248" s="76"/>
      <c r="AE248" s="37"/>
      <c r="AF248" s="86">
        <f>tbl_estimated_costs_quantities[[#This Row],[Windows Replacement Repair]]*BOQs!$L$10</f>
        <v>0</v>
      </c>
      <c r="AG248" s="76"/>
      <c r="AH248" s="37"/>
      <c r="AI248" s="86">
        <f>tbl_estimated_costs_quantities[[#This Row],[Bathroom Rehabilitation]]*BOQs!$L$11</f>
        <v>0</v>
      </c>
      <c r="AJ248" s="76"/>
      <c r="AK248" s="37"/>
      <c r="AL248" s="86">
        <f>tbl_estimated_costs_quantities[[#This Row],[Ceramic Tile Works WASH]]*BOQs!$L$12</f>
        <v>0</v>
      </c>
      <c r="AM248" s="76"/>
      <c r="AN248" s="37"/>
      <c r="AO248" s="86">
        <f>tbl_estimated_costs_quantities[[#This Row],[Electrical Repairs Lighting]]*BOQs!$L$13</f>
        <v>0</v>
      </c>
      <c r="AP248" s="76"/>
      <c r="AQ248" s="37"/>
      <c r="AR248" s="86">
        <f>tbl_estimated_costs_quantities[[#This Row],[Roof Insulation Leak Sealing]]*BOQs!$L$14</f>
        <v>0</v>
      </c>
      <c r="AS248" s="76"/>
      <c r="AT248" s="37"/>
      <c r="AU248" s="86">
        <f>tbl_estimated_costs_quantities[[#This Row],[Chimney Duct Cleaning Repair]]*BOQs!$L$15</f>
        <v>0</v>
      </c>
      <c r="AV248" s="76"/>
      <c r="AW248" s="37"/>
      <c r="AX248" s="89">
        <f>tbl_estimated_costs_quantities[[#This Row],[Accessibility Adaptations]]*BOQs!$L$16</f>
        <v>0</v>
      </c>
      <c r="AY248" s="86" t="str">
        <f>IF(tbl_estimated_costs_quantities[[#This Row],[Total cost]]&lt;&gt;0,tbl_estimated_costs_quantities[[#This Row],[Total cost]]/BOQs!$A$1,"")</f>
        <v/>
      </c>
      <c r="AZ248" s="37"/>
      <c r="BA248" s="37"/>
      <c r="BB248" s="37"/>
      <c r="BC248" s="37"/>
      <c r="BD248" s="41"/>
      <c r="BE248" s="37"/>
      <c r="BF248" s="37"/>
      <c r="BG248" s="37"/>
      <c r="BH248" s="41"/>
    </row>
    <row r="249" spans="2:60" ht="25.15" customHeight="1" x14ac:dyDescent="0.25">
      <c r="B249" s="49">
        <v>245</v>
      </c>
      <c r="C249" s="37"/>
      <c r="D249" s="41"/>
      <c r="E249" s="40"/>
      <c r="F249" s="87" t="str">
        <f>IF(tbl_estimated_costs_quantities[[#This Row],[House Code]]&lt;&gt;"",INDEX(tbl_Assessment[],MATCH(tbl_estimated_costs_quantities[[#This Row],[House Code]],tbl_Assessment[House Code],0),3),"")</f>
        <v/>
      </c>
      <c r="G249" s="115" t="str">
        <f>IF(tbl_estimated_costs_quantities[[#This Row],[House Code]]&lt;&gt;"",INDEX(tbl_Assessment[],MATCH(tbl_estimated_costs_quantities[[#This Row],[House Code]],tbl_Assessment[House Code],0),9),"")</f>
        <v/>
      </c>
      <c r="H24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49" s="75"/>
      <c r="J249" s="37"/>
      <c r="K249" s="86">
        <f>tbl_estimated_costs_quantities[[#This Row],[Site Preparation]]*BOQs!$L$3</f>
        <v>0</v>
      </c>
      <c r="L249" s="76"/>
      <c r="M249" s="37"/>
      <c r="N249" s="86">
        <f>tbl_estimated_costs_quantities[[#This Row],[Demolition Removal Unsafe Structures]]*BOQs!$L$4</f>
        <v>0</v>
      </c>
      <c r="O249" s="76"/>
      <c r="P249" s="37"/>
      <c r="Q249" s="86">
        <f>tbl_estimated_costs_quantities[[#This Row],[Concrete Works]]*BOQs!$L$5</f>
        <v>0</v>
      </c>
      <c r="R249" s="76"/>
      <c r="S249" s="37"/>
      <c r="T249" s="86">
        <f>tbl_estimated_costs_quantities[[#This Row],[Closure External Openings Walls Windows]]*BOQs!$L$6</f>
        <v>0</v>
      </c>
      <c r="U249" s="76"/>
      <c r="V249" s="37"/>
      <c r="W249" s="86">
        <f>tbl_estimated_costs_quantities[[#This Row],[Plastering Painting]]*BOQs!$L$7</f>
        <v>0</v>
      </c>
      <c r="X249" s="76"/>
      <c r="Y249" s="37"/>
      <c r="Z249" s="86">
        <f>tbl_estimated_costs_quantities[[#This Row],[Floor Repairs]]*BOQs!$L$8</f>
        <v>0</v>
      </c>
      <c r="AA249" s="76"/>
      <c r="AB249" s="37"/>
      <c r="AC249" s="86">
        <f>tbl_estimated_costs_quantities[[#This Row],[Doors Replacement Repair]]*BOQs!$L$9</f>
        <v>0</v>
      </c>
      <c r="AD249" s="76"/>
      <c r="AE249" s="37"/>
      <c r="AF249" s="86">
        <f>tbl_estimated_costs_quantities[[#This Row],[Windows Replacement Repair]]*BOQs!$L$10</f>
        <v>0</v>
      </c>
      <c r="AG249" s="76"/>
      <c r="AH249" s="37"/>
      <c r="AI249" s="86">
        <f>tbl_estimated_costs_quantities[[#This Row],[Bathroom Rehabilitation]]*BOQs!$L$11</f>
        <v>0</v>
      </c>
      <c r="AJ249" s="76"/>
      <c r="AK249" s="37"/>
      <c r="AL249" s="86">
        <f>tbl_estimated_costs_quantities[[#This Row],[Ceramic Tile Works WASH]]*BOQs!$L$12</f>
        <v>0</v>
      </c>
      <c r="AM249" s="76"/>
      <c r="AN249" s="37"/>
      <c r="AO249" s="86">
        <f>tbl_estimated_costs_quantities[[#This Row],[Electrical Repairs Lighting]]*BOQs!$L$13</f>
        <v>0</v>
      </c>
      <c r="AP249" s="76"/>
      <c r="AQ249" s="37"/>
      <c r="AR249" s="86">
        <f>tbl_estimated_costs_quantities[[#This Row],[Roof Insulation Leak Sealing]]*BOQs!$L$14</f>
        <v>0</v>
      </c>
      <c r="AS249" s="76"/>
      <c r="AT249" s="37"/>
      <c r="AU249" s="86">
        <f>tbl_estimated_costs_quantities[[#This Row],[Chimney Duct Cleaning Repair]]*BOQs!$L$15</f>
        <v>0</v>
      </c>
      <c r="AV249" s="76"/>
      <c r="AW249" s="37"/>
      <c r="AX249" s="89">
        <f>tbl_estimated_costs_quantities[[#This Row],[Accessibility Adaptations]]*BOQs!$L$16</f>
        <v>0</v>
      </c>
      <c r="AY249" s="86" t="str">
        <f>IF(tbl_estimated_costs_quantities[[#This Row],[Total cost]]&lt;&gt;0,tbl_estimated_costs_quantities[[#This Row],[Total cost]]/BOQs!$A$1,"")</f>
        <v/>
      </c>
      <c r="AZ249" s="37"/>
      <c r="BA249" s="37"/>
      <c r="BB249" s="37"/>
      <c r="BC249" s="37"/>
      <c r="BD249" s="41"/>
      <c r="BE249" s="37"/>
      <c r="BF249" s="37"/>
      <c r="BG249" s="37"/>
      <c r="BH249" s="41"/>
    </row>
    <row r="250" spans="2:60" ht="25.15" customHeight="1" x14ac:dyDescent="0.25">
      <c r="B250" s="49">
        <v>246</v>
      </c>
      <c r="C250" s="37"/>
      <c r="D250" s="41"/>
      <c r="E250" s="40"/>
      <c r="F250" s="87" t="str">
        <f>IF(tbl_estimated_costs_quantities[[#This Row],[House Code]]&lt;&gt;"",INDEX(tbl_Assessment[],MATCH(tbl_estimated_costs_quantities[[#This Row],[House Code]],tbl_Assessment[House Code],0),3),"")</f>
        <v/>
      </c>
      <c r="G250" s="115" t="str">
        <f>IF(tbl_estimated_costs_quantities[[#This Row],[House Code]]&lt;&gt;"",INDEX(tbl_Assessment[],MATCH(tbl_estimated_costs_quantities[[#This Row],[House Code]],tbl_Assessment[House Code],0),9),"")</f>
        <v/>
      </c>
      <c r="H25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0" s="75"/>
      <c r="J250" s="37"/>
      <c r="K250" s="86">
        <f>tbl_estimated_costs_quantities[[#This Row],[Site Preparation]]*BOQs!$L$3</f>
        <v>0</v>
      </c>
      <c r="L250" s="76"/>
      <c r="M250" s="37"/>
      <c r="N250" s="86">
        <f>tbl_estimated_costs_quantities[[#This Row],[Demolition Removal Unsafe Structures]]*BOQs!$L$4</f>
        <v>0</v>
      </c>
      <c r="O250" s="76"/>
      <c r="P250" s="37"/>
      <c r="Q250" s="86">
        <f>tbl_estimated_costs_quantities[[#This Row],[Concrete Works]]*BOQs!$L$5</f>
        <v>0</v>
      </c>
      <c r="R250" s="76"/>
      <c r="S250" s="37"/>
      <c r="T250" s="86">
        <f>tbl_estimated_costs_quantities[[#This Row],[Closure External Openings Walls Windows]]*BOQs!$L$6</f>
        <v>0</v>
      </c>
      <c r="U250" s="76"/>
      <c r="V250" s="37"/>
      <c r="W250" s="86">
        <f>tbl_estimated_costs_quantities[[#This Row],[Plastering Painting]]*BOQs!$L$7</f>
        <v>0</v>
      </c>
      <c r="X250" s="76"/>
      <c r="Y250" s="37"/>
      <c r="Z250" s="86">
        <f>tbl_estimated_costs_quantities[[#This Row],[Floor Repairs]]*BOQs!$L$8</f>
        <v>0</v>
      </c>
      <c r="AA250" s="76"/>
      <c r="AB250" s="37"/>
      <c r="AC250" s="86">
        <f>tbl_estimated_costs_quantities[[#This Row],[Doors Replacement Repair]]*BOQs!$L$9</f>
        <v>0</v>
      </c>
      <c r="AD250" s="76"/>
      <c r="AE250" s="37"/>
      <c r="AF250" s="86">
        <f>tbl_estimated_costs_quantities[[#This Row],[Windows Replacement Repair]]*BOQs!$L$10</f>
        <v>0</v>
      </c>
      <c r="AG250" s="76"/>
      <c r="AH250" s="37"/>
      <c r="AI250" s="86">
        <f>tbl_estimated_costs_quantities[[#This Row],[Bathroom Rehabilitation]]*BOQs!$L$11</f>
        <v>0</v>
      </c>
      <c r="AJ250" s="76"/>
      <c r="AK250" s="37"/>
      <c r="AL250" s="86">
        <f>tbl_estimated_costs_quantities[[#This Row],[Ceramic Tile Works WASH]]*BOQs!$L$12</f>
        <v>0</v>
      </c>
      <c r="AM250" s="76"/>
      <c r="AN250" s="37"/>
      <c r="AO250" s="86">
        <f>tbl_estimated_costs_quantities[[#This Row],[Electrical Repairs Lighting]]*BOQs!$L$13</f>
        <v>0</v>
      </c>
      <c r="AP250" s="76"/>
      <c r="AQ250" s="37"/>
      <c r="AR250" s="86">
        <f>tbl_estimated_costs_quantities[[#This Row],[Roof Insulation Leak Sealing]]*BOQs!$L$14</f>
        <v>0</v>
      </c>
      <c r="AS250" s="76"/>
      <c r="AT250" s="37"/>
      <c r="AU250" s="86">
        <f>tbl_estimated_costs_quantities[[#This Row],[Chimney Duct Cleaning Repair]]*BOQs!$L$15</f>
        <v>0</v>
      </c>
      <c r="AV250" s="76"/>
      <c r="AW250" s="37"/>
      <c r="AX250" s="89">
        <f>tbl_estimated_costs_quantities[[#This Row],[Accessibility Adaptations]]*BOQs!$L$16</f>
        <v>0</v>
      </c>
      <c r="AY250" s="86" t="str">
        <f>IF(tbl_estimated_costs_quantities[[#This Row],[Total cost]]&lt;&gt;0,tbl_estimated_costs_quantities[[#This Row],[Total cost]]/BOQs!$A$1,"")</f>
        <v/>
      </c>
      <c r="AZ250" s="37"/>
      <c r="BA250" s="37"/>
      <c r="BB250" s="37"/>
      <c r="BC250" s="37"/>
      <c r="BD250" s="41"/>
      <c r="BE250" s="37"/>
      <c r="BF250" s="37"/>
      <c r="BG250" s="37"/>
      <c r="BH250" s="41"/>
    </row>
    <row r="251" spans="2:60" ht="25.15" customHeight="1" x14ac:dyDescent="0.25">
      <c r="B251" s="49">
        <v>247</v>
      </c>
      <c r="C251" s="37"/>
      <c r="D251" s="41"/>
      <c r="E251" s="40"/>
      <c r="F251" s="87" t="str">
        <f>IF(tbl_estimated_costs_quantities[[#This Row],[House Code]]&lt;&gt;"",INDEX(tbl_Assessment[],MATCH(tbl_estimated_costs_quantities[[#This Row],[House Code]],tbl_Assessment[House Code],0),3),"")</f>
        <v/>
      </c>
      <c r="G251" s="115" t="str">
        <f>IF(tbl_estimated_costs_quantities[[#This Row],[House Code]]&lt;&gt;"",INDEX(tbl_Assessment[],MATCH(tbl_estimated_costs_quantities[[#This Row],[House Code]],tbl_Assessment[House Code],0),9),"")</f>
        <v/>
      </c>
      <c r="H25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1" s="75"/>
      <c r="J251" s="37"/>
      <c r="K251" s="86">
        <f>tbl_estimated_costs_quantities[[#This Row],[Site Preparation]]*BOQs!$L$3</f>
        <v>0</v>
      </c>
      <c r="L251" s="76"/>
      <c r="M251" s="37"/>
      <c r="N251" s="86">
        <f>tbl_estimated_costs_quantities[[#This Row],[Demolition Removal Unsafe Structures]]*BOQs!$L$4</f>
        <v>0</v>
      </c>
      <c r="O251" s="76"/>
      <c r="P251" s="37"/>
      <c r="Q251" s="86">
        <f>tbl_estimated_costs_quantities[[#This Row],[Concrete Works]]*BOQs!$L$5</f>
        <v>0</v>
      </c>
      <c r="R251" s="76"/>
      <c r="S251" s="37"/>
      <c r="T251" s="86">
        <f>tbl_estimated_costs_quantities[[#This Row],[Closure External Openings Walls Windows]]*BOQs!$L$6</f>
        <v>0</v>
      </c>
      <c r="U251" s="76"/>
      <c r="V251" s="37"/>
      <c r="W251" s="86">
        <f>tbl_estimated_costs_quantities[[#This Row],[Plastering Painting]]*BOQs!$L$7</f>
        <v>0</v>
      </c>
      <c r="X251" s="76"/>
      <c r="Y251" s="37"/>
      <c r="Z251" s="86">
        <f>tbl_estimated_costs_quantities[[#This Row],[Floor Repairs]]*BOQs!$L$8</f>
        <v>0</v>
      </c>
      <c r="AA251" s="76"/>
      <c r="AB251" s="37"/>
      <c r="AC251" s="86">
        <f>tbl_estimated_costs_quantities[[#This Row],[Doors Replacement Repair]]*BOQs!$L$9</f>
        <v>0</v>
      </c>
      <c r="AD251" s="76"/>
      <c r="AE251" s="37"/>
      <c r="AF251" s="86">
        <f>tbl_estimated_costs_quantities[[#This Row],[Windows Replacement Repair]]*BOQs!$L$10</f>
        <v>0</v>
      </c>
      <c r="AG251" s="76"/>
      <c r="AH251" s="37"/>
      <c r="AI251" s="86">
        <f>tbl_estimated_costs_quantities[[#This Row],[Bathroom Rehabilitation]]*BOQs!$L$11</f>
        <v>0</v>
      </c>
      <c r="AJ251" s="76"/>
      <c r="AK251" s="37"/>
      <c r="AL251" s="86">
        <f>tbl_estimated_costs_quantities[[#This Row],[Ceramic Tile Works WASH]]*BOQs!$L$12</f>
        <v>0</v>
      </c>
      <c r="AM251" s="76"/>
      <c r="AN251" s="37"/>
      <c r="AO251" s="86">
        <f>tbl_estimated_costs_quantities[[#This Row],[Electrical Repairs Lighting]]*BOQs!$L$13</f>
        <v>0</v>
      </c>
      <c r="AP251" s="76"/>
      <c r="AQ251" s="37"/>
      <c r="AR251" s="86">
        <f>tbl_estimated_costs_quantities[[#This Row],[Roof Insulation Leak Sealing]]*BOQs!$L$14</f>
        <v>0</v>
      </c>
      <c r="AS251" s="76"/>
      <c r="AT251" s="37"/>
      <c r="AU251" s="86">
        <f>tbl_estimated_costs_quantities[[#This Row],[Chimney Duct Cleaning Repair]]*BOQs!$L$15</f>
        <v>0</v>
      </c>
      <c r="AV251" s="76"/>
      <c r="AW251" s="37"/>
      <c r="AX251" s="89">
        <f>tbl_estimated_costs_quantities[[#This Row],[Accessibility Adaptations]]*BOQs!$L$16</f>
        <v>0</v>
      </c>
      <c r="AY251" s="86" t="str">
        <f>IF(tbl_estimated_costs_quantities[[#This Row],[Total cost]]&lt;&gt;0,tbl_estimated_costs_quantities[[#This Row],[Total cost]]/BOQs!$A$1,"")</f>
        <v/>
      </c>
      <c r="AZ251" s="37"/>
      <c r="BA251" s="37"/>
      <c r="BB251" s="37"/>
      <c r="BC251" s="37"/>
      <c r="BD251" s="41"/>
      <c r="BE251" s="37"/>
      <c r="BF251" s="37"/>
      <c r="BG251" s="37"/>
      <c r="BH251" s="41"/>
    </row>
    <row r="252" spans="2:60" ht="25.15" customHeight="1" x14ac:dyDescent="0.25">
      <c r="B252" s="49">
        <v>248</v>
      </c>
      <c r="C252" s="37"/>
      <c r="D252" s="41"/>
      <c r="E252" s="40"/>
      <c r="F252" s="87" t="str">
        <f>IF(tbl_estimated_costs_quantities[[#This Row],[House Code]]&lt;&gt;"",INDEX(tbl_Assessment[],MATCH(tbl_estimated_costs_quantities[[#This Row],[House Code]],tbl_Assessment[House Code],0),3),"")</f>
        <v/>
      </c>
      <c r="G252" s="115" t="str">
        <f>IF(tbl_estimated_costs_quantities[[#This Row],[House Code]]&lt;&gt;"",INDEX(tbl_Assessment[],MATCH(tbl_estimated_costs_quantities[[#This Row],[House Code]],tbl_Assessment[House Code],0),9),"")</f>
        <v/>
      </c>
      <c r="H25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2" s="75"/>
      <c r="J252" s="37"/>
      <c r="K252" s="86">
        <f>tbl_estimated_costs_quantities[[#This Row],[Site Preparation]]*BOQs!$L$3</f>
        <v>0</v>
      </c>
      <c r="L252" s="76"/>
      <c r="M252" s="37"/>
      <c r="N252" s="86">
        <f>tbl_estimated_costs_quantities[[#This Row],[Demolition Removal Unsafe Structures]]*BOQs!$L$4</f>
        <v>0</v>
      </c>
      <c r="O252" s="76"/>
      <c r="P252" s="37"/>
      <c r="Q252" s="86">
        <f>tbl_estimated_costs_quantities[[#This Row],[Concrete Works]]*BOQs!$L$5</f>
        <v>0</v>
      </c>
      <c r="R252" s="76"/>
      <c r="S252" s="37"/>
      <c r="T252" s="86">
        <f>tbl_estimated_costs_quantities[[#This Row],[Closure External Openings Walls Windows]]*BOQs!$L$6</f>
        <v>0</v>
      </c>
      <c r="U252" s="76"/>
      <c r="V252" s="37"/>
      <c r="W252" s="86">
        <f>tbl_estimated_costs_quantities[[#This Row],[Plastering Painting]]*BOQs!$L$7</f>
        <v>0</v>
      </c>
      <c r="X252" s="76"/>
      <c r="Y252" s="37"/>
      <c r="Z252" s="86">
        <f>tbl_estimated_costs_quantities[[#This Row],[Floor Repairs]]*BOQs!$L$8</f>
        <v>0</v>
      </c>
      <c r="AA252" s="76"/>
      <c r="AB252" s="37"/>
      <c r="AC252" s="86">
        <f>tbl_estimated_costs_quantities[[#This Row],[Doors Replacement Repair]]*BOQs!$L$9</f>
        <v>0</v>
      </c>
      <c r="AD252" s="76"/>
      <c r="AE252" s="37"/>
      <c r="AF252" s="86">
        <f>tbl_estimated_costs_quantities[[#This Row],[Windows Replacement Repair]]*BOQs!$L$10</f>
        <v>0</v>
      </c>
      <c r="AG252" s="76"/>
      <c r="AH252" s="37"/>
      <c r="AI252" s="86">
        <f>tbl_estimated_costs_quantities[[#This Row],[Bathroom Rehabilitation]]*BOQs!$L$11</f>
        <v>0</v>
      </c>
      <c r="AJ252" s="76"/>
      <c r="AK252" s="37"/>
      <c r="AL252" s="86">
        <f>tbl_estimated_costs_quantities[[#This Row],[Ceramic Tile Works WASH]]*BOQs!$L$12</f>
        <v>0</v>
      </c>
      <c r="AM252" s="76"/>
      <c r="AN252" s="37"/>
      <c r="AO252" s="86">
        <f>tbl_estimated_costs_quantities[[#This Row],[Electrical Repairs Lighting]]*BOQs!$L$13</f>
        <v>0</v>
      </c>
      <c r="AP252" s="76"/>
      <c r="AQ252" s="37"/>
      <c r="AR252" s="86">
        <f>tbl_estimated_costs_quantities[[#This Row],[Roof Insulation Leak Sealing]]*BOQs!$L$14</f>
        <v>0</v>
      </c>
      <c r="AS252" s="76"/>
      <c r="AT252" s="37"/>
      <c r="AU252" s="86">
        <f>tbl_estimated_costs_quantities[[#This Row],[Chimney Duct Cleaning Repair]]*BOQs!$L$15</f>
        <v>0</v>
      </c>
      <c r="AV252" s="76"/>
      <c r="AW252" s="37"/>
      <c r="AX252" s="89">
        <f>tbl_estimated_costs_quantities[[#This Row],[Accessibility Adaptations]]*BOQs!$L$16</f>
        <v>0</v>
      </c>
      <c r="AY252" s="86" t="str">
        <f>IF(tbl_estimated_costs_quantities[[#This Row],[Total cost]]&lt;&gt;0,tbl_estimated_costs_quantities[[#This Row],[Total cost]]/BOQs!$A$1,"")</f>
        <v/>
      </c>
      <c r="AZ252" s="37"/>
      <c r="BA252" s="37"/>
      <c r="BB252" s="37"/>
      <c r="BC252" s="37"/>
      <c r="BD252" s="41"/>
      <c r="BE252" s="37"/>
      <c r="BF252" s="37"/>
      <c r="BG252" s="37"/>
      <c r="BH252" s="41"/>
    </row>
    <row r="253" spans="2:60" ht="25.15" customHeight="1" x14ac:dyDescent="0.25">
      <c r="B253" s="49">
        <v>249</v>
      </c>
      <c r="C253" s="37"/>
      <c r="D253" s="41"/>
      <c r="E253" s="40"/>
      <c r="F253" s="87" t="str">
        <f>IF(tbl_estimated_costs_quantities[[#This Row],[House Code]]&lt;&gt;"",INDEX(tbl_Assessment[],MATCH(tbl_estimated_costs_quantities[[#This Row],[House Code]],tbl_Assessment[House Code],0),3),"")</f>
        <v/>
      </c>
      <c r="G253" s="115" t="str">
        <f>IF(tbl_estimated_costs_quantities[[#This Row],[House Code]]&lt;&gt;"",INDEX(tbl_Assessment[],MATCH(tbl_estimated_costs_quantities[[#This Row],[House Code]],tbl_Assessment[House Code],0),9),"")</f>
        <v/>
      </c>
      <c r="H25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3" s="75"/>
      <c r="J253" s="37"/>
      <c r="K253" s="86">
        <f>tbl_estimated_costs_quantities[[#This Row],[Site Preparation]]*BOQs!$L$3</f>
        <v>0</v>
      </c>
      <c r="L253" s="76"/>
      <c r="M253" s="37"/>
      <c r="N253" s="86">
        <f>tbl_estimated_costs_quantities[[#This Row],[Demolition Removal Unsafe Structures]]*BOQs!$L$4</f>
        <v>0</v>
      </c>
      <c r="O253" s="76"/>
      <c r="P253" s="37"/>
      <c r="Q253" s="86">
        <f>tbl_estimated_costs_quantities[[#This Row],[Concrete Works]]*BOQs!$L$5</f>
        <v>0</v>
      </c>
      <c r="R253" s="76"/>
      <c r="S253" s="37"/>
      <c r="T253" s="86">
        <f>tbl_estimated_costs_quantities[[#This Row],[Closure External Openings Walls Windows]]*BOQs!$L$6</f>
        <v>0</v>
      </c>
      <c r="U253" s="76"/>
      <c r="V253" s="37"/>
      <c r="W253" s="86">
        <f>tbl_estimated_costs_quantities[[#This Row],[Plastering Painting]]*BOQs!$L$7</f>
        <v>0</v>
      </c>
      <c r="X253" s="76"/>
      <c r="Y253" s="37"/>
      <c r="Z253" s="86">
        <f>tbl_estimated_costs_quantities[[#This Row],[Floor Repairs]]*BOQs!$L$8</f>
        <v>0</v>
      </c>
      <c r="AA253" s="76"/>
      <c r="AB253" s="37"/>
      <c r="AC253" s="86">
        <f>tbl_estimated_costs_quantities[[#This Row],[Doors Replacement Repair]]*BOQs!$L$9</f>
        <v>0</v>
      </c>
      <c r="AD253" s="76"/>
      <c r="AE253" s="37"/>
      <c r="AF253" s="86">
        <f>tbl_estimated_costs_quantities[[#This Row],[Windows Replacement Repair]]*BOQs!$L$10</f>
        <v>0</v>
      </c>
      <c r="AG253" s="76"/>
      <c r="AH253" s="37"/>
      <c r="AI253" s="86">
        <f>tbl_estimated_costs_quantities[[#This Row],[Bathroom Rehabilitation]]*BOQs!$L$11</f>
        <v>0</v>
      </c>
      <c r="AJ253" s="76"/>
      <c r="AK253" s="37"/>
      <c r="AL253" s="86">
        <f>tbl_estimated_costs_quantities[[#This Row],[Ceramic Tile Works WASH]]*BOQs!$L$12</f>
        <v>0</v>
      </c>
      <c r="AM253" s="76"/>
      <c r="AN253" s="37"/>
      <c r="AO253" s="86">
        <f>tbl_estimated_costs_quantities[[#This Row],[Electrical Repairs Lighting]]*BOQs!$L$13</f>
        <v>0</v>
      </c>
      <c r="AP253" s="76"/>
      <c r="AQ253" s="37"/>
      <c r="AR253" s="86">
        <f>tbl_estimated_costs_quantities[[#This Row],[Roof Insulation Leak Sealing]]*BOQs!$L$14</f>
        <v>0</v>
      </c>
      <c r="AS253" s="76"/>
      <c r="AT253" s="37"/>
      <c r="AU253" s="86">
        <f>tbl_estimated_costs_quantities[[#This Row],[Chimney Duct Cleaning Repair]]*BOQs!$L$15</f>
        <v>0</v>
      </c>
      <c r="AV253" s="76"/>
      <c r="AW253" s="37"/>
      <c r="AX253" s="89">
        <f>tbl_estimated_costs_quantities[[#This Row],[Accessibility Adaptations]]*BOQs!$L$16</f>
        <v>0</v>
      </c>
      <c r="AY253" s="86" t="str">
        <f>IF(tbl_estimated_costs_quantities[[#This Row],[Total cost]]&lt;&gt;0,tbl_estimated_costs_quantities[[#This Row],[Total cost]]/BOQs!$A$1,"")</f>
        <v/>
      </c>
      <c r="AZ253" s="37"/>
      <c r="BA253" s="37"/>
      <c r="BB253" s="37"/>
      <c r="BC253" s="37"/>
      <c r="BD253" s="41"/>
      <c r="BE253" s="37"/>
      <c r="BF253" s="37"/>
      <c r="BG253" s="37"/>
      <c r="BH253" s="41"/>
    </row>
    <row r="254" spans="2:60" ht="25.15" customHeight="1" x14ac:dyDescent="0.25">
      <c r="B254" s="49">
        <v>250</v>
      </c>
      <c r="C254" s="37"/>
      <c r="D254" s="41"/>
      <c r="E254" s="40"/>
      <c r="F254" s="87" t="str">
        <f>IF(tbl_estimated_costs_quantities[[#This Row],[House Code]]&lt;&gt;"",INDEX(tbl_Assessment[],MATCH(tbl_estimated_costs_quantities[[#This Row],[House Code]],tbl_Assessment[House Code],0),3),"")</f>
        <v/>
      </c>
      <c r="G254" s="115" t="str">
        <f>IF(tbl_estimated_costs_quantities[[#This Row],[House Code]]&lt;&gt;"",INDEX(tbl_Assessment[],MATCH(tbl_estimated_costs_quantities[[#This Row],[House Code]],tbl_Assessment[House Code],0),9),"")</f>
        <v/>
      </c>
      <c r="H25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4" s="75"/>
      <c r="J254" s="37"/>
      <c r="K254" s="86">
        <f>tbl_estimated_costs_quantities[[#This Row],[Site Preparation]]*BOQs!$L$3</f>
        <v>0</v>
      </c>
      <c r="L254" s="76"/>
      <c r="M254" s="37"/>
      <c r="N254" s="86">
        <f>tbl_estimated_costs_quantities[[#This Row],[Demolition Removal Unsafe Structures]]*BOQs!$L$4</f>
        <v>0</v>
      </c>
      <c r="O254" s="76"/>
      <c r="P254" s="37"/>
      <c r="Q254" s="86">
        <f>tbl_estimated_costs_quantities[[#This Row],[Concrete Works]]*BOQs!$L$5</f>
        <v>0</v>
      </c>
      <c r="R254" s="76"/>
      <c r="S254" s="37"/>
      <c r="T254" s="86">
        <f>tbl_estimated_costs_quantities[[#This Row],[Closure External Openings Walls Windows]]*BOQs!$L$6</f>
        <v>0</v>
      </c>
      <c r="U254" s="76"/>
      <c r="V254" s="37"/>
      <c r="W254" s="86">
        <f>tbl_estimated_costs_quantities[[#This Row],[Plastering Painting]]*BOQs!$L$7</f>
        <v>0</v>
      </c>
      <c r="X254" s="76"/>
      <c r="Y254" s="37"/>
      <c r="Z254" s="86">
        <f>tbl_estimated_costs_quantities[[#This Row],[Floor Repairs]]*BOQs!$L$8</f>
        <v>0</v>
      </c>
      <c r="AA254" s="76"/>
      <c r="AB254" s="37"/>
      <c r="AC254" s="86">
        <f>tbl_estimated_costs_quantities[[#This Row],[Doors Replacement Repair]]*BOQs!$L$9</f>
        <v>0</v>
      </c>
      <c r="AD254" s="76"/>
      <c r="AE254" s="37"/>
      <c r="AF254" s="86">
        <f>tbl_estimated_costs_quantities[[#This Row],[Windows Replacement Repair]]*BOQs!$L$10</f>
        <v>0</v>
      </c>
      <c r="AG254" s="76"/>
      <c r="AH254" s="37"/>
      <c r="AI254" s="86">
        <f>tbl_estimated_costs_quantities[[#This Row],[Bathroom Rehabilitation]]*BOQs!$L$11</f>
        <v>0</v>
      </c>
      <c r="AJ254" s="76"/>
      <c r="AK254" s="37"/>
      <c r="AL254" s="86">
        <f>tbl_estimated_costs_quantities[[#This Row],[Ceramic Tile Works WASH]]*BOQs!$L$12</f>
        <v>0</v>
      </c>
      <c r="AM254" s="76"/>
      <c r="AN254" s="37"/>
      <c r="AO254" s="86">
        <f>tbl_estimated_costs_quantities[[#This Row],[Electrical Repairs Lighting]]*BOQs!$L$13</f>
        <v>0</v>
      </c>
      <c r="AP254" s="76"/>
      <c r="AQ254" s="37"/>
      <c r="AR254" s="86">
        <f>tbl_estimated_costs_quantities[[#This Row],[Roof Insulation Leak Sealing]]*BOQs!$L$14</f>
        <v>0</v>
      </c>
      <c r="AS254" s="76"/>
      <c r="AT254" s="37"/>
      <c r="AU254" s="86">
        <f>tbl_estimated_costs_quantities[[#This Row],[Chimney Duct Cleaning Repair]]*BOQs!$L$15</f>
        <v>0</v>
      </c>
      <c r="AV254" s="76"/>
      <c r="AW254" s="37"/>
      <c r="AX254" s="89">
        <f>tbl_estimated_costs_quantities[[#This Row],[Accessibility Adaptations]]*BOQs!$L$16</f>
        <v>0</v>
      </c>
      <c r="AY254" s="86" t="str">
        <f>IF(tbl_estimated_costs_quantities[[#This Row],[Total cost]]&lt;&gt;0,tbl_estimated_costs_quantities[[#This Row],[Total cost]]/BOQs!$A$1,"")</f>
        <v/>
      </c>
      <c r="AZ254" s="37"/>
      <c r="BA254" s="37"/>
      <c r="BB254" s="37"/>
      <c r="BC254" s="37"/>
      <c r="BD254" s="41"/>
      <c r="BE254" s="37"/>
      <c r="BF254" s="37"/>
      <c r="BG254" s="37"/>
      <c r="BH254" s="41"/>
    </row>
    <row r="255" spans="2:60" ht="25.15" customHeight="1" x14ac:dyDescent="0.25">
      <c r="B255" s="49">
        <v>251</v>
      </c>
      <c r="C255" s="37"/>
      <c r="D255" s="41"/>
      <c r="E255" s="40"/>
      <c r="F255" s="87" t="str">
        <f>IF(tbl_estimated_costs_quantities[[#This Row],[House Code]]&lt;&gt;"",INDEX(tbl_Assessment[],MATCH(tbl_estimated_costs_quantities[[#This Row],[House Code]],tbl_Assessment[House Code],0),3),"")</f>
        <v/>
      </c>
      <c r="G255" s="115" t="str">
        <f>IF(tbl_estimated_costs_quantities[[#This Row],[House Code]]&lt;&gt;"",INDEX(tbl_Assessment[],MATCH(tbl_estimated_costs_quantities[[#This Row],[House Code]],tbl_Assessment[House Code],0),9),"")</f>
        <v/>
      </c>
      <c r="H25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5" s="75"/>
      <c r="J255" s="37"/>
      <c r="K255" s="86">
        <f>tbl_estimated_costs_quantities[[#This Row],[Site Preparation]]*BOQs!$L$3</f>
        <v>0</v>
      </c>
      <c r="L255" s="76"/>
      <c r="M255" s="37"/>
      <c r="N255" s="86">
        <f>tbl_estimated_costs_quantities[[#This Row],[Demolition Removal Unsafe Structures]]*BOQs!$L$4</f>
        <v>0</v>
      </c>
      <c r="O255" s="76"/>
      <c r="P255" s="37"/>
      <c r="Q255" s="86">
        <f>tbl_estimated_costs_quantities[[#This Row],[Concrete Works]]*BOQs!$L$5</f>
        <v>0</v>
      </c>
      <c r="R255" s="76"/>
      <c r="S255" s="37"/>
      <c r="T255" s="86">
        <f>tbl_estimated_costs_quantities[[#This Row],[Closure External Openings Walls Windows]]*BOQs!$L$6</f>
        <v>0</v>
      </c>
      <c r="U255" s="76"/>
      <c r="V255" s="37"/>
      <c r="W255" s="86">
        <f>tbl_estimated_costs_quantities[[#This Row],[Plastering Painting]]*BOQs!$L$7</f>
        <v>0</v>
      </c>
      <c r="X255" s="76"/>
      <c r="Y255" s="37"/>
      <c r="Z255" s="86">
        <f>tbl_estimated_costs_quantities[[#This Row],[Floor Repairs]]*BOQs!$L$8</f>
        <v>0</v>
      </c>
      <c r="AA255" s="76"/>
      <c r="AB255" s="37"/>
      <c r="AC255" s="86">
        <f>tbl_estimated_costs_quantities[[#This Row],[Doors Replacement Repair]]*BOQs!$L$9</f>
        <v>0</v>
      </c>
      <c r="AD255" s="76"/>
      <c r="AE255" s="37"/>
      <c r="AF255" s="86">
        <f>tbl_estimated_costs_quantities[[#This Row],[Windows Replacement Repair]]*BOQs!$L$10</f>
        <v>0</v>
      </c>
      <c r="AG255" s="76"/>
      <c r="AH255" s="37"/>
      <c r="AI255" s="86">
        <f>tbl_estimated_costs_quantities[[#This Row],[Bathroom Rehabilitation]]*BOQs!$L$11</f>
        <v>0</v>
      </c>
      <c r="AJ255" s="76"/>
      <c r="AK255" s="37"/>
      <c r="AL255" s="86">
        <f>tbl_estimated_costs_quantities[[#This Row],[Ceramic Tile Works WASH]]*BOQs!$L$12</f>
        <v>0</v>
      </c>
      <c r="AM255" s="76"/>
      <c r="AN255" s="37"/>
      <c r="AO255" s="86">
        <f>tbl_estimated_costs_quantities[[#This Row],[Electrical Repairs Lighting]]*BOQs!$L$13</f>
        <v>0</v>
      </c>
      <c r="AP255" s="76"/>
      <c r="AQ255" s="37"/>
      <c r="AR255" s="86">
        <f>tbl_estimated_costs_quantities[[#This Row],[Roof Insulation Leak Sealing]]*BOQs!$L$14</f>
        <v>0</v>
      </c>
      <c r="AS255" s="76"/>
      <c r="AT255" s="37"/>
      <c r="AU255" s="86">
        <f>tbl_estimated_costs_quantities[[#This Row],[Chimney Duct Cleaning Repair]]*BOQs!$L$15</f>
        <v>0</v>
      </c>
      <c r="AV255" s="76"/>
      <c r="AW255" s="37"/>
      <c r="AX255" s="89">
        <f>tbl_estimated_costs_quantities[[#This Row],[Accessibility Adaptations]]*BOQs!$L$16</f>
        <v>0</v>
      </c>
      <c r="AY255" s="86" t="str">
        <f>IF(tbl_estimated_costs_quantities[[#This Row],[Total cost]]&lt;&gt;0,tbl_estimated_costs_quantities[[#This Row],[Total cost]]/BOQs!$A$1,"")</f>
        <v/>
      </c>
      <c r="AZ255" s="37"/>
      <c r="BA255" s="37"/>
      <c r="BB255" s="37"/>
      <c r="BC255" s="37"/>
      <c r="BD255" s="41"/>
      <c r="BE255" s="37"/>
      <c r="BF255" s="37"/>
      <c r="BG255" s="37"/>
      <c r="BH255" s="41"/>
    </row>
    <row r="256" spans="2:60" ht="25.15" customHeight="1" x14ac:dyDescent="0.25">
      <c r="B256" s="49">
        <v>252</v>
      </c>
      <c r="C256" s="37"/>
      <c r="D256" s="41"/>
      <c r="E256" s="40"/>
      <c r="F256" s="87" t="str">
        <f>IF(tbl_estimated_costs_quantities[[#This Row],[House Code]]&lt;&gt;"",INDEX(tbl_Assessment[],MATCH(tbl_estimated_costs_quantities[[#This Row],[House Code]],tbl_Assessment[House Code],0),3),"")</f>
        <v/>
      </c>
      <c r="G256" s="115" t="str">
        <f>IF(tbl_estimated_costs_quantities[[#This Row],[House Code]]&lt;&gt;"",INDEX(tbl_Assessment[],MATCH(tbl_estimated_costs_quantities[[#This Row],[House Code]],tbl_Assessment[House Code],0),9),"")</f>
        <v/>
      </c>
      <c r="H25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6" s="75"/>
      <c r="J256" s="37"/>
      <c r="K256" s="86">
        <f>tbl_estimated_costs_quantities[[#This Row],[Site Preparation]]*BOQs!$L$3</f>
        <v>0</v>
      </c>
      <c r="L256" s="76"/>
      <c r="M256" s="37"/>
      <c r="N256" s="86">
        <f>tbl_estimated_costs_quantities[[#This Row],[Demolition Removal Unsafe Structures]]*BOQs!$L$4</f>
        <v>0</v>
      </c>
      <c r="O256" s="76"/>
      <c r="P256" s="37"/>
      <c r="Q256" s="86">
        <f>tbl_estimated_costs_quantities[[#This Row],[Concrete Works]]*BOQs!$L$5</f>
        <v>0</v>
      </c>
      <c r="R256" s="76"/>
      <c r="S256" s="37"/>
      <c r="T256" s="86">
        <f>tbl_estimated_costs_quantities[[#This Row],[Closure External Openings Walls Windows]]*BOQs!$L$6</f>
        <v>0</v>
      </c>
      <c r="U256" s="76"/>
      <c r="V256" s="37"/>
      <c r="W256" s="86">
        <f>tbl_estimated_costs_quantities[[#This Row],[Plastering Painting]]*BOQs!$L$7</f>
        <v>0</v>
      </c>
      <c r="X256" s="76"/>
      <c r="Y256" s="37"/>
      <c r="Z256" s="86">
        <f>tbl_estimated_costs_quantities[[#This Row],[Floor Repairs]]*BOQs!$L$8</f>
        <v>0</v>
      </c>
      <c r="AA256" s="76"/>
      <c r="AB256" s="37"/>
      <c r="AC256" s="86">
        <f>tbl_estimated_costs_quantities[[#This Row],[Doors Replacement Repair]]*BOQs!$L$9</f>
        <v>0</v>
      </c>
      <c r="AD256" s="76"/>
      <c r="AE256" s="37"/>
      <c r="AF256" s="86">
        <f>tbl_estimated_costs_quantities[[#This Row],[Windows Replacement Repair]]*BOQs!$L$10</f>
        <v>0</v>
      </c>
      <c r="AG256" s="76"/>
      <c r="AH256" s="37"/>
      <c r="AI256" s="86">
        <f>tbl_estimated_costs_quantities[[#This Row],[Bathroom Rehabilitation]]*BOQs!$L$11</f>
        <v>0</v>
      </c>
      <c r="AJ256" s="76"/>
      <c r="AK256" s="37"/>
      <c r="AL256" s="86">
        <f>tbl_estimated_costs_quantities[[#This Row],[Ceramic Tile Works WASH]]*BOQs!$L$12</f>
        <v>0</v>
      </c>
      <c r="AM256" s="76"/>
      <c r="AN256" s="37"/>
      <c r="AO256" s="86">
        <f>tbl_estimated_costs_quantities[[#This Row],[Electrical Repairs Lighting]]*BOQs!$L$13</f>
        <v>0</v>
      </c>
      <c r="AP256" s="76"/>
      <c r="AQ256" s="37"/>
      <c r="AR256" s="86">
        <f>tbl_estimated_costs_quantities[[#This Row],[Roof Insulation Leak Sealing]]*BOQs!$L$14</f>
        <v>0</v>
      </c>
      <c r="AS256" s="76"/>
      <c r="AT256" s="37"/>
      <c r="AU256" s="86">
        <f>tbl_estimated_costs_quantities[[#This Row],[Chimney Duct Cleaning Repair]]*BOQs!$L$15</f>
        <v>0</v>
      </c>
      <c r="AV256" s="76"/>
      <c r="AW256" s="37"/>
      <c r="AX256" s="89">
        <f>tbl_estimated_costs_quantities[[#This Row],[Accessibility Adaptations]]*BOQs!$L$16</f>
        <v>0</v>
      </c>
      <c r="AY256" s="86" t="str">
        <f>IF(tbl_estimated_costs_quantities[[#This Row],[Total cost]]&lt;&gt;0,tbl_estimated_costs_quantities[[#This Row],[Total cost]]/BOQs!$A$1,"")</f>
        <v/>
      </c>
      <c r="AZ256" s="37"/>
      <c r="BA256" s="37"/>
      <c r="BB256" s="37"/>
      <c r="BC256" s="37"/>
      <c r="BD256" s="41"/>
      <c r="BE256" s="37"/>
      <c r="BF256" s="37"/>
      <c r="BG256" s="37"/>
      <c r="BH256" s="41"/>
    </row>
    <row r="257" spans="2:60" ht="25.15" customHeight="1" x14ac:dyDescent="0.25">
      <c r="B257" s="49">
        <v>253</v>
      </c>
      <c r="C257" s="37"/>
      <c r="D257" s="41"/>
      <c r="E257" s="40"/>
      <c r="F257" s="87" t="str">
        <f>IF(tbl_estimated_costs_quantities[[#This Row],[House Code]]&lt;&gt;"",INDEX(tbl_Assessment[],MATCH(tbl_estimated_costs_quantities[[#This Row],[House Code]],tbl_Assessment[House Code],0),3),"")</f>
        <v/>
      </c>
      <c r="G257" s="115" t="str">
        <f>IF(tbl_estimated_costs_quantities[[#This Row],[House Code]]&lt;&gt;"",INDEX(tbl_Assessment[],MATCH(tbl_estimated_costs_quantities[[#This Row],[House Code]],tbl_Assessment[House Code],0),9),"")</f>
        <v/>
      </c>
      <c r="H25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7" s="75"/>
      <c r="J257" s="37"/>
      <c r="K257" s="86">
        <f>tbl_estimated_costs_quantities[[#This Row],[Site Preparation]]*BOQs!$L$3</f>
        <v>0</v>
      </c>
      <c r="L257" s="76"/>
      <c r="M257" s="37"/>
      <c r="N257" s="86">
        <f>tbl_estimated_costs_quantities[[#This Row],[Demolition Removal Unsafe Structures]]*BOQs!$L$4</f>
        <v>0</v>
      </c>
      <c r="O257" s="76"/>
      <c r="P257" s="37"/>
      <c r="Q257" s="86">
        <f>tbl_estimated_costs_quantities[[#This Row],[Concrete Works]]*BOQs!$L$5</f>
        <v>0</v>
      </c>
      <c r="R257" s="76"/>
      <c r="S257" s="37"/>
      <c r="T257" s="86">
        <f>tbl_estimated_costs_quantities[[#This Row],[Closure External Openings Walls Windows]]*BOQs!$L$6</f>
        <v>0</v>
      </c>
      <c r="U257" s="76"/>
      <c r="V257" s="37"/>
      <c r="W257" s="86">
        <f>tbl_estimated_costs_quantities[[#This Row],[Plastering Painting]]*BOQs!$L$7</f>
        <v>0</v>
      </c>
      <c r="X257" s="76"/>
      <c r="Y257" s="37"/>
      <c r="Z257" s="86">
        <f>tbl_estimated_costs_quantities[[#This Row],[Floor Repairs]]*BOQs!$L$8</f>
        <v>0</v>
      </c>
      <c r="AA257" s="76"/>
      <c r="AB257" s="37"/>
      <c r="AC257" s="86">
        <f>tbl_estimated_costs_quantities[[#This Row],[Doors Replacement Repair]]*BOQs!$L$9</f>
        <v>0</v>
      </c>
      <c r="AD257" s="76"/>
      <c r="AE257" s="37"/>
      <c r="AF257" s="86">
        <f>tbl_estimated_costs_quantities[[#This Row],[Windows Replacement Repair]]*BOQs!$L$10</f>
        <v>0</v>
      </c>
      <c r="AG257" s="76"/>
      <c r="AH257" s="37"/>
      <c r="AI257" s="86">
        <f>tbl_estimated_costs_quantities[[#This Row],[Bathroom Rehabilitation]]*BOQs!$L$11</f>
        <v>0</v>
      </c>
      <c r="AJ257" s="76"/>
      <c r="AK257" s="37"/>
      <c r="AL257" s="86">
        <f>tbl_estimated_costs_quantities[[#This Row],[Ceramic Tile Works WASH]]*BOQs!$L$12</f>
        <v>0</v>
      </c>
      <c r="AM257" s="76"/>
      <c r="AN257" s="37"/>
      <c r="AO257" s="86">
        <f>tbl_estimated_costs_quantities[[#This Row],[Electrical Repairs Lighting]]*BOQs!$L$13</f>
        <v>0</v>
      </c>
      <c r="AP257" s="76"/>
      <c r="AQ257" s="37"/>
      <c r="AR257" s="86">
        <f>tbl_estimated_costs_quantities[[#This Row],[Roof Insulation Leak Sealing]]*BOQs!$L$14</f>
        <v>0</v>
      </c>
      <c r="AS257" s="76"/>
      <c r="AT257" s="37"/>
      <c r="AU257" s="86">
        <f>tbl_estimated_costs_quantities[[#This Row],[Chimney Duct Cleaning Repair]]*BOQs!$L$15</f>
        <v>0</v>
      </c>
      <c r="AV257" s="76"/>
      <c r="AW257" s="37"/>
      <c r="AX257" s="89">
        <f>tbl_estimated_costs_quantities[[#This Row],[Accessibility Adaptations]]*BOQs!$L$16</f>
        <v>0</v>
      </c>
      <c r="AY257" s="86" t="str">
        <f>IF(tbl_estimated_costs_quantities[[#This Row],[Total cost]]&lt;&gt;0,tbl_estimated_costs_quantities[[#This Row],[Total cost]]/BOQs!$A$1,"")</f>
        <v/>
      </c>
      <c r="AZ257" s="37"/>
      <c r="BA257" s="37"/>
      <c r="BB257" s="37"/>
      <c r="BC257" s="37"/>
      <c r="BD257" s="41"/>
      <c r="BE257" s="37"/>
      <c r="BF257" s="37"/>
      <c r="BG257" s="37"/>
      <c r="BH257" s="41"/>
    </row>
    <row r="258" spans="2:60" ht="25.15" customHeight="1" x14ac:dyDescent="0.25">
      <c r="B258" s="49">
        <v>254</v>
      </c>
      <c r="C258" s="37"/>
      <c r="D258" s="41"/>
      <c r="E258" s="40"/>
      <c r="F258" s="87" t="str">
        <f>IF(tbl_estimated_costs_quantities[[#This Row],[House Code]]&lt;&gt;"",INDEX(tbl_Assessment[],MATCH(tbl_estimated_costs_quantities[[#This Row],[House Code]],tbl_Assessment[House Code],0),3),"")</f>
        <v/>
      </c>
      <c r="G258" s="115" t="str">
        <f>IF(tbl_estimated_costs_quantities[[#This Row],[House Code]]&lt;&gt;"",INDEX(tbl_Assessment[],MATCH(tbl_estimated_costs_quantities[[#This Row],[House Code]],tbl_Assessment[House Code],0),9),"")</f>
        <v/>
      </c>
      <c r="H25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8" s="75"/>
      <c r="J258" s="37"/>
      <c r="K258" s="86">
        <f>tbl_estimated_costs_quantities[[#This Row],[Site Preparation]]*BOQs!$L$3</f>
        <v>0</v>
      </c>
      <c r="L258" s="76"/>
      <c r="M258" s="37"/>
      <c r="N258" s="86">
        <f>tbl_estimated_costs_quantities[[#This Row],[Demolition Removal Unsafe Structures]]*BOQs!$L$4</f>
        <v>0</v>
      </c>
      <c r="O258" s="76"/>
      <c r="P258" s="37"/>
      <c r="Q258" s="86">
        <f>tbl_estimated_costs_quantities[[#This Row],[Concrete Works]]*BOQs!$L$5</f>
        <v>0</v>
      </c>
      <c r="R258" s="76"/>
      <c r="S258" s="37"/>
      <c r="T258" s="86">
        <f>tbl_estimated_costs_quantities[[#This Row],[Closure External Openings Walls Windows]]*BOQs!$L$6</f>
        <v>0</v>
      </c>
      <c r="U258" s="76"/>
      <c r="V258" s="37"/>
      <c r="W258" s="86">
        <f>tbl_estimated_costs_quantities[[#This Row],[Plastering Painting]]*BOQs!$L$7</f>
        <v>0</v>
      </c>
      <c r="X258" s="76"/>
      <c r="Y258" s="37"/>
      <c r="Z258" s="86">
        <f>tbl_estimated_costs_quantities[[#This Row],[Floor Repairs]]*BOQs!$L$8</f>
        <v>0</v>
      </c>
      <c r="AA258" s="76"/>
      <c r="AB258" s="37"/>
      <c r="AC258" s="86">
        <f>tbl_estimated_costs_quantities[[#This Row],[Doors Replacement Repair]]*BOQs!$L$9</f>
        <v>0</v>
      </c>
      <c r="AD258" s="76"/>
      <c r="AE258" s="37"/>
      <c r="AF258" s="86">
        <f>tbl_estimated_costs_quantities[[#This Row],[Windows Replacement Repair]]*BOQs!$L$10</f>
        <v>0</v>
      </c>
      <c r="AG258" s="76"/>
      <c r="AH258" s="37"/>
      <c r="AI258" s="86">
        <f>tbl_estimated_costs_quantities[[#This Row],[Bathroom Rehabilitation]]*BOQs!$L$11</f>
        <v>0</v>
      </c>
      <c r="AJ258" s="76"/>
      <c r="AK258" s="37"/>
      <c r="AL258" s="86">
        <f>tbl_estimated_costs_quantities[[#This Row],[Ceramic Tile Works WASH]]*BOQs!$L$12</f>
        <v>0</v>
      </c>
      <c r="AM258" s="76"/>
      <c r="AN258" s="37"/>
      <c r="AO258" s="86">
        <f>tbl_estimated_costs_quantities[[#This Row],[Electrical Repairs Lighting]]*BOQs!$L$13</f>
        <v>0</v>
      </c>
      <c r="AP258" s="76"/>
      <c r="AQ258" s="37"/>
      <c r="AR258" s="86">
        <f>tbl_estimated_costs_quantities[[#This Row],[Roof Insulation Leak Sealing]]*BOQs!$L$14</f>
        <v>0</v>
      </c>
      <c r="AS258" s="76"/>
      <c r="AT258" s="37"/>
      <c r="AU258" s="86">
        <f>tbl_estimated_costs_quantities[[#This Row],[Chimney Duct Cleaning Repair]]*BOQs!$L$15</f>
        <v>0</v>
      </c>
      <c r="AV258" s="76"/>
      <c r="AW258" s="37"/>
      <c r="AX258" s="89">
        <f>tbl_estimated_costs_quantities[[#This Row],[Accessibility Adaptations]]*BOQs!$L$16</f>
        <v>0</v>
      </c>
      <c r="AY258" s="86" t="str">
        <f>IF(tbl_estimated_costs_quantities[[#This Row],[Total cost]]&lt;&gt;0,tbl_estimated_costs_quantities[[#This Row],[Total cost]]/BOQs!$A$1,"")</f>
        <v/>
      </c>
      <c r="AZ258" s="37"/>
      <c r="BA258" s="37"/>
      <c r="BB258" s="37"/>
      <c r="BC258" s="37"/>
      <c r="BD258" s="41"/>
      <c r="BE258" s="37"/>
      <c r="BF258" s="37"/>
      <c r="BG258" s="37"/>
      <c r="BH258" s="41"/>
    </row>
    <row r="259" spans="2:60" ht="25.15" customHeight="1" x14ac:dyDescent="0.25">
      <c r="B259" s="49">
        <v>255</v>
      </c>
      <c r="C259" s="37"/>
      <c r="D259" s="41"/>
      <c r="E259" s="40"/>
      <c r="F259" s="87" t="str">
        <f>IF(tbl_estimated_costs_quantities[[#This Row],[House Code]]&lt;&gt;"",INDEX(tbl_Assessment[],MATCH(tbl_estimated_costs_quantities[[#This Row],[House Code]],tbl_Assessment[House Code],0),3),"")</f>
        <v/>
      </c>
      <c r="G259" s="115" t="str">
        <f>IF(tbl_estimated_costs_quantities[[#This Row],[House Code]]&lt;&gt;"",INDEX(tbl_Assessment[],MATCH(tbl_estimated_costs_quantities[[#This Row],[House Code]],tbl_Assessment[House Code],0),9),"")</f>
        <v/>
      </c>
      <c r="H25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59" s="75"/>
      <c r="J259" s="37"/>
      <c r="K259" s="86">
        <f>tbl_estimated_costs_quantities[[#This Row],[Site Preparation]]*BOQs!$L$3</f>
        <v>0</v>
      </c>
      <c r="L259" s="76"/>
      <c r="M259" s="37"/>
      <c r="N259" s="86">
        <f>tbl_estimated_costs_quantities[[#This Row],[Demolition Removal Unsafe Structures]]*BOQs!$L$4</f>
        <v>0</v>
      </c>
      <c r="O259" s="76"/>
      <c r="P259" s="37"/>
      <c r="Q259" s="86">
        <f>tbl_estimated_costs_quantities[[#This Row],[Concrete Works]]*BOQs!$L$5</f>
        <v>0</v>
      </c>
      <c r="R259" s="76"/>
      <c r="S259" s="37"/>
      <c r="T259" s="86">
        <f>tbl_estimated_costs_quantities[[#This Row],[Closure External Openings Walls Windows]]*BOQs!$L$6</f>
        <v>0</v>
      </c>
      <c r="U259" s="76"/>
      <c r="V259" s="37"/>
      <c r="W259" s="86">
        <f>tbl_estimated_costs_quantities[[#This Row],[Plastering Painting]]*BOQs!$L$7</f>
        <v>0</v>
      </c>
      <c r="X259" s="76"/>
      <c r="Y259" s="37"/>
      <c r="Z259" s="86">
        <f>tbl_estimated_costs_quantities[[#This Row],[Floor Repairs]]*BOQs!$L$8</f>
        <v>0</v>
      </c>
      <c r="AA259" s="76"/>
      <c r="AB259" s="37"/>
      <c r="AC259" s="86">
        <f>tbl_estimated_costs_quantities[[#This Row],[Doors Replacement Repair]]*BOQs!$L$9</f>
        <v>0</v>
      </c>
      <c r="AD259" s="76"/>
      <c r="AE259" s="37"/>
      <c r="AF259" s="86">
        <f>tbl_estimated_costs_quantities[[#This Row],[Windows Replacement Repair]]*BOQs!$L$10</f>
        <v>0</v>
      </c>
      <c r="AG259" s="76"/>
      <c r="AH259" s="37"/>
      <c r="AI259" s="86">
        <f>tbl_estimated_costs_quantities[[#This Row],[Bathroom Rehabilitation]]*BOQs!$L$11</f>
        <v>0</v>
      </c>
      <c r="AJ259" s="76"/>
      <c r="AK259" s="37"/>
      <c r="AL259" s="86">
        <f>tbl_estimated_costs_quantities[[#This Row],[Ceramic Tile Works WASH]]*BOQs!$L$12</f>
        <v>0</v>
      </c>
      <c r="AM259" s="76"/>
      <c r="AN259" s="37"/>
      <c r="AO259" s="86">
        <f>tbl_estimated_costs_quantities[[#This Row],[Electrical Repairs Lighting]]*BOQs!$L$13</f>
        <v>0</v>
      </c>
      <c r="AP259" s="76"/>
      <c r="AQ259" s="37"/>
      <c r="AR259" s="86">
        <f>tbl_estimated_costs_quantities[[#This Row],[Roof Insulation Leak Sealing]]*BOQs!$L$14</f>
        <v>0</v>
      </c>
      <c r="AS259" s="76"/>
      <c r="AT259" s="37"/>
      <c r="AU259" s="86">
        <f>tbl_estimated_costs_quantities[[#This Row],[Chimney Duct Cleaning Repair]]*BOQs!$L$15</f>
        <v>0</v>
      </c>
      <c r="AV259" s="76"/>
      <c r="AW259" s="37"/>
      <c r="AX259" s="89">
        <f>tbl_estimated_costs_quantities[[#This Row],[Accessibility Adaptations]]*BOQs!$L$16</f>
        <v>0</v>
      </c>
      <c r="AY259" s="86" t="str">
        <f>IF(tbl_estimated_costs_quantities[[#This Row],[Total cost]]&lt;&gt;0,tbl_estimated_costs_quantities[[#This Row],[Total cost]]/BOQs!$A$1,"")</f>
        <v/>
      </c>
      <c r="AZ259" s="37"/>
      <c r="BA259" s="37"/>
      <c r="BB259" s="37"/>
      <c r="BC259" s="37"/>
      <c r="BD259" s="41"/>
      <c r="BE259" s="37"/>
      <c r="BF259" s="37"/>
      <c r="BG259" s="37"/>
      <c r="BH259" s="41"/>
    </row>
    <row r="260" spans="2:60" ht="25.15" customHeight="1" x14ac:dyDescent="0.25">
      <c r="B260" s="49">
        <v>256</v>
      </c>
      <c r="C260" s="37"/>
      <c r="D260" s="41"/>
      <c r="E260" s="40"/>
      <c r="F260" s="87" t="str">
        <f>IF(tbl_estimated_costs_quantities[[#This Row],[House Code]]&lt;&gt;"",INDEX(tbl_Assessment[],MATCH(tbl_estimated_costs_quantities[[#This Row],[House Code]],tbl_Assessment[House Code],0),3),"")</f>
        <v/>
      </c>
      <c r="G260" s="115" t="str">
        <f>IF(tbl_estimated_costs_quantities[[#This Row],[House Code]]&lt;&gt;"",INDEX(tbl_Assessment[],MATCH(tbl_estimated_costs_quantities[[#This Row],[House Code]],tbl_Assessment[House Code],0),9),"")</f>
        <v/>
      </c>
      <c r="H26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0" s="75"/>
      <c r="J260" s="37"/>
      <c r="K260" s="86">
        <f>tbl_estimated_costs_quantities[[#This Row],[Site Preparation]]*BOQs!$L$3</f>
        <v>0</v>
      </c>
      <c r="L260" s="76"/>
      <c r="M260" s="37"/>
      <c r="N260" s="86">
        <f>tbl_estimated_costs_quantities[[#This Row],[Demolition Removal Unsafe Structures]]*BOQs!$L$4</f>
        <v>0</v>
      </c>
      <c r="O260" s="76"/>
      <c r="P260" s="37"/>
      <c r="Q260" s="86">
        <f>tbl_estimated_costs_quantities[[#This Row],[Concrete Works]]*BOQs!$L$5</f>
        <v>0</v>
      </c>
      <c r="R260" s="76"/>
      <c r="S260" s="37"/>
      <c r="T260" s="86">
        <f>tbl_estimated_costs_quantities[[#This Row],[Closure External Openings Walls Windows]]*BOQs!$L$6</f>
        <v>0</v>
      </c>
      <c r="U260" s="76"/>
      <c r="V260" s="37"/>
      <c r="W260" s="86">
        <f>tbl_estimated_costs_quantities[[#This Row],[Plastering Painting]]*BOQs!$L$7</f>
        <v>0</v>
      </c>
      <c r="X260" s="76"/>
      <c r="Y260" s="37"/>
      <c r="Z260" s="86">
        <f>tbl_estimated_costs_quantities[[#This Row],[Floor Repairs]]*BOQs!$L$8</f>
        <v>0</v>
      </c>
      <c r="AA260" s="76"/>
      <c r="AB260" s="37"/>
      <c r="AC260" s="86">
        <f>tbl_estimated_costs_quantities[[#This Row],[Doors Replacement Repair]]*BOQs!$L$9</f>
        <v>0</v>
      </c>
      <c r="AD260" s="76"/>
      <c r="AE260" s="37"/>
      <c r="AF260" s="86">
        <f>tbl_estimated_costs_quantities[[#This Row],[Windows Replacement Repair]]*BOQs!$L$10</f>
        <v>0</v>
      </c>
      <c r="AG260" s="76"/>
      <c r="AH260" s="37"/>
      <c r="AI260" s="86">
        <f>tbl_estimated_costs_quantities[[#This Row],[Bathroom Rehabilitation]]*BOQs!$L$11</f>
        <v>0</v>
      </c>
      <c r="AJ260" s="76"/>
      <c r="AK260" s="37"/>
      <c r="AL260" s="86">
        <f>tbl_estimated_costs_quantities[[#This Row],[Ceramic Tile Works WASH]]*BOQs!$L$12</f>
        <v>0</v>
      </c>
      <c r="AM260" s="76"/>
      <c r="AN260" s="37"/>
      <c r="AO260" s="86">
        <f>tbl_estimated_costs_quantities[[#This Row],[Electrical Repairs Lighting]]*BOQs!$L$13</f>
        <v>0</v>
      </c>
      <c r="AP260" s="76"/>
      <c r="AQ260" s="37"/>
      <c r="AR260" s="86">
        <f>tbl_estimated_costs_quantities[[#This Row],[Roof Insulation Leak Sealing]]*BOQs!$L$14</f>
        <v>0</v>
      </c>
      <c r="AS260" s="76"/>
      <c r="AT260" s="37"/>
      <c r="AU260" s="86">
        <f>tbl_estimated_costs_quantities[[#This Row],[Chimney Duct Cleaning Repair]]*BOQs!$L$15</f>
        <v>0</v>
      </c>
      <c r="AV260" s="76"/>
      <c r="AW260" s="37"/>
      <c r="AX260" s="89">
        <f>tbl_estimated_costs_quantities[[#This Row],[Accessibility Adaptations]]*BOQs!$L$16</f>
        <v>0</v>
      </c>
      <c r="AY260" s="86" t="str">
        <f>IF(tbl_estimated_costs_quantities[[#This Row],[Total cost]]&lt;&gt;0,tbl_estimated_costs_quantities[[#This Row],[Total cost]]/BOQs!$A$1,"")</f>
        <v/>
      </c>
      <c r="AZ260" s="37"/>
      <c r="BA260" s="37"/>
      <c r="BB260" s="37"/>
      <c r="BC260" s="37"/>
      <c r="BD260" s="41"/>
      <c r="BE260" s="37"/>
      <c r="BF260" s="37"/>
      <c r="BG260" s="37"/>
      <c r="BH260" s="41"/>
    </row>
    <row r="261" spans="2:60" ht="25.15" customHeight="1" x14ac:dyDescent="0.25">
      <c r="B261" s="49">
        <v>257</v>
      </c>
      <c r="C261" s="37"/>
      <c r="D261" s="41"/>
      <c r="E261" s="40"/>
      <c r="F261" s="87" t="str">
        <f>IF(tbl_estimated_costs_quantities[[#This Row],[House Code]]&lt;&gt;"",INDEX(tbl_Assessment[],MATCH(tbl_estimated_costs_quantities[[#This Row],[House Code]],tbl_Assessment[House Code],0),3),"")</f>
        <v/>
      </c>
      <c r="G261" s="115" t="str">
        <f>IF(tbl_estimated_costs_quantities[[#This Row],[House Code]]&lt;&gt;"",INDEX(tbl_Assessment[],MATCH(tbl_estimated_costs_quantities[[#This Row],[House Code]],tbl_Assessment[House Code],0),9),"")</f>
        <v/>
      </c>
      <c r="H26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1" s="75"/>
      <c r="J261" s="37"/>
      <c r="K261" s="86">
        <f>tbl_estimated_costs_quantities[[#This Row],[Site Preparation]]*BOQs!$L$3</f>
        <v>0</v>
      </c>
      <c r="L261" s="76"/>
      <c r="M261" s="37"/>
      <c r="N261" s="86">
        <f>tbl_estimated_costs_quantities[[#This Row],[Demolition Removal Unsafe Structures]]*BOQs!$L$4</f>
        <v>0</v>
      </c>
      <c r="O261" s="76"/>
      <c r="P261" s="37"/>
      <c r="Q261" s="86">
        <f>tbl_estimated_costs_quantities[[#This Row],[Concrete Works]]*BOQs!$L$5</f>
        <v>0</v>
      </c>
      <c r="R261" s="76"/>
      <c r="S261" s="37"/>
      <c r="T261" s="86">
        <f>tbl_estimated_costs_quantities[[#This Row],[Closure External Openings Walls Windows]]*BOQs!$L$6</f>
        <v>0</v>
      </c>
      <c r="U261" s="76"/>
      <c r="V261" s="37"/>
      <c r="W261" s="86">
        <f>tbl_estimated_costs_quantities[[#This Row],[Plastering Painting]]*BOQs!$L$7</f>
        <v>0</v>
      </c>
      <c r="X261" s="76"/>
      <c r="Y261" s="37"/>
      <c r="Z261" s="86">
        <f>tbl_estimated_costs_quantities[[#This Row],[Floor Repairs]]*BOQs!$L$8</f>
        <v>0</v>
      </c>
      <c r="AA261" s="76"/>
      <c r="AB261" s="37"/>
      <c r="AC261" s="86">
        <f>tbl_estimated_costs_quantities[[#This Row],[Doors Replacement Repair]]*BOQs!$L$9</f>
        <v>0</v>
      </c>
      <c r="AD261" s="76"/>
      <c r="AE261" s="37"/>
      <c r="AF261" s="86">
        <f>tbl_estimated_costs_quantities[[#This Row],[Windows Replacement Repair]]*BOQs!$L$10</f>
        <v>0</v>
      </c>
      <c r="AG261" s="76"/>
      <c r="AH261" s="37"/>
      <c r="AI261" s="86">
        <f>tbl_estimated_costs_quantities[[#This Row],[Bathroom Rehabilitation]]*BOQs!$L$11</f>
        <v>0</v>
      </c>
      <c r="AJ261" s="76"/>
      <c r="AK261" s="37"/>
      <c r="AL261" s="86">
        <f>tbl_estimated_costs_quantities[[#This Row],[Ceramic Tile Works WASH]]*BOQs!$L$12</f>
        <v>0</v>
      </c>
      <c r="AM261" s="76"/>
      <c r="AN261" s="37"/>
      <c r="AO261" s="86">
        <f>tbl_estimated_costs_quantities[[#This Row],[Electrical Repairs Lighting]]*BOQs!$L$13</f>
        <v>0</v>
      </c>
      <c r="AP261" s="76"/>
      <c r="AQ261" s="37"/>
      <c r="AR261" s="86">
        <f>tbl_estimated_costs_quantities[[#This Row],[Roof Insulation Leak Sealing]]*BOQs!$L$14</f>
        <v>0</v>
      </c>
      <c r="AS261" s="76"/>
      <c r="AT261" s="37"/>
      <c r="AU261" s="86">
        <f>tbl_estimated_costs_quantities[[#This Row],[Chimney Duct Cleaning Repair]]*BOQs!$L$15</f>
        <v>0</v>
      </c>
      <c r="AV261" s="76"/>
      <c r="AW261" s="37"/>
      <c r="AX261" s="89">
        <f>tbl_estimated_costs_quantities[[#This Row],[Accessibility Adaptations]]*BOQs!$L$16</f>
        <v>0</v>
      </c>
      <c r="AY261" s="86" t="str">
        <f>IF(tbl_estimated_costs_quantities[[#This Row],[Total cost]]&lt;&gt;0,tbl_estimated_costs_quantities[[#This Row],[Total cost]]/BOQs!$A$1,"")</f>
        <v/>
      </c>
      <c r="AZ261" s="37"/>
      <c r="BA261" s="37"/>
      <c r="BB261" s="37"/>
      <c r="BC261" s="37"/>
      <c r="BD261" s="41"/>
      <c r="BE261" s="37"/>
      <c r="BF261" s="37"/>
      <c r="BG261" s="37"/>
      <c r="BH261" s="41"/>
    </row>
    <row r="262" spans="2:60" ht="25.15" customHeight="1" x14ac:dyDescent="0.25">
      <c r="B262" s="49">
        <v>258</v>
      </c>
      <c r="C262" s="37"/>
      <c r="D262" s="41"/>
      <c r="E262" s="40"/>
      <c r="F262" s="87" t="str">
        <f>IF(tbl_estimated_costs_quantities[[#This Row],[House Code]]&lt;&gt;"",INDEX(tbl_Assessment[],MATCH(tbl_estimated_costs_quantities[[#This Row],[House Code]],tbl_Assessment[House Code],0),3),"")</f>
        <v/>
      </c>
      <c r="G262" s="115" t="str">
        <f>IF(tbl_estimated_costs_quantities[[#This Row],[House Code]]&lt;&gt;"",INDEX(tbl_Assessment[],MATCH(tbl_estimated_costs_quantities[[#This Row],[House Code]],tbl_Assessment[House Code],0),9),"")</f>
        <v/>
      </c>
      <c r="H26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2" s="75"/>
      <c r="J262" s="37"/>
      <c r="K262" s="86">
        <f>tbl_estimated_costs_quantities[[#This Row],[Site Preparation]]*BOQs!$L$3</f>
        <v>0</v>
      </c>
      <c r="L262" s="76"/>
      <c r="M262" s="37"/>
      <c r="N262" s="86">
        <f>tbl_estimated_costs_quantities[[#This Row],[Demolition Removal Unsafe Structures]]*BOQs!$L$4</f>
        <v>0</v>
      </c>
      <c r="O262" s="76"/>
      <c r="P262" s="37"/>
      <c r="Q262" s="86">
        <f>tbl_estimated_costs_quantities[[#This Row],[Concrete Works]]*BOQs!$L$5</f>
        <v>0</v>
      </c>
      <c r="R262" s="76"/>
      <c r="S262" s="37"/>
      <c r="T262" s="86">
        <f>tbl_estimated_costs_quantities[[#This Row],[Closure External Openings Walls Windows]]*BOQs!$L$6</f>
        <v>0</v>
      </c>
      <c r="U262" s="76"/>
      <c r="V262" s="37"/>
      <c r="W262" s="86">
        <f>tbl_estimated_costs_quantities[[#This Row],[Plastering Painting]]*BOQs!$L$7</f>
        <v>0</v>
      </c>
      <c r="X262" s="76"/>
      <c r="Y262" s="37"/>
      <c r="Z262" s="86">
        <f>tbl_estimated_costs_quantities[[#This Row],[Floor Repairs]]*BOQs!$L$8</f>
        <v>0</v>
      </c>
      <c r="AA262" s="76"/>
      <c r="AB262" s="37"/>
      <c r="AC262" s="86">
        <f>tbl_estimated_costs_quantities[[#This Row],[Doors Replacement Repair]]*BOQs!$L$9</f>
        <v>0</v>
      </c>
      <c r="AD262" s="76"/>
      <c r="AE262" s="37"/>
      <c r="AF262" s="86">
        <f>tbl_estimated_costs_quantities[[#This Row],[Windows Replacement Repair]]*BOQs!$L$10</f>
        <v>0</v>
      </c>
      <c r="AG262" s="76"/>
      <c r="AH262" s="37"/>
      <c r="AI262" s="86">
        <f>tbl_estimated_costs_quantities[[#This Row],[Bathroom Rehabilitation]]*BOQs!$L$11</f>
        <v>0</v>
      </c>
      <c r="AJ262" s="76"/>
      <c r="AK262" s="37"/>
      <c r="AL262" s="86">
        <f>tbl_estimated_costs_quantities[[#This Row],[Ceramic Tile Works WASH]]*BOQs!$L$12</f>
        <v>0</v>
      </c>
      <c r="AM262" s="76"/>
      <c r="AN262" s="37"/>
      <c r="AO262" s="86">
        <f>tbl_estimated_costs_quantities[[#This Row],[Electrical Repairs Lighting]]*BOQs!$L$13</f>
        <v>0</v>
      </c>
      <c r="AP262" s="76"/>
      <c r="AQ262" s="37"/>
      <c r="AR262" s="86">
        <f>tbl_estimated_costs_quantities[[#This Row],[Roof Insulation Leak Sealing]]*BOQs!$L$14</f>
        <v>0</v>
      </c>
      <c r="AS262" s="76"/>
      <c r="AT262" s="37"/>
      <c r="AU262" s="86">
        <f>tbl_estimated_costs_quantities[[#This Row],[Chimney Duct Cleaning Repair]]*BOQs!$L$15</f>
        <v>0</v>
      </c>
      <c r="AV262" s="76"/>
      <c r="AW262" s="37"/>
      <c r="AX262" s="89">
        <f>tbl_estimated_costs_quantities[[#This Row],[Accessibility Adaptations]]*BOQs!$L$16</f>
        <v>0</v>
      </c>
      <c r="AY262" s="86" t="str">
        <f>IF(tbl_estimated_costs_quantities[[#This Row],[Total cost]]&lt;&gt;0,tbl_estimated_costs_quantities[[#This Row],[Total cost]]/BOQs!$A$1,"")</f>
        <v/>
      </c>
      <c r="AZ262" s="37"/>
      <c r="BA262" s="37"/>
      <c r="BB262" s="37"/>
      <c r="BC262" s="37"/>
      <c r="BD262" s="41"/>
      <c r="BE262" s="37"/>
      <c r="BF262" s="37"/>
      <c r="BG262" s="37"/>
      <c r="BH262" s="41"/>
    </row>
    <row r="263" spans="2:60" ht="25.15" customHeight="1" x14ac:dyDescent="0.25">
      <c r="B263" s="49">
        <v>259</v>
      </c>
      <c r="C263" s="37"/>
      <c r="D263" s="41"/>
      <c r="E263" s="40"/>
      <c r="F263" s="87" t="str">
        <f>IF(tbl_estimated_costs_quantities[[#This Row],[House Code]]&lt;&gt;"",INDEX(tbl_Assessment[],MATCH(tbl_estimated_costs_quantities[[#This Row],[House Code]],tbl_Assessment[House Code],0),3),"")</f>
        <v/>
      </c>
      <c r="G263" s="115" t="str">
        <f>IF(tbl_estimated_costs_quantities[[#This Row],[House Code]]&lt;&gt;"",INDEX(tbl_Assessment[],MATCH(tbl_estimated_costs_quantities[[#This Row],[House Code]],tbl_Assessment[House Code],0),9),"")</f>
        <v/>
      </c>
      <c r="H26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3" s="75"/>
      <c r="J263" s="37"/>
      <c r="K263" s="86">
        <f>tbl_estimated_costs_quantities[[#This Row],[Site Preparation]]*BOQs!$L$3</f>
        <v>0</v>
      </c>
      <c r="L263" s="76"/>
      <c r="M263" s="37"/>
      <c r="N263" s="86">
        <f>tbl_estimated_costs_quantities[[#This Row],[Demolition Removal Unsafe Structures]]*BOQs!$L$4</f>
        <v>0</v>
      </c>
      <c r="O263" s="76"/>
      <c r="P263" s="37"/>
      <c r="Q263" s="86">
        <f>tbl_estimated_costs_quantities[[#This Row],[Concrete Works]]*BOQs!$L$5</f>
        <v>0</v>
      </c>
      <c r="R263" s="76"/>
      <c r="S263" s="37"/>
      <c r="T263" s="86">
        <f>tbl_estimated_costs_quantities[[#This Row],[Closure External Openings Walls Windows]]*BOQs!$L$6</f>
        <v>0</v>
      </c>
      <c r="U263" s="76"/>
      <c r="V263" s="37"/>
      <c r="W263" s="86">
        <f>tbl_estimated_costs_quantities[[#This Row],[Plastering Painting]]*BOQs!$L$7</f>
        <v>0</v>
      </c>
      <c r="X263" s="76"/>
      <c r="Y263" s="37"/>
      <c r="Z263" s="86">
        <f>tbl_estimated_costs_quantities[[#This Row],[Floor Repairs]]*BOQs!$L$8</f>
        <v>0</v>
      </c>
      <c r="AA263" s="76"/>
      <c r="AB263" s="37"/>
      <c r="AC263" s="86">
        <f>tbl_estimated_costs_quantities[[#This Row],[Doors Replacement Repair]]*BOQs!$L$9</f>
        <v>0</v>
      </c>
      <c r="AD263" s="76"/>
      <c r="AE263" s="37"/>
      <c r="AF263" s="86">
        <f>tbl_estimated_costs_quantities[[#This Row],[Windows Replacement Repair]]*BOQs!$L$10</f>
        <v>0</v>
      </c>
      <c r="AG263" s="76"/>
      <c r="AH263" s="37"/>
      <c r="AI263" s="86">
        <f>tbl_estimated_costs_quantities[[#This Row],[Bathroom Rehabilitation]]*BOQs!$L$11</f>
        <v>0</v>
      </c>
      <c r="AJ263" s="76"/>
      <c r="AK263" s="37"/>
      <c r="AL263" s="86">
        <f>tbl_estimated_costs_quantities[[#This Row],[Ceramic Tile Works WASH]]*BOQs!$L$12</f>
        <v>0</v>
      </c>
      <c r="AM263" s="76"/>
      <c r="AN263" s="37"/>
      <c r="AO263" s="86">
        <f>tbl_estimated_costs_quantities[[#This Row],[Electrical Repairs Lighting]]*BOQs!$L$13</f>
        <v>0</v>
      </c>
      <c r="AP263" s="76"/>
      <c r="AQ263" s="37"/>
      <c r="AR263" s="86">
        <f>tbl_estimated_costs_quantities[[#This Row],[Roof Insulation Leak Sealing]]*BOQs!$L$14</f>
        <v>0</v>
      </c>
      <c r="AS263" s="76"/>
      <c r="AT263" s="37"/>
      <c r="AU263" s="86">
        <f>tbl_estimated_costs_quantities[[#This Row],[Chimney Duct Cleaning Repair]]*BOQs!$L$15</f>
        <v>0</v>
      </c>
      <c r="AV263" s="76"/>
      <c r="AW263" s="37"/>
      <c r="AX263" s="89">
        <f>tbl_estimated_costs_quantities[[#This Row],[Accessibility Adaptations]]*BOQs!$L$16</f>
        <v>0</v>
      </c>
      <c r="AY263" s="86" t="str">
        <f>IF(tbl_estimated_costs_quantities[[#This Row],[Total cost]]&lt;&gt;0,tbl_estimated_costs_quantities[[#This Row],[Total cost]]/BOQs!$A$1,"")</f>
        <v/>
      </c>
      <c r="AZ263" s="37"/>
      <c r="BA263" s="37"/>
      <c r="BB263" s="37"/>
      <c r="BC263" s="37"/>
      <c r="BD263" s="41"/>
      <c r="BE263" s="37"/>
      <c r="BF263" s="37"/>
      <c r="BG263" s="37"/>
      <c r="BH263" s="41"/>
    </row>
    <row r="264" spans="2:60" ht="25.15" customHeight="1" x14ac:dyDescent="0.25">
      <c r="B264" s="49">
        <v>260</v>
      </c>
      <c r="C264" s="37"/>
      <c r="D264" s="41"/>
      <c r="E264" s="40"/>
      <c r="F264" s="87" t="str">
        <f>IF(tbl_estimated_costs_quantities[[#This Row],[House Code]]&lt;&gt;"",INDEX(tbl_Assessment[],MATCH(tbl_estimated_costs_quantities[[#This Row],[House Code]],tbl_Assessment[House Code],0),3),"")</f>
        <v/>
      </c>
      <c r="G264" s="115" t="str">
        <f>IF(tbl_estimated_costs_quantities[[#This Row],[House Code]]&lt;&gt;"",INDEX(tbl_Assessment[],MATCH(tbl_estimated_costs_quantities[[#This Row],[House Code]],tbl_Assessment[House Code],0),9),"")</f>
        <v/>
      </c>
      <c r="H26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4" s="75"/>
      <c r="J264" s="37"/>
      <c r="K264" s="86">
        <f>tbl_estimated_costs_quantities[[#This Row],[Site Preparation]]*BOQs!$L$3</f>
        <v>0</v>
      </c>
      <c r="L264" s="76"/>
      <c r="M264" s="37"/>
      <c r="N264" s="86">
        <f>tbl_estimated_costs_quantities[[#This Row],[Demolition Removal Unsafe Structures]]*BOQs!$L$4</f>
        <v>0</v>
      </c>
      <c r="O264" s="76"/>
      <c r="P264" s="37"/>
      <c r="Q264" s="86">
        <f>tbl_estimated_costs_quantities[[#This Row],[Concrete Works]]*BOQs!$L$5</f>
        <v>0</v>
      </c>
      <c r="R264" s="76"/>
      <c r="S264" s="37"/>
      <c r="T264" s="86">
        <f>tbl_estimated_costs_quantities[[#This Row],[Closure External Openings Walls Windows]]*BOQs!$L$6</f>
        <v>0</v>
      </c>
      <c r="U264" s="76"/>
      <c r="V264" s="37"/>
      <c r="W264" s="86">
        <f>tbl_estimated_costs_quantities[[#This Row],[Plastering Painting]]*BOQs!$L$7</f>
        <v>0</v>
      </c>
      <c r="X264" s="76"/>
      <c r="Y264" s="37"/>
      <c r="Z264" s="86">
        <f>tbl_estimated_costs_quantities[[#This Row],[Floor Repairs]]*BOQs!$L$8</f>
        <v>0</v>
      </c>
      <c r="AA264" s="76"/>
      <c r="AB264" s="37"/>
      <c r="AC264" s="86">
        <f>tbl_estimated_costs_quantities[[#This Row],[Doors Replacement Repair]]*BOQs!$L$9</f>
        <v>0</v>
      </c>
      <c r="AD264" s="76"/>
      <c r="AE264" s="37"/>
      <c r="AF264" s="86">
        <f>tbl_estimated_costs_quantities[[#This Row],[Windows Replacement Repair]]*BOQs!$L$10</f>
        <v>0</v>
      </c>
      <c r="AG264" s="76"/>
      <c r="AH264" s="37"/>
      <c r="AI264" s="86">
        <f>tbl_estimated_costs_quantities[[#This Row],[Bathroom Rehabilitation]]*BOQs!$L$11</f>
        <v>0</v>
      </c>
      <c r="AJ264" s="76"/>
      <c r="AK264" s="37"/>
      <c r="AL264" s="86">
        <f>tbl_estimated_costs_quantities[[#This Row],[Ceramic Tile Works WASH]]*BOQs!$L$12</f>
        <v>0</v>
      </c>
      <c r="AM264" s="76"/>
      <c r="AN264" s="37"/>
      <c r="AO264" s="86">
        <f>tbl_estimated_costs_quantities[[#This Row],[Electrical Repairs Lighting]]*BOQs!$L$13</f>
        <v>0</v>
      </c>
      <c r="AP264" s="76"/>
      <c r="AQ264" s="37"/>
      <c r="AR264" s="86">
        <f>tbl_estimated_costs_quantities[[#This Row],[Roof Insulation Leak Sealing]]*BOQs!$L$14</f>
        <v>0</v>
      </c>
      <c r="AS264" s="76"/>
      <c r="AT264" s="37"/>
      <c r="AU264" s="86">
        <f>tbl_estimated_costs_quantities[[#This Row],[Chimney Duct Cleaning Repair]]*BOQs!$L$15</f>
        <v>0</v>
      </c>
      <c r="AV264" s="76"/>
      <c r="AW264" s="37"/>
      <c r="AX264" s="89">
        <f>tbl_estimated_costs_quantities[[#This Row],[Accessibility Adaptations]]*BOQs!$L$16</f>
        <v>0</v>
      </c>
      <c r="AY264" s="86" t="str">
        <f>IF(tbl_estimated_costs_quantities[[#This Row],[Total cost]]&lt;&gt;0,tbl_estimated_costs_quantities[[#This Row],[Total cost]]/BOQs!$A$1,"")</f>
        <v/>
      </c>
      <c r="AZ264" s="37"/>
      <c r="BA264" s="37"/>
      <c r="BB264" s="37"/>
      <c r="BC264" s="37"/>
      <c r="BD264" s="41"/>
      <c r="BE264" s="37"/>
      <c r="BF264" s="37"/>
      <c r="BG264" s="37"/>
      <c r="BH264" s="41"/>
    </row>
    <row r="265" spans="2:60" ht="25.15" customHeight="1" x14ac:dyDescent="0.25">
      <c r="B265" s="49">
        <v>261</v>
      </c>
      <c r="C265" s="37"/>
      <c r="D265" s="41"/>
      <c r="E265" s="40"/>
      <c r="F265" s="87" t="str">
        <f>IF(tbl_estimated_costs_quantities[[#This Row],[House Code]]&lt;&gt;"",INDEX(tbl_Assessment[],MATCH(tbl_estimated_costs_quantities[[#This Row],[House Code]],tbl_Assessment[House Code],0),3),"")</f>
        <v/>
      </c>
      <c r="G265" s="115" t="str">
        <f>IF(tbl_estimated_costs_quantities[[#This Row],[House Code]]&lt;&gt;"",INDEX(tbl_Assessment[],MATCH(tbl_estimated_costs_quantities[[#This Row],[House Code]],tbl_Assessment[House Code],0),9),"")</f>
        <v/>
      </c>
      <c r="H26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5" s="75"/>
      <c r="J265" s="37"/>
      <c r="K265" s="86">
        <f>tbl_estimated_costs_quantities[[#This Row],[Site Preparation]]*BOQs!$L$3</f>
        <v>0</v>
      </c>
      <c r="L265" s="76"/>
      <c r="M265" s="37"/>
      <c r="N265" s="86">
        <f>tbl_estimated_costs_quantities[[#This Row],[Demolition Removal Unsafe Structures]]*BOQs!$L$4</f>
        <v>0</v>
      </c>
      <c r="O265" s="76"/>
      <c r="P265" s="37"/>
      <c r="Q265" s="86">
        <f>tbl_estimated_costs_quantities[[#This Row],[Concrete Works]]*BOQs!$L$5</f>
        <v>0</v>
      </c>
      <c r="R265" s="76"/>
      <c r="S265" s="37"/>
      <c r="T265" s="86">
        <f>tbl_estimated_costs_quantities[[#This Row],[Closure External Openings Walls Windows]]*BOQs!$L$6</f>
        <v>0</v>
      </c>
      <c r="U265" s="76"/>
      <c r="V265" s="37"/>
      <c r="W265" s="86">
        <f>tbl_estimated_costs_quantities[[#This Row],[Plastering Painting]]*BOQs!$L$7</f>
        <v>0</v>
      </c>
      <c r="X265" s="76"/>
      <c r="Y265" s="37"/>
      <c r="Z265" s="86">
        <f>tbl_estimated_costs_quantities[[#This Row],[Floor Repairs]]*BOQs!$L$8</f>
        <v>0</v>
      </c>
      <c r="AA265" s="76"/>
      <c r="AB265" s="37"/>
      <c r="AC265" s="86">
        <f>tbl_estimated_costs_quantities[[#This Row],[Doors Replacement Repair]]*BOQs!$L$9</f>
        <v>0</v>
      </c>
      <c r="AD265" s="76"/>
      <c r="AE265" s="37"/>
      <c r="AF265" s="86">
        <f>tbl_estimated_costs_quantities[[#This Row],[Windows Replacement Repair]]*BOQs!$L$10</f>
        <v>0</v>
      </c>
      <c r="AG265" s="76"/>
      <c r="AH265" s="37"/>
      <c r="AI265" s="86">
        <f>tbl_estimated_costs_quantities[[#This Row],[Bathroom Rehabilitation]]*BOQs!$L$11</f>
        <v>0</v>
      </c>
      <c r="AJ265" s="76"/>
      <c r="AK265" s="37"/>
      <c r="AL265" s="86">
        <f>tbl_estimated_costs_quantities[[#This Row],[Ceramic Tile Works WASH]]*BOQs!$L$12</f>
        <v>0</v>
      </c>
      <c r="AM265" s="76"/>
      <c r="AN265" s="37"/>
      <c r="AO265" s="86">
        <f>tbl_estimated_costs_quantities[[#This Row],[Electrical Repairs Lighting]]*BOQs!$L$13</f>
        <v>0</v>
      </c>
      <c r="AP265" s="76"/>
      <c r="AQ265" s="37"/>
      <c r="AR265" s="86">
        <f>tbl_estimated_costs_quantities[[#This Row],[Roof Insulation Leak Sealing]]*BOQs!$L$14</f>
        <v>0</v>
      </c>
      <c r="AS265" s="76"/>
      <c r="AT265" s="37"/>
      <c r="AU265" s="86">
        <f>tbl_estimated_costs_quantities[[#This Row],[Chimney Duct Cleaning Repair]]*BOQs!$L$15</f>
        <v>0</v>
      </c>
      <c r="AV265" s="76"/>
      <c r="AW265" s="37"/>
      <c r="AX265" s="89">
        <f>tbl_estimated_costs_quantities[[#This Row],[Accessibility Adaptations]]*BOQs!$L$16</f>
        <v>0</v>
      </c>
      <c r="AY265" s="86" t="str">
        <f>IF(tbl_estimated_costs_quantities[[#This Row],[Total cost]]&lt;&gt;0,tbl_estimated_costs_quantities[[#This Row],[Total cost]]/BOQs!$A$1,"")</f>
        <v/>
      </c>
      <c r="AZ265" s="37"/>
      <c r="BA265" s="37"/>
      <c r="BB265" s="37"/>
      <c r="BC265" s="37"/>
      <c r="BD265" s="41"/>
      <c r="BE265" s="37"/>
      <c r="BF265" s="37"/>
      <c r="BG265" s="37"/>
      <c r="BH265" s="41"/>
    </row>
    <row r="266" spans="2:60" ht="25.15" customHeight="1" x14ac:dyDescent="0.25">
      <c r="B266" s="49">
        <v>262</v>
      </c>
      <c r="C266" s="37"/>
      <c r="D266" s="41"/>
      <c r="E266" s="40"/>
      <c r="F266" s="87" t="str">
        <f>IF(tbl_estimated_costs_quantities[[#This Row],[House Code]]&lt;&gt;"",INDEX(tbl_Assessment[],MATCH(tbl_estimated_costs_quantities[[#This Row],[House Code]],tbl_Assessment[House Code],0),3),"")</f>
        <v/>
      </c>
      <c r="G266" s="115" t="str">
        <f>IF(tbl_estimated_costs_quantities[[#This Row],[House Code]]&lt;&gt;"",INDEX(tbl_Assessment[],MATCH(tbl_estimated_costs_quantities[[#This Row],[House Code]],tbl_Assessment[House Code],0),9),"")</f>
        <v/>
      </c>
      <c r="H26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6" s="75"/>
      <c r="J266" s="37"/>
      <c r="K266" s="86">
        <f>tbl_estimated_costs_quantities[[#This Row],[Site Preparation]]*BOQs!$L$3</f>
        <v>0</v>
      </c>
      <c r="L266" s="76"/>
      <c r="M266" s="37"/>
      <c r="N266" s="86">
        <f>tbl_estimated_costs_quantities[[#This Row],[Demolition Removal Unsafe Structures]]*BOQs!$L$4</f>
        <v>0</v>
      </c>
      <c r="O266" s="76"/>
      <c r="P266" s="37"/>
      <c r="Q266" s="86">
        <f>tbl_estimated_costs_quantities[[#This Row],[Concrete Works]]*BOQs!$L$5</f>
        <v>0</v>
      </c>
      <c r="R266" s="76"/>
      <c r="S266" s="37"/>
      <c r="T266" s="86">
        <f>tbl_estimated_costs_quantities[[#This Row],[Closure External Openings Walls Windows]]*BOQs!$L$6</f>
        <v>0</v>
      </c>
      <c r="U266" s="76"/>
      <c r="V266" s="37"/>
      <c r="W266" s="86">
        <f>tbl_estimated_costs_quantities[[#This Row],[Plastering Painting]]*BOQs!$L$7</f>
        <v>0</v>
      </c>
      <c r="X266" s="76"/>
      <c r="Y266" s="37"/>
      <c r="Z266" s="86">
        <f>tbl_estimated_costs_quantities[[#This Row],[Floor Repairs]]*BOQs!$L$8</f>
        <v>0</v>
      </c>
      <c r="AA266" s="76"/>
      <c r="AB266" s="37"/>
      <c r="AC266" s="86">
        <f>tbl_estimated_costs_quantities[[#This Row],[Doors Replacement Repair]]*BOQs!$L$9</f>
        <v>0</v>
      </c>
      <c r="AD266" s="76"/>
      <c r="AE266" s="37"/>
      <c r="AF266" s="86">
        <f>tbl_estimated_costs_quantities[[#This Row],[Windows Replacement Repair]]*BOQs!$L$10</f>
        <v>0</v>
      </c>
      <c r="AG266" s="76"/>
      <c r="AH266" s="37"/>
      <c r="AI266" s="86">
        <f>tbl_estimated_costs_quantities[[#This Row],[Bathroom Rehabilitation]]*BOQs!$L$11</f>
        <v>0</v>
      </c>
      <c r="AJ266" s="76"/>
      <c r="AK266" s="37"/>
      <c r="AL266" s="86">
        <f>tbl_estimated_costs_quantities[[#This Row],[Ceramic Tile Works WASH]]*BOQs!$L$12</f>
        <v>0</v>
      </c>
      <c r="AM266" s="76"/>
      <c r="AN266" s="37"/>
      <c r="AO266" s="86">
        <f>tbl_estimated_costs_quantities[[#This Row],[Electrical Repairs Lighting]]*BOQs!$L$13</f>
        <v>0</v>
      </c>
      <c r="AP266" s="76"/>
      <c r="AQ266" s="37"/>
      <c r="AR266" s="86">
        <f>tbl_estimated_costs_quantities[[#This Row],[Roof Insulation Leak Sealing]]*BOQs!$L$14</f>
        <v>0</v>
      </c>
      <c r="AS266" s="76"/>
      <c r="AT266" s="37"/>
      <c r="AU266" s="86">
        <f>tbl_estimated_costs_quantities[[#This Row],[Chimney Duct Cleaning Repair]]*BOQs!$L$15</f>
        <v>0</v>
      </c>
      <c r="AV266" s="76"/>
      <c r="AW266" s="37"/>
      <c r="AX266" s="89">
        <f>tbl_estimated_costs_quantities[[#This Row],[Accessibility Adaptations]]*BOQs!$L$16</f>
        <v>0</v>
      </c>
      <c r="AY266" s="86" t="str">
        <f>IF(tbl_estimated_costs_quantities[[#This Row],[Total cost]]&lt;&gt;0,tbl_estimated_costs_quantities[[#This Row],[Total cost]]/BOQs!$A$1,"")</f>
        <v/>
      </c>
      <c r="AZ266" s="37"/>
      <c r="BA266" s="37"/>
      <c r="BB266" s="37"/>
      <c r="BC266" s="37"/>
      <c r="BD266" s="41"/>
      <c r="BE266" s="37"/>
      <c r="BF266" s="37"/>
      <c r="BG266" s="37"/>
      <c r="BH266" s="41"/>
    </row>
    <row r="267" spans="2:60" ht="25.15" customHeight="1" x14ac:dyDescent="0.25">
      <c r="B267" s="49">
        <v>263</v>
      </c>
      <c r="C267" s="37"/>
      <c r="D267" s="41"/>
      <c r="E267" s="40"/>
      <c r="F267" s="87" t="str">
        <f>IF(tbl_estimated_costs_quantities[[#This Row],[House Code]]&lt;&gt;"",INDEX(tbl_Assessment[],MATCH(tbl_estimated_costs_quantities[[#This Row],[House Code]],tbl_Assessment[House Code],0),3),"")</f>
        <v/>
      </c>
      <c r="G267" s="115" t="str">
        <f>IF(tbl_estimated_costs_quantities[[#This Row],[House Code]]&lt;&gt;"",INDEX(tbl_Assessment[],MATCH(tbl_estimated_costs_quantities[[#This Row],[House Code]],tbl_Assessment[House Code],0),9),"")</f>
        <v/>
      </c>
      <c r="H26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7" s="75"/>
      <c r="J267" s="37"/>
      <c r="K267" s="86">
        <f>tbl_estimated_costs_quantities[[#This Row],[Site Preparation]]*BOQs!$L$3</f>
        <v>0</v>
      </c>
      <c r="L267" s="76"/>
      <c r="M267" s="37"/>
      <c r="N267" s="86">
        <f>tbl_estimated_costs_quantities[[#This Row],[Demolition Removal Unsafe Structures]]*BOQs!$L$4</f>
        <v>0</v>
      </c>
      <c r="O267" s="76"/>
      <c r="P267" s="37"/>
      <c r="Q267" s="86">
        <f>tbl_estimated_costs_quantities[[#This Row],[Concrete Works]]*BOQs!$L$5</f>
        <v>0</v>
      </c>
      <c r="R267" s="76"/>
      <c r="S267" s="37"/>
      <c r="T267" s="86">
        <f>tbl_estimated_costs_quantities[[#This Row],[Closure External Openings Walls Windows]]*BOQs!$L$6</f>
        <v>0</v>
      </c>
      <c r="U267" s="76"/>
      <c r="V267" s="37"/>
      <c r="W267" s="86">
        <f>tbl_estimated_costs_quantities[[#This Row],[Plastering Painting]]*BOQs!$L$7</f>
        <v>0</v>
      </c>
      <c r="X267" s="76"/>
      <c r="Y267" s="37"/>
      <c r="Z267" s="86">
        <f>tbl_estimated_costs_quantities[[#This Row],[Floor Repairs]]*BOQs!$L$8</f>
        <v>0</v>
      </c>
      <c r="AA267" s="76"/>
      <c r="AB267" s="37"/>
      <c r="AC267" s="86">
        <f>tbl_estimated_costs_quantities[[#This Row],[Doors Replacement Repair]]*BOQs!$L$9</f>
        <v>0</v>
      </c>
      <c r="AD267" s="76"/>
      <c r="AE267" s="37"/>
      <c r="AF267" s="86">
        <f>tbl_estimated_costs_quantities[[#This Row],[Windows Replacement Repair]]*BOQs!$L$10</f>
        <v>0</v>
      </c>
      <c r="AG267" s="76"/>
      <c r="AH267" s="37"/>
      <c r="AI267" s="86">
        <f>tbl_estimated_costs_quantities[[#This Row],[Bathroom Rehabilitation]]*BOQs!$L$11</f>
        <v>0</v>
      </c>
      <c r="AJ267" s="76"/>
      <c r="AK267" s="37"/>
      <c r="AL267" s="86">
        <f>tbl_estimated_costs_quantities[[#This Row],[Ceramic Tile Works WASH]]*BOQs!$L$12</f>
        <v>0</v>
      </c>
      <c r="AM267" s="76"/>
      <c r="AN267" s="37"/>
      <c r="AO267" s="86">
        <f>tbl_estimated_costs_quantities[[#This Row],[Electrical Repairs Lighting]]*BOQs!$L$13</f>
        <v>0</v>
      </c>
      <c r="AP267" s="76"/>
      <c r="AQ267" s="37"/>
      <c r="AR267" s="86">
        <f>tbl_estimated_costs_quantities[[#This Row],[Roof Insulation Leak Sealing]]*BOQs!$L$14</f>
        <v>0</v>
      </c>
      <c r="AS267" s="76"/>
      <c r="AT267" s="37"/>
      <c r="AU267" s="86">
        <f>tbl_estimated_costs_quantities[[#This Row],[Chimney Duct Cleaning Repair]]*BOQs!$L$15</f>
        <v>0</v>
      </c>
      <c r="AV267" s="76"/>
      <c r="AW267" s="37"/>
      <c r="AX267" s="89">
        <f>tbl_estimated_costs_quantities[[#This Row],[Accessibility Adaptations]]*BOQs!$L$16</f>
        <v>0</v>
      </c>
      <c r="AY267" s="86" t="str">
        <f>IF(tbl_estimated_costs_quantities[[#This Row],[Total cost]]&lt;&gt;0,tbl_estimated_costs_quantities[[#This Row],[Total cost]]/BOQs!$A$1,"")</f>
        <v/>
      </c>
      <c r="AZ267" s="37"/>
      <c r="BA267" s="37"/>
      <c r="BB267" s="37"/>
      <c r="BC267" s="37"/>
      <c r="BD267" s="41"/>
      <c r="BE267" s="37"/>
      <c r="BF267" s="37"/>
      <c r="BG267" s="37"/>
      <c r="BH267" s="41"/>
    </row>
    <row r="268" spans="2:60" ht="25.15" customHeight="1" x14ac:dyDescent="0.25">
      <c r="B268" s="49">
        <v>264</v>
      </c>
      <c r="C268" s="37"/>
      <c r="D268" s="41"/>
      <c r="E268" s="40"/>
      <c r="F268" s="87" t="str">
        <f>IF(tbl_estimated_costs_quantities[[#This Row],[House Code]]&lt;&gt;"",INDEX(tbl_Assessment[],MATCH(tbl_estimated_costs_quantities[[#This Row],[House Code]],tbl_Assessment[House Code],0),3),"")</f>
        <v/>
      </c>
      <c r="G268" s="115" t="str">
        <f>IF(tbl_estimated_costs_quantities[[#This Row],[House Code]]&lt;&gt;"",INDEX(tbl_Assessment[],MATCH(tbl_estimated_costs_quantities[[#This Row],[House Code]],tbl_Assessment[House Code],0),9),"")</f>
        <v/>
      </c>
      <c r="H26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8" s="75"/>
      <c r="J268" s="37"/>
      <c r="K268" s="86">
        <f>tbl_estimated_costs_quantities[[#This Row],[Site Preparation]]*BOQs!$L$3</f>
        <v>0</v>
      </c>
      <c r="L268" s="76"/>
      <c r="M268" s="37"/>
      <c r="N268" s="86">
        <f>tbl_estimated_costs_quantities[[#This Row],[Demolition Removal Unsafe Structures]]*BOQs!$L$4</f>
        <v>0</v>
      </c>
      <c r="O268" s="76"/>
      <c r="P268" s="37"/>
      <c r="Q268" s="86">
        <f>tbl_estimated_costs_quantities[[#This Row],[Concrete Works]]*BOQs!$L$5</f>
        <v>0</v>
      </c>
      <c r="R268" s="76"/>
      <c r="S268" s="37"/>
      <c r="T268" s="86">
        <f>tbl_estimated_costs_quantities[[#This Row],[Closure External Openings Walls Windows]]*BOQs!$L$6</f>
        <v>0</v>
      </c>
      <c r="U268" s="76"/>
      <c r="V268" s="37"/>
      <c r="W268" s="86">
        <f>tbl_estimated_costs_quantities[[#This Row],[Plastering Painting]]*BOQs!$L$7</f>
        <v>0</v>
      </c>
      <c r="X268" s="76"/>
      <c r="Y268" s="37"/>
      <c r="Z268" s="86">
        <f>tbl_estimated_costs_quantities[[#This Row],[Floor Repairs]]*BOQs!$L$8</f>
        <v>0</v>
      </c>
      <c r="AA268" s="76"/>
      <c r="AB268" s="37"/>
      <c r="AC268" s="86">
        <f>tbl_estimated_costs_quantities[[#This Row],[Doors Replacement Repair]]*BOQs!$L$9</f>
        <v>0</v>
      </c>
      <c r="AD268" s="76"/>
      <c r="AE268" s="37"/>
      <c r="AF268" s="86">
        <f>tbl_estimated_costs_quantities[[#This Row],[Windows Replacement Repair]]*BOQs!$L$10</f>
        <v>0</v>
      </c>
      <c r="AG268" s="76"/>
      <c r="AH268" s="37"/>
      <c r="AI268" s="86">
        <f>tbl_estimated_costs_quantities[[#This Row],[Bathroom Rehabilitation]]*BOQs!$L$11</f>
        <v>0</v>
      </c>
      <c r="AJ268" s="76"/>
      <c r="AK268" s="37"/>
      <c r="AL268" s="86">
        <f>tbl_estimated_costs_quantities[[#This Row],[Ceramic Tile Works WASH]]*BOQs!$L$12</f>
        <v>0</v>
      </c>
      <c r="AM268" s="76"/>
      <c r="AN268" s="37"/>
      <c r="AO268" s="86">
        <f>tbl_estimated_costs_quantities[[#This Row],[Electrical Repairs Lighting]]*BOQs!$L$13</f>
        <v>0</v>
      </c>
      <c r="AP268" s="76"/>
      <c r="AQ268" s="37"/>
      <c r="AR268" s="86">
        <f>tbl_estimated_costs_quantities[[#This Row],[Roof Insulation Leak Sealing]]*BOQs!$L$14</f>
        <v>0</v>
      </c>
      <c r="AS268" s="76"/>
      <c r="AT268" s="37"/>
      <c r="AU268" s="86">
        <f>tbl_estimated_costs_quantities[[#This Row],[Chimney Duct Cleaning Repair]]*BOQs!$L$15</f>
        <v>0</v>
      </c>
      <c r="AV268" s="76"/>
      <c r="AW268" s="37"/>
      <c r="AX268" s="89">
        <f>tbl_estimated_costs_quantities[[#This Row],[Accessibility Adaptations]]*BOQs!$L$16</f>
        <v>0</v>
      </c>
      <c r="AY268" s="86" t="str">
        <f>IF(tbl_estimated_costs_quantities[[#This Row],[Total cost]]&lt;&gt;0,tbl_estimated_costs_quantities[[#This Row],[Total cost]]/BOQs!$A$1,"")</f>
        <v/>
      </c>
      <c r="AZ268" s="37"/>
      <c r="BA268" s="37"/>
      <c r="BB268" s="37"/>
      <c r="BC268" s="37"/>
      <c r="BD268" s="41"/>
      <c r="BE268" s="37"/>
      <c r="BF268" s="37"/>
      <c r="BG268" s="37"/>
      <c r="BH268" s="41"/>
    </row>
    <row r="269" spans="2:60" ht="25.15" customHeight="1" x14ac:dyDescent="0.25">
      <c r="B269" s="49">
        <v>265</v>
      </c>
      <c r="C269" s="37"/>
      <c r="D269" s="41"/>
      <c r="E269" s="40"/>
      <c r="F269" s="87" t="str">
        <f>IF(tbl_estimated_costs_quantities[[#This Row],[House Code]]&lt;&gt;"",INDEX(tbl_Assessment[],MATCH(tbl_estimated_costs_quantities[[#This Row],[House Code]],tbl_Assessment[House Code],0),3),"")</f>
        <v/>
      </c>
      <c r="G269" s="115" t="str">
        <f>IF(tbl_estimated_costs_quantities[[#This Row],[House Code]]&lt;&gt;"",INDEX(tbl_Assessment[],MATCH(tbl_estimated_costs_quantities[[#This Row],[House Code]],tbl_Assessment[House Code],0),9),"")</f>
        <v/>
      </c>
      <c r="H26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69" s="75"/>
      <c r="J269" s="37"/>
      <c r="K269" s="86">
        <f>tbl_estimated_costs_quantities[[#This Row],[Site Preparation]]*BOQs!$L$3</f>
        <v>0</v>
      </c>
      <c r="L269" s="76"/>
      <c r="M269" s="37"/>
      <c r="N269" s="86">
        <f>tbl_estimated_costs_quantities[[#This Row],[Demolition Removal Unsafe Structures]]*BOQs!$L$4</f>
        <v>0</v>
      </c>
      <c r="O269" s="76"/>
      <c r="P269" s="37"/>
      <c r="Q269" s="86">
        <f>tbl_estimated_costs_quantities[[#This Row],[Concrete Works]]*BOQs!$L$5</f>
        <v>0</v>
      </c>
      <c r="R269" s="76"/>
      <c r="S269" s="37"/>
      <c r="T269" s="86">
        <f>tbl_estimated_costs_quantities[[#This Row],[Closure External Openings Walls Windows]]*BOQs!$L$6</f>
        <v>0</v>
      </c>
      <c r="U269" s="76"/>
      <c r="V269" s="37"/>
      <c r="W269" s="86">
        <f>tbl_estimated_costs_quantities[[#This Row],[Plastering Painting]]*BOQs!$L$7</f>
        <v>0</v>
      </c>
      <c r="X269" s="76"/>
      <c r="Y269" s="37"/>
      <c r="Z269" s="86">
        <f>tbl_estimated_costs_quantities[[#This Row],[Floor Repairs]]*BOQs!$L$8</f>
        <v>0</v>
      </c>
      <c r="AA269" s="76"/>
      <c r="AB269" s="37"/>
      <c r="AC269" s="86">
        <f>tbl_estimated_costs_quantities[[#This Row],[Doors Replacement Repair]]*BOQs!$L$9</f>
        <v>0</v>
      </c>
      <c r="AD269" s="76"/>
      <c r="AE269" s="37"/>
      <c r="AF269" s="86">
        <f>tbl_estimated_costs_quantities[[#This Row],[Windows Replacement Repair]]*BOQs!$L$10</f>
        <v>0</v>
      </c>
      <c r="AG269" s="76"/>
      <c r="AH269" s="37"/>
      <c r="AI269" s="86">
        <f>tbl_estimated_costs_quantities[[#This Row],[Bathroom Rehabilitation]]*BOQs!$L$11</f>
        <v>0</v>
      </c>
      <c r="AJ269" s="76"/>
      <c r="AK269" s="37"/>
      <c r="AL269" s="86">
        <f>tbl_estimated_costs_quantities[[#This Row],[Ceramic Tile Works WASH]]*BOQs!$L$12</f>
        <v>0</v>
      </c>
      <c r="AM269" s="76"/>
      <c r="AN269" s="37"/>
      <c r="AO269" s="86">
        <f>tbl_estimated_costs_quantities[[#This Row],[Electrical Repairs Lighting]]*BOQs!$L$13</f>
        <v>0</v>
      </c>
      <c r="AP269" s="76"/>
      <c r="AQ269" s="37"/>
      <c r="AR269" s="86">
        <f>tbl_estimated_costs_quantities[[#This Row],[Roof Insulation Leak Sealing]]*BOQs!$L$14</f>
        <v>0</v>
      </c>
      <c r="AS269" s="76"/>
      <c r="AT269" s="37"/>
      <c r="AU269" s="86">
        <f>tbl_estimated_costs_quantities[[#This Row],[Chimney Duct Cleaning Repair]]*BOQs!$L$15</f>
        <v>0</v>
      </c>
      <c r="AV269" s="76"/>
      <c r="AW269" s="37"/>
      <c r="AX269" s="89">
        <f>tbl_estimated_costs_quantities[[#This Row],[Accessibility Adaptations]]*BOQs!$L$16</f>
        <v>0</v>
      </c>
      <c r="AY269" s="86" t="str">
        <f>IF(tbl_estimated_costs_quantities[[#This Row],[Total cost]]&lt;&gt;0,tbl_estimated_costs_quantities[[#This Row],[Total cost]]/BOQs!$A$1,"")</f>
        <v/>
      </c>
      <c r="AZ269" s="37"/>
      <c r="BA269" s="37"/>
      <c r="BB269" s="37"/>
      <c r="BC269" s="37"/>
      <c r="BD269" s="41"/>
      <c r="BE269" s="37"/>
      <c r="BF269" s="37"/>
      <c r="BG269" s="37"/>
      <c r="BH269" s="41"/>
    </row>
    <row r="270" spans="2:60" ht="25.15" customHeight="1" x14ac:dyDescent="0.25">
      <c r="B270" s="49">
        <v>266</v>
      </c>
      <c r="C270" s="37"/>
      <c r="D270" s="41"/>
      <c r="E270" s="40"/>
      <c r="F270" s="87" t="str">
        <f>IF(tbl_estimated_costs_quantities[[#This Row],[House Code]]&lt;&gt;"",INDEX(tbl_Assessment[],MATCH(tbl_estimated_costs_quantities[[#This Row],[House Code]],tbl_Assessment[House Code],0),3),"")</f>
        <v/>
      </c>
      <c r="G270" s="115" t="str">
        <f>IF(tbl_estimated_costs_quantities[[#This Row],[House Code]]&lt;&gt;"",INDEX(tbl_Assessment[],MATCH(tbl_estimated_costs_quantities[[#This Row],[House Code]],tbl_Assessment[House Code],0),9),"")</f>
        <v/>
      </c>
      <c r="H27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0" s="75"/>
      <c r="J270" s="37"/>
      <c r="K270" s="86">
        <f>tbl_estimated_costs_quantities[[#This Row],[Site Preparation]]*BOQs!$L$3</f>
        <v>0</v>
      </c>
      <c r="L270" s="76"/>
      <c r="M270" s="37"/>
      <c r="N270" s="86">
        <f>tbl_estimated_costs_quantities[[#This Row],[Demolition Removal Unsafe Structures]]*BOQs!$L$4</f>
        <v>0</v>
      </c>
      <c r="O270" s="76"/>
      <c r="P270" s="37"/>
      <c r="Q270" s="86">
        <f>tbl_estimated_costs_quantities[[#This Row],[Concrete Works]]*BOQs!$L$5</f>
        <v>0</v>
      </c>
      <c r="R270" s="76"/>
      <c r="S270" s="37"/>
      <c r="T270" s="86">
        <f>tbl_estimated_costs_quantities[[#This Row],[Closure External Openings Walls Windows]]*BOQs!$L$6</f>
        <v>0</v>
      </c>
      <c r="U270" s="76"/>
      <c r="V270" s="37"/>
      <c r="W270" s="86">
        <f>tbl_estimated_costs_quantities[[#This Row],[Plastering Painting]]*BOQs!$L$7</f>
        <v>0</v>
      </c>
      <c r="X270" s="76"/>
      <c r="Y270" s="37"/>
      <c r="Z270" s="86">
        <f>tbl_estimated_costs_quantities[[#This Row],[Floor Repairs]]*BOQs!$L$8</f>
        <v>0</v>
      </c>
      <c r="AA270" s="76"/>
      <c r="AB270" s="37"/>
      <c r="AC270" s="86">
        <f>tbl_estimated_costs_quantities[[#This Row],[Doors Replacement Repair]]*BOQs!$L$9</f>
        <v>0</v>
      </c>
      <c r="AD270" s="76"/>
      <c r="AE270" s="37"/>
      <c r="AF270" s="86">
        <f>tbl_estimated_costs_quantities[[#This Row],[Windows Replacement Repair]]*BOQs!$L$10</f>
        <v>0</v>
      </c>
      <c r="AG270" s="76"/>
      <c r="AH270" s="37"/>
      <c r="AI270" s="86">
        <f>tbl_estimated_costs_quantities[[#This Row],[Bathroom Rehabilitation]]*BOQs!$L$11</f>
        <v>0</v>
      </c>
      <c r="AJ270" s="76"/>
      <c r="AK270" s="37"/>
      <c r="AL270" s="86">
        <f>tbl_estimated_costs_quantities[[#This Row],[Ceramic Tile Works WASH]]*BOQs!$L$12</f>
        <v>0</v>
      </c>
      <c r="AM270" s="76"/>
      <c r="AN270" s="37"/>
      <c r="AO270" s="86">
        <f>tbl_estimated_costs_quantities[[#This Row],[Electrical Repairs Lighting]]*BOQs!$L$13</f>
        <v>0</v>
      </c>
      <c r="AP270" s="76"/>
      <c r="AQ270" s="37"/>
      <c r="AR270" s="86">
        <f>tbl_estimated_costs_quantities[[#This Row],[Roof Insulation Leak Sealing]]*BOQs!$L$14</f>
        <v>0</v>
      </c>
      <c r="AS270" s="76"/>
      <c r="AT270" s="37"/>
      <c r="AU270" s="86">
        <f>tbl_estimated_costs_quantities[[#This Row],[Chimney Duct Cleaning Repair]]*BOQs!$L$15</f>
        <v>0</v>
      </c>
      <c r="AV270" s="76"/>
      <c r="AW270" s="37"/>
      <c r="AX270" s="89">
        <f>tbl_estimated_costs_quantities[[#This Row],[Accessibility Adaptations]]*BOQs!$L$16</f>
        <v>0</v>
      </c>
      <c r="AY270" s="86" t="str">
        <f>IF(tbl_estimated_costs_quantities[[#This Row],[Total cost]]&lt;&gt;0,tbl_estimated_costs_quantities[[#This Row],[Total cost]]/BOQs!$A$1,"")</f>
        <v/>
      </c>
      <c r="AZ270" s="37"/>
      <c r="BA270" s="37"/>
      <c r="BB270" s="37"/>
      <c r="BC270" s="37"/>
      <c r="BD270" s="41"/>
      <c r="BE270" s="37"/>
      <c r="BF270" s="37"/>
      <c r="BG270" s="37"/>
      <c r="BH270" s="41"/>
    </row>
    <row r="271" spans="2:60" ht="25.15" customHeight="1" x14ac:dyDescent="0.25">
      <c r="B271" s="49">
        <v>267</v>
      </c>
      <c r="C271" s="37"/>
      <c r="D271" s="41"/>
      <c r="E271" s="40"/>
      <c r="F271" s="87" t="str">
        <f>IF(tbl_estimated_costs_quantities[[#This Row],[House Code]]&lt;&gt;"",INDEX(tbl_Assessment[],MATCH(tbl_estimated_costs_quantities[[#This Row],[House Code]],tbl_Assessment[House Code],0),3),"")</f>
        <v/>
      </c>
      <c r="G271" s="115" t="str">
        <f>IF(tbl_estimated_costs_quantities[[#This Row],[House Code]]&lt;&gt;"",INDEX(tbl_Assessment[],MATCH(tbl_estimated_costs_quantities[[#This Row],[House Code]],tbl_Assessment[House Code],0),9),"")</f>
        <v/>
      </c>
      <c r="H27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1" s="75"/>
      <c r="J271" s="37"/>
      <c r="K271" s="86">
        <f>tbl_estimated_costs_quantities[[#This Row],[Site Preparation]]*BOQs!$L$3</f>
        <v>0</v>
      </c>
      <c r="L271" s="76"/>
      <c r="M271" s="37"/>
      <c r="N271" s="86">
        <f>tbl_estimated_costs_quantities[[#This Row],[Demolition Removal Unsafe Structures]]*BOQs!$L$4</f>
        <v>0</v>
      </c>
      <c r="O271" s="76"/>
      <c r="P271" s="37"/>
      <c r="Q271" s="86">
        <f>tbl_estimated_costs_quantities[[#This Row],[Concrete Works]]*BOQs!$L$5</f>
        <v>0</v>
      </c>
      <c r="R271" s="76"/>
      <c r="S271" s="37"/>
      <c r="T271" s="86">
        <f>tbl_estimated_costs_quantities[[#This Row],[Closure External Openings Walls Windows]]*BOQs!$L$6</f>
        <v>0</v>
      </c>
      <c r="U271" s="76"/>
      <c r="V271" s="37"/>
      <c r="W271" s="86">
        <f>tbl_estimated_costs_quantities[[#This Row],[Plastering Painting]]*BOQs!$L$7</f>
        <v>0</v>
      </c>
      <c r="X271" s="76"/>
      <c r="Y271" s="37"/>
      <c r="Z271" s="86">
        <f>tbl_estimated_costs_quantities[[#This Row],[Floor Repairs]]*BOQs!$L$8</f>
        <v>0</v>
      </c>
      <c r="AA271" s="76"/>
      <c r="AB271" s="37"/>
      <c r="AC271" s="86">
        <f>tbl_estimated_costs_quantities[[#This Row],[Doors Replacement Repair]]*BOQs!$L$9</f>
        <v>0</v>
      </c>
      <c r="AD271" s="76"/>
      <c r="AE271" s="37"/>
      <c r="AF271" s="86">
        <f>tbl_estimated_costs_quantities[[#This Row],[Windows Replacement Repair]]*BOQs!$L$10</f>
        <v>0</v>
      </c>
      <c r="AG271" s="76"/>
      <c r="AH271" s="37"/>
      <c r="AI271" s="86">
        <f>tbl_estimated_costs_quantities[[#This Row],[Bathroom Rehabilitation]]*BOQs!$L$11</f>
        <v>0</v>
      </c>
      <c r="AJ271" s="76"/>
      <c r="AK271" s="37"/>
      <c r="AL271" s="86">
        <f>tbl_estimated_costs_quantities[[#This Row],[Ceramic Tile Works WASH]]*BOQs!$L$12</f>
        <v>0</v>
      </c>
      <c r="AM271" s="76"/>
      <c r="AN271" s="37"/>
      <c r="AO271" s="86">
        <f>tbl_estimated_costs_quantities[[#This Row],[Electrical Repairs Lighting]]*BOQs!$L$13</f>
        <v>0</v>
      </c>
      <c r="AP271" s="76"/>
      <c r="AQ271" s="37"/>
      <c r="AR271" s="86">
        <f>tbl_estimated_costs_quantities[[#This Row],[Roof Insulation Leak Sealing]]*BOQs!$L$14</f>
        <v>0</v>
      </c>
      <c r="AS271" s="76"/>
      <c r="AT271" s="37"/>
      <c r="AU271" s="86">
        <f>tbl_estimated_costs_quantities[[#This Row],[Chimney Duct Cleaning Repair]]*BOQs!$L$15</f>
        <v>0</v>
      </c>
      <c r="AV271" s="76"/>
      <c r="AW271" s="37"/>
      <c r="AX271" s="89">
        <f>tbl_estimated_costs_quantities[[#This Row],[Accessibility Adaptations]]*BOQs!$L$16</f>
        <v>0</v>
      </c>
      <c r="AY271" s="86" t="str">
        <f>IF(tbl_estimated_costs_quantities[[#This Row],[Total cost]]&lt;&gt;0,tbl_estimated_costs_quantities[[#This Row],[Total cost]]/BOQs!$A$1,"")</f>
        <v/>
      </c>
      <c r="AZ271" s="37"/>
      <c r="BA271" s="37"/>
      <c r="BB271" s="37"/>
      <c r="BC271" s="37"/>
      <c r="BD271" s="41"/>
      <c r="BE271" s="37"/>
      <c r="BF271" s="37"/>
      <c r="BG271" s="37"/>
      <c r="BH271" s="41"/>
    </row>
    <row r="272" spans="2:60" ht="25.15" customHeight="1" x14ac:dyDescent="0.25">
      <c r="B272" s="49">
        <v>268</v>
      </c>
      <c r="C272" s="37"/>
      <c r="D272" s="41"/>
      <c r="E272" s="40"/>
      <c r="F272" s="87" t="str">
        <f>IF(tbl_estimated_costs_quantities[[#This Row],[House Code]]&lt;&gt;"",INDEX(tbl_Assessment[],MATCH(tbl_estimated_costs_quantities[[#This Row],[House Code]],tbl_Assessment[House Code],0),3),"")</f>
        <v/>
      </c>
      <c r="G272" s="115" t="str">
        <f>IF(tbl_estimated_costs_quantities[[#This Row],[House Code]]&lt;&gt;"",INDEX(tbl_Assessment[],MATCH(tbl_estimated_costs_quantities[[#This Row],[House Code]],tbl_Assessment[House Code],0),9),"")</f>
        <v/>
      </c>
      <c r="H27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2" s="75"/>
      <c r="J272" s="37"/>
      <c r="K272" s="86">
        <f>tbl_estimated_costs_quantities[[#This Row],[Site Preparation]]*BOQs!$L$3</f>
        <v>0</v>
      </c>
      <c r="L272" s="76"/>
      <c r="M272" s="37"/>
      <c r="N272" s="86">
        <f>tbl_estimated_costs_quantities[[#This Row],[Demolition Removal Unsafe Structures]]*BOQs!$L$4</f>
        <v>0</v>
      </c>
      <c r="O272" s="76"/>
      <c r="P272" s="37"/>
      <c r="Q272" s="86">
        <f>tbl_estimated_costs_quantities[[#This Row],[Concrete Works]]*BOQs!$L$5</f>
        <v>0</v>
      </c>
      <c r="R272" s="76"/>
      <c r="S272" s="37"/>
      <c r="T272" s="86">
        <f>tbl_estimated_costs_quantities[[#This Row],[Closure External Openings Walls Windows]]*BOQs!$L$6</f>
        <v>0</v>
      </c>
      <c r="U272" s="76"/>
      <c r="V272" s="37"/>
      <c r="W272" s="86">
        <f>tbl_estimated_costs_quantities[[#This Row],[Plastering Painting]]*BOQs!$L$7</f>
        <v>0</v>
      </c>
      <c r="X272" s="76"/>
      <c r="Y272" s="37"/>
      <c r="Z272" s="86">
        <f>tbl_estimated_costs_quantities[[#This Row],[Floor Repairs]]*BOQs!$L$8</f>
        <v>0</v>
      </c>
      <c r="AA272" s="76"/>
      <c r="AB272" s="37"/>
      <c r="AC272" s="86">
        <f>tbl_estimated_costs_quantities[[#This Row],[Doors Replacement Repair]]*BOQs!$L$9</f>
        <v>0</v>
      </c>
      <c r="AD272" s="76"/>
      <c r="AE272" s="37"/>
      <c r="AF272" s="86">
        <f>tbl_estimated_costs_quantities[[#This Row],[Windows Replacement Repair]]*BOQs!$L$10</f>
        <v>0</v>
      </c>
      <c r="AG272" s="76"/>
      <c r="AH272" s="37"/>
      <c r="AI272" s="86">
        <f>tbl_estimated_costs_quantities[[#This Row],[Bathroom Rehabilitation]]*BOQs!$L$11</f>
        <v>0</v>
      </c>
      <c r="AJ272" s="76"/>
      <c r="AK272" s="37"/>
      <c r="AL272" s="86">
        <f>tbl_estimated_costs_quantities[[#This Row],[Ceramic Tile Works WASH]]*BOQs!$L$12</f>
        <v>0</v>
      </c>
      <c r="AM272" s="76"/>
      <c r="AN272" s="37"/>
      <c r="AO272" s="86">
        <f>tbl_estimated_costs_quantities[[#This Row],[Electrical Repairs Lighting]]*BOQs!$L$13</f>
        <v>0</v>
      </c>
      <c r="AP272" s="76"/>
      <c r="AQ272" s="37"/>
      <c r="AR272" s="86">
        <f>tbl_estimated_costs_quantities[[#This Row],[Roof Insulation Leak Sealing]]*BOQs!$L$14</f>
        <v>0</v>
      </c>
      <c r="AS272" s="76"/>
      <c r="AT272" s="37"/>
      <c r="AU272" s="86">
        <f>tbl_estimated_costs_quantities[[#This Row],[Chimney Duct Cleaning Repair]]*BOQs!$L$15</f>
        <v>0</v>
      </c>
      <c r="AV272" s="76"/>
      <c r="AW272" s="37"/>
      <c r="AX272" s="89">
        <f>tbl_estimated_costs_quantities[[#This Row],[Accessibility Adaptations]]*BOQs!$L$16</f>
        <v>0</v>
      </c>
      <c r="AY272" s="86" t="str">
        <f>IF(tbl_estimated_costs_quantities[[#This Row],[Total cost]]&lt;&gt;0,tbl_estimated_costs_quantities[[#This Row],[Total cost]]/BOQs!$A$1,"")</f>
        <v/>
      </c>
      <c r="AZ272" s="37"/>
      <c r="BA272" s="37"/>
      <c r="BB272" s="37"/>
      <c r="BC272" s="37"/>
      <c r="BD272" s="41"/>
      <c r="BE272" s="37"/>
      <c r="BF272" s="37"/>
      <c r="BG272" s="37"/>
      <c r="BH272" s="41"/>
    </row>
    <row r="273" spans="2:60" ht="25.15" customHeight="1" x14ac:dyDescent="0.25">
      <c r="B273" s="49">
        <v>269</v>
      </c>
      <c r="C273" s="37"/>
      <c r="D273" s="41"/>
      <c r="E273" s="40"/>
      <c r="F273" s="87" t="str">
        <f>IF(tbl_estimated_costs_quantities[[#This Row],[House Code]]&lt;&gt;"",INDEX(tbl_Assessment[],MATCH(tbl_estimated_costs_quantities[[#This Row],[House Code]],tbl_Assessment[House Code],0),3),"")</f>
        <v/>
      </c>
      <c r="G273" s="115" t="str">
        <f>IF(tbl_estimated_costs_quantities[[#This Row],[House Code]]&lt;&gt;"",INDEX(tbl_Assessment[],MATCH(tbl_estimated_costs_quantities[[#This Row],[House Code]],tbl_Assessment[House Code],0),9),"")</f>
        <v/>
      </c>
      <c r="H27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3" s="75"/>
      <c r="J273" s="37"/>
      <c r="K273" s="86">
        <f>tbl_estimated_costs_quantities[[#This Row],[Site Preparation]]*BOQs!$L$3</f>
        <v>0</v>
      </c>
      <c r="L273" s="76"/>
      <c r="M273" s="37"/>
      <c r="N273" s="86">
        <f>tbl_estimated_costs_quantities[[#This Row],[Demolition Removal Unsafe Structures]]*BOQs!$L$4</f>
        <v>0</v>
      </c>
      <c r="O273" s="76"/>
      <c r="P273" s="37"/>
      <c r="Q273" s="86">
        <f>tbl_estimated_costs_quantities[[#This Row],[Concrete Works]]*BOQs!$L$5</f>
        <v>0</v>
      </c>
      <c r="R273" s="76"/>
      <c r="S273" s="37"/>
      <c r="T273" s="86">
        <f>tbl_estimated_costs_quantities[[#This Row],[Closure External Openings Walls Windows]]*BOQs!$L$6</f>
        <v>0</v>
      </c>
      <c r="U273" s="76"/>
      <c r="V273" s="37"/>
      <c r="W273" s="86">
        <f>tbl_estimated_costs_quantities[[#This Row],[Plastering Painting]]*BOQs!$L$7</f>
        <v>0</v>
      </c>
      <c r="X273" s="76"/>
      <c r="Y273" s="37"/>
      <c r="Z273" s="86">
        <f>tbl_estimated_costs_quantities[[#This Row],[Floor Repairs]]*BOQs!$L$8</f>
        <v>0</v>
      </c>
      <c r="AA273" s="76"/>
      <c r="AB273" s="37"/>
      <c r="AC273" s="86">
        <f>tbl_estimated_costs_quantities[[#This Row],[Doors Replacement Repair]]*BOQs!$L$9</f>
        <v>0</v>
      </c>
      <c r="AD273" s="76"/>
      <c r="AE273" s="37"/>
      <c r="AF273" s="86">
        <f>tbl_estimated_costs_quantities[[#This Row],[Windows Replacement Repair]]*BOQs!$L$10</f>
        <v>0</v>
      </c>
      <c r="AG273" s="76"/>
      <c r="AH273" s="37"/>
      <c r="AI273" s="86">
        <f>tbl_estimated_costs_quantities[[#This Row],[Bathroom Rehabilitation]]*BOQs!$L$11</f>
        <v>0</v>
      </c>
      <c r="AJ273" s="76"/>
      <c r="AK273" s="37"/>
      <c r="AL273" s="86">
        <f>tbl_estimated_costs_quantities[[#This Row],[Ceramic Tile Works WASH]]*BOQs!$L$12</f>
        <v>0</v>
      </c>
      <c r="AM273" s="76"/>
      <c r="AN273" s="37"/>
      <c r="AO273" s="86">
        <f>tbl_estimated_costs_quantities[[#This Row],[Electrical Repairs Lighting]]*BOQs!$L$13</f>
        <v>0</v>
      </c>
      <c r="AP273" s="76"/>
      <c r="AQ273" s="37"/>
      <c r="AR273" s="86">
        <f>tbl_estimated_costs_quantities[[#This Row],[Roof Insulation Leak Sealing]]*BOQs!$L$14</f>
        <v>0</v>
      </c>
      <c r="AS273" s="76"/>
      <c r="AT273" s="37"/>
      <c r="AU273" s="86">
        <f>tbl_estimated_costs_quantities[[#This Row],[Chimney Duct Cleaning Repair]]*BOQs!$L$15</f>
        <v>0</v>
      </c>
      <c r="AV273" s="76"/>
      <c r="AW273" s="37"/>
      <c r="AX273" s="89">
        <f>tbl_estimated_costs_quantities[[#This Row],[Accessibility Adaptations]]*BOQs!$L$16</f>
        <v>0</v>
      </c>
      <c r="AY273" s="86" t="str">
        <f>IF(tbl_estimated_costs_quantities[[#This Row],[Total cost]]&lt;&gt;0,tbl_estimated_costs_quantities[[#This Row],[Total cost]]/BOQs!$A$1,"")</f>
        <v/>
      </c>
      <c r="AZ273" s="37"/>
      <c r="BA273" s="37"/>
      <c r="BB273" s="37"/>
      <c r="BC273" s="37"/>
      <c r="BD273" s="41"/>
      <c r="BE273" s="37"/>
      <c r="BF273" s="37"/>
      <c r="BG273" s="37"/>
      <c r="BH273" s="41"/>
    </row>
    <row r="274" spans="2:60" ht="25.15" customHeight="1" x14ac:dyDescent="0.25">
      <c r="B274" s="49">
        <v>270</v>
      </c>
      <c r="C274" s="37"/>
      <c r="D274" s="41"/>
      <c r="E274" s="40"/>
      <c r="F274" s="87" t="str">
        <f>IF(tbl_estimated_costs_quantities[[#This Row],[House Code]]&lt;&gt;"",INDEX(tbl_Assessment[],MATCH(tbl_estimated_costs_quantities[[#This Row],[House Code]],tbl_Assessment[House Code],0),3),"")</f>
        <v/>
      </c>
      <c r="G274" s="115" t="str">
        <f>IF(tbl_estimated_costs_quantities[[#This Row],[House Code]]&lt;&gt;"",INDEX(tbl_Assessment[],MATCH(tbl_estimated_costs_quantities[[#This Row],[House Code]],tbl_Assessment[House Code],0),9),"")</f>
        <v/>
      </c>
      <c r="H27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4" s="75"/>
      <c r="J274" s="37"/>
      <c r="K274" s="86">
        <f>tbl_estimated_costs_quantities[[#This Row],[Site Preparation]]*BOQs!$L$3</f>
        <v>0</v>
      </c>
      <c r="L274" s="76"/>
      <c r="M274" s="37"/>
      <c r="N274" s="86">
        <f>tbl_estimated_costs_quantities[[#This Row],[Demolition Removal Unsafe Structures]]*BOQs!$L$4</f>
        <v>0</v>
      </c>
      <c r="O274" s="76"/>
      <c r="P274" s="37"/>
      <c r="Q274" s="86">
        <f>tbl_estimated_costs_quantities[[#This Row],[Concrete Works]]*BOQs!$L$5</f>
        <v>0</v>
      </c>
      <c r="R274" s="76"/>
      <c r="S274" s="37"/>
      <c r="T274" s="86">
        <f>tbl_estimated_costs_quantities[[#This Row],[Closure External Openings Walls Windows]]*BOQs!$L$6</f>
        <v>0</v>
      </c>
      <c r="U274" s="76"/>
      <c r="V274" s="37"/>
      <c r="W274" s="86">
        <f>tbl_estimated_costs_quantities[[#This Row],[Plastering Painting]]*BOQs!$L$7</f>
        <v>0</v>
      </c>
      <c r="X274" s="76"/>
      <c r="Y274" s="37"/>
      <c r="Z274" s="86">
        <f>tbl_estimated_costs_quantities[[#This Row],[Floor Repairs]]*BOQs!$L$8</f>
        <v>0</v>
      </c>
      <c r="AA274" s="76"/>
      <c r="AB274" s="37"/>
      <c r="AC274" s="86">
        <f>tbl_estimated_costs_quantities[[#This Row],[Doors Replacement Repair]]*BOQs!$L$9</f>
        <v>0</v>
      </c>
      <c r="AD274" s="76"/>
      <c r="AE274" s="37"/>
      <c r="AF274" s="86">
        <f>tbl_estimated_costs_quantities[[#This Row],[Windows Replacement Repair]]*BOQs!$L$10</f>
        <v>0</v>
      </c>
      <c r="AG274" s="76"/>
      <c r="AH274" s="37"/>
      <c r="AI274" s="86">
        <f>tbl_estimated_costs_quantities[[#This Row],[Bathroom Rehabilitation]]*BOQs!$L$11</f>
        <v>0</v>
      </c>
      <c r="AJ274" s="76"/>
      <c r="AK274" s="37"/>
      <c r="AL274" s="86">
        <f>tbl_estimated_costs_quantities[[#This Row],[Ceramic Tile Works WASH]]*BOQs!$L$12</f>
        <v>0</v>
      </c>
      <c r="AM274" s="76"/>
      <c r="AN274" s="37"/>
      <c r="AO274" s="86">
        <f>tbl_estimated_costs_quantities[[#This Row],[Electrical Repairs Lighting]]*BOQs!$L$13</f>
        <v>0</v>
      </c>
      <c r="AP274" s="76"/>
      <c r="AQ274" s="37"/>
      <c r="AR274" s="86">
        <f>tbl_estimated_costs_quantities[[#This Row],[Roof Insulation Leak Sealing]]*BOQs!$L$14</f>
        <v>0</v>
      </c>
      <c r="AS274" s="76"/>
      <c r="AT274" s="37"/>
      <c r="AU274" s="86">
        <f>tbl_estimated_costs_quantities[[#This Row],[Chimney Duct Cleaning Repair]]*BOQs!$L$15</f>
        <v>0</v>
      </c>
      <c r="AV274" s="76"/>
      <c r="AW274" s="37"/>
      <c r="AX274" s="89">
        <f>tbl_estimated_costs_quantities[[#This Row],[Accessibility Adaptations]]*BOQs!$L$16</f>
        <v>0</v>
      </c>
      <c r="AY274" s="86" t="str">
        <f>IF(tbl_estimated_costs_quantities[[#This Row],[Total cost]]&lt;&gt;0,tbl_estimated_costs_quantities[[#This Row],[Total cost]]/BOQs!$A$1,"")</f>
        <v/>
      </c>
      <c r="AZ274" s="37"/>
      <c r="BA274" s="37"/>
      <c r="BB274" s="37"/>
      <c r="BC274" s="37"/>
      <c r="BD274" s="41"/>
      <c r="BE274" s="37"/>
      <c r="BF274" s="37"/>
      <c r="BG274" s="37"/>
      <c r="BH274" s="41"/>
    </row>
    <row r="275" spans="2:60" ht="25.15" customHeight="1" x14ac:dyDescent="0.25">
      <c r="B275" s="49">
        <v>271</v>
      </c>
      <c r="C275" s="37"/>
      <c r="D275" s="41"/>
      <c r="E275" s="40"/>
      <c r="F275" s="87" t="str">
        <f>IF(tbl_estimated_costs_quantities[[#This Row],[House Code]]&lt;&gt;"",INDEX(tbl_Assessment[],MATCH(tbl_estimated_costs_quantities[[#This Row],[House Code]],tbl_Assessment[House Code],0),3),"")</f>
        <v/>
      </c>
      <c r="G275" s="115" t="str">
        <f>IF(tbl_estimated_costs_quantities[[#This Row],[House Code]]&lt;&gt;"",INDEX(tbl_Assessment[],MATCH(tbl_estimated_costs_quantities[[#This Row],[House Code]],tbl_Assessment[House Code],0),9),"")</f>
        <v/>
      </c>
      <c r="H27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5" s="75"/>
      <c r="J275" s="37"/>
      <c r="K275" s="86">
        <f>tbl_estimated_costs_quantities[[#This Row],[Site Preparation]]*BOQs!$L$3</f>
        <v>0</v>
      </c>
      <c r="L275" s="76"/>
      <c r="M275" s="37"/>
      <c r="N275" s="86">
        <f>tbl_estimated_costs_quantities[[#This Row],[Demolition Removal Unsafe Structures]]*BOQs!$L$4</f>
        <v>0</v>
      </c>
      <c r="O275" s="76"/>
      <c r="P275" s="37"/>
      <c r="Q275" s="86">
        <f>tbl_estimated_costs_quantities[[#This Row],[Concrete Works]]*BOQs!$L$5</f>
        <v>0</v>
      </c>
      <c r="R275" s="76"/>
      <c r="S275" s="37"/>
      <c r="T275" s="86">
        <f>tbl_estimated_costs_quantities[[#This Row],[Closure External Openings Walls Windows]]*BOQs!$L$6</f>
        <v>0</v>
      </c>
      <c r="U275" s="76"/>
      <c r="V275" s="37"/>
      <c r="W275" s="86">
        <f>tbl_estimated_costs_quantities[[#This Row],[Plastering Painting]]*BOQs!$L$7</f>
        <v>0</v>
      </c>
      <c r="X275" s="76"/>
      <c r="Y275" s="37"/>
      <c r="Z275" s="86">
        <f>tbl_estimated_costs_quantities[[#This Row],[Floor Repairs]]*BOQs!$L$8</f>
        <v>0</v>
      </c>
      <c r="AA275" s="76"/>
      <c r="AB275" s="37"/>
      <c r="AC275" s="86">
        <f>tbl_estimated_costs_quantities[[#This Row],[Doors Replacement Repair]]*BOQs!$L$9</f>
        <v>0</v>
      </c>
      <c r="AD275" s="76"/>
      <c r="AE275" s="37"/>
      <c r="AF275" s="86">
        <f>tbl_estimated_costs_quantities[[#This Row],[Windows Replacement Repair]]*BOQs!$L$10</f>
        <v>0</v>
      </c>
      <c r="AG275" s="76"/>
      <c r="AH275" s="37"/>
      <c r="AI275" s="86">
        <f>tbl_estimated_costs_quantities[[#This Row],[Bathroom Rehabilitation]]*BOQs!$L$11</f>
        <v>0</v>
      </c>
      <c r="AJ275" s="76"/>
      <c r="AK275" s="37"/>
      <c r="AL275" s="86">
        <f>tbl_estimated_costs_quantities[[#This Row],[Ceramic Tile Works WASH]]*BOQs!$L$12</f>
        <v>0</v>
      </c>
      <c r="AM275" s="76"/>
      <c r="AN275" s="37"/>
      <c r="AO275" s="86">
        <f>tbl_estimated_costs_quantities[[#This Row],[Electrical Repairs Lighting]]*BOQs!$L$13</f>
        <v>0</v>
      </c>
      <c r="AP275" s="76"/>
      <c r="AQ275" s="37"/>
      <c r="AR275" s="86">
        <f>tbl_estimated_costs_quantities[[#This Row],[Roof Insulation Leak Sealing]]*BOQs!$L$14</f>
        <v>0</v>
      </c>
      <c r="AS275" s="76"/>
      <c r="AT275" s="37"/>
      <c r="AU275" s="86">
        <f>tbl_estimated_costs_quantities[[#This Row],[Chimney Duct Cleaning Repair]]*BOQs!$L$15</f>
        <v>0</v>
      </c>
      <c r="AV275" s="76"/>
      <c r="AW275" s="37"/>
      <c r="AX275" s="89">
        <f>tbl_estimated_costs_quantities[[#This Row],[Accessibility Adaptations]]*BOQs!$L$16</f>
        <v>0</v>
      </c>
      <c r="AY275" s="86" t="str">
        <f>IF(tbl_estimated_costs_quantities[[#This Row],[Total cost]]&lt;&gt;0,tbl_estimated_costs_quantities[[#This Row],[Total cost]]/BOQs!$A$1,"")</f>
        <v/>
      </c>
      <c r="AZ275" s="37"/>
      <c r="BA275" s="37"/>
      <c r="BB275" s="37"/>
      <c r="BC275" s="37"/>
      <c r="BD275" s="41"/>
      <c r="BE275" s="37"/>
      <c r="BF275" s="37"/>
      <c r="BG275" s="37"/>
      <c r="BH275" s="41"/>
    </row>
    <row r="276" spans="2:60" ht="25.15" customHeight="1" x14ac:dyDescent="0.25">
      <c r="B276" s="49">
        <v>272</v>
      </c>
      <c r="C276" s="37"/>
      <c r="D276" s="41"/>
      <c r="E276" s="40"/>
      <c r="F276" s="87" t="str">
        <f>IF(tbl_estimated_costs_quantities[[#This Row],[House Code]]&lt;&gt;"",INDEX(tbl_Assessment[],MATCH(tbl_estimated_costs_quantities[[#This Row],[House Code]],tbl_Assessment[House Code],0),3),"")</f>
        <v/>
      </c>
      <c r="G276" s="115" t="str">
        <f>IF(tbl_estimated_costs_quantities[[#This Row],[House Code]]&lt;&gt;"",INDEX(tbl_Assessment[],MATCH(tbl_estimated_costs_quantities[[#This Row],[House Code]],tbl_Assessment[House Code],0),9),"")</f>
        <v/>
      </c>
      <c r="H27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6" s="75"/>
      <c r="J276" s="37"/>
      <c r="K276" s="86">
        <f>tbl_estimated_costs_quantities[[#This Row],[Site Preparation]]*BOQs!$L$3</f>
        <v>0</v>
      </c>
      <c r="L276" s="76"/>
      <c r="M276" s="37"/>
      <c r="N276" s="86">
        <f>tbl_estimated_costs_quantities[[#This Row],[Demolition Removal Unsafe Structures]]*BOQs!$L$4</f>
        <v>0</v>
      </c>
      <c r="O276" s="76"/>
      <c r="P276" s="37"/>
      <c r="Q276" s="86">
        <f>tbl_estimated_costs_quantities[[#This Row],[Concrete Works]]*BOQs!$L$5</f>
        <v>0</v>
      </c>
      <c r="R276" s="76"/>
      <c r="S276" s="37"/>
      <c r="T276" s="86">
        <f>tbl_estimated_costs_quantities[[#This Row],[Closure External Openings Walls Windows]]*BOQs!$L$6</f>
        <v>0</v>
      </c>
      <c r="U276" s="76"/>
      <c r="V276" s="37"/>
      <c r="W276" s="86">
        <f>tbl_estimated_costs_quantities[[#This Row],[Plastering Painting]]*BOQs!$L$7</f>
        <v>0</v>
      </c>
      <c r="X276" s="76"/>
      <c r="Y276" s="37"/>
      <c r="Z276" s="86">
        <f>tbl_estimated_costs_quantities[[#This Row],[Floor Repairs]]*BOQs!$L$8</f>
        <v>0</v>
      </c>
      <c r="AA276" s="76"/>
      <c r="AB276" s="37"/>
      <c r="AC276" s="86">
        <f>tbl_estimated_costs_quantities[[#This Row],[Doors Replacement Repair]]*BOQs!$L$9</f>
        <v>0</v>
      </c>
      <c r="AD276" s="76"/>
      <c r="AE276" s="37"/>
      <c r="AF276" s="86">
        <f>tbl_estimated_costs_quantities[[#This Row],[Windows Replacement Repair]]*BOQs!$L$10</f>
        <v>0</v>
      </c>
      <c r="AG276" s="76"/>
      <c r="AH276" s="37"/>
      <c r="AI276" s="86">
        <f>tbl_estimated_costs_quantities[[#This Row],[Bathroom Rehabilitation]]*BOQs!$L$11</f>
        <v>0</v>
      </c>
      <c r="AJ276" s="76"/>
      <c r="AK276" s="37"/>
      <c r="AL276" s="86">
        <f>tbl_estimated_costs_quantities[[#This Row],[Ceramic Tile Works WASH]]*BOQs!$L$12</f>
        <v>0</v>
      </c>
      <c r="AM276" s="76"/>
      <c r="AN276" s="37"/>
      <c r="AO276" s="86">
        <f>tbl_estimated_costs_quantities[[#This Row],[Electrical Repairs Lighting]]*BOQs!$L$13</f>
        <v>0</v>
      </c>
      <c r="AP276" s="76"/>
      <c r="AQ276" s="37"/>
      <c r="AR276" s="86">
        <f>tbl_estimated_costs_quantities[[#This Row],[Roof Insulation Leak Sealing]]*BOQs!$L$14</f>
        <v>0</v>
      </c>
      <c r="AS276" s="76"/>
      <c r="AT276" s="37"/>
      <c r="AU276" s="86">
        <f>tbl_estimated_costs_quantities[[#This Row],[Chimney Duct Cleaning Repair]]*BOQs!$L$15</f>
        <v>0</v>
      </c>
      <c r="AV276" s="76"/>
      <c r="AW276" s="37"/>
      <c r="AX276" s="89">
        <f>tbl_estimated_costs_quantities[[#This Row],[Accessibility Adaptations]]*BOQs!$L$16</f>
        <v>0</v>
      </c>
      <c r="AY276" s="86" t="str">
        <f>IF(tbl_estimated_costs_quantities[[#This Row],[Total cost]]&lt;&gt;0,tbl_estimated_costs_quantities[[#This Row],[Total cost]]/BOQs!$A$1,"")</f>
        <v/>
      </c>
      <c r="AZ276" s="37"/>
      <c r="BA276" s="37"/>
      <c r="BB276" s="37"/>
      <c r="BC276" s="37"/>
      <c r="BD276" s="41"/>
      <c r="BE276" s="37"/>
      <c r="BF276" s="37"/>
      <c r="BG276" s="37"/>
      <c r="BH276" s="41"/>
    </row>
    <row r="277" spans="2:60" ht="25.15" customHeight="1" x14ac:dyDescent="0.25">
      <c r="B277" s="49">
        <v>273</v>
      </c>
      <c r="C277" s="37"/>
      <c r="D277" s="41"/>
      <c r="E277" s="40"/>
      <c r="F277" s="87" t="str">
        <f>IF(tbl_estimated_costs_quantities[[#This Row],[House Code]]&lt;&gt;"",INDEX(tbl_Assessment[],MATCH(tbl_estimated_costs_quantities[[#This Row],[House Code]],tbl_Assessment[House Code],0),3),"")</f>
        <v/>
      </c>
      <c r="G277" s="115" t="str">
        <f>IF(tbl_estimated_costs_quantities[[#This Row],[House Code]]&lt;&gt;"",INDEX(tbl_Assessment[],MATCH(tbl_estimated_costs_quantities[[#This Row],[House Code]],tbl_Assessment[House Code],0),9),"")</f>
        <v/>
      </c>
      <c r="H27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7" s="75"/>
      <c r="J277" s="37"/>
      <c r="K277" s="86">
        <f>tbl_estimated_costs_quantities[[#This Row],[Site Preparation]]*BOQs!$L$3</f>
        <v>0</v>
      </c>
      <c r="L277" s="76"/>
      <c r="M277" s="37"/>
      <c r="N277" s="86">
        <f>tbl_estimated_costs_quantities[[#This Row],[Demolition Removal Unsafe Structures]]*BOQs!$L$4</f>
        <v>0</v>
      </c>
      <c r="O277" s="76"/>
      <c r="P277" s="37"/>
      <c r="Q277" s="86">
        <f>tbl_estimated_costs_quantities[[#This Row],[Concrete Works]]*BOQs!$L$5</f>
        <v>0</v>
      </c>
      <c r="R277" s="76"/>
      <c r="S277" s="37"/>
      <c r="T277" s="86">
        <f>tbl_estimated_costs_quantities[[#This Row],[Closure External Openings Walls Windows]]*BOQs!$L$6</f>
        <v>0</v>
      </c>
      <c r="U277" s="76"/>
      <c r="V277" s="37"/>
      <c r="W277" s="86">
        <f>tbl_estimated_costs_quantities[[#This Row],[Plastering Painting]]*BOQs!$L$7</f>
        <v>0</v>
      </c>
      <c r="X277" s="76"/>
      <c r="Y277" s="37"/>
      <c r="Z277" s="86">
        <f>tbl_estimated_costs_quantities[[#This Row],[Floor Repairs]]*BOQs!$L$8</f>
        <v>0</v>
      </c>
      <c r="AA277" s="76"/>
      <c r="AB277" s="37"/>
      <c r="AC277" s="86">
        <f>tbl_estimated_costs_quantities[[#This Row],[Doors Replacement Repair]]*BOQs!$L$9</f>
        <v>0</v>
      </c>
      <c r="AD277" s="76"/>
      <c r="AE277" s="37"/>
      <c r="AF277" s="86">
        <f>tbl_estimated_costs_quantities[[#This Row],[Windows Replacement Repair]]*BOQs!$L$10</f>
        <v>0</v>
      </c>
      <c r="AG277" s="76"/>
      <c r="AH277" s="37"/>
      <c r="AI277" s="86">
        <f>tbl_estimated_costs_quantities[[#This Row],[Bathroom Rehabilitation]]*BOQs!$L$11</f>
        <v>0</v>
      </c>
      <c r="AJ277" s="76"/>
      <c r="AK277" s="37"/>
      <c r="AL277" s="86">
        <f>tbl_estimated_costs_quantities[[#This Row],[Ceramic Tile Works WASH]]*BOQs!$L$12</f>
        <v>0</v>
      </c>
      <c r="AM277" s="76"/>
      <c r="AN277" s="37"/>
      <c r="AO277" s="86">
        <f>tbl_estimated_costs_quantities[[#This Row],[Electrical Repairs Lighting]]*BOQs!$L$13</f>
        <v>0</v>
      </c>
      <c r="AP277" s="76"/>
      <c r="AQ277" s="37"/>
      <c r="AR277" s="86">
        <f>tbl_estimated_costs_quantities[[#This Row],[Roof Insulation Leak Sealing]]*BOQs!$L$14</f>
        <v>0</v>
      </c>
      <c r="AS277" s="76"/>
      <c r="AT277" s="37"/>
      <c r="AU277" s="86">
        <f>tbl_estimated_costs_quantities[[#This Row],[Chimney Duct Cleaning Repair]]*BOQs!$L$15</f>
        <v>0</v>
      </c>
      <c r="AV277" s="76"/>
      <c r="AW277" s="37"/>
      <c r="AX277" s="89">
        <f>tbl_estimated_costs_quantities[[#This Row],[Accessibility Adaptations]]*BOQs!$L$16</f>
        <v>0</v>
      </c>
      <c r="AY277" s="86" t="str">
        <f>IF(tbl_estimated_costs_quantities[[#This Row],[Total cost]]&lt;&gt;0,tbl_estimated_costs_quantities[[#This Row],[Total cost]]/BOQs!$A$1,"")</f>
        <v/>
      </c>
      <c r="AZ277" s="37"/>
      <c r="BA277" s="37"/>
      <c r="BB277" s="37"/>
      <c r="BC277" s="37"/>
      <c r="BD277" s="41"/>
      <c r="BE277" s="37"/>
      <c r="BF277" s="37"/>
      <c r="BG277" s="37"/>
      <c r="BH277" s="41"/>
    </row>
    <row r="278" spans="2:60" ht="25.15" customHeight="1" x14ac:dyDescent="0.25">
      <c r="B278" s="49">
        <v>274</v>
      </c>
      <c r="C278" s="37"/>
      <c r="D278" s="41"/>
      <c r="E278" s="40"/>
      <c r="F278" s="87" t="str">
        <f>IF(tbl_estimated_costs_quantities[[#This Row],[House Code]]&lt;&gt;"",INDEX(tbl_Assessment[],MATCH(tbl_estimated_costs_quantities[[#This Row],[House Code]],tbl_Assessment[House Code],0),3),"")</f>
        <v/>
      </c>
      <c r="G278" s="115" t="str">
        <f>IF(tbl_estimated_costs_quantities[[#This Row],[House Code]]&lt;&gt;"",INDEX(tbl_Assessment[],MATCH(tbl_estimated_costs_quantities[[#This Row],[House Code]],tbl_Assessment[House Code],0),9),"")</f>
        <v/>
      </c>
      <c r="H27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8" s="75"/>
      <c r="J278" s="37"/>
      <c r="K278" s="86">
        <f>tbl_estimated_costs_quantities[[#This Row],[Site Preparation]]*BOQs!$L$3</f>
        <v>0</v>
      </c>
      <c r="L278" s="76"/>
      <c r="M278" s="37"/>
      <c r="N278" s="86">
        <f>tbl_estimated_costs_quantities[[#This Row],[Demolition Removal Unsafe Structures]]*BOQs!$L$4</f>
        <v>0</v>
      </c>
      <c r="O278" s="76"/>
      <c r="P278" s="37"/>
      <c r="Q278" s="86">
        <f>tbl_estimated_costs_quantities[[#This Row],[Concrete Works]]*BOQs!$L$5</f>
        <v>0</v>
      </c>
      <c r="R278" s="76"/>
      <c r="S278" s="37"/>
      <c r="T278" s="86">
        <f>tbl_estimated_costs_quantities[[#This Row],[Closure External Openings Walls Windows]]*BOQs!$L$6</f>
        <v>0</v>
      </c>
      <c r="U278" s="76"/>
      <c r="V278" s="37"/>
      <c r="W278" s="86">
        <f>tbl_estimated_costs_quantities[[#This Row],[Plastering Painting]]*BOQs!$L$7</f>
        <v>0</v>
      </c>
      <c r="X278" s="76"/>
      <c r="Y278" s="37"/>
      <c r="Z278" s="86">
        <f>tbl_estimated_costs_quantities[[#This Row],[Floor Repairs]]*BOQs!$L$8</f>
        <v>0</v>
      </c>
      <c r="AA278" s="76"/>
      <c r="AB278" s="37"/>
      <c r="AC278" s="86">
        <f>tbl_estimated_costs_quantities[[#This Row],[Doors Replacement Repair]]*BOQs!$L$9</f>
        <v>0</v>
      </c>
      <c r="AD278" s="76"/>
      <c r="AE278" s="37"/>
      <c r="AF278" s="86">
        <f>tbl_estimated_costs_quantities[[#This Row],[Windows Replacement Repair]]*BOQs!$L$10</f>
        <v>0</v>
      </c>
      <c r="AG278" s="76"/>
      <c r="AH278" s="37"/>
      <c r="AI278" s="86">
        <f>tbl_estimated_costs_quantities[[#This Row],[Bathroom Rehabilitation]]*BOQs!$L$11</f>
        <v>0</v>
      </c>
      <c r="AJ278" s="76"/>
      <c r="AK278" s="37"/>
      <c r="AL278" s="86">
        <f>tbl_estimated_costs_quantities[[#This Row],[Ceramic Tile Works WASH]]*BOQs!$L$12</f>
        <v>0</v>
      </c>
      <c r="AM278" s="76"/>
      <c r="AN278" s="37"/>
      <c r="AO278" s="86">
        <f>tbl_estimated_costs_quantities[[#This Row],[Electrical Repairs Lighting]]*BOQs!$L$13</f>
        <v>0</v>
      </c>
      <c r="AP278" s="76"/>
      <c r="AQ278" s="37"/>
      <c r="AR278" s="86">
        <f>tbl_estimated_costs_quantities[[#This Row],[Roof Insulation Leak Sealing]]*BOQs!$L$14</f>
        <v>0</v>
      </c>
      <c r="AS278" s="76"/>
      <c r="AT278" s="37"/>
      <c r="AU278" s="86">
        <f>tbl_estimated_costs_quantities[[#This Row],[Chimney Duct Cleaning Repair]]*BOQs!$L$15</f>
        <v>0</v>
      </c>
      <c r="AV278" s="76"/>
      <c r="AW278" s="37"/>
      <c r="AX278" s="89">
        <f>tbl_estimated_costs_quantities[[#This Row],[Accessibility Adaptations]]*BOQs!$L$16</f>
        <v>0</v>
      </c>
      <c r="AY278" s="86" t="str">
        <f>IF(tbl_estimated_costs_quantities[[#This Row],[Total cost]]&lt;&gt;0,tbl_estimated_costs_quantities[[#This Row],[Total cost]]/BOQs!$A$1,"")</f>
        <v/>
      </c>
      <c r="AZ278" s="37"/>
      <c r="BA278" s="37"/>
      <c r="BB278" s="37"/>
      <c r="BC278" s="37"/>
      <c r="BD278" s="41"/>
      <c r="BE278" s="37"/>
      <c r="BF278" s="37"/>
      <c r="BG278" s="37"/>
      <c r="BH278" s="41"/>
    </row>
    <row r="279" spans="2:60" ht="25.15" customHeight="1" x14ac:dyDescent="0.25">
      <c r="B279" s="49">
        <v>275</v>
      </c>
      <c r="C279" s="37"/>
      <c r="D279" s="41"/>
      <c r="E279" s="40"/>
      <c r="F279" s="87" t="str">
        <f>IF(tbl_estimated_costs_quantities[[#This Row],[House Code]]&lt;&gt;"",INDEX(tbl_Assessment[],MATCH(tbl_estimated_costs_quantities[[#This Row],[House Code]],tbl_Assessment[House Code],0),3),"")</f>
        <v/>
      </c>
      <c r="G279" s="115" t="str">
        <f>IF(tbl_estimated_costs_quantities[[#This Row],[House Code]]&lt;&gt;"",INDEX(tbl_Assessment[],MATCH(tbl_estimated_costs_quantities[[#This Row],[House Code]],tbl_Assessment[House Code],0),9),"")</f>
        <v/>
      </c>
      <c r="H27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79" s="75"/>
      <c r="J279" s="37"/>
      <c r="K279" s="86">
        <f>tbl_estimated_costs_quantities[[#This Row],[Site Preparation]]*BOQs!$L$3</f>
        <v>0</v>
      </c>
      <c r="L279" s="76"/>
      <c r="M279" s="37"/>
      <c r="N279" s="86">
        <f>tbl_estimated_costs_quantities[[#This Row],[Demolition Removal Unsafe Structures]]*BOQs!$L$4</f>
        <v>0</v>
      </c>
      <c r="O279" s="76"/>
      <c r="P279" s="37"/>
      <c r="Q279" s="86">
        <f>tbl_estimated_costs_quantities[[#This Row],[Concrete Works]]*BOQs!$L$5</f>
        <v>0</v>
      </c>
      <c r="R279" s="76"/>
      <c r="S279" s="37"/>
      <c r="T279" s="86">
        <f>tbl_estimated_costs_quantities[[#This Row],[Closure External Openings Walls Windows]]*BOQs!$L$6</f>
        <v>0</v>
      </c>
      <c r="U279" s="76"/>
      <c r="V279" s="37"/>
      <c r="W279" s="86">
        <f>tbl_estimated_costs_quantities[[#This Row],[Plastering Painting]]*BOQs!$L$7</f>
        <v>0</v>
      </c>
      <c r="X279" s="76"/>
      <c r="Y279" s="37"/>
      <c r="Z279" s="86">
        <f>tbl_estimated_costs_quantities[[#This Row],[Floor Repairs]]*BOQs!$L$8</f>
        <v>0</v>
      </c>
      <c r="AA279" s="76"/>
      <c r="AB279" s="37"/>
      <c r="AC279" s="86">
        <f>tbl_estimated_costs_quantities[[#This Row],[Doors Replacement Repair]]*BOQs!$L$9</f>
        <v>0</v>
      </c>
      <c r="AD279" s="76"/>
      <c r="AE279" s="37"/>
      <c r="AF279" s="86">
        <f>tbl_estimated_costs_quantities[[#This Row],[Windows Replacement Repair]]*BOQs!$L$10</f>
        <v>0</v>
      </c>
      <c r="AG279" s="76"/>
      <c r="AH279" s="37"/>
      <c r="AI279" s="86">
        <f>tbl_estimated_costs_quantities[[#This Row],[Bathroom Rehabilitation]]*BOQs!$L$11</f>
        <v>0</v>
      </c>
      <c r="AJ279" s="76"/>
      <c r="AK279" s="37"/>
      <c r="AL279" s="86">
        <f>tbl_estimated_costs_quantities[[#This Row],[Ceramic Tile Works WASH]]*BOQs!$L$12</f>
        <v>0</v>
      </c>
      <c r="AM279" s="76"/>
      <c r="AN279" s="37"/>
      <c r="AO279" s="86">
        <f>tbl_estimated_costs_quantities[[#This Row],[Electrical Repairs Lighting]]*BOQs!$L$13</f>
        <v>0</v>
      </c>
      <c r="AP279" s="76"/>
      <c r="AQ279" s="37"/>
      <c r="AR279" s="86">
        <f>tbl_estimated_costs_quantities[[#This Row],[Roof Insulation Leak Sealing]]*BOQs!$L$14</f>
        <v>0</v>
      </c>
      <c r="AS279" s="76"/>
      <c r="AT279" s="37"/>
      <c r="AU279" s="86">
        <f>tbl_estimated_costs_quantities[[#This Row],[Chimney Duct Cleaning Repair]]*BOQs!$L$15</f>
        <v>0</v>
      </c>
      <c r="AV279" s="76"/>
      <c r="AW279" s="37"/>
      <c r="AX279" s="89">
        <f>tbl_estimated_costs_quantities[[#This Row],[Accessibility Adaptations]]*BOQs!$L$16</f>
        <v>0</v>
      </c>
      <c r="AY279" s="86" t="str">
        <f>IF(tbl_estimated_costs_quantities[[#This Row],[Total cost]]&lt;&gt;0,tbl_estimated_costs_quantities[[#This Row],[Total cost]]/BOQs!$A$1,"")</f>
        <v/>
      </c>
      <c r="AZ279" s="37"/>
      <c r="BA279" s="37"/>
      <c r="BB279" s="37"/>
      <c r="BC279" s="37"/>
      <c r="BD279" s="41"/>
      <c r="BE279" s="37"/>
      <c r="BF279" s="37"/>
      <c r="BG279" s="37"/>
      <c r="BH279" s="41"/>
    </row>
    <row r="280" spans="2:60" ht="25.15" customHeight="1" x14ac:dyDescent="0.25">
      <c r="B280" s="49">
        <v>276</v>
      </c>
      <c r="C280" s="37"/>
      <c r="D280" s="41"/>
      <c r="E280" s="40"/>
      <c r="F280" s="87" t="str">
        <f>IF(tbl_estimated_costs_quantities[[#This Row],[House Code]]&lt;&gt;"",INDEX(tbl_Assessment[],MATCH(tbl_estimated_costs_quantities[[#This Row],[House Code]],tbl_Assessment[House Code],0),3),"")</f>
        <v/>
      </c>
      <c r="G280" s="115" t="str">
        <f>IF(tbl_estimated_costs_quantities[[#This Row],[House Code]]&lt;&gt;"",INDEX(tbl_Assessment[],MATCH(tbl_estimated_costs_quantities[[#This Row],[House Code]],tbl_Assessment[House Code],0),9),"")</f>
        <v/>
      </c>
      <c r="H28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0" s="75"/>
      <c r="J280" s="37"/>
      <c r="K280" s="86">
        <f>tbl_estimated_costs_quantities[[#This Row],[Site Preparation]]*BOQs!$L$3</f>
        <v>0</v>
      </c>
      <c r="L280" s="76"/>
      <c r="M280" s="37"/>
      <c r="N280" s="86">
        <f>tbl_estimated_costs_quantities[[#This Row],[Demolition Removal Unsafe Structures]]*BOQs!$L$4</f>
        <v>0</v>
      </c>
      <c r="O280" s="76"/>
      <c r="P280" s="37"/>
      <c r="Q280" s="86">
        <f>tbl_estimated_costs_quantities[[#This Row],[Concrete Works]]*BOQs!$L$5</f>
        <v>0</v>
      </c>
      <c r="R280" s="76"/>
      <c r="S280" s="37"/>
      <c r="T280" s="86">
        <f>tbl_estimated_costs_quantities[[#This Row],[Closure External Openings Walls Windows]]*BOQs!$L$6</f>
        <v>0</v>
      </c>
      <c r="U280" s="76"/>
      <c r="V280" s="37"/>
      <c r="W280" s="86">
        <f>tbl_estimated_costs_quantities[[#This Row],[Plastering Painting]]*BOQs!$L$7</f>
        <v>0</v>
      </c>
      <c r="X280" s="76"/>
      <c r="Y280" s="37"/>
      <c r="Z280" s="86">
        <f>tbl_estimated_costs_quantities[[#This Row],[Floor Repairs]]*BOQs!$L$8</f>
        <v>0</v>
      </c>
      <c r="AA280" s="76"/>
      <c r="AB280" s="37"/>
      <c r="AC280" s="86">
        <f>tbl_estimated_costs_quantities[[#This Row],[Doors Replacement Repair]]*BOQs!$L$9</f>
        <v>0</v>
      </c>
      <c r="AD280" s="76"/>
      <c r="AE280" s="37"/>
      <c r="AF280" s="86">
        <f>tbl_estimated_costs_quantities[[#This Row],[Windows Replacement Repair]]*BOQs!$L$10</f>
        <v>0</v>
      </c>
      <c r="AG280" s="76"/>
      <c r="AH280" s="37"/>
      <c r="AI280" s="86">
        <f>tbl_estimated_costs_quantities[[#This Row],[Bathroom Rehabilitation]]*BOQs!$L$11</f>
        <v>0</v>
      </c>
      <c r="AJ280" s="76"/>
      <c r="AK280" s="37"/>
      <c r="AL280" s="86">
        <f>tbl_estimated_costs_quantities[[#This Row],[Ceramic Tile Works WASH]]*BOQs!$L$12</f>
        <v>0</v>
      </c>
      <c r="AM280" s="76"/>
      <c r="AN280" s="37"/>
      <c r="AO280" s="86">
        <f>tbl_estimated_costs_quantities[[#This Row],[Electrical Repairs Lighting]]*BOQs!$L$13</f>
        <v>0</v>
      </c>
      <c r="AP280" s="76"/>
      <c r="AQ280" s="37"/>
      <c r="AR280" s="86">
        <f>tbl_estimated_costs_quantities[[#This Row],[Roof Insulation Leak Sealing]]*BOQs!$L$14</f>
        <v>0</v>
      </c>
      <c r="AS280" s="76"/>
      <c r="AT280" s="37"/>
      <c r="AU280" s="86">
        <f>tbl_estimated_costs_quantities[[#This Row],[Chimney Duct Cleaning Repair]]*BOQs!$L$15</f>
        <v>0</v>
      </c>
      <c r="AV280" s="76"/>
      <c r="AW280" s="37"/>
      <c r="AX280" s="89">
        <f>tbl_estimated_costs_quantities[[#This Row],[Accessibility Adaptations]]*BOQs!$L$16</f>
        <v>0</v>
      </c>
      <c r="AY280" s="86" t="str">
        <f>IF(tbl_estimated_costs_quantities[[#This Row],[Total cost]]&lt;&gt;0,tbl_estimated_costs_quantities[[#This Row],[Total cost]]/BOQs!$A$1,"")</f>
        <v/>
      </c>
      <c r="AZ280" s="37"/>
      <c r="BA280" s="37"/>
      <c r="BB280" s="37"/>
      <c r="BC280" s="37"/>
      <c r="BD280" s="41"/>
      <c r="BE280" s="37"/>
      <c r="BF280" s="37"/>
      <c r="BG280" s="37"/>
      <c r="BH280" s="41"/>
    </row>
    <row r="281" spans="2:60" ht="25.15" customHeight="1" x14ac:dyDescent="0.25">
      <c r="B281" s="49">
        <v>277</v>
      </c>
      <c r="C281" s="37"/>
      <c r="D281" s="41"/>
      <c r="E281" s="40"/>
      <c r="F281" s="87" t="str">
        <f>IF(tbl_estimated_costs_quantities[[#This Row],[House Code]]&lt;&gt;"",INDEX(tbl_Assessment[],MATCH(tbl_estimated_costs_quantities[[#This Row],[House Code]],tbl_Assessment[House Code],0),3),"")</f>
        <v/>
      </c>
      <c r="G281" s="115" t="str">
        <f>IF(tbl_estimated_costs_quantities[[#This Row],[House Code]]&lt;&gt;"",INDEX(tbl_Assessment[],MATCH(tbl_estimated_costs_quantities[[#This Row],[House Code]],tbl_Assessment[House Code],0),9),"")</f>
        <v/>
      </c>
      <c r="H28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1" s="75"/>
      <c r="J281" s="37"/>
      <c r="K281" s="86">
        <f>tbl_estimated_costs_quantities[[#This Row],[Site Preparation]]*BOQs!$L$3</f>
        <v>0</v>
      </c>
      <c r="L281" s="76"/>
      <c r="M281" s="37"/>
      <c r="N281" s="86">
        <f>tbl_estimated_costs_quantities[[#This Row],[Demolition Removal Unsafe Structures]]*BOQs!$L$4</f>
        <v>0</v>
      </c>
      <c r="O281" s="76"/>
      <c r="P281" s="37"/>
      <c r="Q281" s="86">
        <f>tbl_estimated_costs_quantities[[#This Row],[Concrete Works]]*BOQs!$L$5</f>
        <v>0</v>
      </c>
      <c r="R281" s="76"/>
      <c r="S281" s="37"/>
      <c r="T281" s="86">
        <f>tbl_estimated_costs_quantities[[#This Row],[Closure External Openings Walls Windows]]*BOQs!$L$6</f>
        <v>0</v>
      </c>
      <c r="U281" s="76"/>
      <c r="V281" s="37"/>
      <c r="W281" s="86">
        <f>tbl_estimated_costs_quantities[[#This Row],[Plastering Painting]]*BOQs!$L$7</f>
        <v>0</v>
      </c>
      <c r="X281" s="76"/>
      <c r="Y281" s="37"/>
      <c r="Z281" s="86">
        <f>tbl_estimated_costs_quantities[[#This Row],[Floor Repairs]]*BOQs!$L$8</f>
        <v>0</v>
      </c>
      <c r="AA281" s="76"/>
      <c r="AB281" s="37"/>
      <c r="AC281" s="86">
        <f>tbl_estimated_costs_quantities[[#This Row],[Doors Replacement Repair]]*BOQs!$L$9</f>
        <v>0</v>
      </c>
      <c r="AD281" s="76"/>
      <c r="AE281" s="37"/>
      <c r="AF281" s="86">
        <f>tbl_estimated_costs_quantities[[#This Row],[Windows Replacement Repair]]*BOQs!$L$10</f>
        <v>0</v>
      </c>
      <c r="AG281" s="76"/>
      <c r="AH281" s="37"/>
      <c r="AI281" s="86">
        <f>tbl_estimated_costs_quantities[[#This Row],[Bathroom Rehabilitation]]*BOQs!$L$11</f>
        <v>0</v>
      </c>
      <c r="AJ281" s="76"/>
      <c r="AK281" s="37"/>
      <c r="AL281" s="86">
        <f>tbl_estimated_costs_quantities[[#This Row],[Ceramic Tile Works WASH]]*BOQs!$L$12</f>
        <v>0</v>
      </c>
      <c r="AM281" s="76"/>
      <c r="AN281" s="37"/>
      <c r="AO281" s="86">
        <f>tbl_estimated_costs_quantities[[#This Row],[Electrical Repairs Lighting]]*BOQs!$L$13</f>
        <v>0</v>
      </c>
      <c r="AP281" s="76"/>
      <c r="AQ281" s="37"/>
      <c r="AR281" s="86">
        <f>tbl_estimated_costs_quantities[[#This Row],[Roof Insulation Leak Sealing]]*BOQs!$L$14</f>
        <v>0</v>
      </c>
      <c r="AS281" s="76"/>
      <c r="AT281" s="37"/>
      <c r="AU281" s="86">
        <f>tbl_estimated_costs_quantities[[#This Row],[Chimney Duct Cleaning Repair]]*BOQs!$L$15</f>
        <v>0</v>
      </c>
      <c r="AV281" s="76"/>
      <c r="AW281" s="37"/>
      <c r="AX281" s="89">
        <f>tbl_estimated_costs_quantities[[#This Row],[Accessibility Adaptations]]*BOQs!$L$16</f>
        <v>0</v>
      </c>
      <c r="AY281" s="86" t="str">
        <f>IF(tbl_estimated_costs_quantities[[#This Row],[Total cost]]&lt;&gt;0,tbl_estimated_costs_quantities[[#This Row],[Total cost]]/BOQs!$A$1,"")</f>
        <v/>
      </c>
      <c r="AZ281" s="37"/>
      <c r="BA281" s="37"/>
      <c r="BB281" s="37"/>
      <c r="BC281" s="37"/>
      <c r="BD281" s="41"/>
      <c r="BE281" s="37"/>
      <c r="BF281" s="37"/>
      <c r="BG281" s="37"/>
      <c r="BH281" s="41"/>
    </row>
    <row r="282" spans="2:60" ht="25.15" customHeight="1" x14ac:dyDescent="0.25">
      <c r="B282" s="49">
        <v>278</v>
      </c>
      <c r="C282" s="37"/>
      <c r="D282" s="41"/>
      <c r="E282" s="40"/>
      <c r="F282" s="87" t="str">
        <f>IF(tbl_estimated_costs_quantities[[#This Row],[House Code]]&lt;&gt;"",INDEX(tbl_Assessment[],MATCH(tbl_estimated_costs_quantities[[#This Row],[House Code]],tbl_Assessment[House Code],0),3),"")</f>
        <v/>
      </c>
      <c r="G282" s="115" t="str">
        <f>IF(tbl_estimated_costs_quantities[[#This Row],[House Code]]&lt;&gt;"",INDEX(tbl_Assessment[],MATCH(tbl_estimated_costs_quantities[[#This Row],[House Code]],tbl_Assessment[House Code],0),9),"")</f>
        <v/>
      </c>
      <c r="H28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2" s="75"/>
      <c r="J282" s="37"/>
      <c r="K282" s="86">
        <f>tbl_estimated_costs_quantities[[#This Row],[Site Preparation]]*BOQs!$L$3</f>
        <v>0</v>
      </c>
      <c r="L282" s="76"/>
      <c r="M282" s="37"/>
      <c r="N282" s="86">
        <f>tbl_estimated_costs_quantities[[#This Row],[Demolition Removal Unsafe Structures]]*BOQs!$L$4</f>
        <v>0</v>
      </c>
      <c r="O282" s="76"/>
      <c r="P282" s="37"/>
      <c r="Q282" s="86">
        <f>tbl_estimated_costs_quantities[[#This Row],[Concrete Works]]*BOQs!$L$5</f>
        <v>0</v>
      </c>
      <c r="R282" s="76"/>
      <c r="S282" s="37"/>
      <c r="T282" s="86">
        <f>tbl_estimated_costs_quantities[[#This Row],[Closure External Openings Walls Windows]]*BOQs!$L$6</f>
        <v>0</v>
      </c>
      <c r="U282" s="76"/>
      <c r="V282" s="37"/>
      <c r="W282" s="86">
        <f>tbl_estimated_costs_quantities[[#This Row],[Plastering Painting]]*BOQs!$L$7</f>
        <v>0</v>
      </c>
      <c r="X282" s="76"/>
      <c r="Y282" s="37"/>
      <c r="Z282" s="86">
        <f>tbl_estimated_costs_quantities[[#This Row],[Floor Repairs]]*BOQs!$L$8</f>
        <v>0</v>
      </c>
      <c r="AA282" s="76"/>
      <c r="AB282" s="37"/>
      <c r="AC282" s="86">
        <f>tbl_estimated_costs_quantities[[#This Row],[Doors Replacement Repair]]*BOQs!$L$9</f>
        <v>0</v>
      </c>
      <c r="AD282" s="76"/>
      <c r="AE282" s="37"/>
      <c r="AF282" s="86">
        <f>tbl_estimated_costs_quantities[[#This Row],[Windows Replacement Repair]]*BOQs!$L$10</f>
        <v>0</v>
      </c>
      <c r="AG282" s="76"/>
      <c r="AH282" s="37"/>
      <c r="AI282" s="86">
        <f>tbl_estimated_costs_quantities[[#This Row],[Bathroom Rehabilitation]]*BOQs!$L$11</f>
        <v>0</v>
      </c>
      <c r="AJ282" s="76"/>
      <c r="AK282" s="37"/>
      <c r="AL282" s="86">
        <f>tbl_estimated_costs_quantities[[#This Row],[Ceramic Tile Works WASH]]*BOQs!$L$12</f>
        <v>0</v>
      </c>
      <c r="AM282" s="76"/>
      <c r="AN282" s="37"/>
      <c r="AO282" s="86">
        <f>tbl_estimated_costs_quantities[[#This Row],[Electrical Repairs Lighting]]*BOQs!$L$13</f>
        <v>0</v>
      </c>
      <c r="AP282" s="76"/>
      <c r="AQ282" s="37"/>
      <c r="AR282" s="86">
        <f>tbl_estimated_costs_quantities[[#This Row],[Roof Insulation Leak Sealing]]*BOQs!$L$14</f>
        <v>0</v>
      </c>
      <c r="AS282" s="76"/>
      <c r="AT282" s="37"/>
      <c r="AU282" s="86">
        <f>tbl_estimated_costs_quantities[[#This Row],[Chimney Duct Cleaning Repair]]*BOQs!$L$15</f>
        <v>0</v>
      </c>
      <c r="AV282" s="76"/>
      <c r="AW282" s="37"/>
      <c r="AX282" s="89">
        <f>tbl_estimated_costs_quantities[[#This Row],[Accessibility Adaptations]]*BOQs!$L$16</f>
        <v>0</v>
      </c>
      <c r="AY282" s="86" t="str">
        <f>IF(tbl_estimated_costs_quantities[[#This Row],[Total cost]]&lt;&gt;0,tbl_estimated_costs_quantities[[#This Row],[Total cost]]/BOQs!$A$1,"")</f>
        <v/>
      </c>
      <c r="AZ282" s="37"/>
      <c r="BA282" s="37"/>
      <c r="BB282" s="37"/>
      <c r="BC282" s="37"/>
      <c r="BD282" s="41"/>
      <c r="BE282" s="37"/>
      <c r="BF282" s="37"/>
      <c r="BG282" s="37"/>
      <c r="BH282" s="41"/>
    </row>
    <row r="283" spans="2:60" ht="25.15" customHeight="1" x14ac:dyDescent="0.25">
      <c r="B283" s="49">
        <v>279</v>
      </c>
      <c r="C283" s="37"/>
      <c r="D283" s="41"/>
      <c r="E283" s="40"/>
      <c r="F283" s="87" t="str">
        <f>IF(tbl_estimated_costs_quantities[[#This Row],[House Code]]&lt;&gt;"",INDEX(tbl_Assessment[],MATCH(tbl_estimated_costs_quantities[[#This Row],[House Code]],tbl_Assessment[House Code],0),3),"")</f>
        <v/>
      </c>
      <c r="G283" s="115" t="str">
        <f>IF(tbl_estimated_costs_quantities[[#This Row],[House Code]]&lt;&gt;"",INDEX(tbl_Assessment[],MATCH(tbl_estimated_costs_quantities[[#This Row],[House Code]],tbl_Assessment[House Code],0),9),"")</f>
        <v/>
      </c>
      <c r="H28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3" s="75"/>
      <c r="J283" s="37"/>
      <c r="K283" s="86">
        <f>tbl_estimated_costs_quantities[[#This Row],[Site Preparation]]*BOQs!$L$3</f>
        <v>0</v>
      </c>
      <c r="L283" s="76"/>
      <c r="M283" s="37"/>
      <c r="N283" s="86">
        <f>tbl_estimated_costs_quantities[[#This Row],[Demolition Removal Unsafe Structures]]*BOQs!$L$4</f>
        <v>0</v>
      </c>
      <c r="O283" s="76"/>
      <c r="P283" s="37"/>
      <c r="Q283" s="86">
        <f>tbl_estimated_costs_quantities[[#This Row],[Concrete Works]]*BOQs!$L$5</f>
        <v>0</v>
      </c>
      <c r="R283" s="76"/>
      <c r="S283" s="37"/>
      <c r="T283" s="86">
        <f>tbl_estimated_costs_quantities[[#This Row],[Closure External Openings Walls Windows]]*BOQs!$L$6</f>
        <v>0</v>
      </c>
      <c r="U283" s="76"/>
      <c r="V283" s="37"/>
      <c r="W283" s="86">
        <f>tbl_estimated_costs_quantities[[#This Row],[Plastering Painting]]*BOQs!$L$7</f>
        <v>0</v>
      </c>
      <c r="X283" s="76"/>
      <c r="Y283" s="37"/>
      <c r="Z283" s="86">
        <f>tbl_estimated_costs_quantities[[#This Row],[Floor Repairs]]*BOQs!$L$8</f>
        <v>0</v>
      </c>
      <c r="AA283" s="76"/>
      <c r="AB283" s="37"/>
      <c r="AC283" s="86">
        <f>tbl_estimated_costs_quantities[[#This Row],[Doors Replacement Repair]]*BOQs!$L$9</f>
        <v>0</v>
      </c>
      <c r="AD283" s="76"/>
      <c r="AE283" s="37"/>
      <c r="AF283" s="86">
        <f>tbl_estimated_costs_quantities[[#This Row],[Windows Replacement Repair]]*BOQs!$L$10</f>
        <v>0</v>
      </c>
      <c r="AG283" s="76"/>
      <c r="AH283" s="37"/>
      <c r="AI283" s="86">
        <f>tbl_estimated_costs_quantities[[#This Row],[Bathroom Rehabilitation]]*BOQs!$L$11</f>
        <v>0</v>
      </c>
      <c r="AJ283" s="76"/>
      <c r="AK283" s="37"/>
      <c r="AL283" s="86">
        <f>tbl_estimated_costs_quantities[[#This Row],[Ceramic Tile Works WASH]]*BOQs!$L$12</f>
        <v>0</v>
      </c>
      <c r="AM283" s="76"/>
      <c r="AN283" s="37"/>
      <c r="AO283" s="86">
        <f>tbl_estimated_costs_quantities[[#This Row],[Electrical Repairs Lighting]]*BOQs!$L$13</f>
        <v>0</v>
      </c>
      <c r="AP283" s="76"/>
      <c r="AQ283" s="37"/>
      <c r="AR283" s="86">
        <f>tbl_estimated_costs_quantities[[#This Row],[Roof Insulation Leak Sealing]]*BOQs!$L$14</f>
        <v>0</v>
      </c>
      <c r="AS283" s="76"/>
      <c r="AT283" s="37"/>
      <c r="AU283" s="86">
        <f>tbl_estimated_costs_quantities[[#This Row],[Chimney Duct Cleaning Repair]]*BOQs!$L$15</f>
        <v>0</v>
      </c>
      <c r="AV283" s="76"/>
      <c r="AW283" s="37"/>
      <c r="AX283" s="89">
        <f>tbl_estimated_costs_quantities[[#This Row],[Accessibility Adaptations]]*BOQs!$L$16</f>
        <v>0</v>
      </c>
      <c r="AY283" s="86" t="str">
        <f>IF(tbl_estimated_costs_quantities[[#This Row],[Total cost]]&lt;&gt;0,tbl_estimated_costs_quantities[[#This Row],[Total cost]]/BOQs!$A$1,"")</f>
        <v/>
      </c>
      <c r="AZ283" s="37"/>
      <c r="BA283" s="37"/>
      <c r="BB283" s="37"/>
      <c r="BC283" s="37"/>
      <c r="BD283" s="41"/>
      <c r="BE283" s="37"/>
      <c r="BF283" s="37"/>
      <c r="BG283" s="37"/>
      <c r="BH283" s="41"/>
    </row>
    <row r="284" spans="2:60" ht="25.15" customHeight="1" x14ac:dyDescent="0.25">
      <c r="B284" s="49">
        <v>280</v>
      </c>
      <c r="C284" s="37"/>
      <c r="D284" s="41"/>
      <c r="E284" s="40"/>
      <c r="F284" s="87" t="str">
        <f>IF(tbl_estimated_costs_quantities[[#This Row],[House Code]]&lt;&gt;"",INDEX(tbl_Assessment[],MATCH(tbl_estimated_costs_quantities[[#This Row],[House Code]],tbl_Assessment[House Code],0),3),"")</f>
        <v/>
      </c>
      <c r="G284" s="115" t="str">
        <f>IF(tbl_estimated_costs_quantities[[#This Row],[House Code]]&lt;&gt;"",INDEX(tbl_Assessment[],MATCH(tbl_estimated_costs_quantities[[#This Row],[House Code]],tbl_Assessment[House Code],0),9),"")</f>
        <v/>
      </c>
      <c r="H28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4" s="75"/>
      <c r="J284" s="37"/>
      <c r="K284" s="86">
        <f>tbl_estimated_costs_quantities[[#This Row],[Site Preparation]]*BOQs!$L$3</f>
        <v>0</v>
      </c>
      <c r="L284" s="76"/>
      <c r="M284" s="37"/>
      <c r="N284" s="86">
        <f>tbl_estimated_costs_quantities[[#This Row],[Demolition Removal Unsafe Structures]]*BOQs!$L$4</f>
        <v>0</v>
      </c>
      <c r="O284" s="76"/>
      <c r="P284" s="37"/>
      <c r="Q284" s="86">
        <f>tbl_estimated_costs_quantities[[#This Row],[Concrete Works]]*BOQs!$L$5</f>
        <v>0</v>
      </c>
      <c r="R284" s="76"/>
      <c r="S284" s="37"/>
      <c r="T284" s="86">
        <f>tbl_estimated_costs_quantities[[#This Row],[Closure External Openings Walls Windows]]*BOQs!$L$6</f>
        <v>0</v>
      </c>
      <c r="U284" s="76"/>
      <c r="V284" s="37"/>
      <c r="W284" s="86">
        <f>tbl_estimated_costs_quantities[[#This Row],[Plastering Painting]]*BOQs!$L$7</f>
        <v>0</v>
      </c>
      <c r="X284" s="76"/>
      <c r="Y284" s="37"/>
      <c r="Z284" s="86">
        <f>tbl_estimated_costs_quantities[[#This Row],[Floor Repairs]]*BOQs!$L$8</f>
        <v>0</v>
      </c>
      <c r="AA284" s="76"/>
      <c r="AB284" s="37"/>
      <c r="AC284" s="86">
        <f>tbl_estimated_costs_quantities[[#This Row],[Doors Replacement Repair]]*BOQs!$L$9</f>
        <v>0</v>
      </c>
      <c r="AD284" s="76"/>
      <c r="AE284" s="37"/>
      <c r="AF284" s="86">
        <f>tbl_estimated_costs_quantities[[#This Row],[Windows Replacement Repair]]*BOQs!$L$10</f>
        <v>0</v>
      </c>
      <c r="AG284" s="76"/>
      <c r="AH284" s="37"/>
      <c r="AI284" s="86">
        <f>tbl_estimated_costs_quantities[[#This Row],[Bathroom Rehabilitation]]*BOQs!$L$11</f>
        <v>0</v>
      </c>
      <c r="AJ284" s="76"/>
      <c r="AK284" s="37"/>
      <c r="AL284" s="86">
        <f>tbl_estimated_costs_quantities[[#This Row],[Ceramic Tile Works WASH]]*BOQs!$L$12</f>
        <v>0</v>
      </c>
      <c r="AM284" s="76"/>
      <c r="AN284" s="37"/>
      <c r="AO284" s="86">
        <f>tbl_estimated_costs_quantities[[#This Row],[Electrical Repairs Lighting]]*BOQs!$L$13</f>
        <v>0</v>
      </c>
      <c r="AP284" s="76"/>
      <c r="AQ284" s="37"/>
      <c r="AR284" s="86">
        <f>tbl_estimated_costs_quantities[[#This Row],[Roof Insulation Leak Sealing]]*BOQs!$L$14</f>
        <v>0</v>
      </c>
      <c r="AS284" s="76"/>
      <c r="AT284" s="37"/>
      <c r="AU284" s="86">
        <f>tbl_estimated_costs_quantities[[#This Row],[Chimney Duct Cleaning Repair]]*BOQs!$L$15</f>
        <v>0</v>
      </c>
      <c r="AV284" s="76"/>
      <c r="AW284" s="37"/>
      <c r="AX284" s="89">
        <f>tbl_estimated_costs_quantities[[#This Row],[Accessibility Adaptations]]*BOQs!$L$16</f>
        <v>0</v>
      </c>
      <c r="AY284" s="86" t="str">
        <f>IF(tbl_estimated_costs_quantities[[#This Row],[Total cost]]&lt;&gt;0,tbl_estimated_costs_quantities[[#This Row],[Total cost]]/BOQs!$A$1,"")</f>
        <v/>
      </c>
      <c r="AZ284" s="37"/>
      <c r="BA284" s="37"/>
      <c r="BB284" s="37"/>
      <c r="BC284" s="37"/>
      <c r="BD284" s="41"/>
      <c r="BE284" s="37"/>
      <c r="BF284" s="37"/>
      <c r="BG284" s="37"/>
      <c r="BH284" s="41"/>
    </row>
    <row r="285" spans="2:60" ht="25.15" customHeight="1" x14ac:dyDescent="0.25">
      <c r="B285" s="49">
        <v>281</v>
      </c>
      <c r="C285" s="37"/>
      <c r="D285" s="41"/>
      <c r="E285" s="40"/>
      <c r="F285" s="87" t="str">
        <f>IF(tbl_estimated_costs_quantities[[#This Row],[House Code]]&lt;&gt;"",INDEX(tbl_Assessment[],MATCH(tbl_estimated_costs_quantities[[#This Row],[House Code]],tbl_Assessment[House Code],0),3),"")</f>
        <v/>
      </c>
      <c r="G285" s="115" t="str">
        <f>IF(tbl_estimated_costs_quantities[[#This Row],[House Code]]&lt;&gt;"",INDEX(tbl_Assessment[],MATCH(tbl_estimated_costs_quantities[[#This Row],[House Code]],tbl_Assessment[House Code],0),9),"")</f>
        <v/>
      </c>
      <c r="H28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5" s="75"/>
      <c r="J285" s="37"/>
      <c r="K285" s="86">
        <f>tbl_estimated_costs_quantities[[#This Row],[Site Preparation]]*BOQs!$L$3</f>
        <v>0</v>
      </c>
      <c r="L285" s="76"/>
      <c r="M285" s="37"/>
      <c r="N285" s="86">
        <f>tbl_estimated_costs_quantities[[#This Row],[Demolition Removal Unsafe Structures]]*BOQs!$L$4</f>
        <v>0</v>
      </c>
      <c r="O285" s="76"/>
      <c r="P285" s="37"/>
      <c r="Q285" s="86">
        <f>tbl_estimated_costs_quantities[[#This Row],[Concrete Works]]*BOQs!$L$5</f>
        <v>0</v>
      </c>
      <c r="R285" s="76"/>
      <c r="S285" s="37"/>
      <c r="T285" s="86">
        <f>tbl_estimated_costs_quantities[[#This Row],[Closure External Openings Walls Windows]]*BOQs!$L$6</f>
        <v>0</v>
      </c>
      <c r="U285" s="76"/>
      <c r="V285" s="37"/>
      <c r="W285" s="86">
        <f>tbl_estimated_costs_quantities[[#This Row],[Plastering Painting]]*BOQs!$L$7</f>
        <v>0</v>
      </c>
      <c r="X285" s="76"/>
      <c r="Y285" s="37"/>
      <c r="Z285" s="86">
        <f>tbl_estimated_costs_quantities[[#This Row],[Floor Repairs]]*BOQs!$L$8</f>
        <v>0</v>
      </c>
      <c r="AA285" s="76"/>
      <c r="AB285" s="37"/>
      <c r="AC285" s="86">
        <f>tbl_estimated_costs_quantities[[#This Row],[Doors Replacement Repair]]*BOQs!$L$9</f>
        <v>0</v>
      </c>
      <c r="AD285" s="76"/>
      <c r="AE285" s="37"/>
      <c r="AF285" s="86">
        <f>tbl_estimated_costs_quantities[[#This Row],[Windows Replacement Repair]]*BOQs!$L$10</f>
        <v>0</v>
      </c>
      <c r="AG285" s="76"/>
      <c r="AH285" s="37"/>
      <c r="AI285" s="86">
        <f>tbl_estimated_costs_quantities[[#This Row],[Bathroom Rehabilitation]]*BOQs!$L$11</f>
        <v>0</v>
      </c>
      <c r="AJ285" s="76"/>
      <c r="AK285" s="37"/>
      <c r="AL285" s="86">
        <f>tbl_estimated_costs_quantities[[#This Row],[Ceramic Tile Works WASH]]*BOQs!$L$12</f>
        <v>0</v>
      </c>
      <c r="AM285" s="76"/>
      <c r="AN285" s="37"/>
      <c r="AO285" s="86">
        <f>tbl_estimated_costs_quantities[[#This Row],[Electrical Repairs Lighting]]*BOQs!$L$13</f>
        <v>0</v>
      </c>
      <c r="AP285" s="76"/>
      <c r="AQ285" s="37"/>
      <c r="AR285" s="86">
        <f>tbl_estimated_costs_quantities[[#This Row],[Roof Insulation Leak Sealing]]*BOQs!$L$14</f>
        <v>0</v>
      </c>
      <c r="AS285" s="76"/>
      <c r="AT285" s="37"/>
      <c r="AU285" s="86">
        <f>tbl_estimated_costs_quantities[[#This Row],[Chimney Duct Cleaning Repair]]*BOQs!$L$15</f>
        <v>0</v>
      </c>
      <c r="AV285" s="76"/>
      <c r="AW285" s="37"/>
      <c r="AX285" s="89">
        <f>tbl_estimated_costs_quantities[[#This Row],[Accessibility Adaptations]]*BOQs!$L$16</f>
        <v>0</v>
      </c>
      <c r="AY285" s="86" t="str">
        <f>IF(tbl_estimated_costs_quantities[[#This Row],[Total cost]]&lt;&gt;0,tbl_estimated_costs_quantities[[#This Row],[Total cost]]/BOQs!$A$1,"")</f>
        <v/>
      </c>
      <c r="AZ285" s="37"/>
      <c r="BA285" s="37"/>
      <c r="BB285" s="37"/>
      <c r="BC285" s="37"/>
      <c r="BD285" s="41"/>
      <c r="BE285" s="37"/>
      <c r="BF285" s="37"/>
      <c r="BG285" s="37"/>
      <c r="BH285" s="41"/>
    </row>
    <row r="286" spans="2:60" ht="25.15" customHeight="1" x14ac:dyDescent="0.25">
      <c r="B286" s="49">
        <v>282</v>
      </c>
      <c r="C286" s="37"/>
      <c r="D286" s="41"/>
      <c r="E286" s="40"/>
      <c r="F286" s="87" t="str">
        <f>IF(tbl_estimated_costs_quantities[[#This Row],[House Code]]&lt;&gt;"",INDEX(tbl_Assessment[],MATCH(tbl_estimated_costs_quantities[[#This Row],[House Code]],tbl_Assessment[House Code],0),3),"")</f>
        <v/>
      </c>
      <c r="G286" s="115" t="str">
        <f>IF(tbl_estimated_costs_quantities[[#This Row],[House Code]]&lt;&gt;"",INDEX(tbl_Assessment[],MATCH(tbl_estimated_costs_quantities[[#This Row],[House Code]],tbl_Assessment[House Code],0),9),"")</f>
        <v/>
      </c>
      <c r="H28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6" s="75"/>
      <c r="J286" s="37"/>
      <c r="K286" s="86">
        <f>tbl_estimated_costs_quantities[[#This Row],[Site Preparation]]*BOQs!$L$3</f>
        <v>0</v>
      </c>
      <c r="L286" s="76"/>
      <c r="M286" s="37"/>
      <c r="N286" s="86">
        <f>tbl_estimated_costs_quantities[[#This Row],[Demolition Removal Unsafe Structures]]*BOQs!$L$4</f>
        <v>0</v>
      </c>
      <c r="O286" s="76"/>
      <c r="P286" s="37"/>
      <c r="Q286" s="86">
        <f>tbl_estimated_costs_quantities[[#This Row],[Concrete Works]]*BOQs!$L$5</f>
        <v>0</v>
      </c>
      <c r="R286" s="76"/>
      <c r="S286" s="37"/>
      <c r="T286" s="86">
        <f>tbl_estimated_costs_quantities[[#This Row],[Closure External Openings Walls Windows]]*BOQs!$L$6</f>
        <v>0</v>
      </c>
      <c r="U286" s="76"/>
      <c r="V286" s="37"/>
      <c r="W286" s="86">
        <f>tbl_estimated_costs_quantities[[#This Row],[Plastering Painting]]*BOQs!$L$7</f>
        <v>0</v>
      </c>
      <c r="X286" s="76"/>
      <c r="Y286" s="37"/>
      <c r="Z286" s="86">
        <f>tbl_estimated_costs_quantities[[#This Row],[Floor Repairs]]*BOQs!$L$8</f>
        <v>0</v>
      </c>
      <c r="AA286" s="76"/>
      <c r="AB286" s="37"/>
      <c r="AC286" s="86">
        <f>tbl_estimated_costs_quantities[[#This Row],[Doors Replacement Repair]]*BOQs!$L$9</f>
        <v>0</v>
      </c>
      <c r="AD286" s="76"/>
      <c r="AE286" s="37"/>
      <c r="AF286" s="86">
        <f>tbl_estimated_costs_quantities[[#This Row],[Windows Replacement Repair]]*BOQs!$L$10</f>
        <v>0</v>
      </c>
      <c r="AG286" s="76"/>
      <c r="AH286" s="37"/>
      <c r="AI286" s="86">
        <f>tbl_estimated_costs_quantities[[#This Row],[Bathroom Rehabilitation]]*BOQs!$L$11</f>
        <v>0</v>
      </c>
      <c r="AJ286" s="76"/>
      <c r="AK286" s="37"/>
      <c r="AL286" s="86">
        <f>tbl_estimated_costs_quantities[[#This Row],[Ceramic Tile Works WASH]]*BOQs!$L$12</f>
        <v>0</v>
      </c>
      <c r="AM286" s="76"/>
      <c r="AN286" s="37"/>
      <c r="AO286" s="86">
        <f>tbl_estimated_costs_quantities[[#This Row],[Electrical Repairs Lighting]]*BOQs!$L$13</f>
        <v>0</v>
      </c>
      <c r="AP286" s="76"/>
      <c r="AQ286" s="37"/>
      <c r="AR286" s="86">
        <f>tbl_estimated_costs_quantities[[#This Row],[Roof Insulation Leak Sealing]]*BOQs!$L$14</f>
        <v>0</v>
      </c>
      <c r="AS286" s="76"/>
      <c r="AT286" s="37"/>
      <c r="AU286" s="86">
        <f>tbl_estimated_costs_quantities[[#This Row],[Chimney Duct Cleaning Repair]]*BOQs!$L$15</f>
        <v>0</v>
      </c>
      <c r="AV286" s="76"/>
      <c r="AW286" s="37"/>
      <c r="AX286" s="89">
        <f>tbl_estimated_costs_quantities[[#This Row],[Accessibility Adaptations]]*BOQs!$L$16</f>
        <v>0</v>
      </c>
      <c r="AY286" s="86" t="str">
        <f>IF(tbl_estimated_costs_quantities[[#This Row],[Total cost]]&lt;&gt;0,tbl_estimated_costs_quantities[[#This Row],[Total cost]]/BOQs!$A$1,"")</f>
        <v/>
      </c>
      <c r="AZ286" s="37"/>
      <c r="BA286" s="37"/>
      <c r="BB286" s="37"/>
      <c r="BC286" s="37"/>
      <c r="BD286" s="41"/>
      <c r="BE286" s="37"/>
      <c r="BF286" s="37"/>
      <c r="BG286" s="37"/>
      <c r="BH286" s="41"/>
    </row>
    <row r="287" spans="2:60" ht="25.15" customHeight="1" x14ac:dyDescent="0.25">
      <c r="B287" s="49">
        <v>283</v>
      </c>
      <c r="C287" s="37"/>
      <c r="D287" s="41"/>
      <c r="E287" s="40"/>
      <c r="F287" s="87" t="str">
        <f>IF(tbl_estimated_costs_quantities[[#This Row],[House Code]]&lt;&gt;"",INDEX(tbl_Assessment[],MATCH(tbl_estimated_costs_quantities[[#This Row],[House Code]],tbl_Assessment[House Code],0),3),"")</f>
        <v/>
      </c>
      <c r="G287" s="115" t="str">
        <f>IF(tbl_estimated_costs_quantities[[#This Row],[House Code]]&lt;&gt;"",INDEX(tbl_Assessment[],MATCH(tbl_estimated_costs_quantities[[#This Row],[House Code]],tbl_Assessment[House Code],0),9),"")</f>
        <v/>
      </c>
      <c r="H28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7" s="75"/>
      <c r="J287" s="37"/>
      <c r="K287" s="86">
        <f>tbl_estimated_costs_quantities[[#This Row],[Site Preparation]]*BOQs!$L$3</f>
        <v>0</v>
      </c>
      <c r="L287" s="76"/>
      <c r="M287" s="37"/>
      <c r="N287" s="86">
        <f>tbl_estimated_costs_quantities[[#This Row],[Demolition Removal Unsafe Structures]]*BOQs!$L$4</f>
        <v>0</v>
      </c>
      <c r="O287" s="76"/>
      <c r="P287" s="37"/>
      <c r="Q287" s="86">
        <f>tbl_estimated_costs_quantities[[#This Row],[Concrete Works]]*BOQs!$L$5</f>
        <v>0</v>
      </c>
      <c r="R287" s="76"/>
      <c r="S287" s="37"/>
      <c r="T287" s="86">
        <f>tbl_estimated_costs_quantities[[#This Row],[Closure External Openings Walls Windows]]*BOQs!$L$6</f>
        <v>0</v>
      </c>
      <c r="U287" s="76"/>
      <c r="V287" s="37"/>
      <c r="W287" s="86">
        <f>tbl_estimated_costs_quantities[[#This Row],[Plastering Painting]]*BOQs!$L$7</f>
        <v>0</v>
      </c>
      <c r="X287" s="76"/>
      <c r="Y287" s="37"/>
      <c r="Z287" s="86">
        <f>tbl_estimated_costs_quantities[[#This Row],[Floor Repairs]]*BOQs!$L$8</f>
        <v>0</v>
      </c>
      <c r="AA287" s="76"/>
      <c r="AB287" s="37"/>
      <c r="AC287" s="86">
        <f>tbl_estimated_costs_quantities[[#This Row],[Doors Replacement Repair]]*BOQs!$L$9</f>
        <v>0</v>
      </c>
      <c r="AD287" s="76"/>
      <c r="AE287" s="37"/>
      <c r="AF287" s="86">
        <f>tbl_estimated_costs_quantities[[#This Row],[Windows Replacement Repair]]*BOQs!$L$10</f>
        <v>0</v>
      </c>
      <c r="AG287" s="76"/>
      <c r="AH287" s="37"/>
      <c r="AI287" s="86">
        <f>tbl_estimated_costs_quantities[[#This Row],[Bathroom Rehabilitation]]*BOQs!$L$11</f>
        <v>0</v>
      </c>
      <c r="AJ287" s="76"/>
      <c r="AK287" s="37"/>
      <c r="AL287" s="86">
        <f>tbl_estimated_costs_quantities[[#This Row],[Ceramic Tile Works WASH]]*BOQs!$L$12</f>
        <v>0</v>
      </c>
      <c r="AM287" s="76"/>
      <c r="AN287" s="37"/>
      <c r="AO287" s="86">
        <f>tbl_estimated_costs_quantities[[#This Row],[Electrical Repairs Lighting]]*BOQs!$L$13</f>
        <v>0</v>
      </c>
      <c r="AP287" s="76"/>
      <c r="AQ287" s="37"/>
      <c r="AR287" s="86">
        <f>tbl_estimated_costs_quantities[[#This Row],[Roof Insulation Leak Sealing]]*BOQs!$L$14</f>
        <v>0</v>
      </c>
      <c r="AS287" s="76"/>
      <c r="AT287" s="37"/>
      <c r="AU287" s="86">
        <f>tbl_estimated_costs_quantities[[#This Row],[Chimney Duct Cleaning Repair]]*BOQs!$L$15</f>
        <v>0</v>
      </c>
      <c r="AV287" s="76"/>
      <c r="AW287" s="37"/>
      <c r="AX287" s="89">
        <f>tbl_estimated_costs_quantities[[#This Row],[Accessibility Adaptations]]*BOQs!$L$16</f>
        <v>0</v>
      </c>
      <c r="AY287" s="86" t="str">
        <f>IF(tbl_estimated_costs_quantities[[#This Row],[Total cost]]&lt;&gt;0,tbl_estimated_costs_quantities[[#This Row],[Total cost]]/BOQs!$A$1,"")</f>
        <v/>
      </c>
      <c r="AZ287" s="37"/>
      <c r="BA287" s="37"/>
      <c r="BB287" s="37"/>
      <c r="BC287" s="37"/>
      <c r="BD287" s="41"/>
      <c r="BE287" s="37"/>
      <c r="BF287" s="37"/>
      <c r="BG287" s="37"/>
      <c r="BH287" s="41"/>
    </row>
    <row r="288" spans="2:60" ht="25.15" customHeight="1" x14ac:dyDescent="0.25">
      <c r="B288" s="49">
        <v>284</v>
      </c>
      <c r="C288" s="37"/>
      <c r="D288" s="41"/>
      <c r="E288" s="40"/>
      <c r="F288" s="87" t="str">
        <f>IF(tbl_estimated_costs_quantities[[#This Row],[House Code]]&lt;&gt;"",INDEX(tbl_Assessment[],MATCH(tbl_estimated_costs_quantities[[#This Row],[House Code]],tbl_Assessment[House Code],0),3),"")</f>
        <v/>
      </c>
      <c r="G288" s="115" t="str">
        <f>IF(tbl_estimated_costs_quantities[[#This Row],[House Code]]&lt;&gt;"",INDEX(tbl_Assessment[],MATCH(tbl_estimated_costs_quantities[[#This Row],[House Code]],tbl_Assessment[House Code],0),9),"")</f>
        <v/>
      </c>
      <c r="H28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8" s="75"/>
      <c r="J288" s="37"/>
      <c r="K288" s="86">
        <f>tbl_estimated_costs_quantities[[#This Row],[Site Preparation]]*BOQs!$L$3</f>
        <v>0</v>
      </c>
      <c r="L288" s="76"/>
      <c r="M288" s="37"/>
      <c r="N288" s="86">
        <f>tbl_estimated_costs_quantities[[#This Row],[Demolition Removal Unsafe Structures]]*BOQs!$L$4</f>
        <v>0</v>
      </c>
      <c r="O288" s="76"/>
      <c r="P288" s="37"/>
      <c r="Q288" s="86">
        <f>tbl_estimated_costs_quantities[[#This Row],[Concrete Works]]*BOQs!$L$5</f>
        <v>0</v>
      </c>
      <c r="R288" s="76"/>
      <c r="S288" s="37"/>
      <c r="T288" s="86">
        <f>tbl_estimated_costs_quantities[[#This Row],[Closure External Openings Walls Windows]]*BOQs!$L$6</f>
        <v>0</v>
      </c>
      <c r="U288" s="76"/>
      <c r="V288" s="37"/>
      <c r="W288" s="86">
        <f>tbl_estimated_costs_quantities[[#This Row],[Plastering Painting]]*BOQs!$L$7</f>
        <v>0</v>
      </c>
      <c r="X288" s="76"/>
      <c r="Y288" s="37"/>
      <c r="Z288" s="86">
        <f>tbl_estimated_costs_quantities[[#This Row],[Floor Repairs]]*BOQs!$L$8</f>
        <v>0</v>
      </c>
      <c r="AA288" s="76"/>
      <c r="AB288" s="37"/>
      <c r="AC288" s="86">
        <f>tbl_estimated_costs_quantities[[#This Row],[Doors Replacement Repair]]*BOQs!$L$9</f>
        <v>0</v>
      </c>
      <c r="AD288" s="76"/>
      <c r="AE288" s="37"/>
      <c r="AF288" s="86">
        <f>tbl_estimated_costs_quantities[[#This Row],[Windows Replacement Repair]]*BOQs!$L$10</f>
        <v>0</v>
      </c>
      <c r="AG288" s="76"/>
      <c r="AH288" s="37"/>
      <c r="AI288" s="86">
        <f>tbl_estimated_costs_quantities[[#This Row],[Bathroom Rehabilitation]]*BOQs!$L$11</f>
        <v>0</v>
      </c>
      <c r="AJ288" s="76"/>
      <c r="AK288" s="37"/>
      <c r="AL288" s="86">
        <f>tbl_estimated_costs_quantities[[#This Row],[Ceramic Tile Works WASH]]*BOQs!$L$12</f>
        <v>0</v>
      </c>
      <c r="AM288" s="76"/>
      <c r="AN288" s="37"/>
      <c r="AO288" s="86">
        <f>tbl_estimated_costs_quantities[[#This Row],[Electrical Repairs Lighting]]*BOQs!$L$13</f>
        <v>0</v>
      </c>
      <c r="AP288" s="76"/>
      <c r="AQ288" s="37"/>
      <c r="AR288" s="86">
        <f>tbl_estimated_costs_quantities[[#This Row],[Roof Insulation Leak Sealing]]*BOQs!$L$14</f>
        <v>0</v>
      </c>
      <c r="AS288" s="76"/>
      <c r="AT288" s="37"/>
      <c r="AU288" s="86">
        <f>tbl_estimated_costs_quantities[[#This Row],[Chimney Duct Cleaning Repair]]*BOQs!$L$15</f>
        <v>0</v>
      </c>
      <c r="AV288" s="76"/>
      <c r="AW288" s="37"/>
      <c r="AX288" s="89">
        <f>tbl_estimated_costs_quantities[[#This Row],[Accessibility Adaptations]]*BOQs!$L$16</f>
        <v>0</v>
      </c>
      <c r="AY288" s="86" t="str">
        <f>IF(tbl_estimated_costs_quantities[[#This Row],[Total cost]]&lt;&gt;0,tbl_estimated_costs_quantities[[#This Row],[Total cost]]/BOQs!$A$1,"")</f>
        <v/>
      </c>
      <c r="AZ288" s="37"/>
      <c r="BA288" s="37"/>
      <c r="BB288" s="37"/>
      <c r="BC288" s="37"/>
      <c r="BD288" s="41"/>
      <c r="BE288" s="37"/>
      <c r="BF288" s="37"/>
      <c r="BG288" s="37"/>
      <c r="BH288" s="41"/>
    </row>
    <row r="289" spans="2:60" ht="25.15" customHeight="1" x14ac:dyDescent="0.25">
      <c r="B289" s="49">
        <v>285</v>
      </c>
      <c r="C289" s="37"/>
      <c r="D289" s="41"/>
      <c r="E289" s="40"/>
      <c r="F289" s="87" t="str">
        <f>IF(tbl_estimated_costs_quantities[[#This Row],[House Code]]&lt;&gt;"",INDEX(tbl_Assessment[],MATCH(tbl_estimated_costs_quantities[[#This Row],[House Code]],tbl_Assessment[House Code],0),3),"")</f>
        <v/>
      </c>
      <c r="G289" s="115" t="str">
        <f>IF(tbl_estimated_costs_quantities[[#This Row],[House Code]]&lt;&gt;"",INDEX(tbl_Assessment[],MATCH(tbl_estimated_costs_quantities[[#This Row],[House Code]],tbl_Assessment[House Code],0),9),"")</f>
        <v/>
      </c>
      <c r="H28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89" s="75"/>
      <c r="J289" s="37"/>
      <c r="K289" s="86">
        <f>tbl_estimated_costs_quantities[[#This Row],[Site Preparation]]*BOQs!$L$3</f>
        <v>0</v>
      </c>
      <c r="L289" s="76"/>
      <c r="M289" s="37"/>
      <c r="N289" s="86">
        <f>tbl_estimated_costs_quantities[[#This Row],[Demolition Removal Unsafe Structures]]*BOQs!$L$4</f>
        <v>0</v>
      </c>
      <c r="O289" s="76"/>
      <c r="P289" s="37"/>
      <c r="Q289" s="86">
        <f>tbl_estimated_costs_quantities[[#This Row],[Concrete Works]]*BOQs!$L$5</f>
        <v>0</v>
      </c>
      <c r="R289" s="76"/>
      <c r="S289" s="37"/>
      <c r="T289" s="86">
        <f>tbl_estimated_costs_quantities[[#This Row],[Closure External Openings Walls Windows]]*BOQs!$L$6</f>
        <v>0</v>
      </c>
      <c r="U289" s="76"/>
      <c r="V289" s="37"/>
      <c r="W289" s="86">
        <f>tbl_estimated_costs_quantities[[#This Row],[Plastering Painting]]*BOQs!$L$7</f>
        <v>0</v>
      </c>
      <c r="X289" s="76"/>
      <c r="Y289" s="37"/>
      <c r="Z289" s="86">
        <f>tbl_estimated_costs_quantities[[#This Row],[Floor Repairs]]*BOQs!$L$8</f>
        <v>0</v>
      </c>
      <c r="AA289" s="76"/>
      <c r="AB289" s="37"/>
      <c r="AC289" s="86">
        <f>tbl_estimated_costs_quantities[[#This Row],[Doors Replacement Repair]]*BOQs!$L$9</f>
        <v>0</v>
      </c>
      <c r="AD289" s="76"/>
      <c r="AE289" s="37"/>
      <c r="AF289" s="86">
        <f>tbl_estimated_costs_quantities[[#This Row],[Windows Replacement Repair]]*BOQs!$L$10</f>
        <v>0</v>
      </c>
      <c r="AG289" s="76"/>
      <c r="AH289" s="37"/>
      <c r="AI289" s="86">
        <f>tbl_estimated_costs_quantities[[#This Row],[Bathroom Rehabilitation]]*BOQs!$L$11</f>
        <v>0</v>
      </c>
      <c r="AJ289" s="76"/>
      <c r="AK289" s="37"/>
      <c r="AL289" s="86">
        <f>tbl_estimated_costs_quantities[[#This Row],[Ceramic Tile Works WASH]]*BOQs!$L$12</f>
        <v>0</v>
      </c>
      <c r="AM289" s="76"/>
      <c r="AN289" s="37"/>
      <c r="AO289" s="86">
        <f>tbl_estimated_costs_quantities[[#This Row],[Electrical Repairs Lighting]]*BOQs!$L$13</f>
        <v>0</v>
      </c>
      <c r="AP289" s="76"/>
      <c r="AQ289" s="37"/>
      <c r="AR289" s="86">
        <f>tbl_estimated_costs_quantities[[#This Row],[Roof Insulation Leak Sealing]]*BOQs!$L$14</f>
        <v>0</v>
      </c>
      <c r="AS289" s="76"/>
      <c r="AT289" s="37"/>
      <c r="AU289" s="86">
        <f>tbl_estimated_costs_quantities[[#This Row],[Chimney Duct Cleaning Repair]]*BOQs!$L$15</f>
        <v>0</v>
      </c>
      <c r="AV289" s="76"/>
      <c r="AW289" s="37"/>
      <c r="AX289" s="89">
        <f>tbl_estimated_costs_quantities[[#This Row],[Accessibility Adaptations]]*BOQs!$L$16</f>
        <v>0</v>
      </c>
      <c r="AY289" s="86" t="str">
        <f>IF(tbl_estimated_costs_quantities[[#This Row],[Total cost]]&lt;&gt;0,tbl_estimated_costs_quantities[[#This Row],[Total cost]]/BOQs!$A$1,"")</f>
        <v/>
      </c>
      <c r="AZ289" s="37"/>
      <c r="BA289" s="37"/>
      <c r="BB289" s="37"/>
      <c r="BC289" s="37"/>
      <c r="BD289" s="41"/>
      <c r="BE289" s="37"/>
      <c r="BF289" s="37"/>
      <c r="BG289" s="37"/>
      <c r="BH289" s="41"/>
    </row>
    <row r="290" spans="2:60" ht="25.15" customHeight="1" x14ac:dyDescent="0.25">
      <c r="B290" s="49">
        <v>286</v>
      </c>
      <c r="C290" s="37"/>
      <c r="D290" s="41"/>
      <c r="E290" s="40"/>
      <c r="F290" s="87" t="str">
        <f>IF(tbl_estimated_costs_quantities[[#This Row],[House Code]]&lt;&gt;"",INDEX(tbl_Assessment[],MATCH(tbl_estimated_costs_quantities[[#This Row],[House Code]],tbl_Assessment[House Code],0),3),"")</f>
        <v/>
      </c>
      <c r="G290" s="115" t="str">
        <f>IF(tbl_estimated_costs_quantities[[#This Row],[House Code]]&lt;&gt;"",INDEX(tbl_Assessment[],MATCH(tbl_estimated_costs_quantities[[#This Row],[House Code]],tbl_Assessment[House Code],0),9),"")</f>
        <v/>
      </c>
      <c r="H29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0" s="75"/>
      <c r="J290" s="37"/>
      <c r="K290" s="86">
        <f>tbl_estimated_costs_quantities[[#This Row],[Site Preparation]]*BOQs!$L$3</f>
        <v>0</v>
      </c>
      <c r="L290" s="76"/>
      <c r="M290" s="37"/>
      <c r="N290" s="86">
        <f>tbl_estimated_costs_quantities[[#This Row],[Demolition Removal Unsafe Structures]]*BOQs!$L$4</f>
        <v>0</v>
      </c>
      <c r="O290" s="76"/>
      <c r="P290" s="37"/>
      <c r="Q290" s="86">
        <f>tbl_estimated_costs_quantities[[#This Row],[Concrete Works]]*BOQs!$L$5</f>
        <v>0</v>
      </c>
      <c r="R290" s="76"/>
      <c r="S290" s="37"/>
      <c r="T290" s="86">
        <f>tbl_estimated_costs_quantities[[#This Row],[Closure External Openings Walls Windows]]*BOQs!$L$6</f>
        <v>0</v>
      </c>
      <c r="U290" s="76"/>
      <c r="V290" s="37"/>
      <c r="W290" s="86">
        <f>tbl_estimated_costs_quantities[[#This Row],[Plastering Painting]]*BOQs!$L$7</f>
        <v>0</v>
      </c>
      <c r="X290" s="76"/>
      <c r="Y290" s="37"/>
      <c r="Z290" s="86">
        <f>tbl_estimated_costs_quantities[[#This Row],[Floor Repairs]]*BOQs!$L$8</f>
        <v>0</v>
      </c>
      <c r="AA290" s="76"/>
      <c r="AB290" s="37"/>
      <c r="AC290" s="86">
        <f>tbl_estimated_costs_quantities[[#This Row],[Doors Replacement Repair]]*BOQs!$L$9</f>
        <v>0</v>
      </c>
      <c r="AD290" s="76"/>
      <c r="AE290" s="37"/>
      <c r="AF290" s="86">
        <f>tbl_estimated_costs_quantities[[#This Row],[Windows Replacement Repair]]*BOQs!$L$10</f>
        <v>0</v>
      </c>
      <c r="AG290" s="76"/>
      <c r="AH290" s="37"/>
      <c r="AI290" s="86">
        <f>tbl_estimated_costs_quantities[[#This Row],[Bathroom Rehabilitation]]*BOQs!$L$11</f>
        <v>0</v>
      </c>
      <c r="AJ290" s="76"/>
      <c r="AK290" s="37"/>
      <c r="AL290" s="86">
        <f>tbl_estimated_costs_quantities[[#This Row],[Ceramic Tile Works WASH]]*BOQs!$L$12</f>
        <v>0</v>
      </c>
      <c r="AM290" s="76"/>
      <c r="AN290" s="37"/>
      <c r="AO290" s="86">
        <f>tbl_estimated_costs_quantities[[#This Row],[Electrical Repairs Lighting]]*BOQs!$L$13</f>
        <v>0</v>
      </c>
      <c r="AP290" s="76"/>
      <c r="AQ290" s="37"/>
      <c r="AR290" s="86">
        <f>tbl_estimated_costs_quantities[[#This Row],[Roof Insulation Leak Sealing]]*BOQs!$L$14</f>
        <v>0</v>
      </c>
      <c r="AS290" s="76"/>
      <c r="AT290" s="37"/>
      <c r="AU290" s="86">
        <f>tbl_estimated_costs_quantities[[#This Row],[Chimney Duct Cleaning Repair]]*BOQs!$L$15</f>
        <v>0</v>
      </c>
      <c r="AV290" s="76"/>
      <c r="AW290" s="37"/>
      <c r="AX290" s="89">
        <f>tbl_estimated_costs_quantities[[#This Row],[Accessibility Adaptations]]*BOQs!$L$16</f>
        <v>0</v>
      </c>
      <c r="AY290" s="86" t="str">
        <f>IF(tbl_estimated_costs_quantities[[#This Row],[Total cost]]&lt;&gt;0,tbl_estimated_costs_quantities[[#This Row],[Total cost]]/BOQs!$A$1,"")</f>
        <v/>
      </c>
      <c r="AZ290" s="37"/>
      <c r="BA290" s="37"/>
      <c r="BB290" s="37"/>
      <c r="BC290" s="37"/>
      <c r="BD290" s="41"/>
      <c r="BE290" s="37"/>
      <c r="BF290" s="37"/>
      <c r="BG290" s="37"/>
      <c r="BH290" s="41"/>
    </row>
    <row r="291" spans="2:60" ht="25.15" customHeight="1" x14ac:dyDescent="0.25">
      <c r="B291" s="49">
        <v>287</v>
      </c>
      <c r="C291" s="37"/>
      <c r="D291" s="41"/>
      <c r="E291" s="40"/>
      <c r="F291" s="87" t="str">
        <f>IF(tbl_estimated_costs_quantities[[#This Row],[House Code]]&lt;&gt;"",INDEX(tbl_Assessment[],MATCH(tbl_estimated_costs_quantities[[#This Row],[House Code]],tbl_Assessment[House Code],0),3),"")</f>
        <v/>
      </c>
      <c r="G291" s="115" t="str">
        <f>IF(tbl_estimated_costs_quantities[[#This Row],[House Code]]&lt;&gt;"",INDEX(tbl_Assessment[],MATCH(tbl_estimated_costs_quantities[[#This Row],[House Code]],tbl_Assessment[House Code],0),9),"")</f>
        <v/>
      </c>
      <c r="H29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1" s="75"/>
      <c r="J291" s="37"/>
      <c r="K291" s="86">
        <f>tbl_estimated_costs_quantities[[#This Row],[Site Preparation]]*BOQs!$L$3</f>
        <v>0</v>
      </c>
      <c r="L291" s="76"/>
      <c r="M291" s="37"/>
      <c r="N291" s="86">
        <f>tbl_estimated_costs_quantities[[#This Row],[Demolition Removal Unsafe Structures]]*BOQs!$L$4</f>
        <v>0</v>
      </c>
      <c r="O291" s="76"/>
      <c r="P291" s="37"/>
      <c r="Q291" s="86">
        <f>tbl_estimated_costs_quantities[[#This Row],[Concrete Works]]*BOQs!$L$5</f>
        <v>0</v>
      </c>
      <c r="R291" s="76"/>
      <c r="S291" s="37"/>
      <c r="T291" s="86">
        <f>tbl_estimated_costs_quantities[[#This Row],[Closure External Openings Walls Windows]]*BOQs!$L$6</f>
        <v>0</v>
      </c>
      <c r="U291" s="76"/>
      <c r="V291" s="37"/>
      <c r="W291" s="86">
        <f>tbl_estimated_costs_quantities[[#This Row],[Plastering Painting]]*BOQs!$L$7</f>
        <v>0</v>
      </c>
      <c r="X291" s="76"/>
      <c r="Y291" s="37"/>
      <c r="Z291" s="86">
        <f>tbl_estimated_costs_quantities[[#This Row],[Floor Repairs]]*BOQs!$L$8</f>
        <v>0</v>
      </c>
      <c r="AA291" s="76"/>
      <c r="AB291" s="37"/>
      <c r="AC291" s="86">
        <f>tbl_estimated_costs_quantities[[#This Row],[Doors Replacement Repair]]*BOQs!$L$9</f>
        <v>0</v>
      </c>
      <c r="AD291" s="76"/>
      <c r="AE291" s="37"/>
      <c r="AF291" s="86">
        <f>tbl_estimated_costs_quantities[[#This Row],[Windows Replacement Repair]]*BOQs!$L$10</f>
        <v>0</v>
      </c>
      <c r="AG291" s="76"/>
      <c r="AH291" s="37"/>
      <c r="AI291" s="86">
        <f>tbl_estimated_costs_quantities[[#This Row],[Bathroom Rehabilitation]]*BOQs!$L$11</f>
        <v>0</v>
      </c>
      <c r="AJ291" s="76"/>
      <c r="AK291" s="37"/>
      <c r="AL291" s="86">
        <f>tbl_estimated_costs_quantities[[#This Row],[Ceramic Tile Works WASH]]*BOQs!$L$12</f>
        <v>0</v>
      </c>
      <c r="AM291" s="76"/>
      <c r="AN291" s="37"/>
      <c r="AO291" s="86">
        <f>tbl_estimated_costs_quantities[[#This Row],[Electrical Repairs Lighting]]*BOQs!$L$13</f>
        <v>0</v>
      </c>
      <c r="AP291" s="76"/>
      <c r="AQ291" s="37"/>
      <c r="AR291" s="86">
        <f>tbl_estimated_costs_quantities[[#This Row],[Roof Insulation Leak Sealing]]*BOQs!$L$14</f>
        <v>0</v>
      </c>
      <c r="AS291" s="76"/>
      <c r="AT291" s="37"/>
      <c r="AU291" s="86">
        <f>tbl_estimated_costs_quantities[[#This Row],[Chimney Duct Cleaning Repair]]*BOQs!$L$15</f>
        <v>0</v>
      </c>
      <c r="AV291" s="76"/>
      <c r="AW291" s="37"/>
      <c r="AX291" s="89">
        <f>tbl_estimated_costs_quantities[[#This Row],[Accessibility Adaptations]]*BOQs!$L$16</f>
        <v>0</v>
      </c>
      <c r="AY291" s="86" t="str">
        <f>IF(tbl_estimated_costs_quantities[[#This Row],[Total cost]]&lt;&gt;0,tbl_estimated_costs_quantities[[#This Row],[Total cost]]/BOQs!$A$1,"")</f>
        <v/>
      </c>
      <c r="AZ291" s="37"/>
      <c r="BA291" s="37"/>
      <c r="BB291" s="37"/>
      <c r="BC291" s="37"/>
      <c r="BD291" s="41"/>
      <c r="BE291" s="37"/>
      <c r="BF291" s="37"/>
      <c r="BG291" s="37"/>
      <c r="BH291" s="41"/>
    </row>
    <row r="292" spans="2:60" ht="25.15" customHeight="1" x14ac:dyDescent="0.25">
      <c r="B292" s="49">
        <v>288</v>
      </c>
      <c r="C292" s="37"/>
      <c r="D292" s="41"/>
      <c r="E292" s="40"/>
      <c r="F292" s="87" t="str">
        <f>IF(tbl_estimated_costs_quantities[[#This Row],[House Code]]&lt;&gt;"",INDEX(tbl_Assessment[],MATCH(tbl_estimated_costs_quantities[[#This Row],[House Code]],tbl_Assessment[House Code],0),3),"")</f>
        <v/>
      </c>
      <c r="G292" s="115" t="str">
        <f>IF(tbl_estimated_costs_quantities[[#This Row],[House Code]]&lt;&gt;"",INDEX(tbl_Assessment[],MATCH(tbl_estimated_costs_quantities[[#This Row],[House Code]],tbl_Assessment[House Code],0),9),"")</f>
        <v/>
      </c>
      <c r="H29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2" s="75"/>
      <c r="J292" s="37"/>
      <c r="K292" s="86">
        <f>tbl_estimated_costs_quantities[[#This Row],[Site Preparation]]*BOQs!$L$3</f>
        <v>0</v>
      </c>
      <c r="L292" s="76"/>
      <c r="M292" s="37"/>
      <c r="N292" s="86">
        <f>tbl_estimated_costs_quantities[[#This Row],[Demolition Removal Unsafe Structures]]*BOQs!$L$4</f>
        <v>0</v>
      </c>
      <c r="O292" s="76"/>
      <c r="P292" s="37"/>
      <c r="Q292" s="86">
        <f>tbl_estimated_costs_quantities[[#This Row],[Concrete Works]]*BOQs!$L$5</f>
        <v>0</v>
      </c>
      <c r="R292" s="76"/>
      <c r="S292" s="37"/>
      <c r="T292" s="86">
        <f>tbl_estimated_costs_quantities[[#This Row],[Closure External Openings Walls Windows]]*BOQs!$L$6</f>
        <v>0</v>
      </c>
      <c r="U292" s="76"/>
      <c r="V292" s="37"/>
      <c r="W292" s="86">
        <f>tbl_estimated_costs_quantities[[#This Row],[Plastering Painting]]*BOQs!$L$7</f>
        <v>0</v>
      </c>
      <c r="X292" s="76"/>
      <c r="Y292" s="37"/>
      <c r="Z292" s="86">
        <f>tbl_estimated_costs_quantities[[#This Row],[Floor Repairs]]*BOQs!$L$8</f>
        <v>0</v>
      </c>
      <c r="AA292" s="76"/>
      <c r="AB292" s="37"/>
      <c r="AC292" s="86">
        <f>tbl_estimated_costs_quantities[[#This Row],[Doors Replacement Repair]]*BOQs!$L$9</f>
        <v>0</v>
      </c>
      <c r="AD292" s="76"/>
      <c r="AE292" s="37"/>
      <c r="AF292" s="86">
        <f>tbl_estimated_costs_quantities[[#This Row],[Windows Replacement Repair]]*BOQs!$L$10</f>
        <v>0</v>
      </c>
      <c r="AG292" s="76"/>
      <c r="AH292" s="37"/>
      <c r="AI292" s="86">
        <f>tbl_estimated_costs_quantities[[#This Row],[Bathroom Rehabilitation]]*BOQs!$L$11</f>
        <v>0</v>
      </c>
      <c r="AJ292" s="76"/>
      <c r="AK292" s="37"/>
      <c r="AL292" s="86">
        <f>tbl_estimated_costs_quantities[[#This Row],[Ceramic Tile Works WASH]]*BOQs!$L$12</f>
        <v>0</v>
      </c>
      <c r="AM292" s="76"/>
      <c r="AN292" s="37"/>
      <c r="AO292" s="86">
        <f>tbl_estimated_costs_quantities[[#This Row],[Electrical Repairs Lighting]]*BOQs!$L$13</f>
        <v>0</v>
      </c>
      <c r="AP292" s="76"/>
      <c r="AQ292" s="37"/>
      <c r="AR292" s="86">
        <f>tbl_estimated_costs_quantities[[#This Row],[Roof Insulation Leak Sealing]]*BOQs!$L$14</f>
        <v>0</v>
      </c>
      <c r="AS292" s="76"/>
      <c r="AT292" s="37"/>
      <c r="AU292" s="86">
        <f>tbl_estimated_costs_quantities[[#This Row],[Chimney Duct Cleaning Repair]]*BOQs!$L$15</f>
        <v>0</v>
      </c>
      <c r="AV292" s="76"/>
      <c r="AW292" s="37"/>
      <c r="AX292" s="89">
        <f>tbl_estimated_costs_quantities[[#This Row],[Accessibility Adaptations]]*BOQs!$L$16</f>
        <v>0</v>
      </c>
      <c r="AY292" s="86" t="str">
        <f>IF(tbl_estimated_costs_quantities[[#This Row],[Total cost]]&lt;&gt;0,tbl_estimated_costs_quantities[[#This Row],[Total cost]]/BOQs!$A$1,"")</f>
        <v/>
      </c>
      <c r="AZ292" s="37"/>
      <c r="BA292" s="37"/>
      <c r="BB292" s="37"/>
      <c r="BC292" s="37"/>
      <c r="BD292" s="41"/>
      <c r="BE292" s="37"/>
      <c r="BF292" s="37"/>
      <c r="BG292" s="37"/>
      <c r="BH292" s="41"/>
    </row>
    <row r="293" spans="2:60" ht="25.15" customHeight="1" x14ac:dyDescent="0.25">
      <c r="B293" s="49">
        <v>289</v>
      </c>
      <c r="C293" s="37"/>
      <c r="D293" s="41"/>
      <c r="E293" s="40"/>
      <c r="F293" s="87" t="str">
        <f>IF(tbl_estimated_costs_quantities[[#This Row],[House Code]]&lt;&gt;"",INDEX(tbl_Assessment[],MATCH(tbl_estimated_costs_quantities[[#This Row],[House Code]],tbl_Assessment[House Code],0),3),"")</f>
        <v/>
      </c>
      <c r="G293" s="115" t="str">
        <f>IF(tbl_estimated_costs_quantities[[#This Row],[House Code]]&lt;&gt;"",INDEX(tbl_Assessment[],MATCH(tbl_estimated_costs_quantities[[#This Row],[House Code]],tbl_Assessment[House Code],0),9),"")</f>
        <v/>
      </c>
      <c r="H29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3" s="75"/>
      <c r="J293" s="37"/>
      <c r="K293" s="86">
        <f>tbl_estimated_costs_quantities[[#This Row],[Site Preparation]]*BOQs!$L$3</f>
        <v>0</v>
      </c>
      <c r="L293" s="76"/>
      <c r="M293" s="37"/>
      <c r="N293" s="86">
        <f>tbl_estimated_costs_quantities[[#This Row],[Demolition Removal Unsafe Structures]]*BOQs!$L$4</f>
        <v>0</v>
      </c>
      <c r="O293" s="76"/>
      <c r="P293" s="37"/>
      <c r="Q293" s="86">
        <f>tbl_estimated_costs_quantities[[#This Row],[Concrete Works]]*BOQs!$L$5</f>
        <v>0</v>
      </c>
      <c r="R293" s="76"/>
      <c r="S293" s="37"/>
      <c r="T293" s="86">
        <f>tbl_estimated_costs_quantities[[#This Row],[Closure External Openings Walls Windows]]*BOQs!$L$6</f>
        <v>0</v>
      </c>
      <c r="U293" s="76"/>
      <c r="V293" s="37"/>
      <c r="W293" s="86">
        <f>tbl_estimated_costs_quantities[[#This Row],[Plastering Painting]]*BOQs!$L$7</f>
        <v>0</v>
      </c>
      <c r="X293" s="76"/>
      <c r="Y293" s="37"/>
      <c r="Z293" s="86">
        <f>tbl_estimated_costs_quantities[[#This Row],[Floor Repairs]]*BOQs!$L$8</f>
        <v>0</v>
      </c>
      <c r="AA293" s="76"/>
      <c r="AB293" s="37"/>
      <c r="AC293" s="86">
        <f>tbl_estimated_costs_quantities[[#This Row],[Doors Replacement Repair]]*BOQs!$L$9</f>
        <v>0</v>
      </c>
      <c r="AD293" s="76"/>
      <c r="AE293" s="37"/>
      <c r="AF293" s="86">
        <f>tbl_estimated_costs_quantities[[#This Row],[Windows Replacement Repair]]*BOQs!$L$10</f>
        <v>0</v>
      </c>
      <c r="AG293" s="76"/>
      <c r="AH293" s="37"/>
      <c r="AI293" s="86">
        <f>tbl_estimated_costs_quantities[[#This Row],[Bathroom Rehabilitation]]*BOQs!$L$11</f>
        <v>0</v>
      </c>
      <c r="AJ293" s="76"/>
      <c r="AK293" s="37"/>
      <c r="AL293" s="86">
        <f>tbl_estimated_costs_quantities[[#This Row],[Ceramic Tile Works WASH]]*BOQs!$L$12</f>
        <v>0</v>
      </c>
      <c r="AM293" s="76"/>
      <c r="AN293" s="37"/>
      <c r="AO293" s="86">
        <f>tbl_estimated_costs_quantities[[#This Row],[Electrical Repairs Lighting]]*BOQs!$L$13</f>
        <v>0</v>
      </c>
      <c r="AP293" s="76"/>
      <c r="AQ293" s="37"/>
      <c r="AR293" s="86">
        <f>tbl_estimated_costs_quantities[[#This Row],[Roof Insulation Leak Sealing]]*BOQs!$L$14</f>
        <v>0</v>
      </c>
      <c r="AS293" s="76"/>
      <c r="AT293" s="37"/>
      <c r="AU293" s="86">
        <f>tbl_estimated_costs_quantities[[#This Row],[Chimney Duct Cleaning Repair]]*BOQs!$L$15</f>
        <v>0</v>
      </c>
      <c r="AV293" s="76"/>
      <c r="AW293" s="37"/>
      <c r="AX293" s="89">
        <f>tbl_estimated_costs_quantities[[#This Row],[Accessibility Adaptations]]*BOQs!$L$16</f>
        <v>0</v>
      </c>
      <c r="AY293" s="86" t="str">
        <f>IF(tbl_estimated_costs_quantities[[#This Row],[Total cost]]&lt;&gt;0,tbl_estimated_costs_quantities[[#This Row],[Total cost]]/BOQs!$A$1,"")</f>
        <v/>
      </c>
      <c r="AZ293" s="37"/>
      <c r="BA293" s="37"/>
      <c r="BB293" s="37"/>
      <c r="BC293" s="37"/>
      <c r="BD293" s="41"/>
      <c r="BE293" s="37"/>
      <c r="BF293" s="37"/>
      <c r="BG293" s="37"/>
      <c r="BH293" s="41"/>
    </row>
    <row r="294" spans="2:60" ht="25.15" customHeight="1" x14ac:dyDescent="0.25">
      <c r="B294" s="49">
        <v>290</v>
      </c>
      <c r="C294" s="37"/>
      <c r="D294" s="41"/>
      <c r="E294" s="40"/>
      <c r="F294" s="87" t="str">
        <f>IF(tbl_estimated_costs_quantities[[#This Row],[House Code]]&lt;&gt;"",INDEX(tbl_Assessment[],MATCH(tbl_estimated_costs_quantities[[#This Row],[House Code]],tbl_Assessment[House Code],0),3),"")</f>
        <v/>
      </c>
      <c r="G294" s="115" t="str">
        <f>IF(tbl_estimated_costs_quantities[[#This Row],[House Code]]&lt;&gt;"",INDEX(tbl_Assessment[],MATCH(tbl_estimated_costs_quantities[[#This Row],[House Code]],tbl_Assessment[House Code],0),9),"")</f>
        <v/>
      </c>
      <c r="H29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4" s="75"/>
      <c r="J294" s="37"/>
      <c r="K294" s="86">
        <f>tbl_estimated_costs_quantities[[#This Row],[Site Preparation]]*BOQs!$L$3</f>
        <v>0</v>
      </c>
      <c r="L294" s="76"/>
      <c r="M294" s="37"/>
      <c r="N294" s="86">
        <f>tbl_estimated_costs_quantities[[#This Row],[Demolition Removal Unsafe Structures]]*BOQs!$L$4</f>
        <v>0</v>
      </c>
      <c r="O294" s="76"/>
      <c r="P294" s="37"/>
      <c r="Q294" s="86">
        <f>tbl_estimated_costs_quantities[[#This Row],[Concrete Works]]*BOQs!$L$5</f>
        <v>0</v>
      </c>
      <c r="R294" s="76"/>
      <c r="S294" s="37"/>
      <c r="T294" s="86">
        <f>tbl_estimated_costs_quantities[[#This Row],[Closure External Openings Walls Windows]]*BOQs!$L$6</f>
        <v>0</v>
      </c>
      <c r="U294" s="76"/>
      <c r="V294" s="37"/>
      <c r="W294" s="86">
        <f>tbl_estimated_costs_quantities[[#This Row],[Plastering Painting]]*BOQs!$L$7</f>
        <v>0</v>
      </c>
      <c r="X294" s="76"/>
      <c r="Y294" s="37"/>
      <c r="Z294" s="86">
        <f>tbl_estimated_costs_quantities[[#This Row],[Floor Repairs]]*BOQs!$L$8</f>
        <v>0</v>
      </c>
      <c r="AA294" s="76"/>
      <c r="AB294" s="37"/>
      <c r="AC294" s="86">
        <f>tbl_estimated_costs_quantities[[#This Row],[Doors Replacement Repair]]*BOQs!$L$9</f>
        <v>0</v>
      </c>
      <c r="AD294" s="76"/>
      <c r="AE294" s="37"/>
      <c r="AF294" s="86">
        <f>tbl_estimated_costs_quantities[[#This Row],[Windows Replacement Repair]]*BOQs!$L$10</f>
        <v>0</v>
      </c>
      <c r="AG294" s="76"/>
      <c r="AH294" s="37"/>
      <c r="AI294" s="86">
        <f>tbl_estimated_costs_quantities[[#This Row],[Bathroom Rehabilitation]]*BOQs!$L$11</f>
        <v>0</v>
      </c>
      <c r="AJ294" s="76"/>
      <c r="AK294" s="37"/>
      <c r="AL294" s="86">
        <f>tbl_estimated_costs_quantities[[#This Row],[Ceramic Tile Works WASH]]*BOQs!$L$12</f>
        <v>0</v>
      </c>
      <c r="AM294" s="76"/>
      <c r="AN294" s="37"/>
      <c r="AO294" s="86">
        <f>tbl_estimated_costs_quantities[[#This Row],[Electrical Repairs Lighting]]*BOQs!$L$13</f>
        <v>0</v>
      </c>
      <c r="AP294" s="76"/>
      <c r="AQ294" s="37"/>
      <c r="AR294" s="86">
        <f>tbl_estimated_costs_quantities[[#This Row],[Roof Insulation Leak Sealing]]*BOQs!$L$14</f>
        <v>0</v>
      </c>
      <c r="AS294" s="76"/>
      <c r="AT294" s="37"/>
      <c r="AU294" s="86">
        <f>tbl_estimated_costs_quantities[[#This Row],[Chimney Duct Cleaning Repair]]*BOQs!$L$15</f>
        <v>0</v>
      </c>
      <c r="AV294" s="76"/>
      <c r="AW294" s="37"/>
      <c r="AX294" s="89">
        <f>tbl_estimated_costs_quantities[[#This Row],[Accessibility Adaptations]]*BOQs!$L$16</f>
        <v>0</v>
      </c>
      <c r="AY294" s="86" t="str">
        <f>IF(tbl_estimated_costs_quantities[[#This Row],[Total cost]]&lt;&gt;0,tbl_estimated_costs_quantities[[#This Row],[Total cost]]/BOQs!$A$1,"")</f>
        <v/>
      </c>
      <c r="AZ294" s="37"/>
      <c r="BA294" s="37"/>
      <c r="BB294" s="37"/>
      <c r="BC294" s="37"/>
      <c r="BD294" s="41"/>
      <c r="BE294" s="37"/>
      <c r="BF294" s="37"/>
      <c r="BG294" s="37"/>
      <c r="BH294" s="41"/>
    </row>
    <row r="295" spans="2:60" ht="25.15" customHeight="1" x14ac:dyDescent="0.25">
      <c r="B295" s="49">
        <v>291</v>
      </c>
      <c r="C295" s="37"/>
      <c r="D295" s="41"/>
      <c r="E295" s="40"/>
      <c r="F295" s="87" t="str">
        <f>IF(tbl_estimated_costs_quantities[[#This Row],[House Code]]&lt;&gt;"",INDEX(tbl_Assessment[],MATCH(tbl_estimated_costs_quantities[[#This Row],[House Code]],tbl_Assessment[House Code],0),3),"")</f>
        <v/>
      </c>
      <c r="G295" s="115" t="str">
        <f>IF(tbl_estimated_costs_quantities[[#This Row],[House Code]]&lt;&gt;"",INDEX(tbl_Assessment[],MATCH(tbl_estimated_costs_quantities[[#This Row],[House Code]],tbl_Assessment[House Code],0),9),"")</f>
        <v/>
      </c>
      <c r="H29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5" s="75"/>
      <c r="J295" s="37"/>
      <c r="K295" s="86">
        <f>tbl_estimated_costs_quantities[[#This Row],[Site Preparation]]*BOQs!$L$3</f>
        <v>0</v>
      </c>
      <c r="L295" s="76"/>
      <c r="M295" s="37"/>
      <c r="N295" s="86">
        <f>tbl_estimated_costs_quantities[[#This Row],[Demolition Removal Unsafe Structures]]*BOQs!$L$4</f>
        <v>0</v>
      </c>
      <c r="O295" s="76"/>
      <c r="P295" s="37"/>
      <c r="Q295" s="86">
        <f>tbl_estimated_costs_quantities[[#This Row],[Concrete Works]]*BOQs!$L$5</f>
        <v>0</v>
      </c>
      <c r="R295" s="76"/>
      <c r="S295" s="37"/>
      <c r="T295" s="86">
        <f>tbl_estimated_costs_quantities[[#This Row],[Closure External Openings Walls Windows]]*BOQs!$L$6</f>
        <v>0</v>
      </c>
      <c r="U295" s="76"/>
      <c r="V295" s="37"/>
      <c r="W295" s="86">
        <f>tbl_estimated_costs_quantities[[#This Row],[Plastering Painting]]*BOQs!$L$7</f>
        <v>0</v>
      </c>
      <c r="X295" s="76"/>
      <c r="Y295" s="37"/>
      <c r="Z295" s="86">
        <f>tbl_estimated_costs_quantities[[#This Row],[Floor Repairs]]*BOQs!$L$8</f>
        <v>0</v>
      </c>
      <c r="AA295" s="76"/>
      <c r="AB295" s="37"/>
      <c r="AC295" s="86">
        <f>tbl_estimated_costs_quantities[[#This Row],[Doors Replacement Repair]]*BOQs!$L$9</f>
        <v>0</v>
      </c>
      <c r="AD295" s="76"/>
      <c r="AE295" s="37"/>
      <c r="AF295" s="86">
        <f>tbl_estimated_costs_quantities[[#This Row],[Windows Replacement Repair]]*BOQs!$L$10</f>
        <v>0</v>
      </c>
      <c r="AG295" s="76"/>
      <c r="AH295" s="37"/>
      <c r="AI295" s="86">
        <f>tbl_estimated_costs_quantities[[#This Row],[Bathroom Rehabilitation]]*BOQs!$L$11</f>
        <v>0</v>
      </c>
      <c r="AJ295" s="76"/>
      <c r="AK295" s="37"/>
      <c r="AL295" s="86">
        <f>tbl_estimated_costs_quantities[[#This Row],[Ceramic Tile Works WASH]]*BOQs!$L$12</f>
        <v>0</v>
      </c>
      <c r="AM295" s="76"/>
      <c r="AN295" s="37"/>
      <c r="AO295" s="86">
        <f>tbl_estimated_costs_quantities[[#This Row],[Electrical Repairs Lighting]]*BOQs!$L$13</f>
        <v>0</v>
      </c>
      <c r="AP295" s="76"/>
      <c r="AQ295" s="37"/>
      <c r="AR295" s="86">
        <f>tbl_estimated_costs_quantities[[#This Row],[Roof Insulation Leak Sealing]]*BOQs!$L$14</f>
        <v>0</v>
      </c>
      <c r="AS295" s="76"/>
      <c r="AT295" s="37"/>
      <c r="AU295" s="86">
        <f>tbl_estimated_costs_quantities[[#This Row],[Chimney Duct Cleaning Repair]]*BOQs!$L$15</f>
        <v>0</v>
      </c>
      <c r="AV295" s="76"/>
      <c r="AW295" s="37"/>
      <c r="AX295" s="89">
        <f>tbl_estimated_costs_quantities[[#This Row],[Accessibility Adaptations]]*BOQs!$L$16</f>
        <v>0</v>
      </c>
      <c r="AY295" s="86" t="str">
        <f>IF(tbl_estimated_costs_quantities[[#This Row],[Total cost]]&lt;&gt;0,tbl_estimated_costs_quantities[[#This Row],[Total cost]]/BOQs!$A$1,"")</f>
        <v/>
      </c>
      <c r="AZ295" s="37"/>
      <c r="BA295" s="37"/>
      <c r="BB295" s="37"/>
      <c r="BC295" s="37"/>
      <c r="BD295" s="41"/>
      <c r="BE295" s="37"/>
      <c r="BF295" s="37"/>
      <c r="BG295" s="37"/>
      <c r="BH295" s="41"/>
    </row>
    <row r="296" spans="2:60" ht="25.15" customHeight="1" x14ac:dyDescent="0.25">
      <c r="B296" s="49">
        <v>292</v>
      </c>
      <c r="C296" s="37"/>
      <c r="D296" s="41"/>
      <c r="E296" s="40"/>
      <c r="F296" s="87" t="str">
        <f>IF(tbl_estimated_costs_quantities[[#This Row],[House Code]]&lt;&gt;"",INDEX(tbl_Assessment[],MATCH(tbl_estimated_costs_quantities[[#This Row],[House Code]],tbl_Assessment[House Code],0),3),"")</f>
        <v/>
      </c>
      <c r="G296" s="115" t="str">
        <f>IF(tbl_estimated_costs_quantities[[#This Row],[House Code]]&lt;&gt;"",INDEX(tbl_Assessment[],MATCH(tbl_estimated_costs_quantities[[#This Row],[House Code]],tbl_Assessment[House Code],0),9),"")</f>
        <v/>
      </c>
      <c r="H29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6" s="75"/>
      <c r="J296" s="37"/>
      <c r="K296" s="86">
        <f>tbl_estimated_costs_quantities[[#This Row],[Site Preparation]]*BOQs!$L$3</f>
        <v>0</v>
      </c>
      <c r="L296" s="76"/>
      <c r="M296" s="37"/>
      <c r="N296" s="86">
        <f>tbl_estimated_costs_quantities[[#This Row],[Demolition Removal Unsafe Structures]]*BOQs!$L$4</f>
        <v>0</v>
      </c>
      <c r="O296" s="76"/>
      <c r="P296" s="37"/>
      <c r="Q296" s="86">
        <f>tbl_estimated_costs_quantities[[#This Row],[Concrete Works]]*BOQs!$L$5</f>
        <v>0</v>
      </c>
      <c r="R296" s="76"/>
      <c r="S296" s="37"/>
      <c r="T296" s="86">
        <f>tbl_estimated_costs_quantities[[#This Row],[Closure External Openings Walls Windows]]*BOQs!$L$6</f>
        <v>0</v>
      </c>
      <c r="U296" s="76"/>
      <c r="V296" s="37"/>
      <c r="W296" s="86">
        <f>tbl_estimated_costs_quantities[[#This Row],[Plastering Painting]]*BOQs!$L$7</f>
        <v>0</v>
      </c>
      <c r="X296" s="76"/>
      <c r="Y296" s="37"/>
      <c r="Z296" s="86">
        <f>tbl_estimated_costs_quantities[[#This Row],[Floor Repairs]]*BOQs!$L$8</f>
        <v>0</v>
      </c>
      <c r="AA296" s="76"/>
      <c r="AB296" s="37"/>
      <c r="AC296" s="86">
        <f>tbl_estimated_costs_quantities[[#This Row],[Doors Replacement Repair]]*BOQs!$L$9</f>
        <v>0</v>
      </c>
      <c r="AD296" s="76"/>
      <c r="AE296" s="37"/>
      <c r="AF296" s="86">
        <f>tbl_estimated_costs_quantities[[#This Row],[Windows Replacement Repair]]*BOQs!$L$10</f>
        <v>0</v>
      </c>
      <c r="AG296" s="76"/>
      <c r="AH296" s="37"/>
      <c r="AI296" s="86">
        <f>tbl_estimated_costs_quantities[[#This Row],[Bathroom Rehabilitation]]*BOQs!$L$11</f>
        <v>0</v>
      </c>
      <c r="AJ296" s="76"/>
      <c r="AK296" s="37"/>
      <c r="AL296" s="86">
        <f>tbl_estimated_costs_quantities[[#This Row],[Ceramic Tile Works WASH]]*BOQs!$L$12</f>
        <v>0</v>
      </c>
      <c r="AM296" s="76"/>
      <c r="AN296" s="37"/>
      <c r="AO296" s="86">
        <f>tbl_estimated_costs_quantities[[#This Row],[Electrical Repairs Lighting]]*BOQs!$L$13</f>
        <v>0</v>
      </c>
      <c r="AP296" s="76"/>
      <c r="AQ296" s="37"/>
      <c r="AR296" s="86">
        <f>tbl_estimated_costs_quantities[[#This Row],[Roof Insulation Leak Sealing]]*BOQs!$L$14</f>
        <v>0</v>
      </c>
      <c r="AS296" s="76"/>
      <c r="AT296" s="37"/>
      <c r="AU296" s="86">
        <f>tbl_estimated_costs_quantities[[#This Row],[Chimney Duct Cleaning Repair]]*BOQs!$L$15</f>
        <v>0</v>
      </c>
      <c r="AV296" s="76"/>
      <c r="AW296" s="37"/>
      <c r="AX296" s="89">
        <f>tbl_estimated_costs_quantities[[#This Row],[Accessibility Adaptations]]*BOQs!$L$16</f>
        <v>0</v>
      </c>
      <c r="AY296" s="86" t="str">
        <f>IF(tbl_estimated_costs_quantities[[#This Row],[Total cost]]&lt;&gt;0,tbl_estimated_costs_quantities[[#This Row],[Total cost]]/BOQs!$A$1,"")</f>
        <v/>
      </c>
      <c r="AZ296" s="37"/>
      <c r="BA296" s="37"/>
      <c r="BB296" s="37"/>
      <c r="BC296" s="37"/>
      <c r="BD296" s="41"/>
      <c r="BE296" s="37"/>
      <c r="BF296" s="37"/>
      <c r="BG296" s="37"/>
      <c r="BH296" s="41"/>
    </row>
    <row r="297" spans="2:60" ht="25.15" customHeight="1" x14ac:dyDescent="0.25">
      <c r="B297" s="49">
        <v>293</v>
      </c>
      <c r="C297" s="37"/>
      <c r="D297" s="41"/>
      <c r="E297" s="40"/>
      <c r="F297" s="87" t="str">
        <f>IF(tbl_estimated_costs_quantities[[#This Row],[House Code]]&lt;&gt;"",INDEX(tbl_Assessment[],MATCH(tbl_estimated_costs_quantities[[#This Row],[House Code]],tbl_Assessment[House Code],0),3),"")</f>
        <v/>
      </c>
      <c r="G297" s="115" t="str">
        <f>IF(tbl_estimated_costs_quantities[[#This Row],[House Code]]&lt;&gt;"",INDEX(tbl_Assessment[],MATCH(tbl_estimated_costs_quantities[[#This Row],[House Code]],tbl_Assessment[House Code],0),9),"")</f>
        <v/>
      </c>
      <c r="H29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7" s="75"/>
      <c r="J297" s="37"/>
      <c r="K297" s="86">
        <f>tbl_estimated_costs_quantities[[#This Row],[Site Preparation]]*BOQs!$L$3</f>
        <v>0</v>
      </c>
      <c r="L297" s="76"/>
      <c r="M297" s="37"/>
      <c r="N297" s="86">
        <f>tbl_estimated_costs_quantities[[#This Row],[Demolition Removal Unsafe Structures]]*BOQs!$L$4</f>
        <v>0</v>
      </c>
      <c r="O297" s="76"/>
      <c r="P297" s="37"/>
      <c r="Q297" s="86">
        <f>tbl_estimated_costs_quantities[[#This Row],[Concrete Works]]*BOQs!$L$5</f>
        <v>0</v>
      </c>
      <c r="R297" s="76"/>
      <c r="S297" s="37"/>
      <c r="T297" s="86">
        <f>tbl_estimated_costs_quantities[[#This Row],[Closure External Openings Walls Windows]]*BOQs!$L$6</f>
        <v>0</v>
      </c>
      <c r="U297" s="76"/>
      <c r="V297" s="37"/>
      <c r="W297" s="86">
        <f>tbl_estimated_costs_quantities[[#This Row],[Plastering Painting]]*BOQs!$L$7</f>
        <v>0</v>
      </c>
      <c r="X297" s="76"/>
      <c r="Y297" s="37"/>
      <c r="Z297" s="86">
        <f>tbl_estimated_costs_quantities[[#This Row],[Floor Repairs]]*BOQs!$L$8</f>
        <v>0</v>
      </c>
      <c r="AA297" s="76"/>
      <c r="AB297" s="37"/>
      <c r="AC297" s="86">
        <f>tbl_estimated_costs_quantities[[#This Row],[Doors Replacement Repair]]*BOQs!$L$9</f>
        <v>0</v>
      </c>
      <c r="AD297" s="76"/>
      <c r="AE297" s="37"/>
      <c r="AF297" s="86">
        <f>tbl_estimated_costs_quantities[[#This Row],[Windows Replacement Repair]]*BOQs!$L$10</f>
        <v>0</v>
      </c>
      <c r="AG297" s="76"/>
      <c r="AH297" s="37"/>
      <c r="AI297" s="86">
        <f>tbl_estimated_costs_quantities[[#This Row],[Bathroom Rehabilitation]]*BOQs!$L$11</f>
        <v>0</v>
      </c>
      <c r="AJ297" s="76"/>
      <c r="AK297" s="37"/>
      <c r="AL297" s="86">
        <f>tbl_estimated_costs_quantities[[#This Row],[Ceramic Tile Works WASH]]*BOQs!$L$12</f>
        <v>0</v>
      </c>
      <c r="AM297" s="76"/>
      <c r="AN297" s="37"/>
      <c r="AO297" s="86">
        <f>tbl_estimated_costs_quantities[[#This Row],[Electrical Repairs Lighting]]*BOQs!$L$13</f>
        <v>0</v>
      </c>
      <c r="AP297" s="76"/>
      <c r="AQ297" s="37"/>
      <c r="AR297" s="86">
        <f>tbl_estimated_costs_quantities[[#This Row],[Roof Insulation Leak Sealing]]*BOQs!$L$14</f>
        <v>0</v>
      </c>
      <c r="AS297" s="76"/>
      <c r="AT297" s="37"/>
      <c r="AU297" s="86">
        <f>tbl_estimated_costs_quantities[[#This Row],[Chimney Duct Cleaning Repair]]*BOQs!$L$15</f>
        <v>0</v>
      </c>
      <c r="AV297" s="76"/>
      <c r="AW297" s="37"/>
      <c r="AX297" s="89">
        <f>tbl_estimated_costs_quantities[[#This Row],[Accessibility Adaptations]]*BOQs!$L$16</f>
        <v>0</v>
      </c>
      <c r="AY297" s="86" t="str">
        <f>IF(tbl_estimated_costs_quantities[[#This Row],[Total cost]]&lt;&gt;0,tbl_estimated_costs_quantities[[#This Row],[Total cost]]/BOQs!$A$1,"")</f>
        <v/>
      </c>
      <c r="AZ297" s="37"/>
      <c r="BA297" s="37"/>
      <c r="BB297" s="37"/>
      <c r="BC297" s="37"/>
      <c r="BD297" s="41"/>
      <c r="BE297" s="37"/>
      <c r="BF297" s="37"/>
      <c r="BG297" s="37"/>
      <c r="BH297" s="41"/>
    </row>
    <row r="298" spans="2:60" ht="25.15" customHeight="1" x14ac:dyDescent="0.25">
      <c r="B298" s="49">
        <v>294</v>
      </c>
      <c r="C298" s="37"/>
      <c r="D298" s="41"/>
      <c r="E298" s="40"/>
      <c r="F298" s="87" t="str">
        <f>IF(tbl_estimated_costs_quantities[[#This Row],[House Code]]&lt;&gt;"",INDEX(tbl_Assessment[],MATCH(tbl_estimated_costs_quantities[[#This Row],[House Code]],tbl_Assessment[House Code],0),3),"")</f>
        <v/>
      </c>
      <c r="G298" s="115" t="str">
        <f>IF(tbl_estimated_costs_quantities[[#This Row],[House Code]]&lt;&gt;"",INDEX(tbl_Assessment[],MATCH(tbl_estimated_costs_quantities[[#This Row],[House Code]],tbl_Assessment[House Code],0),9),"")</f>
        <v/>
      </c>
      <c r="H29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8" s="75"/>
      <c r="J298" s="37"/>
      <c r="K298" s="86">
        <f>tbl_estimated_costs_quantities[[#This Row],[Site Preparation]]*BOQs!$L$3</f>
        <v>0</v>
      </c>
      <c r="L298" s="76"/>
      <c r="M298" s="37"/>
      <c r="N298" s="86">
        <f>tbl_estimated_costs_quantities[[#This Row],[Demolition Removal Unsafe Structures]]*BOQs!$L$4</f>
        <v>0</v>
      </c>
      <c r="O298" s="76"/>
      <c r="P298" s="37"/>
      <c r="Q298" s="86">
        <f>tbl_estimated_costs_quantities[[#This Row],[Concrete Works]]*BOQs!$L$5</f>
        <v>0</v>
      </c>
      <c r="R298" s="76"/>
      <c r="S298" s="37"/>
      <c r="T298" s="86">
        <f>tbl_estimated_costs_quantities[[#This Row],[Closure External Openings Walls Windows]]*BOQs!$L$6</f>
        <v>0</v>
      </c>
      <c r="U298" s="76"/>
      <c r="V298" s="37"/>
      <c r="W298" s="86">
        <f>tbl_estimated_costs_quantities[[#This Row],[Plastering Painting]]*BOQs!$L$7</f>
        <v>0</v>
      </c>
      <c r="X298" s="76"/>
      <c r="Y298" s="37"/>
      <c r="Z298" s="86">
        <f>tbl_estimated_costs_quantities[[#This Row],[Floor Repairs]]*BOQs!$L$8</f>
        <v>0</v>
      </c>
      <c r="AA298" s="76"/>
      <c r="AB298" s="37"/>
      <c r="AC298" s="86">
        <f>tbl_estimated_costs_quantities[[#This Row],[Doors Replacement Repair]]*BOQs!$L$9</f>
        <v>0</v>
      </c>
      <c r="AD298" s="76"/>
      <c r="AE298" s="37"/>
      <c r="AF298" s="86">
        <f>tbl_estimated_costs_quantities[[#This Row],[Windows Replacement Repair]]*BOQs!$L$10</f>
        <v>0</v>
      </c>
      <c r="AG298" s="76"/>
      <c r="AH298" s="37"/>
      <c r="AI298" s="86">
        <f>tbl_estimated_costs_quantities[[#This Row],[Bathroom Rehabilitation]]*BOQs!$L$11</f>
        <v>0</v>
      </c>
      <c r="AJ298" s="76"/>
      <c r="AK298" s="37"/>
      <c r="AL298" s="86">
        <f>tbl_estimated_costs_quantities[[#This Row],[Ceramic Tile Works WASH]]*BOQs!$L$12</f>
        <v>0</v>
      </c>
      <c r="AM298" s="76"/>
      <c r="AN298" s="37"/>
      <c r="AO298" s="86">
        <f>tbl_estimated_costs_quantities[[#This Row],[Electrical Repairs Lighting]]*BOQs!$L$13</f>
        <v>0</v>
      </c>
      <c r="AP298" s="76"/>
      <c r="AQ298" s="37"/>
      <c r="AR298" s="86">
        <f>tbl_estimated_costs_quantities[[#This Row],[Roof Insulation Leak Sealing]]*BOQs!$L$14</f>
        <v>0</v>
      </c>
      <c r="AS298" s="76"/>
      <c r="AT298" s="37"/>
      <c r="AU298" s="86">
        <f>tbl_estimated_costs_quantities[[#This Row],[Chimney Duct Cleaning Repair]]*BOQs!$L$15</f>
        <v>0</v>
      </c>
      <c r="AV298" s="76"/>
      <c r="AW298" s="37"/>
      <c r="AX298" s="89">
        <f>tbl_estimated_costs_quantities[[#This Row],[Accessibility Adaptations]]*BOQs!$L$16</f>
        <v>0</v>
      </c>
      <c r="AY298" s="86" t="str">
        <f>IF(tbl_estimated_costs_quantities[[#This Row],[Total cost]]&lt;&gt;0,tbl_estimated_costs_quantities[[#This Row],[Total cost]]/BOQs!$A$1,"")</f>
        <v/>
      </c>
      <c r="AZ298" s="37"/>
      <c r="BA298" s="37"/>
      <c r="BB298" s="37"/>
      <c r="BC298" s="37"/>
      <c r="BD298" s="41"/>
      <c r="BE298" s="37"/>
      <c r="BF298" s="37"/>
      <c r="BG298" s="37"/>
      <c r="BH298" s="41"/>
    </row>
    <row r="299" spans="2:60" ht="25.15" customHeight="1" x14ac:dyDescent="0.25">
      <c r="B299" s="49">
        <v>295</v>
      </c>
      <c r="C299" s="37"/>
      <c r="D299" s="41"/>
      <c r="E299" s="40"/>
      <c r="F299" s="87" t="str">
        <f>IF(tbl_estimated_costs_quantities[[#This Row],[House Code]]&lt;&gt;"",INDEX(tbl_Assessment[],MATCH(tbl_estimated_costs_quantities[[#This Row],[House Code]],tbl_Assessment[House Code],0),3),"")</f>
        <v/>
      </c>
      <c r="G299" s="115" t="str">
        <f>IF(tbl_estimated_costs_quantities[[#This Row],[House Code]]&lt;&gt;"",INDEX(tbl_Assessment[],MATCH(tbl_estimated_costs_quantities[[#This Row],[House Code]],tbl_Assessment[House Code],0),9),"")</f>
        <v/>
      </c>
      <c r="H29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299" s="75"/>
      <c r="J299" s="37"/>
      <c r="K299" s="86">
        <f>tbl_estimated_costs_quantities[[#This Row],[Site Preparation]]*BOQs!$L$3</f>
        <v>0</v>
      </c>
      <c r="L299" s="76"/>
      <c r="M299" s="37"/>
      <c r="N299" s="86">
        <f>tbl_estimated_costs_quantities[[#This Row],[Demolition Removal Unsafe Structures]]*BOQs!$L$4</f>
        <v>0</v>
      </c>
      <c r="O299" s="76"/>
      <c r="P299" s="37"/>
      <c r="Q299" s="86">
        <f>tbl_estimated_costs_quantities[[#This Row],[Concrete Works]]*BOQs!$L$5</f>
        <v>0</v>
      </c>
      <c r="R299" s="76"/>
      <c r="S299" s="37"/>
      <c r="T299" s="86">
        <f>tbl_estimated_costs_quantities[[#This Row],[Closure External Openings Walls Windows]]*BOQs!$L$6</f>
        <v>0</v>
      </c>
      <c r="U299" s="76"/>
      <c r="V299" s="37"/>
      <c r="W299" s="86">
        <f>tbl_estimated_costs_quantities[[#This Row],[Plastering Painting]]*BOQs!$L$7</f>
        <v>0</v>
      </c>
      <c r="X299" s="76"/>
      <c r="Y299" s="37"/>
      <c r="Z299" s="86">
        <f>tbl_estimated_costs_quantities[[#This Row],[Floor Repairs]]*BOQs!$L$8</f>
        <v>0</v>
      </c>
      <c r="AA299" s="76"/>
      <c r="AB299" s="37"/>
      <c r="AC299" s="86">
        <f>tbl_estimated_costs_quantities[[#This Row],[Doors Replacement Repair]]*BOQs!$L$9</f>
        <v>0</v>
      </c>
      <c r="AD299" s="76"/>
      <c r="AE299" s="37"/>
      <c r="AF299" s="86">
        <f>tbl_estimated_costs_quantities[[#This Row],[Windows Replacement Repair]]*BOQs!$L$10</f>
        <v>0</v>
      </c>
      <c r="AG299" s="76"/>
      <c r="AH299" s="37"/>
      <c r="AI299" s="86">
        <f>tbl_estimated_costs_quantities[[#This Row],[Bathroom Rehabilitation]]*BOQs!$L$11</f>
        <v>0</v>
      </c>
      <c r="AJ299" s="76"/>
      <c r="AK299" s="37"/>
      <c r="AL299" s="86">
        <f>tbl_estimated_costs_quantities[[#This Row],[Ceramic Tile Works WASH]]*BOQs!$L$12</f>
        <v>0</v>
      </c>
      <c r="AM299" s="76"/>
      <c r="AN299" s="37"/>
      <c r="AO299" s="86">
        <f>tbl_estimated_costs_quantities[[#This Row],[Electrical Repairs Lighting]]*BOQs!$L$13</f>
        <v>0</v>
      </c>
      <c r="AP299" s="76"/>
      <c r="AQ299" s="37"/>
      <c r="AR299" s="86">
        <f>tbl_estimated_costs_quantities[[#This Row],[Roof Insulation Leak Sealing]]*BOQs!$L$14</f>
        <v>0</v>
      </c>
      <c r="AS299" s="76"/>
      <c r="AT299" s="37"/>
      <c r="AU299" s="86">
        <f>tbl_estimated_costs_quantities[[#This Row],[Chimney Duct Cleaning Repair]]*BOQs!$L$15</f>
        <v>0</v>
      </c>
      <c r="AV299" s="76"/>
      <c r="AW299" s="37"/>
      <c r="AX299" s="89">
        <f>tbl_estimated_costs_quantities[[#This Row],[Accessibility Adaptations]]*BOQs!$L$16</f>
        <v>0</v>
      </c>
      <c r="AY299" s="86" t="str">
        <f>IF(tbl_estimated_costs_quantities[[#This Row],[Total cost]]&lt;&gt;0,tbl_estimated_costs_quantities[[#This Row],[Total cost]]/BOQs!$A$1,"")</f>
        <v/>
      </c>
      <c r="AZ299" s="37"/>
      <c r="BA299" s="37"/>
      <c r="BB299" s="37"/>
      <c r="BC299" s="37"/>
      <c r="BD299" s="41"/>
      <c r="BE299" s="37"/>
      <c r="BF299" s="37"/>
      <c r="BG299" s="37"/>
      <c r="BH299" s="41"/>
    </row>
    <row r="300" spans="2:60" ht="25.15" customHeight="1" x14ac:dyDescent="0.25">
      <c r="B300" s="49">
        <v>296</v>
      </c>
      <c r="C300" s="37"/>
      <c r="D300" s="41"/>
      <c r="E300" s="40"/>
      <c r="F300" s="87" t="str">
        <f>IF(tbl_estimated_costs_quantities[[#This Row],[House Code]]&lt;&gt;"",INDEX(tbl_Assessment[],MATCH(tbl_estimated_costs_quantities[[#This Row],[House Code]],tbl_Assessment[House Code],0),3),"")</f>
        <v/>
      </c>
      <c r="G300" s="115" t="str">
        <f>IF(tbl_estimated_costs_quantities[[#This Row],[House Code]]&lt;&gt;"",INDEX(tbl_Assessment[],MATCH(tbl_estimated_costs_quantities[[#This Row],[House Code]],tbl_Assessment[House Code],0),9),"")</f>
        <v/>
      </c>
      <c r="H30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0" s="75"/>
      <c r="J300" s="37"/>
      <c r="K300" s="86">
        <f>tbl_estimated_costs_quantities[[#This Row],[Site Preparation]]*BOQs!$L$3</f>
        <v>0</v>
      </c>
      <c r="L300" s="76"/>
      <c r="M300" s="37"/>
      <c r="N300" s="86">
        <f>tbl_estimated_costs_quantities[[#This Row],[Demolition Removal Unsafe Structures]]*BOQs!$L$4</f>
        <v>0</v>
      </c>
      <c r="O300" s="76"/>
      <c r="P300" s="37"/>
      <c r="Q300" s="86">
        <f>tbl_estimated_costs_quantities[[#This Row],[Concrete Works]]*BOQs!$L$5</f>
        <v>0</v>
      </c>
      <c r="R300" s="76"/>
      <c r="S300" s="37"/>
      <c r="T300" s="86">
        <f>tbl_estimated_costs_quantities[[#This Row],[Closure External Openings Walls Windows]]*BOQs!$L$6</f>
        <v>0</v>
      </c>
      <c r="U300" s="76"/>
      <c r="V300" s="37"/>
      <c r="W300" s="86">
        <f>tbl_estimated_costs_quantities[[#This Row],[Plastering Painting]]*BOQs!$L$7</f>
        <v>0</v>
      </c>
      <c r="X300" s="76"/>
      <c r="Y300" s="37"/>
      <c r="Z300" s="86">
        <f>tbl_estimated_costs_quantities[[#This Row],[Floor Repairs]]*BOQs!$L$8</f>
        <v>0</v>
      </c>
      <c r="AA300" s="76"/>
      <c r="AB300" s="37"/>
      <c r="AC300" s="86">
        <f>tbl_estimated_costs_quantities[[#This Row],[Doors Replacement Repair]]*BOQs!$L$9</f>
        <v>0</v>
      </c>
      <c r="AD300" s="76"/>
      <c r="AE300" s="37"/>
      <c r="AF300" s="86">
        <f>tbl_estimated_costs_quantities[[#This Row],[Windows Replacement Repair]]*BOQs!$L$10</f>
        <v>0</v>
      </c>
      <c r="AG300" s="76"/>
      <c r="AH300" s="37"/>
      <c r="AI300" s="86">
        <f>tbl_estimated_costs_quantities[[#This Row],[Bathroom Rehabilitation]]*BOQs!$L$11</f>
        <v>0</v>
      </c>
      <c r="AJ300" s="76"/>
      <c r="AK300" s="37"/>
      <c r="AL300" s="86">
        <f>tbl_estimated_costs_quantities[[#This Row],[Ceramic Tile Works WASH]]*BOQs!$L$12</f>
        <v>0</v>
      </c>
      <c r="AM300" s="76"/>
      <c r="AN300" s="37"/>
      <c r="AO300" s="86">
        <f>tbl_estimated_costs_quantities[[#This Row],[Electrical Repairs Lighting]]*BOQs!$L$13</f>
        <v>0</v>
      </c>
      <c r="AP300" s="76"/>
      <c r="AQ300" s="37"/>
      <c r="AR300" s="86">
        <f>tbl_estimated_costs_quantities[[#This Row],[Roof Insulation Leak Sealing]]*BOQs!$L$14</f>
        <v>0</v>
      </c>
      <c r="AS300" s="76"/>
      <c r="AT300" s="37"/>
      <c r="AU300" s="86">
        <f>tbl_estimated_costs_quantities[[#This Row],[Chimney Duct Cleaning Repair]]*BOQs!$L$15</f>
        <v>0</v>
      </c>
      <c r="AV300" s="76"/>
      <c r="AW300" s="37"/>
      <c r="AX300" s="89">
        <f>tbl_estimated_costs_quantities[[#This Row],[Accessibility Adaptations]]*BOQs!$L$16</f>
        <v>0</v>
      </c>
      <c r="AY300" s="86" t="str">
        <f>IF(tbl_estimated_costs_quantities[[#This Row],[Total cost]]&lt;&gt;0,tbl_estimated_costs_quantities[[#This Row],[Total cost]]/BOQs!$A$1,"")</f>
        <v/>
      </c>
      <c r="AZ300" s="37"/>
      <c r="BA300" s="37"/>
      <c r="BB300" s="37"/>
      <c r="BC300" s="37"/>
      <c r="BD300" s="41"/>
      <c r="BE300" s="37"/>
      <c r="BF300" s="37"/>
      <c r="BG300" s="37"/>
      <c r="BH300" s="41"/>
    </row>
    <row r="301" spans="2:60" ht="25.15" customHeight="1" x14ac:dyDescent="0.25">
      <c r="B301" s="49">
        <v>297</v>
      </c>
      <c r="C301" s="37"/>
      <c r="D301" s="41"/>
      <c r="E301" s="40"/>
      <c r="F301" s="87" t="str">
        <f>IF(tbl_estimated_costs_quantities[[#This Row],[House Code]]&lt;&gt;"",INDEX(tbl_Assessment[],MATCH(tbl_estimated_costs_quantities[[#This Row],[House Code]],tbl_Assessment[House Code],0),3),"")</f>
        <v/>
      </c>
      <c r="G301" s="115" t="str">
        <f>IF(tbl_estimated_costs_quantities[[#This Row],[House Code]]&lt;&gt;"",INDEX(tbl_Assessment[],MATCH(tbl_estimated_costs_quantities[[#This Row],[House Code]],tbl_Assessment[House Code],0),9),"")</f>
        <v/>
      </c>
      <c r="H30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1" s="75"/>
      <c r="J301" s="37"/>
      <c r="K301" s="86">
        <f>tbl_estimated_costs_quantities[[#This Row],[Site Preparation]]*BOQs!$L$3</f>
        <v>0</v>
      </c>
      <c r="L301" s="76"/>
      <c r="M301" s="37"/>
      <c r="N301" s="86">
        <f>tbl_estimated_costs_quantities[[#This Row],[Demolition Removal Unsafe Structures]]*BOQs!$L$4</f>
        <v>0</v>
      </c>
      <c r="O301" s="76"/>
      <c r="P301" s="37"/>
      <c r="Q301" s="86">
        <f>tbl_estimated_costs_quantities[[#This Row],[Concrete Works]]*BOQs!$L$5</f>
        <v>0</v>
      </c>
      <c r="R301" s="76"/>
      <c r="S301" s="37"/>
      <c r="T301" s="86">
        <f>tbl_estimated_costs_quantities[[#This Row],[Closure External Openings Walls Windows]]*BOQs!$L$6</f>
        <v>0</v>
      </c>
      <c r="U301" s="76"/>
      <c r="V301" s="37"/>
      <c r="W301" s="86">
        <f>tbl_estimated_costs_quantities[[#This Row],[Plastering Painting]]*BOQs!$L$7</f>
        <v>0</v>
      </c>
      <c r="X301" s="76"/>
      <c r="Y301" s="37"/>
      <c r="Z301" s="86">
        <f>tbl_estimated_costs_quantities[[#This Row],[Floor Repairs]]*BOQs!$L$8</f>
        <v>0</v>
      </c>
      <c r="AA301" s="76"/>
      <c r="AB301" s="37"/>
      <c r="AC301" s="86">
        <f>tbl_estimated_costs_quantities[[#This Row],[Doors Replacement Repair]]*BOQs!$L$9</f>
        <v>0</v>
      </c>
      <c r="AD301" s="76"/>
      <c r="AE301" s="37"/>
      <c r="AF301" s="86">
        <f>tbl_estimated_costs_quantities[[#This Row],[Windows Replacement Repair]]*BOQs!$L$10</f>
        <v>0</v>
      </c>
      <c r="AG301" s="76"/>
      <c r="AH301" s="37"/>
      <c r="AI301" s="86">
        <f>tbl_estimated_costs_quantities[[#This Row],[Bathroom Rehabilitation]]*BOQs!$L$11</f>
        <v>0</v>
      </c>
      <c r="AJ301" s="76"/>
      <c r="AK301" s="37"/>
      <c r="AL301" s="86">
        <f>tbl_estimated_costs_quantities[[#This Row],[Ceramic Tile Works WASH]]*BOQs!$L$12</f>
        <v>0</v>
      </c>
      <c r="AM301" s="76"/>
      <c r="AN301" s="37"/>
      <c r="AO301" s="86">
        <f>tbl_estimated_costs_quantities[[#This Row],[Electrical Repairs Lighting]]*BOQs!$L$13</f>
        <v>0</v>
      </c>
      <c r="AP301" s="76"/>
      <c r="AQ301" s="37"/>
      <c r="AR301" s="86">
        <f>tbl_estimated_costs_quantities[[#This Row],[Roof Insulation Leak Sealing]]*BOQs!$L$14</f>
        <v>0</v>
      </c>
      <c r="AS301" s="76"/>
      <c r="AT301" s="37"/>
      <c r="AU301" s="86">
        <f>tbl_estimated_costs_quantities[[#This Row],[Chimney Duct Cleaning Repair]]*BOQs!$L$15</f>
        <v>0</v>
      </c>
      <c r="AV301" s="76"/>
      <c r="AW301" s="37"/>
      <c r="AX301" s="89">
        <f>tbl_estimated_costs_quantities[[#This Row],[Accessibility Adaptations]]*BOQs!$L$16</f>
        <v>0</v>
      </c>
      <c r="AY301" s="86" t="str">
        <f>IF(tbl_estimated_costs_quantities[[#This Row],[Total cost]]&lt;&gt;0,tbl_estimated_costs_quantities[[#This Row],[Total cost]]/BOQs!$A$1,"")</f>
        <v/>
      </c>
      <c r="AZ301" s="37"/>
      <c r="BA301" s="37"/>
      <c r="BB301" s="37"/>
      <c r="BC301" s="37"/>
      <c r="BD301" s="41"/>
      <c r="BE301" s="37"/>
      <c r="BF301" s="37"/>
      <c r="BG301" s="37"/>
      <c r="BH301" s="41"/>
    </row>
    <row r="302" spans="2:60" ht="25.15" customHeight="1" x14ac:dyDescent="0.25">
      <c r="B302" s="49">
        <v>298</v>
      </c>
      <c r="C302" s="37"/>
      <c r="D302" s="41"/>
      <c r="E302" s="40"/>
      <c r="F302" s="87" t="str">
        <f>IF(tbl_estimated_costs_quantities[[#This Row],[House Code]]&lt;&gt;"",INDEX(tbl_Assessment[],MATCH(tbl_estimated_costs_quantities[[#This Row],[House Code]],tbl_Assessment[House Code],0),3),"")</f>
        <v/>
      </c>
      <c r="G302" s="115" t="str">
        <f>IF(tbl_estimated_costs_quantities[[#This Row],[House Code]]&lt;&gt;"",INDEX(tbl_Assessment[],MATCH(tbl_estimated_costs_quantities[[#This Row],[House Code]],tbl_Assessment[House Code],0),9),"")</f>
        <v/>
      </c>
      <c r="H30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2" s="75"/>
      <c r="J302" s="37"/>
      <c r="K302" s="86">
        <f>tbl_estimated_costs_quantities[[#This Row],[Site Preparation]]*BOQs!$L$3</f>
        <v>0</v>
      </c>
      <c r="L302" s="76"/>
      <c r="M302" s="37"/>
      <c r="N302" s="86">
        <f>tbl_estimated_costs_quantities[[#This Row],[Demolition Removal Unsafe Structures]]*BOQs!$L$4</f>
        <v>0</v>
      </c>
      <c r="O302" s="76"/>
      <c r="P302" s="37"/>
      <c r="Q302" s="86">
        <f>tbl_estimated_costs_quantities[[#This Row],[Concrete Works]]*BOQs!$L$5</f>
        <v>0</v>
      </c>
      <c r="R302" s="76"/>
      <c r="S302" s="37"/>
      <c r="T302" s="86">
        <f>tbl_estimated_costs_quantities[[#This Row],[Closure External Openings Walls Windows]]*BOQs!$L$6</f>
        <v>0</v>
      </c>
      <c r="U302" s="76"/>
      <c r="V302" s="37"/>
      <c r="W302" s="86">
        <f>tbl_estimated_costs_quantities[[#This Row],[Plastering Painting]]*BOQs!$L$7</f>
        <v>0</v>
      </c>
      <c r="X302" s="76"/>
      <c r="Y302" s="37"/>
      <c r="Z302" s="86">
        <f>tbl_estimated_costs_quantities[[#This Row],[Floor Repairs]]*BOQs!$L$8</f>
        <v>0</v>
      </c>
      <c r="AA302" s="76"/>
      <c r="AB302" s="37"/>
      <c r="AC302" s="86">
        <f>tbl_estimated_costs_quantities[[#This Row],[Doors Replacement Repair]]*BOQs!$L$9</f>
        <v>0</v>
      </c>
      <c r="AD302" s="76"/>
      <c r="AE302" s="37"/>
      <c r="AF302" s="86">
        <f>tbl_estimated_costs_quantities[[#This Row],[Windows Replacement Repair]]*BOQs!$L$10</f>
        <v>0</v>
      </c>
      <c r="AG302" s="76"/>
      <c r="AH302" s="37"/>
      <c r="AI302" s="86">
        <f>tbl_estimated_costs_quantities[[#This Row],[Bathroom Rehabilitation]]*BOQs!$L$11</f>
        <v>0</v>
      </c>
      <c r="AJ302" s="76"/>
      <c r="AK302" s="37"/>
      <c r="AL302" s="86">
        <f>tbl_estimated_costs_quantities[[#This Row],[Ceramic Tile Works WASH]]*BOQs!$L$12</f>
        <v>0</v>
      </c>
      <c r="AM302" s="76"/>
      <c r="AN302" s="37"/>
      <c r="AO302" s="86">
        <f>tbl_estimated_costs_quantities[[#This Row],[Electrical Repairs Lighting]]*BOQs!$L$13</f>
        <v>0</v>
      </c>
      <c r="AP302" s="76"/>
      <c r="AQ302" s="37"/>
      <c r="AR302" s="86">
        <f>tbl_estimated_costs_quantities[[#This Row],[Roof Insulation Leak Sealing]]*BOQs!$L$14</f>
        <v>0</v>
      </c>
      <c r="AS302" s="76"/>
      <c r="AT302" s="37"/>
      <c r="AU302" s="86">
        <f>tbl_estimated_costs_quantities[[#This Row],[Chimney Duct Cleaning Repair]]*BOQs!$L$15</f>
        <v>0</v>
      </c>
      <c r="AV302" s="76"/>
      <c r="AW302" s="37"/>
      <c r="AX302" s="89">
        <f>tbl_estimated_costs_quantities[[#This Row],[Accessibility Adaptations]]*BOQs!$L$16</f>
        <v>0</v>
      </c>
      <c r="AY302" s="86" t="str">
        <f>IF(tbl_estimated_costs_quantities[[#This Row],[Total cost]]&lt;&gt;0,tbl_estimated_costs_quantities[[#This Row],[Total cost]]/BOQs!$A$1,"")</f>
        <v/>
      </c>
      <c r="AZ302" s="37"/>
      <c r="BA302" s="37"/>
      <c r="BB302" s="37"/>
      <c r="BC302" s="37"/>
      <c r="BD302" s="41"/>
      <c r="BE302" s="37"/>
      <c r="BF302" s="37"/>
      <c r="BG302" s="37"/>
      <c r="BH302" s="41"/>
    </row>
    <row r="303" spans="2:60" ht="25.15" customHeight="1" x14ac:dyDescent="0.25">
      <c r="B303" s="49">
        <v>299</v>
      </c>
      <c r="C303" s="37"/>
      <c r="D303" s="41"/>
      <c r="E303" s="40"/>
      <c r="F303" s="87" t="str">
        <f>IF(tbl_estimated_costs_quantities[[#This Row],[House Code]]&lt;&gt;"",INDEX(tbl_Assessment[],MATCH(tbl_estimated_costs_quantities[[#This Row],[House Code]],tbl_Assessment[House Code],0),3),"")</f>
        <v/>
      </c>
      <c r="G303" s="115" t="str">
        <f>IF(tbl_estimated_costs_quantities[[#This Row],[House Code]]&lt;&gt;"",INDEX(tbl_Assessment[],MATCH(tbl_estimated_costs_quantities[[#This Row],[House Code]],tbl_Assessment[House Code],0),9),"")</f>
        <v/>
      </c>
      <c r="H30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3" s="75"/>
      <c r="J303" s="37"/>
      <c r="K303" s="86">
        <f>tbl_estimated_costs_quantities[[#This Row],[Site Preparation]]*BOQs!$L$3</f>
        <v>0</v>
      </c>
      <c r="L303" s="76"/>
      <c r="M303" s="37"/>
      <c r="N303" s="86">
        <f>tbl_estimated_costs_quantities[[#This Row],[Demolition Removal Unsafe Structures]]*BOQs!$L$4</f>
        <v>0</v>
      </c>
      <c r="O303" s="76"/>
      <c r="P303" s="37"/>
      <c r="Q303" s="86">
        <f>tbl_estimated_costs_quantities[[#This Row],[Concrete Works]]*BOQs!$L$5</f>
        <v>0</v>
      </c>
      <c r="R303" s="76"/>
      <c r="S303" s="37"/>
      <c r="T303" s="86">
        <f>tbl_estimated_costs_quantities[[#This Row],[Closure External Openings Walls Windows]]*BOQs!$L$6</f>
        <v>0</v>
      </c>
      <c r="U303" s="76"/>
      <c r="V303" s="37"/>
      <c r="W303" s="86">
        <f>tbl_estimated_costs_quantities[[#This Row],[Plastering Painting]]*BOQs!$L$7</f>
        <v>0</v>
      </c>
      <c r="X303" s="76"/>
      <c r="Y303" s="37"/>
      <c r="Z303" s="86">
        <f>tbl_estimated_costs_quantities[[#This Row],[Floor Repairs]]*BOQs!$L$8</f>
        <v>0</v>
      </c>
      <c r="AA303" s="76"/>
      <c r="AB303" s="37"/>
      <c r="AC303" s="86">
        <f>tbl_estimated_costs_quantities[[#This Row],[Doors Replacement Repair]]*BOQs!$L$9</f>
        <v>0</v>
      </c>
      <c r="AD303" s="76"/>
      <c r="AE303" s="37"/>
      <c r="AF303" s="86">
        <f>tbl_estimated_costs_quantities[[#This Row],[Windows Replacement Repair]]*BOQs!$L$10</f>
        <v>0</v>
      </c>
      <c r="AG303" s="76"/>
      <c r="AH303" s="37"/>
      <c r="AI303" s="86">
        <f>tbl_estimated_costs_quantities[[#This Row],[Bathroom Rehabilitation]]*BOQs!$L$11</f>
        <v>0</v>
      </c>
      <c r="AJ303" s="76"/>
      <c r="AK303" s="37"/>
      <c r="AL303" s="86">
        <f>tbl_estimated_costs_quantities[[#This Row],[Ceramic Tile Works WASH]]*BOQs!$L$12</f>
        <v>0</v>
      </c>
      <c r="AM303" s="76"/>
      <c r="AN303" s="37"/>
      <c r="AO303" s="86">
        <f>tbl_estimated_costs_quantities[[#This Row],[Electrical Repairs Lighting]]*BOQs!$L$13</f>
        <v>0</v>
      </c>
      <c r="AP303" s="76"/>
      <c r="AQ303" s="37"/>
      <c r="AR303" s="86">
        <f>tbl_estimated_costs_quantities[[#This Row],[Roof Insulation Leak Sealing]]*BOQs!$L$14</f>
        <v>0</v>
      </c>
      <c r="AS303" s="76"/>
      <c r="AT303" s="37"/>
      <c r="AU303" s="86">
        <f>tbl_estimated_costs_quantities[[#This Row],[Chimney Duct Cleaning Repair]]*BOQs!$L$15</f>
        <v>0</v>
      </c>
      <c r="AV303" s="76"/>
      <c r="AW303" s="37"/>
      <c r="AX303" s="89">
        <f>tbl_estimated_costs_quantities[[#This Row],[Accessibility Adaptations]]*BOQs!$L$16</f>
        <v>0</v>
      </c>
      <c r="AY303" s="86" t="str">
        <f>IF(tbl_estimated_costs_quantities[[#This Row],[Total cost]]&lt;&gt;0,tbl_estimated_costs_quantities[[#This Row],[Total cost]]/BOQs!$A$1,"")</f>
        <v/>
      </c>
      <c r="AZ303" s="37"/>
      <c r="BA303" s="37"/>
      <c r="BB303" s="37"/>
      <c r="BC303" s="37"/>
      <c r="BD303" s="41"/>
      <c r="BE303" s="37"/>
      <c r="BF303" s="37"/>
      <c r="BG303" s="37"/>
      <c r="BH303" s="41"/>
    </row>
    <row r="304" spans="2:60" ht="25.15" customHeight="1" x14ac:dyDescent="0.25">
      <c r="B304" s="49">
        <v>300</v>
      </c>
      <c r="C304" s="37"/>
      <c r="D304" s="41"/>
      <c r="E304" s="40"/>
      <c r="F304" s="87" t="str">
        <f>IF(tbl_estimated_costs_quantities[[#This Row],[House Code]]&lt;&gt;"",INDEX(tbl_Assessment[],MATCH(tbl_estimated_costs_quantities[[#This Row],[House Code]],tbl_Assessment[House Code],0),3),"")</f>
        <v/>
      </c>
      <c r="G304" s="115" t="str">
        <f>IF(tbl_estimated_costs_quantities[[#This Row],[House Code]]&lt;&gt;"",INDEX(tbl_Assessment[],MATCH(tbl_estimated_costs_quantities[[#This Row],[House Code]],tbl_Assessment[House Code],0),9),"")</f>
        <v/>
      </c>
      <c r="H30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4" s="75"/>
      <c r="J304" s="37"/>
      <c r="K304" s="86">
        <f>tbl_estimated_costs_quantities[[#This Row],[Site Preparation]]*BOQs!$L$3</f>
        <v>0</v>
      </c>
      <c r="L304" s="76"/>
      <c r="M304" s="37"/>
      <c r="N304" s="86">
        <f>tbl_estimated_costs_quantities[[#This Row],[Demolition Removal Unsafe Structures]]*BOQs!$L$4</f>
        <v>0</v>
      </c>
      <c r="O304" s="76"/>
      <c r="P304" s="37"/>
      <c r="Q304" s="86">
        <f>tbl_estimated_costs_quantities[[#This Row],[Concrete Works]]*BOQs!$L$5</f>
        <v>0</v>
      </c>
      <c r="R304" s="76"/>
      <c r="S304" s="37"/>
      <c r="T304" s="86">
        <f>tbl_estimated_costs_quantities[[#This Row],[Closure External Openings Walls Windows]]*BOQs!$L$6</f>
        <v>0</v>
      </c>
      <c r="U304" s="76"/>
      <c r="V304" s="37"/>
      <c r="W304" s="86">
        <f>tbl_estimated_costs_quantities[[#This Row],[Plastering Painting]]*BOQs!$L$7</f>
        <v>0</v>
      </c>
      <c r="X304" s="76"/>
      <c r="Y304" s="37"/>
      <c r="Z304" s="86">
        <f>tbl_estimated_costs_quantities[[#This Row],[Floor Repairs]]*BOQs!$L$8</f>
        <v>0</v>
      </c>
      <c r="AA304" s="76"/>
      <c r="AB304" s="37"/>
      <c r="AC304" s="86">
        <f>tbl_estimated_costs_quantities[[#This Row],[Doors Replacement Repair]]*BOQs!$L$9</f>
        <v>0</v>
      </c>
      <c r="AD304" s="76"/>
      <c r="AE304" s="37"/>
      <c r="AF304" s="86">
        <f>tbl_estimated_costs_quantities[[#This Row],[Windows Replacement Repair]]*BOQs!$L$10</f>
        <v>0</v>
      </c>
      <c r="AG304" s="76"/>
      <c r="AH304" s="37"/>
      <c r="AI304" s="86">
        <f>tbl_estimated_costs_quantities[[#This Row],[Bathroom Rehabilitation]]*BOQs!$L$11</f>
        <v>0</v>
      </c>
      <c r="AJ304" s="76"/>
      <c r="AK304" s="37"/>
      <c r="AL304" s="86">
        <f>tbl_estimated_costs_quantities[[#This Row],[Ceramic Tile Works WASH]]*BOQs!$L$12</f>
        <v>0</v>
      </c>
      <c r="AM304" s="76"/>
      <c r="AN304" s="37"/>
      <c r="AO304" s="86">
        <f>tbl_estimated_costs_quantities[[#This Row],[Electrical Repairs Lighting]]*BOQs!$L$13</f>
        <v>0</v>
      </c>
      <c r="AP304" s="76"/>
      <c r="AQ304" s="37"/>
      <c r="AR304" s="86">
        <f>tbl_estimated_costs_quantities[[#This Row],[Roof Insulation Leak Sealing]]*BOQs!$L$14</f>
        <v>0</v>
      </c>
      <c r="AS304" s="76"/>
      <c r="AT304" s="37"/>
      <c r="AU304" s="86">
        <f>tbl_estimated_costs_quantities[[#This Row],[Chimney Duct Cleaning Repair]]*BOQs!$L$15</f>
        <v>0</v>
      </c>
      <c r="AV304" s="76"/>
      <c r="AW304" s="37"/>
      <c r="AX304" s="89">
        <f>tbl_estimated_costs_quantities[[#This Row],[Accessibility Adaptations]]*BOQs!$L$16</f>
        <v>0</v>
      </c>
      <c r="AY304" s="86" t="str">
        <f>IF(tbl_estimated_costs_quantities[[#This Row],[Total cost]]&lt;&gt;0,tbl_estimated_costs_quantities[[#This Row],[Total cost]]/BOQs!$A$1,"")</f>
        <v/>
      </c>
      <c r="AZ304" s="37"/>
      <c r="BA304" s="37"/>
      <c r="BB304" s="37"/>
      <c r="BC304" s="37"/>
      <c r="BD304" s="41"/>
      <c r="BE304" s="37"/>
      <c r="BF304" s="37"/>
      <c r="BG304" s="37"/>
      <c r="BH304" s="41"/>
    </row>
    <row r="305" spans="2:60" ht="25.15" customHeight="1" x14ac:dyDescent="0.25">
      <c r="B305" s="49">
        <v>301</v>
      </c>
      <c r="C305" s="37"/>
      <c r="D305" s="41"/>
      <c r="E305" s="40"/>
      <c r="F305" s="87" t="str">
        <f>IF(tbl_estimated_costs_quantities[[#This Row],[House Code]]&lt;&gt;"",INDEX(tbl_Assessment[],MATCH(tbl_estimated_costs_quantities[[#This Row],[House Code]],tbl_Assessment[House Code],0),3),"")</f>
        <v/>
      </c>
      <c r="G305" s="115" t="str">
        <f>IF(tbl_estimated_costs_quantities[[#This Row],[House Code]]&lt;&gt;"",INDEX(tbl_Assessment[],MATCH(tbl_estimated_costs_quantities[[#This Row],[House Code]],tbl_Assessment[House Code],0),9),"")</f>
        <v/>
      </c>
      <c r="H30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5" s="75"/>
      <c r="J305" s="37"/>
      <c r="K305" s="86">
        <f>tbl_estimated_costs_quantities[[#This Row],[Site Preparation]]*BOQs!$L$3</f>
        <v>0</v>
      </c>
      <c r="L305" s="76"/>
      <c r="M305" s="37"/>
      <c r="N305" s="86">
        <f>tbl_estimated_costs_quantities[[#This Row],[Demolition Removal Unsafe Structures]]*BOQs!$L$4</f>
        <v>0</v>
      </c>
      <c r="O305" s="76"/>
      <c r="P305" s="37"/>
      <c r="Q305" s="86">
        <f>tbl_estimated_costs_quantities[[#This Row],[Concrete Works]]*BOQs!$L$5</f>
        <v>0</v>
      </c>
      <c r="R305" s="76"/>
      <c r="S305" s="37"/>
      <c r="T305" s="86">
        <f>tbl_estimated_costs_quantities[[#This Row],[Closure External Openings Walls Windows]]*BOQs!$L$6</f>
        <v>0</v>
      </c>
      <c r="U305" s="76"/>
      <c r="V305" s="37"/>
      <c r="W305" s="86">
        <f>tbl_estimated_costs_quantities[[#This Row],[Plastering Painting]]*BOQs!$L$7</f>
        <v>0</v>
      </c>
      <c r="X305" s="76"/>
      <c r="Y305" s="37"/>
      <c r="Z305" s="86">
        <f>tbl_estimated_costs_quantities[[#This Row],[Floor Repairs]]*BOQs!$L$8</f>
        <v>0</v>
      </c>
      <c r="AA305" s="76"/>
      <c r="AB305" s="37"/>
      <c r="AC305" s="86">
        <f>tbl_estimated_costs_quantities[[#This Row],[Doors Replacement Repair]]*BOQs!$L$9</f>
        <v>0</v>
      </c>
      <c r="AD305" s="76"/>
      <c r="AE305" s="37"/>
      <c r="AF305" s="86">
        <f>tbl_estimated_costs_quantities[[#This Row],[Windows Replacement Repair]]*BOQs!$L$10</f>
        <v>0</v>
      </c>
      <c r="AG305" s="76"/>
      <c r="AH305" s="37"/>
      <c r="AI305" s="86">
        <f>tbl_estimated_costs_quantities[[#This Row],[Bathroom Rehabilitation]]*BOQs!$L$11</f>
        <v>0</v>
      </c>
      <c r="AJ305" s="76"/>
      <c r="AK305" s="37"/>
      <c r="AL305" s="86">
        <f>tbl_estimated_costs_quantities[[#This Row],[Ceramic Tile Works WASH]]*BOQs!$L$12</f>
        <v>0</v>
      </c>
      <c r="AM305" s="76"/>
      <c r="AN305" s="37"/>
      <c r="AO305" s="86">
        <f>tbl_estimated_costs_quantities[[#This Row],[Electrical Repairs Lighting]]*BOQs!$L$13</f>
        <v>0</v>
      </c>
      <c r="AP305" s="76"/>
      <c r="AQ305" s="37"/>
      <c r="AR305" s="86">
        <f>tbl_estimated_costs_quantities[[#This Row],[Roof Insulation Leak Sealing]]*BOQs!$L$14</f>
        <v>0</v>
      </c>
      <c r="AS305" s="76"/>
      <c r="AT305" s="37"/>
      <c r="AU305" s="86">
        <f>tbl_estimated_costs_quantities[[#This Row],[Chimney Duct Cleaning Repair]]*BOQs!$L$15</f>
        <v>0</v>
      </c>
      <c r="AV305" s="76"/>
      <c r="AW305" s="37"/>
      <c r="AX305" s="89">
        <f>tbl_estimated_costs_quantities[[#This Row],[Accessibility Adaptations]]*BOQs!$L$16</f>
        <v>0</v>
      </c>
      <c r="AY305" s="86" t="str">
        <f>IF(tbl_estimated_costs_quantities[[#This Row],[Total cost]]&lt;&gt;0,tbl_estimated_costs_quantities[[#This Row],[Total cost]]/BOQs!$A$1,"")</f>
        <v/>
      </c>
      <c r="AZ305" s="37"/>
      <c r="BA305" s="37"/>
      <c r="BB305" s="37"/>
      <c r="BC305" s="37"/>
      <c r="BD305" s="41"/>
      <c r="BE305" s="37"/>
      <c r="BF305" s="37"/>
      <c r="BG305" s="37"/>
      <c r="BH305" s="41"/>
    </row>
    <row r="306" spans="2:60" ht="25.15" customHeight="1" x14ac:dyDescent="0.25">
      <c r="B306" s="49">
        <v>302</v>
      </c>
      <c r="C306" s="37"/>
      <c r="D306" s="41"/>
      <c r="E306" s="40"/>
      <c r="F306" s="87" t="str">
        <f>IF(tbl_estimated_costs_quantities[[#This Row],[House Code]]&lt;&gt;"",INDEX(tbl_Assessment[],MATCH(tbl_estimated_costs_quantities[[#This Row],[House Code]],tbl_Assessment[House Code],0),3),"")</f>
        <v/>
      </c>
      <c r="G306" s="115" t="str">
        <f>IF(tbl_estimated_costs_quantities[[#This Row],[House Code]]&lt;&gt;"",INDEX(tbl_Assessment[],MATCH(tbl_estimated_costs_quantities[[#This Row],[House Code]],tbl_Assessment[House Code],0),9),"")</f>
        <v/>
      </c>
      <c r="H30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6" s="75"/>
      <c r="J306" s="37"/>
      <c r="K306" s="86">
        <f>tbl_estimated_costs_quantities[[#This Row],[Site Preparation]]*BOQs!$L$3</f>
        <v>0</v>
      </c>
      <c r="L306" s="76"/>
      <c r="M306" s="37"/>
      <c r="N306" s="86">
        <f>tbl_estimated_costs_quantities[[#This Row],[Demolition Removal Unsafe Structures]]*BOQs!$L$4</f>
        <v>0</v>
      </c>
      <c r="O306" s="76"/>
      <c r="P306" s="37"/>
      <c r="Q306" s="86">
        <f>tbl_estimated_costs_quantities[[#This Row],[Concrete Works]]*BOQs!$L$5</f>
        <v>0</v>
      </c>
      <c r="R306" s="76"/>
      <c r="S306" s="37"/>
      <c r="T306" s="86">
        <f>tbl_estimated_costs_quantities[[#This Row],[Closure External Openings Walls Windows]]*BOQs!$L$6</f>
        <v>0</v>
      </c>
      <c r="U306" s="76"/>
      <c r="V306" s="37"/>
      <c r="W306" s="86">
        <f>tbl_estimated_costs_quantities[[#This Row],[Plastering Painting]]*BOQs!$L$7</f>
        <v>0</v>
      </c>
      <c r="X306" s="76"/>
      <c r="Y306" s="37"/>
      <c r="Z306" s="86">
        <f>tbl_estimated_costs_quantities[[#This Row],[Floor Repairs]]*BOQs!$L$8</f>
        <v>0</v>
      </c>
      <c r="AA306" s="76"/>
      <c r="AB306" s="37"/>
      <c r="AC306" s="86">
        <f>tbl_estimated_costs_quantities[[#This Row],[Doors Replacement Repair]]*BOQs!$L$9</f>
        <v>0</v>
      </c>
      <c r="AD306" s="76"/>
      <c r="AE306" s="37"/>
      <c r="AF306" s="86">
        <f>tbl_estimated_costs_quantities[[#This Row],[Windows Replacement Repair]]*BOQs!$L$10</f>
        <v>0</v>
      </c>
      <c r="AG306" s="76"/>
      <c r="AH306" s="37"/>
      <c r="AI306" s="86">
        <f>tbl_estimated_costs_quantities[[#This Row],[Bathroom Rehabilitation]]*BOQs!$L$11</f>
        <v>0</v>
      </c>
      <c r="AJ306" s="76"/>
      <c r="AK306" s="37"/>
      <c r="AL306" s="86">
        <f>tbl_estimated_costs_quantities[[#This Row],[Ceramic Tile Works WASH]]*BOQs!$L$12</f>
        <v>0</v>
      </c>
      <c r="AM306" s="76"/>
      <c r="AN306" s="37"/>
      <c r="AO306" s="86">
        <f>tbl_estimated_costs_quantities[[#This Row],[Electrical Repairs Lighting]]*BOQs!$L$13</f>
        <v>0</v>
      </c>
      <c r="AP306" s="76"/>
      <c r="AQ306" s="37"/>
      <c r="AR306" s="86">
        <f>tbl_estimated_costs_quantities[[#This Row],[Roof Insulation Leak Sealing]]*BOQs!$L$14</f>
        <v>0</v>
      </c>
      <c r="AS306" s="76"/>
      <c r="AT306" s="37"/>
      <c r="AU306" s="86">
        <f>tbl_estimated_costs_quantities[[#This Row],[Chimney Duct Cleaning Repair]]*BOQs!$L$15</f>
        <v>0</v>
      </c>
      <c r="AV306" s="76"/>
      <c r="AW306" s="37"/>
      <c r="AX306" s="89">
        <f>tbl_estimated_costs_quantities[[#This Row],[Accessibility Adaptations]]*BOQs!$L$16</f>
        <v>0</v>
      </c>
      <c r="AY306" s="86" t="str">
        <f>IF(tbl_estimated_costs_quantities[[#This Row],[Total cost]]&lt;&gt;0,tbl_estimated_costs_quantities[[#This Row],[Total cost]]/BOQs!$A$1,"")</f>
        <v/>
      </c>
      <c r="AZ306" s="37"/>
      <c r="BA306" s="37"/>
      <c r="BB306" s="37"/>
      <c r="BC306" s="37"/>
      <c r="BD306" s="41"/>
      <c r="BE306" s="37"/>
      <c r="BF306" s="37"/>
      <c r="BG306" s="37"/>
      <c r="BH306" s="41"/>
    </row>
    <row r="307" spans="2:60" ht="25.15" customHeight="1" x14ac:dyDescent="0.25">
      <c r="B307" s="49">
        <v>303</v>
      </c>
      <c r="C307" s="37"/>
      <c r="D307" s="41"/>
      <c r="E307" s="40"/>
      <c r="F307" s="87" t="str">
        <f>IF(tbl_estimated_costs_quantities[[#This Row],[House Code]]&lt;&gt;"",INDEX(tbl_Assessment[],MATCH(tbl_estimated_costs_quantities[[#This Row],[House Code]],tbl_Assessment[House Code],0),3),"")</f>
        <v/>
      </c>
      <c r="G307" s="115" t="str">
        <f>IF(tbl_estimated_costs_quantities[[#This Row],[House Code]]&lt;&gt;"",INDEX(tbl_Assessment[],MATCH(tbl_estimated_costs_quantities[[#This Row],[House Code]],tbl_Assessment[House Code],0),9),"")</f>
        <v/>
      </c>
      <c r="H30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7" s="75"/>
      <c r="J307" s="37"/>
      <c r="K307" s="86">
        <f>tbl_estimated_costs_quantities[[#This Row],[Site Preparation]]*BOQs!$L$3</f>
        <v>0</v>
      </c>
      <c r="L307" s="76"/>
      <c r="M307" s="37"/>
      <c r="N307" s="86">
        <f>tbl_estimated_costs_quantities[[#This Row],[Demolition Removal Unsafe Structures]]*BOQs!$L$4</f>
        <v>0</v>
      </c>
      <c r="O307" s="76"/>
      <c r="P307" s="37"/>
      <c r="Q307" s="86">
        <f>tbl_estimated_costs_quantities[[#This Row],[Concrete Works]]*BOQs!$L$5</f>
        <v>0</v>
      </c>
      <c r="R307" s="76"/>
      <c r="S307" s="37"/>
      <c r="T307" s="86">
        <f>tbl_estimated_costs_quantities[[#This Row],[Closure External Openings Walls Windows]]*BOQs!$L$6</f>
        <v>0</v>
      </c>
      <c r="U307" s="76"/>
      <c r="V307" s="37"/>
      <c r="W307" s="86">
        <f>tbl_estimated_costs_quantities[[#This Row],[Plastering Painting]]*BOQs!$L$7</f>
        <v>0</v>
      </c>
      <c r="X307" s="76"/>
      <c r="Y307" s="37"/>
      <c r="Z307" s="86">
        <f>tbl_estimated_costs_quantities[[#This Row],[Floor Repairs]]*BOQs!$L$8</f>
        <v>0</v>
      </c>
      <c r="AA307" s="76"/>
      <c r="AB307" s="37"/>
      <c r="AC307" s="86">
        <f>tbl_estimated_costs_quantities[[#This Row],[Doors Replacement Repair]]*BOQs!$L$9</f>
        <v>0</v>
      </c>
      <c r="AD307" s="76"/>
      <c r="AE307" s="37"/>
      <c r="AF307" s="86">
        <f>tbl_estimated_costs_quantities[[#This Row],[Windows Replacement Repair]]*BOQs!$L$10</f>
        <v>0</v>
      </c>
      <c r="AG307" s="76"/>
      <c r="AH307" s="37"/>
      <c r="AI307" s="86">
        <f>tbl_estimated_costs_quantities[[#This Row],[Bathroom Rehabilitation]]*BOQs!$L$11</f>
        <v>0</v>
      </c>
      <c r="AJ307" s="76"/>
      <c r="AK307" s="37"/>
      <c r="AL307" s="86">
        <f>tbl_estimated_costs_quantities[[#This Row],[Ceramic Tile Works WASH]]*BOQs!$L$12</f>
        <v>0</v>
      </c>
      <c r="AM307" s="76"/>
      <c r="AN307" s="37"/>
      <c r="AO307" s="86">
        <f>tbl_estimated_costs_quantities[[#This Row],[Electrical Repairs Lighting]]*BOQs!$L$13</f>
        <v>0</v>
      </c>
      <c r="AP307" s="76"/>
      <c r="AQ307" s="37"/>
      <c r="AR307" s="86">
        <f>tbl_estimated_costs_quantities[[#This Row],[Roof Insulation Leak Sealing]]*BOQs!$L$14</f>
        <v>0</v>
      </c>
      <c r="AS307" s="76"/>
      <c r="AT307" s="37"/>
      <c r="AU307" s="86">
        <f>tbl_estimated_costs_quantities[[#This Row],[Chimney Duct Cleaning Repair]]*BOQs!$L$15</f>
        <v>0</v>
      </c>
      <c r="AV307" s="76"/>
      <c r="AW307" s="37"/>
      <c r="AX307" s="89">
        <f>tbl_estimated_costs_quantities[[#This Row],[Accessibility Adaptations]]*BOQs!$L$16</f>
        <v>0</v>
      </c>
      <c r="AY307" s="86" t="str">
        <f>IF(tbl_estimated_costs_quantities[[#This Row],[Total cost]]&lt;&gt;0,tbl_estimated_costs_quantities[[#This Row],[Total cost]]/BOQs!$A$1,"")</f>
        <v/>
      </c>
      <c r="AZ307" s="37"/>
      <c r="BA307" s="37"/>
      <c r="BB307" s="37"/>
      <c r="BC307" s="37"/>
      <c r="BD307" s="41"/>
      <c r="BE307" s="37"/>
      <c r="BF307" s="37"/>
      <c r="BG307" s="37"/>
      <c r="BH307" s="41"/>
    </row>
    <row r="308" spans="2:60" ht="25.15" customHeight="1" x14ac:dyDescent="0.25">
      <c r="B308" s="49">
        <v>304</v>
      </c>
      <c r="C308" s="37"/>
      <c r="D308" s="41"/>
      <c r="E308" s="40"/>
      <c r="F308" s="87" t="str">
        <f>IF(tbl_estimated_costs_quantities[[#This Row],[House Code]]&lt;&gt;"",INDEX(tbl_Assessment[],MATCH(tbl_estimated_costs_quantities[[#This Row],[House Code]],tbl_Assessment[House Code],0),3),"")</f>
        <v/>
      </c>
      <c r="G308" s="115" t="str">
        <f>IF(tbl_estimated_costs_quantities[[#This Row],[House Code]]&lt;&gt;"",INDEX(tbl_Assessment[],MATCH(tbl_estimated_costs_quantities[[#This Row],[House Code]],tbl_Assessment[House Code],0),9),"")</f>
        <v/>
      </c>
      <c r="H30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8" s="75"/>
      <c r="J308" s="37"/>
      <c r="K308" s="86">
        <f>tbl_estimated_costs_quantities[[#This Row],[Site Preparation]]*BOQs!$L$3</f>
        <v>0</v>
      </c>
      <c r="L308" s="76"/>
      <c r="M308" s="37"/>
      <c r="N308" s="86">
        <f>tbl_estimated_costs_quantities[[#This Row],[Demolition Removal Unsafe Structures]]*BOQs!$L$4</f>
        <v>0</v>
      </c>
      <c r="O308" s="76"/>
      <c r="P308" s="37"/>
      <c r="Q308" s="86">
        <f>tbl_estimated_costs_quantities[[#This Row],[Concrete Works]]*BOQs!$L$5</f>
        <v>0</v>
      </c>
      <c r="R308" s="76"/>
      <c r="S308" s="37"/>
      <c r="T308" s="86">
        <f>tbl_estimated_costs_quantities[[#This Row],[Closure External Openings Walls Windows]]*BOQs!$L$6</f>
        <v>0</v>
      </c>
      <c r="U308" s="76"/>
      <c r="V308" s="37"/>
      <c r="W308" s="86">
        <f>tbl_estimated_costs_quantities[[#This Row],[Plastering Painting]]*BOQs!$L$7</f>
        <v>0</v>
      </c>
      <c r="X308" s="76"/>
      <c r="Y308" s="37"/>
      <c r="Z308" s="86">
        <f>tbl_estimated_costs_quantities[[#This Row],[Floor Repairs]]*BOQs!$L$8</f>
        <v>0</v>
      </c>
      <c r="AA308" s="76"/>
      <c r="AB308" s="37"/>
      <c r="AC308" s="86">
        <f>tbl_estimated_costs_quantities[[#This Row],[Doors Replacement Repair]]*BOQs!$L$9</f>
        <v>0</v>
      </c>
      <c r="AD308" s="76"/>
      <c r="AE308" s="37"/>
      <c r="AF308" s="86">
        <f>tbl_estimated_costs_quantities[[#This Row],[Windows Replacement Repair]]*BOQs!$L$10</f>
        <v>0</v>
      </c>
      <c r="AG308" s="76"/>
      <c r="AH308" s="37"/>
      <c r="AI308" s="86">
        <f>tbl_estimated_costs_quantities[[#This Row],[Bathroom Rehabilitation]]*BOQs!$L$11</f>
        <v>0</v>
      </c>
      <c r="AJ308" s="76"/>
      <c r="AK308" s="37"/>
      <c r="AL308" s="86">
        <f>tbl_estimated_costs_quantities[[#This Row],[Ceramic Tile Works WASH]]*BOQs!$L$12</f>
        <v>0</v>
      </c>
      <c r="AM308" s="76"/>
      <c r="AN308" s="37"/>
      <c r="AO308" s="86">
        <f>tbl_estimated_costs_quantities[[#This Row],[Electrical Repairs Lighting]]*BOQs!$L$13</f>
        <v>0</v>
      </c>
      <c r="AP308" s="76"/>
      <c r="AQ308" s="37"/>
      <c r="AR308" s="86">
        <f>tbl_estimated_costs_quantities[[#This Row],[Roof Insulation Leak Sealing]]*BOQs!$L$14</f>
        <v>0</v>
      </c>
      <c r="AS308" s="76"/>
      <c r="AT308" s="37"/>
      <c r="AU308" s="86">
        <f>tbl_estimated_costs_quantities[[#This Row],[Chimney Duct Cleaning Repair]]*BOQs!$L$15</f>
        <v>0</v>
      </c>
      <c r="AV308" s="76"/>
      <c r="AW308" s="37"/>
      <c r="AX308" s="89">
        <f>tbl_estimated_costs_quantities[[#This Row],[Accessibility Adaptations]]*BOQs!$L$16</f>
        <v>0</v>
      </c>
      <c r="AY308" s="86" t="str">
        <f>IF(tbl_estimated_costs_quantities[[#This Row],[Total cost]]&lt;&gt;0,tbl_estimated_costs_quantities[[#This Row],[Total cost]]/BOQs!$A$1,"")</f>
        <v/>
      </c>
      <c r="AZ308" s="37"/>
      <c r="BA308" s="37"/>
      <c r="BB308" s="37"/>
      <c r="BC308" s="37"/>
      <c r="BD308" s="41"/>
      <c r="BE308" s="37"/>
      <c r="BF308" s="37"/>
      <c r="BG308" s="37"/>
      <c r="BH308" s="41"/>
    </row>
    <row r="309" spans="2:60" ht="25.15" customHeight="1" x14ac:dyDescent="0.25">
      <c r="B309" s="49">
        <v>305</v>
      </c>
      <c r="C309" s="37"/>
      <c r="D309" s="41"/>
      <c r="E309" s="40"/>
      <c r="F309" s="87" t="str">
        <f>IF(tbl_estimated_costs_quantities[[#This Row],[House Code]]&lt;&gt;"",INDEX(tbl_Assessment[],MATCH(tbl_estimated_costs_quantities[[#This Row],[House Code]],tbl_Assessment[House Code],0),3),"")</f>
        <v/>
      </c>
      <c r="G309" s="115" t="str">
        <f>IF(tbl_estimated_costs_quantities[[#This Row],[House Code]]&lt;&gt;"",INDEX(tbl_Assessment[],MATCH(tbl_estimated_costs_quantities[[#This Row],[House Code]],tbl_Assessment[House Code],0),9),"")</f>
        <v/>
      </c>
      <c r="H30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09" s="75"/>
      <c r="J309" s="37"/>
      <c r="K309" s="86">
        <f>tbl_estimated_costs_quantities[[#This Row],[Site Preparation]]*BOQs!$L$3</f>
        <v>0</v>
      </c>
      <c r="L309" s="76"/>
      <c r="M309" s="37"/>
      <c r="N309" s="86">
        <f>tbl_estimated_costs_quantities[[#This Row],[Demolition Removal Unsafe Structures]]*BOQs!$L$4</f>
        <v>0</v>
      </c>
      <c r="O309" s="76"/>
      <c r="P309" s="37"/>
      <c r="Q309" s="86">
        <f>tbl_estimated_costs_quantities[[#This Row],[Concrete Works]]*BOQs!$L$5</f>
        <v>0</v>
      </c>
      <c r="R309" s="76"/>
      <c r="S309" s="37"/>
      <c r="T309" s="86">
        <f>tbl_estimated_costs_quantities[[#This Row],[Closure External Openings Walls Windows]]*BOQs!$L$6</f>
        <v>0</v>
      </c>
      <c r="U309" s="76"/>
      <c r="V309" s="37"/>
      <c r="W309" s="86">
        <f>tbl_estimated_costs_quantities[[#This Row],[Plastering Painting]]*BOQs!$L$7</f>
        <v>0</v>
      </c>
      <c r="X309" s="76"/>
      <c r="Y309" s="37"/>
      <c r="Z309" s="86">
        <f>tbl_estimated_costs_quantities[[#This Row],[Floor Repairs]]*BOQs!$L$8</f>
        <v>0</v>
      </c>
      <c r="AA309" s="76"/>
      <c r="AB309" s="37"/>
      <c r="AC309" s="86">
        <f>tbl_estimated_costs_quantities[[#This Row],[Doors Replacement Repair]]*BOQs!$L$9</f>
        <v>0</v>
      </c>
      <c r="AD309" s="76"/>
      <c r="AE309" s="37"/>
      <c r="AF309" s="86">
        <f>tbl_estimated_costs_quantities[[#This Row],[Windows Replacement Repair]]*BOQs!$L$10</f>
        <v>0</v>
      </c>
      <c r="AG309" s="76"/>
      <c r="AH309" s="37"/>
      <c r="AI309" s="86">
        <f>tbl_estimated_costs_quantities[[#This Row],[Bathroom Rehabilitation]]*BOQs!$L$11</f>
        <v>0</v>
      </c>
      <c r="AJ309" s="76"/>
      <c r="AK309" s="37"/>
      <c r="AL309" s="86">
        <f>tbl_estimated_costs_quantities[[#This Row],[Ceramic Tile Works WASH]]*BOQs!$L$12</f>
        <v>0</v>
      </c>
      <c r="AM309" s="76"/>
      <c r="AN309" s="37"/>
      <c r="AO309" s="86">
        <f>tbl_estimated_costs_quantities[[#This Row],[Electrical Repairs Lighting]]*BOQs!$L$13</f>
        <v>0</v>
      </c>
      <c r="AP309" s="76"/>
      <c r="AQ309" s="37"/>
      <c r="AR309" s="86">
        <f>tbl_estimated_costs_quantities[[#This Row],[Roof Insulation Leak Sealing]]*BOQs!$L$14</f>
        <v>0</v>
      </c>
      <c r="AS309" s="76"/>
      <c r="AT309" s="37"/>
      <c r="AU309" s="86">
        <f>tbl_estimated_costs_quantities[[#This Row],[Chimney Duct Cleaning Repair]]*BOQs!$L$15</f>
        <v>0</v>
      </c>
      <c r="AV309" s="76"/>
      <c r="AW309" s="37"/>
      <c r="AX309" s="89">
        <f>tbl_estimated_costs_quantities[[#This Row],[Accessibility Adaptations]]*BOQs!$L$16</f>
        <v>0</v>
      </c>
      <c r="AY309" s="86" t="str">
        <f>IF(tbl_estimated_costs_quantities[[#This Row],[Total cost]]&lt;&gt;0,tbl_estimated_costs_quantities[[#This Row],[Total cost]]/BOQs!$A$1,"")</f>
        <v/>
      </c>
      <c r="AZ309" s="37"/>
      <c r="BA309" s="37"/>
      <c r="BB309" s="37"/>
      <c r="BC309" s="37"/>
      <c r="BD309" s="41"/>
      <c r="BE309" s="37"/>
      <c r="BF309" s="37"/>
      <c r="BG309" s="37"/>
      <c r="BH309" s="41"/>
    </row>
    <row r="310" spans="2:60" ht="25.15" customHeight="1" x14ac:dyDescent="0.25">
      <c r="B310" s="49">
        <v>306</v>
      </c>
      <c r="C310" s="37"/>
      <c r="D310" s="41"/>
      <c r="E310" s="40"/>
      <c r="F310" s="87" t="str">
        <f>IF(tbl_estimated_costs_quantities[[#This Row],[House Code]]&lt;&gt;"",INDEX(tbl_Assessment[],MATCH(tbl_estimated_costs_quantities[[#This Row],[House Code]],tbl_Assessment[House Code],0),3),"")</f>
        <v/>
      </c>
      <c r="G310" s="115" t="str">
        <f>IF(tbl_estimated_costs_quantities[[#This Row],[House Code]]&lt;&gt;"",INDEX(tbl_Assessment[],MATCH(tbl_estimated_costs_quantities[[#This Row],[House Code]],tbl_Assessment[House Code],0),9),"")</f>
        <v/>
      </c>
      <c r="H31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0" s="75"/>
      <c r="J310" s="37"/>
      <c r="K310" s="86">
        <f>tbl_estimated_costs_quantities[[#This Row],[Site Preparation]]*BOQs!$L$3</f>
        <v>0</v>
      </c>
      <c r="L310" s="76"/>
      <c r="M310" s="37"/>
      <c r="N310" s="86">
        <f>tbl_estimated_costs_quantities[[#This Row],[Demolition Removal Unsafe Structures]]*BOQs!$L$4</f>
        <v>0</v>
      </c>
      <c r="O310" s="76"/>
      <c r="P310" s="37"/>
      <c r="Q310" s="86">
        <f>tbl_estimated_costs_quantities[[#This Row],[Concrete Works]]*BOQs!$L$5</f>
        <v>0</v>
      </c>
      <c r="R310" s="76"/>
      <c r="S310" s="37"/>
      <c r="T310" s="86">
        <f>tbl_estimated_costs_quantities[[#This Row],[Closure External Openings Walls Windows]]*BOQs!$L$6</f>
        <v>0</v>
      </c>
      <c r="U310" s="76"/>
      <c r="V310" s="37"/>
      <c r="W310" s="86">
        <f>tbl_estimated_costs_quantities[[#This Row],[Plastering Painting]]*BOQs!$L$7</f>
        <v>0</v>
      </c>
      <c r="X310" s="76"/>
      <c r="Y310" s="37"/>
      <c r="Z310" s="86">
        <f>tbl_estimated_costs_quantities[[#This Row],[Floor Repairs]]*BOQs!$L$8</f>
        <v>0</v>
      </c>
      <c r="AA310" s="76"/>
      <c r="AB310" s="37"/>
      <c r="AC310" s="86">
        <f>tbl_estimated_costs_quantities[[#This Row],[Doors Replacement Repair]]*BOQs!$L$9</f>
        <v>0</v>
      </c>
      <c r="AD310" s="76"/>
      <c r="AE310" s="37"/>
      <c r="AF310" s="86">
        <f>tbl_estimated_costs_quantities[[#This Row],[Windows Replacement Repair]]*BOQs!$L$10</f>
        <v>0</v>
      </c>
      <c r="AG310" s="76"/>
      <c r="AH310" s="37"/>
      <c r="AI310" s="86">
        <f>tbl_estimated_costs_quantities[[#This Row],[Bathroom Rehabilitation]]*BOQs!$L$11</f>
        <v>0</v>
      </c>
      <c r="AJ310" s="76"/>
      <c r="AK310" s="37"/>
      <c r="AL310" s="86">
        <f>tbl_estimated_costs_quantities[[#This Row],[Ceramic Tile Works WASH]]*BOQs!$L$12</f>
        <v>0</v>
      </c>
      <c r="AM310" s="76"/>
      <c r="AN310" s="37"/>
      <c r="AO310" s="86">
        <f>tbl_estimated_costs_quantities[[#This Row],[Electrical Repairs Lighting]]*BOQs!$L$13</f>
        <v>0</v>
      </c>
      <c r="AP310" s="76"/>
      <c r="AQ310" s="37"/>
      <c r="AR310" s="86">
        <f>tbl_estimated_costs_quantities[[#This Row],[Roof Insulation Leak Sealing]]*BOQs!$L$14</f>
        <v>0</v>
      </c>
      <c r="AS310" s="76"/>
      <c r="AT310" s="37"/>
      <c r="AU310" s="86">
        <f>tbl_estimated_costs_quantities[[#This Row],[Chimney Duct Cleaning Repair]]*BOQs!$L$15</f>
        <v>0</v>
      </c>
      <c r="AV310" s="76"/>
      <c r="AW310" s="37"/>
      <c r="AX310" s="89">
        <f>tbl_estimated_costs_quantities[[#This Row],[Accessibility Adaptations]]*BOQs!$L$16</f>
        <v>0</v>
      </c>
      <c r="AY310" s="86" t="str">
        <f>IF(tbl_estimated_costs_quantities[[#This Row],[Total cost]]&lt;&gt;0,tbl_estimated_costs_quantities[[#This Row],[Total cost]]/BOQs!$A$1,"")</f>
        <v/>
      </c>
      <c r="AZ310" s="37"/>
      <c r="BA310" s="37"/>
      <c r="BB310" s="37"/>
      <c r="BC310" s="37"/>
      <c r="BD310" s="41"/>
      <c r="BE310" s="37"/>
      <c r="BF310" s="37"/>
      <c r="BG310" s="37"/>
      <c r="BH310" s="41"/>
    </row>
    <row r="311" spans="2:60" ht="25.15" customHeight="1" x14ac:dyDescent="0.25">
      <c r="B311" s="49">
        <v>307</v>
      </c>
      <c r="C311" s="37"/>
      <c r="D311" s="41"/>
      <c r="E311" s="40"/>
      <c r="F311" s="87" t="str">
        <f>IF(tbl_estimated_costs_quantities[[#This Row],[House Code]]&lt;&gt;"",INDEX(tbl_Assessment[],MATCH(tbl_estimated_costs_quantities[[#This Row],[House Code]],tbl_Assessment[House Code],0),3),"")</f>
        <v/>
      </c>
      <c r="G311" s="115" t="str">
        <f>IF(tbl_estimated_costs_quantities[[#This Row],[House Code]]&lt;&gt;"",INDEX(tbl_Assessment[],MATCH(tbl_estimated_costs_quantities[[#This Row],[House Code]],tbl_Assessment[House Code],0),9),"")</f>
        <v/>
      </c>
      <c r="H31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1" s="75"/>
      <c r="J311" s="37"/>
      <c r="K311" s="86">
        <f>tbl_estimated_costs_quantities[[#This Row],[Site Preparation]]*BOQs!$L$3</f>
        <v>0</v>
      </c>
      <c r="L311" s="76"/>
      <c r="M311" s="37"/>
      <c r="N311" s="86">
        <f>tbl_estimated_costs_quantities[[#This Row],[Demolition Removal Unsafe Structures]]*BOQs!$L$4</f>
        <v>0</v>
      </c>
      <c r="O311" s="76"/>
      <c r="P311" s="37"/>
      <c r="Q311" s="86">
        <f>tbl_estimated_costs_quantities[[#This Row],[Concrete Works]]*BOQs!$L$5</f>
        <v>0</v>
      </c>
      <c r="R311" s="76"/>
      <c r="S311" s="37"/>
      <c r="T311" s="86">
        <f>tbl_estimated_costs_quantities[[#This Row],[Closure External Openings Walls Windows]]*BOQs!$L$6</f>
        <v>0</v>
      </c>
      <c r="U311" s="76"/>
      <c r="V311" s="37"/>
      <c r="W311" s="86">
        <f>tbl_estimated_costs_quantities[[#This Row],[Plastering Painting]]*BOQs!$L$7</f>
        <v>0</v>
      </c>
      <c r="X311" s="76"/>
      <c r="Y311" s="37"/>
      <c r="Z311" s="86">
        <f>tbl_estimated_costs_quantities[[#This Row],[Floor Repairs]]*BOQs!$L$8</f>
        <v>0</v>
      </c>
      <c r="AA311" s="76"/>
      <c r="AB311" s="37"/>
      <c r="AC311" s="86">
        <f>tbl_estimated_costs_quantities[[#This Row],[Doors Replacement Repair]]*BOQs!$L$9</f>
        <v>0</v>
      </c>
      <c r="AD311" s="76"/>
      <c r="AE311" s="37"/>
      <c r="AF311" s="86">
        <f>tbl_estimated_costs_quantities[[#This Row],[Windows Replacement Repair]]*BOQs!$L$10</f>
        <v>0</v>
      </c>
      <c r="AG311" s="76"/>
      <c r="AH311" s="37"/>
      <c r="AI311" s="86">
        <f>tbl_estimated_costs_quantities[[#This Row],[Bathroom Rehabilitation]]*BOQs!$L$11</f>
        <v>0</v>
      </c>
      <c r="AJ311" s="76"/>
      <c r="AK311" s="37"/>
      <c r="AL311" s="86">
        <f>tbl_estimated_costs_quantities[[#This Row],[Ceramic Tile Works WASH]]*BOQs!$L$12</f>
        <v>0</v>
      </c>
      <c r="AM311" s="76"/>
      <c r="AN311" s="37"/>
      <c r="AO311" s="86">
        <f>tbl_estimated_costs_quantities[[#This Row],[Electrical Repairs Lighting]]*BOQs!$L$13</f>
        <v>0</v>
      </c>
      <c r="AP311" s="76"/>
      <c r="AQ311" s="37"/>
      <c r="AR311" s="86">
        <f>tbl_estimated_costs_quantities[[#This Row],[Roof Insulation Leak Sealing]]*BOQs!$L$14</f>
        <v>0</v>
      </c>
      <c r="AS311" s="76"/>
      <c r="AT311" s="37"/>
      <c r="AU311" s="86">
        <f>tbl_estimated_costs_quantities[[#This Row],[Chimney Duct Cleaning Repair]]*BOQs!$L$15</f>
        <v>0</v>
      </c>
      <c r="AV311" s="76"/>
      <c r="AW311" s="37"/>
      <c r="AX311" s="89">
        <f>tbl_estimated_costs_quantities[[#This Row],[Accessibility Adaptations]]*BOQs!$L$16</f>
        <v>0</v>
      </c>
      <c r="AY311" s="86" t="str">
        <f>IF(tbl_estimated_costs_quantities[[#This Row],[Total cost]]&lt;&gt;0,tbl_estimated_costs_quantities[[#This Row],[Total cost]]/BOQs!$A$1,"")</f>
        <v/>
      </c>
      <c r="AZ311" s="37"/>
      <c r="BA311" s="37"/>
      <c r="BB311" s="37"/>
      <c r="BC311" s="37"/>
      <c r="BD311" s="41"/>
      <c r="BE311" s="37"/>
      <c r="BF311" s="37"/>
      <c r="BG311" s="37"/>
      <c r="BH311" s="41"/>
    </row>
    <row r="312" spans="2:60" ht="25.15" customHeight="1" x14ac:dyDescent="0.25">
      <c r="B312" s="49">
        <v>308</v>
      </c>
      <c r="C312" s="37"/>
      <c r="D312" s="41"/>
      <c r="E312" s="40"/>
      <c r="F312" s="87" t="str">
        <f>IF(tbl_estimated_costs_quantities[[#This Row],[House Code]]&lt;&gt;"",INDEX(tbl_Assessment[],MATCH(tbl_estimated_costs_quantities[[#This Row],[House Code]],tbl_Assessment[House Code],0),3),"")</f>
        <v/>
      </c>
      <c r="G312" s="115" t="str">
        <f>IF(tbl_estimated_costs_quantities[[#This Row],[House Code]]&lt;&gt;"",INDEX(tbl_Assessment[],MATCH(tbl_estimated_costs_quantities[[#This Row],[House Code]],tbl_Assessment[House Code],0),9),"")</f>
        <v/>
      </c>
      <c r="H31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2" s="75"/>
      <c r="J312" s="37"/>
      <c r="K312" s="86">
        <f>tbl_estimated_costs_quantities[[#This Row],[Site Preparation]]*BOQs!$L$3</f>
        <v>0</v>
      </c>
      <c r="L312" s="76"/>
      <c r="M312" s="37"/>
      <c r="N312" s="86">
        <f>tbl_estimated_costs_quantities[[#This Row],[Demolition Removal Unsafe Structures]]*BOQs!$L$4</f>
        <v>0</v>
      </c>
      <c r="O312" s="76"/>
      <c r="P312" s="37"/>
      <c r="Q312" s="86">
        <f>tbl_estimated_costs_quantities[[#This Row],[Concrete Works]]*BOQs!$L$5</f>
        <v>0</v>
      </c>
      <c r="R312" s="76"/>
      <c r="S312" s="37"/>
      <c r="T312" s="86">
        <f>tbl_estimated_costs_quantities[[#This Row],[Closure External Openings Walls Windows]]*BOQs!$L$6</f>
        <v>0</v>
      </c>
      <c r="U312" s="76"/>
      <c r="V312" s="37"/>
      <c r="W312" s="86">
        <f>tbl_estimated_costs_quantities[[#This Row],[Plastering Painting]]*BOQs!$L$7</f>
        <v>0</v>
      </c>
      <c r="X312" s="76"/>
      <c r="Y312" s="37"/>
      <c r="Z312" s="86">
        <f>tbl_estimated_costs_quantities[[#This Row],[Floor Repairs]]*BOQs!$L$8</f>
        <v>0</v>
      </c>
      <c r="AA312" s="76"/>
      <c r="AB312" s="37"/>
      <c r="AC312" s="86">
        <f>tbl_estimated_costs_quantities[[#This Row],[Doors Replacement Repair]]*BOQs!$L$9</f>
        <v>0</v>
      </c>
      <c r="AD312" s="76"/>
      <c r="AE312" s="37"/>
      <c r="AF312" s="86">
        <f>tbl_estimated_costs_quantities[[#This Row],[Windows Replacement Repair]]*BOQs!$L$10</f>
        <v>0</v>
      </c>
      <c r="AG312" s="76"/>
      <c r="AH312" s="37"/>
      <c r="AI312" s="86">
        <f>tbl_estimated_costs_quantities[[#This Row],[Bathroom Rehabilitation]]*BOQs!$L$11</f>
        <v>0</v>
      </c>
      <c r="AJ312" s="76"/>
      <c r="AK312" s="37"/>
      <c r="AL312" s="86">
        <f>tbl_estimated_costs_quantities[[#This Row],[Ceramic Tile Works WASH]]*BOQs!$L$12</f>
        <v>0</v>
      </c>
      <c r="AM312" s="76"/>
      <c r="AN312" s="37"/>
      <c r="AO312" s="86">
        <f>tbl_estimated_costs_quantities[[#This Row],[Electrical Repairs Lighting]]*BOQs!$L$13</f>
        <v>0</v>
      </c>
      <c r="AP312" s="76"/>
      <c r="AQ312" s="37"/>
      <c r="AR312" s="86">
        <f>tbl_estimated_costs_quantities[[#This Row],[Roof Insulation Leak Sealing]]*BOQs!$L$14</f>
        <v>0</v>
      </c>
      <c r="AS312" s="76"/>
      <c r="AT312" s="37"/>
      <c r="AU312" s="86">
        <f>tbl_estimated_costs_quantities[[#This Row],[Chimney Duct Cleaning Repair]]*BOQs!$L$15</f>
        <v>0</v>
      </c>
      <c r="AV312" s="76"/>
      <c r="AW312" s="37"/>
      <c r="AX312" s="89">
        <f>tbl_estimated_costs_quantities[[#This Row],[Accessibility Adaptations]]*BOQs!$L$16</f>
        <v>0</v>
      </c>
      <c r="AY312" s="86" t="str">
        <f>IF(tbl_estimated_costs_quantities[[#This Row],[Total cost]]&lt;&gt;0,tbl_estimated_costs_quantities[[#This Row],[Total cost]]/BOQs!$A$1,"")</f>
        <v/>
      </c>
      <c r="AZ312" s="37"/>
      <c r="BA312" s="37"/>
      <c r="BB312" s="37"/>
      <c r="BC312" s="37"/>
      <c r="BD312" s="41"/>
      <c r="BE312" s="37"/>
      <c r="BF312" s="37"/>
      <c r="BG312" s="37"/>
      <c r="BH312" s="41"/>
    </row>
    <row r="313" spans="2:60" ht="25.15" customHeight="1" x14ac:dyDescent="0.25">
      <c r="B313" s="49">
        <v>309</v>
      </c>
      <c r="C313" s="37"/>
      <c r="D313" s="41"/>
      <c r="E313" s="40"/>
      <c r="F313" s="87" t="str">
        <f>IF(tbl_estimated_costs_quantities[[#This Row],[House Code]]&lt;&gt;"",INDEX(tbl_Assessment[],MATCH(tbl_estimated_costs_quantities[[#This Row],[House Code]],tbl_Assessment[House Code],0),3),"")</f>
        <v/>
      </c>
      <c r="G313" s="115" t="str">
        <f>IF(tbl_estimated_costs_quantities[[#This Row],[House Code]]&lt;&gt;"",INDEX(tbl_Assessment[],MATCH(tbl_estimated_costs_quantities[[#This Row],[House Code]],tbl_Assessment[House Code],0),9),"")</f>
        <v/>
      </c>
      <c r="H31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3" s="75"/>
      <c r="J313" s="37"/>
      <c r="K313" s="86">
        <f>tbl_estimated_costs_quantities[[#This Row],[Site Preparation]]*BOQs!$L$3</f>
        <v>0</v>
      </c>
      <c r="L313" s="76"/>
      <c r="M313" s="37"/>
      <c r="N313" s="86">
        <f>tbl_estimated_costs_quantities[[#This Row],[Demolition Removal Unsafe Structures]]*BOQs!$L$4</f>
        <v>0</v>
      </c>
      <c r="O313" s="76"/>
      <c r="P313" s="37"/>
      <c r="Q313" s="86">
        <f>tbl_estimated_costs_quantities[[#This Row],[Concrete Works]]*BOQs!$L$5</f>
        <v>0</v>
      </c>
      <c r="R313" s="76"/>
      <c r="S313" s="37"/>
      <c r="T313" s="86">
        <f>tbl_estimated_costs_quantities[[#This Row],[Closure External Openings Walls Windows]]*BOQs!$L$6</f>
        <v>0</v>
      </c>
      <c r="U313" s="76"/>
      <c r="V313" s="37"/>
      <c r="W313" s="86">
        <f>tbl_estimated_costs_quantities[[#This Row],[Plastering Painting]]*BOQs!$L$7</f>
        <v>0</v>
      </c>
      <c r="X313" s="76"/>
      <c r="Y313" s="37"/>
      <c r="Z313" s="86">
        <f>tbl_estimated_costs_quantities[[#This Row],[Floor Repairs]]*BOQs!$L$8</f>
        <v>0</v>
      </c>
      <c r="AA313" s="76"/>
      <c r="AB313" s="37"/>
      <c r="AC313" s="86">
        <f>tbl_estimated_costs_quantities[[#This Row],[Doors Replacement Repair]]*BOQs!$L$9</f>
        <v>0</v>
      </c>
      <c r="AD313" s="76"/>
      <c r="AE313" s="37"/>
      <c r="AF313" s="86">
        <f>tbl_estimated_costs_quantities[[#This Row],[Windows Replacement Repair]]*BOQs!$L$10</f>
        <v>0</v>
      </c>
      <c r="AG313" s="76"/>
      <c r="AH313" s="37"/>
      <c r="AI313" s="86">
        <f>tbl_estimated_costs_quantities[[#This Row],[Bathroom Rehabilitation]]*BOQs!$L$11</f>
        <v>0</v>
      </c>
      <c r="AJ313" s="76"/>
      <c r="AK313" s="37"/>
      <c r="AL313" s="86">
        <f>tbl_estimated_costs_quantities[[#This Row],[Ceramic Tile Works WASH]]*BOQs!$L$12</f>
        <v>0</v>
      </c>
      <c r="AM313" s="76"/>
      <c r="AN313" s="37"/>
      <c r="AO313" s="86">
        <f>tbl_estimated_costs_quantities[[#This Row],[Electrical Repairs Lighting]]*BOQs!$L$13</f>
        <v>0</v>
      </c>
      <c r="AP313" s="76"/>
      <c r="AQ313" s="37"/>
      <c r="AR313" s="86">
        <f>tbl_estimated_costs_quantities[[#This Row],[Roof Insulation Leak Sealing]]*BOQs!$L$14</f>
        <v>0</v>
      </c>
      <c r="AS313" s="76"/>
      <c r="AT313" s="37"/>
      <c r="AU313" s="86">
        <f>tbl_estimated_costs_quantities[[#This Row],[Chimney Duct Cleaning Repair]]*BOQs!$L$15</f>
        <v>0</v>
      </c>
      <c r="AV313" s="76"/>
      <c r="AW313" s="37"/>
      <c r="AX313" s="89">
        <f>tbl_estimated_costs_quantities[[#This Row],[Accessibility Adaptations]]*BOQs!$L$16</f>
        <v>0</v>
      </c>
      <c r="AY313" s="86" t="str">
        <f>IF(tbl_estimated_costs_quantities[[#This Row],[Total cost]]&lt;&gt;0,tbl_estimated_costs_quantities[[#This Row],[Total cost]]/BOQs!$A$1,"")</f>
        <v/>
      </c>
      <c r="AZ313" s="37"/>
      <c r="BA313" s="37"/>
      <c r="BB313" s="37"/>
      <c r="BC313" s="37"/>
      <c r="BD313" s="41"/>
      <c r="BE313" s="37"/>
      <c r="BF313" s="37"/>
      <c r="BG313" s="37"/>
      <c r="BH313" s="41"/>
    </row>
    <row r="314" spans="2:60" ht="25.15" customHeight="1" x14ac:dyDescent="0.25">
      <c r="B314" s="49">
        <v>310</v>
      </c>
      <c r="C314" s="37"/>
      <c r="D314" s="41"/>
      <c r="E314" s="40"/>
      <c r="F314" s="87" t="str">
        <f>IF(tbl_estimated_costs_quantities[[#This Row],[House Code]]&lt;&gt;"",INDEX(tbl_Assessment[],MATCH(tbl_estimated_costs_quantities[[#This Row],[House Code]],tbl_Assessment[House Code],0),3),"")</f>
        <v/>
      </c>
      <c r="G314" s="115" t="str">
        <f>IF(tbl_estimated_costs_quantities[[#This Row],[House Code]]&lt;&gt;"",INDEX(tbl_Assessment[],MATCH(tbl_estimated_costs_quantities[[#This Row],[House Code]],tbl_Assessment[House Code],0),9),"")</f>
        <v/>
      </c>
      <c r="H31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4" s="75"/>
      <c r="J314" s="37"/>
      <c r="K314" s="86">
        <f>tbl_estimated_costs_quantities[[#This Row],[Site Preparation]]*BOQs!$L$3</f>
        <v>0</v>
      </c>
      <c r="L314" s="76"/>
      <c r="M314" s="37"/>
      <c r="N314" s="86">
        <f>tbl_estimated_costs_quantities[[#This Row],[Demolition Removal Unsafe Structures]]*BOQs!$L$4</f>
        <v>0</v>
      </c>
      <c r="O314" s="76"/>
      <c r="P314" s="37"/>
      <c r="Q314" s="86">
        <f>tbl_estimated_costs_quantities[[#This Row],[Concrete Works]]*BOQs!$L$5</f>
        <v>0</v>
      </c>
      <c r="R314" s="76"/>
      <c r="S314" s="37"/>
      <c r="T314" s="86">
        <f>tbl_estimated_costs_quantities[[#This Row],[Closure External Openings Walls Windows]]*BOQs!$L$6</f>
        <v>0</v>
      </c>
      <c r="U314" s="76"/>
      <c r="V314" s="37"/>
      <c r="W314" s="86">
        <f>tbl_estimated_costs_quantities[[#This Row],[Plastering Painting]]*BOQs!$L$7</f>
        <v>0</v>
      </c>
      <c r="X314" s="76"/>
      <c r="Y314" s="37"/>
      <c r="Z314" s="86">
        <f>tbl_estimated_costs_quantities[[#This Row],[Floor Repairs]]*BOQs!$L$8</f>
        <v>0</v>
      </c>
      <c r="AA314" s="76"/>
      <c r="AB314" s="37"/>
      <c r="AC314" s="86">
        <f>tbl_estimated_costs_quantities[[#This Row],[Doors Replacement Repair]]*BOQs!$L$9</f>
        <v>0</v>
      </c>
      <c r="AD314" s="76"/>
      <c r="AE314" s="37"/>
      <c r="AF314" s="86">
        <f>tbl_estimated_costs_quantities[[#This Row],[Windows Replacement Repair]]*BOQs!$L$10</f>
        <v>0</v>
      </c>
      <c r="AG314" s="76"/>
      <c r="AH314" s="37"/>
      <c r="AI314" s="86">
        <f>tbl_estimated_costs_quantities[[#This Row],[Bathroom Rehabilitation]]*BOQs!$L$11</f>
        <v>0</v>
      </c>
      <c r="AJ314" s="76"/>
      <c r="AK314" s="37"/>
      <c r="AL314" s="86">
        <f>tbl_estimated_costs_quantities[[#This Row],[Ceramic Tile Works WASH]]*BOQs!$L$12</f>
        <v>0</v>
      </c>
      <c r="AM314" s="76"/>
      <c r="AN314" s="37"/>
      <c r="AO314" s="86">
        <f>tbl_estimated_costs_quantities[[#This Row],[Electrical Repairs Lighting]]*BOQs!$L$13</f>
        <v>0</v>
      </c>
      <c r="AP314" s="76"/>
      <c r="AQ314" s="37"/>
      <c r="AR314" s="86">
        <f>tbl_estimated_costs_quantities[[#This Row],[Roof Insulation Leak Sealing]]*BOQs!$L$14</f>
        <v>0</v>
      </c>
      <c r="AS314" s="76"/>
      <c r="AT314" s="37"/>
      <c r="AU314" s="86">
        <f>tbl_estimated_costs_quantities[[#This Row],[Chimney Duct Cleaning Repair]]*BOQs!$L$15</f>
        <v>0</v>
      </c>
      <c r="AV314" s="76"/>
      <c r="AW314" s="37"/>
      <c r="AX314" s="89">
        <f>tbl_estimated_costs_quantities[[#This Row],[Accessibility Adaptations]]*BOQs!$L$16</f>
        <v>0</v>
      </c>
      <c r="AY314" s="86" t="str">
        <f>IF(tbl_estimated_costs_quantities[[#This Row],[Total cost]]&lt;&gt;0,tbl_estimated_costs_quantities[[#This Row],[Total cost]]/BOQs!$A$1,"")</f>
        <v/>
      </c>
      <c r="AZ314" s="37"/>
      <c r="BA314" s="37"/>
      <c r="BB314" s="37"/>
      <c r="BC314" s="37"/>
      <c r="BD314" s="41"/>
      <c r="BE314" s="37"/>
      <c r="BF314" s="37"/>
      <c r="BG314" s="37"/>
      <c r="BH314" s="41"/>
    </row>
    <row r="315" spans="2:60" ht="25.15" customHeight="1" x14ac:dyDescent="0.25">
      <c r="B315" s="49">
        <v>311</v>
      </c>
      <c r="C315" s="37"/>
      <c r="D315" s="41"/>
      <c r="E315" s="40"/>
      <c r="F315" s="87" t="str">
        <f>IF(tbl_estimated_costs_quantities[[#This Row],[House Code]]&lt;&gt;"",INDEX(tbl_Assessment[],MATCH(tbl_estimated_costs_quantities[[#This Row],[House Code]],tbl_Assessment[House Code],0),3),"")</f>
        <v/>
      </c>
      <c r="G315" s="115" t="str">
        <f>IF(tbl_estimated_costs_quantities[[#This Row],[House Code]]&lt;&gt;"",INDEX(tbl_Assessment[],MATCH(tbl_estimated_costs_quantities[[#This Row],[House Code]],tbl_Assessment[House Code],0),9),"")</f>
        <v/>
      </c>
      <c r="H31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5" s="75"/>
      <c r="J315" s="37"/>
      <c r="K315" s="86">
        <f>tbl_estimated_costs_quantities[[#This Row],[Site Preparation]]*BOQs!$L$3</f>
        <v>0</v>
      </c>
      <c r="L315" s="76"/>
      <c r="M315" s="37"/>
      <c r="N315" s="86">
        <f>tbl_estimated_costs_quantities[[#This Row],[Demolition Removal Unsafe Structures]]*BOQs!$L$4</f>
        <v>0</v>
      </c>
      <c r="O315" s="76"/>
      <c r="P315" s="37"/>
      <c r="Q315" s="86">
        <f>tbl_estimated_costs_quantities[[#This Row],[Concrete Works]]*BOQs!$L$5</f>
        <v>0</v>
      </c>
      <c r="R315" s="76"/>
      <c r="S315" s="37"/>
      <c r="T315" s="86">
        <f>tbl_estimated_costs_quantities[[#This Row],[Closure External Openings Walls Windows]]*BOQs!$L$6</f>
        <v>0</v>
      </c>
      <c r="U315" s="76"/>
      <c r="V315" s="37"/>
      <c r="W315" s="86">
        <f>tbl_estimated_costs_quantities[[#This Row],[Plastering Painting]]*BOQs!$L$7</f>
        <v>0</v>
      </c>
      <c r="X315" s="76"/>
      <c r="Y315" s="37"/>
      <c r="Z315" s="86">
        <f>tbl_estimated_costs_quantities[[#This Row],[Floor Repairs]]*BOQs!$L$8</f>
        <v>0</v>
      </c>
      <c r="AA315" s="76"/>
      <c r="AB315" s="37"/>
      <c r="AC315" s="86">
        <f>tbl_estimated_costs_quantities[[#This Row],[Doors Replacement Repair]]*BOQs!$L$9</f>
        <v>0</v>
      </c>
      <c r="AD315" s="76"/>
      <c r="AE315" s="37"/>
      <c r="AF315" s="86">
        <f>tbl_estimated_costs_quantities[[#This Row],[Windows Replacement Repair]]*BOQs!$L$10</f>
        <v>0</v>
      </c>
      <c r="AG315" s="76"/>
      <c r="AH315" s="37"/>
      <c r="AI315" s="86">
        <f>tbl_estimated_costs_quantities[[#This Row],[Bathroom Rehabilitation]]*BOQs!$L$11</f>
        <v>0</v>
      </c>
      <c r="AJ315" s="76"/>
      <c r="AK315" s="37"/>
      <c r="AL315" s="86">
        <f>tbl_estimated_costs_quantities[[#This Row],[Ceramic Tile Works WASH]]*BOQs!$L$12</f>
        <v>0</v>
      </c>
      <c r="AM315" s="76"/>
      <c r="AN315" s="37"/>
      <c r="AO315" s="86">
        <f>tbl_estimated_costs_quantities[[#This Row],[Electrical Repairs Lighting]]*BOQs!$L$13</f>
        <v>0</v>
      </c>
      <c r="AP315" s="76"/>
      <c r="AQ315" s="37"/>
      <c r="AR315" s="86">
        <f>tbl_estimated_costs_quantities[[#This Row],[Roof Insulation Leak Sealing]]*BOQs!$L$14</f>
        <v>0</v>
      </c>
      <c r="AS315" s="76"/>
      <c r="AT315" s="37"/>
      <c r="AU315" s="86">
        <f>tbl_estimated_costs_quantities[[#This Row],[Chimney Duct Cleaning Repair]]*BOQs!$L$15</f>
        <v>0</v>
      </c>
      <c r="AV315" s="76"/>
      <c r="AW315" s="37"/>
      <c r="AX315" s="89">
        <f>tbl_estimated_costs_quantities[[#This Row],[Accessibility Adaptations]]*BOQs!$L$16</f>
        <v>0</v>
      </c>
      <c r="AY315" s="86" t="str">
        <f>IF(tbl_estimated_costs_quantities[[#This Row],[Total cost]]&lt;&gt;0,tbl_estimated_costs_quantities[[#This Row],[Total cost]]/BOQs!$A$1,"")</f>
        <v/>
      </c>
      <c r="AZ315" s="37"/>
      <c r="BA315" s="37"/>
      <c r="BB315" s="37"/>
      <c r="BC315" s="37"/>
      <c r="BD315" s="41"/>
      <c r="BE315" s="37"/>
      <c r="BF315" s="37"/>
      <c r="BG315" s="37"/>
      <c r="BH315" s="41"/>
    </row>
    <row r="316" spans="2:60" ht="25.15" customHeight="1" x14ac:dyDescent="0.25">
      <c r="B316" s="49">
        <v>312</v>
      </c>
      <c r="C316" s="37"/>
      <c r="D316" s="41"/>
      <c r="E316" s="40"/>
      <c r="F316" s="87" t="str">
        <f>IF(tbl_estimated_costs_quantities[[#This Row],[House Code]]&lt;&gt;"",INDEX(tbl_Assessment[],MATCH(tbl_estimated_costs_quantities[[#This Row],[House Code]],tbl_Assessment[House Code],0),3),"")</f>
        <v/>
      </c>
      <c r="G316" s="115" t="str">
        <f>IF(tbl_estimated_costs_quantities[[#This Row],[House Code]]&lt;&gt;"",INDEX(tbl_Assessment[],MATCH(tbl_estimated_costs_quantities[[#This Row],[House Code]],tbl_Assessment[House Code],0),9),"")</f>
        <v/>
      </c>
      <c r="H31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6" s="75"/>
      <c r="J316" s="37"/>
      <c r="K316" s="86">
        <f>tbl_estimated_costs_quantities[[#This Row],[Site Preparation]]*BOQs!$L$3</f>
        <v>0</v>
      </c>
      <c r="L316" s="76"/>
      <c r="M316" s="37"/>
      <c r="N316" s="86">
        <f>tbl_estimated_costs_quantities[[#This Row],[Demolition Removal Unsafe Structures]]*BOQs!$L$4</f>
        <v>0</v>
      </c>
      <c r="O316" s="76"/>
      <c r="P316" s="37"/>
      <c r="Q316" s="86">
        <f>tbl_estimated_costs_quantities[[#This Row],[Concrete Works]]*BOQs!$L$5</f>
        <v>0</v>
      </c>
      <c r="R316" s="76"/>
      <c r="S316" s="37"/>
      <c r="T316" s="86">
        <f>tbl_estimated_costs_quantities[[#This Row],[Closure External Openings Walls Windows]]*BOQs!$L$6</f>
        <v>0</v>
      </c>
      <c r="U316" s="76"/>
      <c r="V316" s="37"/>
      <c r="W316" s="86">
        <f>tbl_estimated_costs_quantities[[#This Row],[Plastering Painting]]*BOQs!$L$7</f>
        <v>0</v>
      </c>
      <c r="X316" s="76"/>
      <c r="Y316" s="37"/>
      <c r="Z316" s="86">
        <f>tbl_estimated_costs_quantities[[#This Row],[Floor Repairs]]*BOQs!$L$8</f>
        <v>0</v>
      </c>
      <c r="AA316" s="76"/>
      <c r="AB316" s="37"/>
      <c r="AC316" s="86">
        <f>tbl_estimated_costs_quantities[[#This Row],[Doors Replacement Repair]]*BOQs!$L$9</f>
        <v>0</v>
      </c>
      <c r="AD316" s="76"/>
      <c r="AE316" s="37"/>
      <c r="AF316" s="86">
        <f>tbl_estimated_costs_quantities[[#This Row],[Windows Replacement Repair]]*BOQs!$L$10</f>
        <v>0</v>
      </c>
      <c r="AG316" s="76"/>
      <c r="AH316" s="37"/>
      <c r="AI316" s="86">
        <f>tbl_estimated_costs_quantities[[#This Row],[Bathroom Rehabilitation]]*BOQs!$L$11</f>
        <v>0</v>
      </c>
      <c r="AJ316" s="76"/>
      <c r="AK316" s="37"/>
      <c r="AL316" s="86">
        <f>tbl_estimated_costs_quantities[[#This Row],[Ceramic Tile Works WASH]]*BOQs!$L$12</f>
        <v>0</v>
      </c>
      <c r="AM316" s="76"/>
      <c r="AN316" s="37"/>
      <c r="AO316" s="86">
        <f>tbl_estimated_costs_quantities[[#This Row],[Electrical Repairs Lighting]]*BOQs!$L$13</f>
        <v>0</v>
      </c>
      <c r="AP316" s="76"/>
      <c r="AQ316" s="37"/>
      <c r="AR316" s="86">
        <f>tbl_estimated_costs_quantities[[#This Row],[Roof Insulation Leak Sealing]]*BOQs!$L$14</f>
        <v>0</v>
      </c>
      <c r="AS316" s="76"/>
      <c r="AT316" s="37"/>
      <c r="AU316" s="86">
        <f>tbl_estimated_costs_quantities[[#This Row],[Chimney Duct Cleaning Repair]]*BOQs!$L$15</f>
        <v>0</v>
      </c>
      <c r="AV316" s="76"/>
      <c r="AW316" s="37"/>
      <c r="AX316" s="89">
        <f>tbl_estimated_costs_quantities[[#This Row],[Accessibility Adaptations]]*BOQs!$L$16</f>
        <v>0</v>
      </c>
      <c r="AY316" s="86" t="str">
        <f>IF(tbl_estimated_costs_quantities[[#This Row],[Total cost]]&lt;&gt;0,tbl_estimated_costs_quantities[[#This Row],[Total cost]]/BOQs!$A$1,"")</f>
        <v/>
      </c>
      <c r="AZ316" s="37"/>
      <c r="BA316" s="37"/>
      <c r="BB316" s="37"/>
      <c r="BC316" s="37"/>
      <c r="BD316" s="41"/>
      <c r="BE316" s="37"/>
      <c r="BF316" s="37"/>
      <c r="BG316" s="37"/>
      <c r="BH316" s="41"/>
    </row>
    <row r="317" spans="2:60" ht="25.15" customHeight="1" x14ac:dyDescent="0.25">
      <c r="B317" s="49">
        <v>313</v>
      </c>
      <c r="C317" s="37"/>
      <c r="D317" s="41"/>
      <c r="E317" s="40"/>
      <c r="F317" s="87" t="str">
        <f>IF(tbl_estimated_costs_quantities[[#This Row],[House Code]]&lt;&gt;"",INDEX(tbl_Assessment[],MATCH(tbl_estimated_costs_quantities[[#This Row],[House Code]],tbl_Assessment[House Code],0),3),"")</f>
        <v/>
      </c>
      <c r="G317" s="115" t="str">
        <f>IF(tbl_estimated_costs_quantities[[#This Row],[House Code]]&lt;&gt;"",INDEX(tbl_Assessment[],MATCH(tbl_estimated_costs_quantities[[#This Row],[House Code]],tbl_Assessment[House Code],0),9),"")</f>
        <v/>
      </c>
      <c r="H31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7" s="75"/>
      <c r="J317" s="37"/>
      <c r="K317" s="86">
        <f>tbl_estimated_costs_quantities[[#This Row],[Site Preparation]]*BOQs!$L$3</f>
        <v>0</v>
      </c>
      <c r="L317" s="76"/>
      <c r="M317" s="37"/>
      <c r="N317" s="86">
        <f>tbl_estimated_costs_quantities[[#This Row],[Demolition Removal Unsafe Structures]]*BOQs!$L$4</f>
        <v>0</v>
      </c>
      <c r="O317" s="76"/>
      <c r="P317" s="37"/>
      <c r="Q317" s="86">
        <f>tbl_estimated_costs_quantities[[#This Row],[Concrete Works]]*BOQs!$L$5</f>
        <v>0</v>
      </c>
      <c r="R317" s="76"/>
      <c r="S317" s="37"/>
      <c r="T317" s="86">
        <f>tbl_estimated_costs_quantities[[#This Row],[Closure External Openings Walls Windows]]*BOQs!$L$6</f>
        <v>0</v>
      </c>
      <c r="U317" s="76"/>
      <c r="V317" s="37"/>
      <c r="W317" s="86">
        <f>tbl_estimated_costs_quantities[[#This Row],[Plastering Painting]]*BOQs!$L$7</f>
        <v>0</v>
      </c>
      <c r="X317" s="76"/>
      <c r="Y317" s="37"/>
      <c r="Z317" s="86">
        <f>tbl_estimated_costs_quantities[[#This Row],[Floor Repairs]]*BOQs!$L$8</f>
        <v>0</v>
      </c>
      <c r="AA317" s="76"/>
      <c r="AB317" s="37"/>
      <c r="AC317" s="86">
        <f>tbl_estimated_costs_quantities[[#This Row],[Doors Replacement Repair]]*BOQs!$L$9</f>
        <v>0</v>
      </c>
      <c r="AD317" s="76"/>
      <c r="AE317" s="37"/>
      <c r="AF317" s="86">
        <f>tbl_estimated_costs_quantities[[#This Row],[Windows Replacement Repair]]*BOQs!$L$10</f>
        <v>0</v>
      </c>
      <c r="AG317" s="76"/>
      <c r="AH317" s="37"/>
      <c r="AI317" s="86">
        <f>tbl_estimated_costs_quantities[[#This Row],[Bathroom Rehabilitation]]*BOQs!$L$11</f>
        <v>0</v>
      </c>
      <c r="AJ317" s="76"/>
      <c r="AK317" s="37"/>
      <c r="AL317" s="86">
        <f>tbl_estimated_costs_quantities[[#This Row],[Ceramic Tile Works WASH]]*BOQs!$L$12</f>
        <v>0</v>
      </c>
      <c r="AM317" s="76"/>
      <c r="AN317" s="37"/>
      <c r="AO317" s="86">
        <f>tbl_estimated_costs_quantities[[#This Row],[Electrical Repairs Lighting]]*BOQs!$L$13</f>
        <v>0</v>
      </c>
      <c r="AP317" s="76"/>
      <c r="AQ317" s="37"/>
      <c r="AR317" s="86">
        <f>tbl_estimated_costs_quantities[[#This Row],[Roof Insulation Leak Sealing]]*BOQs!$L$14</f>
        <v>0</v>
      </c>
      <c r="AS317" s="76"/>
      <c r="AT317" s="37"/>
      <c r="AU317" s="86">
        <f>tbl_estimated_costs_quantities[[#This Row],[Chimney Duct Cleaning Repair]]*BOQs!$L$15</f>
        <v>0</v>
      </c>
      <c r="AV317" s="76"/>
      <c r="AW317" s="37"/>
      <c r="AX317" s="89">
        <f>tbl_estimated_costs_quantities[[#This Row],[Accessibility Adaptations]]*BOQs!$L$16</f>
        <v>0</v>
      </c>
      <c r="AY317" s="86" t="str">
        <f>IF(tbl_estimated_costs_quantities[[#This Row],[Total cost]]&lt;&gt;0,tbl_estimated_costs_quantities[[#This Row],[Total cost]]/BOQs!$A$1,"")</f>
        <v/>
      </c>
      <c r="AZ317" s="37"/>
      <c r="BA317" s="37"/>
      <c r="BB317" s="37"/>
      <c r="BC317" s="37"/>
      <c r="BD317" s="41"/>
      <c r="BE317" s="37"/>
      <c r="BF317" s="37"/>
      <c r="BG317" s="37"/>
      <c r="BH317" s="41"/>
    </row>
    <row r="318" spans="2:60" ht="25.15" customHeight="1" x14ac:dyDescent="0.25">
      <c r="B318" s="49">
        <v>314</v>
      </c>
      <c r="C318" s="37"/>
      <c r="D318" s="41"/>
      <c r="E318" s="40"/>
      <c r="F318" s="87" t="str">
        <f>IF(tbl_estimated_costs_quantities[[#This Row],[House Code]]&lt;&gt;"",INDEX(tbl_Assessment[],MATCH(tbl_estimated_costs_quantities[[#This Row],[House Code]],tbl_Assessment[House Code],0),3),"")</f>
        <v/>
      </c>
      <c r="G318" s="115" t="str">
        <f>IF(tbl_estimated_costs_quantities[[#This Row],[House Code]]&lt;&gt;"",INDEX(tbl_Assessment[],MATCH(tbl_estimated_costs_quantities[[#This Row],[House Code]],tbl_Assessment[House Code],0),9),"")</f>
        <v/>
      </c>
      <c r="H31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8" s="75"/>
      <c r="J318" s="37"/>
      <c r="K318" s="86">
        <f>tbl_estimated_costs_quantities[[#This Row],[Site Preparation]]*BOQs!$L$3</f>
        <v>0</v>
      </c>
      <c r="L318" s="76"/>
      <c r="M318" s="37"/>
      <c r="N318" s="86">
        <f>tbl_estimated_costs_quantities[[#This Row],[Demolition Removal Unsafe Structures]]*BOQs!$L$4</f>
        <v>0</v>
      </c>
      <c r="O318" s="76"/>
      <c r="P318" s="37"/>
      <c r="Q318" s="86">
        <f>tbl_estimated_costs_quantities[[#This Row],[Concrete Works]]*BOQs!$L$5</f>
        <v>0</v>
      </c>
      <c r="R318" s="76"/>
      <c r="S318" s="37"/>
      <c r="T318" s="86">
        <f>tbl_estimated_costs_quantities[[#This Row],[Closure External Openings Walls Windows]]*BOQs!$L$6</f>
        <v>0</v>
      </c>
      <c r="U318" s="76"/>
      <c r="V318" s="37"/>
      <c r="W318" s="86">
        <f>tbl_estimated_costs_quantities[[#This Row],[Plastering Painting]]*BOQs!$L$7</f>
        <v>0</v>
      </c>
      <c r="X318" s="76"/>
      <c r="Y318" s="37"/>
      <c r="Z318" s="86">
        <f>tbl_estimated_costs_quantities[[#This Row],[Floor Repairs]]*BOQs!$L$8</f>
        <v>0</v>
      </c>
      <c r="AA318" s="76"/>
      <c r="AB318" s="37"/>
      <c r="AC318" s="86">
        <f>tbl_estimated_costs_quantities[[#This Row],[Doors Replacement Repair]]*BOQs!$L$9</f>
        <v>0</v>
      </c>
      <c r="AD318" s="76"/>
      <c r="AE318" s="37"/>
      <c r="AF318" s="86">
        <f>tbl_estimated_costs_quantities[[#This Row],[Windows Replacement Repair]]*BOQs!$L$10</f>
        <v>0</v>
      </c>
      <c r="AG318" s="76"/>
      <c r="AH318" s="37"/>
      <c r="AI318" s="86">
        <f>tbl_estimated_costs_quantities[[#This Row],[Bathroom Rehabilitation]]*BOQs!$L$11</f>
        <v>0</v>
      </c>
      <c r="AJ318" s="76"/>
      <c r="AK318" s="37"/>
      <c r="AL318" s="86">
        <f>tbl_estimated_costs_quantities[[#This Row],[Ceramic Tile Works WASH]]*BOQs!$L$12</f>
        <v>0</v>
      </c>
      <c r="AM318" s="76"/>
      <c r="AN318" s="37"/>
      <c r="AO318" s="86">
        <f>tbl_estimated_costs_quantities[[#This Row],[Electrical Repairs Lighting]]*BOQs!$L$13</f>
        <v>0</v>
      </c>
      <c r="AP318" s="76"/>
      <c r="AQ318" s="37"/>
      <c r="AR318" s="86">
        <f>tbl_estimated_costs_quantities[[#This Row],[Roof Insulation Leak Sealing]]*BOQs!$L$14</f>
        <v>0</v>
      </c>
      <c r="AS318" s="76"/>
      <c r="AT318" s="37"/>
      <c r="AU318" s="86">
        <f>tbl_estimated_costs_quantities[[#This Row],[Chimney Duct Cleaning Repair]]*BOQs!$L$15</f>
        <v>0</v>
      </c>
      <c r="AV318" s="76"/>
      <c r="AW318" s="37"/>
      <c r="AX318" s="89">
        <f>tbl_estimated_costs_quantities[[#This Row],[Accessibility Adaptations]]*BOQs!$L$16</f>
        <v>0</v>
      </c>
      <c r="AY318" s="86" t="str">
        <f>IF(tbl_estimated_costs_quantities[[#This Row],[Total cost]]&lt;&gt;0,tbl_estimated_costs_quantities[[#This Row],[Total cost]]/BOQs!$A$1,"")</f>
        <v/>
      </c>
      <c r="AZ318" s="37"/>
      <c r="BA318" s="37"/>
      <c r="BB318" s="37"/>
      <c r="BC318" s="37"/>
      <c r="BD318" s="41"/>
      <c r="BE318" s="37"/>
      <c r="BF318" s="37"/>
      <c r="BG318" s="37"/>
      <c r="BH318" s="41"/>
    </row>
    <row r="319" spans="2:60" ht="25.15" customHeight="1" x14ac:dyDescent="0.25">
      <c r="B319" s="49">
        <v>315</v>
      </c>
      <c r="C319" s="37"/>
      <c r="D319" s="41"/>
      <c r="E319" s="40"/>
      <c r="F319" s="87" t="str">
        <f>IF(tbl_estimated_costs_quantities[[#This Row],[House Code]]&lt;&gt;"",INDEX(tbl_Assessment[],MATCH(tbl_estimated_costs_quantities[[#This Row],[House Code]],tbl_Assessment[House Code],0),3),"")</f>
        <v/>
      </c>
      <c r="G319" s="115" t="str">
        <f>IF(tbl_estimated_costs_quantities[[#This Row],[House Code]]&lt;&gt;"",INDEX(tbl_Assessment[],MATCH(tbl_estimated_costs_quantities[[#This Row],[House Code]],tbl_Assessment[House Code],0),9),"")</f>
        <v/>
      </c>
      <c r="H31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19" s="75"/>
      <c r="J319" s="37"/>
      <c r="K319" s="86">
        <f>tbl_estimated_costs_quantities[[#This Row],[Site Preparation]]*BOQs!$L$3</f>
        <v>0</v>
      </c>
      <c r="L319" s="76"/>
      <c r="M319" s="37"/>
      <c r="N319" s="86">
        <f>tbl_estimated_costs_quantities[[#This Row],[Demolition Removal Unsafe Structures]]*BOQs!$L$4</f>
        <v>0</v>
      </c>
      <c r="O319" s="76"/>
      <c r="P319" s="37"/>
      <c r="Q319" s="86">
        <f>tbl_estimated_costs_quantities[[#This Row],[Concrete Works]]*BOQs!$L$5</f>
        <v>0</v>
      </c>
      <c r="R319" s="76"/>
      <c r="S319" s="37"/>
      <c r="T319" s="86">
        <f>tbl_estimated_costs_quantities[[#This Row],[Closure External Openings Walls Windows]]*BOQs!$L$6</f>
        <v>0</v>
      </c>
      <c r="U319" s="76"/>
      <c r="V319" s="37"/>
      <c r="W319" s="86">
        <f>tbl_estimated_costs_quantities[[#This Row],[Plastering Painting]]*BOQs!$L$7</f>
        <v>0</v>
      </c>
      <c r="X319" s="76"/>
      <c r="Y319" s="37"/>
      <c r="Z319" s="86">
        <f>tbl_estimated_costs_quantities[[#This Row],[Floor Repairs]]*BOQs!$L$8</f>
        <v>0</v>
      </c>
      <c r="AA319" s="76"/>
      <c r="AB319" s="37"/>
      <c r="AC319" s="86">
        <f>tbl_estimated_costs_quantities[[#This Row],[Doors Replacement Repair]]*BOQs!$L$9</f>
        <v>0</v>
      </c>
      <c r="AD319" s="76"/>
      <c r="AE319" s="37"/>
      <c r="AF319" s="86">
        <f>tbl_estimated_costs_quantities[[#This Row],[Windows Replacement Repair]]*BOQs!$L$10</f>
        <v>0</v>
      </c>
      <c r="AG319" s="76"/>
      <c r="AH319" s="37"/>
      <c r="AI319" s="86">
        <f>tbl_estimated_costs_quantities[[#This Row],[Bathroom Rehabilitation]]*BOQs!$L$11</f>
        <v>0</v>
      </c>
      <c r="AJ319" s="76"/>
      <c r="AK319" s="37"/>
      <c r="AL319" s="86">
        <f>tbl_estimated_costs_quantities[[#This Row],[Ceramic Tile Works WASH]]*BOQs!$L$12</f>
        <v>0</v>
      </c>
      <c r="AM319" s="76"/>
      <c r="AN319" s="37"/>
      <c r="AO319" s="86">
        <f>tbl_estimated_costs_quantities[[#This Row],[Electrical Repairs Lighting]]*BOQs!$L$13</f>
        <v>0</v>
      </c>
      <c r="AP319" s="76"/>
      <c r="AQ319" s="37"/>
      <c r="AR319" s="86">
        <f>tbl_estimated_costs_quantities[[#This Row],[Roof Insulation Leak Sealing]]*BOQs!$L$14</f>
        <v>0</v>
      </c>
      <c r="AS319" s="76"/>
      <c r="AT319" s="37"/>
      <c r="AU319" s="86">
        <f>tbl_estimated_costs_quantities[[#This Row],[Chimney Duct Cleaning Repair]]*BOQs!$L$15</f>
        <v>0</v>
      </c>
      <c r="AV319" s="76"/>
      <c r="AW319" s="37"/>
      <c r="AX319" s="89">
        <f>tbl_estimated_costs_quantities[[#This Row],[Accessibility Adaptations]]*BOQs!$L$16</f>
        <v>0</v>
      </c>
      <c r="AY319" s="86" t="str">
        <f>IF(tbl_estimated_costs_quantities[[#This Row],[Total cost]]&lt;&gt;0,tbl_estimated_costs_quantities[[#This Row],[Total cost]]/BOQs!$A$1,"")</f>
        <v/>
      </c>
      <c r="AZ319" s="37"/>
      <c r="BA319" s="37"/>
      <c r="BB319" s="37"/>
      <c r="BC319" s="37"/>
      <c r="BD319" s="41"/>
      <c r="BE319" s="37"/>
      <c r="BF319" s="37"/>
      <c r="BG319" s="37"/>
      <c r="BH319" s="41"/>
    </row>
    <row r="320" spans="2:60" ht="25.15" customHeight="1" x14ac:dyDescent="0.25">
      <c r="B320" s="49">
        <v>316</v>
      </c>
      <c r="C320" s="37"/>
      <c r="D320" s="41"/>
      <c r="E320" s="40"/>
      <c r="F320" s="87" t="str">
        <f>IF(tbl_estimated_costs_quantities[[#This Row],[House Code]]&lt;&gt;"",INDEX(tbl_Assessment[],MATCH(tbl_estimated_costs_quantities[[#This Row],[House Code]],tbl_Assessment[House Code],0),3),"")</f>
        <v/>
      </c>
      <c r="G320" s="115" t="str">
        <f>IF(tbl_estimated_costs_quantities[[#This Row],[House Code]]&lt;&gt;"",INDEX(tbl_Assessment[],MATCH(tbl_estimated_costs_quantities[[#This Row],[House Code]],tbl_Assessment[House Code],0),9),"")</f>
        <v/>
      </c>
      <c r="H32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0" s="75"/>
      <c r="J320" s="37"/>
      <c r="K320" s="86">
        <f>tbl_estimated_costs_quantities[[#This Row],[Site Preparation]]*BOQs!$L$3</f>
        <v>0</v>
      </c>
      <c r="L320" s="76"/>
      <c r="M320" s="37"/>
      <c r="N320" s="86">
        <f>tbl_estimated_costs_quantities[[#This Row],[Demolition Removal Unsafe Structures]]*BOQs!$L$4</f>
        <v>0</v>
      </c>
      <c r="O320" s="76"/>
      <c r="P320" s="37"/>
      <c r="Q320" s="86">
        <f>tbl_estimated_costs_quantities[[#This Row],[Concrete Works]]*BOQs!$L$5</f>
        <v>0</v>
      </c>
      <c r="R320" s="76"/>
      <c r="S320" s="37"/>
      <c r="T320" s="86">
        <f>tbl_estimated_costs_quantities[[#This Row],[Closure External Openings Walls Windows]]*BOQs!$L$6</f>
        <v>0</v>
      </c>
      <c r="U320" s="76"/>
      <c r="V320" s="37"/>
      <c r="W320" s="86">
        <f>tbl_estimated_costs_quantities[[#This Row],[Plastering Painting]]*BOQs!$L$7</f>
        <v>0</v>
      </c>
      <c r="X320" s="76"/>
      <c r="Y320" s="37"/>
      <c r="Z320" s="86">
        <f>tbl_estimated_costs_quantities[[#This Row],[Floor Repairs]]*BOQs!$L$8</f>
        <v>0</v>
      </c>
      <c r="AA320" s="76"/>
      <c r="AB320" s="37"/>
      <c r="AC320" s="86">
        <f>tbl_estimated_costs_quantities[[#This Row],[Doors Replacement Repair]]*BOQs!$L$9</f>
        <v>0</v>
      </c>
      <c r="AD320" s="76"/>
      <c r="AE320" s="37"/>
      <c r="AF320" s="86">
        <f>tbl_estimated_costs_quantities[[#This Row],[Windows Replacement Repair]]*BOQs!$L$10</f>
        <v>0</v>
      </c>
      <c r="AG320" s="76"/>
      <c r="AH320" s="37"/>
      <c r="AI320" s="86">
        <f>tbl_estimated_costs_quantities[[#This Row],[Bathroom Rehabilitation]]*BOQs!$L$11</f>
        <v>0</v>
      </c>
      <c r="AJ320" s="76"/>
      <c r="AK320" s="37"/>
      <c r="AL320" s="86">
        <f>tbl_estimated_costs_quantities[[#This Row],[Ceramic Tile Works WASH]]*BOQs!$L$12</f>
        <v>0</v>
      </c>
      <c r="AM320" s="76"/>
      <c r="AN320" s="37"/>
      <c r="AO320" s="86">
        <f>tbl_estimated_costs_quantities[[#This Row],[Electrical Repairs Lighting]]*BOQs!$L$13</f>
        <v>0</v>
      </c>
      <c r="AP320" s="76"/>
      <c r="AQ320" s="37"/>
      <c r="AR320" s="86">
        <f>tbl_estimated_costs_quantities[[#This Row],[Roof Insulation Leak Sealing]]*BOQs!$L$14</f>
        <v>0</v>
      </c>
      <c r="AS320" s="76"/>
      <c r="AT320" s="37"/>
      <c r="AU320" s="86">
        <f>tbl_estimated_costs_quantities[[#This Row],[Chimney Duct Cleaning Repair]]*BOQs!$L$15</f>
        <v>0</v>
      </c>
      <c r="AV320" s="76"/>
      <c r="AW320" s="37"/>
      <c r="AX320" s="89">
        <f>tbl_estimated_costs_quantities[[#This Row],[Accessibility Adaptations]]*BOQs!$L$16</f>
        <v>0</v>
      </c>
      <c r="AY320" s="86" t="str">
        <f>IF(tbl_estimated_costs_quantities[[#This Row],[Total cost]]&lt;&gt;0,tbl_estimated_costs_quantities[[#This Row],[Total cost]]/BOQs!$A$1,"")</f>
        <v/>
      </c>
      <c r="AZ320" s="37"/>
      <c r="BA320" s="37"/>
      <c r="BB320" s="37"/>
      <c r="BC320" s="37"/>
      <c r="BD320" s="41"/>
      <c r="BE320" s="37"/>
      <c r="BF320" s="37"/>
      <c r="BG320" s="37"/>
      <c r="BH320" s="41"/>
    </row>
    <row r="321" spans="2:60" ht="25.15" customHeight="1" x14ac:dyDescent="0.25">
      <c r="B321" s="49">
        <v>317</v>
      </c>
      <c r="C321" s="37"/>
      <c r="D321" s="41"/>
      <c r="E321" s="40"/>
      <c r="F321" s="87" t="str">
        <f>IF(tbl_estimated_costs_quantities[[#This Row],[House Code]]&lt;&gt;"",INDEX(tbl_Assessment[],MATCH(tbl_estimated_costs_quantities[[#This Row],[House Code]],tbl_Assessment[House Code],0),3),"")</f>
        <v/>
      </c>
      <c r="G321" s="115" t="str">
        <f>IF(tbl_estimated_costs_quantities[[#This Row],[House Code]]&lt;&gt;"",INDEX(tbl_Assessment[],MATCH(tbl_estimated_costs_quantities[[#This Row],[House Code]],tbl_Assessment[House Code],0),9),"")</f>
        <v/>
      </c>
      <c r="H32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1" s="75"/>
      <c r="J321" s="37"/>
      <c r="K321" s="86">
        <f>tbl_estimated_costs_quantities[[#This Row],[Site Preparation]]*BOQs!$L$3</f>
        <v>0</v>
      </c>
      <c r="L321" s="76"/>
      <c r="M321" s="37"/>
      <c r="N321" s="86">
        <f>tbl_estimated_costs_quantities[[#This Row],[Demolition Removal Unsafe Structures]]*BOQs!$L$4</f>
        <v>0</v>
      </c>
      <c r="O321" s="76"/>
      <c r="P321" s="37"/>
      <c r="Q321" s="86">
        <f>tbl_estimated_costs_quantities[[#This Row],[Concrete Works]]*BOQs!$L$5</f>
        <v>0</v>
      </c>
      <c r="R321" s="76"/>
      <c r="S321" s="37"/>
      <c r="T321" s="86">
        <f>tbl_estimated_costs_quantities[[#This Row],[Closure External Openings Walls Windows]]*BOQs!$L$6</f>
        <v>0</v>
      </c>
      <c r="U321" s="76"/>
      <c r="V321" s="37"/>
      <c r="W321" s="86">
        <f>tbl_estimated_costs_quantities[[#This Row],[Plastering Painting]]*BOQs!$L$7</f>
        <v>0</v>
      </c>
      <c r="X321" s="76"/>
      <c r="Y321" s="37"/>
      <c r="Z321" s="86">
        <f>tbl_estimated_costs_quantities[[#This Row],[Floor Repairs]]*BOQs!$L$8</f>
        <v>0</v>
      </c>
      <c r="AA321" s="76"/>
      <c r="AB321" s="37"/>
      <c r="AC321" s="86">
        <f>tbl_estimated_costs_quantities[[#This Row],[Doors Replacement Repair]]*BOQs!$L$9</f>
        <v>0</v>
      </c>
      <c r="AD321" s="76"/>
      <c r="AE321" s="37"/>
      <c r="AF321" s="86">
        <f>tbl_estimated_costs_quantities[[#This Row],[Windows Replacement Repair]]*BOQs!$L$10</f>
        <v>0</v>
      </c>
      <c r="AG321" s="76"/>
      <c r="AH321" s="37"/>
      <c r="AI321" s="86">
        <f>tbl_estimated_costs_quantities[[#This Row],[Bathroom Rehabilitation]]*BOQs!$L$11</f>
        <v>0</v>
      </c>
      <c r="AJ321" s="76"/>
      <c r="AK321" s="37"/>
      <c r="AL321" s="86">
        <f>tbl_estimated_costs_quantities[[#This Row],[Ceramic Tile Works WASH]]*BOQs!$L$12</f>
        <v>0</v>
      </c>
      <c r="AM321" s="76"/>
      <c r="AN321" s="37"/>
      <c r="AO321" s="86">
        <f>tbl_estimated_costs_quantities[[#This Row],[Electrical Repairs Lighting]]*BOQs!$L$13</f>
        <v>0</v>
      </c>
      <c r="AP321" s="76"/>
      <c r="AQ321" s="37"/>
      <c r="AR321" s="86">
        <f>tbl_estimated_costs_quantities[[#This Row],[Roof Insulation Leak Sealing]]*BOQs!$L$14</f>
        <v>0</v>
      </c>
      <c r="AS321" s="76"/>
      <c r="AT321" s="37"/>
      <c r="AU321" s="86">
        <f>tbl_estimated_costs_quantities[[#This Row],[Chimney Duct Cleaning Repair]]*BOQs!$L$15</f>
        <v>0</v>
      </c>
      <c r="AV321" s="76"/>
      <c r="AW321" s="37"/>
      <c r="AX321" s="89">
        <f>tbl_estimated_costs_quantities[[#This Row],[Accessibility Adaptations]]*BOQs!$L$16</f>
        <v>0</v>
      </c>
      <c r="AY321" s="86" t="str">
        <f>IF(tbl_estimated_costs_quantities[[#This Row],[Total cost]]&lt;&gt;0,tbl_estimated_costs_quantities[[#This Row],[Total cost]]/BOQs!$A$1,"")</f>
        <v/>
      </c>
      <c r="AZ321" s="37"/>
      <c r="BA321" s="37"/>
      <c r="BB321" s="37"/>
      <c r="BC321" s="37"/>
      <c r="BD321" s="41"/>
      <c r="BE321" s="37"/>
      <c r="BF321" s="37"/>
      <c r="BG321" s="37"/>
      <c r="BH321" s="41"/>
    </row>
    <row r="322" spans="2:60" ht="25.15" customHeight="1" x14ac:dyDescent="0.25">
      <c r="B322" s="49">
        <v>318</v>
      </c>
      <c r="C322" s="37"/>
      <c r="D322" s="41"/>
      <c r="E322" s="40"/>
      <c r="F322" s="87" t="str">
        <f>IF(tbl_estimated_costs_quantities[[#This Row],[House Code]]&lt;&gt;"",INDEX(tbl_Assessment[],MATCH(tbl_estimated_costs_quantities[[#This Row],[House Code]],tbl_Assessment[House Code],0),3),"")</f>
        <v/>
      </c>
      <c r="G322" s="115" t="str">
        <f>IF(tbl_estimated_costs_quantities[[#This Row],[House Code]]&lt;&gt;"",INDEX(tbl_Assessment[],MATCH(tbl_estimated_costs_quantities[[#This Row],[House Code]],tbl_Assessment[House Code],0),9),"")</f>
        <v/>
      </c>
      <c r="H32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2" s="75"/>
      <c r="J322" s="37"/>
      <c r="K322" s="86">
        <f>tbl_estimated_costs_quantities[[#This Row],[Site Preparation]]*BOQs!$L$3</f>
        <v>0</v>
      </c>
      <c r="L322" s="76"/>
      <c r="M322" s="37"/>
      <c r="N322" s="86">
        <f>tbl_estimated_costs_quantities[[#This Row],[Demolition Removal Unsafe Structures]]*BOQs!$L$4</f>
        <v>0</v>
      </c>
      <c r="O322" s="76"/>
      <c r="P322" s="37"/>
      <c r="Q322" s="86">
        <f>tbl_estimated_costs_quantities[[#This Row],[Concrete Works]]*BOQs!$L$5</f>
        <v>0</v>
      </c>
      <c r="R322" s="76"/>
      <c r="S322" s="37"/>
      <c r="T322" s="86">
        <f>tbl_estimated_costs_quantities[[#This Row],[Closure External Openings Walls Windows]]*BOQs!$L$6</f>
        <v>0</v>
      </c>
      <c r="U322" s="76"/>
      <c r="V322" s="37"/>
      <c r="W322" s="86">
        <f>tbl_estimated_costs_quantities[[#This Row],[Plastering Painting]]*BOQs!$L$7</f>
        <v>0</v>
      </c>
      <c r="X322" s="76"/>
      <c r="Y322" s="37"/>
      <c r="Z322" s="86">
        <f>tbl_estimated_costs_quantities[[#This Row],[Floor Repairs]]*BOQs!$L$8</f>
        <v>0</v>
      </c>
      <c r="AA322" s="76"/>
      <c r="AB322" s="37"/>
      <c r="AC322" s="86">
        <f>tbl_estimated_costs_quantities[[#This Row],[Doors Replacement Repair]]*BOQs!$L$9</f>
        <v>0</v>
      </c>
      <c r="AD322" s="76"/>
      <c r="AE322" s="37"/>
      <c r="AF322" s="86">
        <f>tbl_estimated_costs_quantities[[#This Row],[Windows Replacement Repair]]*BOQs!$L$10</f>
        <v>0</v>
      </c>
      <c r="AG322" s="76"/>
      <c r="AH322" s="37"/>
      <c r="AI322" s="86">
        <f>tbl_estimated_costs_quantities[[#This Row],[Bathroom Rehabilitation]]*BOQs!$L$11</f>
        <v>0</v>
      </c>
      <c r="AJ322" s="76"/>
      <c r="AK322" s="37"/>
      <c r="AL322" s="86">
        <f>tbl_estimated_costs_quantities[[#This Row],[Ceramic Tile Works WASH]]*BOQs!$L$12</f>
        <v>0</v>
      </c>
      <c r="AM322" s="76"/>
      <c r="AN322" s="37"/>
      <c r="AO322" s="86">
        <f>tbl_estimated_costs_quantities[[#This Row],[Electrical Repairs Lighting]]*BOQs!$L$13</f>
        <v>0</v>
      </c>
      <c r="AP322" s="76"/>
      <c r="AQ322" s="37"/>
      <c r="AR322" s="86">
        <f>tbl_estimated_costs_quantities[[#This Row],[Roof Insulation Leak Sealing]]*BOQs!$L$14</f>
        <v>0</v>
      </c>
      <c r="AS322" s="76"/>
      <c r="AT322" s="37"/>
      <c r="AU322" s="86">
        <f>tbl_estimated_costs_quantities[[#This Row],[Chimney Duct Cleaning Repair]]*BOQs!$L$15</f>
        <v>0</v>
      </c>
      <c r="AV322" s="76"/>
      <c r="AW322" s="37"/>
      <c r="AX322" s="89">
        <f>tbl_estimated_costs_quantities[[#This Row],[Accessibility Adaptations]]*BOQs!$L$16</f>
        <v>0</v>
      </c>
      <c r="AY322" s="86" t="str">
        <f>IF(tbl_estimated_costs_quantities[[#This Row],[Total cost]]&lt;&gt;0,tbl_estimated_costs_quantities[[#This Row],[Total cost]]/BOQs!$A$1,"")</f>
        <v/>
      </c>
      <c r="AZ322" s="37"/>
      <c r="BA322" s="37"/>
      <c r="BB322" s="37"/>
      <c r="BC322" s="37"/>
      <c r="BD322" s="41"/>
      <c r="BE322" s="37"/>
      <c r="BF322" s="37"/>
      <c r="BG322" s="37"/>
      <c r="BH322" s="41"/>
    </row>
    <row r="323" spans="2:60" ht="25.15" customHeight="1" x14ac:dyDescent="0.25">
      <c r="B323" s="49">
        <v>319</v>
      </c>
      <c r="C323" s="37"/>
      <c r="D323" s="41"/>
      <c r="E323" s="40"/>
      <c r="F323" s="87" t="str">
        <f>IF(tbl_estimated_costs_quantities[[#This Row],[House Code]]&lt;&gt;"",INDEX(tbl_Assessment[],MATCH(tbl_estimated_costs_quantities[[#This Row],[House Code]],tbl_Assessment[House Code],0),3),"")</f>
        <v/>
      </c>
      <c r="G323" s="115" t="str">
        <f>IF(tbl_estimated_costs_quantities[[#This Row],[House Code]]&lt;&gt;"",INDEX(tbl_Assessment[],MATCH(tbl_estimated_costs_quantities[[#This Row],[House Code]],tbl_Assessment[House Code],0),9),"")</f>
        <v/>
      </c>
      <c r="H32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3" s="75"/>
      <c r="J323" s="37"/>
      <c r="K323" s="86">
        <f>tbl_estimated_costs_quantities[[#This Row],[Site Preparation]]*BOQs!$L$3</f>
        <v>0</v>
      </c>
      <c r="L323" s="76"/>
      <c r="M323" s="37"/>
      <c r="N323" s="86">
        <f>tbl_estimated_costs_quantities[[#This Row],[Demolition Removal Unsafe Structures]]*BOQs!$L$4</f>
        <v>0</v>
      </c>
      <c r="O323" s="76"/>
      <c r="P323" s="37"/>
      <c r="Q323" s="86">
        <f>tbl_estimated_costs_quantities[[#This Row],[Concrete Works]]*BOQs!$L$5</f>
        <v>0</v>
      </c>
      <c r="R323" s="76"/>
      <c r="S323" s="37"/>
      <c r="T323" s="86">
        <f>tbl_estimated_costs_quantities[[#This Row],[Closure External Openings Walls Windows]]*BOQs!$L$6</f>
        <v>0</v>
      </c>
      <c r="U323" s="76"/>
      <c r="V323" s="37"/>
      <c r="W323" s="86">
        <f>tbl_estimated_costs_quantities[[#This Row],[Plastering Painting]]*BOQs!$L$7</f>
        <v>0</v>
      </c>
      <c r="X323" s="76"/>
      <c r="Y323" s="37"/>
      <c r="Z323" s="86">
        <f>tbl_estimated_costs_quantities[[#This Row],[Floor Repairs]]*BOQs!$L$8</f>
        <v>0</v>
      </c>
      <c r="AA323" s="76"/>
      <c r="AB323" s="37"/>
      <c r="AC323" s="86">
        <f>tbl_estimated_costs_quantities[[#This Row],[Doors Replacement Repair]]*BOQs!$L$9</f>
        <v>0</v>
      </c>
      <c r="AD323" s="76"/>
      <c r="AE323" s="37"/>
      <c r="AF323" s="86">
        <f>tbl_estimated_costs_quantities[[#This Row],[Windows Replacement Repair]]*BOQs!$L$10</f>
        <v>0</v>
      </c>
      <c r="AG323" s="76"/>
      <c r="AH323" s="37"/>
      <c r="AI323" s="86">
        <f>tbl_estimated_costs_quantities[[#This Row],[Bathroom Rehabilitation]]*BOQs!$L$11</f>
        <v>0</v>
      </c>
      <c r="AJ323" s="76"/>
      <c r="AK323" s="37"/>
      <c r="AL323" s="86">
        <f>tbl_estimated_costs_quantities[[#This Row],[Ceramic Tile Works WASH]]*BOQs!$L$12</f>
        <v>0</v>
      </c>
      <c r="AM323" s="76"/>
      <c r="AN323" s="37"/>
      <c r="AO323" s="86">
        <f>tbl_estimated_costs_quantities[[#This Row],[Electrical Repairs Lighting]]*BOQs!$L$13</f>
        <v>0</v>
      </c>
      <c r="AP323" s="76"/>
      <c r="AQ323" s="37"/>
      <c r="AR323" s="86">
        <f>tbl_estimated_costs_quantities[[#This Row],[Roof Insulation Leak Sealing]]*BOQs!$L$14</f>
        <v>0</v>
      </c>
      <c r="AS323" s="76"/>
      <c r="AT323" s="37"/>
      <c r="AU323" s="86">
        <f>tbl_estimated_costs_quantities[[#This Row],[Chimney Duct Cleaning Repair]]*BOQs!$L$15</f>
        <v>0</v>
      </c>
      <c r="AV323" s="76"/>
      <c r="AW323" s="37"/>
      <c r="AX323" s="89">
        <f>tbl_estimated_costs_quantities[[#This Row],[Accessibility Adaptations]]*BOQs!$L$16</f>
        <v>0</v>
      </c>
      <c r="AY323" s="86" t="str">
        <f>IF(tbl_estimated_costs_quantities[[#This Row],[Total cost]]&lt;&gt;0,tbl_estimated_costs_quantities[[#This Row],[Total cost]]/BOQs!$A$1,"")</f>
        <v/>
      </c>
      <c r="AZ323" s="37"/>
      <c r="BA323" s="37"/>
      <c r="BB323" s="37"/>
      <c r="BC323" s="37"/>
      <c r="BD323" s="41"/>
      <c r="BE323" s="37"/>
      <c r="BF323" s="37"/>
      <c r="BG323" s="37"/>
      <c r="BH323" s="41"/>
    </row>
    <row r="324" spans="2:60" ht="25.15" customHeight="1" x14ac:dyDescent="0.25">
      <c r="B324" s="49">
        <v>320</v>
      </c>
      <c r="C324" s="37"/>
      <c r="D324" s="41"/>
      <c r="E324" s="40"/>
      <c r="F324" s="87" t="str">
        <f>IF(tbl_estimated_costs_quantities[[#This Row],[House Code]]&lt;&gt;"",INDEX(tbl_Assessment[],MATCH(tbl_estimated_costs_quantities[[#This Row],[House Code]],tbl_Assessment[House Code],0),3),"")</f>
        <v/>
      </c>
      <c r="G324" s="115" t="str">
        <f>IF(tbl_estimated_costs_quantities[[#This Row],[House Code]]&lt;&gt;"",INDEX(tbl_Assessment[],MATCH(tbl_estimated_costs_quantities[[#This Row],[House Code]],tbl_Assessment[House Code],0),9),"")</f>
        <v/>
      </c>
      <c r="H32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4" s="75"/>
      <c r="J324" s="37"/>
      <c r="K324" s="86">
        <f>tbl_estimated_costs_quantities[[#This Row],[Site Preparation]]*BOQs!$L$3</f>
        <v>0</v>
      </c>
      <c r="L324" s="76"/>
      <c r="M324" s="37"/>
      <c r="N324" s="86">
        <f>tbl_estimated_costs_quantities[[#This Row],[Demolition Removal Unsafe Structures]]*BOQs!$L$4</f>
        <v>0</v>
      </c>
      <c r="O324" s="76"/>
      <c r="P324" s="37"/>
      <c r="Q324" s="86">
        <f>tbl_estimated_costs_quantities[[#This Row],[Concrete Works]]*BOQs!$L$5</f>
        <v>0</v>
      </c>
      <c r="R324" s="76"/>
      <c r="S324" s="37"/>
      <c r="T324" s="86">
        <f>tbl_estimated_costs_quantities[[#This Row],[Closure External Openings Walls Windows]]*BOQs!$L$6</f>
        <v>0</v>
      </c>
      <c r="U324" s="76"/>
      <c r="V324" s="37"/>
      <c r="W324" s="86">
        <f>tbl_estimated_costs_quantities[[#This Row],[Plastering Painting]]*BOQs!$L$7</f>
        <v>0</v>
      </c>
      <c r="X324" s="76"/>
      <c r="Y324" s="37"/>
      <c r="Z324" s="86">
        <f>tbl_estimated_costs_quantities[[#This Row],[Floor Repairs]]*BOQs!$L$8</f>
        <v>0</v>
      </c>
      <c r="AA324" s="76"/>
      <c r="AB324" s="37"/>
      <c r="AC324" s="86">
        <f>tbl_estimated_costs_quantities[[#This Row],[Doors Replacement Repair]]*BOQs!$L$9</f>
        <v>0</v>
      </c>
      <c r="AD324" s="76"/>
      <c r="AE324" s="37"/>
      <c r="AF324" s="86">
        <f>tbl_estimated_costs_quantities[[#This Row],[Windows Replacement Repair]]*BOQs!$L$10</f>
        <v>0</v>
      </c>
      <c r="AG324" s="76"/>
      <c r="AH324" s="37"/>
      <c r="AI324" s="86">
        <f>tbl_estimated_costs_quantities[[#This Row],[Bathroom Rehabilitation]]*BOQs!$L$11</f>
        <v>0</v>
      </c>
      <c r="AJ324" s="76"/>
      <c r="AK324" s="37"/>
      <c r="AL324" s="86">
        <f>tbl_estimated_costs_quantities[[#This Row],[Ceramic Tile Works WASH]]*BOQs!$L$12</f>
        <v>0</v>
      </c>
      <c r="AM324" s="76"/>
      <c r="AN324" s="37"/>
      <c r="AO324" s="86">
        <f>tbl_estimated_costs_quantities[[#This Row],[Electrical Repairs Lighting]]*BOQs!$L$13</f>
        <v>0</v>
      </c>
      <c r="AP324" s="76"/>
      <c r="AQ324" s="37"/>
      <c r="AR324" s="86">
        <f>tbl_estimated_costs_quantities[[#This Row],[Roof Insulation Leak Sealing]]*BOQs!$L$14</f>
        <v>0</v>
      </c>
      <c r="AS324" s="76"/>
      <c r="AT324" s="37"/>
      <c r="AU324" s="86">
        <f>tbl_estimated_costs_quantities[[#This Row],[Chimney Duct Cleaning Repair]]*BOQs!$L$15</f>
        <v>0</v>
      </c>
      <c r="AV324" s="76"/>
      <c r="AW324" s="37"/>
      <c r="AX324" s="89">
        <f>tbl_estimated_costs_quantities[[#This Row],[Accessibility Adaptations]]*BOQs!$L$16</f>
        <v>0</v>
      </c>
      <c r="AY324" s="86" t="str">
        <f>IF(tbl_estimated_costs_quantities[[#This Row],[Total cost]]&lt;&gt;0,tbl_estimated_costs_quantities[[#This Row],[Total cost]]/BOQs!$A$1,"")</f>
        <v/>
      </c>
      <c r="AZ324" s="37"/>
      <c r="BA324" s="37"/>
      <c r="BB324" s="37"/>
      <c r="BC324" s="37"/>
      <c r="BD324" s="41"/>
      <c r="BE324" s="37"/>
      <c r="BF324" s="37"/>
      <c r="BG324" s="37"/>
      <c r="BH324" s="41"/>
    </row>
    <row r="325" spans="2:60" ht="25.15" customHeight="1" x14ac:dyDescent="0.25">
      <c r="B325" s="49">
        <v>321</v>
      </c>
      <c r="C325" s="37"/>
      <c r="D325" s="41"/>
      <c r="E325" s="40"/>
      <c r="F325" s="87" t="str">
        <f>IF(tbl_estimated_costs_quantities[[#This Row],[House Code]]&lt;&gt;"",INDEX(tbl_Assessment[],MATCH(tbl_estimated_costs_quantities[[#This Row],[House Code]],tbl_Assessment[House Code],0),3),"")</f>
        <v/>
      </c>
      <c r="G325" s="115" t="str">
        <f>IF(tbl_estimated_costs_quantities[[#This Row],[House Code]]&lt;&gt;"",INDEX(tbl_Assessment[],MATCH(tbl_estimated_costs_quantities[[#This Row],[House Code]],tbl_Assessment[House Code],0),9),"")</f>
        <v/>
      </c>
      <c r="H32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5" s="75"/>
      <c r="J325" s="37"/>
      <c r="K325" s="86">
        <f>tbl_estimated_costs_quantities[[#This Row],[Site Preparation]]*BOQs!$L$3</f>
        <v>0</v>
      </c>
      <c r="L325" s="76"/>
      <c r="M325" s="37"/>
      <c r="N325" s="86">
        <f>tbl_estimated_costs_quantities[[#This Row],[Demolition Removal Unsafe Structures]]*BOQs!$L$4</f>
        <v>0</v>
      </c>
      <c r="O325" s="76"/>
      <c r="P325" s="37"/>
      <c r="Q325" s="86">
        <f>tbl_estimated_costs_quantities[[#This Row],[Concrete Works]]*BOQs!$L$5</f>
        <v>0</v>
      </c>
      <c r="R325" s="76"/>
      <c r="S325" s="37"/>
      <c r="T325" s="86">
        <f>tbl_estimated_costs_quantities[[#This Row],[Closure External Openings Walls Windows]]*BOQs!$L$6</f>
        <v>0</v>
      </c>
      <c r="U325" s="76"/>
      <c r="V325" s="37"/>
      <c r="W325" s="86">
        <f>tbl_estimated_costs_quantities[[#This Row],[Plastering Painting]]*BOQs!$L$7</f>
        <v>0</v>
      </c>
      <c r="X325" s="76"/>
      <c r="Y325" s="37"/>
      <c r="Z325" s="86">
        <f>tbl_estimated_costs_quantities[[#This Row],[Floor Repairs]]*BOQs!$L$8</f>
        <v>0</v>
      </c>
      <c r="AA325" s="76"/>
      <c r="AB325" s="37"/>
      <c r="AC325" s="86">
        <f>tbl_estimated_costs_quantities[[#This Row],[Doors Replacement Repair]]*BOQs!$L$9</f>
        <v>0</v>
      </c>
      <c r="AD325" s="76"/>
      <c r="AE325" s="37"/>
      <c r="AF325" s="86">
        <f>tbl_estimated_costs_quantities[[#This Row],[Windows Replacement Repair]]*BOQs!$L$10</f>
        <v>0</v>
      </c>
      <c r="AG325" s="76"/>
      <c r="AH325" s="37"/>
      <c r="AI325" s="86">
        <f>tbl_estimated_costs_quantities[[#This Row],[Bathroom Rehabilitation]]*BOQs!$L$11</f>
        <v>0</v>
      </c>
      <c r="AJ325" s="76"/>
      <c r="AK325" s="37"/>
      <c r="AL325" s="86">
        <f>tbl_estimated_costs_quantities[[#This Row],[Ceramic Tile Works WASH]]*BOQs!$L$12</f>
        <v>0</v>
      </c>
      <c r="AM325" s="76"/>
      <c r="AN325" s="37"/>
      <c r="AO325" s="86">
        <f>tbl_estimated_costs_quantities[[#This Row],[Electrical Repairs Lighting]]*BOQs!$L$13</f>
        <v>0</v>
      </c>
      <c r="AP325" s="76"/>
      <c r="AQ325" s="37"/>
      <c r="AR325" s="86">
        <f>tbl_estimated_costs_quantities[[#This Row],[Roof Insulation Leak Sealing]]*BOQs!$L$14</f>
        <v>0</v>
      </c>
      <c r="AS325" s="76"/>
      <c r="AT325" s="37"/>
      <c r="AU325" s="86">
        <f>tbl_estimated_costs_quantities[[#This Row],[Chimney Duct Cleaning Repair]]*BOQs!$L$15</f>
        <v>0</v>
      </c>
      <c r="AV325" s="76"/>
      <c r="AW325" s="37"/>
      <c r="AX325" s="89">
        <f>tbl_estimated_costs_quantities[[#This Row],[Accessibility Adaptations]]*BOQs!$L$16</f>
        <v>0</v>
      </c>
      <c r="AY325" s="86" t="str">
        <f>IF(tbl_estimated_costs_quantities[[#This Row],[Total cost]]&lt;&gt;0,tbl_estimated_costs_quantities[[#This Row],[Total cost]]/BOQs!$A$1,"")</f>
        <v/>
      </c>
      <c r="AZ325" s="37"/>
      <c r="BA325" s="37"/>
      <c r="BB325" s="37"/>
      <c r="BC325" s="37"/>
      <c r="BD325" s="41"/>
      <c r="BE325" s="37"/>
      <c r="BF325" s="37"/>
      <c r="BG325" s="37"/>
      <c r="BH325" s="41"/>
    </row>
    <row r="326" spans="2:60" ht="25.15" customHeight="1" x14ac:dyDescent="0.25">
      <c r="B326" s="49">
        <v>322</v>
      </c>
      <c r="C326" s="37"/>
      <c r="D326" s="41"/>
      <c r="E326" s="40"/>
      <c r="F326" s="87" t="str">
        <f>IF(tbl_estimated_costs_quantities[[#This Row],[House Code]]&lt;&gt;"",INDEX(tbl_Assessment[],MATCH(tbl_estimated_costs_quantities[[#This Row],[House Code]],tbl_Assessment[House Code],0),3),"")</f>
        <v/>
      </c>
      <c r="G326" s="115" t="str">
        <f>IF(tbl_estimated_costs_quantities[[#This Row],[House Code]]&lt;&gt;"",INDEX(tbl_Assessment[],MATCH(tbl_estimated_costs_quantities[[#This Row],[House Code]],tbl_Assessment[House Code],0),9),"")</f>
        <v/>
      </c>
      <c r="H32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6" s="75"/>
      <c r="J326" s="37"/>
      <c r="K326" s="86">
        <f>tbl_estimated_costs_quantities[[#This Row],[Site Preparation]]*BOQs!$L$3</f>
        <v>0</v>
      </c>
      <c r="L326" s="76"/>
      <c r="M326" s="37"/>
      <c r="N326" s="86">
        <f>tbl_estimated_costs_quantities[[#This Row],[Demolition Removal Unsafe Structures]]*BOQs!$L$4</f>
        <v>0</v>
      </c>
      <c r="O326" s="76"/>
      <c r="P326" s="37"/>
      <c r="Q326" s="86">
        <f>tbl_estimated_costs_quantities[[#This Row],[Concrete Works]]*BOQs!$L$5</f>
        <v>0</v>
      </c>
      <c r="R326" s="76"/>
      <c r="S326" s="37"/>
      <c r="T326" s="86">
        <f>tbl_estimated_costs_quantities[[#This Row],[Closure External Openings Walls Windows]]*BOQs!$L$6</f>
        <v>0</v>
      </c>
      <c r="U326" s="76"/>
      <c r="V326" s="37"/>
      <c r="W326" s="86">
        <f>tbl_estimated_costs_quantities[[#This Row],[Plastering Painting]]*BOQs!$L$7</f>
        <v>0</v>
      </c>
      <c r="X326" s="76"/>
      <c r="Y326" s="37"/>
      <c r="Z326" s="86">
        <f>tbl_estimated_costs_quantities[[#This Row],[Floor Repairs]]*BOQs!$L$8</f>
        <v>0</v>
      </c>
      <c r="AA326" s="76"/>
      <c r="AB326" s="37"/>
      <c r="AC326" s="86">
        <f>tbl_estimated_costs_quantities[[#This Row],[Doors Replacement Repair]]*BOQs!$L$9</f>
        <v>0</v>
      </c>
      <c r="AD326" s="76"/>
      <c r="AE326" s="37"/>
      <c r="AF326" s="86">
        <f>tbl_estimated_costs_quantities[[#This Row],[Windows Replacement Repair]]*BOQs!$L$10</f>
        <v>0</v>
      </c>
      <c r="AG326" s="76"/>
      <c r="AH326" s="37"/>
      <c r="AI326" s="86">
        <f>tbl_estimated_costs_quantities[[#This Row],[Bathroom Rehabilitation]]*BOQs!$L$11</f>
        <v>0</v>
      </c>
      <c r="AJ326" s="76"/>
      <c r="AK326" s="37"/>
      <c r="AL326" s="86">
        <f>tbl_estimated_costs_quantities[[#This Row],[Ceramic Tile Works WASH]]*BOQs!$L$12</f>
        <v>0</v>
      </c>
      <c r="AM326" s="76"/>
      <c r="AN326" s="37"/>
      <c r="AO326" s="86">
        <f>tbl_estimated_costs_quantities[[#This Row],[Electrical Repairs Lighting]]*BOQs!$L$13</f>
        <v>0</v>
      </c>
      <c r="AP326" s="76"/>
      <c r="AQ326" s="37"/>
      <c r="AR326" s="86">
        <f>tbl_estimated_costs_quantities[[#This Row],[Roof Insulation Leak Sealing]]*BOQs!$L$14</f>
        <v>0</v>
      </c>
      <c r="AS326" s="76"/>
      <c r="AT326" s="37"/>
      <c r="AU326" s="86">
        <f>tbl_estimated_costs_quantities[[#This Row],[Chimney Duct Cleaning Repair]]*BOQs!$L$15</f>
        <v>0</v>
      </c>
      <c r="AV326" s="76"/>
      <c r="AW326" s="37"/>
      <c r="AX326" s="89">
        <f>tbl_estimated_costs_quantities[[#This Row],[Accessibility Adaptations]]*BOQs!$L$16</f>
        <v>0</v>
      </c>
      <c r="AY326" s="86" t="str">
        <f>IF(tbl_estimated_costs_quantities[[#This Row],[Total cost]]&lt;&gt;0,tbl_estimated_costs_quantities[[#This Row],[Total cost]]/BOQs!$A$1,"")</f>
        <v/>
      </c>
      <c r="AZ326" s="37"/>
      <c r="BA326" s="37"/>
      <c r="BB326" s="37"/>
      <c r="BC326" s="37"/>
      <c r="BD326" s="41"/>
      <c r="BE326" s="37"/>
      <c r="BF326" s="37"/>
      <c r="BG326" s="37"/>
      <c r="BH326" s="41"/>
    </row>
    <row r="327" spans="2:60" ht="25.15" customHeight="1" x14ac:dyDescent="0.25">
      <c r="B327" s="49">
        <v>323</v>
      </c>
      <c r="C327" s="37"/>
      <c r="D327" s="41"/>
      <c r="E327" s="40"/>
      <c r="F327" s="87" t="str">
        <f>IF(tbl_estimated_costs_quantities[[#This Row],[House Code]]&lt;&gt;"",INDEX(tbl_Assessment[],MATCH(tbl_estimated_costs_quantities[[#This Row],[House Code]],tbl_Assessment[House Code],0),3),"")</f>
        <v/>
      </c>
      <c r="G327" s="115" t="str">
        <f>IF(tbl_estimated_costs_quantities[[#This Row],[House Code]]&lt;&gt;"",INDEX(tbl_Assessment[],MATCH(tbl_estimated_costs_quantities[[#This Row],[House Code]],tbl_Assessment[House Code],0),9),"")</f>
        <v/>
      </c>
      <c r="H32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7" s="75"/>
      <c r="J327" s="37"/>
      <c r="K327" s="86">
        <f>tbl_estimated_costs_quantities[[#This Row],[Site Preparation]]*BOQs!$L$3</f>
        <v>0</v>
      </c>
      <c r="L327" s="76"/>
      <c r="M327" s="37"/>
      <c r="N327" s="86">
        <f>tbl_estimated_costs_quantities[[#This Row],[Demolition Removal Unsafe Structures]]*BOQs!$L$4</f>
        <v>0</v>
      </c>
      <c r="O327" s="76"/>
      <c r="P327" s="37"/>
      <c r="Q327" s="86">
        <f>tbl_estimated_costs_quantities[[#This Row],[Concrete Works]]*BOQs!$L$5</f>
        <v>0</v>
      </c>
      <c r="R327" s="76"/>
      <c r="S327" s="37"/>
      <c r="T327" s="86">
        <f>tbl_estimated_costs_quantities[[#This Row],[Closure External Openings Walls Windows]]*BOQs!$L$6</f>
        <v>0</v>
      </c>
      <c r="U327" s="76"/>
      <c r="V327" s="37"/>
      <c r="W327" s="86">
        <f>tbl_estimated_costs_quantities[[#This Row],[Plastering Painting]]*BOQs!$L$7</f>
        <v>0</v>
      </c>
      <c r="X327" s="76"/>
      <c r="Y327" s="37"/>
      <c r="Z327" s="86">
        <f>tbl_estimated_costs_quantities[[#This Row],[Floor Repairs]]*BOQs!$L$8</f>
        <v>0</v>
      </c>
      <c r="AA327" s="76"/>
      <c r="AB327" s="37"/>
      <c r="AC327" s="86">
        <f>tbl_estimated_costs_quantities[[#This Row],[Doors Replacement Repair]]*BOQs!$L$9</f>
        <v>0</v>
      </c>
      <c r="AD327" s="76"/>
      <c r="AE327" s="37"/>
      <c r="AF327" s="86">
        <f>tbl_estimated_costs_quantities[[#This Row],[Windows Replacement Repair]]*BOQs!$L$10</f>
        <v>0</v>
      </c>
      <c r="AG327" s="76"/>
      <c r="AH327" s="37"/>
      <c r="AI327" s="86">
        <f>tbl_estimated_costs_quantities[[#This Row],[Bathroom Rehabilitation]]*BOQs!$L$11</f>
        <v>0</v>
      </c>
      <c r="AJ327" s="76"/>
      <c r="AK327" s="37"/>
      <c r="AL327" s="86">
        <f>tbl_estimated_costs_quantities[[#This Row],[Ceramic Tile Works WASH]]*BOQs!$L$12</f>
        <v>0</v>
      </c>
      <c r="AM327" s="76"/>
      <c r="AN327" s="37"/>
      <c r="AO327" s="86">
        <f>tbl_estimated_costs_quantities[[#This Row],[Electrical Repairs Lighting]]*BOQs!$L$13</f>
        <v>0</v>
      </c>
      <c r="AP327" s="76"/>
      <c r="AQ327" s="37"/>
      <c r="AR327" s="86">
        <f>tbl_estimated_costs_quantities[[#This Row],[Roof Insulation Leak Sealing]]*BOQs!$L$14</f>
        <v>0</v>
      </c>
      <c r="AS327" s="76"/>
      <c r="AT327" s="37"/>
      <c r="AU327" s="86">
        <f>tbl_estimated_costs_quantities[[#This Row],[Chimney Duct Cleaning Repair]]*BOQs!$L$15</f>
        <v>0</v>
      </c>
      <c r="AV327" s="76"/>
      <c r="AW327" s="37"/>
      <c r="AX327" s="89">
        <f>tbl_estimated_costs_quantities[[#This Row],[Accessibility Adaptations]]*BOQs!$L$16</f>
        <v>0</v>
      </c>
      <c r="AY327" s="86" t="str">
        <f>IF(tbl_estimated_costs_quantities[[#This Row],[Total cost]]&lt;&gt;0,tbl_estimated_costs_quantities[[#This Row],[Total cost]]/BOQs!$A$1,"")</f>
        <v/>
      </c>
      <c r="AZ327" s="37"/>
      <c r="BA327" s="37"/>
      <c r="BB327" s="37"/>
      <c r="BC327" s="37"/>
      <c r="BD327" s="41"/>
      <c r="BE327" s="37"/>
      <c r="BF327" s="37"/>
      <c r="BG327" s="37"/>
      <c r="BH327" s="41"/>
    </row>
    <row r="328" spans="2:60" ht="25.15" customHeight="1" x14ac:dyDescent="0.25">
      <c r="B328" s="49">
        <v>324</v>
      </c>
      <c r="C328" s="37"/>
      <c r="D328" s="41"/>
      <c r="E328" s="40"/>
      <c r="F328" s="87" t="str">
        <f>IF(tbl_estimated_costs_quantities[[#This Row],[House Code]]&lt;&gt;"",INDEX(tbl_Assessment[],MATCH(tbl_estimated_costs_quantities[[#This Row],[House Code]],tbl_Assessment[House Code],0),3),"")</f>
        <v/>
      </c>
      <c r="G328" s="115" t="str">
        <f>IF(tbl_estimated_costs_quantities[[#This Row],[House Code]]&lt;&gt;"",INDEX(tbl_Assessment[],MATCH(tbl_estimated_costs_quantities[[#This Row],[House Code]],tbl_Assessment[House Code],0),9),"")</f>
        <v/>
      </c>
      <c r="H32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8" s="75"/>
      <c r="J328" s="37"/>
      <c r="K328" s="86">
        <f>tbl_estimated_costs_quantities[[#This Row],[Site Preparation]]*BOQs!$L$3</f>
        <v>0</v>
      </c>
      <c r="L328" s="76"/>
      <c r="M328" s="37"/>
      <c r="N328" s="86">
        <f>tbl_estimated_costs_quantities[[#This Row],[Demolition Removal Unsafe Structures]]*BOQs!$L$4</f>
        <v>0</v>
      </c>
      <c r="O328" s="76"/>
      <c r="P328" s="37"/>
      <c r="Q328" s="86">
        <f>tbl_estimated_costs_quantities[[#This Row],[Concrete Works]]*BOQs!$L$5</f>
        <v>0</v>
      </c>
      <c r="R328" s="76"/>
      <c r="S328" s="37"/>
      <c r="T328" s="86">
        <f>tbl_estimated_costs_quantities[[#This Row],[Closure External Openings Walls Windows]]*BOQs!$L$6</f>
        <v>0</v>
      </c>
      <c r="U328" s="76"/>
      <c r="V328" s="37"/>
      <c r="W328" s="86">
        <f>tbl_estimated_costs_quantities[[#This Row],[Plastering Painting]]*BOQs!$L$7</f>
        <v>0</v>
      </c>
      <c r="X328" s="76"/>
      <c r="Y328" s="37"/>
      <c r="Z328" s="86">
        <f>tbl_estimated_costs_quantities[[#This Row],[Floor Repairs]]*BOQs!$L$8</f>
        <v>0</v>
      </c>
      <c r="AA328" s="76"/>
      <c r="AB328" s="37"/>
      <c r="AC328" s="86">
        <f>tbl_estimated_costs_quantities[[#This Row],[Doors Replacement Repair]]*BOQs!$L$9</f>
        <v>0</v>
      </c>
      <c r="AD328" s="76"/>
      <c r="AE328" s="37"/>
      <c r="AF328" s="86">
        <f>tbl_estimated_costs_quantities[[#This Row],[Windows Replacement Repair]]*BOQs!$L$10</f>
        <v>0</v>
      </c>
      <c r="AG328" s="76"/>
      <c r="AH328" s="37"/>
      <c r="AI328" s="86">
        <f>tbl_estimated_costs_quantities[[#This Row],[Bathroom Rehabilitation]]*BOQs!$L$11</f>
        <v>0</v>
      </c>
      <c r="AJ328" s="76"/>
      <c r="AK328" s="37"/>
      <c r="AL328" s="86">
        <f>tbl_estimated_costs_quantities[[#This Row],[Ceramic Tile Works WASH]]*BOQs!$L$12</f>
        <v>0</v>
      </c>
      <c r="AM328" s="76"/>
      <c r="AN328" s="37"/>
      <c r="AO328" s="86">
        <f>tbl_estimated_costs_quantities[[#This Row],[Electrical Repairs Lighting]]*BOQs!$L$13</f>
        <v>0</v>
      </c>
      <c r="AP328" s="76"/>
      <c r="AQ328" s="37"/>
      <c r="AR328" s="86">
        <f>tbl_estimated_costs_quantities[[#This Row],[Roof Insulation Leak Sealing]]*BOQs!$L$14</f>
        <v>0</v>
      </c>
      <c r="AS328" s="76"/>
      <c r="AT328" s="37"/>
      <c r="AU328" s="86">
        <f>tbl_estimated_costs_quantities[[#This Row],[Chimney Duct Cleaning Repair]]*BOQs!$L$15</f>
        <v>0</v>
      </c>
      <c r="AV328" s="76"/>
      <c r="AW328" s="37"/>
      <c r="AX328" s="89">
        <f>tbl_estimated_costs_quantities[[#This Row],[Accessibility Adaptations]]*BOQs!$L$16</f>
        <v>0</v>
      </c>
      <c r="AY328" s="86" t="str">
        <f>IF(tbl_estimated_costs_quantities[[#This Row],[Total cost]]&lt;&gt;0,tbl_estimated_costs_quantities[[#This Row],[Total cost]]/BOQs!$A$1,"")</f>
        <v/>
      </c>
      <c r="AZ328" s="37"/>
      <c r="BA328" s="37"/>
      <c r="BB328" s="37"/>
      <c r="BC328" s="37"/>
      <c r="BD328" s="41"/>
      <c r="BE328" s="37"/>
      <c r="BF328" s="37"/>
      <c r="BG328" s="37"/>
      <c r="BH328" s="41"/>
    </row>
    <row r="329" spans="2:60" ht="25.15" customHeight="1" x14ac:dyDescent="0.25">
      <c r="B329" s="49">
        <v>325</v>
      </c>
      <c r="C329" s="37"/>
      <c r="D329" s="41"/>
      <c r="E329" s="40"/>
      <c r="F329" s="87" t="str">
        <f>IF(tbl_estimated_costs_quantities[[#This Row],[House Code]]&lt;&gt;"",INDEX(tbl_Assessment[],MATCH(tbl_estimated_costs_quantities[[#This Row],[House Code]],tbl_Assessment[House Code],0),3),"")</f>
        <v/>
      </c>
      <c r="G329" s="115" t="str">
        <f>IF(tbl_estimated_costs_quantities[[#This Row],[House Code]]&lt;&gt;"",INDEX(tbl_Assessment[],MATCH(tbl_estimated_costs_quantities[[#This Row],[House Code]],tbl_Assessment[House Code],0),9),"")</f>
        <v/>
      </c>
      <c r="H32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29" s="75"/>
      <c r="J329" s="37"/>
      <c r="K329" s="86">
        <f>tbl_estimated_costs_quantities[[#This Row],[Site Preparation]]*BOQs!$L$3</f>
        <v>0</v>
      </c>
      <c r="L329" s="76"/>
      <c r="M329" s="37"/>
      <c r="N329" s="86">
        <f>tbl_estimated_costs_quantities[[#This Row],[Demolition Removal Unsafe Structures]]*BOQs!$L$4</f>
        <v>0</v>
      </c>
      <c r="O329" s="76"/>
      <c r="P329" s="37"/>
      <c r="Q329" s="86">
        <f>tbl_estimated_costs_quantities[[#This Row],[Concrete Works]]*BOQs!$L$5</f>
        <v>0</v>
      </c>
      <c r="R329" s="76"/>
      <c r="S329" s="37"/>
      <c r="T329" s="86">
        <f>tbl_estimated_costs_quantities[[#This Row],[Closure External Openings Walls Windows]]*BOQs!$L$6</f>
        <v>0</v>
      </c>
      <c r="U329" s="76"/>
      <c r="V329" s="37"/>
      <c r="W329" s="86">
        <f>tbl_estimated_costs_quantities[[#This Row],[Plastering Painting]]*BOQs!$L$7</f>
        <v>0</v>
      </c>
      <c r="X329" s="76"/>
      <c r="Y329" s="37"/>
      <c r="Z329" s="86">
        <f>tbl_estimated_costs_quantities[[#This Row],[Floor Repairs]]*BOQs!$L$8</f>
        <v>0</v>
      </c>
      <c r="AA329" s="76"/>
      <c r="AB329" s="37"/>
      <c r="AC329" s="86">
        <f>tbl_estimated_costs_quantities[[#This Row],[Doors Replacement Repair]]*BOQs!$L$9</f>
        <v>0</v>
      </c>
      <c r="AD329" s="76"/>
      <c r="AE329" s="37"/>
      <c r="AF329" s="86">
        <f>tbl_estimated_costs_quantities[[#This Row],[Windows Replacement Repair]]*BOQs!$L$10</f>
        <v>0</v>
      </c>
      <c r="AG329" s="76"/>
      <c r="AH329" s="37"/>
      <c r="AI329" s="86">
        <f>tbl_estimated_costs_quantities[[#This Row],[Bathroom Rehabilitation]]*BOQs!$L$11</f>
        <v>0</v>
      </c>
      <c r="AJ329" s="76"/>
      <c r="AK329" s="37"/>
      <c r="AL329" s="86">
        <f>tbl_estimated_costs_quantities[[#This Row],[Ceramic Tile Works WASH]]*BOQs!$L$12</f>
        <v>0</v>
      </c>
      <c r="AM329" s="76"/>
      <c r="AN329" s="37"/>
      <c r="AO329" s="86">
        <f>tbl_estimated_costs_quantities[[#This Row],[Electrical Repairs Lighting]]*BOQs!$L$13</f>
        <v>0</v>
      </c>
      <c r="AP329" s="76"/>
      <c r="AQ329" s="37"/>
      <c r="AR329" s="86">
        <f>tbl_estimated_costs_quantities[[#This Row],[Roof Insulation Leak Sealing]]*BOQs!$L$14</f>
        <v>0</v>
      </c>
      <c r="AS329" s="76"/>
      <c r="AT329" s="37"/>
      <c r="AU329" s="86">
        <f>tbl_estimated_costs_quantities[[#This Row],[Chimney Duct Cleaning Repair]]*BOQs!$L$15</f>
        <v>0</v>
      </c>
      <c r="AV329" s="76"/>
      <c r="AW329" s="37"/>
      <c r="AX329" s="89">
        <f>tbl_estimated_costs_quantities[[#This Row],[Accessibility Adaptations]]*BOQs!$L$16</f>
        <v>0</v>
      </c>
      <c r="AY329" s="86" t="str">
        <f>IF(tbl_estimated_costs_quantities[[#This Row],[Total cost]]&lt;&gt;0,tbl_estimated_costs_quantities[[#This Row],[Total cost]]/BOQs!$A$1,"")</f>
        <v/>
      </c>
      <c r="AZ329" s="37"/>
      <c r="BA329" s="37"/>
      <c r="BB329" s="37"/>
      <c r="BC329" s="37"/>
      <c r="BD329" s="41"/>
      <c r="BE329" s="37"/>
      <c r="BF329" s="37"/>
      <c r="BG329" s="37"/>
      <c r="BH329" s="41"/>
    </row>
    <row r="330" spans="2:60" ht="25.15" customHeight="1" x14ac:dyDescent="0.25">
      <c r="B330" s="49">
        <v>326</v>
      </c>
      <c r="C330" s="37"/>
      <c r="D330" s="41"/>
      <c r="E330" s="40"/>
      <c r="F330" s="87" t="str">
        <f>IF(tbl_estimated_costs_quantities[[#This Row],[House Code]]&lt;&gt;"",INDEX(tbl_Assessment[],MATCH(tbl_estimated_costs_quantities[[#This Row],[House Code]],tbl_Assessment[House Code],0),3),"")</f>
        <v/>
      </c>
      <c r="G330" s="115" t="str">
        <f>IF(tbl_estimated_costs_quantities[[#This Row],[House Code]]&lt;&gt;"",INDEX(tbl_Assessment[],MATCH(tbl_estimated_costs_quantities[[#This Row],[House Code]],tbl_Assessment[House Code],0),9),"")</f>
        <v/>
      </c>
      <c r="H33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0" s="75"/>
      <c r="J330" s="37"/>
      <c r="K330" s="86">
        <f>tbl_estimated_costs_quantities[[#This Row],[Site Preparation]]*BOQs!$L$3</f>
        <v>0</v>
      </c>
      <c r="L330" s="76"/>
      <c r="M330" s="37"/>
      <c r="N330" s="86">
        <f>tbl_estimated_costs_quantities[[#This Row],[Demolition Removal Unsafe Structures]]*BOQs!$L$4</f>
        <v>0</v>
      </c>
      <c r="O330" s="76"/>
      <c r="P330" s="37"/>
      <c r="Q330" s="86">
        <f>tbl_estimated_costs_quantities[[#This Row],[Concrete Works]]*BOQs!$L$5</f>
        <v>0</v>
      </c>
      <c r="R330" s="76"/>
      <c r="S330" s="37"/>
      <c r="T330" s="86">
        <f>tbl_estimated_costs_quantities[[#This Row],[Closure External Openings Walls Windows]]*BOQs!$L$6</f>
        <v>0</v>
      </c>
      <c r="U330" s="76"/>
      <c r="V330" s="37"/>
      <c r="W330" s="86">
        <f>tbl_estimated_costs_quantities[[#This Row],[Plastering Painting]]*BOQs!$L$7</f>
        <v>0</v>
      </c>
      <c r="X330" s="76"/>
      <c r="Y330" s="37"/>
      <c r="Z330" s="86">
        <f>tbl_estimated_costs_quantities[[#This Row],[Floor Repairs]]*BOQs!$L$8</f>
        <v>0</v>
      </c>
      <c r="AA330" s="76"/>
      <c r="AB330" s="37"/>
      <c r="AC330" s="86">
        <f>tbl_estimated_costs_quantities[[#This Row],[Doors Replacement Repair]]*BOQs!$L$9</f>
        <v>0</v>
      </c>
      <c r="AD330" s="76"/>
      <c r="AE330" s="37"/>
      <c r="AF330" s="86">
        <f>tbl_estimated_costs_quantities[[#This Row],[Windows Replacement Repair]]*BOQs!$L$10</f>
        <v>0</v>
      </c>
      <c r="AG330" s="76"/>
      <c r="AH330" s="37"/>
      <c r="AI330" s="86">
        <f>tbl_estimated_costs_quantities[[#This Row],[Bathroom Rehabilitation]]*BOQs!$L$11</f>
        <v>0</v>
      </c>
      <c r="AJ330" s="76"/>
      <c r="AK330" s="37"/>
      <c r="AL330" s="86">
        <f>tbl_estimated_costs_quantities[[#This Row],[Ceramic Tile Works WASH]]*BOQs!$L$12</f>
        <v>0</v>
      </c>
      <c r="AM330" s="76"/>
      <c r="AN330" s="37"/>
      <c r="AO330" s="86">
        <f>tbl_estimated_costs_quantities[[#This Row],[Electrical Repairs Lighting]]*BOQs!$L$13</f>
        <v>0</v>
      </c>
      <c r="AP330" s="76"/>
      <c r="AQ330" s="37"/>
      <c r="AR330" s="86">
        <f>tbl_estimated_costs_quantities[[#This Row],[Roof Insulation Leak Sealing]]*BOQs!$L$14</f>
        <v>0</v>
      </c>
      <c r="AS330" s="76"/>
      <c r="AT330" s="37"/>
      <c r="AU330" s="86">
        <f>tbl_estimated_costs_quantities[[#This Row],[Chimney Duct Cleaning Repair]]*BOQs!$L$15</f>
        <v>0</v>
      </c>
      <c r="AV330" s="76"/>
      <c r="AW330" s="37"/>
      <c r="AX330" s="89">
        <f>tbl_estimated_costs_quantities[[#This Row],[Accessibility Adaptations]]*BOQs!$L$16</f>
        <v>0</v>
      </c>
      <c r="AY330" s="86" t="str">
        <f>IF(tbl_estimated_costs_quantities[[#This Row],[Total cost]]&lt;&gt;0,tbl_estimated_costs_quantities[[#This Row],[Total cost]]/BOQs!$A$1,"")</f>
        <v/>
      </c>
      <c r="AZ330" s="37"/>
      <c r="BA330" s="37"/>
      <c r="BB330" s="37"/>
      <c r="BC330" s="37"/>
      <c r="BD330" s="41"/>
      <c r="BE330" s="37"/>
      <c r="BF330" s="37"/>
      <c r="BG330" s="37"/>
      <c r="BH330" s="41"/>
    </row>
    <row r="331" spans="2:60" ht="25.15" customHeight="1" x14ac:dyDescent="0.25">
      <c r="B331" s="49">
        <v>327</v>
      </c>
      <c r="C331" s="37"/>
      <c r="D331" s="41"/>
      <c r="E331" s="40"/>
      <c r="F331" s="87" t="str">
        <f>IF(tbl_estimated_costs_quantities[[#This Row],[House Code]]&lt;&gt;"",INDEX(tbl_Assessment[],MATCH(tbl_estimated_costs_quantities[[#This Row],[House Code]],tbl_Assessment[House Code],0),3),"")</f>
        <v/>
      </c>
      <c r="G331" s="115" t="str">
        <f>IF(tbl_estimated_costs_quantities[[#This Row],[House Code]]&lt;&gt;"",INDEX(tbl_Assessment[],MATCH(tbl_estimated_costs_quantities[[#This Row],[House Code]],tbl_Assessment[House Code],0),9),"")</f>
        <v/>
      </c>
      <c r="H33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1" s="75"/>
      <c r="J331" s="37"/>
      <c r="K331" s="86">
        <f>tbl_estimated_costs_quantities[[#This Row],[Site Preparation]]*BOQs!$L$3</f>
        <v>0</v>
      </c>
      <c r="L331" s="76"/>
      <c r="M331" s="37"/>
      <c r="N331" s="86">
        <f>tbl_estimated_costs_quantities[[#This Row],[Demolition Removal Unsafe Structures]]*BOQs!$L$4</f>
        <v>0</v>
      </c>
      <c r="O331" s="76"/>
      <c r="P331" s="37"/>
      <c r="Q331" s="86">
        <f>tbl_estimated_costs_quantities[[#This Row],[Concrete Works]]*BOQs!$L$5</f>
        <v>0</v>
      </c>
      <c r="R331" s="76"/>
      <c r="S331" s="37"/>
      <c r="T331" s="86">
        <f>tbl_estimated_costs_quantities[[#This Row],[Closure External Openings Walls Windows]]*BOQs!$L$6</f>
        <v>0</v>
      </c>
      <c r="U331" s="76"/>
      <c r="V331" s="37"/>
      <c r="W331" s="86">
        <f>tbl_estimated_costs_quantities[[#This Row],[Plastering Painting]]*BOQs!$L$7</f>
        <v>0</v>
      </c>
      <c r="X331" s="76"/>
      <c r="Y331" s="37"/>
      <c r="Z331" s="86">
        <f>tbl_estimated_costs_quantities[[#This Row],[Floor Repairs]]*BOQs!$L$8</f>
        <v>0</v>
      </c>
      <c r="AA331" s="76"/>
      <c r="AB331" s="37"/>
      <c r="AC331" s="86">
        <f>tbl_estimated_costs_quantities[[#This Row],[Doors Replacement Repair]]*BOQs!$L$9</f>
        <v>0</v>
      </c>
      <c r="AD331" s="76"/>
      <c r="AE331" s="37"/>
      <c r="AF331" s="86">
        <f>tbl_estimated_costs_quantities[[#This Row],[Windows Replacement Repair]]*BOQs!$L$10</f>
        <v>0</v>
      </c>
      <c r="AG331" s="76"/>
      <c r="AH331" s="37"/>
      <c r="AI331" s="86">
        <f>tbl_estimated_costs_quantities[[#This Row],[Bathroom Rehabilitation]]*BOQs!$L$11</f>
        <v>0</v>
      </c>
      <c r="AJ331" s="76"/>
      <c r="AK331" s="37"/>
      <c r="AL331" s="86">
        <f>tbl_estimated_costs_quantities[[#This Row],[Ceramic Tile Works WASH]]*BOQs!$L$12</f>
        <v>0</v>
      </c>
      <c r="AM331" s="76"/>
      <c r="AN331" s="37"/>
      <c r="AO331" s="86">
        <f>tbl_estimated_costs_quantities[[#This Row],[Electrical Repairs Lighting]]*BOQs!$L$13</f>
        <v>0</v>
      </c>
      <c r="AP331" s="76"/>
      <c r="AQ331" s="37"/>
      <c r="AR331" s="86">
        <f>tbl_estimated_costs_quantities[[#This Row],[Roof Insulation Leak Sealing]]*BOQs!$L$14</f>
        <v>0</v>
      </c>
      <c r="AS331" s="76"/>
      <c r="AT331" s="37"/>
      <c r="AU331" s="86">
        <f>tbl_estimated_costs_quantities[[#This Row],[Chimney Duct Cleaning Repair]]*BOQs!$L$15</f>
        <v>0</v>
      </c>
      <c r="AV331" s="76"/>
      <c r="AW331" s="37"/>
      <c r="AX331" s="89">
        <f>tbl_estimated_costs_quantities[[#This Row],[Accessibility Adaptations]]*BOQs!$L$16</f>
        <v>0</v>
      </c>
      <c r="AY331" s="86" t="str">
        <f>IF(tbl_estimated_costs_quantities[[#This Row],[Total cost]]&lt;&gt;0,tbl_estimated_costs_quantities[[#This Row],[Total cost]]/BOQs!$A$1,"")</f>
        <v/>
      </c>
      <c r="AZ331" s="37"/>
      <c r="BA331" s="37"/>
      <c r="BB331" s="37"/>
      <c r="BC331" s="37"/>
      <c r="BD331" s="41"/>
      <c r="BE331" s="37"/>
      <c r="BF331" s="37"/>
      <c r="BG331" s="37"/>
      <c r="BH331" s="41"/>
    </row>
    <row r="332" spans="2:60" ht="25.15" customHeight="1" x14ac:dyDescent="0.25">
      <c r="B332" s="49">
        <v>328</v>
      </c>
      <c r="C332" s="37"/>
      <c r="D332" s="41"/>
      <c r="E332" s="40"/>
      <c r="F332" s="87" t="str">
        <f>IF(tbl_estimated_costs_quantities[[#This Row],[House Code]]&lt;&gt;"",INDEX(tbl_Assessment[],MATCH(tbl_estimated_costs_quantities[[#This Row],[House Code]],tbl_Assessment[House Code],0),3),"")</f>
        <v/>
      </c>
      <c r="G332" s="115" t="str">
        <f>IF(tbl_estimated_costs_quantities[[#This Row],[House Code]]&lt;&gt;"",INDEX(tbl_Assessment[],MATCH(tbl_estimated_costs_quantities[[#This Row],[House Code]],tbl_Assessment[House Code],0),9),"")</f>
        <v/>
      </c>
      <c r="H33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2" s="75"/>
      <c r="J332" s="37"/>
      <c r="K332" s="86">
        <f>tbl_estimated_costs_quantities[[#This Row],[Site Preparation]]*BOQs!$L$3</f>
        <v>0</v>
      </c>
      <c r="L332" s="76"/>
      <c r="M332" s="37"/>
      <c r="N332" s="86">
        <f>tbl_estimated_costs_quantities[[#This Row],[Demolition Removal Unsafe Structures]]*BOQs!$L$4</f>
        <v>0</v>
      </c>
      <c r="O332" s="76"/>
      <c r="P332" s="37"/>
      <c r="Q332" s="86">
        <f>tbl_estimated_costs_quantities[[#This Row],[Concrete Works]]*BOQs!$L$5</f>
        <v>0</v>
      </c>
      <c r="R332" s="76"/>
      <c r="S332" s="37"/>
      <c r="T332" s="86">
        <f>tbl_estimated_costs_quantities[[#This Row],[Closure External Openings Walls Windows]]*BOQs!$L$6</f>
        <v>0</v>
      </c>
      <c r="U332" s="76"/>
      <c r="V332" s="37"/>
      <c r="W332" s="86">
        <f>tbl_estimated_costs_quantities[[#This Row],[Plastering Painting]]*BOQs!$L$7</f>
        <v>0</v>
      </c>
      <c r="X332" s="76"/>
      <c r="Y332" s="37"/>
      <c r="Z332" s="86">
        <f>tbl_estimated_costs_quantities[[#This Row],[Floor Repairs]]*BOQs!$L$8</f>
        <v>0</v>
      </c>
      <c r="AA332" s="76"/>
      <c r="AB332" s="37"/>
      <c r="AC332" s="86">
        <f>tbl_estimated_costs_quantities[[#This Row],[Doors Replacement Repair]]*BOQs!$L$9</f>
        <v>0</v>
      </c>
      <c r="AD332" s="76"/>
      <c r="AE332" s="37"/>
      <c r="AF332" s="86">
        <f>tbl_estimated_costs_quantities[[#This Row],[Windows Replacement Repair]]*BOQs!$L$10</f>
        <v>0</v>
      </c>
      <c r="AG332" s="76"/>
      <c r="AH332" s="37"/>
      <c r="AI332" s="86">
        <f>tbl_estimated_costs_quantities[[#This Row],[Bathroom Rehabilitation]]*BOQs!$L$11</f>
        <v>0</v>
      </c>
      <c r="AJ332" s="76"/>
      <c r="AK332" s="37"/>
      <c r="AL332" s="86">
        <f>tbl_estimated_costs_quantities[[#This Row],[Ceramic Tile Works WASH]]*BOQs!$L$12</f>
        <v>0</v>
      </c>
      <c r="AM332" s="76"/>
      <c r="AN332" s="37"/>
      <c r="AO332" s="86">
        <f>tbl_estimated_costs_quantities[[#This Row],[Electrical Repairs Lighting]]*BOQs!$L$13</f>
        <v>0</v>
      </c>
      <c r="AP332" s="76"/>
      <c r="AQ332" s="37"/>
      <c r="AR332" s="86">
        <f>tbl_estimated_costs_quantities[[#This Row],[Roof Insulation Leak Sealing]]*BOQs!$L$14</f>
        <v>0</v>
      </c>
      <c r="AS332" s="76"/>
      <c r="AT332" s="37"/>
      <c r="AU332" s="86">
        <f>tbl_estimated_costs_quantities[[#This Row],[Chimney Duct Cleaning Repair]]*BOQs!$L$15</f>
        <v>0</v>
      </c>
      <c r="AV332" s="76"/>
      <c r="AW332" s="37"/>
      <c r="AX332" s="89">
        <f>tbl_estimated_costs_quantities[[#This Row],[Accessibility Adaptations]]*BOQs!$L$16</f>
        <v>0</v>
      </c>
      <c r="AY332" s="86" t="str">
        <f>IF(tbl_estimated_costs_quantities[[#This Row],[Total cost]]&lt;&gt;0,tbl_estimated_costs_quantities[[#This Row],[Total cost]]/BOQs!$A$1,"")</f>
        <v/>
      </c>
      <c r="AZ332" s="37"/>
      <c r="BA332" s="37"/>
      <c r="BB332" s="37"/>
      <c r="BC332" s="37"/>
      <c r="BD332" s="41"/>
      <c r="BE332" s="37"/>
      <c r="BF332" s="37"/>
      <c r="BG332" s="37"/>
      <c r="BH332" s="41"/>
    </row>
    <row r="333" spans="2:60" ht="25.15" customHeight="1" x14ac:dyDescent="0.25">
      <c r="B333" s="49">
        <v>329</v>
      </c>
      <c r="C333" s="37"/>
      <c r="D333" s="41"/>
      <c r="E333" s="40"/>
      <c r="F333" s="87" t="str">
        <f>IF(tbl_estimated_costs_quantities[[#This Row],[House Code]]&lt;&gt;"",INDEX(tbl_Assessment[],MATCH(tbl_estimated_costs_quantities[[#This Row],[House Code]],tbl_Assessment[House Code],0),3),"")</f>
        <v/>
      </c>
      <c r="G333" s="115" t="str">
        <f>IF(tbl_estimated_costs_quantities[[#This Row],[House Code]]&lt;&gt;"",INDEX(tbl_Assessment[],MATCH(tbl_estimated_costs_quantities[[#This Row],[House Code]],tbl_Assessment[House Code],0),9),"")</f>
        <v/>
      </c>
      <c r="H33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3" s="75"/>
      <c r="J333" s="37"/>
      <c r="K333" s="86">
        <f>tbl_estimated_costs_quantities[[#This Row],[Site Preparation]]*BOQs!$L$3</f>
        <v>0</v>
      </c>
      <c r="L333" s="76"/>
      <c r="M333" s="37"/>
      <c r="N333" s="86">
        <f>tbl_estimated_costs_quantities[[#This Row],[Demolition Removal Unsafe Structures]]*BOQs!$L$4</f>
        <v>0</v>
      </c>
      <c r="O333" s="76"/>
      <c r="P333" s="37"/>
      <c r="Q333" s="86">
        <f>tbl_estimated_costs_quantities[[#This Row],[Concrete Works]]*BOQs!$L$5</f>
        <v>0</v>
      </c>
      <c r="R333" s="76"/>
      <c r="S333" s="37"/>
      <c r="T333" s="86">
        <f>tbl_estimated_costs_quantities[[#This Row],[Closure External Openings Walls Windows]]*BOQs!$L$6</f>
        <v>0</v>
      </c>
      <c r="U333" s="76"/>
      <c r="V333" s="37"/>
      <c r="W333" s="86">
        <f>tbl_estimated_costs_quantities[[#This Row],[Plastering Painting]]*BOQs!$L$7</f>
        <v>0</v>
      </c>
      <c r="X333" s="76"/>
      <c r="Y333" s="37"/>
      <c r="Z333" s="86">
        <f>tbl_estimated_costs_quantities[[#This Row],[Floor Repairs]]*BOQs!$L$8</f>
        <v>0</v>
      </c>
      <c r="AA333" s="76"/>
      <c r="AB333" s="37"/>
      <c r="AC333" s="86">
        <f>tbl_estimated_costs_quantities[[#This Row],[Doors Replacement Repair]]*BOQs!$L$9</f>
        <v>0</v>
      </c>
      <c r="AD333" s="76"/>
      <c r="AE333" s="37"/>
      <c r="AF333" s="86">
        <f>tbl_estimated_costs_quantities[[#This Row],[Windows Replacement Repair]]*BOQs!$L$10</f>
        <v>0</v>
      </c>
      <c r="AG333" s="76"/>
      <c r="AH333" s="37"/>
      <c r="AI333" s="86">
        <f>tbl_estimated_costs_quantities[[#This Row],[Bathroom Rehabilitation]]*BOQs!$L$11</f>
        <v>0</v>
      </c>
      <c r="AJ333" s="76"/>
      <c r="AK333" s="37"/>
      <c r="AL333" s="86">
        <f>tbl_estimated_costs_quantities[[#This Row],[Ceramic Tile Works WASH]]*BOQs!$L$12</f>
        <v>0</v>
      </c>
      <c r="AM333" s="76"/>
      <c r="AN333" s="37"/>
      <c r="AO333" s="86">
        <f>tbl_estimated_costs_quantities[[#This Row],[Electrical Repairs Lighting]]*BOQs!$L$13</f>
        <v>0</v>
      </c>
      <c r="AP333" s="76"/>
      <c r="AQ333" s="37"/>
      <c r="AR333" s="86">
        <f>tbl_estimated_costs_quantities[[#This Row],[Roof Insulation Leak Sealing]]*BOQs!$L$14</f>
        <v>0</v>
      </c>
      <c r="AS333" s="76"/>
      <c r="AT333" s="37"/>
      <c r="AU333" s="86">
        <f>tbl_estimated_costs_quantities[[#This Row],[Chimney Duct Cleaning Repair]]*BOQs!$L$15</f>
        <v>0</v>
      </c>
      <c r="AV333" s="76"/>
      <c r="AW333" s="37"/>
      <c r="AX333" s="89">
        <f>tbl_estimated_costs_quantities[[#This Row],[Accessibility Adaptations]]*BOQs!$L$16</f>
        <v>0</v>
      </c>
      <c r="AY333" s="86" t="str">
        <f>IF(tbl_estimated_costs_quantities[[#This Row],[Total cost]]&lt;&gt;0,tbl_estimated_costs_quantities[[#This Row],[Total cost]]/BOQs!$A$1,"")</f>
        <v/>
      </c>
      <c r="AZ333" s="37"/>
      <c r="BA333" s="37"/>
      <c r="BB333" s="37"/>
      <c r="BC333" s="37"/>
      <c r="BD333" s="41"/>
      <c r="BE333" s="37"/>
      <c r="BF333" s="37"/>
      <c r="BG333" s="37"/>
      <c r="BH333" s="41"/>
    </row>
    <row r="334" spans="2:60" ht="25.15" customHeight="1" x14ac:dyDescent="0.25">
      <c r="B334" s="49">
        <v>330</v>
      </c>
      <c r="C334" s="37"/>
      <c r="D334" s="41"/>
      <c r="E334" s="40"/>
      <c r="F334" s="87" t="str">
        <f>IF(tbl_estimated_costs_quantities[[#This Row],[House Code]]&lt;&gt;"",INDEX(tbl_Assessment[],MATCH(tbl_estimated_costs_quantities[[#This Row],[House Code]],tbl_Assessment[House Code],0),3),"")</f>
        <v/>
      </c>
      <c r="G334" s="115" t="str">
        <f>IF(tbl_estimated_costs_quantities[[#This Row],[House Code]]&lt;&gt;"",INDEX(tbl_Assessment[],MATCH(tbl_estimated_costs_quantities[[#This Row],[House Code]],tbl_Assessment[House Code],0),9),"")</f>
        <v/>
      </c>
      <c r="H33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4" s="75"/>
      <c r="J334" s="37"/>
      <c r="K334" s="86">
        <f>tbl_estimated_costs_quantities[[#This Row],[Site Preparation]]*BOQs!$L$3</f>
        <v>0</v>
      </c>
      <c r="L334" s="76"/>
      <c r="M334" s="37"/>
      <c r="N334" s="86">
        <f>tbl_estimated_costs_quantities[[#This Row],[Demolition Removal Unsafe Structures]]*BOQs!$L$4</f>
        <v>0</v>
      </c>
      <c r="O334" s="76"/>
      <c r="P334" s="37"/>
      <c r="Q334" s="86">
        <f>tbl_estimated_costs_quantities[[#This Row],[Concrete Works]]*BOQs!$L$5</f>
        <v>0</v>
      </c>
      <c r="R334" s="76"/>
      <c r="S334" s="37"/>
      <c r="T334" s="86">
        <f>tbl_estimated_costs_quantities[[#This Row],[Closure External Openings Walls Windows]]*BOQs!$L$6</f>
        <v>0</v>
      </c>
      <c r="U334" s="76"/>
      <c r="V334" s="37"/>
      <c r="W334" s="86">
        <f>tbl_estimated_costs_quantities[[#This Row],[Plastering Painting]]*BOQs!$L$7</f>
        <v>0</v>
      </c>
      <c r="X334" s="76"/>
      <c r="Y334" s="37"/>
      <c r="Z334" s="86">
        <f>tbl_estimated_costs_quantities[[#This Row],[Floor Repairs]]*BOQs!$L$8</f>
        <v>0</v>
      </c>
      <c r="AA334" s="76"/>
      <c r="AB334" s="37"/>
      <c r="AC334" s="86">
        <f>tbl_estimated_costs_quantities[[#This Row],[Doors Replacement Repair]]*BOQs!$L$9</f>
        <v>0</v>
      </c>
      <c r="AD334" s="76"/>
      <c r="AE334" s="37"/>
      <c r="AF334" s="86">
        <f>tbl_estimated_costs_quantities[[#This Row],[Windows Replacement Repair]]*BOQs!$L$10</f>
        <v>0</v>
      </c>
      <c r="AG334" s="76"/>
      <c r="AH334" s="37"/>
      <c r="AI334" s="86">
        <f>tbl_estimated_costs_quantities[[#This Row],[Bathroom Rehabilitation]]*BOQs!$L$11</f>
        <v>0</v>
      </c>
      <c r="AJ334" s="76"/>
      <c r="AK334" s="37"/>
      <c r="AL334" s="86">
        <f>tbl_estimated_costs_quantities[[#This Row],[Ceramic Tile Works WASH]]*BOQs!$L$12</f>
        <v>0</v>
      </c>
      <c r="AM334" s="76"/>
      <c r="AN334" s="37"/>
      <c r="AO334" s="86">
        <f>tbl_estimated_costs_quantities[[#This Row],[Electrical Repairs Lighting]]*BOQs!$L$13</f>
        <v>0</v>
      </c>
      <c r="AP334" s="76"/>
      <c r="AQ334" s="37"/>
      <c r="AR334" s="86">
        <f>tbl_estimated_costs_quantities[[#This Row],[Roof Insulation Leak Sealing]]*BOQs!$L$14</f>
        <v>0</v>
      </c>
      <c r="AS334" s="76"/>
      <c r="AT334" s="37"/>
      <c r="AU334" s="86">
        <f>tbl_estimated_costs_quantities[[#This Row],[Chimney Duct Cleaning Repair]]*BOQs!$L$15</f>
        <v>0</v>
      </c>
      <c r="AV334" s="76"/>
      <c r="AW334" s="37"/>
      <c r="AX334" s="89">
        <f>tbl_estimated_costs_quantities[[#This Row],[Accessibility Adaptations]]*BOQs!$L$16</f>
        <v>0</v>
      </c>
      <c r="AY334" s="86" t="str">
        <f>IF(tbl_estimated_costs_quantities[[#This Row],[Total cost]]&lt;&gt;0,tbl_estimated_costs_quantities[[#This Row],[Total cost]]/BOQs!$A$1,"")</f>
        <v/>
      </c>
      <c r="AZ334" s="37"/>
      <c r="BA334" s="37"/>
      <c r="BB334" s="37"/>
      <c r="BC334" s="37"/>
      <c r="BD334" s="41"/>
      <c r="BE334" s="37"/>
      <c r="BF334" s="37"/>
      <c r="BG334" s="37"/>
      <c r="BH334" s="41"/>
    </row>
    <row r="335" spans="2:60" ht="25.15" customHeight="1" x14ac:dyDescent="0.25">
      <c r="B335" s="49">
        <v>331</v>
      </c>
      <c r="C335" s="37"/>
      <c r="D335" s="41"/>
      <c r="E335" s="40"/>
      <c r="F335" s="87" t="str">
        <f>IF(tbl_estimated_costs_quantities[[#This Row],[House Code]]&lt;&gt;"",INDEX(tbl_Assessment[],MATCH(tbl_estimated_costs_quantities[[#This Row],[House Code]],tbl_Assessment[House Code],0),3),"")</f>
        <v/>
      </c>
      <c r="G335" s="115" t="str">
        <f>IF(tbl_estimated_costs_quantities[[#This Row],[House Code]]&lt;&gt;"",INDEX(tbl_Assessment[],MATCH(tbl_estimated_costs_quantities[[#This Row],[House Code]],tbl_Assessment[House Code],0),9),"")</f>
        <v/>
      </c>
      <c r="H33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5" s="75"/>
      <c r="J335" s="37"/>
      <c r="K335" s="86">
        <f>tbl_estimated_costs_quantities[[#This Row],[Site Preparation]]*BOQs!$L$3</f>
        <v>0</v>
      </c>
      <c r="L335" s="76"/>
      <c r="M335" s="37"/>
      <c r="N335" s="86">
        <f>tbl_estimated_costs_quantities[[#This Row],[Demolition Removal Unsafe Structures]]*BOQs!$L$4</f>
        <v>0</v>
      </c>
      <c r="O335" s="76"/>
      <c r="P335" s="37"/>
      <c r="Q335" s="86">
        <f>tbl_estimated_costs_quantities[[#This Row],[Concrete Works]]*BOQs!$L$5</f>
        <v>0</v>
      </c>
      <c r="R335" s="76"/>
      <c r="S335" s="37"/>
      <c r="T335" s="86">
        <f>tbl_estimated_costs_quantities[[#This Row],[Closure External Openings Walls Windows]]*BOQs!$L$6</f>
        <v>0</v>
      </c>
      <c r="U335" s="76"/>
      <c r="V335" s="37"/>
      <c r="W335" s="86">
        <f>tbl_estimated_costs_quantities[[#This Row],[Plastering Painting]]*BOQs!$L$7</f>
        <v>0</v>
      </c>
      <c r="X335" s="76"/>
      <c r="Y335" s="37"/>
      <c r="Z335" s="86">
        <f>tbl_estimated_costs_quantities[[#This Row],[Floor Repairs]]*BOQs!$L$8</f>
        <v>0</v>
      </c>
      <c r="AA335" s="76"/>
      <c r="AB335" s="37"/>
      <c r="AC335" s="86">
        <f>tbl_estimated_costs_quantities[[#This Row],[Doors Replacement Repair]]*BOQs!$L$9</f>
        <v>0</v>
      </c>
      <c r="AD335" s="76"/>
      <c r="AE335" s="37"/>
      <c r="AF335" s="86">
        <f>tbl_estimated_costs_quantities[[#This Row],[Windows Replacement Repair]]*BOQs!$L$10</f>
        <v>0</v>
      </c>
      <c r="AG335" s="76"/>
      <c r="AH335" s="37"/>
      <c r="AI335" s="86">
        <f>tbl_estimated_costs_quantities[[#This Row],[Bathroom Rehabilitation]]*BOQs!$L$11</f>
        <v>0</v>
      </c>
      <c r="AJ335" s="76"/>
      <c r="AK335" s="37"/>
      <c r="AL335" s="86">
        <f>tbl_estimated_costs_quantities[[#This Row],[Ceramic Tile Works WASH]]*BOQs!$L$12</f>
        <v>0</v>
      </c>
      <c r="AM335" s="76"/>
      <c r="AN335" s="37"/>
      <c r="AO335" s="86">
        <f>tbl_estimated_costs_quantities[[#This Row],[Electrical Repairs Lighting]]*BOQs!$L$13</f>
        <v>0</v>
      </c>
      <c r="AP335" s="76"/>
      <c r="AQ335" s="37"/>
      <c r="AR335" s="86">
        <f>tbl_estimated_costs_quantities[[#This Row],[Roof Insulation Leak Sealing]]*BOQs!$L$14</f>
        <v>0</v>
      </c>
      <c r="AS335" s="76"/>
      <c r="AT335" s="37"/>
      <c r="AU335" s="86">
        <f>tbl_estimated_costs_quantities[[#This Row],[Chimney Duct Cleaning Repair]]*BOQs!$L$15</f>
        <v>0</v>
      </c>
      <c r="AV335" s="76"/>
      <c r="AW335" s="37"/>
      <c r="AX335" s="89">
        <f>tbl_estimated_costs_quantities[[#This Row],[Accessibility Adaptations]]*BOQs!$L$16</f>
        <v>0</v>
      </c>
      <c r="AY335" s="86" t="str">
        <f>IF(tbl_estimated_costs_quantities[[#This Row],[Total cost]]&lt;&gt;0,tbl_estimated_costs_quantities[[#This Row],[Total cost]]/BOQs!$A$1,"")</f>
        <v/>
      </c>
      <c r="AZ335" s="37"/>
      <c r="BA335" s="37"/>
      <c r="BB335" s="37"/>
      <c r="BC335" s="37"/>
      <c r="BD335" s="41"/>
      <c r="BE335" s="37"/>
      <c r="BF335" s="37"/>
      <c r="BG335" s="37"/>
      <c r="BH335" s="41"/>
    </row>
    <row r="336" spans="2:60" ht="25.15" customHeight="1" x14ac:dyDescent="0.25">
      <c r="B336" s="49">
        <v>332</v>
      </c>
      <c r="C336" s="37"/>
      <c r="D336" s="41"/>
      <c r="E336" s="40"/>
      <c r="F336" s="87" t="str">
        <f>IF(tbl_estimated_costs_quantities[[#This Row],[House Code]]&lt;&gt;"",INDEX(tbl_Assessment[],MATCH(tbl_estimated_costs_quantities[[#This Row],[House Code]],tbl_Assessment[House Code],0),3),"")</f>
        <v/>
      </c>
      <c r="G336" s="115" t="str">
        <f>IF(tbl_estimated_costs_quantities[[#This Row],[House Code]]&lt;&gt;"",INDEX(tbl_Assessment[],MATCH(tbl_estimated_costs_quantities[[#This Row],[House Code]],tbl_Assessment[House Code],0),9),"")</f>
        <v/>
      </c>
      <c r="H33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6" s="75"/>
      <c r="J336" s="37"/>
      <c r="K336" s="86">
        <f>tbl_estimated_costs_quantities[[#This Row],[Site Preparation]]*BOQs!$L$3</f>
        <v>0</v>
      </c>
      <c r="L336" s="76"/>
      <c r="M336" s="37"/>
      <c r="N336" s="86">
        <f>tbl_estimated_costs_quantities[[#This Row],[Demolition Removal Unsafe Structures]]*BOQs!$L$4</f>
        <v>0</v>
      </c>
      <c r="O336" s="76"/>
      <c r="P336" s="37"/>
      <c r="Q336" s="86">
        <f>tbl_estimated_costs_quantities[[#This Row],[Concrete Works]]*BOQs!$L$5</f>
        <v>0</v>
      </c>
      <c r="R336" s="76"/>
      <c r="S336" s="37"/>
      <c r="T336" s="86">
        <f>tbl_estimated_costs_quantities[[#This Row],[Closure External Openings Walls Windows]]*BOQs!$L$6</f>
        <v>0</v>
      </c>
      <c r="U336" s="76"/>
      <c r="V336" s="37"/>
      <c r="W336" s="86">
        <f>tbl_estimated_costs_quantities[[#This Row],[Plastering Painting]]*BOQs!$L$7</f>
        <v>0</v>
      </c>
      <c r="X336" s="76"/>
      <c r="Y336" s="37"/>
      <c r="Z336" s="86">
        <f>tbl_estimated_costs_quantities[[#This Row],[Floor Repairs]]*BOQs!$L$8</f>
        <v>0</v>
      </c>
      <c r="AA336" s="76"/>
      <c r="AB336" s="37"/>
      <c r="AC336" s="86">
        <f>tbl_estimated_costs_quantities[[#This Row],[Doors Replacement Repair]]*BOQs!$L$9</f>
        <v>0</v>
      </c>
      <c r="AD336" s="76"/>
      <c r="AE336" s="37"/>
      <c r="AF336" s="86">
        <f>tbl_estimated_costs_quantities[[#This Row],[Windows Replacement Repair]]*BOQs!$L$10</f>
        <v>0</v>
      </c>
      <c r="AG336" s="76"/>
      <c r="AH336" s="37"/>
      <c r="AI336" s="86">
        <f>tbl_estimated_costs_quantities[[#This Row],[Bathroom Rehabilitation]]*BOQs!$L$11</f>
        <v>0</v>
      </c>
      <c r="AJ336" s="76"/>
      <c r="AK336" s="37"/>
      <c r="AL336" s="86">
        <f>tbl_estimated_costs_quantities[[#This Row],[Ceramic Tile Works WASH]]*BOQs!$L$12</f>
        <v>0</v>
      </c>
      <c r="AM336" s="76"/>
      <c r="AN336" s="37"/>
      <c r="AO336" s="86">
        <f>tbl_estimated_costs_quantities[[#This Row],[Electrical Repairs Lighting]]*BOQs!$L$13</f>
        <v>0</v>
      </c>
      <c r="AP336" s="76"/>
      <c r="AQ336" s="37"/>
      <c r="AR336" s="86">
        <f>tbl_estimated_costs_quantities[[#This Row],[Roof Insulation Leak Sealing]]*BOQs!$L$14</f>
        <v>0</v>
      </c>
      <c r="AS336" s="76"/>
      <c r="AT336" s="37"/>
      <c r="AU336" s="86">
        <f>tbl_estimated_costs_quantities[[#This Row],[Chimney Duct Cleaning Repair]]*BOQs!$L$15</f>
        <v>0</v>
      </c>
      <c r="AV336" s="76"/>
      <c r="AW336" s="37"/>
      <c r="AX336" s="89">
        <f>tbl_estimated_costs_quantities[[#This Row],[Accessibility Adaptations]]*BOQs!$L$16</f>
        <v>0</v>
      </c>
      <c r="AY336" s="86" t="str">
        <f>IF(tbl_estimated_costs_quantities[[#This Row],[Total cost]]&lt;&gt;0,tbl_estimated_costs_quantities[[#This Row],[Total cost]]/BOQs!$A$1,"")</f>
        <v/>
      </c>
      <c r="AZ336" s="37"/>
      <c r="BA336" s="37"/>
      <c r="BB336" s="37"/>
      <c r="BC336" s="37"/>
      <c r="BD336" s="41"/>
      <c r="BE336" s="37"/>
      <c r="BF336" s="37"/>
      <c r="BG336" s="37"/>
      <c r="BH336" s="41"/>
    </row>
    <row r="337" spans="2:60" ht="25.15" customHeight="1" x14ac:dyDescent="0.25">
      <c r="B337" s="49">
        <v>333</v>
      </c>
      <c r="C337" s="37"/>
      <c r="D337" s="41"/>
      <c r="E337" s="40"/>
      <c r="F337" s="87" t="str">
        <f>IF(tbl_estimated_costs_quantities[[#This Row],[House Code]]&lt;&gt;"",INDEX(tbl_Assessment[],MATCH(tbl_estimated_costs_quantities[[#This Row],[House Code]],tbl_Assessment[House Code],0),3),"")</f>
        <v/>
      </c>
      <c r="G337" s="115" t="str">
        <f>IF(tbl_estimated_costs_quantities[[#This Row],[House Code]]&lt;&gt;"",INDEX(tbl_Assessment[],MATCH(tbl_estimated_costs_quantities[[#This Row],[House Code]],tbl_Assessment[House Code],0),9),"")</f>
        <v/>
      </c>
      <c r="H33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7" s="75"/>
      <c r="J337" s="37"/>
      <c r="K337" s="86">
        <f>tbl_estimated_costs_quantities[[#This Row],[Site Preparation]]*BOQs!$L$3</f>
        <v>0</v>
      </c>
      <c r="L337" s="76"/>
      <c r="M337" s="37"/>
      <c r="N337" s="86">
        <f>tbl_estimated_costs_quantities[[#This Row],[Demolition Removal Unsafe Structures]]*BOQs!$L$4</f>
        <v>0</v>
      </c>
      <c r="O337" s="76"/>
      <c r="P337" s="37"/>
      <c r="Q337" s="86">
        <f>tbl_estimated_costs_quantities[[#This Row],[Concrete Works]]*BOQs!$L$5</f>
        <v>0</v>
      </c>
      <c r="R337" s="76"/>
      <c r="S337" s="37"/>
      <c r="T337" s="86">
        <f>tbl_estimated_costs_quantities[[#This Row],[Closure External Openings Walls Windows]]*BOQs!$L$6</f>
        <v>0</v>
      </c>
      <c r="U337" s="76"/>
      <c r="V337" s="37"/>
      <c r="W337" s="86">
        <f>tbl_estimated_costs_quantities[[#This Row],[Plastering Painting]]*BOQs!$L$7</f>
        <v>0</v>
      </c>
      <c r="X337" s="76"/>
      <c r="Y337" s="37"/>
      <c r="Z337" s="86">
        <f>tbl_estimated_costs_quantities[[#This Row],[Floor Repairs]]*BOQs!$L$8</f>
        <v>0</v>
      </c>
      <c r="AA337" s="76"/>
      <c r="AB337" s="37"/>
      <c r="AC337" s="86">
        <f>tbl_estimated_costs_quantities[[#This Row],[Doors Replacement Repair]]*BOQs!$L$9</f>
        <v>0</v>
      </c>
      <c r="AD337" s="76"/>
      <c r="AE337" s="37"/>
      <c r="AF337" s="86">
        <f>tbl_estimated_costs_quantities[[#This Row],[Windows Replacement Repair]]*BOQs!$L$10</f>
        <v>0</v>
      </c>
      <c r="AG337" s="76"/>
      <c r="AH337" s="37"/>
      <c r="AI337" s="86">
        <f>tbl_estimated_costs_quantities[[#This Row],[Bathroom Rehabilitation]]*BOQs!$L$11</f>
        <v>0</v>
      </c>
      <c r="AJ337" s="76"/>
      <c r="AK337" s="37"/>
      <c r="AL337" s="86">
        <f>tbl_estimated_costs_quantities[[#This Row],[Ceramic Tile Works WASH]]*BOQs!$L$12</f>
        <v>0</v>
      </c>
      <c r="AM337" s="76"/>
      <c r="AN337" s="37"/>
      <c r="AO337" s="86">
        <f>tbl_estimated_costs_quantities[[#This Row],[Electrical Repairs Lighting]]*BOQs!$L$13</f>
        <v>0</v>
      </c>
      <c r="AP337" s="76"/>
      <c r="AQ337" s="37"/>
      <c r="AR337" s="86">
        <f>tbl_estimated_costs_quantities[[#This Row],[Roof Insulation Leak Sealing]]*BOQs!$L$14</f>
        <v>0</v>
      </c>
      <c r="AS337" s="76"/>
      <c r="AT337" s="37"/>
      <c r="AU337" s="86">
        <f>tbl_estimated_costs_quantities[[#This Row],[Chimney Duct Cleaning Repair]]*BOQs!$L$15</f>
        <v>0</v>
      </c>
      <c r="AV337" s="76"/>
      <c r="AW337" s="37"/>
      <c r="AX337" s="89">
        <f>tbl_estimated_costs_quantities[[#This Row],[Accessibility Adaptations]]*BOQs!$L$16</f>
        <v>0</v>
      </c>
      <c r="AY337" s="86" t="str">
        <f>IF(tbl_estimated_costs_quantities[[#This Row],[Total cost]]&lt;&gt;0,tbl_estimated_costs_quantities[[#This Row],[Total cost]]/BOQs!$A$1,"")</f>
        <v/>
      </c>
      <c r="AZ337" s="37"/>
      <c r="BA337" s="37"/>
      <c r="BB337" s="37"/>
      <c r="BC337" s="37"/>
      <c r="BD337" s="41"/>
      <c r="BE337" s="37"/>
      <c r="BF337" s="37"/>
      <c r="BG337" s="37"/>
      <c r="BH337" s="41"/>
    </row>
    <row r="338" spans="2:60" ht="25.15" customHeight="1" x14ac:dyDescent="0.25">
      <c r="B338" s="49">
        <v>334</v>
      </c>
      <c r="C338" s="37"/>
      <c r="D338" s="41"/>
      <c r="E338" s="40"/>
      <c r="F338" s="87" t="str">
        <f>IF(tbl_estimated_costs_quantities[[#This Row],[House Code]]&lt;&gt;"",INDEX(tbl_Assessment[],MATCH(tbl_estimated_costs_quantities[[#This Row],[House Code]],tbl_Assessment[House Code],0),3),"")</f>
        <v/>
      </c>
      <c r="G338" s="115" t="str">
        <f>IF(tbl_estimated_costs_quantities[[#This Row],[House Code]]&lt;&gt;"",INDEX(tbl_Assessment[],MATCH(tbl_estimated_costs_quantities[[#This Row],[House Code]],tbl_Assessment[House Code],0),9),"")</f>
        <v/>
      </c>
      <c r="H33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8" s="75"/>
      <c r="J338" s="37"/>
      <c r="K338" s="86">
        <f>tbl_estimated_costs_quantities[[#This Row],[Site Preparation]]*BOQs!$L$3</f>
        <v>0</v>
      </c>
      <c r="L338" s="76"/>
      <c r="M338" s="37"/>
      <c r="N338" s="86">
        <f>tbl_estimated_costs_quantities[[#This Row],[Demolition Removal Unsafe Structures]]*BOQs!$L$4</f>
        <v>0</v>
      </c>
      <c r="O338" s="76"/>
      <c r="P338" s="37"/>
      <c r="Q338" s="86">
        <f>tbl_estimated_costs_quantities[[#This Row],[Concrete Works]]*BOQs!$L$5</f>
        <v>0</v>
      </c>
      <c r="R338" s="76"/>
      <c r="S338" s="37"/>
      <c r="T338" s="86">
        <f>tbl_estimated_costs_quantities[[#This Row],[Closure External Openings Walls Windows]]*BOQs!$L$6</f>
        <v>0</v>
      </c>
      <c r="U338" s="76"/>
      <c r="V338" s="37"/>
      <c r="W338" s="86">
        <f>tbl_estimated_costs_quantities[[#This Row],[Plastering Painting]]*BOQs!$L$7</f>
        <v>0</v>
      </c>
      <c r="X338" s="76"/>
      <c r="Y338" s="37"/>
      <c r="Z338" s="86">
        <f>tbl_estimated_costs_quantities[[#This Row],[Floor Repairs]]*BOQs!$L$8</f>
        <v>0</v>
      </c>
      <c r="AA338" s="76"/>
      <c r="AB338" s="37"/>
      <c r="AC338" s="86">
        <f>tbl_estimated_costs_quantities[[#This Row],[Doors Replacement Repair]]*BOQs!$L$9</f>
        <v>0</v>
      </c>
      <c r="AD338" s="76"/>
      <c r="AE338" s="37"/>
      <c r="AF338" s="86">
        <f>tbl_estimated_costs_quantities[[#This Row],[Windows Replacement Repair]]*BOQs!$L$10</f>
        <v>0</v>
      </c>
      <c r="AG338" s="76"/>
      <c r="AH338" s="37"/>
      <c r="AI338" s="86">
        <f>tbl_estimated_costs_quantities[[#This Row],[Bathroom Rehabilitation]]*BOQs!$L$11</f>
        <v>0</v>
      </c>
      <c r="AJ338" s="76"/>
      <c r="AK338" s="37"/>
      <c r="AL338" s="86">
        <f>tbl_estimated_costs_quantities[[#This Row],[Ceramic Tile Works WASH]]*BOQs!$L$12</f>
        <v>0</v>
      </c>
      <c r="AM338" s="76"/>
      <c r="AN338" s="37"/>
      <c r="AO338" s="86">
        <f>tbl_estimated_costs_quantities[[#This Row],[Electrical Repairs Lighting]]*BOQs!$L$13</f>
        <v>0</v>
      </c>
      <c r="AP338" s="76"/>
      <c r="AQ338" s="37"/>
      <c r="AR338" s="86">
        <f>tbl_estimated_costs_quantities[[#This Row],[Roof Insulation Leak Sealing]]*BOQs!$L$14</f>
        <v>0</v>
      </c>
      <c r="AS338" s="76"/>
      <c r="AT338" s="37"/>
      <c r="AU338" s="86">
        <f>tbl_estimated_costs_quantities[[#This Row],[Chimney Duct Cleaning Repair]]*BOQs!$L$15</f>
        <v>0</v>
      </c>
      <c r="AV338" s="76"/>
      <c r="AW338" s="37"/>
      <c r="AX338" s="89">
        <f>tbl_estimated_costs_quantities[[#This Row],[Accessibility Adaptations]]*BOQs!$L$16</f>
        <v>0</v>
      </c>
      <c r="AY338" s="86" t="str">
        <f>IF(tbl_estimated_costs_quantities[[#This Row],[Total cost]]&lt;&gt;0,tbl_estimated_costs_quantities[[#This Row],[Total cost]]/BOQs!$A$1,"")</f>
        <v/>
      </c>
      <c r="AZ338" s="37"/>
      <c r="BA338" s="37"/>
      <c r="BB338" s="37"/>
      <c r="BC338" s="37"/>
      <c r="BD338" s="41"/>
      <c r="BE338" s="37"/>
      <c r="BF338" s="37"/>
      <c r="BG338" s="37"/>
      <c r="BH338" s="41"/>
    </row>
    <row r="339" spans="2:60" ht="25.15" customHeight="1" x14ac:dyDescent="0.25">
      <c r="B339" s="49">
        <v>335</v>
      </c>
      <c r="C339" s="37"/>
      <c r="D339" s="41"/>
      <c r="E339" s="40"/>
      <c r="F339" s="87" t="str">
        <f>IF(tbl_estimated_costs_quantities[[#This Row],[House Code]]&lt;&gt;"",INDEX(tbl_Assessment[],MATCH(tbl_estimated_costs_quantities[[#This Row],[House Code]],tbl_Assessment[House Code],0),3),"")</f>
        <v/>
      </c>
      <c r="G339" s="115" t="str">
        <f>IF(tbl_estimated_costs_quantities[[#This Row],[House Code]]&lt;&gt;"",INDEX(tbl_Assessment[],MATCH(tbl_estimated_costs_quantities[[#This Row],[House Code]],tbl_Assessment[House Code],0),9),"")</f>
        <v/>
      </c>
      <c r="H33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39" s="75"/>
      <c r="J339" s="37"/>
      <c r="K339" s="86">
        <f>tbl_estimated_costs_quantities[[#This Row],[Site Preparation]]*BOQs!$L$3</f>
        <v>0</v>
      </c>
      <c r="L339" s="76"/>
      <c r="M339" s="37"/>
      <c r="N339" s="86">
        <f>tbl_estimated_costs_quantities[[#This Row],[Demolition Removal Unsafe Structures]]*BOQs!$L$4</f>
        <v>0</v>
      </c>
      <c r="O339" s="76"/>
      <c r="P339" s="37"/>
      <c r="Q339" s="86">
        <f>tbl_estimated_costs_quantities[[#This Row],[Concrete Works]]*BOQs!$L$5</f>
        <v>0</v>
      </c>
      <c r="R339" s="76"/>
      <c r="S339" s="37"/>
      <c r="T339" s="86">
        <f>tbl_estimated_costs_quantities[[#This Row],[Closure External Openings Walls Windows]]*BOQs!$L$6</f>
        <v>0</v>
      </c>
      <c r="U339" s="76"/>
      <c r="V339" s="37"/>
      <c r="W339" s="86">
        <f>tbl_estimated_costs_quantities[[#This Row],[Plastering Painting]]*BOQs!$L$7</f>
        <v>0</v>
      </c>
      <c r="X339" s="76"/>
      <c r="Y339" s="37"/>
      <c r="Z339" s="86">
        <f>tbl_estimated_costs_quantities[[#This Row],[Floor Repairs]]*BOQs!$L$8</f>
        <v>0</v>
      </c>
      <c r="AA339" s="76"/>
      <c r="AB339" s="37"/>
      <c r="AC339" s="86">
        <f>tbl_estimated_costs_quantities[[#This Row],[Doors Replacement Repair]]*BOQs!$L$9</f>
        <v>0</v>
      </c>
      <c r="AD339" s="76"/>
      <c r="AE339" s="37"/>
      <c r="AF339" s="86">
        <f>tbl_estimated_costs_quantities[[#This Row],[Windows Replacement Repair]]*BOQs!$L$10</f>
        <v>0</v>
      </c>
      <c r="AG339" s="76"/>
      <c r="AH339" s="37"/>
      <c r="AI339" s="86">
        <f>tbl_estimated_costs_quantities[[#This Row],[Bathroom Rehabilitation]]*BOQs!$L$11</f>
        <v>0</v>
      </c>
      <c r="AJ339" s="76"/>
      <c r="AK339" s="37"/>
      <c r="AL339" s="86">
        <f>tbl_estimated_costs_quantities[[#This Row],[Ceramic Tile Works WASH]]*BOQs!$L$12</f>
        <v>0</v>
      </c>
      <c r="AM339" s="76"/>
      <c r="AN339" s="37"/>
      <c r="AO339" s="86">
        <f>tbl_estimated_costs_quantities[[#This Row],[Electrical Repairs Lighting]]*BOQs!$L$13</f>
        <v>0</v>
      </c>
      <c r="AP339" s="76"/>
      <c r="AQ339" s="37"/>
      <c r="AR339" s="86">
        <f>tbl_estimated_costs_quantities[[#This Row],[Roof Insulation Leak Sealing]]*BOQs!$L$14</f>
        <v>0</v>
      </c>
      <c r="AS339" s="76"/>
      <c r="AT339" s="37"/>
      <c r="AU339" s="86">
        <f>tbl_estimated_costs_quantities[[#This Row],[Chimney Duct Cleaning Repair]]*BOQs!$L$15</f>
        <v>0</v>
      </c>
      <c r="AV339" s="76"/>
      <c r="AW339" s="37"/>
      <c r="AX339" s="89">
        <f>tbl_estimated_costs_quantities[[#This Row],[Accessibility Adaptations]]*BOQs!$L$16</f>
        <v>0</v>
      </c>
      <c r="AY339" s="86" t="str">
        <f>IF(tbl_estimated_costs_quantities[[#This Row],[Total cost]]&lt;&gt;0,tbl_estimated_costs_quantities[[#This Row],[Total cost]]/BOQs!$A$1,"")</f>
        <v/>
      </c>
      <c r="AZ339" s="37"/>
      <c r="BA339" s="37"/>
      <c r="BB339" s="37"/>
      <c r="BC339" s="37"/>
      <c r="BD339" s="41"/>
      <c r="BE339" s="37"/>
      <c r="BF339" s="37"/>
      <c r="BG339" s="37"/>
      <c r="BH339" s="41"/>
    </row>
    <row r="340" spans="2:60" ht="25.15" customHeight="1" x14ac:dyDescent="0.25">
      <c r="B340" s="49">
        <v>336</v>
      </c>
      <c r="C340" s="37"/>
      <c r="D340" s="41"/>
      <c r="E340" s="40"/>
      <c r="F340" s="87" t="str">
        <f>IF(tbl_estimated_costs_quantities[[#This Row],[House Code]]&lt;&gt;"",INDEX(tbl_Assessment[],MATCH(tbl_estimated_costs_quantities[[#This Row],[House Code]],tbl_Assessment[House Code],0),3),"")</f>
        <v/>
      </c>
      <c r="G340" s="115" t="str">
        <f>IF(tbl_estimated_costs_quantities[[#This Row],[House Code]]&lt;&gt;"",INDEX(tbl_Assessment[],MATCH(tbl_estimated_costs_quantities[[#This Row],[House Code]],tbl_Assessment[House Code],0),9),"")</f>
        <v/>
      </c>
      <c r="H34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0" s="75"/>
      <c r="J340" s="37"/>
      <c r="K340" s="86">
        <f>tbl_estimated_costs_quantities[[#This Row],[Site Preparation]]*BOQs!$L$3</f>
        <v>0</v>
      </c>
      <c r="L340" s="76"/>
      <c r="M340" s="37"/>
      <c r="N340" s="86">
        <f>tbl_estimated_costs_quantities[[#This Row],[Demolition Removal Unsafe Structures]]*BOQs!$L$4</f>
        <v>0</v>
      </c>
      <c r="O340" s="76"/>
      <c r="P340" s="37"/>
      <c r="Q340" s="86">
        <f>tbl_estimated_costs_quantities[[#This Row],[Concrete Works]]*BOQs!$L$5</f>
        <v>0</v>
      </c>
      <c r="R340" s="76"/>
      <c r="S340" s="37"/>
      <c r="T340" s="86">
        <f>tbl_estimated_costs_quantities[[#This Row],[Closure External Openings Walls Windows]]*BOQs!$L$6</f>
        <v>0</v>
      </c>
      <c r="U340" s="76"/>
      <c r="V340" s="37"/>
      <c r="W340" s="86">
        <f>tbl_estimated_costs_quantities[[#This Row],[Plastering Painting]]*BOQs!$L$7</f>
        <v>0</v>
      </c>
      <c r="X340" s="76"/>
      <c r="Y340" s="37"/>
      <c r="Z340" s="86">
        <f>tbl_estimated_costs_quantities[[#This Row],[Floor Repairs]]*BOQs!$L$8</f>
        <v>0</v>
      </c>
      <c r="AA340" s="76"/>
      <c r="AB340" s="37"/>
      <c r="AC340" s="86">
        <f>tbl_estimated_costs_quantities[[#This Row],[Doors Replacement Repair]]*BOQs!$L$9</f>
        <v>0</v>
      </c>
      <c r="AD340" s="76"/>
      <c r="AE340" s="37"/>
      <c r="AF340" s="86">
        <f>tbl_estimated_costs_quantities[[#This Row],[Windows Replacement Repair]]*BOQs!$L$10</f>
        <v>0</v>
      </c>
      <c r="AG340" s="76"/>
      <c r="AH340" s="37"/>
      <c r="AI340" s="86">
        <f>tbl_estimated_costs_quantities[[#This Row],[Bathroom Rehabilitation]]*BOQs!$L$11</f>
        <v>0</v>
      </c>
      <c r="AJ340" s="76"/>
      <c r="AK340" s="37"/>
      <c r="AL340" s="86">
        <f>tbl_estimated_costs_quantities[[#This Row],[Ceramic Tile Works WASH]]*BOQs!$L$12</f>
        <v>0</v>
      </c>
      <c r="AM340" s="76"/>
      <c r="AN340" s="37"/>
      <c r="AO340" s="86">
        <f>tbl_estimated_costs_quantities[[#This Row],[Electrical Repairs Lighting]]*BOQs!$L$13</f>
        <v>0</v>
      </c>
      <c r="AP340" s="76"/>
      <c r="AQ340" s="37"/>
      <c r="AR340" s="86">
        <f>tbl_estimated_costs_quantities[[#This Row],[Roof Insulation Leak Sealing]]*BOQs!$L$14</f>
        <v>0</v>
      </c>
      <c r="AS340" s="76"/>
      <c r="AT340" s="37"/>
      <c r="AU340" s="86">
        <f>tbl_estimated_costs_quantities[[#This Row],[Chimney Duct Cleaning Repair]]*BOQs!$L$15</f>
        <v>0</v>
      </c>
      <c r="AV340" s="76"/>
      <c r="AW340" s="37"/>
      <c r="AX340" s="89">
        <f>tbl_estimated_costs_quantities[[#This Row],[Accessibility Adaptations]]*BOQs!$L$16</f>
        <v>0</v>
      </c>
      <c r="AY340" s="86" t="str">
        <f>IF(tbl_estimated_costs_quantities[[#This Row],[Total cost]]&lt;&gt;0,tbl_estimated_costs_quantities[[#This Row],[Total cost]]/BOQs!$A$1,"")</f>
        <v/>
      </c>
      <c r="AZ340" s="37"/>
      <c r="BA340" s="37"/>
      <c r="BB340" s="37"/>
      <c r="BC340" s="37"/>
      <c r="BD340" s="41"/>
      <c r="BE340" s="37"/>
      <c r="BF340" s="37"/>
      <c r="BG340" s="37"/>
      <c r="BH340" s="41"/>
    </row>
    <row r="341" spans="2:60" ht="25.15" customHeight="1" x14ac:dyDescent="0.25">
      <c r="B341" s="49">
        <v>337</v>
      </c>
      <c r="C341" s="37"/>
      <c r="D341" s="41"/>
      <c r="E341" s="40"/>
      <c r="F341" s="87" t="str">
        <f>IF(tbl_estimated_costs_quantities[[#This Row],[House Code]]&lt;&gt;"",INDEX(tbl_Assessment[],MATCH(tbl_estimated_costs_quantities[[#This Row],[House Code]],tbl_Assessment[House Code],0),3),"")</f>
        <v/>
      </c>
      <c r="G341" s="115" t="str">
        <f>IF(tbl_estimated_costs_quantities[[#This Row],[House Code]]&lt;&gt;"",INDEX(tbl_Assessment[],MATCH(tbl_estimated_costs_quantities[[#This Row],[House Code]],tbl_Assessment[House Code],0),9),"")</f>
        <v/>
      </c>
      <c r="H34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1" s="75"/>
      <c r="J341" s="37"/>
      <c r="K341" s="86">
        <f>tbl_estimated_costs_quantities[[#This Row],[Site Preparation]]*BOQs!$L$3</f>
        <v>0</v>
      </c>
      <c r="L341" s="76"/>
      <c r="M341" s="37"/>
      <c r="N341" s="86">
        <f>tbl_estimated_costs_quantities[[#This Row],[Demolition Removal Unsafe Structures]]*BOQs!$L$4</f>
        <v>0</v>
      </c>
      <c r="O341" s="76"/>
      <c r="P341" s="37"/>
      <c r="Q341" s="86">
        <f>tbl_estimated_costs_quantities[[#This Row],[Concrete Works]]*BOQs!$L$5</f>
        <v>0</v>
      </c>
      <c r="R341" s="76"/>
      <c r="S341" s="37"/>
      <c r="T341" s="86">
        <f>tbl_estimated_costs_quantities[[#This Row],[Closure External Openings Walls Windows]]*BOQs!$L$6</f>
        <v>0</v>
      </c>
      <c r="U341" s="76"/>
      <c r="V341" s="37"/>
      <c r="W341" s="86">
        <f>tbl_estimated_costs_quantities[[#This Row],[Plastering Painting]]*BOQs!$L$7</f>
        <v>0</v>
      </c>
      <c r="X341" s="76"/>
      <c r="Y341" s="37"/>
      <c r="Z341" s="86">
        <f>tbl_estimated_costs_quantities[[#This Row],[Floor Repairs]]*BOQs!$L$8</f>
        <v>0</v>
      </c>
      <c r="AA341" s="76"/>
      <c r="AB341" s="37"/>
      <c r="AC341" s="86">
        <f>tbl_estimated_costs_quantities[[#This Row],[Doors Replacement Repair]]*BOQs!$L$9</f>
        <v>0</v>
      </c>
      <c r="AD341" s="76"/>
      <c r="AE341" s="37"/>
      <c r="AF341" s="86">
        <f>tbl_estimated_costs_quantities[[#This Row],[Windows Replacement Repair]]*BOQs!$L$10</f>
        <v>0</v>
      </c>
      <c r="AG341" s="76"/>
      <c r="AH341" s="37"/>
      <c r="AI341" s="86">
        <f>tbl_estimated_costs_quantities[[#This Row],[Bathroom Rehabilitation]]*BOQs!$L$11</f>
        <v>0</v>
      </c>
      <c r="AJ341" s="76"/>
      <c r="AK341" s="37"/>
      <c r="AL341" s="86">
        <f>tbl_estimated_costs_quantities[[#This Row],[Ceramic Tile Works WASH]]*BOQs!$L$12</f>
        <v>0</v>
      </c>
      <c r="AM341" s="76"/>
      <c r="AN341" s="37"/>
      <c r="AO341" s="86">
        <f>tbl_estimated_costs_quantities[[#This Row],[Electrical Repairs Lighting]]*BOQs!$L$13</f>
        <v>0</v>
      </c>
      <c r="AP341" s="76"/>
      <c r="AQ341" s="37"/>
      <c r="AR341" s="86">
        <f>tbl_estimated_costs_quantities[[#This Row],[Roof Insulation Leak Sealing]]*BOQs!$L$14</f>
        <v>0</v>
      </c>
      <c r="AS341" s="76"/>
      <c r="AT341" s="37"/>
      <c r="AU341" s="86">
        <f>tbl_estimated_costs_quantities[[#This Row],[Chimney Duct Cleaning Repair]]*BOQs!$L$15</f>
        <v>0</v>
      </c>
      <c r="AV341" s="76"/>
      <c r="AW341" s="37"/>
      <c r="AX341" s="89">
        <f>tbl_estimated_costs_quantities[[#This Row],[Accessibility Adaptations]]*BOQs!$L$16</f>
        <v>0</v>
      </c>
      <c r="AY341" s="86" t="str">
        <f>IF(tbl_estimated_costs_quantities[[#This Row],[Total cost]]&lt;&gt;0,tbl_estimated_costs_quantities[[#This Row],[Total cost]]/BOQs!$A$1,"")</f>
        <v/>
      </c>
      <c r="AZ341" s="37"/>
      <c r="BA341" s="37"/>
      <c r="BB341" s="37"/>
      <c r="BC341" s="37"/>
      <c r="BD341" s="41"/>
      <c r="BE341" s="37"/>
      <c r="BF341" s="37"/>
      <c r="BG341" s="37"/>
      <c r="BH341" s="41"/>
    </row>
    <row r="342" spans="2:60" ht="25.15" customHeight="1" x14ac:dyDescent="0.25">
      <c r="B342" s="49">
        <v>338</v>
      </c>
      <c r="C342" s="37"/>
      <c r="D342" s="41"/>
      <c r="E342" s="40"/>
      <c r="F342" s="87" t="str">
        <f>IF(tbl_estimated_costs_quantities[[#This Row],[House Code]]&lt;&gt;"",INDEX(tbl_Assessment[],MATCH(tbl_estimated_costs_quantities[[#This Row],[House Code]],tbl_Assessment[House Code],0),3),"")</f>
        <v/>
      </c>
      <c r="G342" s="115" t="str">
        <f>IF(tbl_estimated_costs_quantities[[#This Row],[House Code]]&lt;&gt;"",INDEX(tbl_Assessment[],MATCH(tbl_estimated_costs_quantities[[#This Row],[House Code]],tbl_Assessment[House Code],0),9),"")</f>
        <v/>
      </c>
      <c r="H34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2" s="75"/>
      <c r="J342" s="37"/>
      <c r="K342" s="86">
        <f>tbl_estimated_costs_quantities[[#This Row],[Site Preparation]]*BOQs!$L$3</f>
        <v>0</v>
      </c>
      <c r="L342" s="76"/>
      <c r="M342" s="37"/>
      <c r="N342" s="86">
        <f>tbl_estimated_costs_quantities[[#This Row],[Demolition Removal Unsafe Structures]]*BOQs!$L$4</f>
        <v>0</v>
      </c>
      <c r="O342" s="76"/>
      <c r="P342" s="37"/>
      <c r="Q342" s="86">
        <f>tbl_estimated_costs_quantities[[#This Row],[Concrete Works]]*BOQs!$L$5</f>
        <v>0</v>
      </c>
      <c r="R342" s="76"/>
      <c r="S342" s="37"/>
      <c r="T342" s="86">
        <f>tbl_estimated_costs_quantities[[#This Row],[Closure External Openings Walls Windows]]*BOQs!$L$6</f>
        <v>0</v>
      </c>
      <c r="U342" s="76"/>
      <c r="V342" s="37"/>
      <c r="W342" s="86">
        <f>tbl_estimated_costs_quantities[[#This Row],[Plastering Painting]]*BOQs!$L$7</f>
        <v>0</v>
      </c>
      <c r="X342" s="76"/>
      <c r="Y342" s="37"/>
      <c r="Z342" s="86">
        <f>tbl_estimated_costs_quantities[[#This Row],[Floor Repairs]]*BOQs!$L$8</f>
        <v>0</v>
      </c>
      <c r="AA342" s="76"/>
      <c r="AB342" s="37"/>
      <c r="AC342" s="86">
        <f>tbl_estimated_costs_quantities[[#This Row],[Doors Replacement Repair]]*BOQs!$L$9</f>
        <v>0</v>
      </c>
      <c r="AD342" s="76"/>
      <c r="AE342" s="37"/>
      <c r="AF342" s="86">
        <f>tbl_estimated_costs_quantities[[#This Row],[Windows Replacement Repair]]*BOQs!$L$10</f>
        <v>0</v>
      </c>
      <c r="AG342" s="76"/>
      <c r="AH342" s="37"/>
      <c r="AI342" s="86">
        <f>tbl_estimated_costs_quantities[[#This Row],[Bathroom Rehabilitation]]*BOQs!$L$11</f>
        <v>0</v>
      </c>
      <c r="AJ342" s="76"/>
      <c r="AK342" s="37"/>
      <c r="AL342" s="86">
        <f>tbl_estimated_costs_quantities[[#This Row],[Ceramic Tile Works WASH]]*BOQs!$L$12</f>
        <v>0</v>
      </c>
      <c r="AM342" s="76"/>
      <c r="AN342" s="37"/>
      <c r="AO342" s="86">
        <f>tbl_estimated_costs_quantities[[#This Row],[Electrical Repairs Lighting]]*BOQs!$L$13</f>
        <v>0</v>
      </c>
      <c r="AP342" s="76"/>
      <c r="AQ342" s="37"/>
      <c r="AR342" s="86">
        <f>tbl_estimated_costs_quantities[[#This Row],[Roof Insulation Leak Sealing]]*BOQs!$L$14</f>
        <v>0</v>
      </c>
      <c r="AS342" s="76"/>
      <c r="AT342" s="37"/>
      <c r="AU342" s="86">
        <f>tbl_estimated_costs_quantities[[#This Row],[Chimney Duct Cleaning Repair]]*BOQs!$L$15</f>
        <v>0</v>
      </c>
      <c r="AV342" s="76"/>
      <c r="AW342" s="37"/>
      <c r="AX342" s="89">
        <f>tbl_estimated_costs_quantities[[#This Row],[Accessibility Adaptations]]*BOQs!$L$16</f>
        <v>0</v>
      </c>
      <c r="AY342" s="86" t="str">
        <f>IF(tbl_estimated_costs_quantities[[#This Row],[Total cost]]&lt;&gt;0,tbl_estimated_costs_quantities[[#This Row],[Total cost]]/BOQs!$A$1,"")</f>
        <v/>
      </c>
      <c r="AZ342" s="37"/>
      <c r="BA342" s="37"/>
      <c r="BB342" s="37"/>
      <c r="BC342" s="37"/>
      <c r="BD342" s="41"/>
      <c r="BE342" s="37"/>
      <c r="BF342" s="37"/>
      <c r="BG342" s="37"/>
      <c r="BH342" s="41"/>
    </row>
    <row r="343" spans="2:60" ht="25.15" customHeight="1" x14ac:dyDescent="0.25">
      <c r="B343" s="49">
        <v>339</v>
      </c>
      <c r="C343" s="37"/>
      <c r="D343" s="41"/>
      <c r="E343" s="40"/>
      <c r="F343" s="87" t="str">
        <f>IF(tbl_estimated_costs_quantities[[#This Row],[House Code]]&lt;&gt;"",INDEX(tbl_Assessment[],MATCH(tbl_estimated_costs_quantities[[#This Row],[House Code]],tbl_Assessment[House Code],0),3),"")</f>
        <v/>
      </c>
      <c r="G343" s="115" t="str">
        <f>IF(tbl_estimated_costs_quantities[[#This Row],[House Code]]&lt;&gt;"",INDEX(tbl_Assessment[],MATCH(tbl_estimated_costs_quantities[[#This Row],[House Code]],tbl_Assessment[House Code],0),9),"")</f>
        <v/>
      </c>
      <c r="H34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3" s="75"/>
      <c r="J343" s="37"/>
      <c r="K343" s="86">
        <f>tbl_estimated_costs_quantities[[#This Row],[Site Preparation]]*BOQs!$L$3</f>
        <v>0</v>
      </c>
      <c r="L343" s="76"/>
      <c r="M343" s="37"/>
      <c r="N343" s="86">
        <f>tbl_estimated_costs_quantities[[#This Row],[Demolition Removal Unsafe Structures]]*BOQs!$L$4</f>
        <v>0</v>
      </c>
      <c r="O343" s="76"/>
      <c r="P343" s="37"/>
      <c r="Q343" s="86">
        <f>tbl_estimated_costs_quantities[[#This Row],[Concrete Works]]*BOQs!$L$5</f>
        <v>0</v>
      </c>
      <c r="R343" s="76"/>
      <c r="S343" s="37"/>
      <c r="T343" s="86">
        <f>tbl_estimated_costs_quantities[[#This Row],[Closure External Openings Walls Windows]]*BOQs!$L$6</f>
        <v>0</v>
      </c>
      <c r="U343" s="76"/>
      <c r="V343" s="37"/>
      <c r="W343" s="86">
        <f>tbl_estimated_costs_quantities[[#This Row],[Plastering Painting]]*BOQs!$L$7</f>
        <v>0</v>
      </c>
      <c r="X343" s="76"/>
      <c r="Y343" s="37"/>
      <c r="Z343" s="86">
        <f>tbl_estimated_costs_quantities[[#This Row],[Floor Repairs]]*BOQs!$L$8</f>
        <v>0</v>
      </c>
      <c r="AA343" s="76"/>
      <c r="AB343" s="37"/>
      <c r="AC343" s="86">
        <f>tbl_estimated_costs_quantities[[#This Row],[Doors Replacement Repair]]*BOQs!$L$9</f>
        <v>0</v>
      </c>
      <c r="AD343" s="76"/>
      <c r="AE343" s="37"/>
      <c r="AF343" s="86">
        <f>tbl_estimated_costs_quantities[[#This Row],[Windows Replacement Repair]]*BOQs!$L$10</f>
        <v>0</v>
      </c>
      <c r="AG343" s="76"/>
      <c r="AH343" s="37"/>
      <c r="AI343" s="86">
        <f>tbl_estimated_costs_quantities[[#This Row],[Bathroom Rehabilitation]]*BOQs!$L$11</f>
        <v>0</v>
      </c>
      <c r="AJ343" s="76"/>
      <c r="AK343" s="37"/>
      <c r="AL343" s="86">
        <f>tbl_estimated_costs_quantities[[#This Row],[Ceramic Tile Works WASH]]*BOQs!$L$12</f>
        <v>0</v>
      </c>
      <c r="AM343" s="76"/>
      <c r="AN343" s="37"/>
      <c r="AO343" s="86">
        <f>tbl_estimated_costs_quantities[[#This Row],[Electrical Repairs Lighting]]*BOQs!$L$13</f>
        <v>0</v>
      </c>
      <c r="AP343" s="76"/>
      <c r="AQ343" s="37"/>
      <c r="AR343" s="86">
        <f>tbl_estimated_costs_quantities[[#This Row],[Roof Insulation Leak Sealing]]*BOQs!$L$14</f>
        <v>0</v>
      </c>
      <c r="AS343" s="76"/>
      <c r="AT343" s="37"/>
      <c r="AU343" s="86">
        <f>tbl_estimated_costs_quantities[[#This Row],[Chimney Duct Cleaning Repair]]*BOQs!$L$15</f>
        <v>0</v>
      </c>
      <c r="AV343" s="76"/>
      <c r="AW343" s="37"/>
      <c r="AX343" s="89">
        <f>tbl_estimated_costs_quantities[[#This Row],[Accessibility Adaptations]]*BOQs!$L$16</f>
        <v>0</v>
      </c>
      <c r="AY343" s="86" t="str">
        <f>IF(tbl_estimated_costs_quantities[[#This Row],[Total cost]]&lt;&gt;0,tbl_estimated_costs_quantities[[#This Row],[Total cost]]/BOQs!$A$1,"")</f>
        <v/>
      </c>
      <c r="AZ343" s="37"/>
      <c r="BA343" s="37"/>
      <c r="BB343" s="37"/>
      <c r="BC343" s="37"/>
      <c r="BD343" s="41"/>
      <c r="BE343" s="37"/>
      <c r="BF343" s="37"/>
      <c r="BG343" s="37"/>
      <c r="BH343" s="41"/>
    </row>
    <row r="344" spans="2:60" ht="25.15" customHeight="1" x14ac:dyDescent="0.25">
      <c r="B344" s="49">
        <v>340</v>
      </c>
      <c r="C344" s="37"/>
      <c r="D344" s="41"/>
      <c r="E344" s="40"/>
      <c r="F344" s="87" t="str">
        <f>IF(tbl_estimated_costs_quantities[[#This Row],[House Code]]&lt;&gt;"",INDEX(tbl_Assessment[],MATCH(tbl_estimated_costs_quantities[[#This Row],[House Code]],tbl_Assessment[House Code],0),3),"")</f>
        <v/>
      </c>
      <c r="G344" s="115" t="str">
        <f>IF(tbl_estimated_costs_quantities[[#This Row],[House Code]]&lt;&gt;"",INDEX(tbl_Assessment[],MATCH(tbl_estimated_costs_quantities[[#This Row],[House Code]],tbl_Assessment[House Code],0),9),"")</f>
        <v/>
      </c>
      <c r="H34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4" s="75"/>
      <c r="J344" s="37"/>
      <c r="K344" s="86">
        <f>tbl_estimated_costs_quantities[[#This Row],[Site Preparation]]*BOQs!$L$3</f>
        <v>0</v>
      </c>
      <c r="L344" s="76"/>
      <c r="M344" s="37"/>
      <c r="N344" s="86">
        <f>tbl_estimated_costs_quantities[[#This Row],[Demolition Removal Unsafe Structures]]*BOQs!$L$4</f>
        <v>0</v>
      </c>
      <c r="O344" s="76"/>
      <c r="P344" s="37"/>
      <c r="Q344" s="86">
        <f>tbl_estimated_costs_quantities[[#This Row],[Concrete Works]]*BOQs!$L$5</f>
        <v>0</v>
      </c>
      <c r="R344" s="76"/>
      <c r="S344" s="37"/>
      <c r="T344" s="86">
        <f>tbl_estimated_costs_quantities[[#This Row],[Closure External Openings Walls Windows]]*BOQs!$L$6</f>
        <v>0</v>
      </c>
      <c r="U344" s="76"/>
      <c r="V344" s="37"/>
      <c r="W344" s="86">
        <f>tbl_estimated_costs_quantities[[#This Row],[Plastering Painting]]*BOQs!$L$7</f>
        <v>0</v>
      </c>
      <c r="X344" s="76"/>
      <c r="Y344" s="37"/>
      <c r="Z344" s="86">
        <f>tbl_estimated_costs_quantities[[#This Row],[Floor Repairs]]*BOQs!$L$8</f>
        <v>0</v>
      </c>
      <c r="AA344" s="76"/>
      <c r="AB344" s="37"/>
      <c r="AC344" s="86">
        <f>tbl_estimated_costs_quantities[[#This Row],[Doors Replacement Repair]]*BOQs!$L$9</f>
        <v>0</v>
      </c>
      <c r="AD344" s="76"/>
      <c r="AE344" s="37"/>
      <c r="AF344" s="86">
        <f>tbl_estimated_costs_quantities[[#This Row],[Windows Replacement Repair]]*BOQs!$L$10</f>
        <v>0</v>
      </c>
      <c r="AG344" s="76"/>
      <c r="AH344" s="37"/>
      <c r="AI344" s="86">
        <f>tbl_estimated_costs_quantities[[#This Row],[Bathroom Rehabilitation]]*BOQs!$L$11</f>
        <v>0</v>
      </c>
      <c r="AJ344" s="76"/>
      <c r="AK344" s="37"/>
      <c r="AL344" s="86">
        <f>tbl_estimated_costs_quantities[[#This Row],[Ceramic Tile Works WASH]]*BOQs!$L$12</f>
        <v>0</v>
      </c>
      <c r="AM344" s="76"/>
      <c r="AN344" s="37"/>
      <c r="AO344" s="86">
        <f>tbl_estimated_costs_quantities[[#This Row],[Electrical Repairs Lighting]]*BOQs!$L$13</f>
        <v>0</v>
      </c>
      <c r="AP344" s="76"/>
      <c r="AQ344" s="37"/>
      <c r="AR344" s="86">
        <f>tbl_estimated_costs_quantities[[#This Row],[Roof Insulation Leak Sealing]]*BOQs!$L$14</f>
        <v>0</v>
      </c>
      <c r="AS344" s="76"/>
      <c r="AT344" s="37"/>
      <c r="AU344" s="86">
        <f>tbl_estimated_costs_quantities[[#This Row],[Chimney Duct Cleaning Repair]]*BOQs!$L$15</f>
        <v>0</v>
      </c>
      <c r="AV344" s="76"/>
      <c r="AW344" s="37"/>
      <c r="AX344" s="89">
        <f>tbl_estimated_costs_quantities[[#This Row],[Accessibility Adaptations]]*BOQs!$L$16</f>
        <v>0</v>
      </c>
      <c r="AY344" s="86" t="str">
        <f>IF(tbl_estimated_costs_quantities[[#This Row],[Total cost]]&lt;&gt;0,tbl_estimated_costs_quantities[[#This Row],[Total cost]]/BOQs!$A$1,"")</f>
        <v/>
      </c>
      <c r="AZ344" s="37"/>
      <c r="BA344" s="37"/>
      <c r="BB344" s="37"/>
      <c r="BC344" s="37"/>
      <c r="BD344" s="41"/>
      <c r="BE344" s="37"/>
      <c r="BF344" s="37"/>
      <c r="BG344" s="37"/>
      <c r="BH344" s="41"/>
    </row>
    <row r="345" spans="2:60" ht="25.15" customHeight="1" x14ac:dyDescent="0.25">
      <c r="B345" s="49">
        <v>341</v>
      </c>
      <c r="C345" s="37"/>
      <c r="D345" s="41"/>
      <c r="E345" s="40"/>
      <c r="F345" s="87" t="str">
        <f>IF(tbl_estimated_costs_quantities[[#This Row],[House Code]]&lt;&gt;"",INDEX(tbl_Assessment[],MATCH(tbl_estimated_costs_quantities[[#This Row],[House Code]],tbl_Assessment[House Code],0),3),"")</f>
        <v/>
      </c>
      <c r="G345" s="115" t="str">
        <f>IF(tbl_estimated_costs_quantities[[#This Row],[House Code]]&lt;&gt;"",INDEX(tbl_Assessment[],MATCH(tbl_estimated_costs_quantities[[#This Row],[House Code]],tbl_Assessment[House Code],0),9),"")</f>
        <v/>
      </c>
      <c r="H34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5" s="75"/>
      <c r="J345" s="37"/>
      <c r="K345" s="86">
        <f>tbl_estimated_costs_quantities[[#This Row],[Site Preparation]]*BOQs!$L$3</f>
        <v>0</v>
      </c>
      <c r="L345" s="76"/>
      <c r="M345" s="37"/>
      <c r="N345" s="86">
        <f>tbl_estimated_costs_quantities[[#This Row],[Demolition Removal Unsafe Structures]]*BOQs!$L$4</f>
        <v>0</v>
      </c>
      <c r="O345" s="76"/>
      <c r="P345" s="37"/>
      <c r="Q345" s="86">
        <f>tbl_estimated_costs_quantities[[#This Row],[Concrete Works]]*BOQs!$L$5</f>
        <v>0</v>
      </c>
      <c r="R345" s="76"/>
      <c r="S345" s="37"/>
      <c r="T345" s="86">
        <f>tbl_estimated_costs_quantities[[#This Row],[Closure External Openings Walls Windows]]*BOQs!$L$6</f>
        <v>0</v>
      </c>
      <c r="U345" s="76"/>
      <c r="V345" s="37"/>
      <c r="W345" s="86">
        <f>tbl_estimated_costs_quantities[[#This Row],[Plastering Painting]]*BOQs!$L$7</f>
        <v>0</v>
      </c>
      <c r="X345" s="76"/>
      <c r="Y345" s="37"/>
      <c r="Z345" s="86">
        <f>tbl_estimated_costs_quantities[[#This Row],[Floor Repairs]]*BOQs!$L$8</f>
        <v>0</v>
      </c>
      <c r="AA345" s="76"/>
      <c r="AB345" s="37"/>
      <c r="AC345" s="86">
        <f>tbl_estimated_costs_quantities[[#This Row],[Doors Replacement Repair]]*BOQs!$L$9</f>
        <v>0</v>
      </c>
      <c r="AD345" s="76"/>
      <c r="AE345" s="37"/>
      <c r="AF345" s="86">
        <f>tbl_estimated_costs_quantities[[#This Row],[Windows Replacement Repair]]*BOQs!$L$10</f>
        <v>0</v>
      </c>
      <c r="AG345" s="76"/>
      <c r="AH345" s="37"/>
      <c r="AI345" s="86">
        <f>tbl_estimated_costs_quantities[[#This Row],[Bathroom Rehabilitation]]*BOQs!$L$11</f>
        <v>0</v>
      </c>
      <c r="AJ345" s="76"/>
      <c r="AK345" s="37"/>
      <c r="AL345" s="86">
        <f>tbl_estimated_costs_quantities[[#This Row],[Ceramic Tile Works WASH]]*BOQs!$L$12</f>
        <v>0</v>
      </c>
      <c r="AM345" s="76"/>
      <c r="AN345" s="37"/>
      <c r="AO345" s="86">
        <f>tbl_estimated_costs_quantities[[#This Row],[Electrical Repairs Lighting]]*BOQs!$L$13</f>
        <v>0</v>
      </c>
      <c r="AP345" s="76"/>
      <c r="AQ345" s="37"/>
      <c r="AR345" s="86">
        <f>tbl_estimated_costs_quantities[[#This Row],[Roof Insulation Leak Sealing]]*BOQs!$L$14</f>
        <v>0</v>
      </c>
      <c r="AS345" s="76"/>
      <c r="AT345" s="37"/>
      <c r="AU345" s="86">
        <f>tbl_estimated_costs_quantities[[#This Row],[Chimney Duct Cleaning Repair]]*BOQs!$L$15</f>
        <v>0</v>
      </c>
      <c r="AV345" s="76"/>
      <c r="AW345" s="37"/>
      <c r="AX345" s="89">
        <f>tbl_estimated_costs_quantities[[#This Row],[Accessibility Adaptations]]*BOQs!$L$16</f>
        <v>0</v>
      </c>
      <c r="AY345" s="86" t="str">
        <f>IF(tbl_estimated_costs_quantities[[#This Row],[Total cost]]&lt;&gt;0,tbl_estimated_costs_quantities[[#This Row],[Total cost]]/BOQs!$A$1,"")</f>
        <v/>
      </c>
      <c r="AZ345" s="37"/>
      <c r="BA345" s="37"/>
      <c r="BB345" s="37"/>
      <c r="BC345" s="37"/>
      <c r="BD345" s="41"/>
      <c r="BE345" s="37"/>
      <c r="BF345" s="37"/>
      <c r="BG345" s="37"/>
      <c r="BH345" s="41"/>
    </row>
    <row r="346" spans="2:60" ht="25.15" customHeight="1" x14ac:dyDescent="0.25">
      <c r="B346" s="49">
        <v>342</v>
      </c>
      <c r="C346" s="37"/>
      <c r="D346" s="41"/>
      <c r="E346" s="40"/>
      <c r="F346" s="87" t="str">
        <f>IF(tbl_estimated_costs_quantities[[#This Row],[House Code]]&lt;&gt;"",INDEX(tbl_Assessment[],MATCH(tbl_estimated_costs_quantities[[#This Row],[House Code]],tbl_Assessment[House Code],0),3),"")</f>
        <v/>
      </c>
      <c r="G346" s="115" t="str">
        <f>IF(tbl_estimated_costs_quantities[[#This Row],[House Code]]&lt;&gt;"",INDEX(tbl_Assessment[],MATCH(tbl_estimated_costs_quantities[[#This Row],[House Code]],tbl_Assessment[House Code],0),9),"")</f>
        <v/>
      </c>
      <c r="H34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6" s="75"/>
      <c r="J346" s="37"/>
      <c r="K346" s="86">
        <f>tbl_estimated_costs_quantities[[#This Row],[Site Preparation]]*BOQs!$L$3</f>
        <v>0</v>
      </c>
      <c r="L346" s="76"/>
      <c r="M346" s="37"/>
      <c r="N346" s="86">
        <f>tbl_estimated_costs_quantities[[#This Row],[Demolition Removal Unsafe Structures]]*BOQs!$L$4</f>
        <v>0</v>
      </c>
      <c r="O346" s="76"/>
      <c r="P346" s="37"/>
      <c r="Q346" s="86">
        <f>tbl_estimated_costs_quantities[[#This Row],[Concrete Works]]*BOQs!$L$5</f>
        <v>0</v>
      </c>
      <c r="R346" s="76"/>
      <c r="S346" s="37"/>
      <c r="T346" s="86">
        <f>tbl_estimated_costs_quantities[[#This Row],[Closure External Openings Walls Windows]]*BOQs!$L$6</f>
        <v>0</v>
      </c>
      <c r="U346" s="76"/>
      <c r="V346" s="37"/>
      <c r="W346" s="86">
        <f>tbl_estimated_costs_quantities[[#This Row],[Plastering Painting]]*BOQs!$L$7</f>
        <v>0</v>
      </c>
      <c r="X346" s="76"/>
      <c r="Y346" s="37"/>
      <c r="Z346" s="86">
        <f>tbl_estimated_costs_quantities[[#This Row],[Floor Repairs]]*BOQs!$L$8</f>
        <v>0</v>
      </c>
      <c r="AA346" s="76"/>
      <c r="AB346" s="37"/>
      <c r="AC346" s="86">
        <f>tbl_estimated_costs_quantities[[#This Row],[Doors Replacement Repair]]*BOQs!$L$9</f>
        <v>0</v>
      </c>
      <c r="AD346" s="76"/>
      <c r="AE346" s="37"/>
      <c r="AF346" s="86">
        <f>tbl_estimated_costs_quantities[[#This Row],[Windows Replacement Repair]]*BOQs!$L$10</f>
        <v>0</v>
      </c>
      <c r="AG346" s="76"/>
      <c r="AH346" s="37"/>
      <c r="AI346" s="86">
        <f>tbl_estimated_costs_quantities[[#This Row],[Bathroom Rehabilitation]]*BOQs!$L$11</f>
        <v>0</v>
      </c>
      <c r="AJ346" s="76"/>
      <c r="AK346" s="37"/>
      <c r="AL346" s="86">
        <f>tbl_estimated_costs_quantities[[#This Row],[Ceramic Tile Works WASH]]*BOQs!$L$12</f>
        <v>0</v>
      </c>
      <c r="AM346" s="76"/>
      <c r="AN346" s="37"/>
      <c r="AO346" s="86">
        <f>tbl_estimated_costs_quantities[[#This Row],[Electrical Repairs Lighting]]*BOQs!$L$13</f>
        <v>0</v>
      </c>
      <c r="AP346" s="76"/>
      <c r="AQ346" s="37"/>
      <c r="AR346" s="86">
        <f>tbl_estimated_costs_quantities[[#This Row],[Roof Insulation Leak Sealing]]*BOQs!$L$14</f>
        <v>0</v>
      </c>
      <c r="AS346" s="76"/>
      <c r="AT346" s="37"/>
      <c r="AU346" s="86">
        <f>tbl_estimated_costs_quantities[[#This Row],[Chimney Duct Cleaning Repair]]*BOQs!$L$15</f>
        <v>0</v>
      </c>
      <c r="AV346" s="76"/>
      <c r="AW346" s="37"/>
      <c r="AX346" s="89">
        <f>tbl_estimated_costs_quantities[[#This Row],[Accessibility Adaptations]]*BOQs!$L$16</f>
        <v>0</v>
      </c>
      <c r="AY346" s="86" t="str">
        <f>IF(tbl_estimated_costs_quantities[[#This Row],[Total cost]]&lt;&gt;0,tbl_estimated_costs_quantities[[#This Row],[Total cost]]/BOQs!$A$1,"")</f>
        <v/>
      </c>
      <c r="AZ346" s="37"/>
      <c r="BA346" s="37"/>
      <c r="BB346" s="37"/>
      <c r="BC346" s="37"/>
      <c r="BD346" s="41"/>
      <c r="BE346" s="37"/>
      <c r="BF346" s="37"/>
      <c r="BG346" s="37"/>
      <c r="BH346" s="41"/>
    </row>
    <row r="347" spans="2:60" ht="25.15" customHeight="1" x14ac:dyDescent="0.25">
      <c r="B347" s="49">
        <v>343</v>
      </c>
      <c r="C347" s="37"/>
      <c r="D347" s="41"/>
      <c r="E347" s="40"/>
      <c r="F347" s="87" t="str">
        <f>IF(tbl_estimated_costs_quantities[[#This Row],[House Code]]&lt;&gt;"",INDEX(tbl_Assessment[],MATCH(tbl_estimated_costs_quantities[[#This Row],[House Code]],tbl_Assessment[House Code],0),3),"")</f>
        <v/>
      </c>
      <c r="G347" s="115" t="str">
        <f>IF(tbl_estimated_costs_quantities[[#This Row],[House Code]]&lt;&gt;"",INDEX(tbl_Assessment[],MATCH(tbl_estimated_costs_quantities[[#This Row],[House Code]],tbl_Assessment[House Code],0),9),"")</f>
        <v/>
      </c>
      <c r="H34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7" s="75"/>
      <c r="J347" s="37"/>
      <c r="K347" s="86">
        <f>tbl_estimated_costs_quantities[[#This Row],[Site Preparation]]*BOQs!$L$3</f>
        <v>0</v>
      </c>
      <c r="L347" s="76"/>
      <c r="M347" s="37"/>
      <c r="N347" s="86">
        <f>tbl_estimated_costs_quantities[[#This Row],[Demolition Removal Unsafe Structures]]*BOQs!$L$4</f>
        <v>0</v>
      </c>
      <c r="O347" s="76"/>
      <c r="P347" s="37"/>
      <c r="Q347" s="86">
        <f>tbl_estimated_costs_quantities[[#This Row],[Concrete Works]]*BOQs!$L$5</f>
        <v>0</v>
      </c>
      <c r="R347" s="76"/>
      <c r="S347" s="37"/>
      <c r="T347" s="86">
        <f>tbl_estimated_costs_quantities[[#This Row],[Closure External Openings Walls Windows]]*BOQs!$L$6</f>
        <v>0</v>
      </c>
      <c r="U347" s="76"/>
      <c r="V347" s="37"/>
      <c r="W347" s="86">
        <f>tbl_estimated_costs_quantities[[#This Row],[Plastering Painting]]*BOQs!$L$7</f>
        <v>0</v>
      </c>
      <c r="X347" s="76"/>
      <c r="Y347" s="37"/>
      <c r="Z347" s="86">
        <f>tbl_estimated_costs_quantities[[#This Row],[Floor Repairs]]*BOQs!$L$8</f>
        <v>0</v>
      </c>
      <c r="AA347" s="76"/>
      <c r="AB347" s="37"/>
      <c r="AC347" s="86">
        <f>tbl_estimated_costs_quantities[[#This Row],[Doors Replacement Repair]]*BOQs!$L$9</f>
        <v>0</v>
      </c>
      <c r="AD347" s="76"/>
      <c r="AE347" s="37"/>
      <c r="AF347" s="86">
        <f>tbl_estimated_costs_quantities[[#This Row],[Windows Replacement Repair]]*BOQs!$L$10</f>
        <v>0</v>
      </c>
      <c r="AG347" s="76"/>
      <c r="AH347" s="37"/>
      <c r="AI347" s="86">
        <f>tbl_estimated_costs_quantities[[#This Row],[Bathroom Rehabilitation]]*BOQs!$L$11</f>
        <v>0</v>
      </c>
      <c r="AJ347" s="76"/>
      <c r="AK347" s="37"/>
      <c r="AL347" s="86">
        <f>tbl_estimated_costs_quantities[[#This Row],[Ceramic Tile Works WASH]]*BOQs!$L$12</f>
        <v>0</v>
      </c>
      <c r="AM347" s="76"/>
      <c r="AN347" s="37"/>
      <c r="AO347" s="86">
        <f>tbl_estimated_costs_quantities[[#This Row],[Electrical Repairs Lighting]]*BOQs!$L$13</f>
        <v>0</v>
      </c>
      <c r="AP347" s="76"/>
      <c r="AQ347" s="37"/>
      <c r="AR347" s="86">
        <f>tbl_estimated_costs_quantities[[#This Row],[Roof Insulation Leak Sealing]]*BOQs!$L$14</f>
        <v>0</v>
      </c>
      <c r="AS347" s="76"/>
      <c r="AT347" s="37"/>
      <c r="AU347" s="86">
        <f>tbl_estimated_costs_quantities[[#This Row],[Chimney Duct Cleaning Repair]]*BOQs!$L$15</f>
        <v>0</v>
      </c>
      <c r="AV347" s="76"/>
      <c r="AW347" s="37"/>
      <c r="AX347" s="89">
        <f>tbl_estimated_costs_quantities[[#This Row],[Accessibility Adaptations]]*BOQs!$L$16</f>
        <v>0</v>
      </c>
      <c r="AY347" s="86" t="str">
        <f>IF(tbl_estimated_costs_quantities[[#This Row],[Total cost]]&lt;&gt;0,tbl_estimated_costs_quantities[[#This Row],[Total cost]]/BOQs!$A$1,"")</f>
        <v/>
      </c>
      <c r="AZ347" s="37"/>
      <c r="BA347" s="37"/>
      <c r="BB347" s="37"/>
      <c r="BC347" s="37"/>
      <c r="BD347" s="41"/>
      <c r="BE347" s="37"/>
      <c r="BF347" s="37"/>
      <c r="BG347" s="37"/>
      <c r="BH347" s="41"/>
    </row>
    <row r="348" spans="2:60" ht="25.15" customHeight="1" x14ac:dyDescent="0.25">
      <c r="B348" s="49">
        <v>344</v>
      </c>
      <c r="C348" s="37"/>
      <c r="D348" s="41"/>
      <c r="E348" s="40"/>
      <c r="F348" s="87" t="str">
        <f>IF(tbl_estimated_costs_quantities[[#This Row],[House Code]]&lt;&gt;"",INDEX(tbl_Assessment[],MATCH(tbl_estimated_costs_quantities[[#This Row],[House Code]],tbl_Assessment[House Code],0),3),"")</f>
        <v/>
      </c>
      <c r="G348" s="115" t="str">
        <f>IF(tbl_estimated_costs_quantities[[#This Row],[House Code]]&lt;&gt;"",INDEX(tbl_Assessment[],MATCH(tbl_estimated_costs_quantities[[#This Row],[House Code]],tbl_Assessment[House Code],0),9),"")</f>
        <v/>
      </c>
      <c r="H34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8" s="75"/>
      <c r="J348" s="37"/>
      <c r="K348" s="86">
        <f>tbl_estimated_costs_quantities[[#This Row],[Site Preparation]]*BOQs!$L$3</f>
        <v>0</v>
      </c>
      <c r="L348" s="76"/>
      <c r="M348" s="37"/>
      <c r="N348" s="86">
        <f>tbl_estimated_costs_quantities[[#This Row],[Demolition Removal Unsafe Structures]]*BOQs!$L$4</f>
        <v>0</v>
      </c>
      <c r="O348" s="76"/>
      <c r="P348" s="37"/>
      <c r="Q348" s="86">
        <f>tbl_estimated_costs_quantities[[#This Row],[Concrete Works]]*BOQs!$L$5</f>
        <v>0</v>
      </c>
      <c r="R348" s="76"/>
      <c r="S348" s="37"/>
      <c r="T348" s="86">
        <f>tbl_estimated_costs_quantities[[#This Row],[Closure External Openings Walls Windows]]*BOQs!$L$6</f>
        <v>0</v>
      </c>
      <c r="U348" s="76"/>
      <c r="V348" s="37"/>
      <c r="W348" s="86">
        <f>tbl_estimated_costs_quantities[[#This Row],[Plastering Painting]]*BOQs!$L$7</f>
        <v>0</v>
      </c>
      <c r="X348" s="76"/>
      <c r="Y348" s="37"/>
      <c r="Z348" s="86">
        <f>tbl_estimated_costs_quantities[[#This Row],[Floor Repairs]]*BOQs!$L$8</f>
        <v>0</v>
      </c>
      <c r="AA348" s="76"/>
      <c r="AB348" s="37"/>
      <c r="AC348" s="86">
        <f>tbl_estimated_costs_quantities[[#This Row],[Doors Replacement Repair]]*BOQs!$L$9</f>
        <v>0</v>
      </c>
      <c r="AD348" s="76"/>
      <c r="AE348" s="37"/>
      <c r="AF348" s="86">
        <f>tbl_estimated_costs_quantities[[#This Row],[Windows Replacement Repair]]*BOQs!$L$10</f>
        <v>0</v>
      </c>
      <c r="AG348" s="76"/>
      <c r="AH348" s="37"/>
      <c r="AI348" s="86">
        <f>tbl_estimated_costs_quantities[[#This Row],[Bathroom Rehabilitation]]*BOQs!$L$11</f>
        <v>0</v>
      </c>
      <c r="AJ348" s="76"/>
      <c r="AK348" s="37"/>
      <c r="AL348" s="86">
        <f>tbl_estimated_costs_quantities[[#This Row],[Ceramic Tile Works WASH]]*BOQs!$L$12</f>
        <v>0</v>
      </c>
      <c r="AM348" s="76"/>
      <c r="AN348" s="37"/>
      <c r="AO348" s="86">
        <f>tbl_estimated_costs_quantities[[#This Row],[Electrical Repairs Lighting]]*BOQs!$L$13</f>
        <v>0</v>
      </c>
      <c r="AP348" s="76"/>
      <c r="AQ348" s="37"/>
      <c r="AR348" s="86">
        <f>tbl_estimated_costs_quantities[[#This Row],[Roof Insulation Leak Sealing]]*BOQs!$L$14</f>
        <v>0</v>
      </c>
      <c r="AS348" s="76"/>
      <c r="AT348" s="37"/>
      <c r="AU348" s="86">
        <f>tbl_estimated_costs_quantities[[#This Row],[Chimney Duct Cleaning Repair]]*BOQs!$L$15</f>
        <v>0</v>
      </c>
      <c r="AV348" s="76"/>
      <c r="AW348" s="37"/>
      <c r="AX348" s="89">
        <f>tbl_estimated_costs_quantities[[#This Row],[Accessibility Adaptations]]*BOQs!$L$16</f>
        <v>0</v>
      </c>
      <c r="AY348" s="86" t="str">
        <f>IF(tbl_estimated_costs_quantities[[#This Row],[Total cost]]&lt;&gt;0,tbl_estimated_costs_quantities[[#This Row],[Total cost]]/BOQs!$A$1,"")</f>
        <v/>
      </c>
      <c r="AZ348" s="37"/>
      <c r="BA348" s="37"/>
      <c r="BB348" s="37"/>
      <c r="BC348" s="37"/>
      <c r="BD348" s="41"/>
      <c r="BE348" s="37"/>
      <c r="BF348" s="37"/>
      <c r="BG348" s="37"/>
      <c r="BH348" s="41"/>
    </row>
    <row r="349" spans="2:60" ht="25.15" customHeight="1" x14ac:dyDescent="0.25">
      <c r="B349" s="49">
        <v>345</v>
      </c>
      <c r="C349" s="37"/>
      <c r="D349" s="41"/>
      <c r="E349" s="40"/>
      <c r="F349" s="87" t="str">
        <f>IF(tbl_estimated_costs_quantities[[#This Row],[House Code]]&lt;&gt;"",INDEX(tbl_Assessment[],MATCH(tbl_estimated_costs_quantities[[#This Row],[House Code]],tbl_Assessment[House Code],0),3),"")</f>
        <v/>
      </c>
      <c r="G349" s="115" t="str">
        <f>IF(tbl_estimated_costs_quantities[[#This Row],[House Code]]&lt;&gt;"",INDEX(tbl_Assessment[],MATCH(tbl_estimated_costs_quantities[[#This Row],[House Code]],tbl_Assessment[House Code],0),9),"")</f>
        <v/>
      </c>
      <c r="H34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49" s="75"/>
      <c r="J349" s="37"/>
      <c r="K349" s="86">
        <f>tbl_estimated_costs_quantities[[#This Row],[Site Preparation]]*BOQs!$L$3</f>
        <v>0</v>
      </c>
      <c r="L349" s="76"/>
      <c r="M349" s="37"/>
      <c r="N349" s="86">
        <f>tbl_estimated_costs_quantities[[#This Row],[Demolition Removal Unsafe Structures]]*BOQs!$L$4</f>
        <v>0</v>
      </c>
      <c r="O349" s="76"/>
      <c r="P349" s="37"/>
      <c r="Q349" s="86">
        <f>tbl_estimated_costs_quantities[[#This Row],[Concrete Works]]*BOQs!$L$5</f>
        <v>0</v>
      </c>
      <c r="R349" s="76"/>
      <c r="S349" s="37"/>
      <c r="T349" s="86">
        <f>tbl_estimated_costs_quantities[[#This Row],[Closure External Openings Walls Windows]]*BOQs!$L$6</f>
        <v>0</v>
      </c>
      <c r="U349" s="76"/>
      <c r="V349" s="37"/>
      <c r="W349" s="86">
        <f>tbl_estimated_costs_quantities[[#This Row],[Plastering Painting]]*BOQs!$L$7</f>
        <v>0</v>
      </c>
      <c r="X349" s="76"/>
      <c r="Y349" s="37"/>
      <c r="Z349" s="86">
        <f>tbl_estimated_costs_quantities[[#This Row],[Floor Repairs]]*BOQs!$L$8</f>
        <v>0</v>
      </c>
      <c r="AA349" s="76"/>
      <c r="AB349" s="37"/>
      <c r="AC349" s="86">
        <f>tbl_estimated_costs_quantities[[#This Row],[Doors Replacement Repair]]*BOQs!$L$9</f>
        <v>0</v>
      </c>
      <c r="AD349" s="76"/>
      <c r="AE349" s="37"/>
      <c r="AF349" s="86">
        <f>tbl_estimated_costs_quantities[[#This Row],[Windows Replacement Repair]]*BOQs!$L$10</f>
        <v>0</v>
      </c>
      <c r="AG349" s="76"/>
      <c r="AH349" s="37"/>
      <c r="AI349" s="86">
        <f>tbl_estimated_costs_quantities[[#This Row],[Bathroom Rehabilitation]]*BOQs!$L$11</f>
        <v>0</v>
      </c>
      <c r="AJ349" s="76"/>
      <c r="AK349" s="37"/>
      <c r="AL349" s="86">
        <f>tbl_estimated_costs_quantities[[#This Row],[Ceramic Tile Works WASH]]*BOQs!$L$12</f>
        <v>0</v>
      </c>
      <c r="AM349" s="76"/>
      <c r="AN349" s="37"/>
      <c r="AO349" s="86">
        <f>tbl_estimated_costs_quantities[[#This Row],[Electrical Repairs Lighting]]*BOQs!$L$13</f>
        <v>0</v>
      </c>
      <c r="AP349" s="76"/>
      <c r="AQ349" s="37"/>
      <c r="AR349" s="86">
        <f>tbl_estimated_costs_quantities[[#This Row],[Roof Insulation Leak Sealing]]*BOQs!$L$14</f>
        <v>0</v>
      </c>
      <c r="AS349" s="76"/>
      <c r="AT349" s="37"/>
      <c r="AU349" s="86">
        <f>tbl_estimated_costs_quantities[[#This Row],[Chimney Duct Cleaning Repair]]*BOQs!$L$15</f>
        <v>0</v>
      </c>
      <c r="AV349" s="76"/>
      <c r="AW349" s="37"/>
      <c r="AX349" s="89">
        <f>tbl_estimated_costs_quantities[[#This Row],[Accessibility Adaptations]]*BOQs!$L$16</f>
        <v>0</v>
      </c>
      <c r="AY349" s="86" t="str">
        <f>IF(tbl_estimated_costs_quantities[[#This Row],[Total cost]]&lt;&gt;0,tbl_estimated_costs_quantities[[#This Row],[Total cost]]/BOQs!$A$1,"")</f>
        <v/>
      </c>
      <c r="AZ349" s="37"/>
      <c r="BA349" s="37"/>
      <c r="BB349" s="37"/>
      <c r="BC349" s="37"/>
      <c r="BD349" s="41"/>
      <c r="BE349" s="37"/>
      <c r="BF349" s="37"/>
      <c r="BG349" s="37"/>
      <c r="BH349" s="41"/>
    </row>
    <row r="350" spans="2:60" ht="25.15" customHeight="1" x14ac:dyDescent="0.25">
      <c r="B350" s="49">
        <v>346</v>
      </c>
      <c r="C350" s="37"/>
      <c r="D350" s="41"/>
      <c r="E350" s="40"/>
      <c r="F350" s="87" t="str">
        <f>IF(tbl_estimated_costs_quantities[[#This Row],[House Code]]&lt;&gt;"",INDEX(tbl_Assessment[],MATCH(tbl_estimated_costs_quantities[[#This Row],[House Code]],tbl_Assessment[House Code],0),3),"")</f>
        <v/>
      </c>
      <c r="G350" s="115" t="str">
        <f>IF(tbl_estimated_costs_quantities[[#This Row],[House Code]]&lt;&gt;"",INDEX(tbl_Assessment[],MATCH(tbl_estimated_costs_quantities[[#This Row],[House Code]],tbl_Assessment[House Code],0),9),"")</f>
        <v/>
      </c>
      <c r="H35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0" s="75"/>
      <c r="J350" s="37"/>
      <c r="K350" s="86">
        <f>tbl_estimated_costs_quantities[[#This Row],[Site Preparation]]*BOQs!$L$3</f>
        <v>0</v>
      </c>
      <c r="L350" s="76"/>
      <c r="M350" s="37"/>
      <c r="N350" s="86">
        <f>tbl_estimated_costs_quantities[[#This Row],[Demolition Removal Unsafe Structures]]*BOQs!$L$4</f>
        <v>0</v>
      </c>
      <c r="O350" s="76"/>
      <c r="P350" s="37"/>
      <c r="Q350" s="86">
        <f>tbl_estimated_costs_quantities[[#This Row],[Concrete Works]]*BOQs!$L$5</f>
        <v>0</v>
      </c>
      <c r="R350" s="76"/>
      <c r="S350" s="37"/>
      <c r="T350" s="86">
        <f>tbl_estimated_costs_quantities[[#This Row],[Closure External Openings Walls Windows]]*BOQs!$L$6</f>
        <v>0</v>
      </c>
      <c r="U350" s="76"/>
      <c r="V350" s="37"/>
      <c r="W350" s="86">
        <f>tbl_estimated_costs_quantities[[#This Row],[Plastering Painting]]*BOQs!$L$7</f>
        <v>0</v>
      </c>
      <c r="X350" s="76"/>
      <c r="Y350" s="37"/>
      <c r="Z350" s="86">
        <f>tbl_estimated_costs_quantities[[#This Row],[Floor Repairs]]*BOQs!$L$8</f>
        <v>0</v>
      </c>
      <c r="AA350" s="76"/>
      <c r="AB350" s="37"/>
      <c r="AC350" s="86">
        <f>tbl_estimated_costs_quantities[[#This Row],[Doors Replacement Repair]]*BOQs!$L$9</f>
        <v>0</v>
      </c>
      <c r="AD350" s="76"/>
      <c r="AE350" s="37"/>
      <c r="AF350" s="86">
        <f>tbl_estimated_costs_quantities[[#This Row],[Windows Replacement Repair]]*BOQs!$L$10</f>
        <v>0</v>
      </c>
      <c r="AG350" s="76"/>
      <c r="AH350" s="37"/>
      <c r="AI350" s="86">
        <f>tbl_estimated_costs_quantities[[#This Row],[Bathroom Rehabilitation]]*BOQs!$L$11</f>
        <v>0</v>
      </c>
      <c r="AJ350" s="76"/>
      <c r="AK350" s="37"/>
      <c r="AL350" s="86">
        <f>tbl_estimated_costs_quantities[[#This Row],[Ceramic Tile Works WASH]]*BOQs!$L$12</f>
        <v>0</v>
      </c>
      <c r="AM350" s="76"/>
      <c r="AN350" s="37"/>
      <c r="AO350" s="86">
        <f>tbl_estimated_costs_quantities[[#This Row],[Electrical Repairs Lighting]]*BOQs!$L$13</f>
        <v>0</v>
      </c>
      <c r="AP350" s="76"/>
      <c r="AQ350" s="37"/>
      <c r="AR350" s="86">
        <f>tbl_estimated_costs_quantities[[#This Row],[Roof Insulation Leak Sealing]]*BOQs!$L$14</f>
        <v>0</v>
      </c>
      <c r="AS350" s="76"/>
      <c r="AT350" s="37"/>
      <c r="AU350" s="86">
        <f>tbl_estimated_costs_quantities[[#This Row],[Chimney Duct Cleaning Repair]]*BOQs!$L$15</f>
        <v>0</v>
      </c>
      <c r="AV350" s="76"/>
      <c r="AW350" s="37"/>
      <c r="AX350" s="89">
        <f>tbl_estimated_costs_quantities[[#This Row],[Accessibility Adaptations]]*BOQs!$L$16</f>
        <v>0</v>
      </c>
      <c r="AY350" s="86" t="str">
        <f>IF(tbl_estimated_costs_quantities[[#This Row],[Total cost]]&lt;&gt;0,tbl_estimated_costs_quantities[[#This Row],[Total cost]]/BOQs!$A$1,"")</f>
        <v/>
      </c>
      <c r="AZ350" s="37"/>
      <c r="BA350" s="37"/>
      <c r="BB350" s="37"/>
      <c r="BC350" s="37"/>
      <c r="BD350" s="41"/>
      <c r="BE350" s="37"/>
      <c r="BF350" s="37"/>
      <c r="BG350" s="37"/>
      <c r="BH350" s="41"/>
    </row>
    <row r="351" spans="2:60" ht="25.15" customHeight="1" x14ac:dyDescent="0.25">
      <c r="B351" s="49">
        <v>347</v>
      </c>
      <c r="C351" s="37"/>
      <c r="D351" s="41"/>
      <c r="E351" s="40"/>
      <c r="F351" s="87" t="str">
        <f>IF(tbl_estimated_costs_quantities[[#This Row],[House Code]]&lt;&gt;"",INDEX(tbl_Assessment[],MATCH(tbl_estimated_costs_quantities[[#This Row],[House Code]],tbl_Assessment[House Code],0),3),"")</f>
        <v/>
      </c>
      <c r="G351" s="115" t="str">
        <f>IF(tbl_estimated_costs_quantities[[#This Row],[House Code]]&lt;&gt;"",INDEX(tbl_Assessment[],MATCH(tbl_estimated_costs_quantities[[#This Row],[House Code]],tbl_Assessment[House Code],0),9),"")</f>
        <v/>
      </c>
      <c r="H35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1" s="75"/>
      <c r="J351" s="37"/>
      <c r="K351" s="86">
        <f>tbl_estimated_costs_quantities[[#This Row],[Site Preparation]]*BOQs!$L$3</f>
        <v>0</v>
      </c>
      <c r="L351" s="76"/>
      <c r="M351" s="37"/>
      <c r="N351" s="86">
        <f>tbl_estimated_costs_quantities[[#This Row],[Demolition Removal Unsafe Structures]]*BOQs!$L$4</f>
        <v>0</v>
      </c>
      <c r="O351" s="76"/>
      <c r="P351" s="37"/>
      <c r="Q351" s="86">
        <f>tbl_estimated_costs_quantities[[#This Row],[Concrete Works]]*BOQs!$L$5</f>
        <v>0</v>
      </c>
      <c r="R351" s="76"/>
      <c r="S351" s="37"/>
      <c r="T351" s="86">
        <f>tbl_estimated_costs_quantities[[#This Row],[Closure External Openings Walls Windows]]*BOQs!$L$6</f>
        <v>0</v>
      </c>
      <c r="U351" s="76"/>
      <c r="V351" s="37"/>
      <c r="W351" s="86">
        <f>tbl_estimated_costs_quantities[[#This Row],[Plastering Painting]]*BOQs!$L$7</f>
        <v>0</v>
      </c>
      <c r="X351" s="76"/>
      <c r="Y351" s="37"/>
      <c r="Z351" s="86">
        <f>tbl_estimated_costs_quantities[[#This Row],[Floor Repairs]]*BOQs!$L$8</f>
        <v>0</v>
      </c>
      <c r="AA351" s="76"/>
      <c r="AB351" s="37"/>
      <c r="AC351" s="86">
        <f>tbl_estimated_costs_quantities[[#This Row],[Doors Replacement Repair]]*BOQs!$L$9</f>
        <v>0</v>
      </c>
      <c r="AD351" s="76"/>
      <c r="AE351" s="37"/>
      <c r="AF351" s="86">
        <f>tbl_estimated_costs_quantities[[#This Row],[Windows Replacement Repair]]*BOQs!$L$10</f>
        <v>0</v>
      </c>
      <c r="AG351" s="76"/>
      <c r="AH351" s="37"/>
      <c r="AI351" s="86">
        <f>tbl_estimated_costs_quantities[[#This Row],[Bathroom Rehabilitation]]*BOQs!$L$11</f>
        <v>0</v>
      </c>
      <c r="AJ351" s="76"/>
      <c r="AK351" s="37"/>
      <c r="AL351" s="86">
        <f>tbl_estimated_costs_quantities[[#This Row],[Ceramic Tile Works WASH]]*BOQs!$L$12</f>
        <v>0</v>
      </c>
      <c r="AM351" s="76"/>
      <c r="AN351" s="37"/>
      <c r="AO351" s="86">
        <f>tbl_estimated_costs_quantities[[#This Row],[Electrical Repairs Lighting]]*BOQs!$L$13</f>
        <v>0</v>
      </c>
      <c r="AP351" s="76"/>
      <c r="AQ351" s="37"/>
      <c r="AR351" s="86">
        <f>tbl_estimated_costs_quantities[[#This Row],[Roof Insulation Leak Sealing]]*BOQs!$L$14</f>
        <v>0</v>
      </c>
      <c r="AS351" s="76"/>
      <c r="AT351" s="37"/>
      <c r="AU351" s="86">
        <f>tbl_estimated_costs_quantities[[#This Row],[Chimney Duct Cleaning Repair]]*BOQs!$L$15</f>
        <v>0</v>
      </c>
      <c r="AV351" s="76"/>
      <c r="AW351" s="37"/>
      <c r="AX351" s="89">
        <f>tbl_estimated_costs_quantities[[#This Row],[Accessibility Adaptations]]*BOQs!$L$16</f>
        <v>0</v>
      </c>
      <c r="AY351" s="86" t="str">
        <f>IF(tbl_estimated_costs_quantities[[#This Row],[Total cost]]&lt;&gt;0,tbl_estimated_costs_quantities[[#This Row],[Total cost]]/BOQs!$A$1,"")</f>
        <v/>
      </c>
      <c r="AZ351" s="37"/>
      <c r="BA351" s="37"/>
      <c r="BB351" s="37"/>
      <c r="BC351" s="37"/>
      <c r="BD351" s="41"/>
      <c r="BE351" s="37"/>
      <c r="BF351" s="37"/>
      <c r="BG351" s="37"/>
      <c r="BH351" s="41"/>
    </row>
    <row r="352" spans="2:60" ht="25.15" customHeight="1" x14ac:dyDescent="0.25">
      <c r="B352" s="49">
        <v>348</v>
      </c>
      <c r="C352" s="37"/>
      <c r="D352" s="41"/>
      <c r="E352" s="40"/>
      <c r="F352" s="87" t="str">
        <f>IF(tbl_estimated_costs_quantities[[#This Row],[House Code]]&lt;&gt;"",INDEX(tbl_Assessment[],MATCH(tbl_estimated_costs_quantities[[#This Row],[House Code]],tbl_Assessment[House Code],0),3),"")</f>
        <v/>
      </c>
      <c r="G352" s="115" t="str">
        <f>IF(tbl_estimated_costs_quantities[[#This Row],[House Code]]&lt;&gt;"",INDEX(tbl_Assessment[],MATCH(tbl_estimated_costs_quantities[[#This Row],[House Code]],tbl_Assessment[House Code],0),9),"")</f>
        <v/>
      </c>
      <c r="H35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2" s="75"/>
      <c r="J352" s="37"/>
      <c r="K352" s="86">
        <f>tbl_estimated_costs_quantities[[#This Row],[Site Preparation]]*BOQs!$L$3</f>
        <v>0</v>
      </c>
      <c r="L352" s="76"/>
      <c r="M352" s="37"/>
      <c r="N352" s="86">
        <f>tbl_estimated_costs_quantities[[#This Row],[Demolition Removal Unsafe Structures]]*BOQs!$L$4</f>
        <v>0</v>
      </c>
      <c r="O352" s="76"/>
      <c r="P352" s="37"/>
      <c r="Q352" s="86">
        <f>tbl_estimated_costs_quantities[[#This Row],[Concrete Works]]*BOQs!$L$5</f>
        <v>0</v>
      </c>
      <c r="R352" s="76"/>
      <c r="S352" s="37"/>
      <c r="T352" s="86">
        <f>tbl_estimated_costs_quantities[[#This Row],[Closure External Openings Walls Windows]]*BOQs!$L$6</f>
        <v>0</v>
      </c>
      <c r="U352" s="76"/>
      <c r="V352" s="37"/>
      <c r="W352" s="86">
        <f>tbl_estimated_costs_quantities[[#This Row],[Plastering Painting]]*BOQs!$L$7</f>
        <v>0</v>
      </c>
      <c r="X352" s="76"/>
      <c r="Y352" s="37"/>
      <c r="Z352" s="86">
        <f>tbl_estimated_costs_quantities[[#This Row],[Floor Repairs]]*BOQs!$L$8</f>
        <v>0</v>
      </c>
      <c r="AA352" s="76"/>
      <c r="AB352" s="37"/>
      <c r="AC352" s="86">
        <f>tbl_estimated_costs_quantities[[#This Row],[Doors Replacement Repair]]*BOQs!$L$9</f>
        <v>0</v>
      </c>
      <c r="AD352" s="76"/>
      <c r="AE352" s="37"/>
      <c r="AF352" s="86">
        <f>tbl_estimated_costs_quantities[[#This Row],[Windows Replacement Repair]]*BOQs!$L$10</f>
        <v>0</v>
      </c>
      <c r="AG352" s="76"/>
      <c r="AH352" s="37"/>
      <c r="AI352" s="86">
        <f>tbl_estimated_costs_quantities[[#This Row],[Bathroom Rehabilitation]]*BOQs!$L$11</f>
        <v>0</v>
      </c>
      <c r="AJ352" s="76"/>
      <c r="AK352" s="37"/>
      <c r="AL352" s="86">
        <f>tbl_estimated_costs_quantities[[#This Row],[Ceramic Tile Works WASH]]*BOQs!$L$12</f>
        <v>0</v>
      </c>
      <c r="AM352" s="76"/>
      <c r="AN352" s="37"/>
      <c r="AO352" s="86">
        <f>tbl_estimated_costs_quantities[[#This Row],[Electrical Repairs Lighting]]*BOQs!$L$13</f>
        <v>0</v>
      </c>
      <c r="AP352" s="76"/>
      <c r="AQ352" s="37"/>
      <c r="AR352" s="86">
        <f>tbl_estimated_costs_quantities[[#This Row],[Roof Insulation Leak Sealing]]*BOQs!$L$14</f>
        <v>0</v>
      </c>
      <c r="AS352" s="76"/>
      <c r="AT352" s="37"/>
      <c r="AU352" s="86">
        <f>tbl_estimated_costs_quantities[[#This Row],[Chimney Duct Cleaning Repair]]*BOQs!$L$15</f>
        <v>0</v>
      </c>
      <c r="AV352" s="76"/>
      <c r="AW352" s="37"/>
      <c r="AX352" s="89">
        <f>tbl_estimated_costs_quantities[[#This Row],[Accessibility Adaptations]]*BOQs!$L$16</f>
        <v>0</v>
      </c>
      <c r="AY352" s="86" t="str">
        <f>IF(tbl_estimated_costs_quantities[[#This Row],[Total cost]]&lt;&gt;0,tbl_estimated_costs_quantities[[#This Row],[Total cost]]/BOQs!$A$1,"")</f>
        <v/>
      </c>
      <c r="AZ352" s="37"/>
      <c r="BA352" s="37"/>
      <c r="BB352" s="37"/>
      <c r="BC352" s="37"/>
      <c r="BD352" s="41"/>
      <c r="BE352" s="37"/>
      <c r="BF352" s="37"/>
      <c r="BG352" s="37"/>
      <c r="BH352" s="41"/>
    </row>
    <row r="353" spans="2:60" ht="25.15" customHeight="1" x14ac:dyDescent="0.25">
      <c r="B353" s="49">
        <v>349</v>
      </c>
      <c r="C353" s="37"/>
      <c r="D353" s="41"/>
      <c r="E353" s="40"/>
      <c r="F353" s="87" t="str">
        <f>IF(tbl_estimated_costs_quantities[[#This Row],[House Code]]&lt;&gt;"",INDEX(tbl_Assessment[],MATCH(tbl_estimated_costs_quantities[[#This Row],[House Code]],tbl_Assessment[House Code],0),3),"")</f>
        <v/>
      </c>
      <c r="G353" s="115" t="str">
        <f>IF(tbl_estimated_costs_quantities[[#This Row],[House Code]]&lt;&gt;"",INDEX(tbl_Assessment[],MATCH(tbl_estimated_costs_quantities[[#This Row],[House Code]],tbl_Assessment[House Code],0),9),"")</f>
        <v/>
      </c>
      <c r="H35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3" s="75"/>
      <c r="J353" s="37"/>
      <c r="K353" s="86">
        <f>tbl_estimated_costs_quantities[[#This Row],[Site Preparation]]*BOQs!$L$3</f>
        <v>0</v>
      </c>
      <c r="L353" s="76"/>
      <c r="M353" s="37"/>
      <c r="N353" s="86">
        <f>tbl_estimated_costs_quantities[[#This Row],[Demolition Removal Unsafe Structures]]*BOQs!$L$4</f>
        <v>0</v>
      </c>
      <c r="O353" s="76"/>
      <c r="P353" s="37"/>
      <c r="Q353" s="86">
        <f>tbl_estimated_costs_quantities[[#This Row],[Concrete Works]]*BOQs!$L$5</f>
        <v>0</v>
      </c>
      <c r="R353" s="76"/>
      <c r="S353" s="37"/>
      <c r="T353" s="86">
        <f>tbl_estimated_costs_quantities[[#This Row],[Closure External Openings Walls Windows]]*BOQs!$L$6</f>
        <v>0</v>
      </c>
      <c r="U353" s="76"/>
      <c r="V353" s="37"/>
      <c r="W353" s="86">
        <f>tbl_estimated_costs_quantities[[#This Row],[Plastering Painting]]*BOQs!$L$7</f>
        <v>0</v>
      </c>
      <c r="X353" s="76"/>
      <c r="Y353" s="37"/>
      <c r="Z353" s="86">
        <f>tbl_estimated_costs_quantities[[#This Row],[Floor Repairs]]*BOQs!$L$8</f>
        <v>0</v>
      </c>
      <c r="AA353" s="76"/>
      <c r="AB353" s="37"/>
      <c r="AC353" s="86">
        <f>tbl_estimated_costs_quantities[[#This Row],[Doors Replacement Repair]]*BOQs!$L$9</f>
        <v>0</v>
      </c>
      <c r="AD353" s="76"/>
      <c r="AE353" s="37"/>
      <c r="AF353" s="86">
        <f>tbl_estimated_costs_quantities[[#This Row],[Windows Replacement Repair]]*BOQs!$L$10</f>
        <v>0</v>
      </c>
      <c r="AG353" s="76"/>
      <c r="AH353" s="37"/>
      <c r="AI353" s="86">
        <f>tbl_estimated_costs_quantities[[#This Row],[Bathroom Rehabilitation]]*BOQs!$L$11</f>
        <v>0</v>
      </c>
      <c r="AJ353" s="76"/>
      <c r="AK353" s="37"/>
      <c r="AL353" s="86">
        <f>tbl_estimated_costs_quantities[[#This Row],[Ceramic Tile Works WASH]]*BOQs!$L$12</f>
        <v>0</v>
      </c>
      <c r="AM353" s="76"/>
      <c r="AN353" s="37"/>
      <c r="AO353" s="86">
        <f>tbl_estimated_costs_quantities[[#This Row],[Electrical Repairs Lighting]]*BOQs!$L$13</f>
        <v>0</v>
      </c>
      <c r="AP353" s="76"/>
      <c r="AQ353" s="37"/>
      <c r="AR353" s="86">
        <f>tbl_estimated_costs_quantities[[#This Row],[Roof Insulation Leak Sealing]]*BOQs!$L$14</f>
        <v>0</v>
      </c>
      <c r="AS353" s="76"/>
      <c r="AT353" s="37"/>
      <c r="AU353" s="86">
        <f>tbl_estimated_costs_quantities[[#This Row],[Chimney Duct Cleaning Repair]]*BOQs!$L$15</f>
        <v>0</v>
      </c>
      <c r="AV353" s="76"/>
      <c r="AW353" s="37"/>
      <c r="AX353" s="89">
        <f>tbl_estimated_costs_quantities[[#This Row],[Accessibility Adaptations]]*BOQs!$L$16</f>
        <v>0</v>
      </c>
      <c r="AY353" s="86" t="str">
        <f>IF(tbl_estimated_costs_quantities[[#This Row],[Total cost]]&lt;&gt;0,tbl_estimated_costs_quantities[[#This Row],[Total cost]]/BOQs!$A$1,"")</f>
        <v/>
      </c>
      <c r="AZ353" s="37"/>
      <c r="BA353" s="37"/>
      <c r="BB353" s="37"/>
      <c r="BC353" s="37"/>
      <c r="BD353" s="41"/>
      <c r="BE353" s="37"/>
      <c r="BF353" s="37"/>
      <c r="BG353" s="37"/>
      <c r="BH353" s="41"/>
    </row>
    <row r="354" spans="2:60" ht="25.15" customHeight="1" x14ac:dyDescent="0.25">
      <c r="B354" s="49">
        <v>350</v>
      </c>
      <c r="C354" s="37"/>
      <c r="D354" s="41"/>
      <c r="E354" s="40"/>
      <c r="F354" s="87" t="str">
        <f>IF(tbl_estimated_costs_quantities[[#This Row],[House Code]]&lt;&gt;"",INDEX(tbl_Assessment[],MATCH(tbl_estimated_costs_quantities[[#This Row],[House Code]],tbl_Assessment[House Code],0),3),"")</f>
        <v/>
      </c>
      <c r="G354" s="115" t="str">
        <f>IF(tbl_estimated_costs_quantities[[#This Row],[House Code]]&lt;&gt;"",INDEX(tbl_Assessment[],MATCH(tbl_estimated_costs_quantities[[#This Row],[House Code]],tbl_Assessment[House Code],0),9),"")</f>
        <v/>
      </c>
      <c r="H35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4" s="75"/>
      <c r="J354" s="37"/>
      <c r="K354" s="86">
        <f>tbl_estimated_costs_quantities[[#This Row],[Site Preparation]]*BOQs!$L$3</f>
        <v>0</v>
      </c>
      <c r="L354" s="76"/>
      <c r="M354" s="37"/>
      <c r="N354" s="86">
        <f>tbl_estimated_costs_quantities[[#This Row],[Demolition Removal Unsafe Structures]]*BOQs!$L$4</f>
        <v>0</v>
      </c>
      <c r="O354" s="76"/>
      <c r="P354" s="37"/>
      <c r="Q354" s="86">
        <f>tbl_estimated_costs_quantities[[#This Row],[Concrete Works]]*BOQs!$L$5</f>
        <v>0</v>
      </c>
      <c r="R354" s="76"/>
      <c r="S354" s="37"/>
      <c r="T354" s="86">
        <f>tbl_estimated_costs_quantities[[#This Row],[Closure External Openings Walls Windows]]*BOQs!$L$6</f>
        <v>0</v>
      </c>
      <c r="U354" s="76"/>
      <c r="V354" s="37"/>
      <c r="W354" s="86">
        <f>tbl_estimated_costs_quantities[[#This Row],[Plastering Painting]]*BOQs!$L$7</f>
        <v>0</v>
      </c>
      <c r="X354" s="76"/>
      <c r="Y354" s="37"/>
      <c r="Z354" s="86">
        <f>tbl_estimated_costs_quantities[[#This Row],[Floor Repairs]]*BOQs!$L$8</f>
        <v>0</v>
      </c>
      <c r="AA354" s="76"/>
      <c r="AB354" s="37"/>
      <c r="AC354" s="86">
        <f>tbl_estimated_costs_quantities[[#This Row],[Doors Replacement Repair]]*BOQs!$L$9</f>
        <v>0</v>
      </c>
      <c r="AD354" s="76"/>
      <c r="AE354" s="37"/>
      <c r="AF354" s="86">
        <f>tbl_estimated_costs_quantities[[#This Row],[Windows Replacement Repair]]*BOQs!$L$10</f>
        <v>0</v>
      </c>
      <c r="AG354" s="76"/>
      <c r="AH354" s="37"/>
      <c r="AI354" s="86">
        <f>tbl_estimated_costs_quantities[[#This Row],[Bathroom Rehabilitation]]*BOQs!$L$11</f>
        <v>0</v>
      </c>
      <c r="AJ354" s="76"/>
      <c r="AK354" s="37"/>
      <c r="AL354" s="86">
        <f>tbl_estimated_costs_quantities[[#This Row],[Ceramic Tile Works WASH]]*BOQs!$L$12</f>
        <v>0</v>
      </c>
      <c r="AM354" s="76"/>
      <c r="AN354" s="37"/>
      <c r="AO354" s="86">
        <f>tbl_estimated_costs_quantities[[#This Row],[Electrical Repairs Lighting]]*BOQs!$L$13</f>
        <v>0</v>
      </c>
      <c r="AP354" s="76"/>
      <c r="AQ354" s="37"/>
      <c r="AR354" s="86">
        <f>tbl_estimated_costs_quantities[[#This Row],[Roof Insulation Leak Sealing]]*BOQs!$L$14</f>
        <v>0</v>
      </c>
      <c r="AS354" s="76"/>
      <c r="AT354" s="37"/>
      <c r="AU354" s="86">
        <f>tbl_estimated_costs_quantities[[#This Row],[Chimney Duct Cleaning Repair]]*BOQs!$L$15</f>
        <v>0</v>
      </c>
      <c r="AV354" s="76"/>
      <c r="AW354" s="37"/>
      <c r="AX354" s="89">
        <f>tbl_estimated_costs_quantities[[#This Row],[Accessibility Adaptations]]*BOQs!$L$16</f>
        <v>0</v>
      </c>
      <c r="AY354" s="86" t="str">
        <f>IF(tbl_estimated_costs_quantities[[#This Row],[Total cost]]&lt;&gt;0,tbl_estimated_costs_quantities[[#This Row],[Total cost]]/BOQs!$A$1,"")</f>
        <v/>
      </c>
      <c r="AZ354" s="37"/>
      <c r="BA354" s="37"/>
      <c r="BB354" s="37"/>
      <c r="BC354" s="37"/>
      <c r="BD354" s="41"/>
      <c r="BE354" s="37"/>
      <c r="BF354" s="37"/>
      <c r="BG354" s="37"/>
      <c r="BH354" s="41"/>
    </row>
    <row r="355" spans="2:60" ht="25.15" customHeight="1" x14ac:dyDescent="0.25">
      <c r="B355" s="49">
        <v>351</v>
      </c>
      <c r="C355" s="37"/>
      <c r="D355" s="41"/>
      <c r="E355" s="40"/>
      <c r="F355" s="87" t="str">
        <f>IF(tbl_estimated_costs_quantities[[#This Row],[House Code]]&lt;&gt;"",INDEX(tbl_Assessment[],MATCH(tbl_estimated_costs_quantities[[#This Row],[House Code]],tbl_Assessment[House Code],0),3),"")</f>
        <v/>
      </c>
      <c r="G355" s="115" t="str">
        <f>IF(tbl_estimated_costs_quantities[[#This Row],[House Code]]&lt;&gt;"",INDEX(tbl_Assessment[],MATCH(tbl_estimated_costs_quantities[[#This Row],[House Code]],tbl_Assessment[House Code],0),9),"")</f>
        <v/>
      </c>
      <c r="H35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5" s="75"/>
      <c r="J355" s="37"/>
      <c r="K355" s="86">
        <f>tbl_estimated_costs_quantities[[#This Row],[Site Preparation]]*BOQs!$L$3</f>
        <v>0</v>
      </c>
      <c r="L355" s="76"/>
      <c r="M355" s="37"/>
      <c r="N355" s="86">
        <f>tbl_estimated_costs_quantities[[#This Row],[Demolition Removal Unsafe Structures]]*BOQs!$L$4</f>
        <v>0</v>
      </c>
      <c r="O355" s="76"/>
      <c r="P355" s="37"/>
      <c r="Q355" s="86">
        <f>tbl_estimated_costs_quantities[[#This Row],[Concrete Works]]*BOQs!$L$5</f>
        <v>0</v>
      </c>
      <c r="R355" s="76"/>
      <c r="S355" s="37"/>
      <c r="T355" s="86">
        <f>tbl_estimated_costs_quantities[[#This Row],[Closure External Openings Walls Windows]]*BOQs!$L$6</f>
        <v>0</v>
      </c>
      <c r="U355" s="76"/>
      <c r="V355" s="37"/>
      <c r="W355" s="86">
        <f>tbl_estimated_costs_quantities[[#This Row],[Plastering Painting]]*BOQs!$L$7</f>
        <v>0</v>
      </c>
      <c r="X355" s="76"/>
      <c r="Y355" s="37"/>
      <c r="Z355" s="86">
        <f>tbl_estimated_costs_quantities[[#This Row],[Floor Repairs]]*BOQs!$L$8</f>
        <v>0</v>
      </c>
      <c r="AA355" s="76"/>
      <c r="AB355" s="37"/>
      <c r="AC355" s="86">
        <f>tbl_estimated_costs_quantities[[#This Row],[Doors Replacement Repair]]*BOQs!$L$9</f>
        <v>0</v>
      </c>
      <c r="AD355" s="76"/>
      <c r="AE355" s="37"/>
      <c r="AF355" s="86">
        <f>tbl_estimated_costs_quantities[[#This Row],[Windows Replacement Repair]]*BOQs!$L$10</f>
        <v>0</v>
      </c>
      <c r="AG355" s="76"/>
      <c r="AH355" s="37"/>
      <c r="AI355" s="86">
        <f>tbl_estimated_costs_quantities[[#This Row],[Bathroom Rehabilitation]]*BOQs!$L$11</f>
        <v>0</v>
      </c>
      <c r="AJ355" s="76"/>
      <c r="AK355" s="37"/>
      <c r="AL355" s="86">
        <f>tbl_estimated_costs_quantities[[#This Row],[Ceramic Tile Works WASH]]*BOQs!$L$12</f>
        <v>0</v>
      </c>
      <c r="AM355" s="76"/>
      <c r="AN355" s="37"/>
      <c r="AO355" s="86">
        <f>tbl_estimated_costs_quantities[[#This Row],[Electrical Repairs Lighting]]*BOQs!$L$13</f>
        <v>0</v>
      </c>
      <c r="AP355" s="76"/>
      <c r="AQ355" s="37"/>
      <c r="AR355" s="86">
        <f>tbl_estimated_costs_quantities[[#This Row],[Roof Insulation Leak Sealing]]*BOQs!$L$14</f>
        <v>0</v>
      </c>
      <c r="AS355" s="76"/>
      <c r="AT355" s="37"/>
      <c r="AU355" s="86">
        <f>tbl_estimated_costs_quantities[[#This Row],[Chimney Duct Cleaning Repair]]*BOQs!$L$15</f>
        <v>0</v>
      </c>
      <c r="AV355" s="76"/>
      <c r="AW355" s="37"/>
      <c r="AX355" s="89">
        <f>tbl_estimated_costs_quantities[[#This Row],[Accessibility Adaptations]]*BOQs!$L$16</f>
        <v>0</v>
      </c>
      <c r="AY355" s="86" t="str">
        <f>IF(tbl_estimated_costs_quantities[[#This Row],[Total cost]]&lt;&gt;0,tbl_estimated_costs_quantities[[#This Row],[Total cost]]/BOQs!$A$1,"")</f>
        <v/>
      </c>
      <c r="AZ355" s="37"/>
      <c r="BA355" s="37"/>
      <c r="BB355" s="37"/>
      <c r="BC355" s="37"/>
      <c r="BD355" s="41"/>
      <c r="BE355" s="37"/>
      <c r="BF355" s="37"/>
      <c r="BG355" s="37"/>
      <c r="BH355" s="41"/>
    </row>
    <row r="356" spans="2:60" ht="25.15" customHeight="1" x14ac:dyDescent="0.25">
      <c r="B356" s="49">
        <v>352</v>
      </c>
      <c r="C356" s="37"/>
      <c r="D356" s="41"/>
      <c r="E356" s="40"/>
      <c r="F356" s="87" t="str">
        <f>IF(tbl_estimated_costs_quantities[[#This Row],[House Code]]&lt;&gt;"",INDEX(tbl_Assessment[],MATCH(tbl_estimated_costs_quantities[[#This Row],[House Code]],tbl_Assessment[House Code],0),3),"")</f>
        <v/>
      </c>
      <c r="G356" s="115" t="str">
        <f>IF(tbl_estimated_costs_quantities[[#This Row],[House Code]]&lt;&gt;"",INDEX(tbl_Assessment[],MATCH(tbl_estimated_costs_quantities[[#This Row],[House Code]],tbl_Assessment[House Code],0),9),"")</f>
        <v/>
      </c>
      <c r="H35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6" s="75"/>
      <c r="J356" s="37"/>
      <c r="K356" s="86">
        <f>tbl_estimated_costs_quantities[[#This Row],[Site Preparation]]*BOQs!$L$3</f>
        <v>0</v>
      </c>
      <c r="L356" s="76"/>
      <c r="M356" s="37"/>
      <c r="N356" s="86">
        <f>tbl_estimated_costs_quantities[[#This Row],[Demolition Removal Unsafe Structures]]*BOQs!$L$4</f>
        <v>0</v>
      </c>
      <c r="O356" s="76"/>
      <c r="P356" s="37"/>
      <c r="Q356" s="86">
        <f>tbl_estimated_costs_quantities[[#This Row],[Concrete Works]]*BOQs!$L$5</f>
        <v>0</v>
      </c>
      <c r="R356" s="76"/>
      <c r="S356" s="37"/>
      <c r="T356" s="86">
        <f>tbl_estimated_costs_quantities[[#This Row],[Closure External Openings Walls Windows]]*BOQs!$L$6</f>
        <v>0</v>
      </c>
      <c r="U356" s="76"/>
      <c r="V356" s="37"/>
      <c r="W356" s="86">
        <f>tbl_estimated_costs_quantities[[#This Row],[Plastering Painting]]*BOQs!$L$7</f>
        <v>0</v>
      </c>
      <c r="X356" s="76"/>
      <c r="Y356" s="37"/>
      <c r="Z356" s="86">
        <f>tbl_estimated_costs_quantities[[#This Row],[Floor Repairs]]*BOQs!$L$8</f>
        <v>0</v>
      </c>
      <c r="AA356" s="76"/>
      <c r="AB356" s="37"/>
      <c r="AC356" s="86">
        <f>tbl_estimated_costs_quantities[[#This Row],[Doors Replacement Repair]]*BOQs!$L$9</f>
        <v>0</v>
      </c>
      <c r="AD356" s="76"/>
      <c r="AE356" s="37"/>
      <c r="AF356" s="86">
        <f>tbl_estimated_costs_quantities[[#This Row],[Windows Replacement Repair]]*BOQs!$L$10</f>
        <v>0</v>
      </c>
      <c r="AG356" s="76"/>
      <c r="AH356" s="37"/>
      <c r="AI356" s="86">
        <f>tbl_estimated_costs_quantities[[#This Row],[Bathroom Rehabilitation]]*BOQs!$L$11</f>
        <v>0</v>
      </c>
      <c r="AJ356" s="76"/>
      <c r="AK356" s="37"/>
      <c r="AL356" s="86">
        <f>tbl_estimated_costs_quantities[[#This Row],[Ceramic Tile Works WASH]]*BOQs!$L$12</f>
        <v>0</v>
      </c>
      <c r="AM356" s="76"/>
      <c r="AN356" s="37"/>
      <c r="AO356" s="86">
        <f>tbl_estimated_costs_quantities[[#This Row],[Electrical Repairs Lighting]]*BOQs!$L$13</f>
        <v>0</v>
      </c>
      <c r="AP356" s="76"/>
      <c r="AQ356" s="37"/>
      <c r="AR356" s="86">
        <f>tbl_estimated_costs_quantities[[#This Row],[Roof Insulation Leak Sealing]]*BOQs!$L$14</f>
        <v>0</v>
      </c>
      <c r="AS356" s="76"/>
      <c r="AT356" s="37"/>
      <c r="AU356" s="86">
        <f>tbl_estimated_costs_quantities[[#This Row],[Chimney Duct Cleaning Repair]]*BOQs!$L$15</f>
        <v>0</v>
      </c>
      <c r="AV356" s="76"/>
      <c r="AW356" s="37"/>
      <c r="AX356" s="89">
        <f>tbl_estimated_costs_quantities[[#This Row],[Accessibility Adaptations]]*BOQs!$L$16</f>
        <v>0</v>
      </c>
      <c r="AY356" s="86" t="str">
        <f>IF(tbl_estimated_costs_quantities[[#This Row],[Total cost]]&lt;&gt;0,tbl_estimated_costs_quantities[[#This Row],[Total cost]]/BOQs!$A$1,"")</f>
        <v/>
      </c>
      <c r="AZ356" s="37"/>
      <c r="BA356" s="37"/>
      <c r="BB356" s="37"/>
      <c r="BC356" s="37"/>
      <c r="BD356" s="41"/>
      <c r="BE356" s="37"/>
      <c r="BF356" s="37"/>
      <c r="BG356" s="37"/>
      <c r="BH356" s="41"/>
    </row>
    <row r="357" spans="2:60" ht="25.15" customHeight="1" x14ac:dyDescent="0.25">
      <c r="B357" s="49">
        <v>353</v>
      </c>
      <c r="C357" s="37"/>
      <c r="D357" s="41"/>
      <c r="E357" s="40"/>
      <c r="F357" s="87" t="str">
        <f>IF(tbl_estimated_costs_quantities[[#This Row],[House Code]]&lt;&gt;"",INDEX(tbl_Assessment[],MATCH(tbl_estimated_costs_quantities[[#This Row],[House Code]],tbl_Assessment[House Code],0),3),"")</f>
        <v/>
      </c>
      <c r="G357" s="115" t="str">
        <f>IF(tbl_estimated_costs_quantities[[#This Row],[House Code]]&lt;&gt;"",INDEX(tbl_Assessment[],MATCH(tbl_estimated_costs_quantities[[#This Row],[House Code]],tbl_Assessment[House Code],0),9),"")</f>
        <v/>
      </c>
      <c r="H35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7" s="75"/>
      <c r="J357" s="37"/>
      <c r="K357" s="86">
        <f>tbl_estimated_costs_quantities[[#This Row],[Site Preparation]]*BOQs!$L$3</f>
        <v>0</v>
      </c>
      <c r="L357" s="76"/>
      <c r="M357" s="37"/>
      <c r="N357" s="86">
        <f>tbl_estimated_costs_quantities[[#This Row],[Demolition Removal Unsafe Structures]]*BOQs!$L$4</f>
        <v>0</v>
      </c>
      <c r="O357" s="76"/>
      <c r="P357" s="37"/>
      <c r="Q357" s="86">
        <f>tbl_estimated_costs_quantities[[#This Row],[Concrete Works]]*BOQs!$L$5</f>
        <v>0</v>
      </c>
      <c r="R357" s="76"/>
      <c r="S357" s="37"/>
      <c r="T357" s="86">
        <f>tbl_estimated_costs_quantities[[#This Row],[Closure External Openings Walls Windows]]*BOQs!$L$6</f>
        <v>0</v>
      </c>
      <c r="U357" s="76"/>
      <c r="V357" s="37"/>
      <c r="W357" s="86">
        <f>tbl_estimated_costs_quantities[[#This Row],[Plastering Painting]]*BOQs!$L$7</f>
        <v>0</v>
      </c>
      <c r="X357" s="76"/>
      <c r="Y357" s="37"/>
      <c r="Z357" s="86">
        <f>tbl_estimated_costs_quantities[[#This Row],[Floor Repairs]]*BOQs!$L$8</f>
        <v>0</v>
      </c>
      <c r="AA357" s="76"/>
      <c r="AB357" s="37"/>
      <c r="AC357" s="86">
        <f>tbl_estimated_costs_quantities[[#This Row],[Doors Replacement Repair]]*BOQs!$L$9</f>
        <v>0</v>
      </c>
      <c r="AD357" s="76"/>
      <c r="AE357" s="37"/>
      <c r="AF357" s="86">
        <f>tbl_estimated_costs_quantities[[#This Row],[Windows Replacement Repair]]*BOQs!$L$10</f>
        <v>0</v>
      </c>
      <c r="AG357" s="76"/>
      <c r="AH357" s="37"/>
      <c r="AI357" s="86">
        <f>tbl_estimated_costs_quantities[[#This Row],[Bathroom Rehabilitation]]*BOQs!$L$11</f>
        <v>0</v>
      </c>
      <c r="AJ357" s="76"/>
      <c r="AK357" s="37"/>
      <c r="AL357" s="86">
        <f>tbl_estimated_costs_quantities[[#This Row],[Ceramic Tile Works WASH]]*BOQs!$L$12</f>
        <v>0</v>
      </c>
      <c r="AM357" s="76"/>
      <c r="AN357" s="37"/>
      <c r="AO357" s="86">
        <f>tbl_estimated_costs_quantities[[#This Row],[Electrical Repairs Lighting]]*BOQs!$L$13</f>
        <v>0</v>
      </c>
      <c r="AP357" s="76"/>
      <c r="AQ357" s="37"/>
      <c r="AR357" s="86">
        <f>tbl_estimated_costs_quantities[[#This Row],[Roof Insulation Leak Sealing]]*BOQs!$L$14</f>
        <v>0</v>
      </c>
      <c r="AS357" s="76"/>
      <c r="AT357" s="37"/>
      <c r="AU357" s="86">
        <f>tbl_estimated_costs_quantities[[#This Row],[Chimney Duct Cleaning Repair]]*BOQs!$L$15</f>
        <v>0</v>
      </c>
      <c r="AV357" s="76"/>
      <c r="AW357" s="37"/>
      <c r="AX357" s="89">
        <f>tbl_estimated_costs_quantities[[#This Row],[Accessibility Adaptations]]*BOQs!$L$16</f>
        <v>0</v>
      </c>
      <c r="AY357" s="86" t="str">
        <f>IF(tbl_estimated_costs_quantities[[#This Row],[Total cost]]&lt;&gt;0,tbl_estimated_costs_quantities[[#This Row],[Total cost]]/BOQs!$A$1,"")</f>
        <v/>
      </c>
      <c r="AZ357" s="37"/>
      <c r="BA357" s="37"/>
      <c r="BB357" s="37"/>
      <c r="BC357" s="37"/>
      <c r="BD357" s="41"/>
      <c r="BE357" s="37"/>
      <c r="BF357" s="37"/>
      <c r="BG357" s="37"/>
      <c r="BH357" s="41"/>
    </row>
    <row r="358" spans="2:60" ht="25.15" customHeight="1" x14ac:dyDescent="0.25">
      <c r="B358" s="49">
        <v>354</v>
      </c>
      <c r="C358" s="37"/>
      <c r="D358" s="41"/>
      <c r="E358" s="40"/>
      <c r="F358" s="87" t="str">
        <f>IF(tbl_estimated_costs_quantities[[#This Row],[House Code]]&lt;&gt;"",INDEX(tbl_Assessment[],MATCH(tbl_estimated_costs_quantities[[#This Row],[House Code]],tbl_Assessment[House Code],0),3),"")</f>
        <v/>
      </c>
      <c r="G358" s="115" t="str">
        <f>IF(tbl_estimated_costs_quantities[[#This Row],[House Code]]&lt;&gt;"",INDEX(tbl_Assessment[],MATCH(tbl_estimated_costs_quantities[[#This Row],[House Code]],tbl_Assessment[House Code],0),9),"")</f>
        <v/>
      </c>
      <c r="H35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8" s="75"/>
      <c r="J358" s="37"/>
      <c r="K358" s="86">
        <f>tbl_estimated_costs_quantities[[#This Row],[Site Preparation]]*BOQs!$L$3</f>
        <v>0</v>
      </c>
      <c r="L358" s="76"/>
      <c r="M358" s="37"/>
      <c r="N358" s="86">
        <f>tbl_estimated_costs_quantities[[#This Row],[Demolition Removal Unsafe Structures]]*BOQs!$L$4</f>
        <v>0</v>
      </c>
      <c r="O358" s="76"/>
      <c r="P358" s="37"/>
      <c r="Q358" s="86">
        <f>tbl_estimated_costs_quantities[[#This Row],[Concrete Works]]*BOQs!$L$5</f>
        <v>0</v>
      </c>
      <c r="R358" s="76"/>
      <c r="S358" s="37"/>
      <c r="T358" s="86">
        <f>tbl_estimated_costs_quantities[[#This Row],[Closure External Openings Walls Windows]]*BOQs!$L$6</f>
        <v>0</v>
      </c>
      <c r="U358" s="76"/>
      <c r="V358" s="37"/>
      <c r="W358" s="86">
        <f>tbl_estimated_costs_quantities[[#This Row],[Plastering Painting]]*BOQs!$L$7</f>
        <v>0</v>
      </c>
      <c r="X358" s="76"/>
      <c r="Y358" s="37"/>
      <c r="Z358" s="86">
        <f>tbl_estimated_costs_quantities[[#This Row],[Floor Repairs]]*BOQs!$L$8</f>
        <v>0</v>
      </c>
      <c r="AA358" s="76"/>
      <c r="AB358" s="37"/>
      <c r="AC358" s="86">
        <f>tbl_estimated_costs_quantities[[#This Row],[Doors Replacement Repair]]*BOQs!$L$9</f>
        <v>0</v>
      </c>
      <c r="AD358" s="76"/>
      <c r="AE358" s="37"/>
      <c r="AF358" s="86">
        <f>tbl_estimated_costs_quantities[[#This Row],[Windows Replacement Repair]]*BOQs!$L$10</f>
        <v>0</v>
      </c>
      <c r="AG358" s="76"/>
      <c r="AH358" s="37"/>
      <c r="AI358" s="86">
        <f>tbl_estimated_costs_quantities[[#This Row],[Bathroom Rehabilitation]]*BOQs!$L$11</f>
        <v>0</v>
      </c>
      <c r="AJ358" s="76"/>
      <c r="AK358" s="37"/>
      <c r="AL358" s="86">
        <f>tbl_estimated_costs_quantities[[#This Row],[Ceramic Tile Works WASH]]*BOQs!$L$12</f>
        <v>0</v>
      </c>
      <c r="AM358" s="76"/>
      <c r="AN358" s="37"/>
      <c r="AO358" s="86">
        <f>tbl_estimated_costs_quantities[[#This Row],[Electrical Repairs Lighting]]*BOQs!$L$13</f>
        <v>0</v>
      </c>
      <c r="AP358" s="76"/>
      <c r="AQ358" s="37"/>
      <c r="AR358" s="86">
        <f>tbl_estimated_costs_quantities[[#This Row],[Roof Insulation Leak Sealing]]*BOQs!$L$14</f>
        <v>0</v>
      </c>
      <c r="AS358" s="76"/>
      <c r="AT358" s="37"/>
      <c r="AU358" s="86">
        <f>tbl_estimated_costs_quantities[[#This Row],[Chimney Duct Cleaning Repair]]*BOQs!$L$15</f>
        <v>0</v>
      </c>
      <c r="AV358" s="76"/>
      <c r="AW358" s="37"/>
      <c r="AX358" s="89">
        <f>tbl_estimated_costs_quantities[[#This Row],[Accessibility Adaptations]]*BOQs!$L$16</f>
        <v>0</v>
      </c>
      <c r="AY358" s="86" t="str">
        <f>IF(tbl_estimated_costs_quantities[[#This Row],[Total cost]]&lt;&gt;0,tbl_estimated_costs_quantities[[#This Row],[Total cost]]/BOQs!$A$1,"")</f>
        <v/>
      </c>
      <c r="AZ358" s="37"/>
      <c r="BA358" s="37"/>
      <c r="BB358" s="37"/>
      <c r="BC358" s="37"/>
      <c r="BD358" s="41"/>
      <c r="BE358" s="37"/>
      <c r="BF358" s="37"/>
      <c r="BG358" s="37"/>
      <c r="BH358" s="41"/>
    </row>
    <row r="359" spans="2:60" ht="25.15" customHeight="1" x14ac:dyDescent="0.25">
      <c r="B359" s="49">
        <v>355</v>
      </c>
      <c r="C359" s="37"/>
      <c r="D359" s="41"/>
      <c r="E359" s="40"/>
      <c r="F359" s="87" t="str">
        <f>IF(tbl_estimated_costs_quantities[[#This Row],[House Code]]&lt;&gt;"",INDEX(tbl_Assessment[],MATCH(tbl_estimated_costs_quantities[[#This Row],[House Code]],tbl_Assessment[House Code],0),3),"")</f>
        <v/>
      </c>
      <c r="G359" s="115" t="str">
        <f>IF(tbl_estimated_costs_quantities[[#This Row],[House Code]]&lt;&gt;"",INDEX(tbl_Assessment[],MATCH(tbl_estimated_costs_quantities[[#This Row],[House Code]],tbl_Assessment[House Code],0),9),"")</f>
        <v/>
      </c>
      <c r="H35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59" s="75"/>
      <c r="J359" s="37"/>
      <c r="K359" s="86">
        <f>tbl_estimated_costs_quantities[[#This Row],[Site Preparation]]*BOQs!$L$3</f>
        <v>0</v>
      </c>
      <c r="L359" s="76"/>
      <c r="M359" s="37"/>
      <c r="N359" s="86">
        <f>tbl_estimated_costs_quantities[[#This Row],[Demolition Removal Unsafe Structures]]*BOQs!$L$4</f>
        <v>0</v>
      </c>
      <c r="O359" s="76"/>
      <c r="P359" s="37"/>
      <c r="Q359" s="86">
        <f>tbl_estimated_costs_quantities[[#This Row],[Concrete Works]]*BOQs!$L$5</f>
        <v>0</v>
      </c>
      <c r="R359" s="76"/>
      <c r="S359" s="37"/>
      <c r="T359" s="86">
        <f>tbl_estimated_costs_quantities[[#This Row],[Closure External Openings Walls Windows]]*BOQs!$L$6</f>
        <v>0</v>
      </c>
      <c r="U359" s="76"/>
      <c r="V359" s="37"/>
      <c r="W359" s="86">
        <f>tbl_estimated_costs_quantities[[#This Row],[Plastering Painting]]*BOQs!$L$7</f>
        <v>0</v>
      </c>
      <c r="X359" s="76"/>
      <c r="Y359" s="37"/>
      <c r="Z359" s="86">
        <f>tbl_estimated_costs_quantities[[#This Row],[Floor Repairs]]*BOQs!$L$8</f>
        <v>0</v>
      </c>
      <c r="AA359" s="76"/>
      <c r="AB359" s="37"/>
      <c r="AC359" s="86">
        <f>tbl_estimated_costs_quantities[[#This Row],[Doors Replacement Repair]]*BOQs!$L$9</f>
        <v>0</v>
      </c>
      <c r="AD359" s="76"/>
      <c r="AE359" s="37"/>
      <c r="AF359" s="86">
        <f>tbl_estimated_costs_quantities[[#This Row],[Windows Replacement Repair]]*BOQs!$L$10</f>
        <v>0</v>
      </c>
      <c r="AG359" s="76"/>
      <c r="AH359" s="37"/>
      <c r="AI359" s="86">
        <f>tbl_estimated_costs_quantities[[#This Row],[Bathroom Rehabilitation]]*BOQs!$L$11</f>
        <v>0</v>
      </c>
      <c r="AJ359" s="76"/>
      <c r="AK359" s="37"/>
      <c r="AL359" s="86">
        <f>tbl_estimated_costs_quantities[[#This Row],[Ceramic Tile Works WASH]]*BOQs!$L$12</f>
        <v>0</v>
      </c>
      <c r="AM359" s="76"/>
      <c r="AN359" s="37"/>
      <c r="AO359" s="86">
        <f>tbl_estimated_costs_quantities[[#This Row],[Electrical Repairs Lighting]]*BOQs!$L$13</f>
        <v>0</v>
      </c>
      <c r="AP359" s="76"/>
      <c r="AQ359" s="37"/>
      <c r="AR359" s="86">
        <f>tbl_estimated_costs_quantities[[#This Row],[Roof Insulation Leak Sealing]]*BOQs!$L$14</f>
        <v>0</v>
      </c>
      <c r="AS359" s="76"/>
      <c r="AT359" s="37"/>
      <c r="AU359" s="86">
        <f>tbl_estimated_costs_quantities[[#This Row],[Chimney Duct Cleaning Repair]]*BOQs!$L$15</f>
        <v>0</v>
      </c>
      <c r="AV359" s="76"/>
      <c r="AW359" s="37"/>
      <c r="AX359" s="89">
        <f>tbl_estimated_costs_quantities[[#This Row],[Accessibility Adaptations]]*BOQs!$L$16</f>
        <v>0</v>
      </c>
      <c r="AY359" s="86" t="str">
        <f>IF(tbl_estimated_costs_quantities[[#This Row],[Total cost]]&lt;&gt;0,tbl_estimated_costs_quantities[[#This Row],[Total cost]]/BOQs!$A$1,"")</f>
        <v/>
      </c>
      <c r="AZ359" s="37"/>
      <c r="BA359" s="37"/>
      <c r="BB359" s="37"/>
      <c r="BC359" s="37"/>
      <c r="BD359" s="41"/>
      <c r="BE359" s="37"/>
      <c r="BF359" s="37"/>
      <c r="BG359" s="37"/>
      <c r="BH359" s="41"/>
    </row>
    <row r="360" spans="2:60" ht="25.15" customHeight="1" x14ac:dyDescent="0.25">
      <c r="B360" s="49">
        <v>356</v>
      </c>
      <c r="C360" s="37"/>
      <c r="D360" s="41"/>
      <c r="E360" s="40"/>
      <c r="F360" s="87" t="str">
        <f>IF(tbl_estimated_costs_quantities[[#This Row],[House Code]]&lt;&gt;"",INDEX(tbl_Assessment[],MATCH(tbl_estimated_costs_quantities[[#This Row],[House Code]],tbl_Assessment[House Code],0),3),"")</f>
        <v/>
      </c>
      <c r="G360" s="115" t="str">
        <f>IF(tbl_estimated_costs_quantities[[#This Row],[House Code]]&lt;&gt;"",INDEX(tbl_Assessment[],MATCH(tbl_estimated_costs_quantities[[#This Row],[House Code]],tbl_Assessment[House Code],0),9),"")</f>
        <v/>
      </c>
      <c r="H36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0" s="75"/>
      <c r="J360" s="37"/>
      <c r="K360" s="86">
        <f>tbl_estimated_costs_quantities[[#This Row],[Site Preparation]]*BOQs!$L$3</f>
        <v>0</v>
      </c>
      <c r="L360" s="76"/>
      <c r="M360" s="37"/>
      <c r="N360" s="86">
        <f>tbl_estimated_costs_quantities[[#This Row],[Demolition Removal Unsafe Structures]]*BOQs!$L$4</f>
        <v>0</v>
      </c>
      <c r="O360" s="76"/>
      <c r="P360" s="37"/>
      <c r="Q360" s="86">
        <f>tbl_estimated_costs_quantities[[#This Row],[Concrete Works]]*BOQs!$L$5</f>
        <v>0</v>
      </c>
      <c r="R360" s="76"/>
      <c r="S360" s="37"/>
      <c r="T360" s="86">
        <f>tbl_estimated_costs_quantities[[#This Row],[Closure External Openings Walls Windows]]*BOQs!$L$6</f>
        <v>0</v>
      </c>
      <c r="U360" s="76"/>
      <c r="V360" s="37"/>
      <c r="W360" s="86">
        <f>tbl_estimated_costs_quantities[[#This Row],[Plastering Painting]]*BOQs!$L$7</f>
        <v>0</v>
      </c>
      <c r="X360" s="76"/>
      <c r="Y360" s="37"/>
      <c r="Z360" s="86">
        <f>tbl_estimated_costs_quantities[[#This Row],[Floor Repairs]]*BOQs!$L$8</f>
        <v>0</v>
      </c>
      <c r="AA360" s="76"/>
      <c r="AB360" s="37"/>
      <c r="AC360" s="86">
        <f>tbl_estimated_costs_quantities[[#This Row],[Doors Replacement Repair]]*BOQs!$L$9</f>
        <v>0</v>
      </c>
      <c r="AD360" s="76"/>
      <c r="AE360" s="37"/>
      <c r="AF360" s="86">
        <f>tbl_estimated_costs_quantities[[#This Row],[Windows Replacement Repair]]*BOQs!$L$10</f>
        <v>0</v>
      </c>
      <c r="AG360" s="76"/>
      <c r="AH360" s="37"/>
      <c r="AI360" s="86">
        <f>tbl_estimated_costs_quantities[[#This Row],[Bathroom Rehabilitation]]*BOQs!$L$11</f>
        <v>0</v>
      </c>
      <c r="AJ360" s="76"/>
      <c r="AK360" s="37"/>
      <c r="AL360" s="86">
        <f>tbl_estimated_costs_quantities[[#This Row],[Ceramic Tile Works WASH]]*BOQs!$L$12</f>
        <v>0</v>
      </c>
      <c r="AM360" s="76"/>
      <c r="AN360" s="37"/>
      <c r="AO360" s="86">
        <f>tbl_estimated_costs_quantities[[#This Row],[Electrical Repairs Lighting]]*BOQs!$L$13</f>
        <v>0</v>
      </c>
      <c r="AP360" s="76"/>
      <c r="AQ360" s="37"/>
      <c r="AR360" s="86">
        <f>tbl_estimated_costs_quantities[[#This Row],[Roof Insulation Leak Sealing]]*BOQs!$L$14</f>
        <v>0</v>
      </c>
      <c r="AS360" s="76"/>
      <c r="AT360" s="37"/>
      <c r="AU360" s="86">
        <f>tbl_estimated_costs_quantities[[#This Row],[Chimney Duct Cleaning Repair]]*BOQs!$L$15</f>
        <v>0</v>
      </c>
      <c r="AV360" s="76"/>
      <c r="AW360" s="37"/>
      <c r="AX360" s="89">
        <f>tbl_estimated_costs_quantities[[#This Row],[Accessibility Adaptations]]*BOQs!$L$16</f>
        <v>0</v>
      </c>
      <c r="AY360" s="86" t="str">
        <f>IF(tbl_estimated_costs_quantities[[#This Row],[Total cost]]&lt;&gt;0,tbl_estimated_costs_quantities[[#This Row],[Total cost]]/BOQs!$A$1,"")</f>
        <v/>
      </c>
      <c r="AZ360" s="37"/>
      <c r="BA360" s="37"/>
      <c r="BB360" s="37"/>
      <c r="BC360" s="37"/>
      <c r="BD360" s="41"/>
      <c r="BE360" s="37"/>
      <c r="BF360" s="37"/>
      <c r="BG360" s="37"/>
      <c r="BH360" s="41"/>
    </row>
    <row r="361" spans="2:60" ht="25.15" customHeight="1" x14ac:dyDescent="0.25">
      <c r="B361" s="49">
        <v>357</v>
      </c>
      <c r="C361" s="37"/>
      <c r="D361" s="41"/>
      <c r="E361" s="40"/>
      <c r="F361" s="87" t="str">
        <f>IF(tbl_estimated_costs_quantities[[#This Row],[House Code]]&lt;&gt;"",INDEX(tbl_Assessment[],MATCH(tbl_estimated_costs_quantities[[#This Row],[House Code]],tbl_Assessment[House Code],0),3),"")</f>
        <v/>
      </c>
      <c r="G361" s="115" t="str">
        <f>IF(tbl_estimated_costs_quantities[[#This Row],[House Code]]&lt;&gt;"",INDEX(tbl_Assessment[],MATCH(tbl_estimated_costs_quantities[[#This Row],[House Code]],tbl_Assessment[House Code],0),9),"")</f>
        <v/>
      </c>
      <c r="H36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1" s="75"/>
      <c r="J361" s="37"/>
      <c r="K361" s="86">
        <f>tbl_estimated_costs_quantities[[#This Row],[Site Preparation]]*BOQs!$L$3</f>
        <v>0</v>
      </c>
      <c r="L361" s="76"/>
      <c r="M361" s="37"/>
      <c r="N361" s="86">
        <f>tbl_estimated_costs_quantities[[#This Row],[Demolition Removal Unsafe Structures]]*BOQs!$L$4</f>
        <v>0</v>
      </c>
      <c r="O361" s="76"/>
      <c r="P361" s="37"/>
      <c r="Q361" s="86">
        <f>tbl_estimated_costs_quantities[[#This Row],[Concrete Works]]*BOQs!$L$5</f>
        <v>0</v>
      </c>
      <c r="R361" s="76"/>
      <c r="S361" s="37"/>
      <c r="T361" s="86">
        <f>tbl_estimated_costs_quantities[[#This Row],[Closure External Openings Walls Windows]]*BOQs!$L$6</f>
        <v>0</v>
      </c>
      <c r="U361" s="76"/>
      <c r="V361" s="37"/>
      <c r="W361" s="86">
        <f>tbl_estimated_costs_quantities[[#This Row],[Plastering Painting]]*BOQs!$L$7</f>
        <v>0</v>
      </c>
      <c r="X361" s="76"/>
      <c r="Y361" s="37"/>
      <c r="Z361" s="86">
        <f>tbl_estimated_costs_quantities[[#This Row],[Floor Repairs]]*BOQs!$L$8</f>
        <v>0</v>
      </c>
      <c r="AA361" s="76"/>
      <c r="AB361" s="37"/>
      <c r="AC361" s="86">
        <f>tbl_estimated_costs_quantities[[#This Row],[Doors Replacement Repair]]*BOQs!$L$9</f>
        <v>0</v>
      </c>
      <c r="AD361" s="76"/>
      <c r="AE361" s="37"/>
      <c r="AF361" s="86">
        <f>tbl_estimated_costs_quantities[[#This Row],[Windows Replacement Repair]]*BOQs!$L$10</f>
        <v>0</v>
      </c>
      <c r="AG361" s="76"/>
      <c r="AH361" s="37"/>
      <c r="AI361" s="86">
        <f>tbl_estimated_costs_quantities[[#This Row],[Bathroom Rehabilitation]]*BOQs!$L$11</f>
        <v>0</v>
      </c>
      <c r="AJ361" s="76"/>
      <c r="AK361" s="37"/>
      <c r="AL361" s="86">
        <f>tbl_estimated_costs_quantities[[#This Row],[Ceramic Tile Works WASH]]*BOQs!$L$12</f>
        <v>0</v>
      </c>
      <c r="AM361" s="76"/>
      <c r="AN361" s="37"/>
      <c r="AO361" s="86">
        <f>tbl_estimated_costs_quantities[[#This Row],[Electrical Repairs Lighting]]*BOQs!$L$13</f>
        <v>0</v>
      </c>
      <c r="AP361" s="76"/>
      <c r="AQ361" s="37"/>
      <c r="AR361" s="86">
        <f>tbl_estimated_costs_quantities[[#This Row],[Roof Insulation Leak Sealing]]*BOQs!$L$14</f>
        <v>0</v>
      </c>
      <c r="AS361" s="76"/>
      <c r="AT361" s="37"/>
      <c r="AU361" s="86">
        <f>tbl_estimated_costs_quantities[[#This Row],[Chimney Duct Cleaning Repair]]*BOQs!$L$15</f>
        <v>0</v>
      </c>
      <c r="AV361" s="76"/>
      <c r="AW361" s="37"/>
      <c r="AX361" s="89">
        <f>tbl_estimated_costs_quantities[[#This Row],[Accessibility Adaptations]]*BOQs!$L$16</f>
        <v>0</v>
      </c>
      <c r="AY361" s="86" t="str">
        <f>IF(tbl_estimated_costs_quantities[[#This Row],[Total cost]]&lt;&gt;0,tbl_estimated_costs_quantities[[#This Row],[Total cost]]/BOQs!$A$1,"")</f>
        <v/>
      </c>
      <c r="AZ361" s="37"/>
      <c r="BA361" s="37"/>
      <c r="BB361" s="37"/>
      <c r="BC361" s="37"/>
      <c r="BD361" s="41"/>
      <c r="BE361" s="37"/>
      <c r="BF361" s="37"/>
      <c r="BG361" s="37"/>
      <c r="BH361" s="41"/>
    </row>
    <row r="362" spans="2:60" ht="25.15" customHeight="1" x14ac:dyDescent="0.25">
      <c r="B362" s="49">
        <v>358</v>
      </c>
      <c r="C362" s="37"/>
      <c r="D362" s="41"/>
      <c r="E362" s="40"/>
      <c r="F362" s="87" t="str">
        <f>IF(tbl_estimated_costs_quantities[[#This Row],[House Code]]&lt;&gt;"",INDEX(tbl_Assessment[],MATCH(tbl_estimated_costs_quantities[[#This Row],[House Code]],tbl_Assessment[House Code],0),3),"")</f>
        <v/>
      </c>
      <c r="G362" s="115" t="str">
        <f>IF(tbl_estimated_costs_quantities[[#This Row],[House Code]]&lt;&gt;"",INDEX(tbl_Assessment[],MATCH(tbl_estimated_costs_quantities[[#This Row],[House Code]],tbl_Assessment[House Code],0),9),"")</f>
        <v/>
      </c>
      <c r="H36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2" s="75"/>
      <c r="J362" s="37"/>
      <c r="K362" s="86">
        <f>tbl_estimated_costs_quantities[[#This Row],[Site Preparation]]*BOQs!$L$3</f>
        <v>0</v>
      </c>
      <c r="L362" s="76"/>
      <c r="M362" s="37"/>
      <c r="N362" s="86">
        <f>tbl_estimated_costs_quantities[[#This Row],[Demolition Removal Unsafe Structures]]*BOQs!$L$4</f>
        <v>0</v>
      </c>
      <c r="O362" s="76"/>
      <c r="P362" s="37"/>
      <c r="Q362" s="86">
        <f>tbl_estimated_costs_quantities[[#This Row],[Concrete Works]]*BOQs!$L$5</f>
        <v>0</v>
      </c>
      <c r="R362" s="76"/>
      <c r="S362" s="37"/>
      <c r="T362" s="86">
        <f>tbl_estimated_costs_quantities[[#This Row],[Closure External Openings Walls Windows]]*BOQs!$L$6</f>
        <v>0</v>
      </c>
      <c r="U362" s="76"/>
      <c r="V362" s="37"/>
      <c r="W362" s="86">
        <f>tbl_estimated_costs_quantities[[#This Row],[Plastering Painting]]*BOQs!$L$7</f>
        <v>0</v>
      </c>
      <c r="X362" s="76"/>
      <c r="Y362" s="37"/>
      <c r="Z362" s="86">
        <f>tbl_estimated_costs_quantities[[#This Row],[Floor Repairs]]*BOQs!$L$8</f>
        <v>0</v>
      </c>
      <c r="AA362" s="76"/>
      <c r="AB362" s="37"/>
      <c r="AC362" s="86">
        <f>tbl_estimated_costs_quantities[[#This Row],[Doors Replacement Repair]]*BOQs!$L$9</f>
        <v>0</v>
      </c>
      <c r="AD362" s="76"/>
      <c r="AE362" s="37"/>
      <c r="AF362" s="86">
        <f>tbl_estimated_costs_quantities[[#This Row],[Windows Replacement Repair]]*BOQs!$L$10</f>
        <v>0</v>
      </c>
      <c r="AG362" s="76"/>
      <c r="AH362" s="37"/>
      <c r="AI362" s="86">
        <f>tbl_estimated_costs_quantities[[#This Row],[Bathroom Rehabilitation]]*BOQs!$L$11</f>
        <v>0</v>
      </c>
      <c r="AJ362" s="76"/>
      <c r="AK362" s="37"/>
      <c r="AL362" s="86">
        <f>tbl_estimated_costs_quantities[[#This Row],[Ceramic Tile Works WASH]]*BOQs!$L$12</f>
        <v>0</v>
      </c>
      <c r="AM362" s="76"/>
      <c r="AN362" s="37"/>
      <c r="AO362" s="86">
        <f>tbl_estimated_costs_quantities[[#This Row],[Electrical Repairs Lighting]]*BOQs!$L$13</f>
        <v>0</v>
      </c>
      <c r="AP362" s="76"/>
      <c r="AQ362" s="37"/>
      <c r="AR362" s="86">
        <f>tbl_estimated_costs_quantities[[#This Row],[Roof Insulation Leak Sealing]]*BOQs!$L$14</f>
        <v>0</v>
      </c>
      <c r="AS362" s="76"/>
      <c r="AT362" s="37"/>
      <c r="AU362" s="86">
        <f>tbl_estimated_costs_quantities[[#This Row],[Chimney Duct Cleaning Repair]]*BOQs!$L$15</f>
        <v>0</v>
      </c>
      <c r="AV362" s="76"/>
      <c r="AW362" s="37"/>
      <c r="AX362" s="89">
        <f>tbl_estimated_costs_quantities[[#This Row],[Accessibility Adaptations]]*BOQs!$L$16</f>
        <v>0</v>
      </c>
      <c r="AY362" s="86" t="str">
        <f>IF(tbl_estimated_costs_quantities[[#This Row],[Total cost]]&lt;&gt;0,tbl_estimated_costs_quantities[[#This Row],[Total cost]]/BOQs!$A$1,"")</f>
        <v/>
      </c>
      <c r="AZ362" s="37"/>
      <c r="BA362" s="37"/>
      <c r="BB362" s="37"/>
      <c r="BC362" s="37"/>
      <c r="BD362" s="41"/>
      <c r="BE362" s="37"/>
      <c r="BF362" s="37"/>
      <c r="BG362" s="37"/>
      <c r="BH362" s="41"/>
    </row>
    <row r="363" spans="2:60" ht="25.15" customHeight="1" x14ac:dyDescent="0.25">
      <c r="B363" s="49">
        <v>359</v>
      </c>
      <c r="C363" s="37"/>
      <c r="D363" s="41"/>
      <c r="E363" s="40"/>
      <c r="F363" s="87" t="str">
        <f>IF(tbl_estimated_costs_quantities[[#This Row],[House Code]]&lt;&gt;"",INDEX(tbl_Assessment[],MATCH(tbl_estimated_costs_quantities[[#This Row],[House Code]],tbl_Assessment[House Code],0),3),"")</f>
        <v/>
      </c>
      <c r="G363" s="115" t="str">
        <f>IF(tbl_estimated_costs_quantities[[#This Row],[House Code]]&lt;&gt;"",INDEX(tbl_Assessment[],MATCH(tbl_estimated_costs_quantities[[#This Row],[House Code]],tbl_Assessment[House Code],0),9),"")</f>
        <v/>
      </c>
      <c r="H36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3" s="75"/>
      <c r="J363" s="37"/>
      <c r="K363" s="86">
        <f>tbl_estimated_costs_quantities[[#This Row],[Site Preparation]]*BOQs!$L$3</f>
        <v>0</v>
      </c>
      <c r="L363" s="76"/>
      <c r="M363" s="37"/>
      <c r="N363" s="86">
        <f>tbl_estimated_costs_quantities[[#This Row],[Demolition Removal Unsafe Structures]]*BOQs!$L$4</f>
        <v>0</v>
      </c>
      <c r="O363" s="76"/>
      <c r="P363" s="37"/>
      <c r="Q363" s="86">
        <f>tbl_estimated_costs_quantities[[#This Row],[Concrete Works]]*BOQs!$L$5</f>
        <v>0</v>
      </c>
      <c r="R363" s="76"/>
      <c r="S363" s="37"/>
      <c r="T363" s="86">
        <f>tbl_estimated_costs_quantities[[#This Row],[Closure External Openings Walls Windows]]*BOQs!$L$6</f>
        <v>0</v>
      </c>
      <c r="U363" s="76"/>
      <c r="V363" s="37"/>
      <c r="W363" s="86">
        <f>tbl_estimated_costs_quantities[[#This Row],[Plastering Painting]]*BOQs!$L$7</f>
        <v>0</v>
      </c>
      <c r="X363" s="76"/>
      <c r="Y363" s="37"/>
      <c r="Z363" s="86">
        <f>tbl_estimated_costs_quantities[[#This Row],[Floor Repairs]]*BOQs!$L$8</f>
        <v>0</v>
      </c>
      <c r="AA363" s="76"/>
      <c r="AB363" s="37"/>
      <c r="AC363" s="86">
        <f>tbl_estimated_costs_quantities[[#This Row],[Doors Replacement Repair]]*BOQs!$L$9</f>
        <v>0</v>
      </c>
      <c r="AD363" s="76"/>
      <c r="AE363" s="37"/>
      <c r="AF363" s="86">
        <f>tbl_estimated_costs_quantities[[#This Row],[Windows Replacement Repair]]*BOQs!$L$10</f>
        <v>0</v>
      </c>
      <c r="AG363" s="76"/>
      <c r="AH363" s="37"/>
      <c r="AI363" s="86">
        <f>tbl_estimated_costs_quantities[[#This Row],[Bathroom Rehabilitation]]*BOQs!$L$11</f>
        <v>0</v>
      </c>
      <c r="AJ363" s="76"/>
      <c r="AK363" s="37"/>
      <c r="AL363" s="86">
        <f>tbl_estimated_costs_quantities[[#This Row],[Ceramic Tile Works WASH]]*BOQs!$L$12</f>
        <v>0</v>
      </c>
      <c r="AM363" s="76"/>
      <c r="AN363" s="37"/>
      <c r="AO363" s="86">
        <f>tbl_estimated_costs_quantities[[#This Row],[Electrical Repairs Lighting]]*BOQs!$L$13</f>
        <v>0</v>
      </c>
      <c r="AP363" s="76"/>
      <c r="AQ363" s="37"/>
      <c r="AR363" s="86">
        <f>tbl_estimated_costs_quantities[[#This Row],[Roof Insulation Leak Sealing]]*BOQs!$L$14</f>
        <v>0</v>
      </c>
      <c r="AS363" s="76"/>
      <c r="AT363" s="37"/>
      <c r="AU363" s="86">
        <f>tbl_estimated_costs_quantities[[#This Row],[Chimney Duct Cleaning Repair]]*BOQs!$L$15</f>
        <v>0</v>
      </c>
      <c r="AV363" s="76"/>
      <c r="AW363" s="37"/>
      <c r="AX363" s="89">
        <f>tbl_estimated_costs_quantities[[#This Row],[Accessibility Adaptations]]*BOQs!$L$16</f>
        <v>0</v>
      </c>
      <c r="AY363" s="86" t="str">
        <f>IF(tbl_estimated_costs_quantities[[#This Row],[Total cost]]&lt;&gt;0,tbl_estimated_costs_quantities[[#This Row],[Total cost]]/BOQs!$A$1,"")</f>
        <v/>
      </c>
      <c r="AZ363" s="37"/>
      <c r="BA363" s="37"/>
      <c r="BB363" s="37"/>
      <c r="BC363" s="37"/>
      <c r="BD363" s="41"/>
      <c r="BE363" s="37"/>
      <c r="BF363" s="37"/>
      <c r="BG363" s="37"/>
      <c r="BH363" s="41"/>
    </row>
    <row r="364" spans="2:60" ht="25.15" customHeight="1" x14ac:dyDescent="0.25">
      <c r="B364" s="49">
        <v>360</v>
      </c>
      <c r="C364" s="37"/>
      <c r="D364" s="41"/>
      <c r="E364" s="40"/>
      <c r="F364" s="87" t="str">
        <f>IF(tbl_estimated_costs_quantities[[#This Row],[House Code]]&lt;&gt;"",INDEX(tbl_Assessment[],MATCH(tbl_estimated_costs_quantities[[#This Row],[House Code]],tbl_Assessment[House Code],0),3),"")</f>
        <v/>
      </c>
      <c r="G364" s="115" t="str">
        <f>IF(tbl_estimated_costs_quantities[[#This Row],[House Code]]&lt;&gt;"",INDEX(tbl_Assessment[],MATCH(tbl_estimated_costs_quantities[[#This Row],[House Code]],tbl_Assessment[House Code],0),9),"")</f>
        <v/>
      </c>
      <c r="H36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4" s="75"/>
      <c r="J364" s="37"/>
      <c r="K364" s="86">
        <f>tbl_estimated_costs_quantities[[#This Row],[Site Preparation]]*BOQs!$L$3</f>
        <v>0</v>
      </c>
      <c r="L364" s="76"/>
      <c r="M364" s="37"/>
      <c r="N364" s="86">
        <f>tbl_estimated_costs_quantities[[#This Row],[Demolition Removal Unsafe Structures]]*BOQs!$L$4</f>
        <v>0</v>
      </c>
      <c r="O364" s="76"/>
      <c r="P364" s="37"/>
      <c r="Q364" s="86">
        <f>tbl_estimated_costs_quantities[[#This Row],[Concrete Works]]*BOQs!$L$5</f>
        <v>0</v>
      </c>
      <c r="R364" s="76"/>
      <c r="S364" s="37"/>
      <c r="T364" s="86">
        <f>tbl_estimated_costs_quantities[[#This Row],[Closure External Openings Walls Windows]]*BOQs!$L$6</f>
        <v>0</v>
      </c>
      <c r="U364" s="76"/>
      <c r="V364" s="37"/>
      <c r="W364" s="86">
        <f>tbl_estimated_costs_quantities[[#This Row],[Plastering Painting]]*BOQs!$L$7</f>
        <v>0</v>
      </c>
      <c r="X364" s="76"/>
      <c r="Y364" s="37"/>
      <c r="Z364" s="86">
        <f>tbl_estimated_costs_quantities[[#This Row],[Floor Repairs]]*BOQs!$L$8</f>
        <v>0</v>
      </c>
      <c r="AA364" s="76"/>
      <c r="AB364" s="37"/>
      <c r="AC364" s="86">
        <f>tbl_estimated_costs_quantities[[#This Row],[Doors Replacement Repair]]*BOQs!$L$9</f>
        <v>0</v>
      </c>
      <c r="AD364" s="76"/>
      <c r="AE364" s="37"/>
      <c r="AF364" s="86">
        <f>tbl_estimated_costs_quantities[[#This Row],[Windows Replacement Repair]]*BOQs!$L$10</f>
        <v>0</v>
      </c>
      <c r="AG364" s="76"/>
      <c r="AH364" s="37"/>
      <c r="AI364" s="86">
        <f>tbl_estimated_costs_quantities[[#This Row],[Bathroom Rehabilitation]]*BOQs!$L$11</f>
        <v>0</v>
      </c>
      <c r="AJ364" s="76"/>
      <c r="AK364" s="37"/>
      <c r="AL364" s="86">
        <f>tbl_estimated_costs_quantities[[#This Row],[Ceramic Tile Works WASH]]*BOQs!$L$12</f>
        <v>0</v>
      </c>
      <c r="AM364" s="76"/>
      <c r="AN364" s="37"/>
      <c r="AO364" s="86">
        <f>tbl_estimated_costs_quantities[[#This Row],[Electrical Repairs Lighting]]*BOQs!$L$13</f>
        <v>0</v>
      </c>
      <c r="AP364" s="76"/>
      <c r="AQ364" s="37"/>
      <c r="AR364" s="86">
        <f>tbl_estimated_costs_quantities[[#This Row],[Roof Insulation Leak Sealing]]*BOQs!$L$14</f>
        <v>0</v>
      </c>
      <c r="AS364" s="76"/>
      <c r="AT364" s="37"/>
      <c r="AU364" s="86">
        <f>tbl_estimated_costs_quantities[[#This Row],[Chimney Duct Cleaning Repair]]*BOQs!$L$15</f>
        <v>0</v>
      </c>
      <c r="AV364" s="76"/>
      <c r="AW364" s="37"/>
      <c r="AX364" s="89">
        <f>tbl_estimated_costs_quantities[[#This Row],[Accessibility Adaptations]]*BOQs!$L$16</f>
        <v>0</v>
      </c>
      <c r="AY364" s="86" t="str">
        <f>IF(tbl_estimated_costs_quantities[[#This Row],[Total cost]]&lt;&gt;0,tbl_estimated_costs_quantities[[#This Row],[Total cost]]/BOQs!$A$1,"")</f>
        <v/>
      </c>
      <c r="AZ364" s="37"/>
      <c r="BA364" s="37"/>
      <c r="BB364" s="37"/>
      <c r="BC364" s="37"/>
      <c r="BD364" s="41"/>
      <c r="BE364" s="37"/>
      <c r="BF364" s="37"/>
      <c r="BG364" s="37"/>
      <c r="BH364" s="41"/>
    </row>
    <row r="365" spans="2:60" ht="25.15" customHeight="1" x14ac:dyDescent="0.25">
      <c r="B365" s="49">
        <v>361</v>
      </c>
      <c r="C365" s="37"/>
      <c r="D365" s="41"/>
      <c r="E365" s="40"/>
      <c r="F365" s="87" t="str">
        <f>IF(tbl_estimated_costs_quantities[[#This Row],[House Code]]&lt;&gt;"",INDEX(tbl_Assessment[],MATCH(tbl_estimated_costs_quantities[[#This Row],[House Code]],tbl_Assessment[House Code],0),3),"")</f>
        <v/>
      </c>
      <c r="G365" s="115" t="str">
        <f>IF(tbl_estimated_costs_quantities[[#This Row],[House Code]]&lt;&gt;"",INDEX(tbl_Assessment[],MATCH(tbl_estimated_costs_quantities[[#This Row],[House Code]],tbl_Assessment[House Code],0),9),"")</f>
        <v/>
      </c>
      <c r="H36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5" s="75"/>
      <c r="J365" s="37"/>
      <c r="K365" s="86">
        <f>tbl_estimated_costs_quantities[[#This Row],[Site Preparation]]*BOQs!$L$3</f>
        <v>0</v>
      </c>
      <c r="L365" s="76"/>
      <c r="M365" s="37"/>
      <c r="N365" s="86">
        <f>tbl_estimated_costs_quantities[[#This Row],[Demolition Removal Unsafe Structures]]*BOQs!$L$4</f>
        <v>0</v>
      </c>
      <c r="O365" s="76"/>
      <c r="P365" s="37"/>
      <c r="Q365" s="86">
        <f>tbl_estimated_costs_quantities[[#This Row],[Concrete Works]]*BOQs!$L$5</f>
        <v>0</v>
      </c>
      <c r="R365" s="76"/>
      <c r="S365" s="37"/>
      <c r="T365" s="86">
        <f>tbl_estimated_costs_quantities[[#This Row],[Closure External Openings Walls Windows]]*BOQs!$L$6</f>
        <v>0</v>
      </c>
      <c r="U365" s="76"/>
      <c r="V365" s="37"/>
      <c r="W365" s="86">
        <f>tbl_estimated_costs_quantities[[#This Row],[Plastering Painting]]*BOQs!$L$7</f>
        <v>0</v>
      </c>
      <c r="X365" s="76"/>
      <c r="Y365" s="37"/>
      <c r="Z365" s="86">
        <f>tbl_estimated_costs_quantities[[#This Row],[Floor Repairs]]*BOQs!$L$8</f>
        <v>0</v>
      </c>
      <c r="AA365" s="76"/>
      <c r="AB365" s="37"/>
      <c r="AC365" s="86">
        <f>tbl_estimated_costs_quantities[[#This Row],[Doors Replacement Repair]]*BOQs!$L$9</f>
        <v>0</v>
      </c>
      <c r="AD365" s="76"/>
      <c r="AE365" s="37"/>
      <c r="AF365" s="86">
        <f>tbl_estimated_costs_quantities[[#This Row],[Windows Replacement Repair]]*BOQs!$L$10</f>
        <v>0</v>
      </c>
      <c r="AG365" s="76"/>
      <c r="AH365" s="37"/>
      <c r="AI365" s="86">
        <f>tbl_estimated_costs_quantities[[#This Row],[Bathroom Rehabilitation]]*BOQs!$L$11</f>
        <v>0</v>
      </c>
      <c r="AJ365" s="76"/>
      <c r="AK365" s="37"/>
      <c r="AL365" s="86">
        <f>tbl_estimated_costs_quantities[[#This Row],[Ceramic Tile Works WASH]]*BOQs!$L$12</f>
        <v>0</v>
      </c>
      <c r="AM365" s="76"/>
      <c r="AN365" s="37"/>
      <c r="AO365" s="86">
        <f>tbl_estimated_costs_quantities[[#This Row],[Electrical Repairs Lighting]]*BOQs!$L$13</f>
        <v>0</v>
      </c>
      <c r="AP365" s="76"/>
      <c r="AQ365" s="37"/>
      <c r="AR365" s="86">
        <f>tbl_estimated_costs_quantities[[#This Row],[Roof Insulation Leak Sealing]]*BOQs!$L$14</f>
        <v>0</v>
      </c>
      <c r="AS365" s="76"/>
      <c r="AT365" s="37"/>
      <c r="AU365" s="86">
        <f>tbl_estimated_costs_quantities[[#This Row],[Chimney Duct Cleaning Repair]]*BOQs!$L$15</f>
        <v>0</v>
      </c>
      <c r="AV365" s="76"/>
      <c r="AW365" s="37"/>
      <c r="AX365" s="89">
        <f>tbl_estimated_costs_quantities[[#This Row],[Accessibility Adaptations]]*BOQs!$L$16</f>
        <v>0</v>
      </c>
      <c r="AY365" s="86" t="str">
        <f>IF(tbl_estimated_costs_quantities[[#This Row],[Total cost]]&lt;&gt;0,tbl_estimated_costs_quantities[[#This Row],[Total cost]]/BOQs!$A$1,"")</f>
        <v/>
      </c>
      <c r="AZ365" s="37"/>
      <c r="BA365" s="37"/>
      <c r="BB365" s="37"/>
      <c r="BC365" s="37"/>
      <c r="BD365" s="41"/>
      <c r="BE365" s="37"/>
      <c r="BF365" s="37"/>
      <c r="BG365" s="37"/>
      <c r="BH365" s="41"/>
    </row>
    <row r="366" spans="2:60" ht="25.15" customHeight="1" x14ac:dyDescent="0.25">
      <c r="B366" s="49">
        <v>362</v>
      </c>
      <c r="C366" s="37"/>
      <c r="D366" s="41"/>
      <c r="E366" s="40"/>
      <c r="F366" s="87" t="str">
        <f>IF(tbl_estimated_costs_quantities[[#This Row],[House Code]]&lt;&gt;"",INDEX(tbl_Assessment[],MATCH(tbl_estimated_costs_quantities[[#This Row],[House Code]],tbl_Assessment[House Code],0),3),"")</f>
        <v/>
      </c>
      <c r="G366" s="115" t="str">
        <f>IF(tbl_estimated_costs_quantities[[#This Row],[House Code]]&lt;&gt;"",INDEX(tbl_Assessment[],MATCH(tbl_estimated_costs_quantities[[#This Row],[House Code]],tbl_Assessment[House Code],0),9),"")</f>
        <v/>
      </c>
      <c r="H36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6" s="75"/>
      <c r="J366" s="37"/>
      <c r="K366" s="86">
        <f>tbl_estimated_costs_quantities[[#This Row],[Site Preparation]]*BOQs!$L$3</f>
        <v>0</v>
      </c>
      <c r="L366" s="76"/>
      <c r="M366" s="37"/>
      <c r="N366" s="86">
        <f>tbl_estimated_costs_quantities[[#This Row],[Demolition Removal Unsafe Structures]]*BOQs!$L$4</f>
        <v>0</v>
      </c>
      <c r="O366" s="76"/>
      <c r="P366" s="37"/>
      <c r="Q366" s="86">
        <f>tbl_estimated_costs_quantities[[#This Row],[Concrete Works]]*BOQs!$L$5</f>
        <v>0</v>
      </c>
      <c r="R366" s="76"/>
      <c r="S366" s="37"/>
      <c r="T366" s="86">
        <f>tbl_estimated_costs_quantities[[#This Row],[Closure External Openings Walls Windows]]*BOQs!$L$6</f>
        <v>0</v>
      </c>
      <c r="U366" s="76"/>
      <c r="V366" s="37"/>
      <c r="W366" s="86">
        <f>tbl_estimated_costs_quantities[[#This Row],[Plastering Painting]]*BOQs!$L$7</f>
        <v>0</v>
      </c>
      <c r="X366" s="76"/>
      <c r="Y366" s="37"/>
      <c r="Z366" s="86">
        <f>tbl_estimated_costs_quantities[[#This Row],[Floor Repairs]]*BOQs!$L$8</f>
        <v>0</v>
      </c>
      <c r="AA366" s="76"/>
      <c r="AB366" s="37"/>
      <c r="AC366" s="86">
        <f>tbl_estimated_costs_quantities[[#This Row],[Doors Replacement Repair]]*BOQs!$L$9</f>
        <v>0</v>
      </c>
      <c r="AD366" s="76"/>
      <c r="AE366" s="37"/>
      <c r="AF366" s="86">
        <f>tbl_estimated_costs_quantities[[#This Row],[Windows Replacement Repair]]*BOQs!$L$10</f>
        <v>0</v>
      </c>
      <c r="AG366" s="76"/>
      <c r="AH366" s="37"/>
      <c r="AI366" s="86">
        <f>tbl_estimated_costs_quantities[[#This Row],[Bathroom Rehabilitation]]*BOQs!$L$11</f>
        <v>0</v>
      </c>
      <c r="AJ366" s="76"/>
      <c r="AK366" s="37"/>
      <c r="AL366" s="86">
        <f>tbl_estimated_costs_quantities[[#This Row],[Ceramic Tile Works WASH]]*BOQs!$L$12</f>
        <v>0</v>
      </c>
      <c r="AM366" s="76"/>
      <c r="AN366" s="37"/>
      <c r="AO366" s="86">
        <f>tbl_estimated_costs_quantities[[#This Row],[Electrical Repairs Lighting]]*BOQs!$L$13</f>
        <v>0</v>
      </c>
      <c r="AP366" s="76"/>
      <c r="AQ366" s="37"/>
      <c r="AR366" s="86">
        <f>tbl_estimated_costs_quantities[[#This Row],[Roof Insulation Leak Sealing]]*BOQs!$L$14</f>
        <v>0</v>
      </c>
      <c r="AS366" s="76"/>
      <c r="AT366" s="37"/>
      <c r="AU366" s="86">
        <f>tbl_estimated_costs_quantities[[#This Row],[Chimney Duct Cleaning Repair]]*BOQs!$L$15</f>
        <v>0</v>
      </c>
      <c r="AV366" s="76"/>
      <c r="AW366" s="37"/>
      <c r="AX366" s="89">
        <f>tbl_estimated_costs_quantities[[#This Row],[Accessibility Adaptations]]*BOQs!$L$16</f>
        <v>0</v>
      </c>
      <c r="AY366" s="86" t="str">
        <f>IF(tbl_estimated_costs_quantities[[#This Row],[Total cost]]&lt;&gt;0,tbl_estimated_costs_quantities[[#This Row],[Total cost]]/BOQs!$A$1,"")</f>
        <v/>
      </c>
      <c r="AZ366" s="37"/>
      <c r="BA366" s="37"/>
      <c r="BB366" s="37"/>
      <c r="BC366" s="37"/>
      <c r="BD366" s="41"/>
      <c r="BE366" s="37"/>
      <c r="BF366" s="37"/>
      <c r="BG366" s="37"/>
      <c r="BH366" s="41"/>
    </row>
    <row r="367" spans="2:60" ht="25.15" customHeight="1" x14ac:dyDescent="0.25">
      <c r="B367" s="49">
        <v>363</v>
      </c>
      <c r="C367" s="37"/>
      <c r="D367" s="41"/>
      <c r="E367" s="40"/>
      <c r="F367" s="87" t="str">
        <f>IF(tbl_estimated_costs_quantities[[#This Row],[House Code]]&lt;&gt;"",INDEX(tbl_Assessment[],MATCH(tbl_estimated_costs_quantities[[#This Row],[House Code]],tbl_Assessment[House Code],0),3),"")</f>
        <v/>
      </c>
      <c r="G367" s="115" t="str">
        <f>IF(tbl_estimated_costs_quantities[[#This Row],[House Code]]&lt;&gt;"",INDEX(tbl_Assessment[],MATCH(tbl_estimated_costs_quantities[[#This Row],[House Code]],tbl_Assessment[House Code],0),9),"")</f>
        <v/>
      </c>
      <c r="H36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7" s="75"/>
      <c r="J367" s="37"/>
      <c r="K367" s="86">
        <f>tbl_estimated_costs_quantities[[#This Row],[Site Preparation]]*BOQs!$L$3</f>
        <v>0</v>
      </c>
      <c r="L367" s="76"/>
      <c r="M367" s="37"/>
      <c r="N367" s="86">
        <f>tbl_estimated_costs_quantities[[#This Row],[Demolition Removal Unsafe Structures]]*BOQs!$L$4</f>
        <v>0</v>
      </c>
      <c r="O367" s="76"/>
      <c r="P367" s="37"/>
      <c r="Q367" s="86">
        <f>tbl_estimated_costs_quantities[[#This Row],[Concrete Works]]*BOQs!$L$5</f>
        <v>0</v>
      </c>
      <c r="R367" s="76"/>
      <c r="S367" s="37"/>
      <c r="T367" s="86">
        <f>tbl_estimated_costs_quantities[[#This Row],[Closure External Openings Walls Windows]]*BOQs!$L$6</f>
        <v>0</v>
      </c>
      <c r="U367" s="76"/>
      <c r="V367" s="37"/>
      <c r="W367" s="86">
        <f>tbl_estimated_costs_quantities[[#This Row],[Plastering Painting]]*BOQs!$L$7</f>
        <v>0</v>
      </c>
      <c r="X367" s="76"/>
      <c r="Y367" s="37"/>
      <c r="Z367" s="86">
        <f>tbl_estimated_costs_quantities[[#This Row],[Floor Repairs]]*BOQs!$L$8</f>
        <v>0</v>
      </c>
      <c r="AA367" s="76"/>
      <c r="AB367" s="37"/>
      <c r="AC367" s="86">
        <f>tbl_estimated_costs_quantities[[#This Row],[Doors Replacement Repair]]*BOQs!$L$9</f>
        <v>0</v>
      </c>
      <c r="AD367" s="76"/>
      <c r="AE367" s="37"/>
      <c r="AF367" s="86">
        <f>tbl_estimated_costs_quantities[[#This Row],[Windows Replacement Repair]]*BOQs!$L$10</f>
        <v>0</v>
      </c>
      <c r="AG367" s="76"/>
      <c r="AH367" s="37"/>
      <c r="AI367" s="86">
        <f>tbl_estimated_costs_quantities[[#This Row],[Bathroom Rehabilitation]]*BOQs!$L$11</f>
        <v>0</v>
      </c>
      <c r="AJ367" s="76"/>
      <c r="AK367" s="37"/>
      <c r="AL367" s="86">
        <f>tbl_estimated_costs_quantities[[#This Row],[Ceramic Tile Works WASH]]*BOQs!$L$12</f>
        <v>0</v>
      </c>
      <c r="AM367" s="76"/>
      <c r="AN367" s="37"/>
      <c r="AO367" s="86">
        <f>tbl_estimated_costs_quantities[[#This Row],[Electrical Repairs Lighting]]*BOQs!$L$13</f>
        <v>0</v>
      </c>
      <c r="AP367" s="76"/>
      <c r="AQ367" s="37"/>
      <c r="AR367" s="86">
        <f>tbl_estimated_costs_quantities[[#This Row],[Roof Insulation Leak Sealing]]*BOQs!$L$14</f>
        <v>0</v>
      </c>
      <c r="AS367" s="76"/>
      <c r="AT367" s="37"/>
      <c r="AU367" s="86">
        <f>tbl_estimated_costs_quantities[[#This Row],[Chimney Duct Cleaning Repair]]*BOQs!$L$15</f>
        <v>0</v>
      </c>
      <c r="AV367" s="76"/>
      <c r="AW367" s="37"/>
      <c r="AX367" s="89">
        <f>tbl_estimated_costs_quantities[[#This Row],[Accessibility Adaptations]]*BOQs!$L$16</f>
        <v>0</v>
      </c>
      <c r="AY367" s="86" t="str">
        <f>IF(tbl_estimated_costs_quantities[[#This Row],[Total cost]]&lt;&gt;0,tbl_estimated_costs_quantities[[#This Row],[Total cost]]/BOQs!$A$1,"")</f>
        <v/>
      </c>
      <c r="AZ367" s="37"/>
      <c r="BA367" s="37"/>
      <c r="BB367" s="37"/>
      <c r="BC367" s="37"/>
      <c r="BD367" s="41"/>
      <c r="BE367" s="37"/>
      <c r="BF367" s="37"/>
      <c r="BG367" s="37"/>
      <c r="BH367" s="41"/>
    </row>
    <row r="368" spans="2:60" ht="25.15" customHeight="1" x14ac:dyDescent="0.25">
      <c r="B368" s="49">
        <v>364</v>
      </c>
      <c r="C368" s="37"/>
      <c r="D368" s="41"/>
      <c r="E368" s="40"/>
      <c r="F368" s="87" t="str">
        <f>IF(tbl_estimated_costs_quantities[[#This Row],[House Code]]&lt;&gt;"",INDEX(tbl_Assessment[],MATCH(tbl_estimated_costs_quantities[[#This Row],[House Code]],tbl_Assessment[House Code],0),3),"")</f>
        <v/>
      </c>
      <c r="G368" s="115" t="str">
        <f>IF(tbl_estimated_costs_quantities[[#This Row],[House Code]]&lt;&gt;"",INDEX(tbl_Assessment[],MATCH(tbl_estimated_costs_quantities[[#This Row],[House Code]],tbl_Assessment[House Code],0),9),"")</f>
        <v/>
      </c>
      <c r="H36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8" s="75"/>
      <c r="J368" s="37"/>
      <c r="K368" s="86">
        <f>tbl_estimated_costs_quantities[[#This Row],[Site Preparation]]*BOQs!$L$3</f>
        <v>0</v>
      </c>
      <c r="L368" s="76"/>
      <c r="M368" s="37"/>
      <c r="N368" s="86">
        <f>tbl_estimated_costs_quantities[[#This Row],[Demolition Removal Unsafe Structures]]*BOQs!$L$4</f>
        <v>0</v>
      </c>
      <c r="O368" s="76"/>
      <c r="P368" s="37"/>
      <c r="Q368" s="86">
        <f>tbl_estimated_costs_quantities[[#This Row],[Concrete Works]]*BOQs!$L$5</f>
        <v>0</v>
      </c>
      <c r="R368" s="76"/>
      <c r="S368" s="37"/>
      <c r="T368" s="86">
        <f>tbl_estimated_costs_quantities[[#This Row],[Closure External Openings Walls Windows]]*BOQs!$L$6</f>
        <v>0</v>
      </c>
      <c r="U368" s="76"/>
      <c r="V368" s="37"/>
      <c r="W368" s="86">
        <f>tbl_estimated_costs_quantities[[#This Row],[Plastering Painting]]*BOQs!$L$7</f>
        <v>0</v>
      </c>
      <c r="X368" s="76"/>
      <c r="Y368" s="37"/>
      <c r="Z368" s="86">
        <f>tbl_estimated_costs_quantities[[#This Row],[Floor Repairs]]*BOQs!$L$8</f>
        <v>0</v>
      </c>
      <c r="AA368" s="76"/>
      <c r="AB368" s="37"/>
      <c r="AC368" s="86">
        <f>tbl_estimated_costs_quantities[[#This Row],[Doors Replacement Repair]]*BOQs!$L$9</f>
        <v>0</v>
      </c>
      <c r="AD368" s="76"/>
      <c r="AE368" s="37"/>
      <c r="AF368" s="86">
        <f>tbl_estimated_costs_quantities[[#This Row],[Windows Replacement Repair]]*BOQs!$L$10</f>
        <v>0</v>
      </c>
      <c r="AG368" s="76"/>
      <c r="AH368" s="37"/>
      <c r="AI368" s="86">
        <f>tbl_estimated_costs_quantities[[#This Row],[Bathroom Rehabilitation]]*BOQs!$L$11</f>
        <v>0</v>
      </c>
      <c r="AJ368" s="76"/>
      <c r="AK368" s="37"/>
      <c r="AL368" s="86">
        <f>tbl_estimated_costs_quantities[[#This Row],[Ceramic Tile Works WASH]]*BOQs!$L$12</f>
        <v>0</v>
      </c>
      <c r="AM368" s="76"/>
      <c r="AN368" s="37"/>
      <c r="AO368" s="86">
        <f>tbl_estimated_costs_quantities[[#This Row],[Electrical Repairs Lighting]]*BOQs!$L$13</f>
        <v>0</v>
      </c>
      <c r="AP368" s="76"/>
      <c r="AQ368" s="37"/>
      <c r="AR368" s="86">
        <f>tbl_estimated_costs_quantities[[#This Row],[Roof Insulation Leak Sealing]]*BOQs!$L$14</f>
        <v>0</v>
      </c>
      <c r="AS368" s="76"/>
      <c r="AT368" s="37"/>
      <c r="AU368" s="86">
        <f>tbl_estimated_costs_quantities[[#This Row],[Chimney Duct Cleaning Repair]]*BOQs!$L$15</f>
        <v>0</v>
      </c>
      <c r="AV368" s="76"/>
      <c r="AW368" s="37"/>
      <c r="AX368" s="89">
        <f>tbl_estimated_costs_quantities[[#This Row],[Accessibility Adaptations]]*BOQs!$L$16</f>
        <v>0</v>
      </c>
      <c r="AY368" s="86" t="str">
        <f>IF(tbl_estimated_costs_quantities[[#This Row],[Total cost]]&lt;&gt;0,tbl_estimated_costs_quantities[[#This Row],[Total cost]]/BOQs!$A$1,"")</f>
        <v/>
      </c>
      <c r="AZ368" s="37"/>
      <c r="BA368" s="37"/>
      <c r="BB368" s="37"/>
      <c r="BC368" s="37"/>
      <c r="BD368" s="41"/>
      <c r="BE368" s="37"/>
      <c r="BF368" s="37"/>
      <c r="BG368" s="37"/>
      <c r="BH368" s="41"/>
    </row>
    <row r="369" spans="2:60" ht="25.15" customHeight="1" x14ac:dyDescent="0.25">
      <c r="B369" s="49">
        <v>365</v>
      </c>
      <c r="C369" s="37"/>
      <c r="D369" s="41"/>
      <c r="E369" s="40"/>
      <c r="F369" s="87" t="str">
        <f>IF(tbl_estimated_costs_quantities[[#This Row],[House Code]]&lt;&gt;"",INDEX(tbl_Assessment[],MATCH(tbl_estimated_costs_quantities[[#This Row],[House Code]],tbl_Assessment[House Code],0),3),"")</f>
        <v/>
      </c>
      <c r="G369" s="115" t="str">
        <f>IF(tbl_estimated_costs_quantities[[#This Row],[House Code]]&lt;&gt;"",INDEX(tbl_Assessment[],MATCH(tbl_estimated_costs_quantities[[#This Row],[House Code]],tbl_Assessment[House Code],0),9),"")</f>
        <v/>
      </c>
      <c r="H36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69" s="75"/>
      <c r="J369" s="37"/>
      <c r="K369" s="86">
        <f>tbl_estimated_costs_quantities[[#This Row],[Site Preparation]]*BOQs!$L$3</f>
        <v>0</v>
      </c>
      <c r="L369" s="76"/>
      <c r="M369" s="37"/>
      <c r="N369" s="86">
        <f>tbl_estimated_costs_quantities[[#This Row],[Demolition Removal Unsafe Structures]]*BOQs!$L$4</f>
        <v>0</v>
      </c>
      <c r="O369" s="76"/>
      <c r="P369" s="37"/>
      <c r="Q369" s="86">
        <f>tbl_estimated_costs_quantities[[#This Row],[Concrete Works]]*BOQs!$L$5</f>
        <v>0</v>
      </c>
      <c r="R369" s="76"/>
      <c r="S369" s="37"/>
      <c r="T369" s="86">
        <f>tbl_estimated_costs_quantities[[#This Row],[Closure External Openings Walls Windows]]*BOQs!$L$6</f>
        <v>0</v>
      </c>
      <c r="U369" s="76"/>
      <c r="V369" s="37"/>
      <c r="W369" s="86">
        <f>tbl_estimated_costs_quantities[[#This Row],[Plastering Painting]]*BOQs!$L$7</f>
        <v>0</v>
      </c>
      <c r="X369" s="76"/>
      <c r="Y369" s="37"/>
      <c r="Z369" s="86">
        <f>tbl_estimated_costs_quantities[[#This Row],[Floor Repairs]]*BOQs!$L$8</f>
        <v>0</v>
      </c>
      <c r="AA369" s="76"/>
      <c r="AB369" s="37"/>
      <c r="AC369" s="86">
        <f>tbl_estimated_costs_quantities[[#This Row],[Doors Replacement Repair]]*BOQs!$L$9</f>
        <v>0</v>
      </c>
      <c r="AD369" s="76"/>
      <c r="AE369" s="37"/>
      <c r="AF369" s="86">
        <f>tbl_estimated_costs_quantities[[#This Row],[Windows Replacement Repair]]*BOQs!$L$10</f>
        <v>0</v>
      </c>
      <c r="AG369" s="76"/>
      <c r="AH369" s="37"/>
      <c r="AI369" s="86">
        <f>tbl_estimated_costs_quantities[[#This Row],[Bathroom Rehabilitation]]*BOQs!$L$11</f>
        <v>0</v>
      </c>
      <c r="AJ369" s="76"/>
      <c r="AK369" s="37"/>
      <c r="AL369" s="86">
        <f>tbl_estimated_costs_quantities[[#This Row],[Ceramic Tile Works WASH]]*BOQs!$L$12</f>
        <v>0</v>
      </c>
      <c r="AM369" s="76"/>
      <c r="AN369" s="37"/>
      <c r="AO369" s="86">
        <f>tbl_estimated_costs_quantities[[#This Row],[Electrical Repairs Lighting]]*BOQs!$L$13</f>
        <v>0</v>
      </c>
      <c r="AP369" s="76"/>
      <c r="AQ369" s="37"/>
      <c r="AR369" s="86">
        <f>tbl_estimated_costs_quantities[[#This Row],[Roof Insulation Leak Sealing]]*BOQs!$L$14</f>
        <v>0</v>
      </c>
      <c r="AS369" s="76"/>
      <c r="AT369" s="37"/>
      <c r="AU369" s="86">
        <f>tbl_estimated_costs_quantities[[#This Row],[Chimney Duct Cleaning Repair]]*BOQs!$L$15</f>
        <v>0</v>
      </c>
      <c r="AV369" s="76"/>
      <c r="AW369" s="37"/>
      <c r="AX369" s="89">
        <f>tbl_estimated_costs_quantities[[#This Row],[Accessibility Adaptations]]*BOQs!$L$16</f>
        <v>0</v>
      </c>
      <c r="AY369" s="86" t="str">
        <f>IF(tbl_estimated_costs_quantities[[#This Row],[Total cost]]&lt;&gt;0,tbl_estimated_costs_quantities[[#This Row],[Total cost]]/BOQs!$A$1,"")</f>
        <v/>
      </c>
      <c r="AZ369" s="37"/>
      <c r="BA369" s="37"/>
      <c r="BB369" s="37"/>
      <c r="BC369" s="37"/>
      <c r="BD369" s="41"/>
      <c r="BE369" s="37"/>
      <c r="BF369" s="37"/>
      <c r="BG369" s="37"/>
      <c r="BH369" s="41"/>
    </row>
    <row r="370" spans="2:60" ht="25.15" customHeight="1" x14ac:dyDescent="0.25">
      <c r="B370" s="49">
        <v>366</v>
      </c>
      <c r="C370" s="37"/>
      <c r="D370" s="41"/>
      <c r="E370" s="40"/>
      <c r="F370" s="87" t="str">
        <f>IF(tbl_estimated_costs_quantities[[#This Row],[House Code]]&lt;&gt;"",INDEX(tbl_Assessment[],MATCH(tbl_estimated_costs_quantities[[#This Row],[House Code]],tbl_Assessment[House Code],0),3),"")</f>
        <v/>
      </c>
      <c r="G370" s="115" t="str">
        <f>IF(tbl_estimated_costs_quantities[[#This Row],[House Code]]&lt;&gt;"",INDEX(tbl_Assessment[],MATCH(tbl_estimated_costs_quantities[[#This Row],[House Code]],tbl_Assessment[House Code],0),9),"")</f>
        <v/>
      </c>
      <c r="H37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0" s="75"/>
      <c r="J370" s="37"/>
      <c r="K370" s="86">
        <f>tbl_estimated_costs_quantities[[#This Row],[Site Preparation]]*BOQs!$L$3</f>
        <v>0</v>
      </c>
      <c r="L370" s="76"/>
      <c r="M370" s="37"/>
      <c r="N370" s="86">
        <f>tbl_estimated_costs_quantities[[#This Row],[Demolition Removal Unsafe Structures]]*BOQs!$L$4</f>
        <v>0</v>
      </c>
      <c r="O370" s="76"/>
      <c r="P370" s="37"/>
      <c r="Q370" s="86">
        <f>tbl_estimated_costs_quantities[[#This Row],[Concrete Works]]*BOQs!$L$5</f>
        <v>0</v>
      </c>
      <c r="R370" s="76"/>
      <c r="S370" s="37"/>
      <c r="T370" s="86">
        <f>tbl_estimated_costs_quantities[[#This Row],[Closure External Openings Walls Windows]]*BOQs!$L$6</f>
        <v>0</v>
      </c>
      <c r="U370" s="76"/>
      <c r="V370" s="37"/>
      <c r="W370" s="86">
        <f>tbl_estimated_costs_quantities[[#This Row],[Plastering Painting]]*BOQs!$L$7</f>
        <v>0</v>
      </c>
      <c r="X370" s="76"/>
      <c r="Y370" s="37"/>
      <c r="Z370" s="86">
        <f>tbl_estimated_costs_quantities[[#This Row],[Floor Repairs]]*BOQs!$L$8</f>
        <v>0</v>
      </c>
      <c r="AA370" s="76"/>
      <c r="AB370" s="37"/>
      <c r="AC370" s="86">
        <f>tbl_estimated_costs_quantities[[#This Row],[Doors Replacement Repair]]*BOQs!$L$9</f>
        <v>0</v>
      </c>
      <c r="AD370" s="76"/>
      <c r="AE370" s="37"/>
      <c r="AF370" s="86">
        <f>tbl_estimated_costs_quantities[[#This Row],[Windows Replacement Repair]]*BOQs!$L$10</f>
        <v>0</v>
      </c>
      <c r="AG370" s="76"/>
      <c r="AH370" s="37"/>
      <c r="AI370" s="86">
        <f>tbl_estimated_costs_quantities[[#This Row],[Bathroom Rehabilitation]]*BOQs!$L$11</f>
        <v>0</v>
      </c>
      <c r="AJ370" s="76"/>
      <c r="AK370" s="37"/>
      <c r="AL370" s="86">
        <f>tbl_estimated_costs_quantities[[#This Row],[Ceramic Tile Works WASH]]*BOQs!$L$12</f>
        <v>0</v>
      </c>
      <c r="AM370" s="76"/>
      <c r="AN370" s="37"/>
      <c r="AO370" s="86">
        <f>tbl_estimated_costs_quantities[[#This Row],[Electrical Repairs Lighting]]*BOQs!$L$13</f>
        <v>0</v>
      </c>
      <c r="AP370" s="76"/>
      <c r="AQ370" s="37"/>
      <c r="AR370" s="86">
        <f>tbl_estimated_costs_quantities[[#This Row],[Roof Insulation Leak Sealing]]*BOQs!$L$14</f>
        <v>0</v>
      </c>
      <c r="AS370" s="76"/>
      <c r="AT370" s="37"/>
      <c r="AU370" s="86">
        <f>tbl_estimated_costs_quantities[[#This Row],[Chimney Duct Cleaning Repair]]*BOQs!$L$15</f>
        <v>0</v>
      </c>
      <c r="AV370" s="76"/>
      <c r="AW370" s="37"/>
      <c r="AX370" s="89">
        <f>tbl_estimated_costs_quantities[[#This Row],[Accessibility Adaptations]]*BOQs!$L$16</f>
        <v>0</v>
      </c>
      <c r="AY370" s="86" t="str">
        <f>IF(tbl_estimated_costs_quantities[[#This Row],[Total cost]]&lt;&gt;0,tbl_estimated_costs_quantities[[#This Row],[Total cost]]/BOQs!$A$1,"")</f>
        <v/>
      </c>
      <c r="AZ370" s="37"/>
      <c r="BA370" s="37"/>
      <c r="BB370" s="37"/>
      <c r="BC370" s="37"/>
      <c r="BD370" s="41"/>
      <c r="BE370" s="37"/>
      <c r="BF370" s="37"/>
      <c r="BG370" s="37"/>
      <c r="BH370" s="41"/>
    </row>
    <row r="371" spans="2:60" ht="25.15" customHeight="1" x14ac:dyDescent="0.25">
      <c r="B371" s="49">
        <v>367</v>
      </c>
      <c r="C371" s="37"/>
      <c r="D371" s="41"/>
      <c r="E371" s="40"/>
      <c r="F371" s="87" t="str">
        <f>IF(tbl_estimated_costs_quantities[[#This Row],[House Code]]&lt;&gt;"",INDEX(tbl_Assessment[],MATCH(tbl_estimated_costs_quantities[[#This Row],[House Code]],tbl_Assessment[House Code],0),3),"")</f>
        <v/>
      </c>
      <c r="G371" s="115" t="str">
        <f>IF(tbl_estimated_costs_quantities[[#This Row],[House Code]]&lt;&gt;"",INDEX(tbl_Assessment[],MATCH(tbl_estimated_costs_quantities[[#This Row],[House Code]],tbl_Assessment[House Code],0),9),"")</f>
        <v/>
      </c>
      <c r="H37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1" s="75"/>
      <c r="J371" s="37"/>
      <c r="K371" s="86">
        <f>tbl_estimated_costs_quantities[[#This Row],[Site Preparation]]*BOQs!$L$3</f>
        <v>0</v>
      </c>
      <c r="L371" s="76"/>
      <c r="M371" s="37"/>
      <c r="N371" s="86">
        <f>tbl_estimated_costs_quantities[[#This Row],[Demolition Removal Unsafe Structures]]*BOQs!$L$4</f>
        <v>0</v>
      </c>
      <c r="O371" s="76"/>
      <c r="P371" s="37"/>
      <c r="Q371" s="86">
        <f>tbl_estimated_costs_quantities[[#This Row],[Concrete Works]]*BOQs!$L$5</f>
        <v>0</v>
      </c>
      <c r="R371" s="76"/>
      <c r="S371" s="37"/>
      <c r="T371" s="86">
        <f>tbl_estimated_costs_quantities[[#This Row],[Closure External Openings Walls Windows]]*BOQs!$L$6</f>
        <v>0</v>
      </c>
      <c r="U371" s="76"/>
      <c r="V371" s="37"/>
      <c r="W371" s="86">
        <f>tbl_estimated_costs_quantities[[#This Row],[Plastering Painting]]*BOQs!$L$7</f>
        <v>0</v>
      </c>
      <c r="X371" s="76"/>
      <c r="Y371" s="37"/>
      <c r="Z371" s="86">
        <f>tbl_estimated_costs_quantities[[#This Row],[Floor Repairs]]*BOQs!$L$8</f>
        <v>0</v>
      </c>
      <c r="AA371" s="76"/>
      <c r="AB371" s="37"/>
      <c r="AC371" s="86">
        <f>tbl_estimated_costs_quantities[[#This Row],[Doors Replacement Repair]]*BOQs!$L$9</f>
        <v>0</v>
      </c>
      <c r="AD371" s="76"/>
      <c r="AE371" s="37"/>
      <c r="AF371" s="86">
        <f>tbl_estimated_costs_quantities[[#This Row],[Windows Replacement Repair]]*BOQs!$L$10</f>
        <v>0</v>
      </c>
      <c r="AG371" s="76"/>
      <c r="AH371" s="37"/>
      <c r="AI371" s="86">
        <f>tbl_estimated_costs_quantities[[#This Row],[Bathroom Rehabilitation]]*BOQs!$L$11</f>
        <v>0</v>
      </c>
      <c r="AJ371" s="76"/>
      <c r="AK371" s="37"/>
      <c r="AL371" s="86">
        <f>tbl_estimated_costs_quantities[[#This Row],[Ceramic Tile Works WASH]]*BOQs!$L$12</f>
        <v>0</v>
      </c>
      <c r="AM371" s="76"/>
      <c r="AN371" s="37"/>
      <c r="AO371" s="86">
        <f>tbl_estimated_costs_quantities[[#This Row],[Electrical Repairs Lighting]]*BOQs!$L$13</f>
        <v>0</v>
      </c>
      <c r="AP371" s="76"/>
      <c r="AQ371" s="37"/>
      <c r="AR371" s="86">
        <f>tbl_estimated_costs_quantities[[#This Row],[Roof Insulation Leak Sealing]]*BOQs!$L$14</f>
        <v>0</v>
      </c>
      <c r="AS371" s="76"/>
      <c r="AT371" s="37"/>
      <c r="AU371" s="86">
        <f>tbl_estimated_costs_quantities[[#This Row],[Chimney Duct Cleaning Repair]]*BOQs!$L$15</f>
        <v>0</v>
      </c>
      <c r="AV371" s="76"/>
      <c r="AW371" s="37"/>
      <c r="AX371" s="89">
        <f>tbl_estimated_costs_quantities[[#This Row],[Accessibility Adaptations]]*BOQs!$L$16</f>
        <v>0</v>
      </c>
      <c r="AY371" s="86" t="str">
        <f>IF(tbl_estimated_costs_quantities[[#This Row],[Total cost]]&lt;&gt;0,tbl_estimated_costs_quantities[[#This Row],[Total cost]]/BOQs!$A$1,"")</f>
        <v/>
      </c>
      <c r="AZ371" s="37"/>
      <c r="BA371" s="37"/>
      <c r="BB371" s="37"/>
      <c r="BC371" s="37"/>
      <c r="BD371" s="41"/>
      <c r="BE371" s="37"/>
      <c r="BF371" s="37"/>
      <c r="BG371" s="37"/>
      <c r="BH371" s="41"/>
    </row>
    <row r="372" spans="2:60" ht="25.15" customHeight="1" x14ac:dyDescent="0.25">
      <c r="B372" s="49">
        <v>368</v>
      </c>
      <c r="C372" s="37"/>
      <c r="D372" s="41"/>
      <c r="E372" s="40"/>
      <c r="F372" s="87" t="str">
        <f>IF(tbl_estimated_costs_quantities[[#This Row],[House Code]]&lt;&gt;"",INDEX(tbl_Assessment[],MATCH(tbl_estimated_costs_quantities[[#This Row],[House Code]],tbl_Assessment[House Code],0),3),"")</f>
        <v/>
      </c>
      <c r="G372" s="115" t="str">
        <f>IF(tbl_estimated_costs_quantities[[#This Row],[House Code]]&lt;&gt;"",INDEX(tbl_Assessment[],MATCH(tbl_estimated_costs_quantities[[#This Row],[House Code]],tbl_Assessment[House Code],0),9),"")</f>
        <v/>
      </c>
      <c r="H37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2" s="75"/>
      <c r="J372" s="37"/>
      <c r="K372" s="86">
        <f>tbl_estimated_costs_quantities[[#This Row],[Site Preparation]]*BOQs!$L$3</f>
        <v>0</v>
      </c>
      <c r="L372" s="76"/>
      <c r="M372" s="37"/>
      <c r="N372" s="86">
        <f>tbl_estimated_costs_quantities[[#This Row],[Demolition Removal Unsafe Structures]]*BOQs!$L$4</f>
        <v>0</v>
      </c>
      <c r="O372" s="76"/>
      <c r="P372" s="37"/>
      <c r="Q372" s="86">
        <f>tbl_estimated_costs_quantities[[#This Row],[Concrete Works]]*BOQs!$L$5</f>
        <v>0</v>
      </c>
      <c r="R372" s="76"/>
      <c r="S372" s="37"/>
      <c r="T372" s="86">
        <f>tbl_estimated_costs_quantities[[#This Row],[Closure External Openings Walls Windows]]*BOQs!$L$6</f>
        <v>0</v>
      </c>
      <c r="U372" s="76"/>
      <c r="V372" s="37"/>
      <c r="W372" s="86">
        <f>tbl_estimated_costs_quantities[[#This Row],[Plastering Painting]]*BOQs!$L$7</f>
        <v>0</v>
      </c>
      <c r="X372" s="76"/>
      <c r="Y372" s="37"/>
      <c r="Z372" s="86">
        <f>tbl_estimated_costs_quantities[[#This Row],[Floor Repairs]]*BOQs!$L$8</f>
        <v>0</v>
      </c>
      <c r="AA372" s="76"/>
      <c r="AB372" s="37"/>
      <c r="AC372" s="86">
        <f>tbl_estimated_costs_quantities[[#This Row],[Doors Replacement Repair]]*BOQs!$L$9</f>
        <v>0</v>
      </c>
      <c r="AD372" s="76"/>
      <c r="AE372" s="37"/>
      <c r="AF372" s="86">
        <f>tbl_estimated_costs_quantities[[#This Row],[Windows Replacement Repair]]*BOQs!$L$10</f>
        <v>0</v>
      </c>
      <c r="AG372" s="76"/>
      <c r="AH372" s="37"/>
      <c r="AI372" s="86">
        <f>tbl_estimated_costs_quantities[[#This Row],[Bathroom Rehabilitation]]*BOQs!$L$11</f>
        <v>0</v>
      </c>
      <c r="AJ372" s="76"/>
      <c r="AK372" s="37"/>
      <c r="AL372" s="86">
        <f>tbl_estimated_costs_quantities[[#This Row],[Ceramic Tile Works WASH]]*BOQs!$L$12</f>
        <v>0</v>
      </c>
      <c r="AM372" s="76"/>
      <c r="AN372" s="37"/>
      <c r="AO372" s="86">
        <f>tbl_estimated_costs_quantities[[#This Row],[Electrical Repairs Lighting]]*BOQs!$L$13</f>
        <v>0</v>
      </c>
      <c r="AP372" s="76"/>
      <c r="AQ372" s="37"/>
      <c r="AR372" s="86">
        <f>tbl_estimated_costs_quantities[[#This Row],[Roof Insulation Leak Sealing]]*BOQs!$L$14</f>
        <v>0</v>
      </c>
      <c r="AS372" s="76"/>
      <c r="AT372" s="37"/>
      <c r="AU372" s="86">
        <f>tbl_estimated_costs_quantities[[#This Row],[Chimney Duct Cleaning Repair]]*BOQs!$L$15</f>
        <v>0</v>
      </c>
      <c r="AV372" s="76"/>
      <c r="AW372" s="37"/>
      <c r="AX372" s="89">
        <f>tbl_estimated_costs_quantities[[#This Row],[Accessibility Adaptations]]*BOQs!$L$16</f>
        <v>0</v>
      </c>
      <c r="AY372" s="86" t="str">
        <f>IF(tbl_estimated_costs_quantities[[#This Row],[Total cost]]&lt;&gt;0,tbl_estimated_costs_quantities[[#This Row],[Total cost]]/BOQs!$A$1,"")</f>
        <v/>
      </c>
      <c r="AZ372" s="37"/>
      <c r="BA372" s="37"/>
      <c r="BB372" s="37"/>
      <c r="BC372" s="37"/>
      <c r="BD372" s="41"/>
      <c r="BE372" s="37"/>
      <c r="BF372" s="37"/>
      <c r="BG372" s="37"/>
      <c r="BH372" s="41"/>
    </row>
    <row r="373" spans="2:60" ht="25.15" customHeight="1" x14ac:dyDescent="0.25">
      <c r="B373" s="49">
        <v>369</v>
      </c>
      <c r="C373" s="37"/>
      <c r="D373" s="41"/>
      <c r="E373" s="40"/>
      <c r="F373" s="87" t="str">
        <f>IF(tbl_estimated_costs_quantities[[#This Row],[House Code]]&lt;&gt;"",INDEX(tbl_Assessment[],MATCH(tbl_estimated_costs_quantities[[#This Row],[House Code]],tbl_Assessment[House Code],0),3),"")</f>
        <v/>
      </c>
      <c r="G373" s="115" t="str">
        <f>IF(tbl_estimated_costs_quantities[[#This Row],[House Code]]&lt;&gt;"",INDEX(tbl_Assessment[],MATCH(tbl_estimated_costs_quantities[[#This Row],[House Code]],tbl_Assessment[House Code],0),9),"")</f>
        <v/>
      </c>
      <c r="H37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3" s="75"/>
      <c r="J373" s="37"/>
      <c r="K373" s="86">
        <f>tbl_estimated_costs_quantities[[#This Row],[Site Preparation]]*BOQs!$L$3</f>
        <v>0</v>
      </c>
      <c r="L373" s="76"/>
      <c r="M373" s="37"/>
      <c r="N373" s="86">
        <f>tbl_estimated_costs_quantities[[#This Row],[Demolition Removal Unsafe Structures]]*BOQs!$L$4</f>
        <v>0</v>
      </c>
      <c r="O373" s="76"/>
      <c r="P373" s="37"/>
      <c r="Q373" s="86">
        <f>tbl_estimated_costs_quantities[[#This Row],[Concrete Works]]*BOQs!$L$5</f>
        <v>0</v>
      </c>
      <c r="R373" s="76"/>
      <c r="S373" s="37"/>
      <c r="T373" s="86">
        <f>tbl_estimated_costs_quantities[[#This Row],[Closure External Openings Walls Windows]]*BOQs!$L$6</f>
        <v>0</v>
      </c>
      <c r="U373" s="76"/>
      <c r="V373" s="37"/>
      <c r="W373" s="86">
        <f>tbl_estimated_costs_quantities[[#This Row],[Plastering Painting]]*BOQs!$L$7</f>
        <v>0</v>
      </c>
      <c r="X373" s="76"/>
      <c r="Y373" s="37"/>
      <c r="Z373" s="86">
        <f>tbl_estimated_costs_quantities[[#This Row],[Floor Repairs]]*BOQs!$L$8</f>
        <v>0</v>
      </c>
      <c r="AA373" s="76"/>
      <c r="AB373" s="37"/>
      <c r="AC373" s="86">
        <f>tbl_estimated_costs_quantities[[#This Row],[Doors Replacement Repair]]*BOQs!$L$9</f>
        <v>0</v>
      </c>
      <c r="AD373" s="76"/>
      <c r="AE373" s="37"/>
      <c r="AF373" s="86">
        <f>tbl_estimated_costs_quantities[[#This Row],[Windows Replacement Repair]]*BOQs!$L$10</f>
        <v>0</v>
      </c>
      <c r="AG373" s="76"/>
      <c r="AH373" s="37"/>
      <c r="AI373" s="86">
        <f>tbl_estimated_costs_quantities[[#This Row],[Bathroom Rehabilitation]]*BOQs!$L$11</f>
        <v>0</v>
      </c>
      <c r="AJ373" s="76"/>
      <c r="AK373" s="37"/>
      <c r="AL373" s="86">
        <f>tbl_estimated_costs_quantities[[#This Row],[Ceramic Tile Works WASH]]*BOQs!$L$12</f>
        <v>0</v>
      </c>
      <c r="AM373" s="76"/>
      <c r="AN373" s="37"/>
      <c r="AO373" s="86">
        <f>tbl_estimated_costs_quantities[[#This Row],[Electrical Repairs Lighting]]*BOQs!$L$13</f>
        <v>0</v>
      </c>
      <c r="AP373" s="76"/>
      <c r="AQ373" s="37"/>
      <c r="AR373" s="86">
        <f>tbl_estimated_costs_quantities[[#This Row],[Roof Insulation Leak Sealing]]*BOQs!$L$14</f>
        <v>0</v>
      </c>
      <c r="AS373" s="76"/>
      <c r="AT373" s="37"/>
      <c r="AU373" s="86">
        <f>tbl_estimated_costs_quantities[[#This Row],[Chimney Duct Cleaning Repair]]*BOQs!$L$15</f>
        <v>0</v>
      </c>
      <c r="AV373" s="76"/>
      <c r="AW373" s="37"/>
      <c r="AX373" s="89">
        <f>tbl_estimated_costs_quantities[[#This Row],[Accessibility Adaptations]]*BOQs!$L$16</f>
        <v>0</v>
      </c>
      <c r="AY373" s="86" t="str">
        <f>IF(tbl_estimated_costs_quantities[[#This Row],[Total cost]]&lt;&gt;0,tbl_estimated_costs_quantities[[#This Row],[Total cost]]/BOQs!$A$1,"")</f>
        <v/>
      </c>
      <c r="AZ373" s="37"/>
      <c r="BA373" s="37"/>
      <c r="BB373" s="37"/>
      <c r="BC373" s="37"/>
      <c r="BD373" s="41"/>
      <c r="BE373" s="37"/>
      <c r="BF373" s="37"/>
      <c r="BG373" s="37"/>
      <c r="BH373" s="41"/>
    </row>
    <row r="374" spans="2:60" ht="25.15" customHeight="1" x14ac:dyDescent="0.25">
      <c r="B374" s="49">
        <v>370</v>
      </c>
      <c r="C374" s="37"/>
      <c r="D374" s="41"/>
      <c r="E374" s="40"/>
      <c r="F374" s="87" t="str">
        <f>IF(tbl_estimated_costs_quantities[[#This Row],[House Code]]&lt;&gt;"",INDEX(tbl_Assessment[],MATCH(tbl_estimated_costs_quantities[[#This Row],[House Code]],tbl_Assessment[House Code],0),3),"")</f>
        <v/>
      </c>
      <c r="G374" s="115" t="str">
        <f>IF(tbl_estimated_costs_quantities[[#This Row],[House Code]]&lt;&gt;"",INDEX(tbl_Assessment[],MATCH(tbl_estimated_costs_quantities[[#This Row],[House Code]],tbl_Assessment[House Code],0),9),"")</f>
        <v/>
      </c>
      <c r="H37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4" s="75"/>
      <c r="J374" s="37"/>
      <c r="K374" s="86">
        <f>tbl_estimated_costs_quantities[[#This Row],[Site Preparation]]*BOQs!$L$3</f>
        <v>0</v>
      </c>
      <c r="L374" s="76"/>
      <c r="M374" s="37"/>
      <c r="N374" s="86">
        <f>tbl_estimated_costs_quantities[[#This Row],[Demolition Removal Unsafe Structures]]*BOQs!$L$4</f>
        <v>0</v>
      </c>
      <c r="O374" s="76"/>
      <c r="P374" s="37"/>
      <c r="Q374" s="86">
        <f>tbl_estimated_costs_quantities[[#This Row],[Concrete Works]]*BOQs!$L$5</f>
        <v>0</v>
      </c>
      <c r="R374" s="76"/>
      <c r="S374" s="37"/>
      <c r="T374" s="86">
        <f>tbl_estimated_costs_quantities[[#This Row],[Closure External Openings Walls Windows]]*BOQs!$L$6</f>
        <v>0</v>
      </c>
      <c r="U374" s="76"/>
      <c r="V374" s="37"/>
      <c r="W374" s="86">
        <f>tbl_estimated_costs_quantities[[#This Row],[Plastering Painting]]*BOQs!$L$7</f>
        <v>0</v>
      </c>
      <c r="X374" s="76"/>
      <c r="Y374" s="37"/>
      <c r="Z374" s="86">
        <f>tbl_estimated_costs_quantities[[#This Row],[Floor Repairs]]*BOQs!$L$8</f>
        <v>0</v>
      </c>
      <c r="AA374" s="76"/>
      <c r="AB374" s="37"/>
      <c r="AC374" s="86">
        <f>tbl_estimated_costs_quantities[[#This Row],[Doors Replacement Repair]]*BOQs!$L$9</f>
        <v>0</v>
      </c>
      <c r="AD374" s="76"/>
      <c r="AE374" s="37"/>
      <c r="AF374" s="86">
        <f>tbl_estimated_costs_quantities[[#This Row],[Windows Replacement Repair]]*BOQs!$L$10</f>
        <v>0</v>
      </c>
      <c r="AG374" s="76"/>
      <c r="AH374" s="37"/>
      <c r="AI374" s="86">
        <f>tbl_estimated_costs_quantities[[#This Row],[Bathroom Rehabilitation]]*BOQs!$L$11</f>
        <v>0</v>
      </c>
      <c r="AJ374" s="76"/>
      <c r="AK374" s="37"/>
      <c r="AL374" s="86">
        <f>tbl_estimated_costs_quantities[[#This Row],[Ceramic Tile Works WASH]]*BOQs!$L$12</f>
        <v>0</v>
      </c>
      <c r="AM374" s="76"/>
      <c r="AN374" s="37"/>
      <c r="AO374" s="86">
        <f>tbl_estimated_costs_quantities[[#This Row],[Electrical Repairs Lighting]]*BOQs!$L$13</f>
        <v>0</v>
      </c>
      <c r="AP374" s="76"/>
      <c r="AQ374" s="37"/>
      <c r="AR374" s="86">
        <f>tbl_estimated_costs_quantities[[#This Row],[Roof Insulation Leak Sealing]]*BOQs!$L$14</f>
        <v>0</v>
      </c>
      <c r="AS374" s="76"/>
      <c r="AT374" s="37"/>
      <c r="AU374" s="86">
        <f>tbl_estimated_costs_quantities[[#This Row],[Chimney Duct Cleaning Repair]]*BOQs!$L$15</f>
        <v>0</v>
      </c>
      <c r="AV374" s="76"/>
      <c r="AW374" s="37"/>
      <c r="AX374" s="89">
        <f>tbl_estimated_costs_quantities[[#This Row],[Accessibility Adaptations]]*BOQs!$L$16</f>
        <v>0</v>
      </c>
      <c r="AY374" s="86" t="str">
        <f>IF(tbl_estimated_costs_quantities[[#This Row],[Total cost]]&lt;&gt;0,tbl_estimated_costs_quantities[[#This Row],[Total cost]]/BOQs!$A$1,"")</f>
        <v/>
      </c>
      <c r="AZ374" s="37"/>
      <c r="BA374" s="37"/>
      <c r="BB374" s="37"/>
      <c r="BC374" s="37"/>
      <c r="BD374" s="41"/>
      <c r="BE374" s="37"/>
      <c r="BF374" s="37"/>
      <c r="BG374" s="37"/>
      <c r="BH374" s="41"/>
    </row>
    <row r="375" spans="2:60" ht="25.15" customHeight="1" x14ac:dyDescent="0.25">
      <c r="B375" s="49">
        <v>371</v>
      </c>
      <c r="C375" s="37"/>
      <c r="D375" s="41"/>
      <c r="E375" s="40"/>
      <c r="F375" s="87" t="str">
        <f>IF(tbl_estimated_costs_quantities[[#This Row],[House Code]]&lt;&gt;"",INDEX(tbl_Assessment[],MATCH(tbl_estimated_costs_quantities[[#This Row],[House Code]],tbl_Assessment[House Code],0),3),"")</f>
        <v/>
      </c>
      <c r="G375" s="115" t="str">
        <f>IF(tbl_estimated_costs_quantities[[#This Row],[House Code]]&lt;&gt;"",INDEX(tbl_Assessment[],MATCH(tbl_estimated_costs_quantities[[#This Row],[House Code]],tbl_Assessment[House Code],0),9),"")</f>
        <v/>
      </c>
      <c r="H37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5" s="75"/>
      <c r="J375" s="37"/>
      <c r="K375" s="86">
        <f>tbl_estimated_costs_quantities[[#This Row],[Site Preparation]]*BOQs!$L$3</f>
        <v>0</v>
      </c>
      <c r="L375" s="76"/>
      <c r="M375" s="37"/>
      <c r="N375" s="86">
        <f>tbl_estimated_costs_quantities[[#This Row],[Demolition Removal Unsafe Structures]]*BOQs!$L$4</f>
        <v>0</v>
      </c>
      <c r="O375" s="76"/>
      <c r="P375" s="37"/>
      <c r="Q375" s="86">
        <f>tbl_estimated_costs_quantities[[#This Row],[Concrete Works]]*BOQs!$L$5</f>
        <v>0</v>
      </c>
      <c r="R375" s="76"/>
      <c r="S375" s="37"/>
      <c r="T375" s="86">
        <f>tbl_estimated_costs_quantities[[#This Row],[Closure External Openings Walls Windows]]*BOQs!$L$6</f>
        <v>0</v>
      </c>
      <c r="U375" s="76"/>
      <c r="V375" s="37"/>
      <c r="W375" s="86">
        <f>tbl_estimated_costs_quantities[[#This Row],[Plastering Painting]]*BOQs!$L$7</f>
        <v>0</v>
      </c>
      <c r="X375" s="76"/>
      <c r="Y375" s="37"/>
      <c r="Z375" s="86">
        <f>tbl_estimated_costs_quantities[[#This Row],[Floor Repairs]]*BOQs!$L$8</f>
        <v>0</v>
      </c>
      <c r="AA375" s="76"/>
      <c r="AB375" s="37"/>
      <c r="AC375" s="86">
        <f>tbl_estimated_costs_quantities[[#This Row],[Doors Replacement Repair]]*BOQs!$L$9</f>
        <v>0</v>
      </c>
      <c r="AD375" s="76"/>
      <c r="AE375" s="37"/>
      <c r="AF375" s="86">
        <f>tbl_estimated_costs_quantities[[#This Row],[Windows Replacement Repair]]*BOQs!$L$10</f>
        <v>0</v>
      </c>
      <c r="AG375" s="76"/>
      <c r="AH375" s="37"/>
      <c r="AI375" s="86">
        <f>tbl_estimated_costs_quantities[[#This Row],[Bathroom Rehabilitation]]*BOQs!$L$11</f>
        <v>0</v>
      </c>
      <c r="AJ375" s="76"/>
      <c r="AK375" s="37"/>
      <c r="AL375" s="86">
        <f>tbl_estimated_costs_quantities[[#This Row],[Ceramic Tile Works WASH]]*BOQs!$L$12</f>
        <v>0</v>
      </c>
      <c r="AM375" s="76"/>
      <c r="AN375" s="37"/>
      <c r="AO375" s="86">
        <f>tbl_estimated_costs_quantities[[#This Row],[Electrical Repairs Lighting]]*BOQs!$L$13</f>
        <v>0</v>
      </c>
      <c r="AP375" s="76"/>
      <c r="AQ375" s="37"/>
      <c r="AR375" s="86">
        <f>tbl_estimated_costs_quantities[[#This Row],[Roof Insulation Leak Sealing]]*BOQs!$L$14</f>
        <v>0</v>
      </c>
      <c r="AS375" s="76"/>
      <c r="AT375" s="37"/>
      <c r="AU375" s="86">
        <f>tbl_estimated_costs_quantities[[#This Row],[Chimney Duct Cleaning Repair]]*BOQs!$L$15</f>
        <v>0</v>
      </c>
      <c r="AV375" s="76"/>
      <c r="AW375" s="37"/>
      <c r="AX375" s="89">
        <f>tbl_estimated_costs_quantities[[#This Row],[Accessibility Adaptations]]*BOQs!$L$16</f>
        <v>0</v>
      </c>
      <c r="AY375" s="86" t="str">
        <f>IF(tbl_estimated_costs_quantities[[#This Row],[Total cost]]&lt;&gt;0,tbl_estimated_costs_quantities[[#This Row],[Total cost]]/BOQs!$A$1,"")</f>
        <v/>
      </c>
      <c r="AZ375" s="37"/>
      <c r="BA375" s="37"/>
      <c r="BB375" s="37"/>
      <c r="BC375" s="37"/>
      <c r="BD375" s="41"/>
      <c r="BE375" s="37"/>
      <c r="BF375" s="37"/>
      <c r="BG375" s="37"/>
      <c r="BH375" s="41"/>
    </row>
    <row r="376" spans="2:60" ht="25.15" customHeight="1" x14ac:dyDescent="0.25">
      <c r="B376" s="49">
        <v>372</v>
      </c>
      <c r="C376" s="37"/>
      <c r="D376" s="41"/>
      <c r="E376" s="40"/>
      <c r="F376" s="87" t="str">
        <f>IF(tbl_estimated_costs_quantities[[#This Row],[House Code]]&lt;&gt;"",INDEX(tbl_Assessment[],MATCH(tbl_estimated_costs_quantities[[#This Row],[House Code]],tbl_Assessment[House Code],0),3),"")</f>
        <v/>
      </c>
      <c r="G376" s="115" t="str">
        <f>IF(tbl_estimated_costs_quantities[[#This Row],[House Code]]&lt;&gt;"",INDEX(tbl_Assessment[],MATCH(tbl_estimated_costs_quantities[[#This Row],[House Code]],tbl_Assessment[House Code],0),9),"")</f>
        <v/>
      </c>
      <c r="H37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6" s="75"/>
      <c r="J376" s="37"/>
      <c r="K376" s="86">
        <f>tbl_estimated_costs_quantities[[#This Row],[Site Preparation]]*BOQs!$L$3</f>
        <v>0</v>
      </c>
      <c r="L376" s="76"/>
      <c r="M376" s="37"/>
      <c r="N376" s="86">
        <f>tbl_estimated_costs_quantities[[#This Row],[Demolition Removal Unsafe Structures]]*BOQs!$L$4</f>
        <v>0</v>
      </c>
      <c r="O376" s="76"/>
      <c r="P376" s="37"/>
      <c r="Q376" s="86">
        <f>tbl_estimated_costs_quantities[[#This Row],[Concrete Works]]*BOQs!$L$5</f>
        <v>0</v>
      </c>
      <c r="R376" s="76"/>
      <c r="S376" s="37"/>
      <c r="T376" s="86">
        <f>tbl_estimated_costs_quantities[[#This Row],[Closure External Openings Walls Windows]]*BOQs!$L$6</f>
        <v>0</v>
      </c>
      <c r="U376" s="76"/>
      <c r="V376" s="37"/>
      <c r="W376" s="86">
        <f>tbl_estimated_costs_quantities[[#This Row],[Plastering Painting]]*BOQs!$L$7</f>
        <v>0</v>
      </c>
      <c r="X376" s="76"/>
      <c r="Y376" s="37"/>
      <c r="Z376" s="86">
        <f>tbl_estimated_costs_quantities[[#This Row],[Floor Repairs]]*BOQs!$L$8</f>
        <v>0</v>
      </c>
      <c r="AA376" s="76"/>
      <c r="AB376" s="37"/>
      <c r="AC376" s="86">
        <f>tbl_estimated_costs_quantities[[#This Row],[Doors Replacement Repair]]*BOQs!$L$9</f>
        <v>0</v>
      </c>
      <c r="AD376" s="76"/>
      <c r="AE376" s="37"/>
      <c r="AF376" s="86">
        <f>tbl_estimated_costs_quantities[[#This Row],[Windows Replacement Repair]]*BOQs!$L$10</f>
        <v>0</v>
      </c>
      <c r="AG376" s="76"/>
      <c r="AH376" s="37"/>
      <c r="AI376" s="86">
        <f>tbl_estimated_costs_quantities[[#This Row],[Bathroom Rehabilitation]]*BOQs!$L$11</f>
        <v>0</v>
      </c>
      <c r="AJ376" s="76"/>
      <c r="AK376" s="37"/>
      <c r="AL376" s="86">
        <f>tbl_estimated_costs_quantities[[#This Row],[Ceramic Tile Works WASH]]*BOQs!$L$12</f>
        <v>0</v>
      </c>
      <c r="AM376" s="76"/>
      <c r="AN376" s="37"/>
      <c r="AO376" s="86">
        <f>tbl_estimated_costs_quantities[[#This Row],[Electrical Repairs Lighting]]*BOQs!$L$13</f>
        <v>0</v>
      </c>
      <c r="AP376" s="76"/>
      <c r="AQ376" s="37"/>
      <c r="AR376" s="86">
        <f>tbl_estimated_costs_quantities[[#This Row],[Roof Insulation Leak Sealing]]*BOQs!$L$14</f>
        <v>0</v>
      </c>
      <c r="AS376" s="76"/>
      <c r="AT376" s="37"/>
      <c r="AU376" s="86">
        <f>tbl_estimated_costs_quantities[[#This Row],[Chimney Duct Cleaning Repair]]*BOQs!$L$15</f>
        <v>0</v>
      </c>
      <c r="AV376" s="76"/>
      <c r="AW376" s="37"/>
      <c r="AX376" s="89">
        <f>tbl_estimated_costs_quantities[[#This Row],[Accessibility Adaptations]]*BOQs!$L$16</f>
        <v>0</v>
      </c>
      <c r="AY376" s="86" t="str">
        <f>IF(tbl_estimated_costs_quantities[[#This Row],[Total cost]]&lt;&gt;0,tbl_estimated_costs_quantities[[#This Row],[Total cost]]/BOQs!$A$1,"")</f>
        <v/>
      </c>
      <c r="AZ376" s="37"/>
      <c r="BA376" s="37"/>
      <c r="BB376" s="37"/>
      <c r="BC376" s="37"/>
      <c r="BD376" s="41"/>
      <c r="BE376" s="37"/>
      <c r="BF376" s="37"/>
      <c r="BG376" s="37"/>
      <c r="BH376" s="41"/>
    </row>
    <row r="377" spans="2:60" ht="25.15" customHeight="1" x14ac:dyDescent="0.25">
      <c r="B377" s="49">
        <v>373</v>
      </c>
      <c r="C377" s="37"/>
      <c r="D377" s="41"/>
      <c r="E377" s="40"/>
      <c r="F377" s="87" t="str">
        <f>IF(tbl_estimated_costs_quantities[[#This Row],[House Code]]&lt;&gt;"",INDEX(tbl_Assessment[],MATCH(tbl_estimated_costs_quantities[[#This Row],[House Code]],tbl_Assessment[House Code],0),3),"")</f>
        <v/>
      </c>
      <c r="G377" s="115" t="str">
        <f>IF(tbl_estimated_costs_quantities[[#This Row],[House Code]]&lt;&gt;"",INDEX(tbl_Assessment[],MATCH(tbl_estimated_costs_quantities[[#This Row],[House Code]],tbl_Assessment[House Code],0),9),"")</f>
        <v/>
      </c>
      <c r="H37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7" s="75"/>
      <c r="J377" s="37"/>
      <c r="K377" s="86">
        <f>tbl_estimated_costs_quantities[[#This Row],[Site Preparation]]*BOQs!$L$3</f>
        <v>0</v>
      </c>
      <c r="L377" s="76"/>
      <c r="M377" s="37"/>
      <c r="N377" s="86">
        <f>tbl_estimated_costs_quantities[[#This Row],[Demolition Removal Unsafe Structures]]*BOQs!$L$4</f>
        <v>0</v>
      </c>
      <c r="O377" s="76"/>
      <c r="P377" s="37"/>
      <c r="Q377" s="86">
        <f>tbl_estimated_costs_quantities[[#This Row],[Concrete Works]]*BOQs!$L$5</f>
        <v>0</v>
      </c>
      <c r="R377" s="76"/>
      <c r="S377" s="37"/>
      <c r="T377" s="86">
        <f>tbl_estimated_costs_quantities[[#This Row],[Closure External Openings Walls Windows]]*BOQs!$L$6</f>
        <v>0</v>
      </c>
      <c r="U377" s="76"/>
      <c r="V377" s="37"/>
      <c r="W377" s="86">
        <f>tbl_estimated_costs_quantities[[#This Row],[Plastering Painting]]*BOQs!$L$7</f>
        <v>0</v>
      </c>
      <c r="X377" s="76"/>
      <c r="Y377" s="37"/>
      <c r="Z377" s="86">
        <f>tbl_estimated_costs_quantities[[#This Row],[Floor Repairs]]*BOQs!$L$8</f>
        <v>0</v>
      </c>
      <c r="AA377" s="76"/>
      <c r="AB377" s="37"/>
      <c r="AC377" s="86">
        <f>tbl_estimated_costs_quantities[[#This Row],[Doors Replacement Repair]]*BOQs!$L$9</f>
        <v>0</v>
      </c>
      <c r="AD377" s="76"/>
      <c r="AE377" s="37"/>
      <c r="AF377" s="86">
        <f>tbl_estimated_costs_quantities[[#This Row],[Windows Replacement Repair]]*BOQs!$L$10</f>
        <v>0</v>
      </c>
      <c r="AG377" s="76"/>
      <c r="AH377" s="37"/>
      <c r="AI377" s="86">
        <f>tbl_estimated_costs_quantities[[#This Row],[Bathroom Rehabilitation]]*BOQs!$L$11</f>
        <v>0</v>
      </c>
      <c r="AJ377" s="76"/>
      <c r="AK377" s="37"/>
      <c r="AL377" s="86">
        <f>tbl_estimated_costs_quantities[[#This Row],[Ceramic Tile Works WASH]]*BOQs!$L$12</f>
        <v>0</v>
      </c>
      <c r="AM377" s="76"/>
      <c r="AN377" s="37"/>
      <c r="AO377" s="86">
        <f>tbl_estimated_costs_quantities[[#This Row],[Electrical Repairs Lighting]]*BOQs!$L$13</f>
        <v>0</v>
      </c>
      <c r="AP377" s="76"/>
      <c r="AQ377" s="37"/>
      <c r="AR377" s="86">
        <f>tbl_estimated_costs_quantities[[#This Row],[Roof Insulation Leak Sealing]]*BOQs!$L$14</f>
        <v>0</v>
      </c>
      <c r="AS377" s="76"/>
      <c r="AT377" s="37"/>
      <c r="AU377" s="86">
        <f>tbl_estimated_costs_quantities[[#This Row],[Chimney Duct Cleaning Repair]]*BOQs!$L$15</f>
        <v>0</v>
      </c>
      <c r="AV377" s="76"/>
      <c r="AW377" s="37"/>
      <c r="AX377" s="89">
        <f>tbl_estimated_costs_quantities[[#This Row],[Accessibility Adaptations]]*BOQs!$L$16</f>
        <v>0</v>
      </c>
      <c r="AY377" s="86" t="str">
        <f>IF(tbl_estimated_costs_quantities[[#This Row],[Total cost]]&lt;&gt;0,tbl_estimated_costs_quantities[[#This Row],[Total cost]]/BOQs!$A$1,"")</f>
        <v/>
      </c>
      <c r="AZ377" s="37"/>
      <c r="BA377" s="37"/>
      <c r="BB377" s="37"/>
      <c r="BC377" s="37"/>
      <c r="BD377" s="41"/>
      <c r="BE377" s="37"/>
      <c r="BF377" s="37"/>
      <c r="BG377" s="37"/>
      <c r="BH377" s="41"/>
    </row>
    <row r="378" spans="2:60" ht="25.15" customHeight="1" x14ac:dyDescent="0.25">
      <c r="B378" s="49">
        <v>374</v>
      </c>
      <c r="C378" s="37"/>
      <c r="D378" s="41"/>
      <c r="E378" s="40"/>
      <c r="F378" s="87" t="str">
        <f>IF(tbl_estimated_costs_quantities[[#This Row],[House Code]]&lt;&gt;"",INDEX(tbl_Assessment[],MATCH(tbl_estimated_costs_quantities[[#This Row],[House Code]],tbl_Assessment[House Code],0),3),"")</f>
        <v/>
      </c>
      <c r="G378" s="115" t="str">
        <f>IF(tbl_estimated_costs_quantities[[#This Row],[House Code]]&lt;&gt;"",INDEX(tbl_Assessment[],MATCH(tbl_estimated_costs_quantities[[#This Row],[House Code]],tbl_Assessment[House Code],0),9),"")</f>
        <v/>
      </c>
      <c r="H37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8" s="75"/>
      <c r="J378" s="37"/>
      <c r="K378" s="86">
        <f>tbl_estimated_costs_quantities[[#This Row],[Site Preparation]]*BOQs!$L$3</f>
        <v>0</v>
      </c>
      <c r="L378" s="76"/>
      <c r="M378" s="37"/>
      <c r="N378" s="86">
        <f>tbl_estimated_costs_quantities[[#This Row],[Demolition Removal Unsafe Structures]]*BOQs!$L$4</f>
        <v>0</v>
      </c>
      <c r="O378" s="76"/>
      <c r="P378" s="37"/>
      <c r="Q378" s="86">
        <f>tbl_estimated_costs_quantities[[#This Row],[Concrete Works]]*BOQs!$L$5</f>
        <v>0</v>
      </c>
      <c r="R378" s="76"/>
      <c r="S378" s="37"/>
      <c r="T378" s="86">
        <f>tbl_estimated_costs_quantities[[#This Row],[Closure External Openings Walls Windows]]*BOQs!$L$6</f>
        <v>0</v>
      </c>
      <c r="U378" s="76"/>
      <c r="V378" s="37"/>
      <c r="W378" s="86">
        <f>tbl_estimated_costs_quantities[[#This Row],[Plastering Painting]]*BOQs!$L$7</f>
        <v>0</v>
      </c>
      <c r="X378" s="76"/>
      <c r="Y378" s="37"/>
      <c r="Z378" s="86">
        <f>tbl_estimated_costs_quantities[[#This Row],[Floor Repairs]]*BOQs!$L$8</f>
        <v>0</v>
      </c>
      <c r="AA378" s="76"/>
      <c r="AB378" s="37"/>
      <c r="AC378" s="86">
        <f>tbl_estimated_costs_quantities[[#This Row],[Doors Replacement Repair]]*BOQs!$L$9</f>
        <v>0</v>
      </c>
      <c r="AD378" s="76"/>
      <c r="AE378" s="37"/>
      <c r="AF378" s="86">
        <f>tbl_estimated_costs_quantities[[#This Row],[Windows Replacement Repair]]*BOQs!$L$10</f>
        <v>0</v>
      </c>
      <c r="AG378" s="76"/>
      <c r="AH378" s="37"/>
      <c r="AI378" s="86">
        <f>tbl_estimated_costs_quantities[[#This Row],[Bathroom Rehabilitation]]*BOQs!$L$11</f>
        <v>0</v>
      </c>
      <c r="AJ378" s="76"/>
      <c r="AK378" s="37"/>
      <c r="AL378" s="86">
        <f>tbl_estimated_costs_quantities[[#This Row],[Ceramic Tile Works WASH]]*BOQs!$L$12</f>
        <v>0</v>
      </c>
      <c r="AM378" s="76"/>
      <c r="AN378" s="37"/>
      <c r="AO378" s="86">
        <f>tbl_estimated_costs_quantities[[#This Row],[Electrical Repairs Lighting]]*BOQs!$L$13</f>
        <v>0</v>
      </c>
      <c r="AP378" s="76"/>
      <c r="AQ378" s="37"/>
      <c r="AR378" s="86">
        <f>tbl_estimated_costs_quantities[[#This Row],[Roof Insulation Leak Sealing]]*BOQs!$L$14</f>
        <v>0</v>
      </c>
      <c r="AS378" s="76"/>
      <c r="AT378" s="37"/>
      <c r="AU378" s="86">
        <f>tbl_estimated_costs_quantities[[#This Row],[Chimney Duct Cleaning Repair]]*BOQs!$L$15</f>
        <v>0</v>
      </c>
      <c r="AV378" s="76"/>
      <c r="AW378" s="37"/>
      <c r="AX378" s="89">
        <f>tbl_estimated_costs_quantities[[#This Row],[Accessibility Adaptations]]*BOQs!$L$16</f>
        <v>0</v>
      </c>
      <c r="AY378" s="86" t="str">
        <f>IF(tbl_estimated_costs_quantities[[#This Row],[Total cost]]&lt;&gt;0,tbl_estimated_costs_quantities[[#This Row],[Total cost]]/BOQs!$A$1,"")</f>
        <v/>
      </c>
      <c r="AZ378" s="37"/>
      <c r="BA378" s="37"/>
      <c r="BB378" s="37"/>
      <c r="BC378" s="37"/>
      <c r="BD378" s="41"/>
      <c r="BE378" s="37"/>
      <c r="BF378" s="37"/>
      <c r="BG378" s="37"/>
      <c r="BH378" s="41"/>
    </row>
    <row r="379" spans="2:60" ht="25.15" customHeight="1" x14ac:dyDescent="0.25">
      <c r="B379" s="49">
        <v>375</v>
      </c>
      <c r="C379" s="37"/>
      <c r="D379" s="41"/>
      <c r="E379" s="40"/>
      <c r="F379" s="87" t="str">
        <f>IF(tbl_estimated_costs_quantities[[#This Row],[House Code]]&lt;&gt;"",INDEX(tbl_Assessment[],MATCH(tbl_estimated_costs_quantities[[#This Row],[House Code]],tbl_Assessment[House Code],0),3),"")</f>
        <v/>
      </c>
      <c r="G379" s="115" t="str">
        <f>IF(tbl_estimated_costs_quantities[[#This Row],[House Code]]&lt;&gt;"",INDEX(tbl_Assessment[],MATCH(tbl_estimated_costs_quantities[[#This Row],[House Code]],tbl_Assessment[House Code],0),9),"")</f>
        <v/>
      </c>
      <c r="H37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79" s="75"/>
      <c r="J379" s="37"/>
      <c r="K379" s="86">
        <f>tbl_estimated_costs_quantities[[#This Row],[Site Preparation]]*BOQs!$L$3</f>
        <v>0</v>
      </c>
      <c r="L379" s="76"/>
      <c r="M379" s="37"/>
      <c r="N379" s="86">
        <f>tbl_estimated_costs_quantities[[#This Row],[Demolition Removal Unsafe Structures]]*BOQs!$L$4</f>
        <v>0</v>
      </c>
      <c r="O379" s="76"/>
      <c r="P379" s="37"/>
      <c r="Q379" s="86">
        <f>tbl_estimated_costs_quantities[[#This Row],[Concrete Works]]*BOQs!$L$5</f>
        <v>0</v>
      </c>
      <c r="R379" s="76"/>
      <c r="S379" s="37"/>
      <c r="T379" s="86">
        <f>tbl_estimated_costs_quantities[[#This Row],[Closure External Openings Walls Windows]]*BOQs!$L$6</f>
        <v>0</v>
      </c>
      <c r="U379" s="76"/>
      <c r="V379" s="37"/>
      <c r="W379" s="86">
        <f>tbl_estimated_costs_quantities[[#This Row],[Plastering Painting]]*BOQs!$L$7</f>
        <v>0</v>
      </c>
      <c r="X379" s="76"/>
      <c r="Y379" s="37"/>
      <c r="Z379" s="86">
        <f>tbl_estimated_costs_quantities[[#This Row],[Floor Repairs]]*BOQs!$L$8</f>
        <v>0</v>
      </c>
      <c r="AA379" s="76"/>
      <c r="AB379" s="37"/>
      <c r="AC379" s="86">
        <f>tbl_estimated_costs_quantities[[#This Row],[Doors Replacement Repair]]*BOQs!$L$9</f>
        <v>0</v>
      </c>
      <c r="AD379" s="76"/>
      <c r="AE379" s="37"/>
      <c r="AF379" s="86">
        <f>tbl_estimated_costs_quantities[[#This Row],[Windows Replacement Repair]]*BOQs!$L$10</f>
        <v>0</v>
      </c>
      <c r="AG379" s="76"/>
      <c r="AH379" s="37"/>
      <c r="AI379" s="86">
        <f>tbl_estimated_costs_quantities[[#This Row],[Bathroom Rehabilitation]]*BOQs!$L$11</f>
        <v>0</v>
      </c>
      <c r="AJ379" s="76"/>
      <c r="AK379" s="37"/>
      <c r="AL379" s="86">
        <f>tbl_estimated_costs_quantities[[#This Row],[Ceramic Tile Works WASH]]*BOQs!$L$12</f>
        <v>0</v>
      </c>
      <c r="AM379" s="76"/>
      <c r="AN379" s="37"/>
      <c r="AO379" s="86">
        <f>tbl_estimated_costs_quantities[[#This Row],[Electrical Repairs Lighting]]*BOQs!$L$13</f>
        <v>0</v>
      </c>
      <c r="AP379" s="76"/>
      <c r="AQ379" s="37"/>
      <c r="AR379" s="86">
        <f>tbl_estimated_costs_quantities[[#This Row],[Roof Insulation Leak Sealing]]*BOQs!$L$14</f>
        <v>0</v>
      </c>
      <c r="AS379" s="76"/>
      <c r="AT379" s="37"/>
      <c r="AU379" s="86">
        <f>tbl_estimated_costs_quantities[[#This Row],[Chimney Duct Cleaning Repair]]*BOQs!$L$15</f>
        <v>0</v>
      </c>
      <c r="AV379" s="76"/>
      <c r="AW379" s="37"/>
      <c r="AX379" s="89">
        <f>tbl_estimated_costs_quantities[[#This Row],[Accessibility Adaptations]]*BOQs!$L$16</f>
        <v>0</v>
      </c>
      <c r="AY379" s="86" t="str">
        <f>IF(tbl_estimated_costs_quantities[[#This Row],[Total cost]]&lt;&gt;0,tbl_estimated_costs_quantities[[#This Row],[Total cost]]/BOQs!$A$1,"")</f>
        <v/>
      </c>
      <c r="AZ379" s="37"/>
      <c r="BA379" s="37"/>
      <c r="BB379" s="37"/>
      <c r="BC379" s="37"/>
      <c r="BD379" s="41"/>
      <c r="BE379" s="37"/>
      <c r="BF379" s="37"/>
      <c r="BG379" s="37"/>
      <c r="BH379" s="41"/>
    </row>
    <row r="380" spans="2:60" ht="25.15" customHeight="1" x14ac:dyDescent="0.25">
      <c r="B380" s="49">
        <v>376</v>
      </c>
      <c r="C380" s="37"/>
      <c r="D380" s="41"/>
      <c r="E380" s="40"/>
      <c r="F380" s="87" t="str">
        <f>IF(tbl_estimated_costs_quantities[[#This Row],[House Code]]&lt;&gt;"",INDEX(tbl_Assessment[],MATCH(tbl_estimated_costs_quantities[[#This Row],[House Code]],tbl_Assessment[House Code],0),3),"")</f>
        <v/>
      </c>
      <c r="G380" s="115" t="str">
        <f>IF(tbl_estimated_costs_quantities[[#This Row],[House Code]]&lt;&gt;"",INDEX(tbl_Assessment[],MATCH(tbl_estimated_costs_quantities[[#This Row],[House Code]],tbl_Assessment[House Code],0),9),"")</f>
        <v/>
      </c>
      <c r="H38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0" s="75"/>
      <c r="J380" s="37"/>
      <c r="K380" s="86">
        <f>tbl_estimated_costs_quantities[[#This Row],[Site Preparation]]*BOQs!$L$3</f>
        <v>0</v>
      </c>
      <c r="L380" s="76"/>
      <c r="M380" s="37"/>
      <c r="N380" s="86">
        <f>tbl_estimated_costs_quantities[[#This Row],[Demolition Removal Unsafe Structures]]*BOQs!$L$4</f>
        <v>0</v>
      </c>
      <c r="O380" s="76"/>
      <c r="P380" s="37"/>
      <c r="Q380" s="86">
        <f>tbl_estimated_costs_quantities[[#This Row],[Concrete Works]]*BOQs!$L$5</f>
        <v>0</v>
      </c>
      <c r="R380" s="76"/>
      <c r="S380" s="37"/>
      <c r="T380" s="86">
        <f>tbl_estimated_costs_quantities[[#This Row],[Closure External Openings Walls Windows]]*BOQs!$L$6</f>
        <v>0</v>
      </c>
      <c r="U380" s="76"/>
      <c r="V380" s="37"/>
      <c r="W380" s="86">
        <f>tbl_estimated_costs_quantities[[#This Row],[Plastering Painting]]*BOQs!$L$7</f>
        <v>0</v>
      </c>
      <c r="X380" s="76"/>
      <c r="Y380" s="37"/>
      <c r="Z380" s="86">
        <f>tbl_estimated_costs_quantities[[#This Row],[Floor Repairs]]*BOQs!$L$8</f>
        <v>0</v>
      </c>
      <c r="AA380" s="76"/>
      <c r="AB380" s="37"/>
      <c r="AC380" s="86">
        <f>tbl_estimated_costs_quantities[[#This Row],[Doors Replacement Repair]]*BOQs!$L$9</f>
        <v>0</v>
      </c>
      <c r="AD380" s="76"/>
      <c r="AE380" s="37"/>
      <c r="AF380" s="86">
        <f>tbl_estimated_costs_quantities[[#This Row],[Windows Replacement Repair]]*BOQs!$L$10</f>
        <v>0</v>
      </c>
      <c r="AG380" s="76"/>
      <c r="AH380" s="37"/>
      <c r="AI380" s="86">
        <f>tbl_estimated_costs_quantities[[#This Row],[Bathroom Rehabilitation]]*BOQs!$L$11</f>
        <v>0</v>
      </c>
      <c r="AJ380" s="76"/>
      <c r="AK380" s="37"/>
      <c r="AL380" s="86">
        <f>tbl_estimated_costs_quantities[[#This Row],[Ceramic Tile Works WASH]]*BOQs!$L$12</f>
        <v>0</v>
      </c>
      <c r="AM380" s="76"/>
      <c r="AN380" s="37"/>
      <c r="AO380" s="86">
        <f>tbl_estimated_costs_quantities[[#This Row],[Electrical Repairs Lighting]]*BOQs!$L$13</f>
        <v>0</v>
      </c>
      <c r="AP380" s="76"/>
      <c r="AQ380" s="37"/>
      <c r="AR380" s="86">
        <f>tbl_estimated_costs_quantities[[#This Row],[Roof Insulation Leak Sealing]]*BOQs!$L$14</f>
        <v>0</v>
      </c>
      <c r="AS380" s="76"/>
      <c r="AT380" s="37"/>
      <c r="AU380" s="86">
        <f>tbl_estimated_costs_quantities[[#This Row],[Chimney Duct Cleaning Repair]]*BOQs!$L$15</f>
        <v>0</v>
      </c>
      <c r="AV380" s="76"/>
      <c r="AW380" s="37"/>
      <c r="AX380" s="89">
        <f>tbl_estimated_costs_quantities[[#This Row],[Accessibility Adaptations]]*BOQs!$L$16</f>
        <v>0</v>
      </c>
      <c r="AY380" s="86" t="str">
        <f>IF(tbl_estimated_costs_quantities[[#This Row],[Total cost]]&lt;&gt;0,tbl_estimated_costs_quantities[[#This Row],[Total cost]]/BOQs!$A$1,"")</f>
        <v/>
      </c>
      <c r="AZ380" s="37"/>
      <c r="BA380" s="37"/>
      <c r="BB380" s="37"/>
      <c r="BC380" s="37"/>
      <c r="BD380" s="41"/>
      <c r="BE380" s="37"/>
      <c r="BF380" s="37"/>
      <c r="BG380" s="37"/>
      <c r="BH380" s="41"/>
    </row>
    <row r="381" spans="2:60" ht="25.15" customHeight="1" x14ac:dyDescent="0.25">
      <c r="B381" s="49">
        <v>377</v>
      </c>
      <c r="C381" s="37"/>
      <c r="D381" s="41"/>
      <c r="E381" s="40"/>
      <c r="F381" s="87" t="str">
        <f>IF(tbl_estimated_costs_quantities[[#This Row],[House Code]]&lt;&gt;"",INDEX(tbl_Assessment[],MATCH(tbl_estimated_costs_quantities[[#This Row],[House Code]],tbl_Assessment[House Code],0),3),"")</f>
        <v/>
      </c>
      <c r="G381" s="115" t="str">
        <f>IF(tbl_estimated_costs_quantities[[#This Row],[House Code]]&lt;&gt;"",INDEX(tbl_Assessment[],MATCH(tbl_estimated_costs_quantities[[#This Row],[House Code]],tbl_Assessment[House Code],0),9),"")</f>
        <v/>
      </c>
      <c r="H38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1" s="75"/>
      <c r="J381" s="37"/>
      <c r="K381" s="86">
        <f>tbl_estimated_costs_quantities[[#This Row],[Site Preparation]]*BOQs!$L$3</f>
        <v>0</v>
      </c>
      <c r="L381" s="76"/>
      <c r="M381" s="37"/>
      <c r="N381" s="86">
        <f>tbl_estimated_costs_quantities[[#This Row],[Demolition Removal Unsafe Structures]]*BOQs!$L$4</f>
        <v>0</v>
      </c>
      <c r="O381" s="76"/>
      <c r="P381" s="37"/>
      <c r="Q381" s="86">
        <f>tbl_estimated_costs_quantities[[#This Row],[Concrete Works]]*BOQs!$L$5</f>
        <v>0</v>
      </c>
      <c r="R381" s="76"/>
      <c r="S381" s="37"/>
      <c r="T381" s="86">
        <f>tbl_estimated_costs_quantities[[#This Row],[Closure External Openings Walls Windows]]*BOQs!$L$6</f>
        <v>0</v>
      </c>
      <c r="U381" s="76"/>
      <c r="V381" s="37"/>
      <c r="W381" s="86">
        <f>tbl_estimated_costs_quantities[[#This Row],[Plastering Painting]]*BOQs!$L$7</f>
        <v>0</v>
      </c>
      <c r="X381" s="76"/>
      <c r="Y381" s="37"/>
      <c r="Z381" s="86">
        <f>tbl_estimated_costs_quantities[[#This Row],[Floor Repairs]]*BOQs!$L$8</f>
        <v>0</v>
      </c>
      <c r="AA381" s="76"/>
      <c r="AB381" s="37"/>
      <c r="AC381" s="86">
        <f>tbl_estimated_costs_quantities[[#This Row],[Doors Replacement Repair]]*BOQs!$L$9</f>
        <v>0</v>
      </c>
      <c r="AD381" s="76"/>
      <c r="AE381" s="37"/>
      <c r="AF381" s="86">
        <f>tbl_estimated_costs_quantities[[#This Row],[Windows Replacement Repair]]*BOQs!$L$10</f>
        <v>0</v>
      </c>
      <c r="AG381" s="76"/>
      <c r="AH381" s="37"/>
      <c r="AI381" s="86">
        <f>tbl_estimated_costs_quantities[[#This Row],[Bathroom Rehabilitation]]*BOQs!$L$11</f>
        <v>0</v>
      </c>
      <c r="AJ381" s="76"/>
      <c r="AK381" s="37"/>
      <c r="AL381" s="86">
        <f>tbl_estimated_costs_quantities[[#This Row],[Ceramic Tile Works WASH]]*BOQs!$L$12</f>
        <v>0</v>
      </c>
      <c r="AM381" s="76"/>
      <c r="AN381" s="37"/>
      <c r="AO381" s="86">
        <f>tbl_estimated_costs_quantities[[#This Row],[Electrical Repairs Lighting]]*BOQs!$L$13</f>
        <v>0</v>
      </c>
      <c r="AP381" s="76"/>
      <c r="AQ381" s="37"/>
      <c r="AR381" s="86">
        <f>tbl_estimated_costs_quantities[[#This Row],[Roof Insulation Leak Sealing]]*BOQs!$L$14</f>
        <v>0</v>
      </c>
      <c r="AS381" s="76"/>
      <c r="AT381" s="37"/>
      <c r="AU381" s="86">
        <f>tbl_estimated_costs_quantities[[#This Row],[Chimney Duct Cleaning Repair]]*BOQs!$L$15</f>
        <v>0</v>
      </c>
      <c r="AV381" s="76"/>
      <c r="AW381" s="37"/>
      <c r="AX381" s="89">
        <f>tbl_estimated_costs_quantities[[#This Row],[Accessibility Adaptations]]*BOQs!$L$16</f>
        <v>0</v>
      </c>
      <c r="AY381" s="86" t="str">
        <f>IF(tbl_estimated_costs_quantities[[#This Row],[Total cost]]&lt;&gt;0,tbl_estimated_costs_quantities[[#This Row],[Total cost]]/BOQs!$A$1,"")</f>
        <v/>
      </c>
      <c r="AZ381" s="37"/>
      <c r="BA381" s="37"/>
      <c r="BB381" s="37"/>
      <c r="BC381" s="37"/>
      <c r="BD381" s="41"/>
      <c r="BE381" s="37"/>
      <c r="BF381" s="37"/>
      <c r="BG381" s="37"/>
      <c r="BH381" s="41"/>
    </row>
    <row r="382" spans="2:60" ht="25.15" customHeight="1" x14ac:dyDescent="0.25">
      <c r="B382" s="49">
        <v>378</v>
      </c>
      <c r="C382" s="37"/>
      <c r="D382" s="41"/>
      <c r="E382" s="40"/>
      <c r="F382" s="87" t="str">
        <f>IF(tbl_estimated_costs_quantities[[#This Row],[House Code]]&lt;&gt;"",INDEX(tbl_Assessment[],MATCH(tbl_estimated_costs_quantities[[#This Row],[House Code]],tbl_Assessment[House Code],0),3),"")</f>
        <v/>
      </c>
      <c r="G382" s="115" t="str">
        <f>IF(tbl_estimated_costs_quantities[[#This Row],[House Code]]&lt;&gt;"",INDEX(tbl_Assessment[],MATCH(tbl_estimated_costs_quantities[[#This Row],[House Code]],tbl_Assessment[House Code],0),9),"")</f>
        <v/>
      </c>
      <c r="H38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2" s="75"/>
      <c r="J382" s="37"/>
      <c r="K382" s="86">
        <f>tbl_estimated_costs_quantities[[#This Row],[Site Preparation]]*BOQs!$L$3</f>
        <v>0</v>
      </c>
      <c r="L382" s="76"/>
      <c r="M382" s="37"/>
      <c r="N382" s="86">
        <f>tbl_estimated_costs_quantities[[#This Row],[Demolition Removal Unsafe Structures]]*BOQs!$L$4</f>
        <v>0</v>
      </c>
      <c r="O382" s="76"/>
      <c r="P382" s="37"/>
      <c r="Q382" s="86">
        <f>tbl_estimated_costs_quantities[[#This Row],[Concrete Works]]*BOQs!$L$5</f>
        <v>0</v>
      </c>
      <c r="R382" s="76"/>
      <c r="S382" s="37"/>
      <c r="T382" s="86">
        <f>tbl_estimated_costs_quantities[[#This Row],[Closure External Openings Walls Windows]]*BOQs!$L$6</f>
        <v>0</v>
      </c>
      <c r="U382" s="76"/>
      <c r="V382" s="37"/>
      <c r="W382" s="86">
        <f>tbl_estimated_costs_quantities[[#This Row],[Plastering Painting]]*BOQs!$L$7</f>
        <v>0</v>
      </c>
      <c r="X382" s="76"/>
      <c r="Y382" s="37"/>
      <c r="Z382" s="86">
        <f>tbl_estimated_costs_quantities[[#This Row],[Floor Repairs]]*BOQs!$L$8</f>
        <v>0</v>
      </c>
      <c r="AA382" s="76"/>
      <c r="AB382" s="37"/>
      <c r="AC382" s="86">
        <f>tbl_estimated_costs_quantities[[#This Row],[Doors Replacement Repair]]*BOQs!$L$9</f>
        <v>0</v>
      </c>
      <c r="AD382" s="76"/>
      <c r="AE382" s="37"/>
      <c r="AF382" s="86">
        <f>tbl_estimated_costs_quantities[[#This Row],[Windows Replacement Repair]]*BOQs!$L$10</f>
        <v>0</v>
      </c>
      <c r="AG382" s="76"/>
      <c r="AH382" s="37"/>
      <c r="AI382" s="86">
        <f>tbl_estimated_costs_quantities[[#This Row],[Bathroom Rehabilitation]]*BOQs!$L$11</f>
        <v>0</v>
      </c>
      <c r="AJ382" s="76"/>
      <c r="AK382" s="37"/>
      <c r="AL382" s="86">
        <f>tbl_estimated_costs_quantities[[#This Row],[Ceramic Tile Works WASH]]*BOQs!$L$12</f>
        <v>0</v>
      </c>
      <c r="AM382" s="76"/>
      <c r="AN382" s="37"/>
      <c r="AO382" s="86">
        <f>tbl_estimated_costs_quantities[[#This Row],[Electrical Repairs Lighting]]*BOQs!$L$13</f>
        <v>0</v>
      </c>
      <c r="AP382" s="76"/>
      <c r="AQ382" s="37"/>
      <c r="AR382" s="86">
        <f>tbl_estimated_costs_quantities[[#This Row],[Roof Insulation Leak Sealing]]*BOQs!$L$14</f>
        <v>0</v>
      </c>
      <c r="AS382" s="76"/>
      <c r="AT382" s="37"/>
      <c r="AU382" s="86">
        <f>tbl_estimated_costs_quantities[[#This Row],[Chimney Duct Cleaning Repair]]*BOQs!$L$15</f>
        <v>0</v>
      </c>
      <c r="AV382" s="76"/>
      <c r="AW382" s="37"/>
      <c r="AX382" s="89">
        <f>tbl_estimated_costs_quantities[[#This Row],[Accessibility Adaptations]]*BOQs!$L$16</f>
        <v>0</v>
      </c>
      <c r="AY382" s="86" t="str">
        <f>IF(tbl_estimated_costs_quantities[[#This Row],[Total cost]]&lt;&gt;0,tbl_estimated_costs_quantities[[#This Row],[Total cost]]/BOQs!$A$1,"")</f>
        <v/>
      </c>
      <c r="AZ382" s="37"/>
      <c r="BA382" s="37"/>
      <c r="BB382" s="37"/>
      <c r="BC382" s="37"/>
      <c r="BD382" s="41"/>
      <c r="BE382" s="37"/>
      <c r="BF382" s="37"/>
      <c r="BG382" s="37"/>
      <c r="BH382" s="41"/>
    </row>
    <row r="383" spans="2:60" ht="25.15" customHeight="1" x14ac:dyDescent="0.25">
      <c r="B383" s="49">
        <v>379</v>
      </c>
      <c r="C383" s="37"/>
      <c r="D383" s="41"/>
      <c r="E383" s="40"/>
      <c r="F383" s="87" t="str">
        <f>IF(tbl_estimated_costs_quantities[[#This Row],[House Code]]&lt;&gt;"",INDEX(tbl_Assessment[],MATCH(tbl_estimated_costs_quantities[[#This Row],[House Code]],tbl_Assessment[House Code],0),3),"")</f>
        <v/>
      </c>
      <c r="G383" s="115" t="str">
        <f>IF(tbl_estimated_costs_quantities[[#This Row],[House Code]]&lt;&gt;"",INDEX(tbl_Assessment[],MATCH(tbl_estimated_costs_quantities[[#This Row],[House Code]],tbl_Assessment[House Code],0),9),"")</f>
        <v/>
      </c>
      <c r="H38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3" s="75"/>
      <c r="J383" s="37"/>
      <c r="K383" s="86">
        <f>tbl_estimated_costs_quantities[[#This Row],[Site Preparation]]*BOQs!$L$3</f>
        <v>0</v>
      </c>
      <c r="L383" s="76"/>
      <c r="M383" s="37"/>
      <c r="N383" s="86">
        <f>tbl_estimated_costs_quantities[[#This Row],[Demolition Removal Unsafe Structures]]*BOQs!$L$4</f>
        <v>0</v>
      </c>
      <c r="O383" s="76"/>
      <c r="P383" s="37"/>
      <c r="Q383" s="86">
        <f>tbl_estimated_costs_quantities[[#This Row],[Concrete Works]]*BOQs!$L$5</f>
        <v>0</v>
      </c>
      <c r="R383" s="76"/>
      <c r="S383" s="37"/>
      <c r="T383" s="86">
        <f>tbl_estimated_costs_quantities[[#This Row],[Closure External Openings Walls Windows]]*BOQs!$L$6</f>
        <v>0</v>
      </c>
      <c r="U383" s="76"/>
      <c r="V383" s="37"/>
      <c r="W383" s="86">
        <f>tbl_estimated_costs_quantities[[#This Row],[Plastering Painting]]*BOQs!$L$7</f>
        <v>0</v>
      </c>
      <c r="X383" s="76"/>
      <c r="Y383" s="37"/>
      <c r="Z383" s="86">
        <f>tbl_estimated_costs_quantities[[#This Row],[Floor Repairs]]*BOQs!$L$8</f>
        <v>0</v>
      </c>
      <c r="AA383" s="76"/>
      <c r="AB383" s="37"/>
      <c r="AC383" s="86">
        <f>tbl_estimated_costs_quantities[[#This Row],[Doors Replacement Repair]]*BOQs!$L$9</f>
        <v>0</v>
      </c>
      <c r="AD383" s="76"/>
      <c r="AE383" s="37"/>
      <c r="AF383" s="86">
        <f>tbl_estimated_costs_quantities[[#This Row],[Windows Replacement Repair]]*BOQs!$L$10</f>
        <v>0</v>
      </c>
      <c r="AG383" s="76"/>
      <c r="AH383" s="37"/>
      <c r="AI383" s="86">
        <f>tbl_estimated_costs_quantities[[#This Row],[Bathroom Rehabilitation]]*BOQs!$L$11</f>
        <v>0</v>
      </c>
      <c r="AJ383" s="76"/>
      <c r="AK383" s="37"/>
      <c r="AL383" s="86">
        <f>tbl_estimated_costs_quantities[[#This Row],[Ceramic Tile Works WASH]]*BOQs!$L$12</f>
        <v>0</v>
      </c>
      <c r="AM383" s="76"/>
      <c r="AN383" s="37"/>
      <c r="AO383" s="86">
        <f>tbl_estimated_costs_quantities[[#This Row],[Electrical Repairs Lighting]]*BOQs!$L$13</f>
        <v>0</v>
      </c>
      <c r="AP383" s="76"/>
      <c r="AQ383" s="37"/>
      <c r="AR383" s="86">
        <f>tbl_estimated_costs_quantities[[#This Row],[Roof Insulation Leak Sealing]]*BOQs!$L$14</f>
        <v>0</v>
      </c>
      <c r="AS383" s="76"/>
      <c r="AT383" s="37"/>
      <c r="AU383" s="86">
        <f>tbl_estimated_costs_quantities[[#This Row],[Chimney Duct Cleaning Repair]]*BOQs!$L$15</f>
        <v>0</v>
      </c>
      <c r="AV383" s="76"/>
      <c r="AW383" s="37"/>
      <c r="AX383" s="89">
        <f>tbl_estimated_costs_quantities[[#This Row],[Accessibility Adaptations]]*BOQs!$L$16</f>
        <v>0</v>
      </c>
      <c r="AY383" s="86" t="str">
        <f>IF(tbl_estimated_costs_quantities[[#This Row],[Total cost]]&lt;&gt;0,tbl_estimated_costs_quantities[[#This Row],[Total cost]]/BOQs!$A$1,"")</f>
        <v/>
      </c>
      <c r="AZ383" s="37"/>
      <c r="BA383" s="37"/>
      <c r="BB383" s="37"/>
      <c r="BC383" s="37"/>
      <c r="BD383" s="41"/>
      <c r="BE383" s="37"/>
      <c r="BF383" s="37"/>
      <c r="BG383" s="37"/>
      <c r="BH383" s="41"/>
    </row>
    <row r="384" spans="2:60" ht="25.15" customHeight="1" x14ac:dyDescent="0.25">
      <c r="B384" s="49">
        <v>380</v>
      </c>
      <c r="C384" s="37"/>
      <c r="D384" s="41"/>
      <c r="E384" s="40"/>
      <c r="F384" s="87" t="str">
        <f>IF(tbl_estimated_costs_quantities[[#This Row],[House Code]]&lt;&gt;"",INDEX(tbl_Assessment[],MATCH(tbl_estimated_costs_quantities[[#This Row],[House Code]],tbl_Assessment[House Code],0),3),"")</f>
        <v/>
      </c>
      <c r="G384" s="115" t="str">
        <f>IF(tbl_estimated_costs_quantities[[#This Row],[House Code]]&lt;&gt;"",INDEX(tbl_Assessment[],MATCH(tbl_estimated_costs_quantities[[#This Row],[House Code]],tbl_Assessment[House Code],0),9),"")</f>
        <v/>
      </c>
      <c r="H38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4" s="75"/>
      <c r="J384" s="37"/>
      <c r="K384" s="86">
        <f>tbl_estimated_costs_quantities[[#This Row],[Site Preparation]]*BOQs!$L$3</f>
        <v>0</v>
      </c>
      <c r="L384" s="76"/>
      <c r="M384" s="37"/>
      <c r="N384" s="86">
        <f>tbl_estimated_costs_quantities[[#This Row],[Demolition Removal Unsafe Structures]]*BOQs!$L$4</f>
        <v>0</v>
      </c>
      <c r="O384" s="76"/>
      <c r="P384" s="37"/>
      <c r="Q384" s="86">
        <f>tbl_estimated_costs_quantities[[#This Row],[Concrete Works]]*BOQs!$L$5</f>
        <v>0</v>
      </c>
      <c r="R384" s="76"/>
      <c r="S384" s="37"/>
      <c r="T384" s="86">
        <f>tbl_estimated_costs_quantities[[#This Row],[Closure External Openings Walls Windows]]*BOQs!$L$6</f>
        <v>0</v>
      </c>
      <c r="U384" s="76"/>
      <c r="V384" s="37"/>
      <c r="W384" s="86">
        <f>tbl_estimated_costs_quantities[[#This Row],[Plastering Painting]]*BOQs!$L$7</f>
        <v>0</v>
      </c>
      <c r="X384" s="76"/>
      <c r="Y384" s="37"/>
      <c r="Z384" s="86">
        <f>tbl_estimated_costs_quantities[[#This Row],[Floor Repairs]]*BOQs!$L$8</f>
        <v>0</v>
      </c>
      <c r="AA384" s="76"/>
      <c r="AB384" s="37"/>
      <c r="AC384" s="86">
        <f>tbl_estimated_costs_quantities[[#This Row],[Doors Replacement Repair]]*BOQs!$L$9</f>
        <v>0</v>
      </c>
      <c r="AD384" s="76"/>
      <c r="AE384" s="37"/>
      <c r="AF384" s="86">
        <f>tbl_estimated_costs_quantities[[#This Row],[Windows Replacement Repair]]*BOQs!$L$10</f>
        <v>0</v>
      </c>
      <c r="AG384" s="76"/>
      <c r="AH384" s="37"/>
      <c r="AI384" s="86">
        <f>tbl_estimated_costs_quantities[[#This Row],[Bathroom Rehabilitation]]*BOQs!$L$11</f>
        <v>0</v>
      </c>
      <c r="AJ384" s="76"/>
      <c r="AK384" s="37"/>
      <c r="AL384" s="86">
        <f>tbl_estimated_costs_quantities[[#This Row],[Ceramic Tile Works WASH]]*BOQs!$L$12</f>
        <v>0</v>
      </c>
      <c r="AM384" s="76"/>
      <c r="AN384" s="37"/>
      <c r="AO384" s="86">
        <f>tbl_estimated_costs_quantities[[#This Row],[Electrical Repairs Lighting]]*BOQs!$L$13</f>
        <v>0</v>
      </c>
      <c r="AP384" s="76"/>
      <c r="AQ384" s="37"/>
      <c r="AR384" s="86">
        <f>tbl_estimated_costs_quantities[[#This Row],[Roof Insulation Leak Sealing]]*BOQs!$L$14</f>
        <v>0</v>
      </c>
      <c r="AS384" s="76"/>
      <c r="AT384" s="37"/>
      <c r="AU384" s="86">
        <f>tbl_estimated_costs_quantities[[#This Row],[Chimney Duct Cleaning Repair]]*BOQs!$L$15</f>
        <v>0</v>
      </c>
      <c r="AV384" s="76"/>
      <c r="AW384" s="37"/>
      <c r="AX384" s="89">
        <f>tbl_estimated_costs_quantities[[#This Row],[Accessibility Adaptations]]*BOQs!$L$16</f>
        <v>0</v>
      </c>
      <c r="AY384" s="86" t="str">
        <f>IF(tbl_estimated_costs_quantities[[#This Row],[Total cost]]&lt;&gt;0,tbl_estimated_costs_quantities[[#This Row],[Total cost]]/BOQs!$A$1,"")</f>
        <v/>
      </c>
      <c r="AZ384" s="37"/>
      <c r="BA384" s="37"/>
      <c r="BB384" s="37"/>
      <c r="BC384" s="37"/>
      <c r="BD384" s="41"/>
      <c r="BE384" s="37"/>
      <c r="BF384" s="37"/>
      <c r="BG384" s="37"/>
      <c r="BH384" s="41"/>
    </row>
    <row r="385" spans="2:60" ht="25.15" customHeight="1" x14ac:dyDescent="0.25">
      <c r="B385" s="49">
        <v>381</v>
      </c>
      <c r="C385" s="37"/>
      <c r="D385" s="41"/>
      <c r="E385" s="40"/>
      <c r="F385" s="87" t="str">
        <f>IF(tbl_estimated_costs_quantities[[#This Row],[House Code]]&lt;&gt;"",INDEX(tbl_Assessment[],MATCH(tbl_estimated_costs_quantities[[#This Row],[House Code]],tbl_Assessment[House Code],0),3),"")</f>
        <v/>
      </c>
      <c r="G385" s="115" t="str">
        <f>IF(tbl_estimated_costs_quantities[[#This Row],[House Code]]&lt;&gt;"",INDEX(tbl_Assessment[],MATCH(tbl_estimated_costs_quantities[[#This Row],[House Code]],tbl_Assessment[House Code],0),9),"")</f>
        <v/>
      </c>
      <c r="H38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5" s="75"/>
      <c r="J385" s="37"/>
      <c r="K385" s="86">
        <f>tbl_estimated_costs_quantities[[#This Row],[Site Preparation]]*BOQs!$L$3</f>
        <v>0</v>
      </c>
      <c r="L385" s="76"/>
      <c r="M385" s="37"/>
      <c r="N385" s="86">
        <f>tbl_estimated_costs_quantities[[#This Row],[Demolition Removal Unsafe Structures]]*BOQs!$L$4</f>
        <v>0</v>
      </c>
      <c r="O385" s="76"/>
      <c r="P385" s="37"/>
      <c r="Q385" s="86">
        <f>tbl_estimated_costs_quantities[[#This Row],[Concrete Works]]*BOQs!$L$5</f>
        <v>0</v>
      </c>
      <c r="R385" s="76"/>
      <c r="S385" s="37"/>
      <c r="T385" s="86">
        <f>tbl_estimated_costs_quantities[[#This Row],[Closure External Openings Walls Windows]]*BOQs!$L$6</f>
        <v>0</v>
      </c>
      <c r="U385" s="76"/>
      <c r="V385" s="37"/>
      <c r="W385" s="86">
        <f>tbl_estimated_costs_quantities[[#This Row],[Plastering Painting]]*BOQs!$L$7</f>
        <v>0</v>
      </c>
      <c r="X385" s="76"/>
      <c r="Y385" s="37"/>
      <c r="Z385" s="86">
        <f>tbl_estimated_costs_quantities[[#This Row],[Floor Repairs]]*BOQs!$L$8</f>
        <v>0</v>
      </c>
      <c r="AA385" s="76"/>
      <c r="AB385" s="37"/>
      <c r="AC385" s="86">
        <f>tbl_estimated_costs_quantities[[#This Row],[Doors Replacement Repair]]*BOQs!$L$9</f>
        <v>0</v>
      </c>
      <c r="AD385" s="76"/>
      <c r="AE385" s="37"/>
      <c r="AF385" s="86">
        <f>tbl_estimated_costs_quantities[[#This Row],[Windows Replacement Repair]]*BOQs!$L$10</f>
        <v>0</v>
      </c>
      <c r="AG385" s="76"/>
      <c r="AH385" s="37"/>
      <c r="AI385" s="86">
        <f>tbl_estimated_costs_quantities[[#This Row],[Bathroom Rehabilitation]]*BOQs!$L$11</f>
        <v>0</v>
      </c>
      <c r="AJ385" s="76"/>
      <c r="AK385" s="37"/>
      <c r="AL385" s="86">
        <f>tbl_estimated_costs_quantities[[#This Row],[Ceramic Tile Works WASH]]*BOQs!$L$12</f>
        <v>0</v>
      </c>
      <c r="AM385" s="76"/>
      <c r="AN385" s="37"/>
      <c r="AO385" s="86">
        <f>tbl_estimated_costs_quantities[[#This Row],[Electrical Repairs Lighting]]*BOQs!$L$13</f>
        <v>0</v>
      </c>
      <c r="AP385" s="76"/>
      <c r="AQ385" s="37"/>
      <c r="AR385" s="86">
        <f>tbl_estimated_costs_quantities[[#This Row],[Roof Insulation Leak Sealing]]*BOQs!$L$14</f>
        <v>0</v>
      </c>
      <c r="AS385" s="76"/>
      <c r="AT385" s="37"/>
      <c r="AU385" s="86">
        <f>tbl_estimated_costs_quantities[[#This Row],[Chimney Duct Cleaning Repair]]*BOQs!$L$15</f>
        <v>0</v>
      </c>
      <c r="AV385" s="76"/>
      <c r="AW385" s="37"/>
      <c r="AX385" s="89">
        <f>tbl_estimated_costs_quantities[[#This Row],[Accessibility Adaptations]]*BOQs!$L$16</f>
        <v>0</v>
      </c>
      <c r="AY385" s="86" t="str">
        <f>IF(tbl_estimated_costs_quantities[[#This Row],[Total cost]]&lt;&gt;0,tbl_estimated_costs_quantities[[#This Row],[Total cost]]/BOQs!$A$1,"")</f>
        <v/>
      </c>
      <c r="AZ385" s="37"/>
      <c r="BA385" s="37"/>
      <c r="BB385" s="37"/>
      <c r="BC385" s="37"/>
      <c r="BD385" s="41"/>
      <c r="BE385" s="37"/>
      <c r="BF385" s="37"/>
      <c r="BG385" s="37"/>
      <c r="BH385" s="41"/>
    </row>
    <row r="386" spans="2:60" ht="25.15" customHeight="1" x14ac:dyDescent="0.25">
      <c r="B386" s="49">
        <v>382</v>
      </c>
      <c r="C386" s="37"/>
      <c r="D386" s="41"/>
      <c r="E386" s="40"/>
      <c r="F386" s="87" t="str">
        <f>IF(tbl_estimated_costs_quantities[[#This Row],[House Code]]&lt;&gt;"",INDEX(tbl_Assessment[],MATCH(tbl_estimated_costs_quantities[[#This Row],[House Code]],tbl_Assessment[House Code],0),3),"")</f>
        <v/>
      </c>
      <c r="G386" s="115" t="str">
        <f>IF(tbl_estimated_costs_quantities[[#This Row],[House Code]]&lt;&gt;"",INDEX(tbl_Assessment[],MATCH(tbl_estimated_costs_quantities[[#This Row],[House Code]],tbl_Assessment[House Code],0),9),"")</f>
        <v/>
      </c>
      <c r="H38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6" s="75"/>
      <c r="J386" s="37"/>
      <c r="K386" s="86">
        <f>tbl_estimated_costs_quantities[[#This Row],[Site Preparation]]*BOQs!$L$3</f>
        <v>0</v>
      </c>
      <c r="L386" s="76"/>
      <c r="M386" s="37"/>
      <c r="N386" s="86">
        <f>tbl_estimated_costs_quantities[[#This Row],[Demolition Removal Unsafe Structures]]*BOQs!$L$4</f>
        <v>0</v>
      </c>
      <c r="O386" s="76"/>
      <c r="P386" s="37"/>
      <c r="Q386" s="86">
        <f>tbl_estimated_costs_quantities[[#This Row],[Concrete Works]]*BOQs!$L$5</f>
        <v>0</v>
      </c>
      <c r="R386" s="76"/>
      <c r="S386" s="37"/>
      <c r="T386" s="86">
        <f>tbl_estimated_costs_quantities[[#This Row],[Closure External Openings Walls Windows]]*BOQs!$L$6</f>
        <v>0</v>
      </c>
      <c r="U386" s="76"/>
      <c r="V386" s="37"/>
      <c r="W386" s="86">
        <f>tbl_estimated_costs_quantities[[#This Row],[Plastering Painting]]*BOQs!$L$7</f>
        <v>0</v>
      </c>
      <c r="X386" s="76"/>
      <c r="Y386" s="37"/>
      <c r="Z386" s="86">
        <f>tbl_estimated_costs_quantities[[#This Row],[Floor Repairs]]*BOQs!$L$8</f>
        <v>0</v>
      </c>
      <c r="AA386" s="76"/>
      <c r="AB386" s="37"/>
      <c r="AC386" s="86">
        <f>tbl_estimated_costs_quantities[[#This Row],[Doors Replacement Repair]]*BOQs!$L$9</f>
        <v>0</v>
      </c>
      <c r="AD386" s="76"/>
      <c r="AE386" s="37"/>
      <c r="AF386" s="86">
        <f>tbl_estimated_costs_quantities[[#This Row],[Windows Replacement Repair]]*BOQs!$L$10</f>
        <v>0</v>
      </c>
      <c r="AG386" s="76"/>
      <c r="AH386" s="37"/>
      <c r="AI386" s="86">
        <f>tbl_estimated_costs_quantities[[#This Row],[Bathroom Rehabilitation]]*BOQs!$L$11</f>
        <v>0</v>
      </c>
      <c r="AJ386" s="76"/>
      <c r="AK386" s="37"/>
      <c r="AL386" s="86">
        <f>tbl_estimated_costs_quantities[[#This Row],[Ceramic Tile Works WASH]]*BOQs!$L$12</f>
        <v>0</v>
      </c>
      <c r="AM386" s="76"/>
      <c r="AN386" s="37"/>
      <c r="AO386" s="86">
        <f>tbl_estimated_costs_quantities[[#This Row],[Electrical Repairs Lighting]]*BOQs!$L$13</f>
        <v>0</v>
      </c>
      <c r="AP386" s="76"/>
      <c r="AQ386" s="37"/>
      <c r="AR386" s="86">
        <f>tbl_estimated_costs_quantities[[#This Row],[Roof Insulation Leak Sealing]]*BOQs!$L$14</f>
        <v>0</v>
      </c>
      <c r="AS386" s="76"/>
      <c r="AT386" s="37"/>
      <c r="AU386" s="86">
        <f>tbl_estimated_costs_quantities[[#This Row],[Chimney Duct Cleaning Repair]]*BOQs!$L$15</f>
        <v>0</v>
      </c>
      <c r="AV386" s="76"/>
      <c r="AW386" s="37"/>
      <c r="AX386" s="89">
        <f>tbl_estimated_costs_quantities[[#This Row],[Accessibility Adaptations]]*BOQs!$L$16</f>
        <v>0</v>
      </c>
      <c r="AY386" s="86" t="str">
        <f>IF(tbl_estimated_costs_quantities[[#This Row],[Total cost]]&lt;&gt;0,tbl_estimated_costs_quantities[[#This Row],[Total cost]]/BOQs!$A$1,"")</f>
        <v/>
      </c>
      <c r="AZ386" s="37"/>
      <c r="BA386" s="37"/>
      <c r="BB386" s="37"/>
      <c r="BC386" s="37"/>
      <c r="BD386" s="41"/>
      <c r="BE386" s="37"/>
      <c r="BF386" s="37"/>
      <c r="BG386" s="37"/>
      <c r="BH386" s="41"/>
    </row>
    <row r="387" spans="2:60" ht="25.15" customHeight="1" x14ac:dyDescent="0.25">
      <c r="B387" s="49">
        <v>383</v>
      </c>
      <c r="C387" s="37"/>
      <c r="D387" s="41"/>
      <c r="E387" s="40"/>
      <c r="F387" s="87" t="str">
        <f>IF(tbl_estimated_costs_quantities[[#This Row],[House Code]]&lt;&gt;"",INDEX(tbl_Assessment[],MATCH(tbl_estimated_costs_quantities[[#This Row],[House Code]],tbl_Assessment[House Code],0),3),"")</f>
        <v/>
      </c>
      <c r="G387" s="115" t="str">
        <f>IF(tbl_estimated_costs_quantities[[#This Row],[House Code]]&lt;&gt;"",INDEX(tbl_Assessment[],MATCH(tbl_estimated_costs_quantities[[#This Row],[House Code]],tbl_Assessment[House Code],0),9),"")</f>
        <v/>
      </c>
      <c r="H38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7" s="75"/>
      <c r="J387" s="37"/>
      <c r="K387" s="86">
        <f>tbl_estimated_costs_quantities[[#This Row],[Site Preparation]]*BOQs!$L$3</f>
        <v>0</v>
      </c>
      <c r="L387" s="76"/>
      <c r="M387" s="37"/>
      <c r="N387" s="86">
        <f>tbl_estimated_costs_quantities[[#This Row],[Demolition Removal Unsafe Structures]]*BOQs!$L$4</f>
        <v>0</v>
      </c>
      <c r="O387" s="76"/>
      <c r="P387" s="37"/>
      <c r="Q387" s="86">
        <f>tbl_estimated_costs_quantities[[#This Row],[Concrete Works]]*BOQs!$L$5</f>
        <v>0</v>
      </c>
      <c r="R387" s="76"/>
      <c r="S387" s="37"/>
      <c r="T387" s="86">
        <f>tbl_estimated_costs_quantities[[#This Row],[Closure External Openings Walls Windows]]*BOQs!$L$6</f>
        <v>0</v>
      </c>
      <c r="U387" s="76"/>
      <c r="V387" s="37"/>
      <c r="W387" s="86">
        <f>tbl_estimated_costs_quantities[[#This Row],[Plastering Painting]]*BOQs!$L$7</f>
        <v>0</v>
      </c>
      <c r="X387" s="76"/>
      <c r="Y387" s="37"/>
      <c r="Z387" s="86">
        <f>tbl_estimated_costs_quantities[[#This Row],[Floor Repairs]]*BOQs!$L$8</f>
        <v>0</v>
      </c>
      <c r="AA387" s="76"/>
      <c r="AB387" s="37"/>
      <c r="AC387" s="86">
        <f>tbl_estimated_costs_quantities[[#This Row],[Doors Replacement Repair]]*BOQs!$L$9</f>
        <v>0</v>
      </c>
      <c r="AD387" s="76"/>
      <c r="AE387" s="37"/>
      <c r="AF387" s="86">
        <f>tbl_estimated_costs_quantities[[#This Row],[Windows Replacement Repair]]*BOQs!$L$10</f>
        <v>0</v>
      </c>
      <c r="AG387" s="76"/>
      <c r="AH387" s="37"/>
      <c r="AI387" s="86">
        <f>tbl_estimated_costs_quantities[[#This Row],[Bathroom Rehabilitation]]*BOQs!$L$11</f>
        <v>0</v>
      </c>
      <c r="AJ387" s="76"/>
      <c r="AK387" s="37"/>
      <c r="AL387" s="86">
        <f>tbl_estimated_costs_quantities[[#This Row],[Ceramic Tile Works WASH]]*BOQs!$L$12</f>
        <v>0</v>
      </c>
      <c r="AM387" s="76"/>
      <c r="AN387" s="37"/>
      <c r="AO387" s="86">
        <f>tbl_estimated_costs_quantities[[#This Row],[Electrical Repairs Lighting]]*BOQs!$L$13</f>
        <v>0</v>
      </c>
      <c r="AP387" s="76"/>
      <c r="AQ387" s="37"/>
      <c r="AR387" s="86">
        <f>tbl_estimated_costs_quantities[[#This Row],[Roof Insulation Leak Sealing]]*BOQs!$L$14</f>
        <v>0</v>
      </c>
      <c r="AS387" s="76"/>
      <c r="AT387" s="37"/>
      <c r="AU387" s="86">
        <f>tbl_estimated_costs_quantities[[#This Row],[Chimney Duct Cleaning Repair]]*BOQs!$L$15</f>
        <v>0</v>
      </c>
      <c r="AV387" s="76"/>
      <c r="AW387" s="37"/>
      <c r="AX387" s="89">
        <f>tbl_estimated_costs_quantities[[#This Row],[Accessibility Adaptations]]*BOQs!$L$16</f>
        <v>0</v>
      </c>
      <c r="AY387" s="86" t="str">
        <f>IF(tbl_estimated_costs_quantities[[#This Row],[Total cost]]&lt;&gt;0,tbl_estimated_costs_quantities[[#This Row],[Total cost]]/BOQs!$A$1,"")</f>
        <v/>
      </c>
      <c r="AZ387" s="37"/>
      <c r="BA387" s="37"/>
      <c r="BB387" s="37"/>
      <c r="BC387" s="37"/>
      <c r="BD387" s="41"/>
      <c r="BE387" s="37"/>
      <c r="BF387" s="37"/>
      <c r="BG387" s="37"/>
      <c r="BH387" s="41"/>
    </row>
    <row r="388" spans="2:60" ht="25.15" customHeight="1" x14ac:dyDescent="0.25">
      <c r="B388" s="49">
        <v>384</v>
      </c>
      <c r="C388" s="37"/>
      <c r="D388" s="41"/>
      <c r="E388" s="40"/>
      <c r="F388" s="87" t="str">
        <f>IF(tbl_estimated_costs_quantities[[#This Row],[House Code]]&lt;&gt;"",INDEX(tbl_Assessment[],MATCH(tbl_estimated_costs_quantities[[#This Row],[House Code]],tbl_Assessment[House Code],0),3),"")</f>
        <v/>
      </c>
      <c r="G388" s="115" t="str">
        <f>IF(tbl_estimated_costs_quantities[[#This Row],[House Code]]&lt;&gt;"",INDEX(tbl_Assessment[],MATCH(tbl_estimated_costs_quantities[[#This Row],[House Code]],tbl_Assessment[House Code],0),9),"")</f>
        <v/>
      </c>
      <c r="H38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8" s="75"/>
      <c r="J388" s="37"/>
      <c r="K388" s="86">
        <f>tbl_estimated_costs_quantities[[#This Row],[Site Preparation]]*BOQs!$L$3</f>
        <v>0</v>
      </c>
      <c r="L388" s="76"/>
      <c r="M388" s="37"/>
      <c r="N388" s="86">
        <f>tbl_estimated_costs_quantities[[#This Row],[Demolition Removal Unsafe Structures]]*BOQs!$L$4</f>
        <v>0</v>
      </c>
      <c r="O388" s="76"/>
      <c r="P388" s="37"/>
      <c r="Q388" s="86">
        <f>tbl_estimated_costs_quantities[[#This Row],[Concrete Works]]*BOQs!$L$5</f>
        <v>0</v>
      </c>
      <c r="R388" s="76"/>
      <c r="S388" s="37"/>
      <c r="T388" s="86">
        <f>tbl_estimated_costs_quantities[[#This Row],[Closure External Openings Walls Windows]]*BOQs!$L$6</f>
        <v>0</v>
      </c>
      <c r="U388" s="76"/>
      <c r="V388" s="37"/>
      <c r="W388" s="86">
        <f>tbl_estimated_costs_quantities[[#This Row],[Plastering Painting]]*BOQs!$L$7</f>
        <v>0</v>
      </c>
      <c r="X388" s="76"/>
      <c r="Y388" s="37"/>
      <c r="Z388" s="86">
        <f>tbl_estimated_costs_quantities[[#This Row],[Floor Repairs]]*BOQs!$L$8</f>
        <v>0</v>
      </c>
      <c r="AA388" s="76"/>
      <c r="AB388" s="37"/>
      <c r="AC388" s="86">
        <f>tbl_estimated_costs_quantities[[#This Row],[Doors Replacement Repair]]*BOQs!$L$9</f>
        <v>0</v>
      </c>
      <c r="AD388" s="76"/>
      <c r="AE388" s="37"/>
      <c r="AF388" s="86">
        <f>tbl_estimated_costs_quantities[[#This Row],[Windows Replacement Repair]]*BOQs!$L$10</f>
        <v>0</v>
      </c>
      <c r="AG388" s="76"/>
      <c r="AH388" s="37"/>
      <c r="AI388" s="86">
        <f>tbl_estimated_costs_quantities[[#This Row],[Bathroom Rehabilitation]]*BOQs!$L$11</f>
        <v>0</v>
      </c>
      <c r="AJ388" s="76"/>
      <c r="AK388" s="37"/>
      <c r="AL388" s="86">
        <f>tbl_estimated_costs_quantities[[#This Row],[Ceramic Tile Works WASH]]*BOQs!$L$12</f>
        <v>0</v>
      </c>
      <c r="AM388" s="76"/>
      <c r="AN388" s="37"/>
      <c r="AO388" s="86">
        <f>tbl_estimated_costs_quantities[[#This Row],[Electrical Repairs Lighting]]*BOQs!$L$13</f>
        <v>0</v>
      </c>
      <c r="AP388" s="76"/>
      <c r="AQ388" s="37"/>
      <c r="AR388" s="86">
        <f>tbl_estimated_costs_quantities[[#This Row],[Roof Insulation Leak Sealing]]*BOQs!$L$14</f>
        <v>0</v>
      </c>
      <c r="AS388" s="76"/>
      <c r="AT388" s="37"/>
      <c r="AU388" s="86">
        <f>tbl_estimated_costs_quantities[[#This Row],[Chimney Duct Cleaning Repair]]*BOQs!$L$15</f>
        <v>0</v>
      </c>
      <c r="AV388" s="76"/>
      <c r="AW388" s="37"/>
      <c r="AX388" s="89">
        <f>tbl_estimated_costs_quantities[[#This Row],[Accessibility Adaptations]]*BOQs!$L$16</f>
        <v>0</v>
      </c>
      <c r="AY388" s="86" t="str">
        <f>IF(tbl_estimated_costs_quantities[[#This Row],[Total cost]]&lt;&gt;0,tbl_estimated_costs_quantities[[#This Row],[Total cost]]/BOQs!$A$1,"")</f>
        <v/>
      </c>
      <c r="AZ388" s="37"/>
      <c r="BA388" s="37"/>
      <c r="BB388" s="37"/>
      <c r="BC388" s="37"/>
      <c r="BD388" s="41"/>
      <c r="BE388" s="37"/>
      <c r="BF388" s="37"/>
      <c r="BG388" s="37"/>
      <c r="BH388" s="41"/>
    </row>
    <row r="389" spans="2:60" ht="25.15" customHeight="1" x14ac:dyDescent="0.25">
      <c r="B389" s="49">
        <v>385</v>
      </c>
      <c r="C389" s="37"/>
      <c r="D389" s="41"/>
      <c r="E389" s="40"/>
      <c r="F389" s="87" t="str">
        <f>IF(tbl_estimated_costs_quantities[[#This Row],[House Code]]&lt;&gt;"",INDEX(tbl_Assessment[],MATCH(tbl_estimated_costs_quantities[[#This Row],[House Code]],tbl_Assessment[House Code],0),3),"")</f>
        <v/>
      </c>
      <c r="G389" s="115" t="str">
        <f>IF(tbl_estimated_costs_quantities[[#This Row],[House Code]]&lt;&gt;"",INDEX(tbl_Assessment[],MATCH(tbl_estimated_costs_quantities[[#This Row],[House Code]],tbl_Assessment[House Code],0),9),"")</f>
        <v/>
      </c>
      <c r="H38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89" s="75"/>
      <c r="J389" s="37"/>
      <c r="K389" s="86">
        <f>tbl_estimated_costs_quantities[[#This Row],[Site Preparation]]*BOQs!$L$3</f>
        <v>0</v>
      </c>
      <c r="L389" s="76"/>
      <c r="M389" s="37"/>
      <c r="N389" s="86">
        <f>tbl_estimated_costs_quantities[[#This Row],[Demolition Removal Unsafe Structures]]*BOQs!$L$4</f>
        <v>0</v>
      </c>
      <c r="O389" s="76"/>
      <c r="P389" s="37"/>
      <c r="Q389" s="86">
        <f>tbl_estimated_costs_quantities[[#This Row],[Concrete Works]]*BOQs!$L$5</f>
        <v>0</v>
      </c>
      <c r="R389" s="76"/>
      <c r="S389" s="37"/>
      <c r="T389" s="86">
        <f>tbl_estimated_costs_quantities[[#This Row],[Closure External Openings Walls Windows]]*BOQs!$L$6</f>
        <v>0</v>
      </c>
      <c r="U389" s="76"/>
      <c r="V389" s="37"/>
      <c r="W389" s="86">
        <f>tbl_estimated_costs_quantities[[#This Row],[Plastering Painting]]*BOQs!$L$7</f>
        <v>0</v>
      </c>
      <c r="X389" s="76"/>
      <c r="Y389" s="37"/>
      <c r="Z389" s="86">
        <f>tbl_estimated_costs_quantities[[#This Row],[Floor Repairs]]*BOQs!$L$8</f>
        <v>0</v>
      </c>
      <c r="AA389" s="76"/>
      <c r="AB389" s="37"/>
      <c r="AC389" s="86">
        <f>tbl_estimated_costs_quantities[[#This Row],[Doors Replacement Repair]]*BOQs!$L$9</f>
        <v>0</v>
      </c>
      <c r="AD389" s="76"/>
      <c r="AE389" s="37"/>
      <c r="AF389" s="86">
        <f>tbl_estimated_costs_quantities[[#This Row],[Windows Replacement Repair]]*BOQs!$L$10</f>
        <v>0</v>
      </c>
      <c r="AG389" s="76"/>
      <c r="AH389" s="37"/>
      <c r="AI389" s="86">
        <f>tbl_estimated_costs_quantities[[#This Row],[Bathroom Rehabilitation]]*BOQs!$L$11</f>
        <v>0</v>
      </c>
      <c r="AJ389" s="76"/>
      <c r="AK389" s="37"/>
      <c r="AL389" s="86">
        <f>tbl_estimated_costs_quantities[[#This Row],[Ceramic Tile Works WASH]]*BOQs!$L$12</f>
        <v>0</v>
      </c>
      <c r="AM389" s="76"/>
      <c r="AN389" s="37"/>
      <c r="AO389" s="86">
        <f>tbl_estimated_costs_quantities[[#This Row],[Electrical Repairs Lighting]]*BOQs!$L$13</f>
        <v>0</v>
      </c>
      <c r="AP389" s="76"/>
      <c r="AQ389" s="37"/>
      <c r="AR389" s="86">
        <f>tbl_estimated_costs_quantities[[#This Row],[Roof Insulation Leak Sealing]]*BOQs!$L$14</f>
        <v>0</v>
      </c>
      <c r="AS389" s="76"/>
      <c r="AT389" s="37"/>
      <c r="AU389" s="86">
        <f>tbl_estimated_costs_quantities[[#This Row],[Chimney Duct Cleaning Repair]]*BOQs!$L$15</f>
        <v>0</v>
      </c>
      <c r="AV389" s="76"/>
      <c r="AW389" s="37"/>
      <c r="AX389" s="89">
        <f>tbl_estimated_costs_quantities[[#This Row],[Accessibility Adaptations]]*BOQs!$L$16</f>
        <v>0</v>
      </c>
      <c r="AY389" s="86" t="str">
        <f>IF(tbl_estimated_costs_quantities[[#This Row],[Total cost]]&lt;&gt;0,tbl_estimated_costs_quantities[[#This Row],[Total cost]]/BOQs!$A$1,"")</f>
        <v/>
      </c>
      <c r="AZ389" s="37"/>
      <c r="BA389" s="37"/>
      <c r="BB389" s="37"/>
      <c r="BC389" s="37"/>
      <c r="BD389" s="41"/>
      <c r="BE389" s="37"/>
      <c r="BF389" s="37"/>
      <c r="BG389" s="37"/>
      <c r="BH389" s="41"/>
    </row>
    <row r="390" spans="2:60" ht="25.15" customHeight="1" x14ac:dyDescent="0.25">
      <c r="B390" s="49">
        <v>386</v>
      </c>
      <c r="C390" s="37"/>
      <c r="D390" s="41"/>
      <c r="E390" s="40"/>
      <c r="F390" s="87" t="str">
        <f>IF(tbl_estimated_costs_quantities[[#This Row],[House Code]]&lt;&gt;"",INDEX(tbl_Assessment[],MATCH(tbl_estimated_costs_quantities[[#This Row],[House Code]],tbl_Assessment[House Code],0),3),"")</f>
        <v/>
      </c>
      <c r="G390" s="115" t="str">
        <f>IF(tbl_estimated_costs_quantities[[#This Row],[House Code]]&lt;&gt;"",INDEX(tbl_Assessment[],MATCH(tbl_estimated_costs_quantities[[#This Row],[House Code]],tbl_Assessment[House Code],0),9),"")</f>
        <v/>
      </c>
      <c r="H39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0" s="75"/>
      <c r="J390" s="37"/>
      <c r="K390" s="86">
        <f>tbl_estimated_costs_quantities[[#This Row],[Site Preparation]]*BOQs!$L$3</f>
        <v>0</v>
      </c>
      <c r="L390" s="76"/>
      <c r="M390" s="37"/>
      <c r="N390" s="86">
        <f>tbl_estimated_costs_quantities[[#This Row],[Demolition Removal Unsafe Structures]]*BOQs!$L$4</f>
        <v>0</v>
      </c>
      <c r="O390" s="76"/>
      <c r="P390" s="37"/>
      <c r="Q390" s="86">
        <f>tbl_estimated_costs_quantities[[#This Row],[Concrete Works]]*BOQs!$L$5</f>
        <v>0</v>
      </c>
      <c r="R390" s="76"/>
      <c r="S390" s="37"/>
      <c r="T390" s="86">
        <f>tbl_estimated_costs_quantities[[#This Row],[Closure External Openings Walls Windows]]*BOQs!$L$6</f>
        <v>0</v>
      </c>
      <c r="U390" s="76"/>
      <c r="V390" s="37"/>
      <c r="W390" s="86">
        <f>tbl_estimated_costs_quantities[[#This Row],[Plastering Painting]]*BOQs!$L$7</f>
        <v>0</v>
      </c>
      <c r="X390" s="76"/>
      <c r="Y390" s="37"/>
      <c r="Z390" s="86">
        <f>tbl_estimated_costs_quantities[[#This Row],[Floor Repairs]]*BOQs!$L$8</f>
        <v>0</v>
      </c>
      <c r="AA390" s="76"/>
      <c r="AB390" s="37"/>
      <c r="AC390" s="86">
        <f>tbl_estimated_costs_quantities[[#This Row],[Doors Replacement Repair]]*BOQs!$L$9</f>
        <v>0</v>
      </c>
      <c r="AD390" s="76"/>
      <c r="AE390" s="37"/>
      <c r="AF390" s="86">
        <f>tbl_estimated_costs_quantities[[#This Row],[Windows Replacement Repair]]*BOQs!$L$10</f>
        <v>0</v>
      </c>
      <c r="AG390" s="76"/>
      <c r="AH390" s="37"/>
      <c r="AI390" s="86">
        <f>tbl_estimated_costs_quantities[[#This Row],[Bathroom Rehabilitation]]*BOQs!$L$11</f>
        <v>0</v>
      </c>
      <c r="AJ390" s="76"/>
      <c r="AK390" s="37"/>
      <c r="AL390" s="86">
        <f>tbl_estimated_costs_quantities[[#This Row],[Ceramic Tile Works WASH]]*BOQs!$L$12</f>
        <v>0</v>
      </c>
      <c r="AM390" s="76"/>
      <c r="AN390" s="37"/>
      <c r="AO390" s="86">
        <f>tbl_estimated_costs_quantities[[#This Row],[Electrical Repairs Lighting]]*BOQs!$L$13</f>
        <v>0</v>
      </c>
      <c r="AP390" s="76"/>
      <c r="AQ390" s="37"/>
      <c r="AR390" s="86">
        <f>tbl_estimated_costs_quantities[[#This Row],[Roof Insulation Leak Sealing]]*BOQs!$L$14</f>
        <v>0</v>
      </c>
      <c r="AS390" s="76"/>
      <c r="AT390" s="37"/>
      <c r="AU390" s="86">
        <f>tbl_estimated_costs_quantities[[#This Row],[Chimney Duct Cleaning Repair]]*BOQs!$L$15</f>
        <v>0</v>
      </c>
      <c r="AV390" s="76"/>
      <c r="AW390" s="37"/>
      <c r="AX390" s="89">
        <f>tbl_estimated_costs_quantities[[#This Row],[Accessibility Adaptations]]*BOQs!$L$16</f>
        <v>0</v>
      </c>
      <c r="AY390" s="86" t="str">
        <f>IF(tbl_estimated_costs_quantities[[#This Row],[Total cost]]&lt;&gt;0,tbl_estimated_costs_quantities[[#This Row],[Total cost]]/BOQs!$A$1,"")</f>
        <v/>
      </c>
      <c r="AZ390" s="37"/>
      <c r="BA390" s="37"/>
      <c r="BB390" s="37"/>
      <c r="BC390" s="37"/>
      <c r="BD390" s="41"/>
      <c r="BE390" s="37"/>
      <c r="BF390" s="37"/>
      <c r="BG390" s="37"/>
      <c r="BH390" s="41"/>
    </row>
    <row r="391" spans="2:60" ht="25.15" customHeight="1" x14ac:dyDescent="0.25">
      <c r="B391" s="49">
        <v>387</v>
      </c>
      <c r="C391" s="37"/>
      <c r="D391" s="41"/>
      <c r="E391" s="40"/>
      <c r="F391" s="87" t="str">
        <f>IF(tbl_estimated_costs_quantities[[#This Row],[House Code]]&lt;&gt;"",INDEX(tbl_Assessment[],MATCH(tbl_estimated_costs_quantities[[#This Row],[House Code]],tbl_Assessment[House Code],0),3),"")</f>
        <v/>
      </c>
      <c r="G391" s="115" t="str">
        <f>IF(tbl_estimated_costs_quantities[[#This Row],[House Code]]&lt;&gt;"",INDEX(tbl_Assessment[],MATCH(tbl_estimated_costs_quantities[[#This Row],[House Code]],tbl_Assessment[House Code],0),9),"")</f>
        <v/>
      </c>
      <c r="H39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1" s="75"/>
      <c r="J391" s="37"/>
      <c r="K391" s="86">
        <f>tbl_estimated_costs_quantities[[#This Row],[Site Preparation]]*BOQs!$L$3</f>
        <v>0</v>
      </c>
      <c r="L391" s="76"/>
      <c r="M391" s="37"/>
      <c r="N391" s="86">
        <f>tbl_estimated_costs_quantities[[#This Row],[Demolition Removal Unsafe Structures]]*BOQs!$L$4</f>
        <v>0</v>
      </c>
      <c r="O391" s="76"/>
      <c r="P391" s="37"/>
      <c r="Q391" s="86">
        <f>tbl_estimated_costs_quantities[[#This Row],[Concrete Works]]*BOQs!$L$5</f>
        <v>0</v>
      </c>
      <c r="R391" s="76"/>
      <c r="S391" s="37"/>
      <c r="T391" s="86">
        <f>tbl_estimated_costs_quantities[[#This Row],[Closure External Openings Walls Windows]]*BOQs!$L$6</f>
        <v>0</v>
      </c>
      <c r="U391" s="76"/>
      <c r="V391" s="37"/>
      <c r="W391" s="86">
        <f>tbl_estimated_costs_quantities[[#This Row],[Plastering Painting]]*BOQs!$L$7</f>
        <v>0</v>
      </c>
      <c r="X391" s="76"/>
      <c r="Y391" s="37"/>
      <c r="Z391" s="86">
        <f>tbl_estimated_costs_quantities[[#This Row],[Floor Repairs]]*BOQs!$L$8</f>
        <v>0</v>
      </c>
      <c r="AA391" s="76"/>
      <c r="AB391" s="37"/>
      <c r="AC391" s="86">
        <f>tbl_estimated_costs_quantities[[#This Row],[Doors Replacement Repair]]*BOQs!$L$9</f>
        <v>0</v>
      </c>
      <c r="AD391" s="76"/>
      <c r="AE391" s="37"/>
      <c r="AF391" s="86">
        <f>tbl_estimated_costs_quantities[[#This Row],[Windows Replacement Repair]]*BOQs!$L$10</f>
        <v>0</v>
      </c>
      <c r="AG391" s="76"/>
      <c r="AH391" s="37"/>
      <c r="AI391" s="86">
        <f>tbl_estimated_costs_quantities[[#This Row],[Bathroom Rehabilitation]]*BOQs!$L$11</f>
        <v>0</v>
      </c>
      <c r="AJ391" s="76"/>
      <c r="AK391" s="37"/>
      <c r="AL391" s="86">
        <f>tbl_estimated_costs_quantities[[#This Row],[Ceramic Tile Works WASH]]*BOQs!$L$12</f>
        <v>0</v>
      </c>
      <c r="AM391" s="76"/>
      <c r="AN391" s="37"/>
      <c r="AO391" s="86">
        <f>tbl_estimated_costs_quantities[[#This Row],[Electrical Repairs Lighting]]*BOQs!$L$13</f>
        <v>0</v>
      </c>
      <c r="AP391" s="76"/>
      <c r="AQ391" s="37"/>
      <c r="AR391" s="86">
        <f>tbl_estimated_costs_quantities[[#This Row],[Roof Insulation Leak Sealing]]*BOQs!$L$14</f>
        <v>0</v>
      </c>
      <c r="AS391" s="76"/>
      <c r="AT391" s="37"/>
      <c r="AU391" s="86">
        <f>tbl_estimated_costs_quantities[[#This Row],[Chimney Duct Cleaning Repair]]*BOQs!$L$15</f>
        <v>0</v>
      </c>
      <c r="AV391" s="76"/>
      <c r="AW391" s="37"/>
      <c r="AX391" s="89">
        <f>tbl_estimated_costs_quantities[[#This Row],[Accessibility Adaptations]]*BOQs!$L$16</f>
        <v>0</v>
      </c>
      <c r="AY391" s="86" t="str">
        <f>IF(tbl_estimated_costs_quantities[[#This Row],[Total cost]]&lt;&gt;0,tbl_estimated_costs_quantities[[#This Row],[Total cost]]/BOQs!$A$1,"")</f>
        <v/>
      </c>
      <c r="AZ391" s="37"/>
      <c r="BA391" s="37"/>
      <c r="BB391" s="37"/>
      <c r="BC391" s="37"/>
      <c r="BD391" s="41"/>
      <c r="BE391" s="37"/>
      <c r="BF391" s="37"/>
      <c r="BG391" s="37"/>
      <c r="BH391" s="41"/>
    </row>
    <row r="392" spans="2:60" ht="25.15" customHeight="1" x14ac:dyDescent="0.25">
      <c r="B392" s="49">
        <v>388</v>
      </c>
      <c r="C392" s="37"/>
      <c r="D392" s="41"/>
      <c r="E392" s="40"/>
      <c r="F392" s="87" t="str">
        <f>IF(tbl_estimated_costs_quantities[[#This Row],[House Code]]&lt;&gt;"",INDEX(tbl_Assessment[],MATCH(tbl_estimated_costs_quantities[[#This Row],[House Code]],tbl_Assessment[House Code],0),3),"")</f>
        <v/>
      </c>
      <c r="G392" s="115" t="str">
        <f>IF(tbl_estimated_costs_quantities[[#This Row],[House Code]]&lt;&gt;"",INDEX(tbl_Assessment[],MATCH(tbl_estimated_costs_quantities[[#This Row],[House Code]],tbl_Assessment[House Code],0),9),"")</f>
        <v/>
      </c>
      <c r="H39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2" s="75"/>
      <c r="J392" s="37"/>
      <c r="K392" s="86">
        <f>tbl_estimated_costs_quantities[[#This Row],[Site Preparation]]*BOQs!$L$3</f>
        <v>0</v>
      </c>
      <c r="L392" s="76"/>
      <c r="M392" s="37"/>
      <c r="N392" s="86">
        <f>tbl_estimated_costs_quantities[[#This Row],[Demolition Removal Unsafe Structures]]*BOQs!$L$4</f>
        <v>0</v>
      </c>
      <c r="O392" s="76"/>
      <c r="P392" s="37"/>
      <c r="Q392" s="86">
        <f>tbl_estimated_costs_quantities[[#This Row],[Concrete Works]]*BOQs!$L$5</f>
        <v>0</v>
      </c>
      <c r="R392" s="76"/>
      <c r="S392" s="37"/>
      <c r="T392" s="86">
        <f>tbl_estimated_costs_quantities[[#This Row],[Closure External Openings Walls Windows]]*BOQs!$L$6</f>
        <v>0</v>
      </c>
      <c r="U392" s="76"/>
      <c r="V392" s="37"/>
      <c r="W392" s="86">
        <f>tbl_estimated_costs_quantities[[#This Row],[Plastering Painting]]*BOQs!$L$7</f>
        <v>0</v>
      </c>
      <c r="X392" s="76"/>
      <c r="Y392" s="37"/>
      <c r="Z392" s="86">
        <f>tbl_estimated_costs_quantities[[#This Row],[Floor Repairs]]*BOQs!$L$8</f>
        <v>0</v>
      </c>
      <c r="AA392" s="76"/>
      <c r="AB392" s="37"/>
      <c r="AC392" s="86">
        <f>tbl_estimated_costs_quantities[[#This Row],[Doors Replacement Repair]]*BOQs!$L$9</f>
        <v>0</v>
      </c>
      <c r="AD392" s="76"/>
      <c r="AE392" s="37"/>
      <c r="AF392" s="86">
        <f>tbl_estimated_costs_quantities[[#This Row],[Windows Replacement Repair]]*BOQs!$L$10</f>
        <v>0</v>
      </c>
      <c r="AG392" s="76"/>
      <c r="AH392" s="37"/>
      <c r="AI392" s="86">
        <f>tbl_estimated_costs_quantities[[#This Row],[Bathroom Rehabilitation]]*BOQs!$L$11</f>
        <v>0</v>
      </c>
      <c r="AJ392" s="76"/>
      <c r="AK392" s="37"/>
      <c r="AL392" s="86">
        <f>tbl_estimated_costs_quantities[[#This Row],[Ceramic Tile Works WASH]]*BOQs!$L$12</f>
        <v>0</v>
      </c>
      <c r="AM392" s="76"/>
      <c r="AN392" s="37"/>
      <c r="AO392" s="86">
        <f>tbl_estimated_costs_quantities[[#This Row],[Electrical Repairs Lighting]]*BOQs!$L$13</f>
        <v>0</v>
      </c>
      <c r="AP392" s="76"/>
      <c r="AQ392" s="37"/>
      <c r="AR392" s="86">
        <f>tbl_estimated_costs_quantities[[#This Row],[Roof Insulation Leak Sealing]]*BOQs!$L$14</f>
        <v>0</v>
      </c>
      <c r="AS392" s="76"/>
      <c r="AT392" s="37"/>
      <c r="AU392" s="86">
        <f>tbl_estimated_costs_quantities[[#This Row],[Chimney Duct Cleaning Repair]]*BOQs!$L$15</f>
        <v>0</v>
      </c>
      <c r="AV392" s="76"/>
      <c r="AW392" s="37"/>
      <c r="AX392" s="89">
        <f>tbl_estimated_costs_quantities[[#This Row],[Accessibility Adaptations]]*BOQs!$L$16</f>
        <v>0</v>
      </c>
      <c r="AY392" s="86" t="str">
        <f>IF(tbl_estimated_costs_quantities[[#This Row],[Total cost]]&lt;&gt;0,tbl_estimated_costs_quantities[[#This Row],[Total cost]]/BOQs!$A$1,"")</f>
        <v/>
      </c>
      <c r="AZ392" s="37"/>
      <c r="BA392" s="37"/>
      <c r="BB392" s="37"/>
      <c r="BC392" s="37"/>
      <c r="BD392" s="41"/>
      <c r="BE392" s="37"/>
      <c r="BF392" s="37"/>
      <c r="BG392" s="37"/>
      <c r="BH392" s="41"/>
    </row>
    <row r="393" spans="2:60" ht="25.15" customHeight="1" x14ac:dyDescent="0.25">
      <c r="B393" s="49">
        <v>389</v>
      </c>
      <c r="C393" s="37"/>
      <c r="D393" s="41"/>
      <c r="E393" s="40"/>
      <c r="F393" s="87" t="str">
        <f>IF(tbl_estimated_costs_quantities[[#This Row],[House Code]]&lt;&gt;"",INDEX(tbl_Assessment[],MATCH(tbl_estimated_costs_quantities[[#This Row],[House Code]],tbl_Assessment[House Code],0),3),"")</f>
        <v/>
      </c>
      <c r="G393" s="115" t="str">
        <f>IF(tbl_estimated_costs_quantities[[#This Row],[House Code]]&lt;&gt;"",INDEX(tbl_Assessment[],MATCH(tbl_estimated_costs_quantities[[#This Row],[House Code]],tbl_Assessment[House Code],0),9),"")</f>
        <v/>
      </c>
      <c r="H39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3" s="75"/>
      <c r="J393" s="37"/>
      <c r="K393" s="86">
        <f>tbl_estimated_costs_quantities[[#This Row],[Site Preparation]]*BOQs!$L$3</f>
        <v>0</v>
      </c>
      <c r="L393" s="76"/>
      <c r="M393" s="37"/>
      <c r="N393" s="86">
        <f>tbl_estimated_costs_quantities[[#This Row],[Demolition Removal Unsafe Structures]]*BOQs!$L$4</f>
        <v>0</v>
      </c>
      <c r="O393" s="76"/>
      <c r="P393" s="37"/>
      <c r="Q393" s="86">
        <f>tbl_estimated_costs_quantities[[#This Row],[Concrete Works]]*BOQs!$L$5</f>
        <v>0</v>
      </c>
      <c r="R393" s="76"/>
      <c r="S393" s="37"/>
      <c r="T393" s="86">
        <f>tbl_estimated_costs_quantities[[#This Row],[Closure External Openings Walls Windows]]*BOQs!$L$6</f>
        <v>0</v>
      </c>
      <c r="U393" s="76"/>
      <c r="V393" s="37"/>
      <c r="W393" s="86">
        <f>tbl_estimated_costs_quantities[[#This Row],[Plastering Painting]]*BOQs!$L$7</f>
        <v>0</v>
      </c>
      <c r="X393" s="76"/>
      <c r="Y393" s="37"/>
      <c r="Z393" s="86">
        <f>tbl_estimated_costs_quantities[[#This Row],[Floor Repairs]]*BOQs!$L$8</f>
        <v>0</v>
      </c>
      <c r="AA393" s="76"/>
      <c r="AB393" s="37"/>
      <c r="AC393" s="86">
        <f>tbl_estimated_costs_quantities[[#This Row],[Doors Replacement Repair]]*BOQs!$L$9</f>
        <v>0</v>
      </c>
      <c r="AD393" s="76"/>
      <c r="AE393" s="37"/>
      <c r="AF393" s="86">
        <f>tbl_estimated_costs_quantities[[#This Row],[Windows Replacement Repair]]*BOQs!$L$10</f>
        <v>0</v>
      </c>
      <c r="AG393" s="76"/>
      <c r="AH393" s="37"/>
      <c r="AI393" s="86">
        <f>tbl_estimated_costs_quantities[[#This Row],[Bathroom Rehabilitation]]*BOQs!$L$11</f>
        <v>0</v>
      </c>
      <c r="AJ393" s="76"/>
      <c r="AK393" s="37"/>
      <c r="AL393" s="86">
        <f>tbl_estimated_costs_quantities[[#This Row],[Ceramic Tile Works WASH]]*BOQs!$L$12</f>
        <v>0</v>
      </c>
      <c r="AM393" s="76"/>
      <c r="AN393" s="37"/>
      <c r="AO393" s="86">
        <f>tbl_estimated_costs_quantities[[#This Row],[Electrical Repairs Lighting]]*BOQs!$L$13</f>
        <v>0</v>
      </c>
      <c r="AP393" s="76"/>
      <c r="AQ393" s="37"/>
      <c r="AR393" s="86">
        <f>tbl_estimated_costs_quantities[[#This Row],[Roof Insulation Leak Sealing]]*BOQs!$L$14</f>
        <v>0</v>
      </c>
      <c r="AS393" s="76"/>
      <c r="AT393" s="37"/>
      <c r="AU393" s="86">
        <f>tbl_estimated_costs_quantities[[#This Row],[Chimney Duct Cleaning Repair]]*BOQs!$L$15</f>
        <v>0</v>
      </c>
      <c r="AV393" s="76"/>
      <c r="AW393" s="37"/>
      <c r="AX393" s="89">
        <f>tbl_estimated_costs_quantities[[#This Row],[Accessibility Adaptations]]*BOQs!$L$16</f>
        <v>0</v>
      </c>
      <c r="AY393" s="86" t="str">
        <f>IF(tbl_estimated_costs_quantities[[#This Row],[Total cost]]&lt;&gt;0,tbl_estimated_costs_quantities[[#This Row],[Total cost]]/BOQs!$A$1,"")</f>
        <v/>
      </c>
      <c r="AZ393" s="37"/>
      <c r="BA393" s="37"/>
      <c r="BB393" s="37"/>
      <c r="BC393" s="37"/>
      <c r="BD393" s="41"/>
      <c r="BE393" s="37"/>
      <c r="BF393" s="37"/>
      <c r="BG393" s="37"/>
      <c r="BH393" s="41"/>
    </row>
    <row r="394" spans="2:60" ht="25.15" customHeight="1" x14ac:dyDescent="0.25">
      <c r="B394" s="49">
        <v>390</v>
      </c>
      <c r="C394" s="37"/>
      <c r="D394" s="41"/>
      <c r="E394" s="40"/>
      <c r="F394" s="87" t="str">
        <f>IF(tbl_estimated_costs_quantities[[#This Row],[House Code]]&lt;&gt;"",INDEX(tbl_Assessment[],MATCH(tbl_estimated_costs_quantities[[#This Row],[House Code]],tbl_Assessment[House Code],0),3),"")</f>
        <v/>
      </c>
      <c r="G394" s="115" t="str">
        <f>IF(tbl_estimated_costs_quantities[[#This Row],[House Code]]&lt;&gt;"",INDEX(tbl_Assessment[],MATCH(tbl_estimated_costs_quantities[[#This Row],[House Code]],tbl_Assessment[House Code],0),9),"")</f>
        <v/>
      </c>
      <c r="H39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4" s="75"/>
      <c r="J394" s="37"/>
      <c r="K394" s="86">
        <f>tbl_estimated_costs_quantities[[#This Row],[Site Preparation]]*BOQs!$L$3</f>
        <v>0</v>
      </c>
      <c r="L394" s="76"/>
      <c r="M394" s="37"/>
      <c r="N394" s="86">
        <f>tbl_estimated_costs_quantities[[#This Row],[Demolition Removal Unsafe Structures]]*BOQs!$L$4</f>
        <v>0</v>
      </c>
      <c r="O394" s="76"/>
      <c r="P394" s="37"/>
      <c r="Q394" s="86">
        <f>tbl_estimated_costs_quantities[[#This Row],[Concrete Works]]*BOQs!$L$5</f>
        <v>0</v>
      </c>
      <c r="R394" s="76"/>
      <c r="S394" s="37"/>
      <c r="T394" s="86">
        <f>tbl_estimated_costs_quantities[[#This Row],[Closure External Openings Walls Windows]]*BOQs!$L$6</f>
        <v>0</v>
      </c>
      <c r="U394" s="76"/>
      <c r="V394" s="37"/>
      <c r="W394" s="86">
        <f>tbl_estimated_costs_quantities[[#This Row],[Plastering Painting]]*BOQs!$L$7</f>
        <v>0</v>
      </c>
      <c r="X394" s="76"/>
      <c r="Y394" s="37"/>
      <c r="Z394" s="86">
        <f>tbl_estimated_costs_quantities[[#This Row],[Floor Repairs]]*BOQs!$L$8</f>
        <v>0</v>
      </c>
      <c r="AA394" s="76"/>
      <c r="AB394" s="37"/>
      <c r="AC394" s="86">
        <f>tbl_estimated_costs_quantities[[#This Row],[Doors Replacement Repair]]*BOQs!$L$9</f>
        <v>0</v>
      </c>
      <c r="AD394" s="76"/>
      <c r="AE394" s="37"/>
      <c r="AF394" s="86">
        <f>tbl_estimated_costs_quantities[[#This Row],[Windows Replacement Repair]]*BOQs!$L$10</f>
        <v>0</v>
      </c>
      <c r="AG394" s="76"/>
      <c r="AH394" s="37"/>
      <c r="AI394" s="86">
        <f>tbl_estimated_costs_quantities[[#This Row],[Bathroom Rehabilitation]]*BOQs!$L$11</f>
        <v>0</v>
      </c>
      <c r="AJ394" s="76"/>
      <c r="AK394" s="37"/>
      <c r="AL394" s="86">
        <f>tbl_estimated_costs_quantities[[#This Row],[Ceramic Tile Works WASH]]*BOQs!$L$12</f>
        <v>0</v>
      </c>
      <c r="AM394" s="76"/>
      <c r="AN394" s="37"/>
      <c r="AO394" s="86">
        <f>tbl_estimated_costs_quantities[[#This Row],[Electrical Repairs Lighting]]*BOQs!$L$13</f>
        <v>0</v>
      </c>
      <c r="AP394" s="76"/>
      <c r="AQ394" s="37"/>
      <c r="AR394" s="86">
        <f>tbl_estimated_costs_quantities[[#This Row],[Roof Insulation Leak Sealing]]*BOQs!$L$14</f>
        <v>0</v>
      </c>
      <c r="AS394" s="76"/>
      <c r="AT394" s="37"/>
      <c r="AU394" s="86">
        <f>tbl_estimated_costs_quantities[[#This Row],[Chimney Duct Cleaning Repair]]*BOQs!$L$15</f>
        <v>0</v>
      </c>
      <c r="AV394" s="76"/>
      <c r="AW394" s="37"/>
      <c r="AX394" s="89">
        <f>tbl_estimated_costs_quantities[[#This Row],[Accessibility Adaptations]]*BOQs!$L$16</f>
        <v>0</v>
      </c>
      <c r="AY394" s="86" t="str">
        <f>IF(tbl_estimated_costs_quantities[[#This Row],[Total cost]]&lt;&gt;0,tbl_estimated_costs_quantities[[#This Row],[Total cost]]/BOQs!$A$1,"")</f>
        <v/>
      </c>
      <c r="AZ394" s="37"/>
      <c r="BA394" s="37"/>
      <c r="BB394" s="37"/>
      <c r="BC394" s="37"/>
      <c r="BD394" s="41"/>
      <c r="BE394" s="37"/>
      <c r="BF394" s="37"/>
      <c r="BG394" s="37"/>
      <c r="BH394" s="41"/>
    </row>
    <row r="395" spans="2:60" ht="25.15" customHeight="1" x14ac:dyDescent="0.25">
      <c r="B395" s="49">
        <v>391</v>
      </c>
      <c r="C395" s="37"/>
      <c r="D395" s="41"/>
      <c r="E395" s="40"/>
      <c r="F395" s="87" t="str">
        <f>IF(tbl_estimated_costs_quantities[[#This Row],[House Code]]&lt;&gt;"",INDEX(tbl_Assessment[],MATCH(tbl_estimated_costs_quantities[[#This Row],[House Code]],tbl_Assessment[House Code],0),3),"")</f>
        <v/>
      </c>
      <c r="G395" s="115" t="str">
        <f>IF(tbl_estimated_costs_quantities[[#This Row],[House Code]]&lt;&gt;"",INDEX(tbl_Assessment[],MATCH(tbl_estimated_costs_quantities[[#This Row],[House Code]],tbl_Assessment[House Code],0),9),"")</f>
        <v/>
      </c>
      <c r="H39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5" s="75"/>
      <c r="J395" s="37"/>
      <c r="K395" s="86">
        <f>tbl_estimated_costs_quantities[[#This Row],[Site Preparation]]*BOQs!$L$3</f>
        <v>0</v>
      </c>
      <c r="L395" s="76"/>
      <c r="M395" s="37"/>
      <c r="N395" s="86">
        <f>tbl_estimated_costs_quantities[[#This Row],[Demolition Removal Unsafe Structures]]*BOQs!$L$4</f>
        <v>0</v>
      </c>
      <c r="O395" s="76"/>
      <c r="P395" s="37"/>
      <c r="Q395" s="86">
        <f>tbl_estimated_costs_quantities[[#This Row],[Concrete Works]]*BOQs!$L$5</f>
        <v>0</v>
      </c>
      <c r="R395" s="76"/>
      <c r="S395" s="37"/>
      <c r="T395" s="86">
        <f>tbl_estimated_costs_quantities[[#This Row],[Closure External Openings Walls Windows]]*BOQs!$L$6</f>
        <v>0</v>
      </c>
      <c r="U395" s="76"/>
      <c r="V395" s="37"/>
      <c r="W395" s="86">
        <f>tbl_estimated_costs_quantities[[#This Row],[Plastering Painting]]*BOQs!$L$7</f>
        <v>0</v>
      </c>
      <c r="X395" s="76"/>
      <c r="Y395" s="37"/>
      <c r="Z395" s="86">
        <f>tbl_estimated_costs_quantities[[#This Row],[Floor Repairs]]*BOQs!$L$8</f>
        <v>0</v>
      </c>
      <c r="AA395" s="76"/>
      <c r="AB395" s="37"/>
      <c r="AC395" s="86">
        <f>tbl_estimated_costs_quantities[[#This Row],[Doors Replacement Repair]]*BOQs!$L$9</f>
        <v>0</v>
      </c>
      <c r="AD395" s="76"/>
      <c r="AE395" s="37"/>
      <c r="AF395" s="86">
        <f>tbl_estimated_costs_quantities[[#This Row],[Windows Replacement Repair]]*BOQs!$L$10</f>
        <v>0</v>
      </c>
      <c r="AG395" s="76"/>
      <c r="AH395" s="37"/>
      <c r="AI395" s="86">
        <f>tbl_estimated_costs_quantities[[#This Row],[Bathroom Rehabilitation]]*BOQs!$L$11</f>
        <v>0</v>
      </c>
      <c r="AJ395" s="76"/>
      <c r="AK395" s="37"/>
      <c r="AL395" s="86">
        <f>tbl_estimated_costs_quantities[[#This Row],[Ceramic Tile Works WASH]]*BOQs!$L$12</f>
        <v>0</v>
      </c>
      <c r="AM395" s="76"/>
      <c r="AN395" s="37"/>
      <c r="AO395" s="86">
        <f>tbl_estimated_costs_quantities[[#This Row],[Electrical Repairs Lighting]]*BOQs!$L$13</f>
        <v>0</v>
      </c>
      <c r="AP395" s="76"/>
      <c r="AQ395" s="37"/>
      <c r="AR395" s="86">
        <f>tbl_estimated_costs_quantities[[#This Row],[Roof Insulation Leak Sealing]]*BOQs!$L$14</f>
        <v>0</v>
      </c>
      <c r="AS395" s="76"/>
      <c r="AT395" s="37"/>
      <c r="AU395" s="86">
        <f>tbl_estimated_costs_quantities[[#This Row],[Chimney Duct Cleaning Repair]]*BOQs!$L$15</f>
        <v>0</v>
      </c>
      <c r="AV395" s="76"/>
      <c r="AW395" s="37"/>
      <c r="AX395" s="89">
        <f>tbl_estimated_costs_quantities[[#This Row],[Accessibility Adaptations]]*BOQs!$L$16</f>
        <v>0</v>
      </c>
      <c r="AY395" s="86" t="str">
        <f>IF(tbl_estimated_costs_quantities[[#This Row],[Total cost]]&lt;&gt;0,tbl_estimated_costs_quantities[[#This Row],[Total cost]]/BOQs!$A$1,"")</f>
        <v/>
      </c>
      <c r="AZ395" s="37"/>
      <c r="BA395" s="37"/>
      <c r="BB395" s="37"/>
      <c r="BC395" s="37"/>
      <c r="BD395" s="41"/>
      <c r="BE395" s="37"/>
      <c r="BF395" s="37"/>
      <c r="BG395" s="37"/>
      <c r="BH395" s="41"/>
    </row>
    <row r="396" spans="2:60" ht="25.15" customHeight="1" x14ac:dyDescent="0.25">
      <c r="B396" s="49">
        <v>392</v>
      </c>
      <c r="C396" s="37"/>
      <c r="D396" s="41"/>
      <c r="E396" s="40"/>
      <c r="F396" s="87" t="str">
        <f>IF(tbl_estimated_costs_quantities[[#This Row],[House Code]]&lt;&gt;"",INDEX(tbl_Assessment[],MATCH(tbl_estimated_costs_quantities[[#This Row],[House Code]],tbl_Assessment[House Code],0),3),"")</f>
        <v/>
      </c>
      <c r="G396" s="115" t="str">
        <f>IF(tbl_estimated_costs_quantities[[#This Row],[House Code]]&lt;&gt;"",INDEX(tbl_Assessment[],MATCH(tbl_estimated_costs_quantities[[#This Row],[House Code]],tbl_Assessment[House Code],0),9),"")</f>
        <v/>
      </c>
      <c r="H39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6" s="75"/>
      <c r="J396" s="37"/>
      <c r="K396" s="86">
        <f>tbl_estimated_costs_quantities[[#This Row],[Site Preparation]]*BOQs!$L$3</f>
        <v>0</v>
      </c>
      <c r="L396" s="76"/>
      <c r="M396" s="37"/>
      <c r="N396" s="86">
        <f>tbl_estimated_costs_quantities[[#This Row],[Demolition Removal Unsafe Structures]]*BOQs!$L$4</f>
        <v>0</v>
      </c>
      <c r="O396" s="76"/>
      <c r="P396" s="37"/>
      <c r="Q396" s="86">
        <f>tbl_estimated_costs_quantities[[#This Row],[Concrete Works]]*BOQs!$L$5</f>
        <v>0</v>
      </c>
      <c r="R396" s="76"/>
      <c r="S396" s="37"/>
      <c r="T396" s="86">
        <f>tbl_estimated_costs_quantities[[#This Row],[Closure External Openings Walls Windows]]*BOQs!$L$6</f>
        <v>0</v>
      </c>
      <c r="U396" s="76"/>
      <c r="V396" s="37"/>
      <c r="W396" s="86">
        <f>tbl_estimated_costs_quantities[[#This Row],[Plastering Painting]]*BOQs!$L$7</f>
        <v>0</v>
      </c>
      <c r="X396" s="76"/>
      <c r="Y396" s="37"/>
      <c r="Z396" s="86">
        <f>tbl_estimated_costs_quantities[[#This Row],[Floor Repairs]]*BOQs!$L$8</f>
        <v>0</v>
      </c>
      <c r="AA396" s="76"/>
      <c r="AB396" s="37"/>
      <c r="AC396" s="86">
        <f>tbl_estimated_costs_quantities[[#This Row],[Doors Replacement Repair]]*BOQs!$L$9</f>
        <v>0</v>
      </c>
      <c r="AD396" s="76"/>
      <c r="AE396" s="37"/>
      <c r="AF396" s="86">
        <f>tbl_estimated_costs_quantities[[#This Row],[Windows Replacement Repair]]*BOQs!$L$10</f>
        <v>0</v>
      </c>
      <c r="AG396" s="76"/>
      <c r="AH396" s="37"/>
      <c r="AI396" s="86">
        <f>tbl_estimated_costs_quantities[[#This Row],[Bathroom Rehabilitation]]*BOQs!$L$11</f>
        <v>0</v>
      </c>
      <c r="AJ396" s="76"/>
      <c r="AK396" s="37"/>
      <c r="AL396" s="86">
        <f>tbl_estimated_costs_quantities[[#This Row],[Ceramic Tile Works WASH]]*BOQs!$L$12</f>
        <v>0</v>
      </c>
      <c r="AM396" s="76"/>
      <c r="AN396" s="37"/>
      <c r="AO396" s="86">
        <f>tbl_estimated_costs_quantities[[#This Row],[Electrical Repairs Lighting]]*BOQs!$L$13</f>
        <v>0</v>
      </c>
      <c r="AP396" s="76"/>
      <c r="AQ396" s="37"/>
      <c r="AR396" s="86">
        <f>tbl_estimated_costs_quantities[[#This Row],[Roof Insulation Leak Sealing]]*BOQs!$L$14</f>
        <v>0</v>
      </c>
      <c r="AS396" s="76"/>
      <c r="AT396" s="37"/>
      <c r="AU396" s="86">
        <f>tbl_estimated_costs_quantities[[#This Row],[Chimney Duct Cleaning Repair]]*BOQs!$L$15</f>
        <v>0</v>
      </c>
      <c r="AV396" s="76"/>
      <c r="AW396" s="37"/>
      <c r="AX396" s="89">
        <f>tbl_estimated_costs_quantities[[#This Row],[Accessibility Adaptations]]*BOQs!$L$16</f>
        <v>0</v>
      </c>
      <c r="AY396" s="86" t="str">
        <f>IF(tbl_estimated_costs_quantities[[#This Row],[Total cost]]&lt;&gt;0,tbl_estimated_costs_quantities[[#This Row],[Total cost]]/BOQs!$A$1,"")</f>
        <v/>
      </c>
      <c r="AZ396" s="37"/>
      <c r="BA396" s="37"/>
      <c r="BB396" s="37"/>
      <c r="BC396" s="37"/>
      <c r="BD396" s="41"/>
      <c r="BE396" s="37"/>
      <c r="BF396" s="37"/>
      <c r="BG396" s="37"/>
      <c r="BH396" s="41"/>
    </row>
    <row r="397" spans="2:60" ht="25.15" customHeight="1" x14ac:dyDescent="0.25">
      <c r="B397" s="49">
        <v>393</v>
      </c>
      <c r="C397" s="37"/>
      <c r="D397" s="41"/>
      <c r="E397" s="40"/>
      <c r="F397" s="87" t="str">
        <f>IF(tbl_estimated_costs_quantities[[#This Row],[House Code]]&lt;&gt;"",INDEX(tbl_Assessment[],MATCH(tbl_estimated_costs_quantities[[#This Row],[House Code]],tbl_Assessment[House Code],0),3),"")</f>
        <v/>
      </c>
      <c r="G397" s="115" t="str">
        <f>IF(tbl_estimated_costs_quantities[[#This Row],[House Code]]&lt;&gt;"",INDEX(tbl_Assessment[],MATCH(tbl_estimated_costs_quantities[[#This Row],[House Code]],tbl_Assessment[House Code],0),9),"")</f>
        <v/>
      </c>
      <c r="H39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7" s="75"/>
      <c r="J397" s="37"/>
      <c r="K397" s="86">
        <f>tbl_estimated_costs_quantities[[#This Row],[Site Preparation]]*BOQs!$L$3</f>
        <v>0</v>
      </c>
      <c r="L397" s="76"/>
      <c r="M397" s="37"/>
      <c r="N397" s="86">
        <f>tbl_estimated_costs_quantities[[#This Row],[Demolition Removal Unsafe Structures]]*BOQs!$L$4</f>
        <v>0</v>
      </c>
      <c r="O397" s="76"/>
      <c r="P397" s="37"/>
      <c r="Q397" s="86">
        <f>tbl_estimated_costs_quantities[[#This Row],[Concrete Works]]*BOQs!$L$5</f>
        <v>0</v>
      </c>
      <c r="R397" s="76"/>
      <c r="S397" s="37"/>
      <c r="T397" s="86">
        <f>tbl_estimated_costs_quantities[[#This Row],[Closure External Openings Walls Windows]]*BOQs!$L$6</f>
        <v>0</v>
      </c>
      <c r="U397" s="76"/>
      <c r="V397" s="37"/>
      <c r="W397" s="86">
        <f>tbl_estimated_costs_quantities[[#This Row],[Plastering Painting]]*BOQs!$L$7</f>
        <v>0</v>
      </c>
      <c r="X397" s="76"/>
      <c r="Y397" s="37"/>
      <c r="Z397" s="86">
        <f>tbl_estimated_costs_quantities[[#This Row],[Floor Repairs]]*BOQs!$L$8</f>
        <v>0</v>
      </c>
      <c r="AA397" s="76"/>
      <c r="AB397" s="37"/>
      <c r="AC397" s="86">
        <f>tbl_estimated_costs_quantities[[#This Row],[Doors Replacement Repair]]*BOQs!$L$9</f>
        <v>0</v>
      </c>
      <c r="AD397" s="76"/>
      <c r="AE397" s="37"/>
      <c r="AF397" s="86">
        <f>tbl_estimated_costs_quantities[[#This Row],[Windows Replacement Repair]]*BOQs!$L$10</f>
        <v>0</v>
      </c>
      <c r="AG397" s="76"/>
      <c r="AH397" s="37"/>
      <c r="AI397" s="86">
        <f>tbl_estimated_costs_quantities[[#This Row],[Bathroom Rehabilitation]]*BOQs!$L$11</f>
        <v>0</v>
      </c>
      <c r="AJ397" s="76"/>
      <c r="AK397" s="37"/>
      <c r="AL397" s="86">
        <f>tbl_estimated_costs_quantities[[#This Row],[Ceramic Tile Works WASH]]*BOQs!$L$12</f>
        <v>0</v>
      </c>
      <c r="AM397" s="76"/>
      <c r="AN397" s="37"/>
      <c r="AO397" s="86">
        <f>tbl_estimated_costs_quantities[[#This Row],[Electrical Repairs Lighting]]*BOQs!$L$13</f>
        <v>0</v>
      </c>
      <c r="AP397" s="76"/>
      <c r="AQ397" s="37"/>
      <c r="AR397" s="86">
        <f>tbl_estimated_costs_quantities[[#This Row],[Roof Insulation Leak Sealing]]*BOQs!$L$14</f>
        <v>0</v>
      </c>
      <c r="AS397" s="76"/>
      <c r="AT397" s="37"/>
      <c r="AU397" s="86">
        <f>tbl_estimated_costs_quantities[[#This Row],[Chimney Duct Cleaning Repair]]*BOQs!$L$15</f>
        <v>0</v>
      </c>
      <c r="AV397" s="76"/>
      <c r="AW397" s="37"/>
      <c r="AX397" s="89">
        <f>tbl_estimated_costs_quantities[[#This Row],[Accessibility Adaptations]]*BOQs!$L$16</f>
        <v>0</v>
      </c>
      <c r="AY397" s="86" t="str">
        <f>IF(tbl_estimated_costs_quantities[[#This Row],[Total cost]]&lt;&gt;0,tbl_estimated_costs_quantities[[#This Row],[Total cost]]/BOQs!$A$1,"")</f>
        <v/>
      </c>
      <c r="AZ397" s="37"/>
      <c r="BA397" s="37"/>
      <c r="BB397" s="37"/>
      <c r="BC397" s="37"/>
      <c r="BD397" s="41"/>
      <c r="BE397" s="37"/>
      <c r="BF397" s="37"/>
      <c r="BG397" s="37"/>
      <c r="BH397" s="41"/>
    </row>
    <row r="398" spans="2:60" ht="25.15" customHeight="1" x14ac:dyDescent="0.25">
      <c r="B398" s="49">
        <v>394</v>
      </c>
      <c r="C398" s="37"/>
      <c r="D398" s="41"/>
      <c r="E398" s="40"/>
      <c r="F398" s="87" t="str">
        <f>IF(tbl_estimated_costs_quantities[[#This Row],[House Code]]&lt;&gt;"",INDEX(tbl_Assessment[],MATCH(tbl_estimated_costs_quantities[[#This Row],[House Code]],tbl_Assessment[House Code],0),3),"")</f>
        <v/>
      </c>
      <c r="G398" s="115" t="str">
        <f>IF(tbl_estimated_costs_quantities[[#This Row],[House Code]]&lt;&gt;"",INDEX(tbl_Assessment[],MATCH(tbl_estimated_costs_quantities[[#This Row],[House Code]],tbl_Assessment[House Code],0),9),"")</f>
        <v/>
      </c>
      <c r="H39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8" s="75"/>
      <c r="J398" s="37"/>
      <c r="K398" s="86">
        <f>tbl_estimated_costs_quantities[[#This Row],[Site Preparation]]*BOQs!$L$3</f>
        <v>0</v>
      </c>
      <c r="L398" s="76"/>
      <c r="M398" s="37"/>
      <c r="N398" s="86">
        <f>tbl_estimated_costs_quantities[[#This Row],[Demolition Removal Unsafe Structures]]*BOQs!$L$4</f>
        <v>0</v>
      </c>
      <c r="O398" s="76"/>
      <c r="P398" s="37"/>
      <c r="Q398" s="86">
        <f>tbl_estimated_costs_quantities[[#This Row],[Concrete Works]]*BOQs!$L$5</f>
        <v>0</v>
      </c>
      <c r="R398" s="76"/>
      <c r="S398" s="37"/>
      <c r="T398" s="86">
        <f>tbl_estimated_costs_quantities[[#This Row],[Closure External Openings Walls Windows]]*BOQs!$L$6</f>
        <v>0</v>
      </c>
      <c r="U398" s="76"/>
      <c r="V398" s="37"/>
      <c r="W398" s="86">
        <f>tbl_estimated_costs_quantities[[#This Row],[Plastering Painting]]*BOQs!$L$7</f>
        <v>0</v>
      </c>
      <c r="X398" s="76"/>
      <c r="Y398" s="37"/>
      <c r="Z398" s="86">
        <f>tbl_estimated_costs_quantities[[#This Row],[Floor Repairs]]*BOQs!$L$8</f>
        <v>0</v>
      </c>
      <c r="AA398" s="76"/>
      <c r="AB398" s="37"/>
      <c r="AC398" s="86">
        <f>tbl_estimated_costs_quantities[[#This Row],[Doors Replacement Repair]]*BOQs!$L$9</f>
        <v>0</v>
      </c>
      <c r="AD398" s="76"/>
      <c r="AE398" s="37"/>
      <c r="AF398" s="86">
        <f>tbl_estimated_costs_quantities[[#This Row],[Windows Replacement Repair]]*BOQs!$L$10</f>
        <v>0</v>
      </c>
      <c r="AG398" s="76"/>
      <c r="AH398" s="37"/>
      <c r="AI398" s="86">
        <f>tbl_estimated_costs_quantities[[#This Row],[Bathroom Rehabilitation]]*BOQs!$L$11</f>
        <v>0</v>
      </c>
      <c r="AJ398" s="76"/>
      <c r="AK398" s="37"/>
      <c r="AL398" s="86">
        <f>tbl_estimated_costs_quantities[[#This Row],[Ceramic Tile Works WASH]]*BOQs!$L$12</f>
        <v>0</v>
      </c>
      <c r="AM398" s="76"/>
      <c r="AN398" s="37"/>
      <c r="AO398" s="86">
        <f>tbl_estimated_costs_quantities[[#This Row],[Electrical Repairs Lighting]]*BOQs!$L$13</f>
        <v>0</v>
      </c>
      <c r="AP398" s="76"/>
      <c r="AQ398" s="37"/>
      <c r="AR398" s="86">
        <f>tbl_estimated_costs_quantities[[#This Row],[Roof Insulation Leak Sealing]]*BOQs!$L$14</f>
        <v>0</v>
      </c>
      <c r="AS398" s="76"/>
      <c r="AT398" s="37"/>
      <c r="AU398" s="86">
        <f>tbl_estimated_costs_quantities[[#This Row],[Chimney Duct Cleaning Repair]]*BOQs!$L$15</f>
        <v>0</v>
      </c>
      <c r="AV398" s="76"/>
      <c r="AW398" s="37"/>
      <c r="AX398" s="89">
        <f>tbl_estimated_costs_quantities[[#This Row],[Accessibility Adaptations]]*BOQs!$L$16</f>
        <v>0</v>
      </c>
      <c r="AY398" s="86" t="str">
        <f>IF(tbl_estimated_costs_quantities[[#This Row],[Total cost]]&lt;&gt;0,tbl_estimated_costs_quantities[[#This Row],[Total cost]]/BOQs!$A$1,"")</f>
        <v/>
      </c>
      <c r="AZ398" s="37"/>
      <c r="BA398" s="37"/>
      <c r="BB398" s="37"/>
      <c r="BC398" s="37"/>
      <c r="BD398" s="41"/>
      <c r="BE398" s="37"/>
      <c r="BF398" s="37"/>
      <c r="BG398" s="37"/>
      <c r="BH398" s="41"/>
    </row>
    <row r="399" spans="2:60" ht="25.15" customHeight="1" x14ac:dyDescent="0.25">
      <c r="B399" s="49">
        <v>395</v>
      </c>
      <c r="C399" s="37"/>
      <c r="D399" s="41"/>
      <c r="E399" s="40"/>
      <c r="F399" s="87" t="str">
        <f>IF(tbl_estimated_costs_quantities[[#This Row],[House Code]]&lt;&gt;"",INDEX(tbl_Assessment[],MATCH(tbl_estimated_costs_quantities[[#This Row],[House Code]],tbl_Assessment[House Code],0),3),"")</f>
        <v/>
      </c>
      <c r="G399" s="115" t="str">
        <f>IF(tbl_estimated_costs_quantities[[#This Row],[House Code]]&lt;&gt;"",INDEX(tbl_Assessment[],MATCH(tbl_estimated_costs_quantities[[#This Row],[House Code]],tbl_Assessment[House Code],0),9),"")</f>
        <v/>
      </c>
      <c r="H39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399" s="75"/>
      <c r="J399" s="37"/>
      <c r="K399" s="86">
        <f>tbl_estimated_costs_quantities[[#This Row],[Site Preparation]]*BOQs!$L$3</f>
        <v>0</v>
      </c>
      <c r="L399" s="76"/>
      <c r="M399" s="37"/>
      <c r="N399" s="86">
        <f>tbl_estimated_costs_quantities[[#This Row],[Demolition Removal Unsafe Structures]]*BOQs!$L$4</f>
        <v>0</v>
      </c>
      <c r="O399" s="76"/>
      <c r="P399" s="37"/>
      <c r="Q399" s="86">
        <f>tbl_estimated_costs_quantities[[#This Row],[Concrete Works]]*BOQs!$L$5</f>
        <v>0</v>
      </c>
      <c r="R399" s="76"/>
      <c r="S399" s="37"/>
      <c r="T399" s="86">
        <f>tbl_estimated_costs_quantities[[#This Row],[Closure External Openings Walls Windows]]*BOQs!$L$6</f>
        <v>0</v>
      </c>
      <c r="U399" s="76"/>
      <c r="V399" s="37"/>
      <c r="W399" s="86">
        <f>tbl_estimated_costs_quantities[[#This Row],[Plastering Painting]]*BOQs!$L$7</f>
        <v>0</v>
      </c>
      <c r="X399" s="76"/>
      <c r="Y399" s="37"/>
      <c r="Z399" s="86">
        <f>tbl_estimated_costs_quantities[[#This Row],[Floor Repairs]]*BOQs!$L$8</f>
        <v>0</v>
      </c>
      <c r="AA399" s="76"/>
      <c r="AB399" s="37"/>
      <c r="AC399" s="86">
        <f>tbl_estimated_costs_quantities[[#This Row],[Doors Replacement Repair]]*BOQs!$L$9</f>
        <v>0</v>
      </c>
      <c r="AD399" s="76"/>
      <c r="AE399" s="37"/>
      <c r="AF399" s="86">
        <f>tbl_estimated_costs_quantities[[#This Row],[Windows Replacement Repair]]*BOQs!$L$10</f>
        <v>0</v>
      </c>
      <c r="AG399" s="76"/>
      <c r="AH399" s="37"/>
      <c r="AI399" s="86">
        <f>tbl_estimated_costs_quantities[[#This Row],[Bathroom Rehabilitation]]*BOQs!$L$11</f>
        <v>0</v>
      </c>
      <c r="AJ399" s="76"/>
      <c r="AK399" s="37"/>
      <c r="AL399" s="86">
        <f>tbl_estimated_costs_quantities[[#This Row],[Ceramic Tile Works WASH]]*BOQs!$L$12</f>
        <v>0</v>
      </c>
      <c r="AM399" s="76"/>
      <c r="AN399" s="37"/>
      <c r="AO399" s="86">
        <f>tbl_estimated_costs_quantities[[#This Row],[Electrical Repairs Lighting]]*BOQs!$L$13</f>
        <v>0</v>
      </c>
      <c r="AP399" s="76"/>
      <c r="AQ399" s="37"/>
      <c r="AR399" s="86">
        <f>tbl_estimated_costs_quantities[[#This Row],[Roof Insulation Leak Sealing]]*BOQs!$L$14</f>
        <v>0</v>
      </c>
      <c r="AS399" s="76"/>
      <c r="AT399" s="37"/>
      <c r="AU399" s="86">
        <f>tbl_estimated_costs_quantities[[#This Row],[Chimney Duct Cleaning Repair]]*BOQs!$L$15</f>
        <v>0</v>
      </c>
      <c r="AV399" s="76"/>
      <c r="AW399" s="37"/>
      <c r="AX399" s="89">
        <f>tbl_estimated_costs_quantities[[#This Row],[Accessibility Adaptations]]*BOQs!$L$16</f>
        <v>0</v>
      </c>
      <c r="AY399" s="86" t="str">
        <f>IF(tbl_estimated_costs_quantities[[#This Row],[Total cost]]&lt;&gt;0,tbl_estimated_costs_quantities[[#This Row],[Total cost]]/BOQs!$A$1,"")</f>
        <v/>
      </c>
      <c r="AZ399" s="37"/>
      <c r="BA399" s="37"/>
      <c r="BB399" s="37"/>
      <c r="BC399" s="37"/>
      <c r="BD399" s="41"/>
      <c r="BE399" s="37"/>
      <c r="BF399" s="37"/>
      <c r="BG399" s="37"/>
      <c r="BH399" s="41"/>
    </row>
    <row r="400" spans="2:60" ht="25.15" customHeight="1" x14ac:dyDescent="0.25">
      <c r="B400" s="49">
        <v>396</v>
      </c>
      <c r="C400" s="37"/>
      <c r="D400" s="41"/>
      <c r="E400" s="40"/>
      <c r="F400" s="87" t="str">
        <f>IF(tbl_estimated_costs_quantities[[#This Row],[House Code]]&lt;&gt;"",INDEX(tbl_Assessment[],MATCH(tbl_estimated_costs_quantities[[#This Row],[House Code]],tbl_Assessment[House Code],0),3),"")</f>
        <v/>
      </c>
      <c r="G400" s="115" t="str">
        <f>IF(tbl_estimated_costs_quantities[[#This Row],[House Code]]&lt;&gt;"",INDEX(tbl_Assessment[],MATCH(tbl_estimated_costs_quantities[[#This Row],[House Code]],tbl_Assessment[House Code],0),9),"")</f>
        <v/>
      </c>
      <c r="H40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0" s="75"/>
      <c r="J400" s="37"/>
      <c r="K400" s="86">
        <f>tbl_estimated_costs_quantities[[#This Row],[Site Preparation]]*BOQs!$L$3</f>
        <v>0</v>
      </c>
      <c r="L400" s="76"/>
      <c r="M400" s="37"/>
      <c r="N400" s="86">
        <f>tbl_estimated_costs_quantities[[#This Row],[Demolition Removal Unsafe Structures]]*BOQs!$L$4</f>
        <v>0</v>
      </c>
      <c r="O400" s="76"/>
      <c r="P400" s="37"/>
      <c r="Q400" s="86">
        <f>tbl_estimated_costs_quantities[[#This Row],[Concrete Works]]*BOQs!$L$5</f>
        <v>0</v>
      </c>
      <c r="R400" s="76"/>
      <c r="S400" s="37"/>
      <c r="T400" s="86">
        <f>tbl_estimated_costs_quantities[[#This Row],[Closure External Openings Walls Windows]]*BOQs!$L$6</f>
        <v>0</v>
      </c>
      <c r="U400" s="76"/>
      <c r="V400" s="37"/>
      <c r="W400" s="86">
        <f>tbl_estimated_costs_quantities[[#This Row],[Plastering Painting]]*BOQs!$L$7</f>
        <v>0</v>
      </c>
      <c r="X400" s="76"/>
      <c r="Y400" s="37"/>
      <c r="Z400" s="86">
        <f>tbl_estimated_costs_quantities[[#This Row],[Floor Repairs]]*BOQs!$L$8</f>
        <v>0</v>
      </c>
      <c r="AA400" s="76"/>
      <c r="AB400" s="37"/>
      <c r="AC400" s="86">
        <f>tbl_estimated_costs_quantities[[#This Row],[Doors Replacement Repair]]*BOQs!$L$9</f>
        <v>0</v>
      </c>
      <c r="AD400" s="76"/>
      <c r="AE400" s="37"/>
      <c r="AF400" s="86">
        <f>tbl_estimated_costs_quantities[[#This Row],[Windows Replacement Repair]]*BOQs!$L$10</f>
        <v>0</v>
      </c>
      <c r="AG400" s="76"/>
      <c r="AH400" s="37"/>
      <c r="AI400" s="86">
        <f>tbl_estimated_costs_quantities[[#This Row],[Bathroom Rehabilitation]]*BOQs!$L$11</f>
        <v>0</v>
      </c>
      <c r="AJ400" s="76"/>
      <c r="AK400" s="37"/>
      <c r="AL400" s="86">
        <f>tbl_estimated_costs_quantities[[#This Row],[Ceramic Tile Works WASH]]*BOQs!$L$12</f>
        <v>0</v>
      </c>
      <c r="AM400" s="76"/>
      <c r="AN400" s="37"/>
      <c r="AO400" s="86">
        <f>tbl_estimated_costs_quantities[[#This Row],[Electrical Repairs Lighting]]*BOQs!$L$13</f>
        <v>0</v>
      </c>
      <c r="AP400" s="76"/>
      <c r="AQ400" s="37"/>
      <c r="AR400" s="86">
        <f>tbl_estimated_costs_quantities[[#This Row],[Roof Insulation Leak Sealing]]*BOQs!$L$14</f>
        <v>0</v>
      </c>
      <c r="AS400" s="76"/>
      <c r="AT400" s="37"/>
      <c r="AU400" s="86">
        <f>tbl_estimated_costs_quantities[[#This Row],[Chimney Duct Cleaning Repair]]*BOQs!$L$15</f>
        <v>0</v>
      </c>
      <c r="AV400" s="76"/>
      <c r="AW400" s="37"/>
      <c r="AX400" s="89">
        <f>tbl_estimated_costs_quantities[[#This Row],[Accessibility Adaptations]]*BOQs!$L$16</f>
        <v>0</v>
      </c>
      <c r="AY400" s="86" t="str">
        <f>IF(tbl_estimated_costs_quantities[[#This Row],[Total cost]]&lt;&gt;0,tbl_estimated_costs_quantities[[#This Row],[Total cost]]/BOQs!$A$1,"")</f>
        <v/>
      </c>
      <c r="AZ400" s="37"/>
      <c r="BA400" s="37"/>
      <c r="BB400" s="37"/>
      <c r="BC400" s="37"/>
      <c r="BD400" s="41"/>
      <c r="BE400" s="37"/>
      <c r="BF400" s="37"/>
      <c r="BG400" s="37"/>
      <c r="BH400" s="41"/>
    </row>
    <row r="401" spans="2:60" ht="25.15" customHeight="1" x14ac:dyDescent="0.25">
      <c r="B401" s="49">
        <v>397</v>
      </c>
      <c r="C401" s="37"/>
      <c r="D401" s="41"/>
      <c r="E401" s="40"/>
      <c r="F401" s="87" t="str">
        <f>IF(tbl_estimated_costs_quantities[[#This Row],[House Code]]&lt;&gt;"",INDEX(tbl_Assessment[],MATCH(tbl_estimated_costs_quantities[[#This Row],[House Code]],tbl_Assessment[House Code],0),3),"")</f>
        <v/>
      </c>
      <c r="G401" s="115" t="str">
        <f>IF(tbl_estimated_costs_quantities[[#This Row],[House Code]]&lt;&gt;"",INDEX(tbl_Assessment[],MATCH(tbl_estimated_costs_quantities[[#This Row],[House Code]],tbl_Assessment[House Code],0),9),"")</f>
        <v/>
      </c>
      <c r="H40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1" s="75"/>
      <c r="J401" s="37"/>
      <c r="K401" s="86">
        <f>tbl_estimated_costs_quantities[[#This Row],[Site Preparation]]*BOQs!$L$3</f>
        <v>0</v>
      </c>
      <c r="L401" s="76"/>
      <c r="M401" s="37"/>
      <c r="N401" s="86">
        <f>tbl_estimated_costs_quantities[[#This Row],[Demolition Removal Unsafe Structures]]*BOQs!$L$4</f>
        <v>0</v>
      </c>
      <c r="O401" s="76"/>
      <c r="P401" s="37"/>
      <c r="Q401" s="86">
        <f>tbl_estimated_costs_quantities[[#This Row],[Concrete Works]]*BOQs!$L$5</f>
        <v>0</v>
      </c>
      <c r="R401" s="76"/>
      <c r="S401" s="37"/>
      <c r="T401" s="86">
        <f>tbl_estimated_costs_quantities[[#This Row],[Closure External Openings Walls Windows]]*BOQs!$L$6</f>
        <v>0</v>
      </c>
      <c r="U401" s="76"/>
      <c r="V401" s="37"/>
      <c r="W401" s="86">
        <f>tbl_estimated_costs_quantities[[#This Row],[Plastering Painting]]*BOQs!$L$7</f>
        <v>0</v>
      </c>
      <c r="X401" s="76"/>
      <c r="Y401" s="37"/>
      <c r="Z401" s="86">
        <f>tbl_estimated_costs_quantities[[#This Row],[Floor Repairs]]*BOQs!$L$8</f>
        <v>0</v>
      </c>
      <c r="AA401" s="76"/>
      <c r="AB401" s="37"/>
      <c r="AC401" s="86">
        <f>tbl_estimated_costs_quantities[[#This Row],[Doors Replacement Repair]]*BOQs!$L$9</f>
        <v>0</v>
      </c>
      <c r="AD401" s="76"/>
      <c r="AE401" s="37"/>
      <c r="AF401" s="86">
        <f>tbl_estimated_costs_quantities[[#This Row],[Windows Replacement Repair]]*BOQs!$L$10</f>
        <v>0</v>
      </c>
      <c r="AG401" s="76"/>
      <c r="AH401" s="37"/>
      <c r="AI401" s="86">
        <f>tbl_estimated_costs_quantities[[#This Row],[Bathroom Rehabilitation]]*BOQs!$L$11</f>
        <v>0</v>
      </c>
      <c r="AJ401" s="76"/>
      <c r="AK401" s="37"/>
      <c r="AL401" s="86">
        <f>tbl_estimated_costs_quantities[[#This Row],[Ceramic Tile Works WASH]]*BOQs!$L$12</f>
        <v>0</v>
      </c>
      <c r="AM401" s="76"/>
      <c r="AN401" s="37"/>
      <c r="AO401" s="86">
        <f>tbl_estimated_costs_quantities[[#This Row],[Electrical Repairs Lighting]]*BOQs!$L$13</f>
        <v>0</v>
      </c>
      <c r="AP401" s="76"/>
      <c r="AQ401" s="37"/>
      <c r="AR401" s="86">
        <f>tbl_estimated_costs_quantities[[#This Row],[Roof Insulation Leak Sealing]]*BOQs!$L$14</f>
        <v>0</v>
      </c>
      <c r="AS401" s="76"/>
      <c r="AT401" s="37"/>
      <c r="AU401" s="86">
        <f>tbl_estimated_costs_quantities[[#This Row],[Chimney Duct Cleaning Repair]]*BOQs!$L$15</f>
        <v>0</v>
      </c>
      <c r="AV401" s="76"/>
      <c r="AW401" s="37"/>
      <c r="AX401" s="89">
        <f>tbl_estimated_costs_quantities[[#This Row],[Accessibility Adaptations]]*BOQs!$L$16</f>
        <v>0</v>
      </c>
      <c r="AY401" s="86" t="str">
        <f>IF(tbl_estimated_costs_quantities[[#This Row],[Total cost]]&lt;&gt;0,tbl_estimated_costs_quantities[[#This Row],[Total cost]]/BOQs!$A$1,"")</f>
        <v/>
      </c>
      <c r="AZ401" s="37"/>
      <c r="BA401" s="37"/>
      <c r="BB401" s="37"/>
      <c r="BC401" s="37"/>
      <c r="BD401" s="41"/>
      <c r="BE401" s="37"/>
      <c r="BF401" s="37"/>
      <c r="BG401" s="37"/>
      <c r="BH401" s="41"/>
    </row>
    <row r="402" spans="2:60" ht="25.15" customHeight="1" x14ac:dyDescent="0.25">
      <c r="B402" s="49">
        <v>398</v>
      </c>
      <c r="C402" s="37"/>
      <c r="D402" s="41"/>
      <c r="E402" s="40"/>
      <c r="F402" s="87" t="str">
        <f>IF(tbl_estimated_costs_quantities[[#This Row],[House Code]]&lt;&gt;"",INDEX(tbl_Assessment[],MATCH(tbl_estimated_costs_quantities[[#This Row],[House Code]],tbl_Assessment[House Code],0),3),"")</f>
        <v/>
      </c>
      <c r="G402" s="115" t="str">
        <f>IF(tbl_estimated_costs_quantities[[#This Row],[House Code]]&lt;&gt;"",INDEX(tbl_Assessment[],MATCH(tbl_estimated_costs_quantities[[#This Row],[House Code]],tbl_Assessment[House Code],0),9),"")</f>
        <v/>
      </c>
      <c r="H40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2" s="75"/>
      <c r="J402" s="37"/>
      <c r="K402" s="86">
        <f>tbl_estimated_costs_quantities[[#This Row],[Site Preparation]]*BOQs!$L$3</f>
        <v>0</v>
      </c>
      <c r="L402" s="76"/>
      <c r="M402" s="37"/>
      <c r="N402" s="86">
        <f>tbl_estimated_costs_quantities[[#This Row],[Demolition Removal Unsafe Structures]]*BOQs!$L$4</f>
        <v>0</v>
      </c>
      <c r="O402" s="76"/>
      <c r="P402" s="37"/>
      <c r="Q402" s="86">
        <f>tbl_estimated_costs_quantities[[#This Row],[Concrete Works]]*BOQs!$L$5</f>
        <v>0</v>
      </c>
      <c r="R402" s="76"/>
      <c r="S402" s="37"/>
      <c r="T402" s="86">
        <f>tbl_estimated_costs_quantities[[#This Row],[Closure External Openings Walls Windows]]*BOQs!$L$6</f>
        <v>0</v>
      </c>
      <c r="U402" s="76"/>
      <c r="V402" s="37"/>
      <c r="W402" s="86">
        <f>tbl_estimated_costs_quantities[[#This Row],[Plastering Painting]]*BOQs!$L$7</f>
        <v>0</v>
      </c>
      <c r="X402" s="76"/>
      <c r="Y402" s="37"/>
      <c r="Z402" s="86">
        <f>tbl_estimated_costs_quantities[[#This Row],[Floor Repairs]]*BOQs!$L$8</f>
        <v>0</v>
      </c>
      <c r="AA402" s="76"/>
      <c r="AB402" s="37"/>
      <c r="AC402" s="86">
        <f>tbl_estimated_costs_quantities[[#This Row],[Doors Replacement Repair]]*BOQs!$L$9</f>
        <v>0</v>
      </c>
      <c r="AD402" s="76"/>
      <c r="AE402" s="37"/>
      <c r="AF402" s="86">
        <f>tbl_estimated_costs_quantities[[#This Row],[Windows Replacement Repair]]*BOQs!$L$10</f>
        <v>0</v>
      </c>
      <c r="AG402" s="76"/>
      <c r="AH402" s="37"/>
      <c r="AI402" s="86">
        <f>tbl_estimated_costs_quantities[[#This Row],[Bathroom Rehabilitation]]*BOQs!$L$11</f>
        <v>0</v>
      </c>
      <c r="AJ402" s="76"/>
      <c r="AK402" s="37"/>
      <c r="AL402" s="86">
        <f>tbl_estimated_costs_quantities[[#This Row],[Ceramic Tile Works WASH]]*BOQs!$L$12</f>
        <v>0</v>
      </c>
      <c r="AM402" s="76"/>
      <c r="AN402" s="37"/>
      <c r="AO402" s="86">
        <f>tbl_estimated_costs_quantities[[#This Row],[Electrical Repairs Lighting]]*BOQs!$L$13</f>
        <v>0</v>
      </c>
      <c r="AP402" s="76"/>
      <c r="AQ402" s="37"/>
      <c r="AR402" s="86">
        <f>tbl_estimated_costs_quantities[[#This Row],[Roof Insulation Leak Sealing]]*BOQs!$L$14</f>
        <v>0</v>
      </c>
      <c r="AS402" s="76"/>
      <c r="AT402" s="37"/>
      <c r="AU402" s="86">
        <f>tbl_estimated_costs_quantities[[#This Row],[Chimney Duct Cleaning Repair]]*BOQs!$L$15</f>
        <v>0</v>
      </c>
      <c r="AV402" s="76"/>
      <c r="AW402" s="37"/>
      <c r="AX402" s="89">
        <f>tbl_estimated_costs_quantities[[#This Row],[Accessibility Adaptations]]*BOQs!$L$16</f>
        <v>0</v>
      </c>
      <c r="AY402" s="86" t="str">
        <f>IF(tbl_estimated_costs_quantities[[#This Row],[Total cost]]&lt;&gt;0,tbl_estimated_costs_quantities[[#This Row],[Total cost]]/BOQs!$A$1,"")</f>
        <v/>
      </c>
      <c r="AZ402" s="37"/>
      <c r="BA402" s="37"/>
      <c r="BB402" s="37"/>
      <c r="BC402" s="37"/>
      <c r="BD402" s="41"/>
      <c r="BE402" s="37"/>
      <c r="BF402" s="37"/>
      <c r="BG402" s="37"/>
      <c r="BH402" s="41"/>
    </row>
    <row r="403" spans="2:60" ht="25.15" customHeight="1" x14ac:dyDescent="0.25">
      <c r="B403" s="49">
        <v>399</v>
      </c>
      <c r="C403" s="37"/>
      <c r="D403" s="41"/>
      <c r="E403" s="40"/>
      <c r="F403" s="87" t="str">
        <f>IF(tbl_estimated_costs_quantities[[#This Row],[House Code]]&lt;&gt;"",INDEX(tbl_Assessment[],MATCH(tbl_estimated_costs_quantities[[#This Row],[House Code]],tbl_Assessment[House Code],0),3),"")</f>
        <v/>
      </c>
      <c r="G403" s="115" t="str">
        <f>IF(tbl_estimated_costs_quantities[[#This Row],[House Code]]&lt;&gt;"",INDEX(tbl_Assessment[],MATCH(tbl_estimated_costs_quantities[[#This Row],[House Code]],tbl_Assessment[House Code],0),9),"")</f>
        <v/>
      </c>
      <c r="H40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3" s="75"/>
      <c r="J403" s="37"/>
      <c r="K403" s="86">
        <f>tbl_estimated_costs_quantities[[#This Row],[Site Preparation]]*BOQs!$L$3</f>
        <v>0</v>
      </c>
      <c r="L403" s="76"/>
      <c r="M403" s="37"/>
      <c r="N403" s="86">
        <f>tbl_estimated_costs_quantities[[#This Row],[Demolition Removal Unsafe Structures]]*BOQs!$L$4</f>
        <v>0</v>
      </c>
      <c r="O403" s="76"/>
      <c r="P403" s="37"/>
      <c r="Q403" s="86">
        <f>tbl_estimated_costs_quantities[[#This Row],[Concrete Works]]*BOQs!$L$5</f>
        <v>0</v>
      </c>
      <c r="R403" s="76"/>
      <c r="S403" s="37"/>
      <c r="T403" s="86">
        <f>tbl_estimated_costs_quantities[[#This Row],[Closure External Openings Walls Windows]]*BOQs!$L$6</f>
        <v>0</v>
      </c>
      <c r="U403" s="76"/>
      <c r="V403" s="37"/>
      <c r="W403" s="86">
        <f>tbl_estimated_costs_quantities[[#This Row],[Plastering Painting]]*BOQs!$L$7</f>
        <v>0</v>
      </c>
      <c r="X403" s="76"/>
      <c r="Y403" s="37"/>
      <c r="Z403" s="86">
        <f>tbl_estimated_costs_quantities[[#This Row],[Floor Repairs]]*BOQs!$L$8</f>
        <v>0</v>
      </c>
      <c r="AA403" s="76"/>
      <c r="AB403" s="37"/>
      <c r="AC403" s="86">
        <f>tbl_estimated_costs_quantities[[#This Row],[Doors Replacement Repair]]*BOQs!$L$9</f>
        <v>0</v>
      </c>
      <c r="AD403" s="76"/>
      <c r="AE403" s="37"/>
      <c r="AF403" s="86">
        <f>tbl_estimated_costs_quantities[[#This Row],[Windows Replacement Repair]]*BOQs!$L$10</f>
        <v>0</v>
      </c>
      <c r="AG403" s="76"/>
      <c r="AH403" s="37"/>
      <c r="AI403" s="86">
        <f>tbl_estimated_costs_quantities[[#This Row],[Bathroom Rehabilitation]]*BOQs!$L$11</f>
        <v>0</v>
      </c>
      <c r="AJ403" s="76"/>
      <c r="AK403" s="37"/>
      <c r="AL403" s="86">
        <f>tbl_estimated_costs_quantities[[#This Row],[Ceramic Tile Works WASH]]*BOQs!$L$12</f>
        <v>0</v>
      </c>
      <c r="AM403" s="76"/>
      <c r="AN403" s="37"/>
      <c r="AO403" s="86">
        <f>tbl_estimated_costs_quantities[[#This Row],[Electrical Repairs Lighting]]*BOQs!$L$13</f>
        <v>0</v>
      </c>
      <c r="AP403" s="76"/>
      <c r="AQ403" s="37"/>
      <c r="AR403" s="86">
        <f>tbl_estimated_costs_quantities[[#This Row],[Roof Insulation Leak Sealing]]*BOQs!$L$14</f>
        <v>0</v>
      </c>
      <c r="AS403" s="76"/>
      <c r="AT403" s="37"/>
      <c r="AU403" s="86">
        <f>tbl_estimated_costs_quantities[[#This Row],[Chimney Duct Cleaning Repair]]*BOQs!$L$15</f>
        <v>0</v>
      </c>
      <c r="AV403" s="76"/>
      <c r="AW403" s="37"/>
      <c r="AX403" s="89">
        <f>tbl_estimated_costs_quantities[[#This Row],[Accessibility Adaptations]]*BOQs!$L$16</f>
        <v>0</v>
      </c>
      <c r="AY403" s="86" t="str">
        <f>IF(tbl_estimated_costs_quantities[[#This Row],[Total cost]]&lt;&gt;0,tbl_estimated_costs_quantities[[#This Row],[Total cost]]/BOQs!$A$1,"")</f>
        <v/>
      </c>
      <c r="AZ403" s="37"/>
      <c r="BA403" s="37"/>
      <c r="BB403" s="37"/>
      <c r="BC403" s="37"/>
      <c r="BD403" s="41"/>
      <c r="BE403" s="37"/>
      <c r="BF403" s="37"/>
      <c r="BG403" s="37"/>
      <c r="BH403" s="41"/>
    </row>
    <row r="404" spans="2:60" ht="25.15" customHeight="1" x14ac:dyDescent="0.25">
      <c r="B404" s="49">
        <v>400</v>
      </c>
      <c r="C404" s="37"/>
      <c r="D404" s="41"/>
      <c r="E404" s="40"/>
      <c r="F404" s="87" t="str">
        <f>IF(tbl_estimated_costs_quantities[[#This Row],[House Code]]&lt;&gt;"",INDEX(tbl_Assessment[],MATCH(tbl_estimated_costs_quantities[[#This Row],[House Code]],tbl_Assessment[House Code],0),3),"")</f>
        <v/>
      </c>
      <c r="G404" s="115" t="str">
        <f>IF(tbl_estimated_costs_quantities[[#This Row],[House Code]]&lt;&gt;"",INDEX(tbl_Assessment[],MATCH(tbl_estimated_costs_quantities[[#This Row],[House Code]],tbl_Assessment[House Code],0),9),"")</f>
        <v/>
      </c>
      <c r="H40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4" s="75"/>
      <c r="J404" s="37"/>
      <c r="K404" s="86">
        <f>tbl_estimated_costs_quantities[[#This Row],[Site Preparation]]*BOQs!$L$3</f>
        <v>0</v>
      </c>
      <c r="L404" s="76"/>
      <c r="M404" s="37"/>
      <c r="N404" s="86">
        <f>tbl_estimated_costs_quantities[[#This Row],[Demolition Removal Unsafe Structures]]*BOQs!$L$4</f>
        <v>0</v>
      </c>
      <c r="O404" s="76"/>
      <c r="P404" s="37"/>
      <c r="Q404" s="86">
        <f>tbl_estimated_costs_quantities[[#This Row],[Concrete Works]]*BOQs!$L$5</f>
        <v>0</v>
      </c>
      <c r="R404" s="76"/>
      <c r="S404" s="37"/>
      <c r="T404" s="86">
        <f>tbl_estimated_costs_quantities[[#This Row],[Closure External Openings Walls Windows]]*BOQs!$L$6</f>
        <v>0</v>
      </c>
      <c r="U404" s="76"/>
      <c r="V404" s="37"/>
      <c r="W404" s="86">
        <f>tbl_estimated_costs_quantities[[#This Row],[Plastering Painting]]*BOQs!$L$7</f>
        <v>0</v>
      </c>
      <c r="X404" s="76"/>
      <c r="Y404" s="37"/>
      <c r="Z404" s="86">
        <f>tbl_estimated_costs_quantities[[#This Row],[Floor Repairs]]*BOQs!$L$8</f>
        <v>0</v>
      </c>
      <c r="AA404" s="76"/>
      <c r="AB404" s="37"/>
      <c r="AC404" s="86">
        <f>tbl_estimated_costs_quantities[[#This Row],[Doors Replacement Repair]]*BOQs!$L$9</f>
        <v>0</v>
      </c>
      <c r="AD404" s="76"/>
      <c r="AE404" s="37"/>
      <c r="AF404" s="86">
        <f>tbl_estimated_costs_quantities[[#This Row],[Windows Replacement Repair]]*BOQs!$L$10</f>
        <v>0</v>
      </c>
      <c r="AG404" s="76"/>
      <c r="AH404" s="37"/>
      <c r="AI404" s="86">
        <f>tbl_estimated_costs_quantities[[#This Row],[Bathroom Rehabilitation]]*BOQs!$L$11</f>
        <v>0</v>
      </c>
      <c r="AJ404" s="76"/>
      <c r="AK404" s="37"/>
      <c r="AL404" s="86">
        <f>tbl_estimated_costs_quantities[[#This Row],[Ceramic Tile Works WASH]]*BOQs!$L$12</f>
        <v>0</v>
      </c>
      <c r="AM404" s="76"/>
      <c r="AN404" s="37"/>
      <c r="AO404" s="86">
        <f>tbl_estimated_costs_quantities[[#This Row],[Electrical Repairs Lighting]]*BOQs!$L$13</f>
        <v>0</v>
      </c>
      <c r="AP404" s="76"/>
      <c r="AQ404" s="37"/>
      <c r="AR404" s="86">
        <f>tbl_estimated_costs_quantities[[#This Row],[Roof Insulation Leak Sealing]]*BOQs!$L$14</f>
        <v>0</v>
      </c>
      <c r="AS404" s="76"/>
      <c r="AT404" s="37"/>
      <c r="AU404" s="86">
        <f>tbl_estimated_costs_quantities[[#This Row],[Chimney Duct Cleaning Repair]]*BOQs!$L$15</f>
        <v>0</v>
      </c>
      <c r="AV404" s="76"/>
      <c r="AW404" s="37"/>
      <c r="AX404" s="89">
        <f>tbl_estimated_costs_quantities[[#This Row],[Accessibility Adaptations]]*BOQs!$L$16</f>
        <v>0</v>
      </c>
      <c r="AY404" s="86" t="str">
        <f>IF(tbl_estimated_costs_quantities[[#This Row],[Total cost]]&lt;&gt;0,tbl_estimated_costs_quantities[[#This Row],[Total cost]]/BOQs!$A$1,"")</f>
        <v/>
      </c>
      <c r="AZ404" s="37"/>
      <c r="BA404" s="37"/>
      <c r="BB404" s="37"/>
      <c r="BC404" s="37"/>
      <c r="BD404" s="41"/>
      <c r="BE404" s="37"/>
      <c r="BF404" s="37"/>
      <c r="BG404" s="37"/>
      <c r="BH404" s="41"/>
    </row>
    <row r="405" spans="2:60" ht="25.15" customHeight="1" x14ac:dyDescent="0.25">
      <c r="B405" s="49">
        <v>401</v>
      </c>
      <c r="C405" s="37"/>
      <c r="D405" s="41"/>
      <c r="E405" s="40"/>
      <c r="F405" s="87" t="str">
        <f>IF(tbl_estimated_costs_quantities[[#This Row],[House Code]]&lt;&gt;"",INDEX(tbl_Assessment[],MATCH(tbl_estimated_costs_quantities[[#This Row],[House Code]],tbl_Assessment[House Code],0),3),"")</f>
        <v/>
      </c>
      <c r="G405" s="115" t="str">
        <f>IF(tbl_estimated_costs_quantities[[#This Row],[House Code]]&lt;&gt;"",INDEX(tbl_Assessment[],MATCH(tbl_estimated_costs_quantities[[#This Row],[House Code]],tbl_Assessment[House Code],0),9),"")</f>
        <v/>
      </c>
      <c r="H40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5" s="75"/>
      <c r="J405" s="37"/>
      <c r="K405" s="86">
        <f>tbl_estimated_costs_quantities[[#This Row],[Site Preparation]]*BOQs!$L$3</f>
        <v>0</v>
      </c>
      <c r="L405" s="76"/>
      <c r="M405" s="37"/>
      <c r="N405" s="86">
        <f>tbl_estimated_costs_quantities[[#This Row],[Demolition Removal Unsafe Structures]]*BOQs!$L$4</f>
        <v>0</v>
      </c>
      <c r="O405" s="76"/>
      <c r="P405" s="37"/>
      <c r="Q405" s="86">
        <f>tbl_estimated_costs_quantities[[#This Row],[Concrete Works]]*BOQs!$L$5</f>
        <v>0</v>
      </c>
      <c r="R405" s="76"/>
      <c r="S405" s="37"/>
      <c r="T405" s="86">
        <f>tbl_estimated_costs_quantities[[#This Row],[Closure External Openings Walls Windows]]*BOQs!$L$6</f>
        <v>0</v>
      </c>
      <c r="U405" s="76"/>
      <c r="V405" s="37"/>
      <c r="W405" s="86">
        <f>tbl_estimated_costs_quantities[[#This Row],[Plastering Painting]]*BOQs!$L$7</f>
        <v>0</v>
      </c>
      <c r="X405" s="76"/>
      <c r="Y405" s="37"/>
      <c r="Z405" s="86">
        <f>tbl_estimated_costs_quantities[[#This Row],[Floor Repairs]]*BOQs!$L$8</f>
        <v>0</v>
      </c>
      <c r="AA405" s="76"/>
      <c r="AB405" s="37"/>
      <c r="AC405" s="86">
        <f>tbl_estimated_costs_quantities[[#This Row],[Doors Replacement Repair]]*BOQs!$L$9</f>
        <v>0</v>
      </c>
      <c r="AD405" s="76"/>
      <c r="AE405" s="37"/>
      <c r="AF405" s="86">
        <f>tbl_estimated_costs_quantities[[#This Row],[Windows Replacement Repair]]*BOQs!$L$10</f>
        <v>0</v>
      </c>
      <c r="AG405" s="76"/>
      <c r="AH405" s="37"/>
      <c r="AI405" s="86">
        <f>tbl_estimated_costs_quantities[[#This Row],[Bathroom Rehabilitation]]*BOQs!$L$11</f>
        <v>0</v>
      </c>
      <c r="AJ405" s="76"/>
      <c r="AK405" s="37"/>
      <c r="AL405" s="86">
        <f>tbl_estimated_costs_quantities[[#This Row],[Ceramic Tile Works WASH]]*BOQs!$L$12</f>
        <v>0</v>
      </c>
      <c r="AM405" s="76"/>
      <c r="AN405" s="37"/>
      <c r="AO405" s="86">
        <f>tbl_estimated_costs_quantities[[#This Row],[Electrical Repairs Lighting]]*BOQs!$L$13</f>
        <v>0</v>
      </c>
      <c r="AP405" s="76"/>
      <c r="AQ405" s="37"/>
      <c r="AR405" s="86">
        <f>tbl_estimated_costs_quantities[[#This Row],[Roof Insulation Leak Sealing]]*BOQs!$L$14</f>
        <v>0</v>
      </c>
      <c r="AS405" s="76"/>
      <c r="AT405" s="37"/>
      <c r="AU405" s="86">
        <f>tbl_estimated_costs_quantities[[#This Row],[Chimney Duct Cleaning Repair]]*BOQs!$L$15</f>
        <v>0</v>
      </c>
      <c r="AV405" s="76"/>
      <c r="AW405" s="37"/>
      <c r="AX405" s="89">
        <f>tbl_estimated_costs_quantities[[#This Row],[Accessibility Adaptations]]*BOQs!$L$16</f>
        <v>0</v>
      </c>
      <c r="AY405" s="86" t="str">
        <f>IF(tbl_estimated_costs_quantities[[#This Row],[Total cost]]&lt;&gt;0,tbl_estimated_costs_quantities[[#This Row],[Total cost]]/BOQs!$A$1,"")</f>
        <v/>
      </c>
      <c r="AZ405" s="37"/>
      <c r="BA405" s="37"/>
      <c r="BB405" s="37"/>
      <c r="BC405" s="37"/>
      <c r="BD405" s="41"/>
      <c r="BE405" s="37"/>
      <c r="BF405" s="37"/>
      <c r="BG405" s="37"/>
      <c r="BH405" s="41"/>
    </row>
    <row r="406" spans="2:60" ht="25.15" customHeight="1" x14ac:dyDescent="0.25">
      <c r="B406" s="49">
        <v>402</v>
      </c>
      <c r="C406" s="37"/>
      <c r="D406" s="41"/>
      <c r="E406" s="40"/>
      <c r="F406" s="87" t="str">
        <f>IF(tbl_estimated_costs_quantities[[#This Row],[House Code]]&lt;&gt;"",INDEX(tbl_Assessment[],MATCH(tbl_estimated_costs_quantities[[#This Row],[House Code]],tbl_Assessment[House Code],0),3),"")</f>
        <v/>
      </c>
      <c r="G406" s="115" t="str">
        <f>IF(tbl_estimated_costs_quantities[[#This Row],[House Code]]&lt;&gt;"",INDEX(tbl_Assessment[],MATCH(tbl_estimated_costs_quantities[[#This Row],[House Code]],tbl_Assessment[House Code],0),9),"")</f>
        <v/>
      </c>
      <c r="H40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6" s="75"/>
      <c r="J406" s="37"/>
      <c r="K406" s="86">
        <f>tbl_estimated_costs_quantities[[#This Row],[Site Preparation]]*BOQs!$L$3</f>
        <v>0</v>
      </c>
      <c r="L406" s="76"/>
      <c r="M406" s="37"/>
      <c r="N406" s="86">
        <f>tbl_estimated_costs_quantities[[#This Row],[Demolition Removal Unsafe Structures]]*BOQs!$L$4</f>
        <v>0</v>
      </c>
      <c r="O406" s="76"/>
      <c r="P406" s="37"/>
      <c r="Q406" s="86">
        <f>tbl_estimated_costs_quantities[[#This Row],[Concrete Works]]*BOQs!$L$5</f>
        <v>0</v>
      </c>
      <c r="R406" s="76"/>
      <c r="S406" s="37"/>
      <c r="T406" s="86">
        <f>tbl_estimated_costs_quantities[[#This Row],[Closure External Openings Walls Windows]]*BOQs!$L$6</f>
        <v>0</v>
      </c>
      <c r="U406" s="76"/>
      <c r="V406" s="37"/>
      <c r="W406" s="86">
        <f>tbl_estimated_costs_quantities[[#This Row],[Plastering Painting]]*BOQs!$L$7</f>
        <v>0</v>
      </c>
      <c r="X406" s="76"/>
      <c r="Y406" s="37"/>
      <c r="Z406" s="86">
        <f>tbl_estimated_costs_quantities[[#This Row],[Floor Repairs]]*BOQs!$L$8</f>
        <v>0</v>
      </c>
      <c r="AA406" s="76"/>
      <c r="AB406" s="37"/>
      <c r="AC406" s="86">
        <f>tbl_estimated_costs_quantities[[#This Row],[Doors Replacement Repair]]*BOQs!$L$9</f>
        <v>0</v>
      </c>
      <c r="AD406" s="76"/>
      <c r="AE406" s="37"/>
      <c r="AF406" s="86">
        <f>tbl_estimated_costs_quantities[[#This Row],[Windows Replacement Repair]]*BOQs!$L$10</f>
        <v>0</v>
      </c>
      <c r="AG406" s="76"/>
      <c r="AH406" s="37"/>
      <c r="AI406" s="86">
        <f>tbl_estimated_costs_quantities[[#This Row],[Bathroom Rehabilitation]]*BOQs!$L$11</f>
        <v>0</v>
      </c>
      <c r="AJ406" s="76"/>
      <c r="AK406" s="37"/>
      <c r="AL406" s="86">
        <f>tbl_estimated_costs_quantities[[#This Row],[Ceramic Tile Works WASH]]*BOQs!$L$12</f>
        <v>0</v>
      </c>
      <c r="AM406" s="76"/>
      <c r="AN406" s="37"/>
      <c r="AO406" s="86">
        <f>tbl_estimated_costs_quantities[[#This Row],[Electrical Repairs Lighting]]*BOQs!$L$13</f>
        <v>0</v>
      </c>
      <c r="AP406" s="76"/>
      <c r="AQ406" s="37"/>
      <c r="AR406" s="86">
        <f>tbl_estimated_costs_quantities[[#This Row],[Roof Insulation Leak Sealing]]*BOQs!$L$14</f>
        <v>0</v>
      </c>
      <c r="AS406" s="76"/>
      <c r="AT406" s="37"/>
      <c r="AU406" s="86">
        <f>tbl_estimated_costs_quantities[[#This Row],[Chimney Duct Cleaning Repair]]*BOQs!$L$15</f>
        <v>0</v>
      </c>
      <c r="AV406" s="76"/>
      <c r="AW406" s="37"/>
      <c r="AX406" s="89">
        <f>tbl_estimated_costs_quantities[[#This Row],[Accessibility Adaptations]]*BOQs!$L$16</f>
        <v>0</v>
      </c>
      <c r="AY406" s="86" t="str">
        <f>IF(tbl_estimated_costs_quantities[[#This Row],[Total cost]]&lt;&gt;0,tbl_estimated_costs_quantities[[#This Row],[Total cost]]/BOQs!$A$1,"")</f>
        <v/>
      </c>
      <c r="AZ406" s="37"/>
      <c r="BA406" s="37"/>
      <c r="BB406" s="37"/>
      <c r="BC406" s="37"/>
      <c r="BD406" s="41"/>
      <c r="BE406" s="37"/>
      <c r="BF406" s="37"/>
      <c r="BG406" s="37"/>
      <c r="BH406" s="41"/>
    </row>
    <row r="407" spans="2:60" ht="25.15" customHeight="1" x14ac:dyDescent="0.25">
      <c r="B407" s="49">
        <v>403</v>
      </c>
      <c r="C407" s="37"/>
      <c r="D407" s="41"/>
      <c r="E407" s="40"/>
      <c r="F407" s="87" t="str">
        <f>IF(tbl_estimated_costs_quantities[[#This Row],[House Code]]&lt;&gt;"",INDEX(tbl_Assessment[],MATCH(tbl_estimated_costs_quantities[[#This Row],[House Code]],tbl_Assessment[House Code],0),3),"")</f>
        <v/>
      </c>
      <c r="G407" s="115" t="str">
        <f>IF(tbl_estimated_costs_quantities[[#This Row],[House Code]]&lt;&gt;"",INDEX(tbl_Assessment[],MATCH(tbl_estimated_costs_quantities[[#This Row],[House Code]],tbl_Assessment[House Code],0),9),"")</f>
        <v/>
      </c>
      <c r="H40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7" s="75"/>
      <c r="J407" s="37"/>
      <c r="K407" s="86">
        <f>tbl_estimated_costs_quantities[[#This Row],[Site Preparation]]*BOQs!$L$3</f>
        <v>0</v>
      </c>
      <c r="L407" s="76"/>
      <c r="M407" s="37"/>
      <c r="N407" s="86">
        <f>tbl_estimated_costs_quantities[[#This Row],[Demolition Removal Unsafe Structures]]*BOQs!$L$4</f>
        <v>0</v>
      </c>
      <c r="O407" s="76"/>
      <c r="P407" s="37"/>
      <c r="Q407" s="86">
        <f>tbl_estimated_costs_quantities[[#This Row],[Concrete Works]]*BOQs!$L$5</f>
        <v>0</v>
      </c>
      <c r="R407" s="76"/>
      <c r="S407" s="37"/>
      <c r="T407" s="86">
        <f>tbl_estimated_costs_quantities[[#This Row],[Closure External Openings Walls Windows]]*BOQs!$L$6</f>
        <v>0</v>
      </c>
      <c r="U407" s="76"/>
      <c r="V407" s="37"/>
      <c r="W407" s="86">
        <f>tbl_estimated_costs_quantities[[#This Row],[Plastering Painting]]*BOQs!$L$7</f>
        <v>0</v>
      </c>
      <c r="X407" s="76"/>
      <c r="Y407" s="37"/>
      <c r="Z407" s="86">
        <f>tbl_estimated_costs_quantities[[#This Row],[Floor Repairs]]*BOQs!$L$8</f>
        <v>0</v>
      </c>
      <c r="AA407" s="76"/>
      <c r="AB407" s="37"/>
      <c r="AC407" s="86">
        <f>tbl_estimated_costs_quantities[[#This Row],[Doors Replacement Repair]]*BOQs!$L$9</f>
        <v>0</v>
      </c>
      <c r="AD407" s="76"/>
      <c r="AE407" s="37"/>
      <c r="AF407" s="86">
        <f>tbl_estimated_costs_quantities[[#This Row],[Windows Replacement Repair]]*BOQs!$L$10</f>
        <v>0</v>
      </c>
      <c r="AG407" s="76"/>
      <c r="AH407" s="37"/>
      <c r="AI407" s="86">
        <f>tbl_estimated_costs_quantities[[#This Row],[Bathroom Rehabilitation]]*BOQs!$L$11</f>
        <v>0</v>
      </c>
      <c r="AJ407" s="76"/>
      <c r="AK407" s="37"/>
      <c r="AL407" s="86">
        <f>tbl_estimated_costs_quantities[[#This Row],[Ceramic Tile Works WASH]]*BOQs!$L$12</f>
        <v>0</v>
      </c>
      <c r="AM407" s="76"/>
      <c r="AN407" s="37"/>
      <c r="AO407" s="86">
        <f>tbl_estimated_costs_quantities[[#This Row],[Electrical Repairs Lighting]]*BOQs!$L$13</f>
        <v>0</v>
      </c>
      <c r="AP407" s="76"/>
      <c r="AQ407" s="37"/>
      <c r="AR407" s="86">
        <f>tbl_estimated_costs_quantities[[#This Row],[Roof Insulation Leak Sealing]]*BOQs!$L$14</f>
        <v>0</v>
      </c>
      <c r="AS407" s="76"/>
      <c r="AT407" s="37"/>
      <c r="AU407" s="86">
        <f>tbl_estimated_costs_quantities[[#This Row],[Chimney Duct Cleaning Repair]]*BOQs!$L$15</f>
        <v>0</v>
      </c>
      <c r="AV407" s="76"/>
      <c r="AW407" s="37"/>
      <c r="AX407" s="89">
        <f>tbl_estimated_costs_quantities[[#This Row],[Accessibility Adaptations]]*BOQs!$L$16</f>
        <v>0</v>
      </c>
      <c r="AY407" s="86" t="str">
        <f>IF(tbl_estimated_costs_quantities[[#This Row],[Total cost]]&lt;&gt;0,tbl_estimated_costs_quantities[[#This Row],[Total cost]]/BOQs!$A$1,"")</f>
        <v/>
      </c>
      <c r="AZ407" s="37"/>
      <c r="BA407" s="37"/>
      <c r="BB407" s="37"/>
      <c r="BC407" s="37"/>
      <c r="BD407" s="41"/>
      <c r="BE407" s="37"/>
      <c r="BF407" s="37"/>
      <c r="BG407" s="37"/>
      <c r="BH407" s="41"/>
    </row>
    <row r="408" spans="2:60" ht="25.15" customHeight="1" x14ac:dyDescent="0.25">
      <c r="B408" s="49">
        <v>404</v>
      </c>
      <c r="C408" s="37"/>
      <c r="D408" s="41"/>
      <c r="E408" s="40"/>
      <c r="F408" s="87" t="str">
        <f>IF(tbl_estimated_costs_quantities[[#This Row],[House Code]]&lt;&gt;"",INDEX(tbl_Assessment[],MATCH(tbl_estimated_costs_quantities[[#This Row],[House Code]],tbl_Assessment[House Code],0),3),"")</f>
        <v/>
      </c>
      <c r="G408" s="115" t="str">
        <f>IF(tbl_estimated_costs_quantities[[#This Row],[House Code]]&lt;&gt;"",INDEX(tbl_Assessment[],MATCH(tbl_estimated_costs_quantities[[#This Row],[House Code]],tbl_Assessment[House Code],0),9),"")</f>
        <v/>
      </c>
      <c r="H40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8" s="75"/>
      <c r="J408" s="37"/>
      <c r="K408" s="86">
        <f>tbl_estimated_costs_quantities[[#This Row],[Site Preparation]]*BOQs!$L$3</f>
        <v>0</v>
      </c>
      <c r="L408" s="76"/>
      <c r="M408" s="37"/>
      <c r="N408" s="86">
        <f>tbl_estimated_costs_quantities[[#This Row],[Demolition Removal Unsafe Structures]]*BOQs!$L$4</f>
        <v>0</v>
      </c>
      <c r="O408" s="76"/>
      <c r="P408" s="37"/>
      <c r="Q408" s="86">
        <f>tbl_estimated_costs_quantities[[#This Row],[Concrete Works]]*BOQs!$L$5</f>
        <v>0</v>
      </c>
      <c r="R408" s="76"/>
      <c r="S408" s="37"/>
      <c r="T408" s="86">
        <f>tbl_estimated_costs_quantities[[#This Row],[Closure External Openings Walls Windows]]*BOQs!$L$6</f>
        <v>0</v>
      </c>
      <c r="U408" s="76"/>
      <c r="V408" s="37"/>
      <c r="W408" s="86">
        <f>tbl_estimated_costs_quantities[[#This Row],[Plastering Painting]]*BOQs!$L$7</f>
        <v>0</v>
      </c>
      <c r="X408" s="76"/>
      <c r="Y408" s="37"/>
      <c r="Z408" s="86">
        <f>tbl_estimated_costs_quantities[[#This Row],[Floor Repairs]]*BOQs!$L$8</f>
        <v>0</v>
      </c>
      <c r="AA408" s="76"/>
      <c r="AB408" s="37"/>
      <c r="AC408" s="86">
        <f>tbl_estimated_costs_quantities[[#This Row],[Doors Replacement Repair]]*BOQs!$L$9</f>
        <v>0</v>
      </c>
      <c r="AD408" s="76"/>
      <c r="AE408" s="37"/>
      <c r="AF408" s="86">
        <f>tbl_estimated_costs_quantities[[#This Row],[Windows Replacement Repair]]*BOQs!$L$10</f>
        <v>0</v>
      </c>
      <c r="AG408" s="76"/>
      <c r="AH408" s="37"/>
      <c r="AI408" s="86">
        <f>tbl_estimated_costs_quantities[[#This Row],[Bathroom Rehabilitation]]*BOQs!$L$11</f>
        <v>0</v>
      </c>
      <c r="AJ408" s="76"/>
      <c r="AK408" s="37"/>
      <c r="AL408" s="86">
        <f>tbl_estimated_costs_quantities[[#This Row],[Ceramic Tile Works WASH]]*BOQs!$L$12</f>
        <v>0</v>
      </c>
      <c r="AM408" s="76"/>
      <c r="AN408" s="37"/>
      <c r="AO408" s="86">
        <f>tbl_estimated_costs_quantities[[#This Row],[Electrical Repairs Lighting]]*BOQs!$L$13</f>
        <v>0</v>
      </c>
      <c r="AP408" s="76"/>
      <c r="AQ408" s="37"/>
      <c r="AR408" s="86">
        <f>tbl_estimated_costs_quantities[[#This Row],[Roof Insulation Leak Sealing]]*BOQs!$L$14</f>
        <v>0</v>
      </c>
      <c r="AS408" s="76"/>
      <c r="AT408" s="37"/>
      <c r="AU408" s="86">
        <f>tbl_estimated_costs_quantities[[#This Row],[Chimney Duct Cleaning Repair]]*BOQs!$L$15</f>
        <v>0</v>
      </c>
      <c r="AV408" s="76"/>
      <c r="AW408" s="37"/>
      <c r="AX408" s="89">
        <f>tbl_estimated_costs_quantities[[#This Row],[Accessibility Adaptations]]*BOQs!$L$16</f>
        <v>0</v>
      </c>
      <c r="AY408" s="86" t="str">
        <f>IF(tbl_estimated_costs_quantities[[#This Row],[Total cost]]&lt;&gt;0,tbl_estimated_costs_quantities[[#This Row],[Total cost]]/BOQs!$A$1,"")</f>
        <v/>
      </c>
      <c r="AZ408" s="37"/>
      <c r="BA408" s="37"/>
      <c r="BB408" s="37"/>
      <c r="BC408" s="37"/>
      <c r="BD408" s="41"/>
      <c r="BE408" s="37"/>
      <c r="BF408" s="37"/>
      <c r="BG408" s="37"/>
      <c r="BH408" s="41"/>
    </row>
    <row r="409" spans="2:60" ht="25.15" customHeight="1" x14ac:dyDescent="0.25">
      <c r="B409" s="49">
        <v>405</v>
      </c>
      <c r="C409" s="37"/>
      <c r="D409" s="41"/>
      <c r="E409" s="40"/>
      <c r="F409" s="87" t="str">
        <f>IF(tbl_estimated_costs_quantities[[#This Row],[House Code]]&lt;&gt;"",INDEX(tbl_Assessment[],MATCH(tbl_estimated_costs_quantities[[#This Row],[House Code]],tbl_Assessment[House Code],0),3),"")</f>
        <v/>
      </c>
      <c r="G409" s="115" t="str">
        <f>IF(tbl_estimated_costs_quantities[[#This Row],[House Code]]&lt;&gt;"",INDEX(tbl_Assessment[],MATCH(tbl_estimated_costs_quantities[[#This Row],[House Code]],tbl_Assessment[House Code],0),9),"")</f>
        <v/>
      </c>
      <c r="H40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09" s="75"/>
      <c r="J409" s="37"/>
      <c r="K409" s="86">
        <f>tbl_estimated_costs_quantities[[#This Row],[Site Preparation]]*BOQs!$L$3</f>
        <v>0</v>
      </c>
      <c r="L409" s="76"/>
      <c r="M409" s="37"/>
      <c r="N409" s="86">
        <f>tbl_estimated_costs_quantities[[#This Row],[Demolition Removal Unsafe Structures]]*BOQs!$L$4</f>
        <v>0</v>
      </c>
      <c r="O409" s="76"/>
      <c r="P409" s="37"/>
      <c r="Q409" s="86">
        <f>tbl_estimated_costs_quantities[[#This Row],[Concrete Works]]*BOQs!$L$5</f>
        <v>0</v>
      </c>
      <c r="R409" s="76"/>
      <c r="S409" s="37"/>
      <c r="T409" s="86">
        <f>tbl_estimated_costs_quantities[[#This Row],[Closure External Openings Walls Windows]]*BOQs!$L$6</f>
        <v>0</v>
      </c>
      <c r="U409" s="76"/>
      <c r="V409" s="37"/>
      <c r="W409" s="86">
        <f>tbl_estimated_costs_quantities[[#This Row],[Plastering Painting]]*BOQs!$L$7</f>
        <v>0</v>
      </c>
      <c r="X409" s="76"/>
      <c r="Y409" s="37"/>
      <c r="Z409" s="86">
        <f>tbl_estimated_costs_quantities[[#This Row],[Floor Repairs]]*BOQs!$L$8</f>
        <v>0</v>
      </c>
      <c r="AA409" s="76"/>
      <c r="AB409" s="37"/>
      <c r="AC409" s="86">
        <f>tbl_estimated_costs_quantities[[#This Row],[Doors Replacement Repair]]*BOQs!$L$9</f>
        <v>0</v>
      </c>
      <c r="AD409" s="76"/>
      <c r="AE409" s="37"/>
      <c r="AF409" s="86">
        <f>tbl_estimated_costs_quantities[[#This Row],[Windows Replacement Repair]]*BOQs!$L$10</f>
        <v>0</v>
      </c>
      <c r="AG409" s="76"/>
      <c r="AH409" s="37"/>
      <c r="AI409" s="86">
        <f>tbl_estimated_costs_quantities[[#This Row],[Bathroom Rehabilitation]]*BOQs!$L$11</f>
        <v>0</v>
      </c>
      <c r="AJ409" s="76"/>
      <c r="AK409" s="37"/>
      <c r="AL409" s="86">
        <f>tbl_estimated_costs_quantities[[#This Row],[Ceramic Tile Works WASH]]*BOQs!$L$12</f>
        <v>0</v>
      </c>
      <c r="AM409" s="76"/>
      <c r="AN409" s="37"/>
      <c r="AO409" s="86">
        <f>tbl_estimated_costs_quantities[[#This Row],[Electrical Repairs Lighting]]*BOQs!$L$13</f>
        <v>0</v>
      </c>
      <c r="AP409" s="76"/>
      <c r="AQ409" s="37"/>
      <c r="AR409" s="86">
        <f>tbl_estimated_costs_quantities[[#This Row],[Roof Insulation Leak Sealing]]*BOQs!$L$14</f>
        <v>0</v>
      </c>
      <c r="AS409" s="76"/>
      <c r="AT409" s="37"/>
      <c r="AU409" s="86">
        <f>tbl_estimated_costs_quantities[[#This Row],[Chimney Duct Cleaning Repair]]*BOQs!$L$15</f>
        <v>0</v>
      </c>
      <c r="AV409" s="76"/>
      <c r="AW409" s="37"/>
      <c r="AX409" s="89">
        <f>tbl_estimated_costs_quantities[[#This Row],[Accessibility Adaptations]]*BOQs!$L$16</f>
        <v>0</v>
      </c>
      <c r="AY409" s="86" t="str">
        <f>IF(tbl_estimated_costs_quantities[[#This Row],[Total cost]]&lt;&gt;0,tbl_estimated_costs_quantities[[#This Row],[Total cost]]/BOQs!$A$1,"")</f>
        <v/>
      </c>
      <c r="AZ409" s="37"/>
      <c r="BA409" s="37"/>
      <c r="BB409" s="37"/>
      <c r="BC409" s="37"/>
      <c r="BD409" s="41"/>
      <c r="BE409" s="37"/>
      <c r="BF409" s="37"/>
      <c r="BG409" s="37"/>
      <c r="BH409" s="41"/>
    </row>
    <row r="410" spans="2:60" ht="25.15" customHeight="1" x14ac:dyDescent="0.25">
      <c r="B410" s="49">
        <v>406</v>
      </c>
      <c r="C410" s="37"/>
      <c r="D410" s="41"/>
      <c r="E410" s="40"/>
      <c r="F410" s="87" t="str">
        <f>IF(tbl_estimated_costs_quantities[[#This Row],[House Code]]&lt;&gt;"",INDEX(tbl_Assessment[],MATCH(tbl_estimated_costs_quantities[[#This Row],[House Code]],tbl_Assessment[House Code],0),3),"")</f>
        <v/>
      </c>
      <c r="G410" s="115" t="str">
        <f>IF(tbl_estimated_costs_quantities[[#This Row],[House Code]]&lt;&gt;"",INDEX(tbl_Assessment[],MATCH(tbl_estimated_costs_quantities[[#This Row],[House Code]],tbl_Assessment[House Code],0),9),"")</f>
        <v/>
      </c>
      <c r="H41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0" s="75"/>
      <c r="J410" s="37"/>
      <c r="K410" s="86">
        <f>tbl_estimated_costs_quantities[[#This Row],[Site Preparation]]*BOQs!$L$3</f>
        <v>0</v>
      </c>
      <c r="L410" s="76"/>
      <c r="M410" s="37"/>
      <c r="N410" s="86">
        <f>tbl_estimated_costs_quantities[[#This Row],[Demolition Removal Unsafe Structures]]*BOQs!$L$4</f>
        <v>0</v>
      </c>
      <c r="O410" s="76"/>
      <c r="P410" s="37"/>
      <c r="Q410" s="86">
        <f>tbl_estimated_costs_quantities[[#This Row],[Concrete Works]]*BOQs!$L$5</f>
        <v>0</v>
      </c>
      <c r="R410" s="76"/>
      <c r="S410" s="37"/>
      <c r="T410" s="86">
        <f>tbl_estimated_costs_quantities[[#This Row],[Closure External Openings Walls Windows]]*BOQs!$L$6</f>
        <v>0</v>
      </c>
      <c r="U410" s="76"/>
      <c r="V410" s="37"/>
      <c r="W410" s="86">
        <f>tbl_estimated_costs_quantities[[#This Row],[Plastering Painting]]*BOQs!$L$7</f>
        <v>0</v>
      </c>
      <c r="X410" s="76"/>
      <c r="Y410" s="37"/>
      <c r="Z410" s="86">
        <f>tbl_estimated_costs_quantities[[#This Row],[Floor Repairs]]*BOQs!$L$8</f>
        <v>0</v>
      </c>
      <c r="AA410" s="76"/>
      <c r="AB410" s="37"/>
      <c r="AC410" s="86">
        <f>tbl_estimated_costs_quantities[[#This Row],[Doors Replacement Repair]]*BOQs!$L$9</f>
        <v>0</v>
      </c>
      <c r="AD410" s="76"/>
      <c r="AE410" s="37"/>
      <c r="AF410" s="86">
        <f>tbl_estimated_costs_quantities[[#This Row],[Windows Replacement Repair]]*BOQs!$L$10</f>
        <v>0</v>
      </c>
      <c r="AG410" s="76"/>
      <c r="AH410" s="37"/>
      <c r="AI410" s="86">
        <f>tbl_estimated_costs_quantities[[#This Row],[Bathroom Rehabilitation]]*BOQs!$L$11</f>
        <v>0</v>
      </c>
      <c r="AJ410" s="76"/>
      <c r="AK410" s="37"/>
      <c r="AL410" s="86">
        <f>tbl_estimated_costs_quantities[[#This Row],[Ceramic Tile Works WASH]]*BOQs!$L$12</f>
        <v>0</v>
      </c>
      <c r="AM410" s="76"/>
      <c r="AN410" s="37"/>
      <c r="AO410" s="86">
        <f>tbl_estimated_costs_quantities[[#This Row],[Electrical Repairs Lighting]]*BOQs!$L$13</f>
        <v>0</v>
      </c>
      <c r="AP410" s="76"/>
      <c r="AQ410" s="37"/>
      <c r="AR410" s="86">
        <f>tbl_estimated_costs_quantities[[#This Row],[Roof Insulation Leak Sealing]]*BOQs!$L$14</f>
        <v>0</v>
      </c>
      <c r="AS410" s="76"/>
      <c r="AT410" s="37"/>
      <c r="AU410" s="86">
        <f>tbl_estimated_costs_quantities[[#This Row],[Chimney Duct Cleaning Repair]]*BOQs!$L$15</f>
        <v>0</v>
      </c>
      <c r="AV410" s="76"/>
      <c r="AW410" s="37"/>
      <c r="AX410" s="89">
        <f>tbl_estimated_costs_quantities[[#This Row],[Accessibility Adaptations]]*BOQs!$L$16</f>
        <v>0</v>
      </c>
      <c r="AY410" s="86" t="str">
        <f>IF(tbl_estimated_costs_quantities[[#This Row],[Total cost]]&lt;&gt;0,tbl_estimated_costs_quantities[[#This Row],[Total cost]]/BOQs!$A$1,"")</f>
        <v/>
      </c>
      <c r="AZ410" s="37"/>
      <c r="BA410" s="37"/>
      <c r="BB410" s="37"/>
      <c r="BC410" s="37"/>
      <c r="BD410" s="41"/>
      <c r="BE410" s="37"/>
      <c r="BF410" s="37"/>
      <c r="BG410" s="37"/>
      <c r="BH410" s="41"/>
    </row>
    <row r="411" spans="2:60" ht="25.15" customHeight="1" x14ac:dyDescent="0.25">
      <c r="B411" s="49">
        <v>407</v>
      </c>
      <c r="C411" s="37"/>
      <c r="D411" s="41"/>
      <c r="E411" s="40"/>
      <c r="F411" s="87" t="str">
        <f>IF(tbl_estimated_costs_quantities[[#This Row],[House Code]]&lt;&gt;"",INDEX(tbl_Assessment[],MATCH(tbl_estimated_costs_quantities[[#This Row],[House Code]],tbl_Assessment[House Code],0),3),"")</f>
        <v/>
      </c>
      <c r="G411" s="115" t="str">
        <f>IF(tbl_estimated_costs_quantities[[#This Row],[House Code]]&lt;&gt;"",INDEX(tbl_Assessment[],MATCH(tbl_estimated_costs_quantities[[#This Row],[House Code]],tbl_Assessment[House Code],0),9),"")</f>
        <v/>
      </c>
      <c r="H41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1" s="75"/>
      <c r="J411" s="37"/>
      <c r="K411" s="86">
        <f>tbl_estimated_costs_quantities[[#This Row],[Site Preparation]]*BOQs!$L$3</f>
        <v>0</v>
      </c>
      <c r="L411" s="76"/>
      <c r="M411" s="37"/>
      <c r="N411" s="86">
        <f>tbl_estimated_costs_quantities[[#This Row],[Demolition Removal Unsafe Structures]]*BOQs!$L$4</f>
        <v>0</v>
      </c>
      <c r="O411" s="76"/>
      <c r="P411" s="37"/>
      <c r="Q411" s="86">
        <f>tbl_estimated_costs_quantities[[#This Row],[Concrete Works]]*BOQs!$L$5</f>
        <v>0</v>
      </c>
      <c r="R411" s="76"/>
      <c r="S411" s="37"/>
      <c r="T411" s="86">
        <f>tbl_estimated_costs_quantities[[#This Row],[Closure External Openings Walls Windows]]*BOQs!$L$6</f>
        <v>0</v>
      </c>
      <c r="U411" s="76"/>
      <c r="V411" s="37"/>
      <c r="W411" s="86">
        <f>tbl_estimated_costs_quantities[[#This Row],[Plastering Painting]]*BOQs!$L$7</f>
        <v>0</v>
      </c>
      <c r="X411" s="76"/>
      <c r="Y411" s="37"/>
      <c r="Z411" s="86">
        <f>tbl_estimated_costs_quantities[[#This Row],[Floor Repairs]]*BOQs!$L$8</f>
        <v>0</v>
      </c>
      <c r="AA411" s="76"/>
      <c r="AB411" s="37"/>
      <c r="AC411" s="86">
        <f>tbl_estimated_costs_quantities[[#This Row],[Doors Replacement Repair]]*BOQs!$L$9</f>
        <v>0</v>
      </c>
      <c r="AD411" s="76"/>
      <c r="AE411" s="37"/>
      <c r="AF411" s="86">
        <f>tbl_estimated_costs_quantities[[#This Row],[Windows Replacement Repair]]*BOQs!$L$10</f>
        <v>0</v>
      </c>
      <c r="AG411" s="76"/>
      <c r="AH411" s="37"/>
      <c r="AI411" s="86">
        <f>tbl_estimated_costs_quantities[[#This Row],[Bathroom Rehabilitation]]*BOQs!$L$11</f>
        <v>0</v>
      </c>
      <c r="AJ411" s="76"/>
      <c r="AK411" s="37"/>
      <c r="AL411" s="86">
        <f>tbl_estimated_costs_quantities[[#This Row],[Ceramic Tile Works WASH]]*BOQs!$L$12</f>
        <v>0</v>
      </c>
      <c r="AM411" s="76"/>
      <c r="AN411" s="37"/>
      <c r="AO411" s="86">
        <f>tbl_estimated_costs_quantities[[#This Row],[Electrical Repairs Lighting]]*BOQs!$L$13</f>
        <v>0</v>
      </c>
      <c r="AP411" s="76"/>
      <c r="AQ411" s="37"/>
      <c r="AR411" s="86">
        <f>tbl_estimated_costs_quantities[[#This Row],[Roof Insulation Leak Sealing]]*BOQs!$L$14</f>
        <v>0</v>
      </c>
      <c r="AS411" s="76"/>
      <c r="AT411" s="37"/>
      <c r="AU411" s="86">
        <f>tbl_estimated_costs_quantities[[#This Row],[Chimney Duct Cleaning Repair]]*BOQs!$L$15</f>
        <v>0</v>
      </c>
      <c r="AV411" s="76"/>
      <c r="AW411" s="37"/>
      <c r="AX411" s="89">
        <f>tbl_estimated_costs_quantities[[#This Row],[Accessibility Adaptations]]*BOQs!$L$16</f>
        <v>0</v>
      </c>
      <c r="AY411" s="86" t="str">
        <f>IF(tbl_estimated_costs_quantities[[#This Row],[Total cost]]&lt;&gt;0,tbl_estimated_costs_quantities[[#This Row],[Total cost]]/BOQs!$A$1,"")</f>
        <v/>
      </c>
      <c r="AZ411" s="37"/>
      <c r="BA411" s="37"/>
      <c r="BB411" s="37"/>
      <c r="BC411" s="37"/>
      <c r="BD411" s="41"/>
      <c r="BE411" s="37"/>
      <c r="BF411" s="37"/>
      <c r="BG411" s="37"/>
      <c r="BH411" s="41"/>
    </row>
    <row r="412" spans="2:60" ht="25.15" customHeight="1" x14ac:dyDescent="0.25">
      <c r="B412" s="49">
        <v>408</v>
      </c>
      <c r="C412" s="37"/>
      <c r="D412" s="41"/>
      <c r="E412" s="40"/>
      <c r="F412" s="87" t="str">
        <f>IF(tbl_estimated_costs_quantities[[#This Row],[House Code]]&lt;&gt;"",INDEX(tbl_Assessment[],MATCH(tbl_estimated_costs_quantities[[#This Row],[House Code]],tbl_Assessment[House Code],0),3),"")</f>
        <v/>
      </c>
      <c r="G412" s="115" t="str">
        <f>IF(tbl_estimated_costs_quantities[[#This Row],[House Code]]&lt;&gt;"",INDEX(tbl_Assessment[],MATCH(tbl_estimated_costs_quantities[[#This Row],[House Code]],tbl_Assessment[House Code],0),9),"")</f>
        <v/>
      </c>
      <c r="H41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2" s="75"/>
      <c r="J412" s="37"/>
      <c r="K412" s="86">
        <f>tbl_estimated_costs_quantities[[#This Row],[Site Preparation]]*BOQs!$L$3</f>
        <v>0</v>
      </c>
      <c r="L412" s="76"/>
      <c r="M412" s="37"/>
      <c r="N412" s="86">
        <f>tbl_estimated_costs_quantities[[#This Row],[Demolition Removal Unsafe Structures]]*BOQs!$L$4</f>
        <v>0</v>
      </c>
      <c r="O412" s="76"/>
      <c r="P412" s="37"/>
      <c r="Q412" s="86">
        <f>tbl_estimated_costs_quantities[[#This Row],[Concrete Works]]*BOQs!$L$5</f>
        <v>0</v>
      </c>
      <c r="R412" s="76"/>
      <c r="S412" s="37"/>
      <c r="T412" s="86">
        <f>tbl_estimated_costs_quantities[[#This Row],[Closure External Openings Walls Windows]]*BOQs!$L$6</f>
        <v>0</v>
      </c>
      <c r="U412" s="76"/>
      <c r="V412" s="37"/>
      <c r="W412" s="86">
        <f>tbl_estimated_costs_quantities[[#This Row],[Plastering Painting]]*BOQs!$L$7</f>
        <v>0</v>
      </c>
      <c r="X412" s="76"/>
      <c r="Y412" s="37"/>
      <c r="Z412" s="86">
        <f>tbl_estimated_costs_quantities[[#This Row],[Floor Repairs]]*BOQs!$L$8</f>
        <v>0</v>
      </c>
      <c r="AA412" s="76"/>
      <c r="AB412" s="37"/>
      <c r="AC412" s="86">
        <f>tbl_estimated_costs_quantities[[#This Row],[Doors Replacement Repair]]*BOQs!$L$9</f>
        <v>0</v>
      </c>
      <c r="AD412" s="76"/>
      <c r="AE412" s="37"/>
      <c r="AF412" s="86">
        <f>tbl_estimated_costs_quantities[[#This Row],[Windows Replacement Repair]]*BOQs!$L$10</f>
        <v>0</v>
      </c>
      <c r="AG412" s="76"/>
      <c r="AH412" s="37"/>
      <c r="AI412" s="86">
        <f>tbl_estimated_costs_quantities[[#This Row],[Bathroom Rehabilitation]]*BOQs!$L$11</f>
        <v>0</v>
      </c>
      <c r="AJ412" s="76"/>
      <c r="AK412" s="37"/>
      <c r="AL412" s="86">
        <f>tbl_estimated_costs_quantities[[#This Row],[Ceramic Tile Works WASH]]*BOQs!$L$12</f>
        <v>0</v>
      </c>
      <c r="AM412" s="76"/>
      <c r="AN412" s="37"/>
      <c r="AO412" s="86">
        <f>tbl_estimated_costs_quantities[[#This Row],[Electrical Repairs Lighting]]*BOQs!$L$13</f>
        <v>0</v>
      </c>
      <c r="AP412" s="76"/>
      <c r="AQ412" s="37"/>
      <c r="AR412" s="86">
        <f>tbl_estimated_costs_quantities[[#This Row],[Roof Insulation Leak Sealing]]*BOQs!$L$14</f>
        <v>0</v>
      </c>
      <c r="AS412" s="76"/>
      <c r="AT412" s="37"/>
      <c r="AU412" s="86">
        <f>tbl_estimated_costs_quantities[[#This Row],[Chimney Duct Cleaning Repair]]*BOQs!$L$15</f>
        <v>0</v>
      </c>
      <c r="AV412" s="76"/>
      <c r="AW412" s="37"/>
      <c r="AX412" s="89">
        <f>tbl_estimated_costs_quantities[[#This Row],[Accessibility Adaptations]]*BOQs!$L$16</f>
        <v>0</v>
      </c>
      <c r="AY412" s="86" t="str">
        <f>IF(tbl_estimated_costs_quantities[[#This Row],[Total cost]]&lt;&gt;0,tbl_estimated_costs_quantities[[#This Row],[Total cost]]/BOQs!$A$1,"")</f>
        <v/>
      </c>
      <c r="AZ412" s="37"/>
      <c r="BA412" s="37"/>
      <c r="BB412" s="37"/>
      <c r="BC412" s="37"/>
      <c r="BD412" s="41"/>
      <c r="BE412" s="37"/>
      <c r="BF412" s="37"/>
      <c r="BG412" s="37"/>
      <c r="BH412" s="41"/>
    </row>
    <row r="413" spans="2:60" ht="25.15" customHeight="1" x14ac:dyDescent="0.25">
      <c r="B413" s="49">
        <v>409</v>
      </c>
      <c r="C413" s="37"/>
      <c r="D413" s="41"/>
      <c r="E413" s="40"/>
      <c r="F413" s="87" t="str">
        <f>IF(tbl_estimated_costs_quantities[[#This Row],[House Code]]&lt;&gt;"",INDEX(tbl_Assessment[],MATCH(tbl_estimated_costs_quantities[[#This Row],[House Code]],tbl_Assessment[House Code],0),3),"")</f>
        <v/>
      </c>
      <c r="G413" s="115" t="str">
        <f>IF(tbl_estimated_costs_quantities[[#This Row],[House Code]]&lt;&gt;"",INDEX(tbl_Assessment[],MATCH(tbl_estimated_costs_quantities[[#This Row],[House Code]],tbl_Assessment[House Code],0),9),"")</f>
        <v/>
      </c>
      <c r="H41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3" s="75"/>
      <c r="J413" s="37"/>
      <c r="K413" s="86">
        <f>tbl_estimated_costs_quantities[[#This Row],[Site Preparation]]*BOQs!$L$3</f>
        <v>0</v>
      </c>
      <c r="L413" s="76"/>
      <c r="M413" s="37"/>
      <c r="N413" s="86">
        <f>tbl_estimated_costs_quantities[[#This Row],[Demolition Removal Unsafe Structures]]*BOQs!$L$4</f>
        <v>0</v>
      </c>
      <c r="O413" s="76"/>
      <c r="P413" s="37"/>
      <c r="Q413" s="86">
        <f>tbl_estimated_costs_quantities[[#This Row],[Concrete Works]]*BOQs!$L$5</f>
        <v>0</v>
      </c>
      <c r="R413" s="76"/>
      <c r="S413" s="37"/>
      <c r="T413" s="86">
        <f>tbl_estimated_costs_quantities[[#This Row],[Closure External Openings Walls Windows]]*BOQs!$L$6</f>
        <v>0</v>
      </c>
      <c r="U413" s="76"/>
      <c r="V413" s="37"/>
      <c r="W413" s="86">
        <f>tbl_estimated_costs_quantities[[#This Row],[Plastering Painting]]*BOQs!$L$7</f>
        <v>0</v>
      </c>
      <c r="X413" s="76"/>
      <c r="Y413" s="37"/>
      <c r="Z413" s="86">
        <f>tbl_estimated_costs_quantities[[#This Row],[Floor Repairs]]*BOQs!$L$8</f>
        <v>0</v>
      </c>
      <c r="AA413" s="76"/>
      <c r="AB413" s="37"/>
      <c r="AC413" s="86">
        <f>tbl_estimated_costs_quantities[[#This Row],[Doors Replacement Repair]]*BOQs!$L$9</f>
        <v>0</v>
      </c>
      <c r="AD413" s="76"/>
      <c r="AE413" s="37"/>
      <c r="AF413" s="86">
        <f>tbl_estimated_costs_quantities[[#This Row],[Windows Replacement Repair]]*BOQs!$L$10</f>
        <v>0</v>
      </c>
      <c r="AG413" s="76"/>
      <c r="AH413" s="37"/>
      <c r="AI413" s="86">
        <f>tbl_estimated_costs_quantities[[#This Row],[Bathroom Rehabilitation]]*BOQs!$L$11</f>
        <v>0</v>
      </c>
      <c r="AJ413" s="76"/>
      <c r="AK413" s="37"/>
      <c r="AL413" s="86">
        <f>tbl_estimated_costs_quantities[[#This Row],[Ceramic Tile Works WASH]]*BOQs!$L$12</f>
        <v>0</v>
      </c>
      <c r="AM413" s="76"/>
      <c r="AN413" s="37"/>
      <c r="AO413" s="86">
        <f>tbl_estimated_costs_quantities[[#This Row],[Electrical Repairs Lighting]]*BOQs!$L$13</f>
        <v>0</v>
      </c>
      <c r="AP413" s="76"/>
      <c r="AQ413" s="37"/>
      <c r="AR413" s="86">
        <f>tbl_estimated_costs_quantities[[#This Row],[Roof Insulation Leak Sealing]]*BOQs!$L$14</f>
        <v>0</v>
      </c>
      <c r="AS413" s="76"/>
      <c r="AT413" s="37"/>
      <c r="AU413" s="86">
        <f>tbl_estimated_costs_quantities[[#This Row],[Chimney Duct Cleaning Repair]]*BOQs!$L$15</f>
        <v>0</v>
      </c>
      <c r="AV413" s="76"/>
      <c r="AW413" s="37"/>
      <c r="AX413" s="89">
        <f>tbl_estimated_costs_quantities[[#This Row],[Accessibility Adaptations]]*BOQs!$L$16</f>
        <v>0</v>
      </c>
      <c r="AY413" s="86" t="str">
        <f>IF(tbl_estimated_costs_quantities[[#This Row],[Total cost]]&lt;&gt;0,tbl_estimated_costs_quantities[[#This Row],[Total cost]]/BOQs!$A$1,"")</f>
        <v/>
      </c>
      <c r="AZ413" s="37"/>
      <c r="BA413" s="37"/>
      <c r="BB413" s="37"/>
      <c r="BC413" s="37"/>
      <c r="BD413" s="41"/>
      <c r="BE413" s="37"/>
      <c r="BF413" s="37"/>
      <c r="BG413" s="37"/>
      <c r="BH413" s="41"/>
    </row>
    <row r="414" spans="2:60" ht="25.15" customHeight="1" x14ac:dyDescent="0.25">
      <c r="B414" s="49">
        <v>410</v>
      </c>
      <c r="C414" s="37"/>
      <c r="D414" s="41"/>
      <c r="E414" s="40"/>
      <c r="F414" s="87" t="str">
        <f>IF(tbl_estimated_costs_quantities[[#This Row],[House Code]]&lt;&gt;"",INDEX(tbl_Assessment[],MATCH(tbl_estimated_costs_quantities[[#This Row],[House Code]],tbl_Assessment[House Code],0),3),"")</f>
        <v/>
      </c>
      <c r="G414" s="115" t="str">
        <f>IF(tbl_estimated_costs_quantities[[#This Row],[House Code]]&lt;&gt;"",INDEX(tbl_Assessment[],MATCH(tbl_estimated_costs_quantities[[#This Row],[House Code]],tbl_Assessment[House Code],0),9),"")</f>
        <v/>
      </c>
      <c r="H41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4" s="75"/>
      <c r="J414" s="37"/>
      <c r="K414" s="86">
        <f>tbl_estimated_costs_quantities[[#This Row],[Site Preparation]]*BOQs!$L$3</f>
        <v>0</v>
      </c>
      <c r="L414" s="76"/>
      <c r="M414" s="37"/>
      <c r="N414" s="86">
        <f>tbl_estimated_costs_quantities[[#This Row],[Demolition Removal Unsafe Structures]]*BOQs!$L$4</f>
        <v>0</v>
      </c>
      <c r="O414" s="76"/>
      <c r="P414" s="37"/>
      <c r="Q414" s="86">
        <f>tbl_estimated_costs_quantities[[#This Row],[Concrete Works]]*BOQs!$L$5</f>
        <v>0</v>
      </c>
      <c r="R414" s="76"/>
      <c r="S414" s="37"/>
      <c r="T414" s="86">
        <f>tbl_estimated_costs_quantities[[#This Row],[Closure External Openings Walls Windows]]*BOQs!$L$6</f>
        <v>0</v>
      </c>
      <c r="U414" s="76"/>
      <c r="V414" s="37"/>
      <c r="W414" s="86">
        <f>tbl_estimated_costs_quantities[[#This Row],[Plastering Painting]]*BOQs!$L$7</f>
        <v>0</v>
      </c>
      <c r="X414" s="76"/>
      <c r="Y414" s="37"/>
      <c r="Z414" s="86">
        <f>tbl_estimated_costs_quantities[[#This Row],[Floor Repairs]]*BOQs!$L$8</f>
        <v>0</v>
      </c>
      <c r="AA414" s="76"/>
      <c r="AB414" s="37"/>
      <c r="AC414" s="86">
        <f>tbl_estimated_costs_quantities[[#This Row],[Doors Replacement Repair]]*BOQs!$L$9</f>
        <v>0</v>
      </c>
      <c r="AD414" s="76"/>
      <c r="AE414" s="37"/>
      <c r="AF414" s="86">
        <f>tbl_estimated_costs_quantities[[#This Row],[Windows Replacement Repair]]*BOQs!$L$10</f>
        <v>0</v>
      </c>
      <c r="AG414" s="76"/>
      <c r="AH414" s="37"/>
      <c r="AI414" s="86">
        <f>tbl_estimated_costs_quantities[[#This Row],[Bathroom Rehabilitation]]*BOQs!$L$11</f>
        <v>0</v>
      </c>
      <c r="AJ414" s="76"/>
      <c r="AK414" s="37"/>
      <c r="AL414" s="86">
        <f>tbl_estimated_costs_quantities[[#This Row],[Ceramic Tile Works WASH]]*BOQs!$L$12</f>
        <v>0</v>
      </c>
      <c r="AM414" s="76"/>
      <c r="AN414" s="37"/>
      <c r="AO414" s="86">
        <f>tbl_estimated_costs_quantities[[#This Row],[Electrical Repairs Lighting]]*BOQs!$L$13</f>
        <v>0</v>
      </c>
      <c r="AP414" s="76"/>
      <c r="AQ414" s="37"/>
      <c r="AR414" s="86">
        <f>tbl_estimated_costs_quantities[[#This Row],[Roof Insulation Leak Sealing]]*BOQs!$L$14</f>
        <v>0</v>
      </c>
      <c r="AS414" s="76"/>
      <c r="AT414" s="37"/>
      <c r="AU414" s="86">
        <f>tbl_estimated_costs_quantities[[#This Row],[Chimney Duct Cleaning Repair]]*BOQs!$L$15</f>
        <v>0</v>
      </c>
      <c r="AV414" s="76"/>
      <c r="AW414" s="37"/>
      <c r="AX414" s="89">
        <f>tbl_estimated_costs_quantities[[#This Row],[Accessibility Adaptations]]*BOQs!$L$16</f>
        <v>0</v>
      </c>
      <c r="AY414" s="86" t="str">
        <f>IF(tbl_estimated_costs_quantities[[#This Row],[Total cost]]&lt;&gt;0,tbl_estimated_costs_quantities[[#This Row],[Total cost]]/BOQs!$A$1,"")</f>
        <v/>
      </c>
      <c r="AZ414" s="37"/>
      <c r="BA414" s="37"/>
      <c r="BB414" s="37"/>
      <c r="BC414" s="37"/>
      <c r="BD414" s="41"/>
      <c r="BE414" s="37"/>
      <c r="BF414" s="37"/>
      <c r="BG414" s="37"/>
      <c r="BH414" s="41"/>
    </row>
    <row r="415" spans="2:60" ht="25.15" customHeight="1" x14ac:dyDescent="0.25">
      <c r="B415" s="49">
        <v>411</v>
      </c>
      <c r="C415" s="37"/>
      <c r="D415" s="41"/>
      <c r="E415" s="40"/>
      <c r="F415" s="87" t="str">
        <f>IF(tbl_estimated_costs_quantities[[#This Row],[House Code]]&lt;&gt;"",INDEX(tbl_Assessment[],MATCH(tbl_estimated_costs_quantities[[#This Row],[House Code]],tbl_Assessment[House Code],0),3),"")</f>
        <v/>
      </c>
      <c r="G415" s="115" t="str">
        <f>IF(tbl_estimated_costs_quantities[[#This Row],[House Code]]&lt;&gt;"",INDEX(tbl_Assessment[],MATCH(tbl_estimated_costs_quantities[[#This Row],[House Code]],tbl_Assessment[House Code],0),9),"")</f>
        <v/>
      </c>
      <c r="H41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5" s="75"/>
      <c r="J415" s="37"/>
      <c r="K415" s="86">
        <f>tbl_estimated_costs_quantities[[#This Row],[Site Preparation]]*BOQs!$L$3</f>
        <v>0</v>
      </c>
      <c r="L415" s="76"/>
      <c r="M415" s="37"/>
      <c r="N415" s="86">
        <f>tbl_estimated_costs_quantities[[#This Row],[Demolition Removal Unsafe Structures]]*BOQs!$L$4</f>
        <v>0</v>
      </c>
      <c r="O415" s="76"/>
      <c r="P415" s="37"/>
      <c r="Q415" s="86">
        <f>tbl_estimated_costs_quantities[[#This Row],[Concrete Works]]*BOQs!$L$5</f>
        <v>0</v>
      </c>
      <c r="R415" s="76"/>
      <c r="S415" s="37"/>
      <c r="T415" s="86">
        <f>tbl_estimated_costs_quantities[[#This Row],[Closure External Openings Walls Windows]]*BOQs!$L$6</f>
        <v>0</v>
      </c>
      <c r="U415" s="76"/>
      <c r="V415" s="37"/>
      <c r="W415" s="86">
        <f>tbl_estimated_costs_quantities[[#This Row],[Plastering Painting]]*BOQs!$L$7</f>
        <v>0</v>
      </c>
      <c r="X415" s="76"/>
      <c r="Y415" s="37"/>
      <c r="Z415" s="86">
        <f>tbl_estimated_costs_quantities[[#This Row],[Floor Repairs]]*BOQs!$L$8</f>
        <v>0</v>
      </c>
      <c r="AA415" s="76"/>
      <c r="AB415" s="37"/>
      <c r="AC415" s="86">
        <f>tbl_estimated_costs_quantities[[#This Row],[Doors Replacement Repair]]*BOQs!$L$9</f>
        <v>0</v>
      </c>
      <c r="AD415" s="76"/>
      <c r="AE415" s="37"/>
      <c r="AF415" s="86">
        <f>tbl_estimated_costs_quantities[[#This Row],[Windows Replacement Repair]]*BOQs!$L$10</f>
        <v>0</v>
      </c>
      <c r="AG415" s="76"/>
      <c r="AH415" s="37"/>
      <c r="AI415" s="86">
        <f>tbl_estimated_costs_quantities[[#This Row],[Bathroom Rehabilitation]]*BOQs!$L$11</f>
        <v>0</v>
      </c>
      <c r="AJ415" s="76"/>
      <c r="AK415" s="37"/>
      <c r="AL415" s="86">
        <f>tbl_estimated_costs_quantities[[#This Row],[Ceramic Tile Works WASH]]*BOQs!$L$12</f>
        <v>0</v>
      </c>
      <c r="AM415" s="76"/>
      <c r="AN415" s="37"/>
      <c r="AO415" s="86">
        <f>tbl_estimated_costs_quantities[[#This Row],[Electrical Repairs Lighting]]*BOQs!$L$13</f>
        <v>0</v>
      </c>
      <c r="AP415" s="76"/>
      <c r="AQ415" s="37"/>
      <c r="AR415" s="86">
        <f>tbl_estimated_costs_quantities[[#This Row],[Roof Insulation Leak Sealing]]*BOQs!$L$14</f>
        <v>0</v>
      </c>
      <c r="AS415" s="76"/>
      <c r="AT415" s="37"/>
      <c r="AU415" s="86">
        <f>tbl_estimated_costs_quantities[[#This Row],[Chimney Duct Cleaning Repair]]*BOQs!$L$15</f>
        <v>0</v>
      </c>
      <c r="AV415" s="76"/>
      <c r="AW415" s="37"/>
      <c r="AX415" s="89">
        <f>tbl_estimated_costs_quantities[[#This Row],[Accessibility Adaptations]]*BOQs!$L$16</f>
        <v>0</v>
      </c>
      <c r="AY415" s="86" t="str">
        <f>IF(tbl_estimated_costs_quantities[[#This Row],[Total cost]]&lt;&gt;0,tbl_estimated_costs_quantities[[#This Row],[Total cost]]/BOQs!$A$1,"")</f>
        <v/>
      </c>
      <c r="AZ415" s="37"/>
      <c r="BA415" s="37"/>
      <c r="BB415" s="37"/>
      <c r="BC415" s="37"/>
      <c r="BD415" s="41"/>
      <c r="BE415" s="37"/>
      <c r="BF415" s="37"/>
      <c r="BG415" s="37"/>
      <c r="BH415" s="41"/>
    </row>
    <row r="416" spans="2:60" ht="25.15" customHeight="1" x14ac:dyDescent="0.25">
      <c r="B416" s="49">
        <v>412</v>
      </c>
      <c r="C416" s="37"/>
      <c r="D416" s="41"/>
      <c r="E416" s="40"/>
      <c r="F416" s="87" t="str">
        <f>IF(tbl_estimated_costs_quantities[[#This Row],[House Code]]&lt;&gt;"",INDEX(tbl_Assessment[],MATCH(tbl_estimated_costs_quantities[[#This Row],[House Code]],tbl_Assessment[House Code],0),3),"")</f>
        <v/>
      </c>
      <c r="G416" s="115" t="str">
        <f>IF(tbl_estimated_costs_quantities[[#This Row],[House Code]]&lt;&gt;"",INDEX(tbl_Assessment[],MATCH(tbl_estimated_costs_quantities[[#This Row],[House Code]],tbl_Assessment[House Code],0),9),"")</f>
        <v/>
      </c>
      <c r="H41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6" s="75"/>
      <c r="J416" s="37"/>
      <c r="K416" s="86">
        <f>tbl_estimated_costs_quantities[[#This Row],[Site Preparation]]*BOQs!$L$3</f>
        <v>0</v>
      </c>
      <c r="L416" s="76"/>
      <c r="M416" s="37"/>
      <c r="N416" s="86">
        <f>tbl_estimated_costs_quantities[[#This Row],[Demolition Removal Unsafe Structures]]*BOQs!$L$4</f>
        <v>0</v>
      </c>
      <c r="O416" s="76"/>
      <c r="P416" s="37"/>
      <c r="Q416" s="86">
        <f>tbl_estimated_costs_quantities[[#This Row],[Concrete Works]]*BOQs!$L$5</f>
        <v>0</v>
      </c>
      <c r="R416" s="76"/>
      <c r="S416" s="37"/>
      <c r="T416" s="86">
        <f>tbl_estimated_costs_quantities[[#This Row],[Closure External Openings Walls Windows]]*BOQs!$L$6</f>
        <v>0</v>
      </c>
      <c r="U416" s="76"/>
      <c r="V416" s="37"/>
      <c r="W416" s="86">
        <f>tbl_estimated_costs_quantities[[#This Row],[Plastering Painting]]*BOQs!$L$7</f>
        <v>0</v>
      </c>
      <c r="X416" s="76"/>
      <c r="Y416" s="37"/>
      <c r="Z416" s="86">
        <f>tbl_estimated_costs_quantities[[#This Row],[Floor Repairs]]*BOQs!$L$8</f>
        <v>0</v>
      </c>
      <c r="AA416" s="76"/>
      <c r="AB416" s="37"/>
      <c r="AC416" s="86">
        <f>tbl_estimated_costs_quantities[[#This Row],[Doors Replacement Repair]]*BOQs!$L$9</f>
        <v>0</v>
      </c>
      <c r="AD416" s="76"/>
      <c r="AE416" s="37"/>
      <c r="AF416" s="86">
        <f>tbl_estimated_costs_quantities[[#This Row],[Windows Replacement Repair]]*BOQs!$L$10</f>
        <v>0</v>
      </c>
      <c r="AG416" s="76"/>
      <c r="AH416" s="37"/>
      <c r="AI416" s="86">
        <f>tbl_estimated_costs_quantities[[#This Row],[Bathroom Rehabilitation]]*BOQs!$L$11</f>
        <v>0</v>
      </c>
      <c r="AJ416" s="76"/>
      <c r="AK416" s="37"/>
      <c r="AL416" s="86">
        <f>tbl_estimated_costs_quantities[[#This Row],[Ceramic Tile Works WASH]]*BOQs!$L$12</f>
        <v>0</v>
      </c>
      <c r="AM416" s="76"/>
      <c r="AN416" s="37"/>
      <c r="AO416" s="86">
        <f>tbl_estimated_costs_quantities[[#This Row],[Electrical Repairs Lighting]]*BOQs!$L$13</f>
        <v>0</v>
      </c>
      <c r="AP416" s="76"/>
      <c r="AQ416" s="37"/>
      <c r="AR416" s="86">
        <f>tbl_estimated_costs_quantities[[#This Row],[Roof Insulation Leak Sealing]]*BOQs!$L$14</f>
        <v>0</v>
      </c>
      <c r="AS416" s="76"/>
      <c r="AT416" s="37"/>
      <c r="AU416" s="86">
        <f>tbl_estimated_costs_quantities[[#This Row],[Chimney Duct Cleaning Repair]]*BOQs!$L$15</f>
        <v>0</v>
      </c>
      <c r="AV416" s="76"/>
      <c r="AW416" s="37"/>
      <c r="AX416" s="89">
        <f>tbl_estimated_costs_quantities[[#This Row],[Accessibility Adaptations]]*BOQs!$L$16</f>
        <v>0</v>
      </c>
      <c r="AY416" s="86" t="str">
        <f>IF(tbl_estimated_costs_quantities[[#This Row],[Total cost]]&lt;&gt;0,tbl_estimated_costs_quantities[[#This Row],[Total cost]]/BOQs!$A$1,"")</f>
        <v/>
      </c>
      <c r="AZ416" s="37"/>
      <c r="BA416" s="37"/>
      <c r="BB416" s="37"/>
      <c r="BC416" s="37"/>
      <c r="BD416" s="41"/>
      <c r="BE416" s="37"/>
      <c r="BF416" s="37"/>
      <c r="BG416" s="37"/>
      <c r="BH416" s="41"/>
    </row>
    <row r="417" spans="2:60" ht="25.15" customHeight="1" x14ac:dyDescent="0.25">
      <c r="B417" s="49">
        <v>413</v>
      </c>
      <c r="C417" s="37"/>
      <c r="D417" s="41"/>
      <c r="E417" s="40"/>
      <c r="F417" s="87" t="str">
        <f>IF(tbl_estimated_costs_quantities[[#This Row],[House Code]]&lt;&gt;"",INDEX(tbl_Assessment[],MATCH(tbl_estimated_costs_quantities[[#This Row],[House Code]],tbl_Assessment[House Code],0),3),"")</f>
        <v/>
      </c>
      <c r="G417" s="115" t="str">
        <f>IF(tbl_estimated_costs_quantities[[#This Row],[House Code]]&lt;&gt;"",INDEX(tbl_Assessment[],MATCH(tbl_estimated_costs_quantities[[#This Row],[House Code]],tbl_Assessment[House Code],0),9),"")</f>
        <v/>
      </c>
      <c r="H41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7" s="75"/>
      <c r="J417" s="37"/>
      <c r="K417" s="86">
        <f>tbl_estimated_costs_quantities[[#This Row],[Site Preparation]]*BOQs!$L$3</f>
        <v>0</v>
      </c>
      <c r="L417" s="76"/>
      <c r="M417" s="37"/>
      <c r="N417" s="86">
        <f>tbl_estimated_costs_quantities[[#This Row],[Demolition Removal Unsafe Structures]]*BOQs!$L$4</f>
        <v>0</v>
      </c>
      <c r="O417" s="76"/>
      <c r="P417" s="37"/>
      <c r="Q417" s="86">
        <f>tbl_estimated_costs_quantities[[#This Row],[Concrete Works]]*BOQs!$L$5</f>
        <v>0</v>
      </c>
      <c r="R417" s="76"/>
      <c r="S417" s="37"/>
      <c r="T417" s="86">
        <f>tbl_estimated_costs_quantities[[#This Row],[Closure External Openings Walls Windows]]*BOQs!$L$6</f>
        <v>0</v>
      </c>
      <c r="U417" s="76"/>
      <c r="V417" s="37"/>
      <c r="W417" s="86">
        <f>tbl_estimated_costs_quantities[[#This Row],[Plastering Painting]]*BOQs!$L$7</f>
        <v>0</v>
      </c>
      <c r="X417" s="76"/>
      <c r="Y417" s="37"/>
      <c r="Z417" s="86">
        <f>tbl_estimated_costs_quantities[[#This Row],[Floor Repairs]]*BOQs!$L$8</f>
        <v>0</v>
      </c>
      <c r="AA417" s="76"/>
      <c r="AB417" s="37"/>
      <c r="AC417" s="86">
        <f>tbl_estimated_costs_quantities[[#This Row],[Doors Replacement Repair]]*BOQs!$L$9</f>
        <v>0</v>
      </c>
      <c r="AD417" s="76"/>
      <c r="AE417" s="37"/>
      <c r="AF417" s="86">
        <f>tbl_estimated_costs_quantities[[#This Row],[Windows Replacement Repair]]*BOQs!$L$10</f>
        <v>0</v>
      </c>
      <c r="AG417" s="76"/>
      <c r="AH417" s="37"/>
      <c r="AI417" s="86">
        <f>tbl_estimated_costs_quantities[[#This Row],[Bathroom Rehabilitation]]*BOQs!$L$11</f>
        <v>0</v>
      </c>
      <c r="AJ417" s="76"/>
      <c r="AK417" s="37"/>
      <c r="AL417" s="86">
        <f>tbl_estimated_costs_quantities[[#This Row],[Ceramic Tile Works WASH]]*BOQs!$L$12</f>
        <v>0</v>
      </c>
      <c r="AM417" s="76"/>
      <c r="AN417" s="37"/>
      <c r="AO417" s="86">
        <f>tbl_estimated_costs_quantities[[#This Row],[Electrical Repairs Lighting]]*BOQs!$L$13</f>
        <v>0</v>
      </c>
      <c r="AP417" s="76"/>
      <c r="AQ417" s="37"/>
      <c r="AR417" s="86">
        <f>tbl_estimated_costs_quantities[[#This Row],[Roof Insulation Leak Sealing]]*BOQs!$L$14</f>
        <v>0</v>
      </c>
      <c r="AS417" s="76"/>
      <c r="AT417" s="37"/>
      <c r="AU417" s="86">
        <f>tbl_estimated_costs_quantities[[#This Row],[Chimney Duct Cleaning Repair]]*BOQs!$L$15</f>
        <v>0</v>
      </c>
      <c r="AV417" s="76"/>
      <c r="AW417" s="37"/>
      <c r="AX417" s="89">
        <f>tbl_estimated_costs_quantities[[#This Row],[Accessibility Adaptations]]*BOQs!$L$16</f>
        <v>0</v>
      </c>
      <c r="AY417" s="86" t="str">
        <f>IF(tbl_estimated_costs_quantities[[#This Row],[Total cost]]&lt;&gt;0,tbl_estimated_costs_quantities[[#This Row],[Total cost]]/BOQs!$A$1,"")</f>
        <v/>
      </c>
      <c r="AZ417" s="37"/>
      <c r="BA417" s="37"/>
      <c r="BB417" s="37"/>
      <c r="BC417" s="37"/>
      <c r="BD417" s="41"/>
      <c r="BE417" s="37"/>
      <c r="BF417" s="37"/>
      <c r="BG417" s="37"/>
      <c r="BH417" s="41"/>
    </row>
    <row r="418" spans="2:60" ht="25.15" customHeight="1" x14ac:dyDescent="0.25">
      <c r="B418" s="49">
        <v>414</v>
      </c>
      <c r="C418" s="37"/>
      <c r="D418" s="41"/>
      <c r="E418" s="40"/>
      <c r="F418" s="87" t="str">
        <f>IF(tbl_estimated_costs_quantities[[#This Row],[House Code]]&lt;&gt;"",INDEX(tbl_Assessment[],MATCH(tbl_estimated_costs_quantities[[#This Row],[House Code]],tbl_Assessment[House Code],0),3),"")</f>
        <v/>
      </c>
      <c r="G418" s="115" t="str">
        <f>IF(tbl_estimated_costs_quantities[[#This Row],[House Code]]&lt;&gt;"",INDEX(tbl_Assessment[],MATCH(tbl_estimated_costs_quantities[[#This Row],[House Code]],tbl_Assessment[House Code],0),9),"")</f>
        <v/>
      </c>
      <c r="H41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8" s="75"/>
      <c r="J418" s="37"/>
      <c r="K418" s="86">
        <f>tbl_estimated_costs_quantities[[#This Row],[Site Preparation]]*BOQs!$L$3</f>
        <v>0</v>
      </c>
      <c r="L418" s="76"/>
      <c r="M418" s="37"/>
      <c r="N418" s="86">
        <f>tbl_estimated_costs_quantities[[#This Row],[Demolition Removal Unsafe Structures]]*BOQs!$L$4</f>
        <v>0</v>
      </c>
      <c r="O418" s="76"/>
      <c r="P418" s="37"/>
      <c r="Q418" s="86">
        <f>tbl_estimated_costs_quantities[[#This Row],[Concrete Works]]*BOQs!$L$5</f>
        <v>0</v>
      </c>
      <c r="R418" s="76"/>
      <c r="S418" s="37"/>
      <c r="T418" s="86">
        <f>tbl_estimated_costs_quantities[[#This Row],[Closure External Openings Walls Windows]]*BOQs!$L$6</f>
        <v>0</v>
      </c>
      <c r="U418" s="76"/>
      <c r="V418" s="37"/>
      <c r="W418" s="86">
        <f>tbl_estimated_costs_quantities[[#This Row],[Plastering Painting]]*BOQs!$L$7</f>
        <v>0</v>
      </c>
      <c r="X418" s="76"/>
      <c r="Y418" s="37"/>
      <c r="Z418" s="86">
        <f>tbl_estimated_costs_quantities[[#This Row],[Floor Repairs]]*BOQs!$L$8</f>
        <v>0</v>
      </c>
      <c r="AA418" s="76"/>
      <c r="AB418" s="37"/>
      <c r="AC418" s="86">
        <f>tbl_estimated_costs_quantities[[#This Row],[Doors Replacement Repair]]*BOQs!$L$9</f>
        <v>0</v>
      </c>
      <c r="AD418" s="76"/>
      <c r="AE418" s="37"/>
      <c r="AF418" s="86">
        <f>tbl_estimated_costs_quantities[[#This Row],[Windows Replacement Repair]]*BOQs!$L$10</f>
        <v>0</v>
      </c>
      <c r="AG418" s="76"/>
      <c r="AH418" s="37"/>
      <c r="AI418" s="86">
        <f>tbl_estimated_costs_quantities[[#This Row],[Bathroom Rehabilitation]]*BOQs!$L$11</f>
        <v>0</v>
      </c>
      <c r="AJ418" s="76"/>
      <c r="AK418" s="37"/>
      <c r="AL418" s="86">
        <f>tbl_estimated_costs_quantities[[#This Row],[Ceramic Tile Works WASH]]*BOQs!$L$12</f>
        <v>0</v>
      </c>
      <c r="AM418" s="76"/>
      <c r="AN418" s="37"/>
      <c r="AO418" s="86">
        <f>tbl_estimated_costs_quantities[[#This Row],[Electrical Repairs Lighting]]*BOQs!$L$13</f>
        <v>0</v>
      </c>
      <c r="AP418" s="76"/>
      <c r="AQ418" s="37"/>
      <c r="AR418" s="86">
        <f>tbl_estimated_costs_quantities[[#This Row],[Roof Insulation Leak Sealing]]*BOQs!$L$14</f>
        <v>0</v>
      </c>
      <c r="AS418" s="76"/>
      <c r="AT418" s="37"/>
      <c r="AU418" s="86">
        <f>tbl_estimated_costs_quantities[[#This Row],[Chimney Duct Cleaning Repair]]*BOQs!$L$15</f>
        <v>0</v>
      </c>
      <c r="AV418" s="76"/>
      <c r="AW418" s="37"/>
      <c r="AX418" s="89">
        <f>tbl_estimated_costs_quantities[[#This Row],[Accessibility Adaptations]]*BOQs!$L$16</f>
        <v>0</v>
      </c>
      <c r="AY418" s="86" t="str">
        <f>IF(tbl_estimated_costs_quantities[[#This Row],[Total cost]]&lt;&gt;0,tbl_estimated_costs_quantities[[#This Row],[Total cost]]/BOQs!$A$1,"")</f>
        <v/>
      </c>
      <c r="AZ418" s="37"/>
      <c r="BA418" s="37"/>
      <c r="BB418" s="37"/>
      <c r="BC418" s="37"/>
      <c r="BD418" s="41"/>
      <c r="BE418" s="37"/>
      <c r="BF418" s="37"/>
      <c r="BG418" s="37"/>
      <c r="BH418" s="41"/>
    </row>
    <row r="419" spans="2:60" ht="25.15" customHeight="1" x14ac:dyDescent="0.25">
      <c r="B419" s="49">
        <v>415</v>
      </c>
      <c r="C419" s="37"/>
      <c r="D419" s="41"/>
      <c r="E419" s="40"/>
      <c r="F419" s="87" t="str">
        <f>IF(tbl_estimated_costs_quantities[[#This Row],[House Code]]&lt;&gt;"",INDEX(tbl_Assessment[],MATCH(tbl_estimated_costs_quantities[[#This Row],[House Code]],tbl_Assessment[House Code],0),3),"")</f>
        <v/>
      </c>
      <c r="G419" s="115" t="str">
        <f>IF(tbl_estimated_costs_quantities[[#This Row],[House Code]]&lt;&gt;"",INDEX(tbl_Assessment[],MATCH(tbl_estimated_costs_quantities[[#This Row],[House Code]],tbl_Assessment[House Code],0),9),"")</f>
        <v/>
      </c>
      <c r="H41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19" s="75"/>
      <c r="J419" s="37"/>
      <c r="K419" s="86">
        <f>tbl_estimated_costs_quantities[[#This Row],[Site Preparation]]*BOQs!$L$3</f>
        <v>0</v>
      </c>
      <c r="L419" s="76"/>
      <c r="M419" s="37"/>
      <c r="N419" s="86">
        <f>tbl_estimated_costs_quantities[[#This Row],[Demolition Removal Unsafe Structures]]*BOQs!$L$4</f>
        <v>0</v>
      </c>
      <c r="O419" s="76"/>
      <c r="P419" s="37"/>
      <c r="Q419" s="86">
        <f>tbl_estimated_costs_quantities[[#This Row],[Concrete Works]]*BOQs!$L$5</f>
        <v>0</v>
      </c>
      <c r="R419" s="76"/>
      <c r="S419" s="37"/>
      <c r="T419" s="86">
        <f>tbl_estimated_costs_quantities[[#This Row],[Closure External Openings Walls Windows]]*BOQs!$L$6</f>
        <v>0</v>
      </c>
      <c r="U419" s="76"/>
      <c r="V419" s="37"/>
      <c r="W419" s="86">
        <f>tbl_estimated_costs_quantities[[#This Row],[Plastering Painting]]*BOQs!$L$7</f>
        <v>0</v>
      </c>
      <c r="X419" s="76"/>
      <c r="Y419" s="37"/>
      <c r="Z419" s="86">
        <f>tbl_estimated_costs_quantities[[#This Row],[Floor Repairs]]*BOQs!$L$8</f>
        <v>0</v>
      </c>
      <c r="AA419" s="76"/>
      <c r="AB419" s="37"/>
      <c r="AC419" s="86">
        <f>tbl_estimated_costs_quantities[[#This Row],[Doors Replacement Repair]]*BOQs!$L$9</f>
        <v>0</v>
      </c>
      <c r="AD419" s="76"/>
      <c r="AE419" s="37"/>
      <c r="AF419" s="86">
        <f>tbl_estimated_costs_quantities[[#This Row],[Windows Replacement Repair]]*BOQs!$L$10</f>
        <v>0</v>
      </c>
      <c r="AG419" s="76"/>
      <c r="AH419" s="37"/>
      <c r="AI419" s="86">
        <f>tbl_estimated_costs_quantities[[#This Row],[Bathroom Rehabilitation]]*BOQs!$L$11</f>
        <v>0</v>
      </c>
      <c r="AJ419" s="76"/>
      <c r="AK419" s="37"/>
      <c r="AL419" s="86">
        <f>tbl_estimated_costs_quantities[[#This Row],[Ceramic Tile Works WASH]]*BOQs!$L$12</f>
        <v>0</v>
      </c>
      <c r="AM419" s="76"/>
      <c r="AN419" s="37"/>
      <c r="AO419" s="86">
        <f>tbl_estimated_costs_quantities[[#This Row],[Electrical Repairs Lighting]]*BOQs!$L$13</f>
        <v>0</v>
      </c>
      <c r="AP419" s="76"/>
      <c r="AQ419" s="37"/>
      <c r="AR419" s="86">
        <f>tbl_estimated_costs_quantities[[#This Row],[Roof Insulation Leak Sealing]]*BOQs!$L$14</f>
        <v>0</v>
      </c>
      <c r="AS419" s="76"/>
      <c r="AT419" s="37"/>
      <c r="AU419" s="86">
        <f>tbl_estimated_costs_quantities[[#This Row],[Chimney Duct Cleaning Repair]]*BOQs!$L$15</f>
        <v>0</v>
      </c>
      <c r="AV419" s="76"/>
      <c r="AW419" s="37"/>
      <c r="AX419" s="89">
        <f>tbl_estimated_costs_quantities[[#This Row],[Accessibility Adaptations]]*BOQs!$L$16</f>
        <v>0</v>
      </c>
      <c r="AY419" s="86" t="str">
        <f>IF(tbl_estimated_costs_quantities[[#This Row],[Total cost]]&lt;&gt;0,tbl_estimated_costs_quantities[[#This Row],[Total cost]]/BOQs!$A$1,"")</f>
        <v/>
      </c>
      <c r="AZ419" s="37"/>
      <c r="BA419" s="37"/>
      <c r="BB419" s="37"/>
      <c r="BC419" s="37"/>
      <c r="BD419" s="41"/>
      <c r="BE419" s="37"/>
      <c r="BF419" s="37"/>
      <c r="BG419" s="37"/>
      <c r="BH419" s="41"/>
    </row>
    <row r="420" spans="2:60" ht="25.15" customHeight="1" x14ac:dyDescent="0.25">
      <c r="B420" s="49">
        <v>416</v>
      </c>
      <c r="C420" s="37"/>
      <c r="D420" s="41"/>
      <c r="E420" s="40"/>
      <c r="F420" s="87" t="str">
        <f>IF(tbl_estimated_costs_quantities[[#This Row],[House Code]]&lt;&gt;"",INDEX(tbl_Assessment[],MATCH(tbl_estimated_costs_quantities[[#This Row],[House Code]],tbl_Assessment[House Code],0),3),"")</f>
        <v/>
      </c>
      <c r="G420" s="115" t="str">
        <f>IF(tbl_estimated_costs_quantities[[#This Row],[House Code]]&lt;&gt;"",INDEX(tbl_Assessment[],MATCH(tbl_estimated_costs_quantities[[#This Row],[House Code]],tbl_Assessment[House Code],0),9),"")</f>
        <v/>
      </c>
      <c r="H42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0" s="75"/>
      <c r="J420" s="37"/>
      <c r="K420" s="86">
        <f>tbl_estimated_costs_quantities[[#This Row],[Site Preparation]]*BOQs!$L$3</f>
        <v>0</v>
      </c>
      <c r="L420" s="76"/>
      <c r="M420" s="37"/>
      <c r="N420" s="86">
        <f>tbl_estimated_costs_quantities[[#This Row],[Demolition Removal Unsafe Structures]]*BOQs!$L$4</f>
        <v>0</v>
      </c>
      <c r="O420" s="76"/>
      <c r="P420" s="37"/>
      <c r="Q420" s="86">
        <f>tbl_estimated_costs_quantities[[#This Row],[Concrete Works]]*BOQs!$L$5</f>
        <v>0</v>
      </c>
      <c r="R420" s="76"/>
      <c r="S420" s="37"/>
      <c r="T420" s="86">
        <f>tbl_estimated_costs_quantities[[#This Row],[Closure External Openings Walls Windows]]*BOQs!$L$6</f>
        <v>0</v>
      </c>
      <c r="U420" s="76"/>
      <c r="V420" s="37"/>
      <c r="W420" s="86">
        <f>tbl_estimated_costs_quantities[[#This Row],[Plastering Painting]]*BOQs!$L$7</f>
        <v>0</v>
      </c>
      <c r="X420" s="76"/>
      <c r="Y420" s="37"/>
      <c r="Z420" s="86">
        <f>tbl_estimated_costs_quantities[[#This Row],[Floor Repairs]]*BOQs!$L$8</f>
        <v>0</v>
      </c>
      <c r="AA420" s="76"/>
      <c r="AB420" s="37"/>
      <c r="AC420" s="86">
        <f>tbl_estimated_costs_quantities[[#This Row],[Doors Replacement Repair]]*BOQs!$L$9</f>
        <v>0</v>
      </c>
      <c r="AD420" s="76"/>
      <c r="AE420" s="37"/>
      <c r="AF420" s="86">
        <f>tbl_estimated_costs_quantities[[#This Row],[Windows Replacement Repair]]*BOQs!$L$10</f>
        <v>0</v>
      </c>
      <c r="AG420" s="76"/>
      <c r="AH420" s="37"/>
      <c r="AI420" s="86">
        <f>tbl_estimated_costs_quantities[[#This Row],[Bathroom Rehabilitation]]*BOQs!$L$11</f>
        <v>0</v>
      </c>
      <c r="AJ420" s="76"/>
      <c r="AK420" s="37"/>
      <c r="AL420" s="86">
        <f>tbl_estimated_costs_quantities[[#This Row],[Ceramic Tile Works WASH]]*BOQs!$L$12</f>
        <v>0</v>
      </c>
      <c r="AM420" s="76"/>
      <c r="AN420" s="37"/>
      <c r="AO420" s="86">
        <f>tbl_estimated_costs_quantities[[#This Row],[Electrical Repairs Lighting]]*BOQs!$L$13</f>
        <v>0</v>
      </c>
      <c r="AP420" s="76"/>
      <c r="AQ420" s="37"/>
      <c r="AR420" s="86">
        <f>tbl_estimated_costs_quantities[[#This Row],[Roof Insulation Leak Sealing]]*BOQs!$L$14</f>
        <v>0</v>
      </c>
      <c r="AS420" s="76"/>
      <c r="AT420" s="37"/>
      <c r="AU420" s="86">
        <f>tbl_estimated_costs_quantities[[#This Row],[Chimney Duct Cleaning Repair]]*BOQs!$L$15</f>
        <v>0</v>
      </c>
      <c r="AV420" s="76"/>
      <c r="AW420" s="37"/>
      <c r="AX420" s="89">
        <f>tbl_estimated_costs_quantities[[#This Row],[Accessibility Adaptations]]*BOQs!$L$16</f>
        <v>0</v>
      </c>
      <c r="AY420" s="86" t="str">
        <f>IF(tbl_estimated_costs_quantities[[#This Row],[Total cost]]&lt;&gt;0,tbl_estimated_costs_quantities[[#This Row],[Total cost]]/BOQs!$A$1,"")</f>
        <v/>
      </c>
      <c r="AZ420" s="37"/>
      <c r="BA420" s="37"/>
      <c r="BB420" s="37"/>
      <c r="BC420" s="37"/>
      <c r="BD420" s="41"/>
      <c r="BE420" s="37"/>
      <c r="BF420" s="37"/>
      <c r="BG420" s="37"/>
      <c r="BH420" s="41"/>
    </row>
    <row r="421" spans="2:60" ht="25.15" customHeight="1" x14ac:dyDescent="0.25">
      <c r="B421" s="49">
        <v>417</v>
      </c>
      <c r="C421" s="37"/>
      <c r="D421" s="41"/>
      <c r="E421" s="40"/>
      <c r="F421" s="87" t="str">
        <f>IF(tbl_estimated_costs_quantities[[#This Row],[House Code]]&lt;&gt;"",INDEX(tbl_Assessment[],MATCH(tbl_estimated_costs_quantities[[#This Row],[House Code]],tbl_Assessment[House Code],0),3),"")</f>
        <v/>
      </c>
      <c r="G421" s="115" t="str">
        <f>IF(tbl_estimated_costs_quantities[[#This Row],[House Code]]&lt;&gt;"",INDEX(tbl_Assessment[],MATCH(tbl_estimated_costs_quantities[[#This Row],[House Code]],tbl_Assessment[House Code],0),9),"")</f>
        <v/>
      </c>
      <c r="H42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1" s="75"/>
      <c r="J421" s="37"/>
      <c r="K421" s="86">
        <f>tbl_estimated_costs_quantities[[#This Row],[Site Preparation]]*BOQs!$L$3</f>
        <v>0</v>
      </c>
      <c r="L421" s="76"/>
      <c r="M421" s="37"/>
      <c r="N421" s="86">
        <f>tbl_estimated_costs_quantities[[#This Row],[Demolition Removal Unsafe Structures]]*BOQs!$L$4</f>
        <v>0</v>
      </c>
      <c r="O421" s="76"/>
      <c r="P421" s="37"/>
      <c r="Q421" s="86">
        <f>tbl_estimated_costs_quantities[[#This Row],[Concrete Works]]*BOQs!$L$5</f>
        <v>0</v>
      </c>
      <c r="R421" s="76"/>
      <c r="S421" s="37"/>
      <c r="T421" s="86">
        <f>tbl_estimated_costs_quantities[[#This Row],[Closure External Openings Walls Windows]]*BOQs!$L$6</f>
        <v>0</v>
      </c>
      <c r="U421" s="76"/>
      <c r="V421" s="37"/>
      <c r="W421" s="86">
        <f>tbl_estimated_costs_quantities[[#This Row],[Plastering Painting]]*BOQs!$L$7</f>
        <v>0</v>
      </c>
      <c r="X421" s="76"/>
      <c r="Y421" s="37"/>
      <c r="Z421" s="86">
        <f>tbl_estimated_costs_quantities[[#This Row],[Floor Repairs]]*BOQs!$L$8</f>
        <v>0</v>
      </c>
      <c r="AA421" s="76"/>
      <c r="AB421" s="37"/>
      <c r="AC421" s="86">
        <f>tbl_estimated_costs_quantities[[#This Row],[Doors Replacement Repair]]*BOQs!$L$9</f>
        <v>0</v>
      </c>
      <c r="AD421" s="76"/>
      <c r="AE421" s="37"/>
      <c r="AF421" s="86">
        <f>tbl_estimated_costs_quantities[[#This Row],[Windows Replacement Repair]]*BOQs!$L$10</f>
        <v>0</v>
      </c>
      <c r="AG421" s="76"/>
      <c r="AH421" s="37"/>
      <c r="AI421" s="86">
        <f>tbl_estimated_costs_quantities[[#This Row],[Bathroom Rehabilitation]]*BOQs!$L$11</f>
        <v>0</v>
      </c>
      <c r="AJ421" s="76"/>
      <c r="AK421" s="37"/>
      <c r="AL421" s="86">
        <f>tbl_estimated_costs_quantities[[#This Row],[Ceramic Tile Works WASH]]*BOQs!$L$12</f>
        <v>0</v>
      </c>
      <c r="AM421" s="76"/>
      <c r="AN421" s="37"/>
      <c r="AO421" s="86">
        <f>tbl_estimated_costs_quantities[[#This Row],[Electrical Repairs Lighting]]*BOQs!$L$13</f>
        <v>0</v>
      </c>
      <c r="AP421" s="76"/>
      <c r="AQ421" s="37"/>
      <c r="AR421" s="86">
        <f>tbl_estimated_costs_quantities[[#This Row],[Roof Insulation Leak Sealing]]*BOQs!$L$14</f>
        <v>0</v>
      </c>
      <c r="AS421" s="76"/>
      <c r="AT421" s="37"/>
      <c r="AU421" s="86">
        <f>tbl_estimated_costs_quantities[[#This Row],[Chimney Duct Cleaning Repair]]*BOQs!$L$15</f>
        <v>0</v>
      </c>
      <c r="AV421" s="76"/>
      <c r="AW421" s="37"/>
      <c r="AX421" s="89">
        <f>tbl_estimated_costs_quantities[[#This Row],[Accessibility Adaptations]]*BOQs!$L$16</f>
        <v>0</v>
      </c>
      <c r="AY421" s="86" t="str">
        <f>IF(tbl_estimated_costs_quantities[[#This Row],[Total cost]]&lt;&gt;0,tbl_estimated_costs_quantities[[#This Row],[Total cost]]/BOQs!$A$1,"")</f>
        <v/>
      </c>
      <c r="AZ421" s="37"/>
      <c r="BA421" s="37"/>
      <c r="BB421" s="37"/>
      <c r="BC421" s="37"/>
      <c r="BD421" s="41"/>
      <c r="BE421" s="37"/>
      <c r="BF421" s="37"/>
      <c r="BG421" s="37"/>
      <c r="BH421" s="41"/>
    </row>
    <row r="422" spans="2:60" ht="25.15" customHeight="1" x14ac:dyDescent="0.25">
      <c r="B422" s="49">
        <v>418</v>
      </c>
      <c r="C422" s="37"/>
      <c r="D422" s="41"/>
      <c r="E422" s="40"/>
      <c r="F422" s="87" t="str">
        <f>IF(tbl_estimated_costs_quantities[[#This Row],[House Code]]&lt;&gt;"",INDEX(tbl_Assessment[],MATCH(tbl_estimated_costs_quantities[[#This Row],[House Code]],tbl_Assessment[House Code],0),3),"")</f>
        <v/>
      </c>
      <c r="G422" s="115" t="str">
        <f>IF(tbl_estimated_costs_quantities[[#This Row],[House Code]]&lt;&gt;"",INDEX(tbl_Assessment[],MATCH(tbl_estimated_costs_quantities[[#This Row],[House Code]],tbl_Assessment[House Code],0),9),"")</f>
        <v/>
      </c>
      <c r="H42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2" s="75"/>
      <c r="J422" s="37"/>
      <c r="K422" s="86">
        <f>tbl_estimated_costs_quantities[[#This Row],[Site Preparation]]*BOQs!$L$3</f>
        <v>0</v>
      </c>
      <c r="L422" s="76"/>
      <c r="M422" s="37"/>
      <c r="N422" s="86">
        <f>tbl_estimated_costs_quantities[[#This Row],[Demolition Removal Unsafe Structures]]*BOQs!$L$4</f>
        <v>0</v>
      </c>
      <c r="O422" s="76"/>
      <c r="P422" s="37"/>
      <c r="Q422" s="86">
        <f>tbl_estimated_costs_quantities[[#This Row],[Concrete Works]]*BOQs!$L$5</f>
        <v>0</v>
      </c>
      <c r="R422" s="76"/>
      <c r="S422" s="37"/>
      <c r="T422" s="86">
        <f>tbl_estimated_costs_quantities[[#This Row],[Closure External Openings Walls Windows]]*BOQs!$L$6</f>
        <v>0</v>
      </c>
      <c r="U422" s="76"/>
      <c r="V422" s="37"/>
      <c r="W422" s="86">
        <f>tbl_estimated_costs_quantities[[#This Row],[Plastering Painting]]*BOQs!$L$7</f>
        <v>0</v>
      </c>
      <c r="X422" s="76"/>
      <c r="Y422" s="37"/>
      <c r="Z422" s="86">
        <f>tbl_estimated_costs_quantities[[#This Row],[Floor Repairs]]*BOQs!$L$8</f>
        <v>0</v>
      </c>
      <c r="AA422" s="76"/>
      <c r="AB422" s="37"/>
      <c r="AC422" s="86">
        <f>tbl_estimated_costs_quantities[[#This Row],[Doors Replacement Repair]]*BOQs!$L$9</f>
        <v>0</v>
      </c>
      <c r="AD422" s="76"/>
      <c r="AE422" s="37"/>
      <c r="AF422" s="86">
        <f>tbl_estimated_costs_quantities[[#This Row],[Windows Replacement Repair]]*BOQs!$L$10</f>
        <v>0</v>
      </c>
      <c r="AG422" s="76"/>
      <c r="AH422" s="37"/>
      <c r="AI422" s="86">
        <f>tbl_estimated_costs_quantities[[#This Row],[Bathroom Rehabilitation]]*BOQs!$L$11</f>
        <v>0</v>
      </c>
      <c r="AJ422" s="76"/>
      <c r="AK422" s="37"/>
      <c r="AL422" s="86">
        <f>tbl_estimated_costs_quantities[[#This Row],[Ceramic Tile Works WASH]]*BOQs!$L$12</f>
        <v>0</v>
      </c>
      <c r="AM422" s="76"/>
      <c r="AN422" s="37"/>
      <c r="AO422" s="86">
        <f>tbl_estimated_costs_quantities[[#This Row],[Electrical Repairs Lighting]]*BOQs!$L$13</f>
        <v>0</v>
      </c>
      <c r="AP422" s="76"/>
      <c r="AQ422" s="37"/>
      <c r="AR422" s="86">
        <f>tbl_estimated_costs_quantities[[#This Row],[Roof Insulation Leak Sealing]]*BOQs!$L$14</f>
        <v>0</v>
      </c>
      <c r="AS422" s="76"/>
      <c r="AT422" s="37"/>
      <c r="AU422" s="86">
        <f>tbl_estimated_costs_quantities[[#This Row],[Chimney Duct Cleaning Repair]]*BOQs!$L$15</f>
        <v>0</v>
      </c>
      <c r="AV422" s="76"/>
      <c r="AW422" s="37"/>
      <c r="AX422" s="89">
        <f>tbl_estimated_costs_quantities[[#This Row],[Accessibility Adaptations]]*BOQs!$L$16</f>
        <v>0</v>
      </c>
      <c r="AY422" s="86" t="str">
        <f>IF(tbl_estimated_costs_quantities[[#This Row],[Total cost]]&lt;&gt;0,tbl_estimated_costs_quantities[[#This Row],[Total cost]]/BOQs!$A$1,"")</f>
        <v/>
      </c>
      <c r="AZ422" s="37"/>
      <c r="BA422" s="37"/>
      <c r="BB422" s="37"/>
      <c r="BC422" s="37"/>
      <c r="BD422" s="41"/>
      <c r="BE422" s="37"/>
      <c r="BF422" s="37"/>
      <c r="BG422" s="37"/>
      <c r="BH422" s="41"/>
    </row>
    <row r="423" spans="2:60" ht="25.15" customHeight="1" x14ac:dyDescent="0.25">
      <c r="B423" s="49">
        <v>419</v>
      </c>
      <c r="C423" s="37"/>
      <c r="D423" s="41"/>
      <c r="E423" s="40"/>
      <c r="F423" s="87" t="str">
        <f>IF(tbl_estimated_costs_quantities[[#This Row],[House Code]]&lt;&gt;"",INDEX(tbl_Assessment[],MATCH(tbl_estimated_costs_quantities[[#This Row],[House Code]],tbl_Assessment[House Code],0),3),"")</f>
        <v/>
      </c>
      <c r="G423" s="115" t="str">
        <f>IF(tbl_estimated_costs_quantities[[#This Row],[House Code]]&lt;&gt;"",INDEX(tbl_Assessment[],MATCH(tbl_estimated_costs_quantities[[#This Row],[House Code]],tbl_Assessment[House Code],0),9),"")</f>
        <v/>
      </c>
      <c r="H42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3" s="75"/>
      <c r="J423" s="37"/>
      <c r="K423" s="86">
        <f>tbl_estimated_costs_quantities[[#This Row],[Site Preparation]]*BOQs!$L$3</f>
        <v>0</v>
      </c>
      <c r="L423" s="76"/>
      <c r="M423" s="37"/>
      <c r="N423" s="86">
        <f>tbl_estimated_costs_quantities[[#This Row],[Demolition Removal Unsafe Structures]]*BOQs!$L$4</f>
        <v>0</v>
      </c>
      <c r="O423" s="76"/>
      <c r="P423" s="37"/>
      <c r="Q423" s="86">
        <f>tbl_estimated_costs_quantities[[#This Row],[Concrete Works]]*BOQs!$L$5</f>
        <v>0</v>
      </c>
      <c r="R423" s="76"/>
      <c r="S423" s="37"/>
      <c r="T423" s="86">
        <f>tbl_estimated_costs_quantities[[#This Row],[Closure External Openings Walls Windows]]*BOQs!$L$6</f>
        <v>0</v>
      </c>
      <c r="U423" s="76"/>
      <c r="V423" s="37"/>
      <c r="W423" s="86">
        <f>tbl_estimated_costs_quantities[[#This Row],[Plastering Painting]]*BOQs!$L$7</f>
        <v>0</v>
      </c>
      <c r="X423" s="76"/>
      <c r="Y423" s="37"/>
      <c r="Z423" s="86">
        <f>tbl_estimated_costs_quantities[[#This Row],[Floor Repairs]]*BOQs!$L$8</f>
        <v>0</v>
      </c>
      <c r="AA423" s="76"/>
      <c r="AB423" s="37"/>
      <c r="AC423" s="86">
        <f>tbl_estimated_costs_quantities[[#This Row],[Doors Replacement Repair]]*BOQs!$L$9</f>
        <v>0</v>
      </c>
      <c r="AD423" s="76"/>
      <c r="AE423" s="37"/>
      <c r="AF423" s="86">
        <f>tbl_estimated_costs_quantities[[#This Row],[Windows Replacement Repair]]*BOQs!$L$10</f>
        <v>0</v>
      </c>
      <c r="AG423" s="76"/>
      <c r="AH423" s="37"/>
      <c r="AI423" s="86">
        <f>tbl_estimated_costs_quantities[[#This Row],[Bathroom Rehabilitation]]*BOQs!$L$11</f>
        <v>0</v>
      </c>
      <c r="AJ423" s="76"/>
      <c r="AK423" s="37"/>
      <c r="AL423" s="86">
        <f>tbl_estimated_costs_quantities[[#This Row],[Ceramic Tile Works WASH]]*BOQs!$L$12</f>
        <v>0</v>
      </c>
      <c r="AM423" s="76"/>
      <c r="AN423" s="37"/>
      <c r="AO423" s="86">
        <f>tbl_estimated_costs_quantities[[#This Row],[Electrical Repairs Lighting]]*BOQs!$L$13</f>
        <v>0</v>
      </c>
      <c r="AP423" s="76"/>
      <c r="AQ423" s="37"/>
      <c r="AR423" s="86">
        <f>tbl_estimated_costs_quantities[[#This Row],[Roof Insulation Leak Sealing]]*BOQs!$L$14</f>
        <v>0</v>
      </c>
      <c r="AS423" s="76"/>
      <c r="AT423" s="37"/>
      <c r="AU423" s="86">
        <f>tbl_estimated_costs_quantities[[#This Row],[Chimney Duct Cleaning Repair]]*BOQs!$L$15</f>
        <v>0</v>
      </c>
      <c r="AV423" s="76"/>
      <c r="AW423" s="37"/>
      <c r="AX423" s="89">
        <f>tbl_estimated_costs_quantities[[#This Row],[Accessibility Adaptations]]*BOQs!$L$16</f>
        <v>0</v>
      </c>
      <c r="AY423" s="86" t="str">
        <f>IF(tbl_estimated_costs_quantities[[#This Row],[Total cost]]&lt;&gt;0,tbl_estimated_costs_quantities[[#This Row],[Total cost]]/BOQs!$A$1,"")</f>
        <v/>
      </c>
      <c r="AZ423" s="37"/>
      <c r="BA423" s="37"/>
      <c r="BB423" s="37"/>
      <c r="BC423" s="37"/>
      <c r="BD423" s="41"/>
      <c r="BE423" s="37"/>
      <c r="BF423" s="37"/>
      <c r="BG423" s="37"/>
      <c r="BH423" s="41"/>
    </row>
    <row r="424" spans="2:60" ht="25.15" customHeight="1" x14ac:dyDescent="0.25">
      <c r="B424" s="49">
        <v>420</v>
      </c>
      <c r="C424" s="37"/>
      <c r="D424" s="41"/>
      <c r="E424" s="40"/>
      <c r="F424" s="87" t="str">
        <f>IF(tbl_estimated_costs_quantities[[#This Row],[House Code]]&lt;&gt;"",INDEX(tbl_Assessment[],MATCH(tbl_estimated_costs_quantities[[#This Row],[House Code]],tbl_Assessment[House Code],0),3),"")</f>
        <v/>
      </c>
      <c r="G424" s="115" t="str">
        <f>IF(tbl_estimated_costs_quantities[[#This Row],[House Code]]&lt;&gt;"",INDEX(tbl_Assessment[],MATCH(tbl_estimated_costs_quantities[[#This Row],[House Code]],tbl_Assessment[House Code],0),9),"")</f>
        <v/>
      </c>
      <c r="H42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4" s="75"/>
      <c r="J424" s="37"/>
      <c r="K424" s="86">
        <f>tbl_estimated_costs_quantities[[#This Row],[Site Preparation]]*BOQs!$L$3</f>
        <v>0</v>
      </c>
      <c r="L424" s="76"/>
      <c r="M424" s="37"/>
      <c r="N424" s="86">
        <f>tbl_estimated_costs_quantities[[#This Row],[Demolition Removal Unsafe Structures]]*BOQs!$L$4</f>
        <v>0</v>
      </c>
      <c r="O424" s="76"/>
      <c r="P424" s="37"/>
      <c r="Q424" s="86">
        <f>tbl_estimated_costs_quantities[[#This Row],[Concrete Works]]*BOQs!$L$5</f>
        <v>0</v>
      </c>
      <c r="R424" s="76"/>
      <c r="S424" s="37"/>
      <c r="T424" s="86">
        <f>tbl_estimated_costs_quantities[[#This Row],[Closure External Openings Walls Windows]]*BOQs!$L$6</f>
        <v>0</v>
      </c>
      <c r="U424" s="76"/>
      <c r="V424" s="37"/>
      <c r="W424" s="86">
        <f>tbl_estimated_costs_quantities[[#This Row],[Plastering Painting]]*BOQs!$L$7</f>
        <v>0</v>
      </c>
      <c r="X424" s="76"/>
      <c r="Y424" s="37"/>
      <c r="Z424" s="86">
        <f>tbl_estimated_costs_quantities[[#This Row],[Floor Repairs]]*BOQs!$L$8</f>
        <v>0</v>
      </c>
      <c r="AA424" s="76"/>
      <c r="AB424" s="37"/>
      <c r="AC424" s="86">
        <f>tbl_estimated_costs_quantities[[#This Row],[Doors Replacement Repair]]*BOQs!$L$9</f>
        <v>0</v>
      </c>
      <c r="AD424" s="76"/>
      <c r="AE424" s="37"/>
      <c r="AF424" s="86">
        <f>tbl_estimated_costs_quantities[[#This Row],[Windows Replacement Repair]]*BOQs!$L$10</f>
        <v>0</v>
      </c>
      <c r="AG424" s="76"/>
      <c r="AH424" s="37"/>
      <c r="AI424" s="86">
        <f>tbl_estimated_costs_quantities[[#This Row],[Bathroom Rehabilitation]]*BOQs!$L$11</f>
        <v>0</v>
      </c>
      <c r="AJ424" s="76"/>
      <c r="AK424" s="37"/>
      <c r="AL424" s="86">
        <f>tbl_estimated_costs_quantities[[#This Row],[Ceramic Tile Works WASH]]*BOQs!$L$12</f>
        <v>0</v>
      </c>
      <c r="AM424" s="76"/>
      <c r="AN424" s="37"/>
      <c r="AO424" s="86">
        <f>tbl_estimated_costs_quantities[[#This Row],[Electrical Repairs Lighting]]*BOQs!$L$13</f>
        <v>0</v>
      </c>
      <c r="AP424" s="76"/>
      <c r="AQ424" s="37"/>
      <c r="AR424" s="86">
        <f>tbl_estimated_costs_quantities[[#This Row],[Roof Insulation Leak Sealing]]*BOQs!$L$14</f>
        <v>0</v>
      </c>
      <c r="AS424" s="76"/>
      <c r="AT424" s="37"/>
      <c r="AU424" s="86">
        <f>tbl_estimated_costs_quantities[[#This Row],[Chimney Duct Cleaning Repair]]*BOQs!$L$15</f>
        <v>0</v>
      </c>
      <c r="AV424" s="76"/>
      <c r="AW424" s="37"/>
      <c r="AX424" s="89">
        <f>tbl_estimated_costs_quantities[[#This Row],[Accessibility Adaptations]]*BOQs!$L$16</f>
        <v>0</v>
      </c>
      <c r="AY424" s="86" t="str">
        <f>IF(tbl_estimated_costs_quantities[[#This Row],[Total cost]]&lt;&gt;0,tbl_estimated_costs_quantities[[#This Row],[Total cost]]/BOQs!$A$1,"")</f>
        <v/>
      </c>
      <c r="AZ424" s="37"/>
      <c r="BA424" s="37"/>
      <c r="BB424" s="37"/>
      <c r="BC424" s="37"/>
      <c r="BD424" s="41"/>
      <c r="BE424" s="37"/>
      <c r="BF424" s="37"/>
      <c r="BG424" s="37"/>
      <c r="BH424" s="41"/>
    </row>
    <row r="425" spans="2:60" ht="25.15" customHeight="1" x14ac:dyDescent="0.25">
      <c r="B425" s="49">
        <v>421</v>
      </c>
      <c r="C425" s="37"/>
      <c r="D425" s="41"/>
      <c r="E425" s="40"/>
      <c r="F425" s="87" t="str">
        <f>IF(tbl_estimated_costs_quantities[[#This Row],[House Code]]&lt;&gt;"",INDEX(tbl_Assessment[],MATCH(tbl_estimated_costs_quantities[[#This Row],[House Code]],tbl_Assessment[House Code],0),3),"")</f>
        <v/>
      </c>
      <c r="G425" s="115" t="str">
        <f>IF(tbl_estimated_costs_quantities[[#This Row],[House Code]]&lt;&gt;"",INDEX(tbl_Assessment[],MATCH(tbl_estimated_costs_quantities[[#This Row],[House Code]],tbl_Assessment[House Code],0),9),"")</f>
        <v/>
      </c>
      <c r="H42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5" s="75"/>
      <c r="J425" s="37"/>
      <c r="K425" s="86">
        <f>tbl_estimated_costs_quantities[[#This Row],[Site Preparation]]*BOQs!$L$3</f>
        <v>0</v>
      </c>
      <c r="L425" s="76"/>
      <c r="M425" s="37"/>
      <c r="N425" s="86">
        <f>tbl_estimated_costs_quantities[[#This Row],[Demolition Removal Unsafe Structures]]*BOQs!$L$4</f>
        <v>0</v>
      </c>
      <c r="O425" s="76"/>
      <c r="P425" s="37"/>
      <c r="Q425" s="86">
        <f>tbl_estimated_costs_quantities[[#This Row],[Concrete Works]]*BOQs!$L$5</f>
        <v>0</v>
      </c>
      <c r="R425" s="76"/>
      <c r="S425" s="37"/>
      <c r="T425" s="86">
        <f>tbl_estimated_costs_quantities[[#This Row],[Closure External Openings Walls Windows]]*BOQs!$L$6</f>
        <v>0</v>
      </c>
      <c r="U425" s="76"/>
      <c r="V425" s="37"/>
      <c r="W425" s="86">
        <f>tbl_estimated_costs_quantities[[#This Row],[Plastering Painting]]*BOQs!$L$7</f>
        <v>0</v>
      </c>
      <c r="X425" s="76"/>
      <c r="Y425" s="37"/>
      <c r="Z425" s="86">
        <f>tbl_estimated_costs_quantities[[#This Row],[Floor Repairs]]*BOQs!$L$8</f>
        <v>0</v>
      </c>
      <c r="AA425" s="76"/>
      <c r="AB425" s="37"/>
      <c r="AC425" s="86">
        <f>tbl_estimated_costs_quantities[[#This Row],[Doors Replacement Repair]]*BOQs!$L$9</f>
        <v>0</v>
      </c>
      <c r="AD425" s="76"/>
      <c r="AE425" s="37"/>
      <c r="AF425" s="86">
        <f>tbl_estimated_costs_quantities[[#This Row],[Windows Replacement Repair]]*BOQs!$L$10</f>
        <v>0</v>
      </c>
      <c r="AG425" s="76"/>
      <c r="AH425" s="37"/>
      <c r="AI425" s="86">
        <f>tbl_estimated_costs_quantities[[#This Row],[Bathroom Rehabilitation]]*BOQs!$L$11</f>
        <v>0</v>
      </c>
      <c r="AJ425" s="76"/>
      <c r="AK425" s="37"/>
      <c r="AL425" s="86">
        <f>tbl_estimated_costs_quantities[[#This Row],[Ceramic Tile Works WASH]]*BOQs!$L$12</f>
        <v>0</v>
      </c>
      <c r="AM425" s="76"/>
      <c r="AN425" s="37"/>
      <c r="AO425" s="86">
        <f>tbl_estimated_costs_quantities[[#This Row],[Electrical Repairs Lighting]]*BOQs!$L$13</f>
        <v>0</v>
      </c>
      <c r="AP425" s="76"/>
      <c r="AQ425" s="37"/>
      <c r="AR425" s="86">
        <f>tbl_estimated_costs_quantities[[#This Row],[Roof Insulation Leak Sealing]]*BOQs!$L$14</f>
        <v>0</v>
      </c>
      <c r="AS425" s="76"/>
      <c r="AT425" s="37"/>
      <c r="AU425" s="86">
        <f>tbl_estimated_costs_quantities[[#This Row],[Chimney Duct Cleaning Repair]]*BOQs!$L$15</f>
        <v>0</v>
      </c>
      <c r="AV425" s="76"/>
      <c r="AW425" s="37"/>
      <c r="AX425" s="89">
        <f>tbl_estimated_costs_quantities[[#This Row],[Accessibility Adaptations]]*BOQs!$L$16</f>
        <v>0</v>
      </c>
      <c r="AY425" s="86" t="str">
        <f>IF(tbl_estimated_costs_quantities[[#This Row],[Total cost]]&lt;&gt;0,tbl_estimated_costs_quantities[[#This Row],[Total cost]]/BOQs!$A$1,"")</f>
        <v/>
      </c>
      <c r="AZ425" s="37"/>
      <c r="BA425" s="37"/>
      <c r="BB425" s="37"/>
      <c r="BC425" s="37"/>
      <c r="BD425" s="41"/>
      <c r="BE425" s="37"/>
      <c r="BF425" s="37"/>
      <c r="BG425" s="37"/>
      <c r="BH425" s="41"/>
    </row>
    <row r="426" spans="2:60" ht="25.15" customHeight="1" x14ac:dyDescent="0.25">
      <c r="B426" s="49">
        <v>422</v>
      </c>
      <c r="C426" s="37"/>
      <c r="D426" s="41"/>
      <c r="E426" s="40"/>
      <c r="F426" s="87" t="str">
        <f>IF(tbl_estimated_costs_quantities[[#This Row],[House Code]]&lt;&gt;"",INDEX(tbl_Assessment[],MATCH(tbl_estimated_costs_quantities[[#This Row],[House Code]],tbl_Assessment[House Code],0),3),"")</f>
        <v/>
      </c>
      <c r="G426" s="115" t="str">
        <f>IF(tbl_estimated_costs_quantities[[#This Row],[House Code]]&lt;&gt;"",INDEX(tbl_Assessment[],MATCH(tbl_estimated_costs_quantities[[#This Row],[House Code]],tbl_Assessment[House Code],0),9),"")</f>
        <v/>
      </c>
      <c r="H42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6" s="75"/>
      <c r="J426" s="37"/>
      <c r="K426" s="86">
        <f>tbl_estimated_costs_quantities[[#This Row],[Site Preparation]]*BOQs!$L$3</f>
        <v>0</v>
      </c>
      <c r="L426" s="76"/>
      <c r="M426" s="37"/>
      <c r="N426" s="86">
        <f>tbl_estimated_costs_quantities[[#This Row],[Demolition Removal Unsafe Structures]]*BOQs!$L$4</f>
        <v>0</v>
      </c>
      <c r="O426" s="76"/>
      <c r="P426" s="37"/>
      <c r="Q426" s="86">
        <f>tbl_estimated_costs_quantities[[#This Row],[Concrete Works]]*BOQs!$L$5</f>
        <v>0</v>
      </c>
      <c r="R426" s="76"/>
      <c r="S426" s="37"/>
      <c r="T426" s="86">
        <f>tbl_estimated_costs_quantities[[#This Row],[Closure External Openings Walls Windows]]*BOQs!$L$6</f>
        <v>0</v>
      </c>
      <c r="U426" s="76"/>
      <c r="V426" s="37"/>
      <c r="W426" s="86">
        <f>tbl_estimated_costs_quantities[[#This Row],[Plastering Painting]]*BOQs!$L$7</f>
        <v>0</v>
      </c>
      <c r="X426" s="76"/>
      <c r="Y426" s="37"/>
      <c r="Z426" s="86">
        <f>tbl_estimated_costs_quantities[[#This Row],[Floor Repairs]]*BOQs!$L$8</f>
        <v>0</v>
      </c>
      <c r="AA426" s="76"/>
      <c r="AB426" s="37"/>
      <c r="AC426" s="86">
        <f>tbl_estimated_costs_quantities[[#This Row],[Doors Replacement Repair]]*BOQs!$L$9</f>
        <v>0</v>
      </c>
      <c r="AD426" s="76"/>
      <c r="AE426" s="37"/>
      <c r="AF426" s="86">
        <f>tbl_estimated_costs_quantities[[#This Row],[Windows Replacement Repair]]*BOQs!$L$10</f>
        <v>0</v>
      </c>
      <c r="AG426" s="76"/>
      <c r="AH426" s="37"/>
      <c r="AI426" s="86">
        <f>tbl_estimated_costs_quantities[[#This Row],[Bathroom Rehabilitation]]*BOQs!$L$11</f>
        <v>0</v>
      </c>
      <c r="AJ426" s="76"/>
      <c r="AK426" s="37"/>
      <c r="AL426" s="86">
        <f>tbl_estimated_costs_quantities[[#This Row],[Ceramic Tile Works WASH]]*BOQs!$L$12</f>
        <v>0</v>
      </c>
      <c r="AM426" s="76"/>
      <c r="AN426" s="37"/>
      <c r="AO426" s="86">
        <f>tbl_estimated_costs_quantities[[#This Row],[Electrical Repairs Lighting]]*BOQs!$L$13</f>
        <v>0</v>
      </c>
      <c r="AP426" s="76"/>
      <c r="AQ426" s="37"/>
      <c r="AR426" s="86">
        <f>tbl_estimated_costs_quantities[[#This Row],[Roof Insulation Leak Sealing]]*BOQs!$L$14</f>
        <v>0</v>
      </c>
      <c r="AS426" s="76"/>
      <c r="AT426" s="37"/>
      <c r="AU426" s="86">
        <f>tbl_estimated_costs_quantities[[#This Row],[Chimney Duct Cleaning Repair]]*BOQs!$L$15</f>
        <v>0</v>
      </c>
      <c r="AV426" s="76"/>
      <c r="AW426" s="37"/>
      <c r="AX426" s="89">
        <f>tbl_estimated_costs_quantities[[#This Row],[Accessibility Adaptations]]*BOQs!$L$16</f>
        <v>0</v>
      </c>
      <c r="AY426" s="86" t="str">
        <f>IF(tbl_estimated_costs_quantities[[#This Row],[Total cost]]&lt;&gt;0,tbl_estimated_costs_quantities[[#This Row],[Total cost]]/BOQs!$A$1,"")</f>
        <v/>
      </c>
      <c r="AZ426" s="37"/>
      <c r="BA426" s="37"/>
      <c r="BB426" s="37"/>
      <c r="BC426" s="37"/>
      <c r="BD426" s="41"/>
      <c r="BE426" s="37"/>
      <c r="BF426" s="37"/>
      <c r="BG426" s="37"/>
      <c r="BH426" s="41"/>
    </row>
    <row r="427" spans="2:60" ht="25.15" customHeight="1" x14ac:dyDescent="0.25">
      <c r="B427" s="49">
        <v>423</v>
      </c>
      <c r="C427" s="37"/>
      <c r="D427" s="41"/>
      <c r="E427" s="40"/>
      <c r="F427" s="87" t="str">
        <f>IF(tbl_estimated_costs_quantities[[#This Row],[House Code]]&lt;&gt;"",INDEX(tbl_Assessment[],MATCH(tbl_estimated_costs_quantities[[#This Row],[House Code]],tbl_Assessment[House Code],0),3),"")</f>
        <v/>
      </c>
      <c r="G427" s="115" t="str">
        <f>IF(tbl_estimated_costs_quantities[[#This Row],[House Code]]&lt;&gt;"",INDEX(tbl_Assessment[],MATCH(tbl_estimated_costs_quantities[[#This Row],[House Code]],tbl_Assessment[House Code],0),9),"")</f>
        <v/>
      </c>
      <c r="H42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7" s="75"/>
      <c r="J427" s="37"/>
      <c r="K427" s="86">
        <f>tbl_estimated_costs_quantities[[#This Row],[Site Preparation]]*BOQs!$L$3</f>
        <v>0</v>
      </c>
      <c r="L427" s="76"/>
      <c r="M427" s="37"/>
      <c r="N427" s="86">
        <f>tbl_estimated_costs_quantities[[#This Row],[Demolition Removal Unsafe Structures]]*BOQs!$L$4</f>
        <v>0</v>
      </c>
      <c r="O427" s="76"/>
      <c r="P427" s="37"/>
      <c r="Q427" s="86">
        <f>tbl_estimated_costs_quantities[[#This Row],[Concrete Works]]*BOQs!$L$5</f>
        <v>0</v>
      </c>
      <c r="R427" s="76"/>
      <c r="S427" s="37"/>
      <c r="T427" s="86">
        <f>tbl_estimated_costs_quantities[[#This Row],[Closure External Openings Walls Windows]]*BOQs!$L$6</f>
        <v>0</v>
      </c>
      <c r="U427" s="76"/>
      <c r="V427" s="37"/>
      <c r="W427" s="86">
        <f>tbl_estimated_costs_quantities[[#This Row],[Plastering Painting]]*BOQs!$L$7</f>
        <v>0</v>
      </c>
      <c r="X427" s="76"/>
      <c r="Y427" s="37"/>
      <c r="Z427" s="86">
        <f>tbl_estimated_costs_quantities[[#This Row],[Floor Repairs]]*BOQs!$L$8</f>
        <v>0</v>
      </c>
      <c r="AA427" s="76"/>
      <c r="AB427" s="37"/>
      <c r="AC427" s="86">
        <f>tbl_estimated_costs_quantities[[#This Row],[Doors Replacement Repair]]*BOQs!$L$9</f>
        <v>0</v>
      </c>
      <c r="AD427" s="76"/>
      <c r="AE427" s="37"/>
      <c r="AF427" s="86">
        <f>tbl_estimated_costs_quantities[[#This Row],[Windows Replacement Repair]]*BOQs!$L$10</f>
        <v>0</v>
      </c>
      <c r="AG427" s="76"/>
      <c r="AH427" s="37"/>
      <c r="AI427" s="86">
        <f>tbl_estimated_costs_quantities[[#This Row],[Bathroom Rehabilitation]]*BOQs!$L$11</f>
        <v>0</v>
      </c>
      <c r="AJ427" s="76"/>
      <c r="AK427" s="37"/>
      <c r="AL427" s="86">
        <f>tbl_estimated_costs_quantities[[#This Row],[Ceramic Tile Works WASH]]*BOQs!$L$12</f>
        <v>0</v>
      </c>
      <c r="AM427" s="76"/>
      <c r="AN427" s="37"/>
      <c r="AO427" s="86">
        <f>tbl_estimated_costs_quantities[[#This Row],[Electrical Repairs Lighting]]*BOQs!$L$13</f>
        <v>0</v>
      </c>
      <c r="AP427" s="76"/>
      <c r="AQ427" s="37"/>
      <c r="AR427" s="86">
        <f>tbl_estimated_costs_quantities[[#This Row],[Roof Insulation Leak Sealing]]*BOQs!$L$14</f>
        <v>0</v>
      </c>
      <c r="AS427" s="76"/>
      <c r="AT427" s="37"/>
      <c r="AU427" s="86">
        <f>tbl_estimated_costs_quantities[[#This Row],[Chimney Duct Cleaning Repair]]*BOQs!$L$15</f>
        <v>0</v>
      </c>
      <c r="AV427" s="76"/>
      <c r="AW427" s="37"/>
      <c r="AX427" s="89">
        <f>tbl_estimated_costs_quantities[[#This Row],[Accessibility Adaptations]]*BOQs!$L$16</f>
        <v>0</v>
      </c>
      <c r="AY427" s="86" t="str">
        <f>IF(tbl_estimated_costs_quantities[[#This Row],[Total cost]]&lt;&gt;0,tbl_estimated_costs_quantities[[#This Row],[Total cost]]/BOQs!$A$1,"")</f>
        <v/>
      </c>
      <c r="AZ427" s="37"/>
      <c r="BA427" s="37"/>
      <c r="BB427" s="37"/>
      <c r="BC427" s="37"/>
      <c r="BD427" s="41"/>
      <c r="BE427" s="37"/>
      <c r="BF427" s="37"/>
      <c r="BG427" s="37"/>
      <c r="BH427" s="41"/>
    </row>
    <row r="428" spans="2:60" ht="25.15" customHeight="1" x14ac:dyDescent="0.25">
      <c r="B428" s="49">
        <v>424</v>
      </c>
      <c r="C428" s="37"/>
      <c r="D428" s="41"/>
      <c r="E428" s="40"/>
      <c r="F428" s="87" t="str">
        <f>IF(tbl_estimated_costs_quantities[[#This Row],[House Code]]&lt;&gt;"",INDEX(tbl_Assessment[],MATCH(tbl_estimated_costs_quantities[[#This Row],[House Code]],tbl_Assessment[House Code],0),3),"")</f>
        <v/>
      </c>
      <c r="G428" s="115" t="str">
        <f>IF(tbl_estimated_costs_quantities[[#This Row],[House Code]]&lt;&gt;"",INDEX(tbl_Assessment[],MATCH(tbl_estimated_costs_quantities[[#This Row],[House Code]],tbl_Assessment[House Code],0),9),"")</f>
        <v/>
      </c>
      <c r="H42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8" s="75"/>
      <c r="J428" s="37"/>
      <c r="K428" s="86">
        <f>tbl_estimated_costs_quantities[[#This Row],[Site Preparation]]*BOQs!$L$3</f>
        <v>0</v>
      </c>
      <c r="L428" s="76"/>
      <c r="M428" s="37"/>
      <c r="N428" s="86">
        <f>tbl_estimated_costs_quantities[[#This Row],[Demolition Removal Unsafe Structures]]*BOQs!$L$4</f>
        <v>0</v>
      </c>
      <c r="O428" s="76"/>
      <c r="P428" s="37"/>
      <c r="Q428" s="86">
        <f>tbl_estimated_costs_quantities[[#This Row],[Concrete Works]]*BOQs!$L$5</f>
        <v>0</v>
      </c>
      <c r="R428" s="76"/>
      <c r="S428" s="37"/>
      <c r="T428" s="86">
        <f>tbl_estimated_costs_quantities[[#This Row],[Closure External Openings Walls Windows]]*BOQs!$L$6</f>
        <v>0</v>
      </c>
      <c r="U428" s="76"/>
      <c r="V428" s="37"/>
      <c r="W428" s="86">
        <f>tbl_estimated_costs_quantities[[#This Row],[Plastering Painting]]*BOQs!$L$7</f>
        <v>0</v>
      </c>
      <c r="X428" s="76"/>
      <c r="Y428" s="37"/>
      <c r="Z428" s="86">
        <f>tbl_estimated_costs_quantities[[#This Row],[Floor Repairs]]*BOQs!$L$8</f>
        <v>0</v>
      </c>
      <c r="AA428" s="76"/>
      <c r="AB428" s="37"/>
      <c r="AC428" s="86">
        <f>tbl_estimated_costs_quantities[[#This Row],[Doors Replacement Repair]]*BOQs!$L$9</f>
        <v>0</v>
      </c>
      <c r="AD428" s="76"/>
      <c r="AE428" s="37"/>
      <c r="AF428" s="86">
        <f>tbl_estimated_costs_quantities[[#This Row],[Windows Replacement Repair]]*BOQs!$L$10</f>
        <v>0</v>
      </c>
      <c r="AG428" s="76"/>
      <c r="AH428" s="37"/>
      <c r="AI428" s="86">
        <f>tbl_estimated_costs_quantities[[#This Row],[Bathroom Rehabilitation]]*BOQs!$L$11</f>
        <v>0</v>
      </c>
      <c r="AJ428" s="76"/>
      <c r="AK428" s="37"/>
      <c r="AL428" s="86">
        <f>tbl_estimated_costs_quantities[[#This Row],[Ceramic Tile Works WASH]]*BOQs!$L$12</f>
        <v>0</v>
      </c>
      <c r="AM428" s="76"/>
      <c r="AN428" s="37"/>
      <c r="AO428" s="86">
        <f>tbl_estimated_costs_quantities[[#This Row],[Electrical Repairs Lighting]]*BOQs!$L$13</f>
        <v>0</v>
      </c>
      <c r="AP428" s="76"/>
      <c r="AQ428" s="37"/>
      <c r="AR428" s="86">
        <f>tbl_estimated_costs_quantities[[#This Row],[Roof Insulation Leak Sealing]]*BOQs!$L$14</f>
        <v>0</v>
      </c>
      <c r="AS428" s="76"/>
      <c r="AT428" s="37"/>
      <c r="AU428" s="86">
        <f>tbl_estimated_costs_quantities[[#This Row],[Chimney Duct Cleaning Repair]]*BOQs!$L$15</f>
        <v>0</v>
      </c>
      <c r="AV428" s="76"/>
      <c r="AW428" s="37"/>
      <c r="AX428" s="89">
        <f>tbl_estimated_costs_quantities[[#This Row],[Accessibility Adaptations]]*BOQs!$L$16</f>
        <v>0</v>
      </c>
      <c r="AY428" s="86" t="str">
        <f>IF(tbl_estimated_costs_quantities[[#This Row],[Total cost]]&lt;&gt;0,tbl_estimated_costs_quantities[[#This Row],[Total cost]]/BOQs!$A$1,"")</f>
        <v/>
      </c>
      <c r="AZ428" s="37"/>
      <c r="BA428" s="37"/>
      <c r="BB428" s="37"/>
      <c r="BC428" s="37"/>
      <c r="BD428" s="41"/>
      <c r="BE428" s="37"/>
      <c r="BF428" s="37"/>
      <c r="BG428" s="37"/>
      <c r="BH428" s="41"/>
    </row>
    <row r="429" spans="2:60" ht="25.15" customHeight="1" x14ac:dyDescent="0.25">
      <c r="B429" s="49">
        <v>425</v>
      </c>
      <c r="C429" s="37"/>
      <c r="D429" s="41"/>
      <c r="E429" s="40"/>
      <c r="F429" s="87" t="str">
        <f>IF(tbl_estimated_costs_quantities[[#This Row],[House Code]]&lt;&gt;"",INDEX(tbl_Assessment[],MATCH(tbl_estimated_costs_quantities[[#This Row],[House Code]],tbl_Assessment[House Code],0),3),"")</f>
        <v/>
      </c>
      <c r="G429" s="115" t="str">
        <f>IF(tbl_estimated_costs_quantities[[#This Row],[House Code]]&lt;&gt;"",INDEX(tbl_Assessment[],MATCH(tbl_estimated_costs_quantities[[#This Row],[House Code]],tbl_Assessment[House Code],0),9),"")</f>
        <v/>
      </c>
      <c r="H42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29" s="75"/>
      <c r="J429" s="37"/>
      <c r="K429" s="86">
        <f>tbl_estimated_costs_quantities[[#This Row],[Site Preparation]]*BOQs!$L$3</f>
        <v>0</v>
      </c>
      <c r="L429" s="76"/>
      <c r="M429" s="37"/>
      <c r="N429" s="86">
        <f>tbl_estimated_costs_quantities[[#This Row],[Demolition Removal Unsafe Structures]]*BOQs!$L$4</f>
        <v>0</v>
      </c>
      <c r="O429" s="76"/>
      <c r="P429" s="37"/>
      <c r="Q429" s="86">
        <f>tbl_estimated_costs_quantities[[#This Row],[Concrete Works]]*BOQs!$L$5</f>
        <v>0</v>
      </c>
      <c r="R429" s="76"/>
      <c r="S429" s="37"/>
      <c r="T429" s="86">
        <f>tbl_estimated_costs_quantities[[#This Row],[Closure External Openings Walls Windows]]*BOQs!$L$6</f>
        <v>0</v>
      </c>
      <c r="U429" s="76"/>
      <c r="V429" s="37"/>
      <c r="W429" s="86">
        <f>tbl_estimated_costs_quantities[[#This Row],[Plastering Painting]]*BOQs!$L$7</f>
        <v>0</v>
      </c>
      <c r="X429" s="76"/>
      <c r="Y429" s="37"/>
      <c r="Z429" s="86">
        <f>tbl_estimated_costs_quantities[[#This Row],[Floor Repairs]]*BOQs!$L$8</f>
        <v>0</v>
      </c>
      <c r="AA429" s="76"/>
      <c r="AB429" s="37"/>
      <c r="AC429" s="86">
        <f>tbl_estimated_costs_quantities[[#This Row],[Doors Replacement Repair]]*BOQs!$L$9</f>
        <v>0</v>
      </c>
      <c r="AD429" s="76"/>
      <c r="AE429" s="37"/>
      <c r="AF429" s="86">
        <f>tbl_estimated_costs_quantities[[#This Row],[Windows Replacement Repair]]*BOQs!$L$10</f>
        <v>0</v>
      </c>
      <c r="AG429" s="76"/>
      <c r="AH429" s="37"/>
      <c r="AI429" s="86">
        <f>tbl_estimated_costs_quantities[[#This Row],[Bathroom Rehabilitation]]*BOQs!$L$11</f>
        <v>0</v>
      </c>
      <c r="AJ429" s="76"/>
      <c r="AK429" s="37"/>
      <c r="AL429" s="86">
        <f>tbl_estimated_costs_quantities[[#This Row],[Ceramic Tile Works WASH]]*BOQs!$L$12</f>
        <v>0</v>
      </c>
      <c r="AM429" s="76"/>
      <c r="AN429" s="37"/>
      <c r="AO429" s="86">
        <f>tbl_estimated_costs_quantities[[#This Row],[Electrical Repairs Lighting]]*BOQs!$L$13</f>
        <v>0</v>
      </c>
      <c r="AP429" s="76"/>
      <c r="AQ429" s="37"/>
      <c r="AR429" s="86">
        <f>tbl_estimated_costs_quantities[[#This Row],[Roof Insulation Leak Sealing]]*BOQs!$L$14</f>
        <v>0</v>
      </c>
      <c r="AS429" s="76"/>
      <c r="AT429" s="37"/>
      <c r="AU429" s="86">
        <f>tbl_estimated_costs_quantities[[#This Row],[Chimney Duct Cleaning Repair]]*BOQs!$L$15</f>
        <v>0</v>
      </c>
      <c r="AV429" s="76"/>
      <c r="AW429" s="37"/>
      <c r="AX429" s="89">
        <f>tbl_estimated_costs_quantities[[#This Row],[Accessibility Adaptations]]*BOQs!$L$16</f>
        <v>0</v>
      </c>
      <c r="AY429" s="86" t="str">
        <f>IF(tbl_estimated_costs_quantities[[#This Row],[Total cost]]&lt;&gt;0,tbl_estimated_costs_quantities[[#This Row],[Total cost]]/BOQs!$A$1,"")</f>
        <v/>
      </c>
      <c r="AZ429" s="37"/>
      <c r="BA429" s="37"/>
      <c r="BB429" s="37"/>
      <c r="BC429" s="37"/>
      <c r="BD429" s="41"/>
      <c r="BE429" s="37"/>
      <c r="BF429" s="37"/>
      <c r="BG429" s="37"/>
      <c r="BH429" s="41"/>
    </row>
    <row r="430" spans="2:60" ht="25.15" customHeight="1" x14ac:dyDescent="0.25">
      <c r="B430" s="49">
        <v>426</v>
      </c>
      <c r="C430" s="37"/>
      <c r="D430" s="41"/>
      <c r="E430" s="40"/>
      <c r="F430" s="87" t="str">
        <f>IF(tbl_estimated_costs_quantities[[#This Row],[House Code]]&lt;&gt;"",INDEX(tbl_Assessment[],MATCH(tbl_estimated_costs_quantities[[#This Row],[House Code]],tbl_Assessment[House Code],0),3),"")</f>
        <v/>
      </c>
      <c r="G430" s="115" t="str">
        <f>IF(tbl_estimated_costs_quantities[[#This Row],[House Code]]&lt;&gt;"",INDEX(tbl_Assessment[],MATCH(tbl_estimated_costs_quantities[[#This Row],[House Code]],tbl_Assessment[House Code],0),9),"")</f>
        <v/>
      </c>
      <c r="H43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0" s="75"/>
      <c r="J430" s="37"/>
      <c r="K430" s="86">
        <f>tbl_estimated_costs_quantities[[#This Row],[Site Preparation]]*BOQs!$L$3</f>
        <v>0</v>
      </c>
      <c r="L430" s="76"/>
      <c r="M430" s="37"/>
      <c r="N430" s="86">
        <f>tbl_estimated_costs_quantities[[#This Row],[Demolition Removal Unsafe Structures]]*BOQs!$L$4</f>
        <v>0</v>
      </c>
      <c r="O430" s="76"/>
      <c r="P430" s="37"/>
      <c r="Q430" s="86">
        <f>tbl_estimated_costs_quantities[[#This Row],[Concrete Works]]*BOQs!$L$5</f>
        <v>0</v>
      </c>
      <c r="R430" s="76"/>
      <c r="S430" s="37"/>
      <c r="T430" s="86">
        <f>tbl_estimated_costs_quantities[[#This Row],[Closure External Openings Walls Windows]]*BOQs!$L$6</f>
        <v>0</v>
      </c>
      <c r="U430" s="76"/>
      <c r="V430" s="37"/>
      <c r="W430" s="86">
        <f>tbl_estimated_costs_quantities[[#This Row],[Plastering Painting]]*BOQs!$L$7</f>
        <v>0</v>
      </c>
      <c r="X430" s="76"/>
      <c r="Y430" s="37"/>
      <c r="Z430" s="86">
        <f>tbl_estimated_costs_quantities[[#This Row],[Floor Repairs]]*BOQs!$L$8</f>
        <v>0</v>
      </c>
      <c r="AA430" s="76"/>
      <c r="AB430" s="37"/>
      <c r="AC430" s="86">
        <f>tbl_estimated_costs_quantities[[#This Row],[Doors Replacement Repair]]*BOQs!$L$9</f>
        <v>0</v>
      </c>
      <c r="AD430" s="76"/>
      <c r="AE430" s="37"/>
      <c r="AF430" s="86">
        <f>tbl_estimated_costs_quantities[[#This Row],[Windows Replacement Repair]]*BOQs!$L$10</f>
        <v>0</v>
      </c>
      <c r="AG430" s="76"/>
      <c r="AH430" s="37"/>
      <c r="AI430" s="86">
        <f>tbl_estimated_costs_quantities[[#This Row],[Bathroom Rehabilitation]]*BOQs!$L$11</f>
        <v>0</v>
      </c>
      <c r="AJ430" s="76"/>
      <c r="AK430" s="37"/>
      <c r="AL430" s="86">
        <f>tbl_estimated_costs_quantities[[#This Row],[Ceramic Tile Works WASH]]*BOQs!$L$12</f>
        <v>0</v>
      </c>
      <c r="AM430" s="76"/>
      <c r="AN430" s="37"/>
      <c r="AO430" s="86">
        <f>tbl_estimated_costs_quantities[[#This Row],[Electrical Repairs Lighting]]*BOQs!$L$13</f>
        <v>0</v>
      </c>
      <c r="AP430" s="76"/>
      <c r="AQ430" s="37"/>
      <c r="AR430" s="86">
        <f>tbl_estimated_costs_quantities[[#This Row],[Roof Insulation Leak Sealing]]*BOQs!$L$14</f>
        <v>0</v>
      </c>
      <c r="AS430" s="76"/>
      <c r="AT430" s="37"/>
      <c r="AU430" s="86">
        <f>tbl_estimated_costs_quantities[[#This Row],[Chimney Duct Cleaning Repair]]*BOQs!$L$15</f>
        <v>0</v>
      </c>
      <c r="AV430" s="76"/>
      <c r="AW430" s="37"/>
      <c r="AX430" s="89">
        <f>tbl_estimated_costs_quantities[[#This Row],[Accessibility Adaptations]]*BOQs!$L$16</f>
        <v>0</v>
      </c>
      <c r="AY430" s="86" t="str">
        <f>IF(tbl_estimated_costs_quantities[[#This Row],[Total cost]]&lt;&gt;0,tbl_estimated_costs_quantities[[#This Row],[Total cost]]/BOQs!$A$1,"")</f>
        <v/>
      </c>
      <c r="AZ430" s="37"/>
      <c r="BA430" s="37"/>
      <c r="BB430" s="37"/>
      <c r="BC430" s="37"/>
      <c r="BD430" s="41"/>
      <c r="BE430" s="37"/>
      <c r="BF430" s="37"/>
      <c r="BG430" s="37"/>
      <c r="BH430" s="41"/>
    </row>
    <row r="431" spans="2:60" ht="25.15" customHeight="1" x14ac:dyDescent="0.25">
      <c r="B431" s="49">
        <v>427</v>
      </c>
      <c r="C431" s="37"/>
      <c r="D431" s="41"/>
      <c r="E431" s="40"/>
      <c r="F431" s="87" t="str">
        <f>IF(tbl_estimated_costs_quantities[[#This Row],[House Code]]&lt;&gt;"",INDEX(tbl_Assessment[],MATCH(tbl_estimated_costs_quantities[[#This Row],[House Code]],tbl_Assessment[House Code],0),3),"")</f>
        <v/>
      </c>
      <c r="G431" s="115" t="str">
        <f>IF(tbl_estimated_costs_quantities[[#This Row],[House Code]]&lt;&gt;"",INDEX(tbl_Assessment[],MATCH(tbl_estimated_costs_quantities[[#This Row],[House Code]],tbl_Assessment[House Code],0),9),"")</f>
        <v/>
      </c>
      <c r="H43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1" s="75"/>
      <c r="J431" s="37"/>
      <c r="K431" s="86">
        <f>tbl_estimated_costs_quantities[[#This Row],[Site Preparation]]*BOQs!$L$3</f>
        <v>0</v>
      </c>
      <c r="L431" s="76"/>
      <c r="M431" s="37"/>
      <c r="N431" s="86">
        <f>tbl_estimated_costs_quantities[[#This Row],[Demolition Removal Unsafe Structures]]*BOQs!$L$4</f>
        <v>0</v>
      </c>
      <c r="O431" s="76"/>
      <c r="P431" s="37"/>
      <c r="Q431" s="86">
        <f>tbl_estimated_costs_quantities[[#This Row],[Concrete Works]]*BOQs!$L$5</f>
        <v>0</v>
      </c>
      <c r="R431" s="76"/>
      <c r="S431" s="37"/>
      <c r="T431" s="86">
        <f>tbl_estimated_costs_quantities[[#This Row],[Closure External Openings Walls Windows]]*BOQs!$L$6</f>
        <v>0</v>
      </c>
      <c r="U431" s="76"/>
      <c r="V431" s="37"/>
      <c r="W431" s="86">
        <f>tbl_estimated_costs_quantities[[#This Row],[Plastering Painting]]*BOQs!$L$7</f>
        <v>0</v>
      </c>
      <c r="X431" s="76"/>
      <c r="Y431" s="37"/>
      <c r="Z431" s="86">
        <f>tbl_estimated_costs_quantities[[#This Row],[Floor Repairs]]*BOQs!$L$8</f>
        <v>0</v>
      </c>
      <c r="AA431" s="76"/>
      <c r="AB431" s="37"/>
      <c r="AC431" s="86">
        <f>tbl_estimated_costs_quantities[[#This Row],[Doors Replacement Repair]]*BOQs!$L$9</f>
        <v>0</v>
      </c>
      <c r="AD431" s="76"/>
      <c r="AE431" s="37"/>
      <c r="AF431" s="86">
        <f>tbl_estimated_costs_quantities[[#This Row],[Windows Replacement Repair]]*BOQs!$L$10</f>
        <v>0</v>
      </c>
      <c r="AG431" s="76"/>
      <c r="AH431" s="37"/>
      <c r="AI431" s="86">
        <f>tbl_estimated_costs_quantities[[#This Row],[Bathroom Rehabilitation]]*BOQs!$L$11</f>
        <v>0</v>
      </c>
      <c r="AJ431" s="76"/>
      <c r="AK431" s="37"/>
      <c r="AL431" s="86">
        <f>tbl_estimated_costs_quantities[[#This Row],[Ceramic Tile Works WASH]]*BOQs!$L$12</f>
        <v>0</v>
      </c>
      <c r="AM431" s="76"/>
      <c r="AN431" s="37"/>
      <c r="AO431" s="86">
        <f>tbl_estimated_costs_quantities[[#This Row],[Electrical Repairs Lighting]]*BOQs!$L$13</f>
        <v>0</v>
      </c>
      <c r="AP431" s="76"/>
      <c r="AQ431" s="37"/>
      <c r="AR431" s="86">
        <f>tbl_estimated_costs_quantities[[#This Row],[Roof Insulation Leak Sealing]]*BOQs!$L$14</f>
        <v>0</v>
      </c>
      <c r="AS431" s="76"/>
      <c r="AT431" s="37"/>
      <c r="AU431" s="86">
        <f>tbl_estimated_costs_quantities[[#This Row],[Chimney Duct Cleaning Repair]]*BOQs!$L$15</f>
        <v>0</v>
      </c>
      <c r="AV431" s="76"/>
      <c r="AW431" s="37"/>
      <c r="AX431" s="89">
        <f>tbl_estimated_costs_quantities[[#This Row],[Accessibility Adaptations]]*BOQs!$L$16</f>
        <v>0</v>
      </c>
      <c r="AY431" s="86" t="str">
        <f>IF(tbl_estimated_costs_quantities[[#This Row],[Total cost]]&lt;&gt;0,tbl_estimated_costs_quantities[[#This Row],[Total cost]]/BOQs!$A$1,"")</f>
        <v/>
      </c>
      <c r="AZ431" s="37"/>
      <c r="BA431" s="37"/>
      <c r="BB431" s="37"/>
      <c r="BC431" s="37"/>
      <c r="BD431" s="41"/>
      <c r="BE431" s="37"/>
      <c r="BF431" s="37"/>
      <c r="BG431" s="37"/>
      <c r="BH431" s="41"/>
    </row>
    <row r="432" spans="2:60" ht="25.15" customHeight="1" x14ac:dyDescent="0.25">
      <c r="B432" s="49">
        <v>428</v>
      </c>
      <c r="C432" s="37"/>
      <c r="D432" s="41"/>
      <c r="E432" s="40"/>
      <c r="F432" s="87" t="str">
        <f>IF(tbl_estimated_costs_quantities[[#This Row],[House Code]]&lt;&gt;"",INDEX(tbl_Assessment[],MATCH(tbl_estimated_costs_quantities[[#This Row],[House Code]],tbl_Assessment[House Code],0),3),"")</f>
        <v/>
      </c>
      <c r="G432" s="115" t="str">
        <f>IF(tbl_estimated_costs_quantities[[#This Row],[House Code]]&lt;&gt;"",INDEX(tbl_Assessment[],MATCH(tbl_estimated_costs_quantities[[#This Row],[House Code]],tbl_Assessment[House Code],0),9),"")</f>
        <v/>
      </c>
      <c r="H43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2" s="75"/>
      <c r="J432" s="37"/>
      <c r="K432" s="86">
        <f>tbl_estimated_costs_quantities[[#This Row],[Site Preparation]]*BOQs!$L$3</f>
        <v>0</v>
      </c>
      <c r="L432" s="76"/>
      <c r="M432" s="37"/>
      <c r="N432" s="86">
        <f>tbl_estimated_costs_quantities[[#This Row],[Demolition Removal Unsafe Structures]]*BOQs!$L$4</f>
        <v>0</v>
      </c>
      <c r="O432" s="76"/>
      <c r="P432" s="37"/>
      <c r="Q432" s="86">
        <f>tbl_estimated_costs_quantities[[#This Row],[Concrete Works]]*BOQs!$L$5</f>
        <v>0</v>
      </c>
      <c r="R432" s="76"/>
      <c r="S432" s="37"/>
      <c r="T432" s="86">
        <f>tbl_estimated_costs_quantities[[#This Row],[Closure External Openings Walls Windows]]*BOQs!$L$6</f>
        <v>0</v>
      </c>
      <c r="U432" s="76"/>
      <c r="V432" s="37"/>
      <c r="W432" s="86">
        <f>tbl_estimated_costs_quantities[[#This Row],[Plastering Painting]]*BOQs!$L$7</f>
        <v>0</v>
      </c>
      <c r="X432" s="76"/>
      <c r="Y432" s="37"/>
      <c r="Z432" s="86">
        <f>tbl_estimated_costs_quantities[[#This Row],[Floor Repairs]]*BOQs!$L$8</f>
        <v>0</v>
      </c>
      <c r="AA432" s="76"/>
      <c r="AB432" s="37"/>
      <c r="AC432" s="86">
        <f>tbl_estimated_costs_quantities[[#This Row],[Doors Replacement Repair]]*BOQs!$L$9</f>
        <v>0</v>
      </c>
      <c r="AD432" s="76"/>
      <c r="AE432" s="37"/>
      <c r="AF432" s="86">
        <f>tbl_estimated_costs_quantities[[#This Row],[Windows Replacement Repair]]*BOQs!$L$10</f>
        <v>0</v>
      </c>
      <c r="AG432" s="76"/>
      <c r="AH432" s="37"/>
      <c r="AI432" s="86">
        <f>tbl_estimated_costs_quantities[[#This Row],[Bathroom Rehabilitation]]*BOQs!$L$11</f>
        <v>0</v>
      </c>
      <c r="AJ432" s="76"/>
      <c r="AK432" s="37"/>
      <c r="AL432" s="86">
        <f>tbl_estimated_costs_quantities[[#This Row],[Ceramic Tile Works WASH]]*BOQs!$L$12</f>
        <v>0</v>
      </c>
      <c r="AM432" s="76"/>
      <c r="AN432" s="37"/>
      <c r="AO432" s="86">
        <f>tbl_estimated_costs_quantities[[#This Row],[Electrical Repairs Lighting]]*BOQs!$L$13</f>
        <v>0</v>
      </c>
      <c r="AP432" s="76"/>
      <c r="AQ432" s="37"/>
      <c r="AR432" s="86">
        <f>tbl_estimated_costs_quantities[[#This Row],[Roof Insulation Leak Sealing]]*BOQs!$L$14</f>
        <v>0</v>
      </c>
      <c r="AS432" s="76"/>
      <c r="AT432" s="37"/>
      <c r="AU432" s="86">
        <f>tbl_estimated_costs_quantities[[#This Row],[Chimney Duct Cleaning Repair]]*BOQs!$L$15</f>
        <v>0</v>
      </c>
      <c r="AV432" s="76"/>
      <c r="AW432" s="37"/>
      <c r="AX432" s="89">
        <f>tbl_estimated_costs_quantities[[#This Row],[Accessibility Adaptations]]*BOQs!$L$16</f>
        <v>0</v>
      </c>
      <c r="AY432" s="86" t="str">
        <f>IF(tbl_estimated_costs_quantities[[#This Row],[Total cost]]&lt;&gt;0,tbl_estimated_costs_quantities[[#This Row],[Total cost]]/BOQs!$A$1,"")</f>
        <v/>
      </c>
      <c r="AZ432" s="37"/>
      <c r="BA432" s="37"/>
      <c r="BB432" s="37"/>
      <c r="BC432" s="37"/>
      <c r="BD432" s="41"/>
      <c r="BE432" s="37"/>
      <c r="BF432" s="37"/>
      <c r="BG432" s="37"/>
      <c r="BH432" s="41"/>
    </row>
    <row r="433" spans="2:60" ht="25.15" customHeight="1" x14ac:dyDescent="0.25">
      <c r="B433" s="49">
        <v>429</v>
      </c>
      <c r="C433" s="37"/>
      <c r="D433" s="41"/>
      <c r="E433" s="40"/>
      <c r="F433" s="87" t="str">
        <f>IF(tbl_estimated_costs_quantities[[#This Row],[House Code]]&lt;&gt;"",INDEX(tbl_Assessment[],MATCH(tbl_estimated_costs_quantities[[#This Row],[House Code]],tbl_Assessment[House Code],0),3),"")</f>
        <v/>
      </c>
      <c r="G433" s="115" t="str">
        <f>IF(tbl_estimated_costs_quantities[[#This Row],[House Code]]&lt;&gt;"",INDEX(tbl_Assessment[],MATCH(tbl_estimated_costs_quantities[[#This Row],[House Code]],tbl_Assessment[House Code],0),9),"")</f>
        <v/>
      </c>
      <c r="H43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3" s="75"/>
      <c r="J433" s="37"/>
      <c r="K433" s="86">
        <f>tbl_estimated_costs_quantities[[#This Row],[Site Preparation]]*BOQs!$L$3</f>
        <v>0</v>
      </c>
      <c r="L433" s="76"/>
      <c r="M433" s="37"/>
      <c r="N433" s="86">
        <f>tbl_estimated_costs_quantities[[#This Row],[Demolition Removal Unsafe Structures]]*BOQs!$L$4</f>
        <v>0</v>
      </c>
      <c r="O433" s="76"/>
      <c r="P433" s="37"/>
      <c r="Q433" s="86">
        <f>tbl_estimated_costs_quantities[[#This Row],[Concrete Works]]*BOQs!$L$5</f>
        <v>0</v>
      </c>
      <c r="R433" s="76"/>
      <c r="S433" s="37"/>
      <c r="T433" s="86">
        <f>tbl_estimated_costs_quantities[[#This Row],[Closure External Openings Walls Windows]]*BOQs!$L$6</f>
        <v>0</v>
      </c>
      <c r="U433" s="76"/>
      <c r="V433" s="37"/>
      <c r="W433" s="86">
        <f>tbl_estimated_costs_quantities[[#This Row],[Plastering Painting]]*BOQs!$L$7</f>
        <v>0</v>
      </c>
      <c r="X433" s="76"/>
      <c r="Y433" s="37"/>
      <c r="Z433" s="86">
        <f>tbl_estimated_costs_quantities[[#This Row],[Floor Repairs]]*BOQs!$L$8</f>
        <v>0</v>
      </c>
      <c r="AA433" s="76"/>
      <c r="AB433" s="37"/>
      <c r="AC433" s="86">
        <f>tbl_estimated_costs_quantities[[#This Row],[Doors Replacement Repair]]*BOQs!$L$9</f>
        <v>0</v>
      </c>
      <c r="AD433" s="76"/>
      <c r="AE433" s="37"/>
      <c r="AF433" s="86">
        <f>tbl_estimated_costs_quantities[[#This Row],[Windows Replacement Repair]]*BOQs!$L$10</f>
        <v>0</v>
      </c>
      <c r="AG433" s="76"/>
      <c r="AH433" s="37"/>
      <c r="AI433" s="86">
        <f>tbl_estimated_costs_quantities[[#This Row],[Bathroom Rehabilitation]]*BOQs!$L$11</f>
        <v>0</v>
      </c>
      <c r="AJ433" s="76"/>
      <c r="AK433" s="37"/>
      <c r="AL433" s="86">
        <f>tbl_estimated_costs_quantities[[#This Row],[Ceramic Tile Works WASH]]*BOQs!$L$12</f>
        <v>0</v>
      </c>
      <c r="AM433" s="76"/>
      <c r="AN433" s="37"/>
      <c r="AO433" s="86">
        <f>tbl_estimated_costs_quantities[[#This Row],[Electrical Repairs Lighting]]*BOQs!$L$13</f>
        <v>0</v>
      </c>
      <c r="AP433" s="76"/>
      <c r="AQ433" s="37"/>
      <c r="AR433" s="86">
        <f>tbl_estimated_costs_quantities[[#This Row],[Roof Insulation Leak Sealing]]*BOQs!$L$14</f>
        <v>0</v>
      </c>
      <c r="AS433" s="76"/>
      <c r="AT433" s="37"/>
      <c r="AU433" s="86">
        <f>tbl_estimated_costs_quantities[[#This Row],[Chimney Duct Cleaning Repair]]*BOQs!$L$15</f>
        <v>0</v>
      </c>
      <c r="AV433" s="76"/>
      <c r="AW433" s="37"/>
      <c r="AX433" s="89">
        <f>tbl_estimated_costs_quantities[[#This Row],[Accessibility Adaptations]]*BOQs!$L$16</f>
        <v>0</v>
      </c>
      <c r="AY433" s="86" t="str">
        <f>IF(tbl_estimated_costs_quantities[[#This Row],[Total cost]]&lt;&gt;0,tbl_estimated_costs_quantities[[#This Row],[Total cost]]/BOQs!$A$1,"")</f>
        <v/>
      </c>
      <c r="AZ433" s="37"/>
      <c r="BA433" s="37"/>
      <c r="BB433" s="37"/>
      <c r="BC433" s="37"/>
      <c r="BD433" s="41"/>
      <c r="BE433" s="37"/>
      <c r="BF433" s="37"/>
      <c r="BG433" s="37"/>
      <c r="BH433" s="41"/>
    </row>
    <row r="434" spans="2:60" ht="25.15" customHeight="1" x14ac:dyDescent="0.25">
      <c r="B434" s="49">
        <v>430</v>
      </c>
      <c r="C434" s="37"/>
      <c r="D434" s="41"/>
      <c r="E434" s="40"/>
      <c r="F434" s="87" t="str">
        <f>IF(tbl_estimated_costs_quantities[[#This Row],[House Code]]&lt;&gt;"",INDEX(tbl_Assessment[],MATCH(tbl_estimated_costs_quantities[[#This Row],[House Code]],tbl_Assessment[House Code],0),3),"")</f>
        <v/>
      </c>
      <c r="G434" s="115" t="str">
        <f>IF(tbl_estimated_costs_quantities[[#This Row],[House Code]]&lt;&gt;"",INDEX(tbl_Assessment[],MATCH(tbl_estimated_costs_quantities[[#This Row],[House Code]],tbl_Assessment[House Code],0),9),"")</f>
        <v/>
      </c>
      <c r="H43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4" s="75"/>
      <c r="J434" s="37"/>
      <c r="K434" s="86">
        <f>tbl_estimated_costs_quantities[[#This Row],[Site Preparation]]*BOQs!$L$3</f>
        <v>0</v>
      </c>
      <c r="L434" s="76"/>
      <c r="M434" s="37"/>
      <c r="N434" s="86">
        <f>tbl_estimated_costs_quantities[[#This Row],[Demolition Removal Unsafe Structures]]*BOQs!$L$4</f>
        <v>0</v>
      </c>
      <c r="O434" s="76"/>
      <c r="P434" s="37"/>
      <c r="Q434" s="86">
        <f>tbl_estimated_costs_quantities[[#This Row],[Concrete Works]]*BOQs!$L$5</f>
        <v>0</v>
      </c>
      <c r="R434" s="76"/>
      <c r="S434" s="37"/>
      <c r="T434" s="86">
        <f>tbl_estimated_costs_quantities[[#This Row],[Closure External Openings Walls Windows]]*BOQs!$L$6</f>
        <v>0</v>
      </c>
      <c r="U434" s="76"/>
      <c r="V434" s="37"/>
      <c r="W434" s="86">
        <f>tbl_estimated_costs_quantities[[#This Row],[Plastering Painting]]*BOQs!$L$7</f>
        <v>0</v>
      </c>
      <c r="X434" s="76"/>
      <c r="Y434" s="37"/>
      <c r="Z434" s="86">
        <f>tbl_estimated_costs_quantities[[#This Row],[Floor Repairs]]*BOQs!$L$8</f>
        <v>0</v>
      </c>
      <c r="AA434" s="76"/>
      <c r="AB434" s="37"/>
      <c r="AC434" s="86">
        <f>tbl_estimated_costs_quantities[[#This Row],[Doors Replacement Repair]]*BOQs!$L$9</f>
        <v>0</v>
      </c>
      <c r="AD434" s="76"/>
      <c r="AE434" s="37"/>
      <c r="AF434" s="86">
        <f>tbl_estimated_costs_quantities[[#This Row],[Windows Replacement Repair]]*BOQs!$L$10</f>
        <v>0</v>
      </c>
      <c r="AG434" s="76"/>
      <c r="AH434" s="37"/>
      <c r="AI434" s="86">
        <f>tbl_estimated_costs_quantities[[#This Row],[Bathroom Rehabilitation]]*BOQs!$L$11</f>
        <v>0</v>
      </c>
      <c r="AJ434" s="76"/>
      <c r="AK434" s="37"/>
      <c r="AL434" s="86">
        <f>tbl_estimated_costs_quantities[[#This Row],[Ceramic Tile Works WASH]]*BOQs!$L$12</f>
        <v>0</v>
      </c>
      <c r="AM434" s="76"/>
      <c r="AN434" s="37"/>
      <c r="AO434" s="86">
        <f>tbl_estimated_costs_quantities[[#This Row],[Electrical Repairs Lighting]]*BOQs!$L$13</f>
        <v>0</v>
      </c>
      <c r="AP434" s="76"/>
      <c r="AQ434" s="37"/>
      <c r="AR434" s="86">
        <f>tbl_estimated_costs_quantities[[#This Row],[Roof Insulation Leak Sealing]]*BOQs!$L$14</f>
        <v>0</v>
      </c>
      <c r="AS434" s="76"/>
      <c r="AT434" s="37"/>
      <c r="AU434" s="86">
        <f>tbl_estimated_costs_quantities[[#This Row],[Chimney Duct Cleaning Repair]]*BOQs!$L$15</f>
        <v>0</v>
      </c>
      <c r="AV434" s="76"/>
      <c r="AW434" s="37"/>
      <c r="AX434" s="89">
        <f>tbl_estimated_costs_quantities[[#This Row],[Accessibility Adaptations]]*BOQs!$L$16</f>
        <v>0</v>
      </c>
      <c r="AY434" s="86" t="str">
        <f>IF(tbl_estimated_costs_quantities[[#This Row],[Total cost]]&lt;&gt;0,tbl_estimated_costs_quantities[[#This Row],[Total cost]]/BOQs!$A$1,"")</f>
        <v/>
      </c>
      <c r="AZ434" s="37"/>
      <c r="BA434" s="37"/>
      <c r="BB434" s="37"/>
      <c r="BC434" s="37"/>
      <c r="BD434" s="41"/>
      <c r="BE434" s="37"/>
      <c r="BF434" s="37"/>
      <c r="BG434" s="37"/>
      <c r="BH434" s="41"/>
    </row>
    <row r="435" spans="2:60" ht="25.15" customHeight="1" x14ac:dyDescent="0.25">
      <c r="B435" s="49">
        <v>431</v>
      </c>
      <c r="C435" s="37"/>
      <c r="D435" s="41"/>
      <c r="E435" s="40"/>
      <c r="F435" s="87" t="str">
        <f>IF(tbl_estimated_costs_quantities[[#This Row],[House Code]]&lt;&gt;"",INDEX(tbl_Assessment[],MATCH(tbl_estimated_costs_quantities[[#This Row],[House Code]],tbl_Assessment[House Code],0),3),"")</f>
        <v/>
      </c>
      <c r="G435" s="115" t="str">
        <f>IF(tbl_estimated_costs_quantities[[#This Row],[House Code]]&lt;&gt;"",INDEX(tbl_Assessment[],MATCH(tbl_estimated_costs_quantities[[#This Row],[House Code]],tbl_Assessment[House Code],0),9),"")</f>
        <v/>
      </c>
      <c r="H43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5" s="75"/>
      <c r="J435" s="37"/>
      <c r="K435" s="86">
        <f>tbl_estimated_costs_quantities[[#This Row],[Site Preparation]]*BOQs!$L$3</f>
        <v>0</v>
      </c>
      <c r="L435" s="76"/>
      <c r="M435" s="37"/>
      <c r="N435" s="86">
        <f>tbl_estimated_costs_quantities[[#This Row],[Demolition Removal Unsafe Structures]]*BOQs!$L$4</f>
        <v>0</v>
      </c>
      <c r="O435" s="76"/>
      <c r="P435" s="37"/>
      <c r="Q435" s="86">
        <f>tbl_estimated_costs_quantities[[#This Row],[Concrete Works]]*BOQs!$L$5</f>
        <v>0</v>
      </c>
      <c r="R435" s="76"/>
      <c r="S435" s="37"/>
      <c r="T435" s="86">
        <f>tbl_estimated_costs_quantities[[#This Row],[Closure External Openings Walls Windows]]*BOQs!$L$6</f>
        <v>0</v>
      </c>
      <c r="U435" s="76"/>
      <c r="V435" s="37"/>
      <c r="W435" s="86">
        <f>tbl_estimated_costs_quantities[[#This Row],[Plastering Painting]]*BOQs!$L$7</f>
        <v>0</v>
      </c>
      <c r="X435" s="76"/>
      <c r="Y435" s="37"/>
      <c r="Z435" s="86">
        <f>tbl_estimated_costs_quantities[[#This Row],[Floor Repairs]]*BOQs!$L$8</f>
        <v>0</v>
      </c>
      <c r="AA435" s="76"/>
      <c r="AB435" s="37"/>
      <c r="AC435" s="86">
        <f>tbl_estimated_costs_quantities[[#This Row],[Doors Replacement Repair]]*BOQs!$L$9</f>
        <v>0</v>
      </c>
      <c r="AD435" s="76"/>
      <c r="AE435" s="37"/>
      <c r="AF435" s="86">
        <f>tbl_estimated_costs_quantities[[#This Row],[Windows Replacement Repair]]*BOQs!$L$10</f>
        <v>0</v>
      </c>
      <c r="AG435" s="76"/>
      <c r="AH435" s="37"/>
      <c r="AI435" s="86">
        <f>tbl_estimated_costs_quantities[[#This Row],[Bathroom Rehabilitation]]*BOQs!$L$11</f>
        <v>0</v>
      </c>
      <c r="AJ435" s="76"/>
      <c r="AK435" s="37"/>
      <c r="AL435" s="86">
        <f>tbl_estimated_costs_quantities[[#This Row],[Ceramic Tile Works WASH]]*BOQs!$L$12</f>
        <v>0</v>
      </c>
      <c r="AM435" s="76"/>
      <c r="AN435" s="37"/>
      <c r="AO435" s="86">
        <f>tbl_estimated_costs_quantities[[#This Row],[Electrical Repairs Lighting]]*BOQs!$L$13</f>
        <v>0</v>
      </c>
      <c r="AP435" s="76"/>
      <c r="AQ435" s="37"/>
      <c r="AR435" s="86">
        <f>tbl_estimated_costs_quantities[[#This Row],[Roof Insulation Leak Sealing]]*BOQs!$L$14</f>
        <v>0</v>
      </c>
      <c r="AS435" s="76"/>
      <c r="AT435" s="37"/>
      <c r="AU435" s="86">
        <f>tbl_estimated_costs_quantities[[#This Row],[Chimney Duct Cleaning Repair]]*BOQs!$L$15</f>
        <v>0</v>
      </c>
      <c r="AV435" s="76"/>
      <c r="AW435" s="37"/>
      <c r="AX435" s="89">
        <f>tbl_estimated_costs_quantities[[#This Row],[Accessibility Adaptations]]*BOQs!$L$16</f>
        <v>0</v>
      </c>
      <c r="AY435" s="86" t="str">
        <f>IF(tbl_estimated_costs_quantities[[#This Row],[Total cost]]&lt;&gt;0,tbl_estimated_costs_quantities[[#This Row],[Total cost]]/BOQs!$A$1,"")</f>
        <v/>
      </c>
      <c r="AZ435" s="37"/>
      <c r="BA435" s="37"/>
      <c r="BB435" s="37"/>
      <c r="BC435" s="37"/>
      <c r="BD435" s="41"/>
      <c r="BE435" s="37"/>
      <c r="BF435" s="37"/>
      <c r="BG435" s="37"/>
      <c r="BH435" s="41"/>
    </row>
    <row r="436" spans="2:60" ht="25.15" customHeight="1" x14ac:dyDescent="0.25">
      <c r="B436" s="49">
        <v>432</v>
      </c>
      <c r="C436" s="37"/>
      <c r="D436" s="41"/>
      <c r="E436" s="40"/>
      <c r="F436" s="87" t="str">
        <f>IF(tbl_estimated_costs_quantities[[#This Row],[House Code]]&lt;&gt;"",INDEX(tbl_Assessment[],MATCH(tbl_estimated_costs_quantities[[#This Row],[House Code]],tbl_Assessment[House Code],0),3),"")</f>
        <v/>
      </c>
      <c r="G436" s="115" t="str">
        <f>IF(tbl_estimated_costs_quantities[[#This Row],[House Code]]&lt;&gt;"",INDEX(tbl_Assessment[],MATCH(tbl_estimated_costs_quantities[[#This Row],[House Code]],tbl_Assessment[House Code],0),9),"")</f>
        <v/>
      </c>
      <c r="H43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6" s="75"/>
      <c r="J436" s="37"/>
      <c r="K436" s="86">
        <f>tbl_estimated_costs_quantities[[#This Row],[Site Preparation]]*BOQs!$L$3</f>
        <v>0</v>
      </c>
      <c r="L436" s="76"/>
      <c r="M436" s="37"/>
      <c r="N436" s="86">
        <f>tbl_estimated_costs_quantities[[#This Row],[Demolition Removal Unsafe Structures]]*BOQs!$L$4</f>
        <v>0</v>
      </c>
      <c r="O436" s="76"/>
      <c r="P436" s="37"/>
      <c r="Q436" s="86">
        <f>tbl_estimated_costs_quantities[[#This Row],[Concrete Works]]*BOQs!$L$5</f>
        <v>0</v>
      </c>
      <c r="R436" s="76"/>
      <c r="S436" s="37"/>
      <c r="T436" s="86">
        <f>tbl_estimated_costs_quantities[[#This Row],[Closure External Openings Walls Windows]]*BOQs!$L$6</f>
        <v>0</v>
      </c>
      <c r="U436" s="76"/>
      <c r="V436" s="37"/>
      <c r="W436" s="86">
        <f>tbl_estimated_costs_quantities[[#This Row],[Plastering Painting]]*BOQs!$L$7</f>
        <v>0</v>
      </c>
      <c r="X436" s="76"/>
      <c r="Y436" s="37"/>
      <c r="Z436" s="86">
        <f>tbl_estimated_costs_quantities[[#This Row],[Floor Repairs]]*BOQs!$L$8</f>
        <v>0</v>
      </c>
      <c r="AA436" s="76"/>
      <c r="AB436" s="37"/>
      <c r="AC436" s="86">
        <f>tbl_estimated_costs_quantities[[#This Row],[Doors Replacement Repair]]*BOQs!$L$9</f>
        <v>0</v>
      </c>
      <c r="AD436" s="76"/>
      <c r="AE436" s="37"/>
      <c r="AF436" s="86">
        <f>tbl_estimated_costs_quantities[[#This Row],[Windows Replacement Repair]]*BOQs!$L$10</f>
        <v>0</v>
      </c>
      <c r="AG436" s="76"/>
      <c r="AH436" s="37"/>
      <c r="AI436" s="86">
        <f>tbl_estimated_costs_quantities[[#This Row],[Bathroom Rehabilitation]]*BOQs!$L$11</f>
        <v>0</v>
      </c>
      <c r="AJ436" s="76"/>
      <c r="AK436" s="37"/>
      <c r="AL436" s="86">
        <f>tbl_estimated_costs_quantities[[#This Row],[Ceramic Tile Works WASH]]*BOQs!$L$12</f>
        <v>0</v>
      </c>
      <c r="AM436" s="76"/>
      <c r="AN436" s="37"/>
      <c r="AO436" s="86">
        <f>tbl_estimated_costs_quantities[[#This Row],[Electrical Repairs Lighting]]*BOQs!$L$13</f>
        <v>0</v>
      </c>
      <c r="AP436" s="76"/>
      <c r="AQ436" s="37"/>
      <c r="AR436" s="86">
        <f>tbl_estimated_costs_quantities[[#This Row],[Roof Insulation Leak Sealing]]*BOQs!$L$14</f>
        <v>0</v>
      </c>
      <c r="AS436" s="76"/>
      <c r="AT436" s="37"/>
      <c r="AU436" s="86">
        <f>tbl_estimated_costs_quantities[[#This Row],[Chimney Duct Cleaning Repair]]*BOQs!$L$15</f>
        <v>0</v>
      </c>
      <c r="AV436" s="76"/>
      <c r="AW436" s="37"/>
      <c r="AX436" s="89">
        <f>tbl_estimated_costs_quantities[[#This Row],[Accessibility Adaptations]]*BOQs!$L$16</f>
        <v>0</v>
      </c>
      <c r="AY436" s="86" t="str">
        <f>IF(tbl_estimated_costs_quantities[[#This Row],[Total cost]]&lt;&gt;0,tbl_estimated_costs_quantities[[#This Row],[Total cost]]/BOQs!$A$1,"")</f>
        <v/>
      </c>
      <c r="AZ436" s="37"/>
      <c r="BA436" s="37"/>
      <c r="BB436" s="37"/>
      <c r="BC436" s="37"/>
      <c r="BD436" s="41"/>
      <c r="BE436" s="37"/>
      <c r="BF436" s="37"/>
      <c r="BG436" s="37"/>
      <c r="BH436" s="41"/>
    </row>
    <row r="437" spans="2:60" ht="25.15" customHeight="1" x14ac:dyDescent="0.25">
      <c r="B437" s="49">
        <v>433</v>
      </c>
      <c r="C437" s="37"/>
      <c r="D437" s="41"/>
      <c r="E437" s="40"/>
      <c r="F437" s="87" t="str">
        <f>IF(tbl_estimated_costs_quantities[[#This Row],[House Code]]&lt;&gt;"",INDEX(tbl_Assessment[],MATCH(tbl_estimated_costs_quantities[[#This Row],[House Code]],tbl_Assessment[House Code],0),3),"")</f>
        <v/>
      </c>
      <c r="G437" s="115" t="str">
        <f>IF(tbl_estimated_costs_quantities[[#This Row],[House Code]]&lt;&gt;"",INDEX(tbl_Assessment[],MATCH(tbl_estimated_costs_quantities[[#This Row],[House Code]],tbl_Assessment[House Code],0),9),"")</f>
        <v/>
      </c>
      <c r="H43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7" s="75"/>
      <c r="J437" s="37"/>
      <c r="K437" s="86">
        <f>tbl_estimated_costs_quantities[[#This Row],[Site Preparation]]*BOQs!$L$3</f>
        <v>0</v>
      </c>
      <c r="L437" s="76"/>
      <c r="M437" s="37"/>
      <c r="N437" s="86">
        <f>tbl_estimated_costs_quantities[[#This Row],[Demolition Removal Unsafe Structures]]*BOQs!$L$4</f>
        <v>0</v>
      </c>
      <c r="O437" s="76"/>
      <c r="P437" s="37"/>
      <c r="Q437" s="86">
        <f>tbl_estimated_costs_quantities[[#This Row],[Concrete Works]]*BOQs!$L$5</f>
        <v>0</v>
      </c>
      <c r="R437" s="76"/>
      <c r="S437" s="37"/>
      <c r="T437" s="86">
        <f>tbl_estimated_costs_quantities[[#This Row],[Closure External Openings Walls Windows]]*BOQs!$L$6</f>
        <v>0</v>
      </c>
      <c r="U437" s="76"/>
      <c r="V437" s="37"/>
      <c r="W437" s="86">
        <f>tbl_estimated_costs_quantities[[#This Row],[Plastering Painting]]*BOQs!$L$7</f>
        <v>0</v>
      </c>
      <c r="X437" s="76"/>
      <c r="Y437" s="37"/>
      <c r="Z437" s="86">
        <f>tbl_estimated_costs_quantities[[#This Row],[Floor Repairs]]*BOQs!$L$8</f>
        <v>0</v>
      </c>
      <c r="AA437" s="76"/>
      <c r="AB437" s="37"/>
      <c r="AC437" s="86">
        <f>tbl_estimated_costs_quantities[[#This Row],[Doors Replacement Repair]]*BOQs!$L$9</f>
        <v>0</v>
      </c>
      <c r="AD437" s="76"/>
      <c r="AE437" s="37"/>
      <c r="AF437" s="86">
        <f>tbl_estimated_costs_quantities[[#This Row],[Windows Replacement Repair]]*BOQs!$L$10</f>
        <v>0</v>
      </c>
      <c r="AG437" s="76"/>
      <c r="AH437" s="37"/>
      <c r="AI437" s="86">
        <f>tbl_estimated_costs_quantities[[#This Row],[Bathroom Rehabilitation]]*BOQs!$L$11</f>
        <v>0</v>
      </c>
      <c r="AJ437" s="76"/>
      <c r="AK437" s="37"/>
      <c r="AL437" s="86">
        <f>tbl_estimated_costs_quantities[[#This Row],[Ceramic Tile Works WASH]]*BOQs!$L$12</f>
        <v>0</v>
      </c>
      <c r="AM437" s="76"/>
      <c r="AN437" s="37"/>
      <c r="AO437" s="86">
        <f>tbl_estimated_costs_quantities[[#This Row],[Electrical Repairs Lighting]]*BOQs!$L$13</f>
        <v>0</v>
      </c>
      <c r="AP437" s="76"/>
      <c r="AQ437" s="37"/>
      <c r="AR437" s="86">
        <f>tbl_estimated_costs_quantities[[#This Row],[Roof Insulation Leak Sealing]]*BOQs!$L$14</f>
        <v>0</v>
      </c>
      <c r="AS437" s="76"/>
      <c r="AT437" s="37"/>
      <c r="AU437" s="86">
        <f>tbl_estimated_costs_quantities[[#This Row],[Chimney Duct Cleaning Repair]]*BOQs!$L$15</f>
        <v>0</v>
      </c>
      <c r="AV437" s="76"/>
      <c r="AW437" s="37"/>
      <c r="AX437" s="89">
        <f>tbl_estimated_costs_quantities[[#This Row],[Accessibility Adaptations]]*BOQs!$L$16</f>
        <v>0</v>
      </c>
      <c r="AY437" s="86" t="str">
        <f>IF(tbl_estimated_costs_quantities[[#This Row],[Total cost]]&lt;&gt;0,tbl_estimated_costs_quantities[[#This Row],[Total cost]]/BOQs!$A$1,"")</f>
        <v/>
      </c>
      <c r="AZ437" s="37"/>
      <c r="BA437" s="37"/>
      <c r="BB437" s="37"/>
      <c r="BC437" s="37"/>
      <c r="BD437" s="41"/>
      <c r="BE437" s="37"/>
      <c r="BF437" s="37"/>
      <c r="BG437" s="37"/>
      <c r="BH437" s="41"/>
    </row>
    <row r="438" spans="2:60" ht="25.15" customHeight="1" x14ac:dyDescent="0.25">
      <c r="B438" s="49">
        <v>434</v>
      </c>
      <c r="C438" s="37"/>
      <c r="D438" s="41"/>
      <c r="E438" s="40"/>
      <c r="F438" s="87" t="str">
        <f>IF(tbl_estimated_costs_quantities[[#This Row],[House Code]]&lt;&gt;"",INDEX(tbl_Assessment[],MATCH(tbl_estimated_costs_quantities[[#This Row],[House Code]],tbl_Assessment[House Code],0),3),"")</f>
        <v/>
      </c>
      <c r="G438" s="115" t="str">
        <f>IF(tbl_estimated_costs_quantities[[#This Row],[House Code]]&lt;&gt;"",INDEX(tbl_Assessment[],MATCH(tbl_estimated_costs_quantities[[#This Row],[House Code]],tbl_Assessment[House Code],0),9),"")</f>
        <v/>
      </c>
      <c r="H43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8" s="75"/>
      <c r="J438" s="37"/>
      <c r="K438" s="86">
        <f>tbl_estimated_costs_quantities[[#This Row],[Site Preparation]]*BOQs!$L$3</f>
        <v>0</v>
      </c>
      <c r="L438" s="76"/>
      <c r="M438" s="37"/>
      <c r="N438" s="86">
        <f>tbl_estimated_costs_quantities[[#This Row],[Demolition Removal Unsafe Structures]]*BOQs!$L$4</f>
        <v>0</v>
      </c>
      <c r="O438" s="76"/>
      <c r="P438" s="37"/>
      <c r="Q438" s="86">
        <f>tbl_estimated_costs_quantities[[#This Row],[Concrete Works]]*BOQs!$L$5</f>
        <v>0</v>
      </c>
      <c r="R438" s="76"/>
      <c r="S438" s="37"/>
      <c r="T438" s="86">
        <f>tbl_estimated_costs_quantities[[#This Row],[Closure External Openings Walls Windows]]*BOQs!$L$6</f>
        <v>0</v>
      </c>
      <c r="U438" s="76"/>
      <c r="V438" s="37"/>
      <c r="W438" s="86">
        <f>tbl_estimated_costs_quantities[[#This Row],[Plastering Painting]]*BOQs!$L$7</f>
        <v>0</v>
      </c>
      <c r="X438" s="76"/>
      <c r="Y438" s="37"/>
      <c r="Z438" s="86">
        <f>tbl_estimated_costs_quantities[[#This Row],[Floor Repairs]]*BOQs!$L$8</f>
        <v>0</v>
      </c>
      <c r="AA438" s="76"/>
      <c r="AB438" s="37"/>
      <c r="AC438" s="86">
        <f>tbl_estimated_costs_quantities[[#This Row],[Doors Replacement Repair]]*BOQs!$L$9</f>
        <v>0</v>
      </c>
      <c r="AD438" s="76"/>
      <c r="AE438" s="37"/>
      <c r="AF438" s="86">
        <f>tbl_estimated_costs_quantities[[#This Row],[Windows Replacement Repair]]*BOQs!$L$10</f>
        <v>0</v>
      </c>
      <c r="AG438" s="76"/>
      <c r="AH438" s="37"/>
      <c r="AI438" s="86">
        <f>tbl_estimated_costs_quantities[[#This Row],[Bathroom Rehabilitation]]*BOQs!$L$11</f>
        <v>0</v>
      </c>
      <c r="AJ438" s="76"/>
      <c r="AK438" s="37"/>
      <c r="AL438" s="86">
        <f>tbl_estimated_costs_quantities[[#This Row],[Ceramic Tile Works WASH]]*BOQs!$L$12</f>
        <v>0</v>
      </c>
      <c r="AM438" s="76"/>
      <c r="AN438" s="37"/>
      <c r="AO438" s="86">
        <f>tbl_estimated_costs_quantities[[#This Row],[Electrical Repairs Lighting]]*BOQs!$L$13</f>
        <v>0</v>
      </c>
      <c r="AP438" s="76"/>
      <c r="AQ438" s="37"/>
      <c r="AR438" s="86">
        <f>tbl_estimated_costs_quantities[[#This Row],[Roof Insulation Leak Sealing]]*BOQs!$L$14</f>
        <v>0</v>
      </c>
      <c r="AS438" s="76"/>
      <c r="AT438" s="37"/>
      <c r="AU438" s="86">
        <f>tbl_estimated_costs_quantities[[#This Row],[Chimney Duct Cleaning Repair]]*BOQs!$L$15</f>
        <v>0</v>
      </c>
      <c r="AV438" s="76"/>
      <c r="AW438" s="37"/>
      <c r="AX438" s="89">
        <f>tbl_estimated_costs_quantities[[#This Row],[Accessibility Adaptations]]*BOQs!$L$16</f>
        <v>0</v>
      </c>
      <c r="AY438" s="86" t="str">
        <f>IF(tbl_estimated_costs_quantities[[#This Row],[Total cost]]&lt;&gt;0,tbl_estimated_costs_quantities[[#This Row],[Total cost]]/BOQs!$A$1,"")</f>
        <v/>
      </c>
      <c r="AZ438" s="37"/>
      <c r="BA438" s="37"/>
      <c r="BB438" s="37"/>
      <c r="BC438" s="37"/>
      <c r="BD438" s="41"/>
      <c r="BE438" s="37"/>
      <c r="BF438" s="37"/>
      <c r="BG438" s="37"/>
      <c r="BH438" s="41"/>
    </row>
    <row r="439" spans="2:60" ht="25.15" customHeight="1" x14ac:dyDescent="0.25">
      <c r="B439" s="49">
        <v>435</v>
      </c>
      <c r="C439" s="37"/>
      <c r="D439" s="41"/>
      <c r="E439" s="40"/>
      <c r="F439" s="87" t="str">
        <f>IF(tbl_estimated_costs_quantities[[#This Row],[House Code]]&lt;&gt;"",INDEX(tbl_Assessment[],MATCH(tbl_estimated_costs_quantities[[#This Row],[House Code]],tbl_Assessment[House Code],0),3),"")</f>
        <v/>
      </c>
      <c r="G439" s="115" t="str">
        <f>IF(tbl_estimated_costs_quantities[[#This Row],[House Code]]&lt;&gt;"",INDEX(tbl_Assessment[],MATCH(tbl_estimated_costs_quantities[[#This Row],[House Code]],tbl_Assessment[House Code],0),9),"")</f>
        <v/>
      </c>
      <c r="H43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39" s="75"/>
      <c r="J439" s="37"/>
      <c r="K439" s="86">
        <f>tbl_estimated_costs_quantities[[#This Row],[Site Preparation]]*BOQs!$L$3</f>
        <v>0</v>
      </c>
      <c r="L439" s="76"/>
      <c r="M439" s="37"/>
      <c r="N439" s="86">
        <f>tbl_estimated_costs_quantities[[#This Row],[Demolition Removal Unsafe Structures]]*BOQs!$L$4</f>
        <v>0</v>
      </c>
      <c r="O439" s="76"/>
      <c r="P439" s="37"/>
      <c r="Q439" s="86">
        <f>tbl_estimated_costs_quantities[[#This Row],[Concrete Works]]*BOQs!$L$5</f>
        <v>0</v>
      </c>
      <c r="R439" s="76"/>
      <c r="S439" s="37"/>
      <c r="T439" s="86">
        <f>tbl_estimated_costs_quantities[[#This Row],[Closure External Openings Walls Windows]]*BOQs!$L$6</f>
        <v>0</v>
      </c>
      <c r="U439" s="76"/>
      <c r="V439" s="37"/>
      <c r="W439" s="86">
        <f>tbl_estimated_costs_quantities[[#This Row],[Plastering Painting]]*BOQs!$L$7</f>
        <v>0</v>
      </c>
      <c r="X439" s="76"/>
      <c r="Y439" s="37"/>
      <c r="Z439" s="86">
        <f>tbl_estimated_costs_quantities[[#This Row],[Floor Repairs]]*BOQs!$L$8</f>
        <v>0</v>
      </c>
      <c r="AA439" s="76"/>
      <c r="AB439" s="37"/>
      <c r="AC439" s="86">
        <f>tbl_estimated_costs_quantities[[#This Row],[Doors Replacement Repair]]*BOQs!$L$9</f>
        <v>0</v>
      </c>
      <c r="AD439" s="76"/>
      <c r="AE439" s="37"/>
      <c r="AF439" s="86">
        <f>tbl_estimated_costs_quantities[[#This Row],[Windows Replacement Repair]]*BOQs!$L$10</f>
        <v>0</v>
      </c>
      <c r="AG439" s="76"/>
      <c r="AH439" s="37"/>
      <c r="AI439" s="86">
        <f>tbl_estimated_costs_quantities[[#This Row],[Bathroom Rehabilitation]]*BOQs!$L$11</f>
        <v>0</v>
      </c>
      <c r="AJ439" s="76"/>
      <c r="AK439" s="37"/>
      <c r="AL439" s="86">
        <f>tbl_estimated_costs_quantities[[#This Row],[Ceramic Tile Works WASH]]*BOQs!$L$12</f>
        <v>0</v>
      </c>
      <c r="AM439" s="76"/>
      <c r="AN439" s="37"/>
      <c r="AO439" s="86">
        <f>tbl_estimated_costs_quantities[[#This Row],[Electrical Repairs Lighting]]*BOQs!$L$13</f>
        <v>0</v>
      </c>
      <c r="AP439" s="76"/>
      <c r="AQ439" s="37"/>
      <c r="AR439" s="86">
        <f>tbl_estimated_costs_quantities[[#This Row],[Roof Insulation Leak Sealing]]*BOQs!$L$14</f>
        <v>0</v>
      </c>
      <c r="AS439" s="76"/>
      <c r="AT439" s="37"/>
      <c r="AU439" s="86">
        <f>tbl_estimated_costs_quantities[[#This Row],[Chimney Duct Cleaning Repair]]*BOQs!$L$15</f>
        <v>0</v>
      </c>
      <c r="AV439" s="76"/>
      <c r="AW439" s="37"/>
      <c r="AX439" s="89">
        <f>tbl_estimated_costs_quantities[[#This Row],[Accessibility Adaptations]]*BOQs!$L$16</f>
        <v>0</v>
      </c>
      <c r="AY439" s="86" t="str">
        <f>IF(tbl_estimated_costs_quantities[[#This Row],[Total cost]]&lt;&gt;0,tbl_estimated_costs_quantities[[#This Row],[Total cost]]/BOQs!$A$1,"")</f>
        <v/>
      </c>
      <c r="AZ439" s="37"/>
      <c r="BA439" s="37"/>
      <c r="BB439" s="37"/>
      <c r="BC439" s="37"/>
      <c r="BD439" s="41"/>
      <c r="BE439" s="37"/>
      <c r="BF439" s="37"/>
      <c r="BG439" s="37"/>
      <c r="BH439" s="41"/>
    </row>
    <row r="440" spans="2:60" ht="25.15" customHeight="1" x14ac:dyDescent="0.25">
      <c r="B440" s="49">
        <v>436</v>
      </c>
      <c r="C440" s="37"/>
      <c r="D440" s="41"/>
      <c r="E440" s="40"/>
      <c r="F440" s="87" t="str">
        <f>IF(tbl_estimated_costs_quantities[[#This Row],[House Code]]&lt;&gt;"",INDEX(tbl_Assessment[],MATCH(tbl_estimated_costs_quantities[[#This Row],[House Code]],tbl_Assessment[House Code],0),3),"")</f>
        <v/>
      </c>
      <c r="G440" s="115" t="str">
        <f>IF(tbl_estimated_costs_quantities[[#This Row],[House Code]]&lt;&gt;"",INDEX(tbl_Assessment[],MATCH(tbl_estimated_costs_quantities[[#This Row],[House Code]],tbl_Assessment[House Code],0),9),"")</f>
        <v/>
      </c>
      <c r="H44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0" s="75"/>
      <c r="J440" s="37"/>
      <c r="K440" s="86">
        <f>tbl_estimated_costs_quantities[[#This Row],[Site Preparation]]*BOQs!$L$3</f>
        <v>0</v>
      </c>
      <c r="L440" s="76"/>
      <c r="M440" s="37"/>
      <c r="N440" s="86">
        <f>tbl_estimated_costs_quantities[[#This Row],[Demolition Removal Unsafe Structures]]*BOQs!$L$4</f>
        <v>0</v>
      </c>
      <c r="O440" s="76"/>
      <c r="P440" s="37"/>
      <c r="Q440" s="86">
        <f>tbl_estimated_costs_quantities[[#This Row],[Concrete Works]]*BOQs!$L$5</f>
        <v>0</v>
      </c>
      <c r="R440" s="76"/>
      <c r="S440" s="37"/>
      <c r="T440" s="86">
        <f>tbl_estimated_costs_quantities[[#This Row],[Closure External Openings Walls Windows]]*BOQs!$L$6</f>
        <v>0</v>
      </c>
      <c r="U440" s="76"/>
      <c r="V440" s="37"/>
      <c r="W440" s="86">
        <f>tbl_estimated_costs_quantities[[#This Row],[Plastering Painting]]*BOQs!$L$7</f>
        <v>0</v>
      </c>
      <c r="X440" s="76"/>
      <c r="Y440" s="37"/>
      <c r="Z440" s="86">
        <f>tbl_estimated_costs_quantities[[#This Row],[Floor Repairs]]*BOQs!$L$8</f>
        <v>0</v>
      </c>
      <c r="AA440" s="76"/>
      <c r="AB440" s="37"/>
      <c r="AC440" s="86">
        <f>tbl_estimated_costs_quantities[[#This Row],[Doors Replacement Repair]]*BOQs!$L$9</f>
        <v>0</v>
      </c>
      <c r="AD440" s="76"/>
      <c r="AE440" s="37"/>
      <c r="AF440" s="86">
        <f>tbl_estimated_costs_quantities[[#This Row],[Windows Replacement Repair]]*BOQs!$L$10</f>
        <v>0</v>
      </c>
      <c r="AG440" s="76"/>
      <c r="AH440" s="37"/>
      <c r="AI440" s="86">
        <f>tbl_estimated_costs_quantities[[#This Row],[Bathroom Rehabilitation]]*BOQs!$L$11</f>
        <v>0</v>
      </c>
      <c r="AJ440" s="76"/>
      <c r="AK440" s="37"/>
      <c r="AL440" s="86">
        <f>tbl_estimated_costs_quantities[[#This Row],[Ceramic Tile Works WASH]]*BOQs!$L$12</f>
        <v>0</v>
      </c>
      <c r="AM440" s="76"/>
      <c r="AN440" s="37"/>
      <c r="AO440" s="86">
        <f>tbl_estimated_costs_quantities[[#This Row],[Electrical Repairs Lighting]]*BOQs!$L$13</f>
        <v>0</v>
      </c>
      <c r="AP440" s="76"/>
      <c r="AQ440" s="37"/>
      <c r="AR440" s="86">
        <f>tbl_estimated_costs_quantities[[#This Row],[Roof Insulation Leak Sealing]]*BOQs!$L$14</f>
        <v>0</v>
      </c>
      <c r="AS440" s="76"/>
      <c r="AT440" s="37"/>
      <c r="AU440" s="86">
        <f>tbl_estimated_costs_quantities[[#This Row],[Chimney Duct Cleaning Repair]]*BOQs!$L$15</f>
        <v>0</v>
      </c>
      <c r="AV440" s="76"/>
      <c r="AW440" s="37"/>
      <c r="AX440" s="89">
        <f>tbl_estimated_costs_quantities[[#This Row],[Accessibility Adaptations]]*BOQs!$L$16</f>
        <v>0</v>
      </c>
      <c r="AY440" s="86" t="str">
        <f>IF(tbl_estimated_costs_quantities[[#This Row],[Total cost]]&lt;&gt;0,tbl_estimated_costs_quantities[[#This Row],[Total cost]]/BOQs!$A$1,"")</f>
        <v/>
      </c>
      <c r="AZ440" s="37"/>
      <c r="BA440" s="37"/>
      <c r="BB440" s="37"/>
      <c r="BC440" s="37"/>
      <c r="BD440" s="41"/>
      <c r="BE440" s="37"/>
      <c r="BF440" s="37"/>
      <c r="BG440" s="37"/>
      <c r="BH440" s="41"/>
    </row>
    <row r="441" spans="2:60" ht="25.15" customHeight="1" x14ac:dyDescent="0.25">
      <c r="B441" s="49">
        <v>437</v>
      </c>
      <c r="C441" s="37"/>
      <c r="D441" s="41"/>
      <c r="E441" s="40"/>
      <c r="F441" s="87" t="str">
        <f>IF(tbl_estimated_costs_quantities[[#This Row],[House Code]]&lt;&gt;"",INDEX(tbl_Assessment[],MATCH(tbl_estimated_costs_quantities[[#This Row],[House Code]],tbl_Assessment[House Code],0),3),"")</f>
        <v/>
      </c>
      <c r="G441" s="115" t="str">
        <f>IF(tbl_estimated_costs_quantities[[#This Row],[House Code]]&lt;&gt;"",INDEX(tbl_Assessment[],MATCH(tbl_estimated_costs_quantities[[#This Row],[House Code]],tbl_Assessment[House Code],0),9),"")</f>
        <v/>
      </c>
      <c r="H44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1" s="75"/>
      <c r="J441" s="37"/>
      <c r="K441" s="86">
        <f>tbl_estimated_costs_quantities[[#This Row],[Site Preparation]]*BOQs!$L$3</f>
        <v>0</v>
      </c>
      <c r="L441" s="76"/>
      <c r="M441" s="37"/>
      <c r="N441" s="86">
        <f>tbl_estimated_costs_quantities[[#This Row],[Demolition Removal Unsafe Structures]]*BOQs!$L$4</f>
        <v>0</v>
      </c>
      <c r="O441" s="76"/>
      <c r="P441" s="37"/>
      <c r="Q441" s="86">
        <f>tbl_estimated_costs_quantities[[#This Row],[Concrete Works]]*BOQs!$L$5</f>
        <v>0</v>
      </c>
      <c r="R441" s="76"/>
      <c r="S441" s="37"/>
      <c r="T441" s="86">
        <f>tbl_estimated_costs_quantities[[#This Row],[Closure External Openings Walls Windows]]*BOQs!$L$6</f>
        <v>0</v>
      </c>
      <c r="U441" s="76"/>
      <c r="V441" s="37"/>
      <c r="W441" s="86">
        <f>tbl_estimated_costs_quantities[[#This Row],[Plastering Painting]]*BOQs!$L$7</f>
        <v>0</v>
      </c>
      <c r="X441" s="76"/>
      <c r="Y441" s="37"/>
      <c r="Z441" s="86">
        <f>tbl_estimated_costs_quantities[[#This Row],[Floor Repairs]]*BOQs!$L$8</f>
        <v>0</v>
      </c>
      <c r="AA441" s="76"/>
      <c r="AB441" s="37"/>
      <c r="AC441" s="86">
        <f>tbl_estimated_costs_quantities[[#This Row],[Doors Replacement Repair]]*BOQs!$L$9</f>
        <v>0</v>
      </c>
      <c r="AD441" s="76"/>
      <c r="AE441" s="37"/>
      <c r="AF441" s="86">
        <f>tbl_estimated_costs_quantities[[#This Row],[Windows Replacement Repair]]*BOQs!$L$10</f>
        <v>0</v>
      </c>
      <c r="AG441" s="76"/>
      <c r="AH441" s="37"/>
      <c r="AI441" s="86">
        <f>tbl_estimated_costs_quantities[[#This Row],[Bathroom Rehabilitation]]*BOQs!$L$11</f>
        <v>0</v>
      </c>
      <c r="AJ441" s="76"/>
      <c r="AK441" s="37"/>
      <c r="AL441" s="86">
        <f>tbl_estimated_costs_quantities[[#This Row],[Ceramic Tile Works WASH]]*BOQs!$L$12</f>
        <v>0</v>
      </c>
      <c r="AM441" s="76"/>
      <c r="AN441" s="37"/>
      <c r="AO441" s="86">
        <f>tbl_estimated_costs_quantities[[#This Row],[Electrical Repairs Lighting]]*BOQs!$L$13</f>
        <v>0</v>
      </c>
      <c r="AP441" s="76"/>
      <c r="AQ441" s="37"/>
      <c r="AR441" s="86">
        <f>tbl_estimated_costs_quantities[[#This Row],[Roof Insulation Leak Sealing]]*BOQs!$L$14</f>
        <v>0</v>
      </c>
      <c r="AS441" s="76"/>
      <c r="AT441" s="37"/>
      <c r="AU441" s="86">
        <f>tbl_estimated_costs_quantities[[#This Row],[Chimney Duct Cleaning Repair]]*BOQs!$L$15</f>
        <v>0</v>
      </c>
      <c r="AV441" s="76"/>
      <c r="AW441" s="37"/>
      <c r="AX441" s="89">
        <f>tbl_estimated_costs_quantities[[#This Row],[Accessibility Adaptations]]*BOQs!$L$16</f>
        <v>0</v>
      </c>
      <c r="AY441" s="86" t="str">
        <f>IF(tbl_estimated_costs_quantities[[#This Row],[Total cost]]&lt;&gt;0,tbl_estimated_costs_quantities[[#This Row],[Total cost]]/BOQs!$A$1,"")</f>
        <v/>
      </c>
      <c r="AZ441" s="37"/>
      <c r="BA441" s="37"/>
      <c r="BB441" s="37"/>
      <c r="BC441" s="37"/>
      <c r="BD441" s="41"/>
      <c r="BE441" s="37"/>
      <c r="BF441" s="37"/>
      <c r="BG441" s="37"/>
      <c r="BH441" s="41"/>
    </row>
    <row r="442" spans="2:60" ht="25.15" customHeight="1" x14ac:dyDescent="0.25">
      <c r="B442" s="49">
        <v>438</v>
      </c>
      <c r="C442" s="37"/>
      <c r="D442" s="41"/>
      <c r="E442" s="40"/>
      <c r="F442" s="87" t="str">
        <f>IF(tbl_estimated_costs_quantities[[#This Row],[House Code]]&lt;&gt;"",INDEX(tbl_Assessment[],MATCH(tbl_estimated_costs_quantities[[#This Row],[House Code]],tbl_Assessment[House Code],0),3),"")</f>
        <v/>
      </c>
      <c r="G442" s="115" t="str">
        <f>IF(tbl_estimated_costs_quantities[[#This Row],[House Code]]&lt;&gt;"",INDEX(tbl_Assessment[],MATCH(tbl_estimated_costs_quantities[[#This Row],[House Code]],tbl_Assessment[House Code],0),9),"")</f>
        <v/>
      </c>
      <c r="H44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2" s="75"/>
      <c r="J442" s="37"/>
      <c r="K442" s="86">
        <f>tbl_estimated_costs_quantities[[#This Row],[Site Preparation]]*BOQs!$L$3</f>
        <v>0</v>
      </c>
      <c r="L442" s="76"/>
      <c r="M442" s="37"/>
      <c r="N442" s="86">
        <f>tbl_estimated_costs_quantities[[#This Row],[Demolition Removal Unsafe Structures]]*BOQs!$L$4</f>
        <v>0</v>
      </c>
      <c r="O442" s="76"/>
      <c r="P442" s="37"/>
      <c r="Q442" s="86">
        <f>tbl_estimated_costs_quantities[[#This Row],[Concrete Works]]*BOQs!$L$5</f>
        <v>0</v>
      </c>
      <c r="R442" s="76"/>
      <c r="S442" s="37"/>
      <c r="T442" s="86">
        <f>tbl_estimated_costs_quantities[[#This Row],[Closure External Openings Walls Windows]]*BOQs!$L$6</f>
        <v>0</v>
      </c>
      <c r="U442" s="76"/>
      <c r="V442" s="37"/>
      <c r="W442" s="86">
        <f>tbl_estimated_costs_quantities[[#This Row],[Plastering Painting]]*BOQs!$L$7</f>
        <v>0</v>
      </c>
      <c r="X442" s="76"/>
      <c r="Y442" s="37"/>
      <c r="Z442" s="86">
        <f>tbl_estimated_costs_quantities[[#This Row],[Floor Repairs]]*BOQs!$L$8</f>
        <v>0</v>
      </c>
      <c r="AA442" s="76"/>
      <c r="AB442" s="37"/>
      <c r="AC442" s="86">
        <f>tbl_estimated_costs_quantities[[#This Row],[Doors Replacement Repair]]*BOQs!$L$9</f>
        <v>0</v>
      </c>
      <c r="AD442" s="76"/>
      <c r="AE442" s="37"/>
      <c r="AF442" s="86">
        <f>tbl_estimated_costs_quantities[[#This Row],[Windows Replacement Repair]]*BOQs!$L$10</f>
        <v>0</v>
      </c>
      <c r="AG442" s="76"/>
      <c r="AH442" s="37"/>
      <c r="AI442" s="86">
        <f>tbl_estimated_costs_quantities[[#This Row],[Bathroom Rehabilitation]]*BOQs!$L$11</f>
        <v>0</v>
      </c>
      <c r="AJ442" s="76"/>
      <c r="AK442" s="37"/>
      <c r="AL442" s="86">
        <f>tbl_estimated_costs_quantities[[#This Row],[Ceramic Tile Works WASH]]*BOQs!$L$12</f>
        <v>0</v>
      </c>
      <c r="AM442" s="76"/>
      <c r="AN442" s="37"/>
      <c r="AO442" s="86">
        <f>tbl_estimated_costs_quantities[[#This Row],[Electrical Repairs Lighting]]*BOQs!$L$13</f>
        <v>0</v>
      </c>
      <c r="AP442" s="76"/>
      <c r="AQ442" s="37"/>
      <c r="AR442" s="86">
        <f>tbl_estimated_costs_quantities[[#This Row],[Roof Insulation Leak Sealing]]*BOQs!$L$14</f>
        <v>0</v>
      </c>
      <c r="AS442" s="76"/>
      <c r="AT442" s="37"/>
      <c r="AU442" s="86">
        <f>tbl_estimated_costs_quantities[[#This Row],[Chimney Duct Cleaning Repair]]*BOQs!$L$15</f>
        <v>0</v>
      </c>
      <c r="AV442" s="76"/>
      <c r="AW442" s="37"/>
      <c r="AX442" s="89">
        <f>tbl_estimated_costs_quantities[[#This Row],[Accessibility Adaptations]]*BOQs!$L$16</f>
        <v>0</v>
      </c>
      <c r="AY442" s="86" t="str">
        <f>IF(tbl_estimated_costs_quantities[[#This Row],[Total cost]]&lt;&gt;0,tbl_estimated_costs_quantities[[#This Row],[Total cost]]/BOQs!$A$1,"")</f>
        <v/>
      </c>
      <c r="AZ442" s="37"/>
      <c r="BA442" s="37"/>
      <c r="BB442" s="37"/>
      <c r="BC442" s="37"/>
      <c r="BD442" s="41"/>
      <c r="BE442" s="37"/>
      <c r="BF442" s="37"/>
      <c r="BG442" s="37"/>
      <c r="BH442" s="41"/>
    </row>
    <row r="443" spans="2:60" ht="25.15" customHeight="1" x14ac:dyDescent="0.25">
      <c r="B443" s="49">
        <v>439</v>
      </c>
      <c r="C443" s="37"/>
      <c r="D443" s="41"/>
      <c r="E443" s="40"/>
      <c r="F443" s="87" t="str">
        <f>IF(tbl_estimated_costs_quantities[[#This Row],[House Code]]&lt;&gt;"",INDEX(tbl_Assessment[],MATCH(tbl_estimated_costs_quantities[[#This Row],[House Code]],tbl_Assessment[House Code],0),3),"")</f>
        <v/>
      </c>
      <c r="G443" s="115" t="str">
        <f>IF(tbl_estimated_costs_quantities[[#This Row],[House Code]]&lt;&gt;"",INDEX(tbl_Assessment[],MATCH(tbl_estimated_costs_quantities[[#This Row],[House Code]],tbl_Assessment[House Code],0),9),"")</f>
        <v/>
      </c>
      <c r="H44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3" s="75"/>
      <c r="J443" s="37"/>
      <c r="K443" s="86">
        <f>tbl_estimated_costs_quantities[[#This Row],[Site Preparation]]*BOQs!$L$3</f>
        <v>0</v>
      </c>
      <c r="L443" s="76"/>
      <c r="M443" s="37"/>
      <c r="N443" s="86">
        <f>tbl_estimated_costs_quantities[[#This Row],[Demolition Removal Unsafe Structures]]*BOQs!$L$4</f>
        <v>0</v>
      </c>
      <c r="O443" s="76"/>
      <c r="P443" s="37"/>
      <c r="Q443" s="86">
        <f>tbl_estimated_costs_quantities[[#This Row],[Concrete Works]]*BOQs!$L$5</f>
        <v>0</v>
      </c>
      <c r="R443" s="76"/>
      <c r="S443" s="37"/>
      <c r="T443" s="86">
        <f>tbl_estimated_costs_quantities[[#This Row],[Closure External Openings Walls Windows]]*BOQs!$L$6</f>
        <v>0</v>
      </c>
      <c r="U443" s="76"/>
      <c r="V443" s="37"/>
      <c r="W443" s="86">
        <f>tbl_estimated_costs_quantities[[#This Row],[Plastering Painting]]*BOQs!$L$7</f>
        <v>0</v>
      </c>
      <c r="X443" s="76"/>
      <c r="Y443" s="37"/>
      <c r="Z443" s="86">
        <f>tbl_estimated_costs_quantities[[#This Row],[Floor Repairs]]*BOQs!$L$8</f>
        <v>0</v>
      </c>
      <c r="AA443" s="76"/>
      <c r="AB443" s="37"/>
      <c r="AC443" s="86">
        <f>tbl_estimated_costs_quantities[[#This Row],[Doors Replacement Repair]]*BOQs!$L$9</f>
        <v>0</v>
      </c>
      <c r="AD443" s="76"/>
      <c r="AE443" s="37"/>
      <c r="AF443" s="86">
        <f>tbl_estimated_costs_quantities[[#This Row],[Windows Replacement Repair]]*BOQs!$L$10</f>
        <v>0</v>
      </c>
      <c r="AG443" s="76"/>
      <c r="AH443" s="37"/>
      <c r="AI443" s="86">
        <f>tbl_estimated_costs_quantities[[#This Row],[Bathroom Rehabilitation]]*BOQs!$L$11</f>
        <v>0</v>
      </c>
      <c r="AJ443" s="76"/>
      <c r="AK443" s="37"/>
      <c r="AL443" s="86">
        <f>tbl_estimated_costs_quantities[[#This Row],[Ceramic Tile Works WASH]]*BOQs!$L$12</f>
        <v>0</v>
      </c>
      <c r="AM443" s="76"/>
      <c r="AN443" s="37"/>
      <c r="AO443" s="86">
        <f>tbl_estimated_costs_quantities[[#This Row],[Electrical Repairs Lighting]]*BOQs!$L$13</f>
        <v>0</v>
      </c>
      <c r="AP443" s="76"/>
      <c r="AQ443" s="37"/>
      <c r="AR443" s="86">
        <f>tbl_estimated_costs_quantities[[#This Row],[Roof Insulation Leak Sealing]]*BOQs!$L$14</f>
        <v>0</v>
      </c>
      <c r="AS443" s="76"/>
      <c r="AT443" s="37"/>
      <c r="AU443" s="86">
        <f>tbl_estimated_costs_quantities[[#This Row],[Chimney Duct Cleaning Repair]]*BOQs!$L$15</f>
        <v>0</v>
      </c>
      <c r="AV443" s="76"/>
      <c r="AW443" s="37"/>
      <c r="AX443" s="89">
        <f>tbl_estimated_costs_quantities[[#This Row],[Accessibility Adaptations]]*BOQs!$L$16</f>
        <v>0</v>
      </c>
      <c r="AY443" s="86" t="str">
        <f>IF(tbl_estimated_costs_quantities[[#This Row],[Total cost]]&lt;&gt;0,tbl_estimated_costs_quantities[[#This Row],[Total cost]]/BOQs!$A$1,"")</f>
        <v/>
      </c>
      <c r="AZ443" s="37"/>
      <c r="BA443" s="37"/>
      <c r="BB443" s="37"/>
      <c r="BC443" s="37"/>
      <c r="BD443" s="41"/>
      <c r="BE443" s="37"/>
      <c r="BF443" s="37"/>
      <c r="BG443" s="37"/>
      <c r="BH443" s="41"/>
    </row>
    <row r="444" spans="2:60" ht="25.15" customHeight="1" x14ac:dyDescent="0.25">
      <c r="B444" s="49">
        <v>440</v>
      </c>
      <c r="C444" s="37"/>
      <c r="D444" s="41"/>
      <c r="E444" s="40"/>
      <c r="F444" s="87" t="str">
        <f>IF(tbl_estimated_costs_quantities[[#This Row],[House Code]]&lt;&gt;"",INDEX(tbl_Assessment[],MATCH(tbl_estimated_costs_quantities[[#This Row],[House Code]],tbl_Assessment[House Code],0),3),"")</f>
        <v/>
      </c>
      <c r="G444" s="115" t="str">
        <f>IF(tbl_estimated_costs_quantities[[#This Row],[House Code]]&lt;&gt;"",INDEX(tbl_Assessment[],MATCH(tbl_estimated_costs_quantities[[#This Row],[House Code]],tbl_Assessment[House Code],0),9),"")</f>
        <v/>
      </c>
      <c r="H44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4" s="75"/>
      <c r="J444" s="37"/>
      <c r="K444" s="86">
        <f>tbl_estimated_costs_quantities[[#This Row],[Site Preparation]]*BOQs!$L$3</f>
        <v>0</v>
      </c>
      <c r="L444" s="76"/>
      <c r="M444" s="37"/>
      <c r="N444" s="86">
        <f>tbl_estimated_costs_quantities[[#This Row],[Demolition Removal Unsafe Structures]]*BOQs!$L$4</f>
        <v>0</v>
      </c>
      <c r="O444" s="76"/>
      <c r="P444" s="37"/>
      <c r="Q444" s="86">
        <f>tbl_estimated_costs_quantities[[#This Row],[Concrete Works]]*BOQs!$L$5</f>
        <v>0</v>
      </c>
      <c r="R444" s="76"/>
      <c r="S444" s="37"/>
      <c r="T444" s="86">
        <f>tbl_estimated_costs_quantities[[#This Row],[Closure External Openings Walls Windows]]*BOQs!$L$6</f>
        <v>0</v>
      </c>
      <c r="U444" s="76"/>
      <c r="V444" s="37"/>
      <c r="W444" s="86">
        <f>tbl_estimated_costs_quantities[[#This Row],[Plastering Painting]]*BOQs!$L$7</f>
        <v>0</v>
      </c>
      <c r="X444" s="76"/>
      <c r="Y444" s="37"/>
      <c r="Z444" s="86">
        <f>tbl_estimated_costs_quantities[[#This Row],[Floor Repairs]]*BOQs!$L$8</f>
        <v>0</v>
      </c>
      <c r="AA444" s="76"/>
      <c r="AB444" s="37"/>
      <c r="AC444" s="86">
        <f>tbl_estimated_costs_quantities[[#This Row],[Doors Replacement Repair]]*BOQs!$L$9</f>
        <v>0</v>
      </c>
      <c r="AD444" s="76"/>
      <c r="AE444" s="37"/>
      <c r="AF444" s="86">
        <f>tbl_estimated_costs_quantities[[#This Row],[Windows Replacement Repair]]*BOQs!$L$10</f>
        <v>0</v>
      </c>
      <c r="AG444" s="76"/>
      <c r="AH444" s="37"/>
      <c r="AI444" s="86">
        <f>tbl_estimated_costs_quantities[[#This Row],[Bathroom Rehabilitation]]*BOQs!$L$11</f>
        <v>0</v>
      </c>
      <c r="AJ444" s="76"/>
      <c r="AK444" s="37"/>
      <c r="AL444" s="86">
        <f>tbl_estimated_costs_quantities[[#This Row],[Ceramic Tile Works WASH]]*BOQs!$L$12</f>
        <v>0</v>
      </c>
      <c r="AM444" s="76"/>
      <c r="AN444" s="37"/>
      <c r="AO444" s="86">
        <f>tbl_estimated_costs_quantities[[#This Row],[Electrical Repairs Lighting]]*BOQs!$L$13</f>
        <v>0</v>
      </c>
      <c r="AP444" s="76"/>
      <c r="AQ444" s="37"/>
      <c r="AR444" s="86">
        <f>tbl_estimated_costs_quantities[[#This Row],[Roof Insulation Leak Sealing]]*BOQs!$L$14</f>
        <v>0</v>
      </c>
      <c r="AS444" s="76"/>
      <c r="AT444" s="37"/>
      <c r="AU444" s="86">
        <f>tbl_estimated_costs_quantities[[#This Row],[Chimney Duct Cleaning Repair]]*BOQs!$L$15</f>
        <v>0</v>
      </c>
      <c r="AV444" s="76"/>
      <c r="AW444" s="37"/>
      <c r="AX444" s="89">
        <f>tbl_estimated_costs_quantities[[#This Row],[Accessibility Adaptations]]*BOQs!$L$16</f>
        <v>0</v>
      </c>
      <c r="AY444" s="86" t="str">
        <f>IF(tbl_estimated_costs_quantities[[#This Row],[Total cost]]&lt;&gt;0,tbl_estimated_costs_quantities[[#This Row],[Total cost]]/BOQs!$A$1,"")</f>
        <v/>
      </c>
      <c r="AZ444" s="37"/>
      <c r="BA444" s="37"/>
      <c r="BB444" s="37"/>
      <c r="BC444" s="37"/>
      <c r="BD444" s="41"/>
      <c r="BE444" s="37"/>
      <c r="BF444" s="37"/>
      <c r="BG444" s="37"/>
      <c r="BH444" s="41"/>
    </row>
    <row r="445" spans="2:60" ht="25.15" customHeight="1" x14ac:dyDescent="0.25">
      <c r="B445" s="49">
        <v>441</v>
      </c>
      <c r="C445" s="37"/>
      <c r="D445" s="41"/>
      <c r="E445" s="40"/>
      <c r="F445" s="87" t="str">
        <f>IF(tbl_estimated_costs_quantities[[#This Row],[House Code]]&lt;&gt;"",INDEX(tbl_Assessment[],MATCH(tbl_estimated_costs_quantities[[#This Row],[House Code]],tbl_Assessment[House Code],0),3),"")</f>
        <v/>
      </c>
      <c r="G445" s="115" t="str">
        <f>IF(tbl_estimated_costs_quantities[[#This Row],[House Code]]&lt;&gt;"",INDEX(tbl_Assessment[],MATCH(tbl_estimated_costs_quantities[[#This Row],[House Code]],tbl_Assessment[House Code],0),9),"")</f>
        <v/>
      </c>
      <c r="H44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5" s="75"/>
      <c r="J445" s="37"/>
      <c r="K445" s="86">
        <f>tbl_estimated_costs_quantities[[#This Row],[Site Preparation]]*BOQs!$L$3</f>
        <v>0</v>
      </c>
      <c r="L445" s="76"/>
      <c r="M445" s="37"/>
      <c r="N445" s="86">
        <f>tbl_estimated_costs_quantities[[#This Row],[Demolition Removal Unsafe Structures]]*BOQs!$L$4</f>
        <v>0</v>
      </c>
      <c r="O445" s="76"/>
      <c r="P445" s="37"/>
      <c r="Q445" s="86">
        <f>tbl_estimated_costs_quantities[[#This Row],[Concrete Works]]*BOQs!$L$5</f>
        <v>0</v>
      </c>
      <c r="R445" s="76"/>
      <c r="S445" s="37"/>
      <c r="T445" s="86">
        <f>tbl_estimated_costs_quantities[[#This Row],[Closure External Openings Walls Windows]]*BOQs!$L$6</f>
        <v>0</v>
      </c>
      <c r="U445" s="76"/>
      <c r="V445" s="37"/>
      <c r="W445" s="86">
        <f>tbl_estimated_costs_quantities[[#This Row],[Plastering Painting]]*BOQs!$L$7</f>
        <v>0</v>
      </c>
      <c r="X445" s="76"/>
      <c r="Y445" s="37"/>
      <c r="Z445" s="86">
        <f>tbl_estimated_costs_quantities[[#This Row],[Floor Repairs]]*BOQs!$L$8</f>
        <v>0</v>
      </c>
      <c r="AA445" s="76"/>
      <c r="AB445" s="37"/>
      <c r="AC445" s="86">
        <f>tbl_estimated_costs_quantities[[#This Row],[Doors Replacement Repair]]*BOQs!$L$9</f>
        <v>0</v>
      </c>
      <c r="AD445" s="76"/>
      <c r="AE445" s="37"/>
      <c r="AF445" s="86">
        <f>tbl_estimated_costs_quantities[[#This Row],[Windows Replacement Repair]]*BOQs!$L$10</f>
        <v>0</v>
      </c>
      <c r="AG445" s="76"/>
      <c r="AH445" s="37"/>
      <c r="AI445" s="86">
        <f>tbl_estimated_costs_quantities[[#This Row],[Bathroom Rehabilitation]]*BOQs!$L$11</f>
        <v>0</v>
      </c>
      <c r="AJ445" s="76"/>
      <c r="AK445" s="37"/>
      <c r="AL445" s="86">
        <f>tbl_estimated_costs_quantities[[#This Row],[Ceramic Tile Works WASH]]*BOQs!$L$12</f>
        <v>0</v>
      </c>
      <c r="AM445" s="76"/>
      <c r="AN445" s="37"/>
      <c r="AO445" s="86">
        <f>tbl_estimated_costs_quantities[[#This Row],[Electrical Repairs Lighting]]*BOQs!$L$13</f>
        <v>0</v>
      </c>
      <c r="AP445" s="76"/>
      <c r="AQ445" s="37"/>
      <c r="AR445" s="86">
        <f>tbl_estimated_costs_quantities[[#This Row],[Roof Insulation Leak Sealing]]*BOQs!$L$14</f>
        <v>0</v>
      </c>
      <c r="AS445" s="76"/>
      <c r="AT445" s="37"/>
      <c r="AU445" s="86">
        <f>tbl_estimated_costs_quantities[[#This Row],[Chimney Duct Cleaning Repair]]*BOQs!$L$15</f>
        <v>0</v>
      </c>
      <c r="AV445" s="76"/>
      <c r="AW445" s="37"/>
      <c r="AX445" s="89">
        <f>tbl_estimated_costs_quantities[[#This Row],[Accessibility Adaptations]]*BOQs!$L$16</f>
        <v>0</v>
      </c>
      <c r="AY445" s="86" t="str">
        <f>IF(tbl_estimated_costs_quantities[[#This Row],[Total cost]]&lt;&gt;0,tbl_estimated_costs_quantities[[#This Row],[Total cost]]/BOQs!$A$1,"")</f>
        <v/>
      </c>
      <c r="AZ445" s="37"/>
      <c r="BA445" s="37"/>
      <c r="BB445" s="37"/>
      <c r="BC445" s="37"/>
      <c r="BD445" s="41"/>
      <c r="BE445" s="37"/>
      <c r="BF445" s="37"/>
      <c r="BG445" s="37"/>
      <c r="BH445" s="41"/>
    </row>
    <row r="446" spans="2:60" ht="25.15" customHeight="1" x14ac:dyDescent="0.25">
      <c r="B446" s="49">
        <v>442</v>
      </c>
      <c r="C446" s="37"/>
      <c r="D446" s="41"/>
      <c r="E446" s="40"/>
      <c r="F446" s="87" t="str">
        <f>IF(tbl_estimated_costs_quantities[[#This Row],[House Code]]&lt;&gt;"",INDEX(tbl_Assessment[],MATCH(tbl_estimated_costs_quantities[[#This Row],[House Code]],tbl_Assessment[House Code],0),3),"")</f>
        <v/>
      </c>
      <c r="G446" s="115" t="str">
        <f>IF(tbl_estimated_costs_quantities[[#This Row],[House Code]]&lt;&gt;"",INDEX(tbl_Assessment[],MATCH(tbl_estimated_costs_quantities[[#This Row],[House Code]],tbl_Assessment[House Code],0),9),"")</f>
        <v/>
      </c>
      <c r="H44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6" s="75"/>
      <c r="J446" s="37"/>
      <c r="K446" s="86">
        <f>tbl_estimated_costs_quantities[[#This Row],[Site Preparation]]*BOQs!$L$3</f>
        <v>0</v>
      </c>
      <c r="L446" s="76"/>
      <c r="M446" s="37"/>
      <c r="N446" s="86">
        <f>tbl_estimated_costs_quantities[[#This Row],[Demolition Removal Unsafe Structures]]*BOQs!$L$4</f>
        <v>0</v>
      </c>
      <c r="O446" s="76"/>
      <c r="P446" s="37"/>
      <c r="Q446" s="86">
        <f>tbl_estimated_costs_quantities[[#This Row],[Concrete Works]]*BOQs!$L$5</f>
        <v>0</v>
      </c>
      <c r="R446" s="76"/>
      <c r="S446" s="37"/>
      <c r="T446" s="86">
        <f>tbl_estimated_costs_quantities[[#This Row],[Closure External Openings Walls Windows]]*BOQs!$L$6</f>
        <v>0</v>
      </c>
      <c r="U446" s="76"/>
      <c r="V446" s="37"/>
      <c r="W446" s="86">
        <f>tbl_estimated_costs_quantities[[#This Row],[Plastering Painting]]*BOQs!$L$7</f>
        <v>0</v>
      </c>
      <c r="X446" s="76"/>
      <c r="Y446" s="37"/>
      <c r="Z446" s="86">
        <f>tbl_estimated_costs_quantities[[#This Row],[Floor Repairs]]*BOQs!$L$8</f>
        <v>0</v>
      </c>
      <c r="AA446" s="76"/>
      <c r="AB446" s="37"/>
      <c r="AC446" s="86">
        <f>tbl_estimated_costs_quantities[[#This Row],[Doors Replacement Repair]]*BOQs!$L$9</f>
        <v>0</v>
      </c>
      <c r="AD446" s="76"/>
      <c r="AE446" s="37"/>
      <c r="AF446" s="86">
        <f>tbl_estimated_costs_quantities[[#This Row],[Windows Replacement Repair]]*BOQs!$L$10</f>
        <v>0</v>
      </c>
      <c r="AG446" s="76"/>
      <c r="AH446" s="37"/>
      <c r="AI446" s="86">
        <f>tbl_estimated_costs_quantities[[#This Row],[Bathroom Rehabilitation]]*BOQs!$L$11</f>
        <v>0</v>
      </c>
      <c r="AJ446" s="76"/>
      <c r="AK446" s="37"/>
      <c r="AL446" s="86">
        <f>tbl_estimated_costs_quantities[[#This Row],[Ceramic Tile Works WASH]]*BOQs!$L$12</f>
        <v>0</v>
      </c>
      <c r="AM446" s="76"/>
      <c r="AN446" s="37"/>
      <c r="AO446" s="86">
        <f>tbl_estimated_costs_quantities[[#This Row],[Electrical Repairs Lighting]]*BOQs!$L$13</f>
        <v>0</v>
      </c>
      <c r="AP446" s="76"/>
      <c r="AQ446" s="37"/>
      <c r="AR446" s="86">
        <f>tbl_estimated_costs_quantities[[#This Row],[Roof Insulation Leak Sealing]]*BOQs!$L$14</f>
        <v>0</v>
      </c>
      <c r="AS446" s="76"/>
      <c r="AT446" s="37"/>
      <c r="AU446" s="86">
        <f>tbl_estimated_costs_quantities[[#This Row],[Chimney Duct Cleaning Repair]]*BOQs!$L$15</f>
        <v>0</v>
      </c>
      <c r="AV446" s="76"/>
      <c r="AW446" s="37"/>
      <c r="AX446" s="89">
        <f>tbl_estimated_costs_quantities[[#This Row],[Accessibility Adaptations]]*BOQs!$L$16</f>
        <v>0</v>
      </c>
      <c r="AY446" s="86" t="str">
        <f>IF(tbl_estimated_costs_quantities[[#This Row],[Total cost]]&lt;&gt;0,tbl_estimated_costs_quantities[[#This Row],[Total cost]]/BOQs!$A$1,"")</f>
        <v/>
      </c>
      <c r="AZ446" s="37"/>
      <c r="BA446" s="37"/>
      <c r="BB446" s="37"/>
      <c r="BC446" s="37"/>
      <c r="BD446" s="41"/>
      <c r="BE446" s="37"/>
      <c r="BF446" s="37"/>
      <c r="BG446" s="37"/>
      <c r="BH446" s="41"/>
    </row>
    <row r="447" spans="2:60" ht="25.15" customHeight="1" x14ac:dyDescent="0.25">
      <c r="B447" s="49">
        <v>443</v>
      </c>
      <c r="C447" s="37"/>
      <c r="D447" s="41"/>
      <c r="E447" s="40"/>
      <c r="F447" s="87" t="str">
        <f>IF(tbl_estimated_costs_quantities[[#This Row],[House Code]]&lt;&gt;"",INDEX(tbl_Assessment[],MATCH(tbl_estimated_costs_quantities[[#This Row],[House Code]],tbl_Assessment[House Code],0),3),"")</f>
        <v/>
      </c>
      <c r="G447" s="115" t="str">
        <f>IF(tbl_estimated_costs_quantities[[#This Row],[House Code]]&lt;&gt;"",INDEX(tbl_Assessment[],MATCH(tbl_estimated_costs_quantities[[#This Row],[House Code]],tbl_Assessment[House Code],0),9),"")</f>
        <v/>
      </c>
      <c r="H44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7" s="75"/>
      <c r="J447" s="37"/>
      <c r="K447" s="86">
        <f>tbl_estimated_costs_quantities[[#This Row],[Site Preparation]]*BOQs!$L$3</f>
        <v>0</v>
      </c>
      <c r="L447" s="76"/>
      <c r="M447" s="37"/>
      <c r="N447" s="86">
        <f>tbl_estimated_costs_quantities[[#This Row],[Demolition Removal Unsafe Structures]]*BOQs!$L$4</f>
        <v>0</v>
      </c>
      <c r="O447" s="76"/>
      <c r="P447" s="37"/>
      <c r="Q447" s="86">
        <f>tbl_estimated_costs_quantities[[#This Row],[Concrete Works]]*BOQs!$L$5</f>
        <v>0</v>
      </c>
      <c r="R447" s="76"/>
      <c r="S447" s="37"/>
      <c r="T447" s="86">
        <f>tbl_estimated_costs_quantities[[#This Row],[Closure External Openings Walls Windows]]*BOQs!$L$6</f>
        <v>0</v>
      </c>
      <c r="U447" s="76"/>
      <c r="V447" s="37"/>
      <c r="W447" s="86">
        <f>tbl_estimated_costs_quantities[[#This Row],[Plastering Painting]]*BOQs!$L$7</f>
        <v>0</v>
      </c>
      <c r="X447" s="76"/>
      <c r="Y447" s="37"/>
      <c r="Z447" s="86">
        <f>tbl_estimated_costs_quantities[[#This Row],[Floor Repairs]]*BOQs!$L$8</f>
        <v>0</v>
      </c>
      <c r="AA447" s="76"/>
      <c r="AB447" s="37"/>
      <c r="AC447" s="86">
        <f>tbl_estimated_costs_quantities[[#This Row],[Doors Replacement Repair]]*BOQs!$L$9</f>
        <v>0</v>
      </c>
      <c r="AD447" s="76"/>
      <c r="AE447" s="37"/>
      <c r="AF447" s="86">
        <f>tbl_estimated_costs_quantities[[#This Row],[Windows Replacement Repair]]*BOQs!$L$10</f>
        <v>0</v>
      </c>
      <c r="AG447" s="76"/>
      <c r="AH447" s="37"/>
      <c r="AI447" s="86">
        <f>tbl_estimated_costs_quantities[[#This Row],[Bathroom Rehabilitation]]*BOQs!$L$11</f>
        <v>0</v>
      </c>
      <c r="AJ447" s="76"/>
      <c r="AK447" s="37"/>
      <c r="AL447" s="86">
        <f>tbl_estimated_costs_quantities[[#This Row],[Ceramic Tile Works WASH]]*BOQs!$L$12</f>
        <v>0</v>
      </c>
      <c r="AM447" s="76"/>
      <c r="AN447" s="37"/>
      <c r="AO447" s="86">
        <f>tbl_estimated_costs_quantities[[#This Row],[Electrical Repairs Lighting]]*BOQs!$L$13</f>
        <v>0</v>
      </c>
      <c r="AP447" s="76"/>
      <c r="AQ447" s="37"/>
      <c r="AR447" s="86">
        <f>tbl_estimated_costs_quantities[[#This Row],[Roof Insulation Leak Sealing]]*BOQs!$L$14</f>
        <v>0</v>
      </c>
      <c r="AS447" s="76"/>
      <c r="AT447" s="37"/>
      <c r="AU447" s="86">
        <f>tbl_estimated_costs_quantities[[#This Row],[Chimney Duct Cleaning Repair]]*BOQs!$L$15</f>
        <v>0</v>
      </c>
      <c r="AV447" s="76"/>
      <c r="AW447" s="37"/>
      <c r="AX447" s="89">
        <f>tbl_estimated_costs_quantities[[#This Row],[Accessibility Adaptations]]*BOQs!$L$16</f>
        <v>0</v>
      </c>
      <c r="AY447" s="86" t="str">
        <f>IF(tbl_estimated_costs_quantities[[#This Row],[Total cost]]&lt;&gt;0,tbl_estimated_costs_quantities[[#This Row],[Total cost]]/BOQs!$A$1,"")</f>
        <v/>
      </c>
      <c r="AZ447" s="37"/>
      <c r="BA447" s="37"/>
      <c r="BB447" s="37"/>
      <c r="BC447" s="37"/>
      <c r="BD447" s="41"/>
      <c r="BE447" s="37"/>
      <c r="BF447" s="37"/>
      <c r="BG447" s="37"/>
      <c r="BH447" s="41"/>
    </row>
    <row r="448" spans="2:60" ht="25.15" customHeight="1" x14ac:dyDescent="0.25">
      <c r="B448" s="49">
        <v>444</v>
      </c>
      <c r="C448" s="37"/>
      <c r="D448" s="41"/>
      <c r="E448" s="40"/>
      <c r="F448" s="87" t="str">
        <f>IF(tbl_estimated_costs_quantities[[#This Row],[House Code]]&lt;&gt;"",INDEX(tbl_Assessment[],MATCH(tbl_estimated_costs_quantities[[#This Row],[House Code]],tbl_Assessment[House Code],0),3),"")</f>
        <v/>
      </c>
      <c r="G448" s="115" t="str">
        <f>IF(tbl_estimated_costs_quantities[[#This Row],[House Code]]&lt;&gt;"",INDEX(tbl_Assessment[],MATCH(tbl_estimated_costs_quantities[[#This Row],[House Code]],tbl_Assessment[House Code],0),9),"")</f>
        <v/>
      </c>
      <c r="H44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8" s="75"/>
      <c r="J448" s="37"/>
      <c r="K448" s="86">
        <f>tbl_estimated_costs_quantities[[#This Row],[Site Preparation]]*BOQs!$L$3</f>
        <v>0</v>
      </c>
      <c r="L448" s="76"/>
      <c r="M448" s="37"/>
      <c r="N448" s="86">
        <f>tbl_estimated_costs_quantities[[#This Row],[Demolition Removal Unsafe Structures]]*BOQs!$L$4</f>
        <v>0</v>
      </c>
      <c r="O448" s="76"/>
      <c r="P448" s="37"/>
      <c r="Q448" s="86">
        <f>tbl_estimated_costs_quantities[[#This Row],[Concrete Works]]*BOQs!$L$5</f>
        <v>0</v>
      </c>
      <c r="R448" s="76"/>
      <c r="S448" s="37"/>
      <c r="T448" s="86">
        <f>tbl_estimated_costs_quantities[[#This Row],[Closure External Openings Walls Windows]]*BOQs!$L$6</f>
        <v>0</v>
      </c>
      <c r="U448" s="76"/>
      <c r="V448" s="37"/>
      <c r="W448" s="86">
        <f>tbl_estimated_costs_quantities[[#This Row],[Plastering Painting]]*BOQs!$L$7</f>
        <v>0</v>
      </c>
      <c r="X448" s="76"/>
      <c r="Y448" s="37"/>
      <c r="Z448" s="86">
        <f>tbl_estimated_costs_quantities[[#This Row],[Floor Repairs]]*BOQs!$L$8</f>
        <v>0</v>
      </c>
      <c r="AA448" s="76"/>
      <c r="AB448" s="37"/>
      <c r="AC448" s="86">
        <f>tbl_estimated_costs_quantities[[#This Row],[Doors Replacement Repair]]*BOQs!$L$9</f>
        <v>0</v>
      </c>
      <c r="AD448" s="76"/>
      <c r="AE448" s="37"/>
      <c r="AF448" s="86">
        <f>tbl_estimated_costs_quantities[[#This Row],[Windows Replacement Repair]]*BOQs!$L$10</f>
        <v>0</v>
      </c>
      <c r="AG448" s="76"/>
      <c r="AH448" s="37"/>
      <c r="AI448" s="86">
        <f>tbl_estimated_costs_quantities[[#This Row],[Bathroom Rehabilitation]]*BOQs!$L$11</f>
        <v>0</v>
      </c>
      <c r="AJ448" s="76"/>
      <c r="AK448" s="37"/>
      <c r="AL448" s="86">
        <f>tbl_estimated_costs_quantities[[#This Row],[Ceramic Tile Works WASH]]*BOQs!$L$12</f>
        <v>0</v>
      </c>
      <c r="AM448" s="76"/>
      <c r="AN448" s="37"/>
      <c r="AO448" s="86">
        <f>tbl_estimated_costs_quantities[[#This Row],[Electrical Repairs Lighting]]*BOQs!$L$13</f>
        <v>0</v>
      </c>
      <c r="AP448" s="76"/>
      <c r="AQ448" s="37"/>
      <c r="AR448" s="86">
        <f>tbl_estimated_costs_quantities[[#This Row],[Roof Insulation Leak Sealing]]*BOQs!$L$14</f>
        <v>0</v>
      </c>
      <c r="AS448" s="76"/>
      <c r="AT448" s="37"/>
      <c r="AU448" s="86">
        <f>tbl_estimated_costs_quantities[[#This Row],[Chimney Duct Cleaning Repair]]*BOQs!$L$15</f>
        <v>0</v>
      </c>
      <c r="AV448" s="76"/>
      <c r="AW448" s="37"/>
      <c r="AX448" s="89">
        <f>tbl_estimated_costs_quantities[[#This Row],[Accessibility Adaptations]]*BOQs!$L$16</f>
        <v>0</v>
      </c>
      <c r="AY448" s="86" t="str">
        <f>IF(tbl_estimated_costs_quantities[[#This Row],[Total cost]]&lt;&gt;0,tbl_estimated_costs_quantities[[#This Row],[Total cost]]/BOQs!$A$1,"")</f>
        <v/>
      </c>
      <c r="AZ448" s="37"/>
      <c r="BA448" s="37"/>
      <c r="BB448" s="37"/>
      <c r="BC448" s="37"/>
      <c r="BD448" s="41"/>
      <c r="BE448" s="37"/>
      <c r="BF448" s="37"/>
      <c r="BG448" s="37"/>
      <c r="BH448" s="41"/>
    </row>
    <row r="449" spans="2:60" ht="25.15" customHeight="1" x14ac:dyDescent="0.25">
      <c r="B449" s="49">
        <v>445</v>
      </c>
      <c r="C449" s="37"/>
      <c r="D449" s="41"/>
      <c r="E449" s="40"/>
      <c r="F449" s="87" t="str">
        <f>IF(tbl_estimated_costs_quantities[[#This Row],[House Code]]&lt;&gt;"",INDEX(tbl_Assessment[],MATCH(tbl_estimated_costs_quantities[[#This Row],[House Code]],tbl_Assessment[House Code],0),3),"")</f>
        <v/>
      </c>
      <c r="G449" s="115" t="str">
        <f>IF(tbl_estimated_costs_quantities[[#This Row],[House Code]]&lt;&gt;"",INDEX(tbl_Assessment[],MATCH(tbl_estimated_costs_quantities[[#This Row],[House Code]],tbl_Assessment[House Code],0),9),"")</f>
        <v/>
      </c>
      <c r="H44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49" s="75"/>
      <c r="J449" s="37"/>
      <c r="K449" s="86">
        <f>tbl_estimated_costs_quantities[[#This Row],[Site Preparation]]*BOQs!$L$3</f>
        <v>0</v>
      </c>
      <c r="L449" s="76"/>
      <c r="M449" s="37"/>
      <c r="N449" s="86">
        <f>tbl_estimated_costs_quantities[[#This Row],[Demolition Removal Unsafe Structures]]*BOQs!$L$4</f>
        <v>0</v>
      </c>
      <c r="O449" s="76"/>
      <c r="P449" s="37"/>
      <c r="Q449" s="86">
        <f>tbl_estimated_costs_quantities[[#This Row],[Concrete Works]]*BOQs!$L$5</f>
        <v>0</v>
      </c>
      <c r="R449" s="76"/>
      <c r="S449" s="37"/>
      <c r="T449" s="86">
        <f>tbl_estimated_costs_quantities[[#This Row],[Closure External Openings Walls Windows]]*BOQs!$L$6</f>
        <v>0</v>
      </c>
      <c r="U449" s="76"/>
      <c r="V449" s="37"/>
      <c r="W449" s="86">
        <f>tbl_estimated_costs_quantities[[#This Row],[Plastering Painting]]*BOQs!$L$7</f>
        <v>0</v>
      </c>
      <c r="X449" s="76"/>
      <c r="Y449" s="37"/>
      <c r="Z449" s="86">
        <f>tbl_estimated_costs_quantities[[#This Row],[Floor Repairs]]*BOQs!$L$8</f>
        <v>0</v>
      </c>
      <c r="AA449" s="76"/>
      <c r="AB449" s="37"/>
      <c r="AC449" s="86">
        <f>tbl_estimated_costs_quantities[[#This Row],[Doors Replacement Repair]]*BOQs!$L$9</f>
        <v>0</v>
      </c>
      <c r="AD449" s="76"/>
      <c r="AE449" s="37"/>
      <c r="AF449" s="86">
        <f>tbl_estimated_costs_quantities[[#This Row],[Windows Replacement Repair]]*BOQs!$L$10</f>
        <v>0</v>
      </c>
      <c r="AG449" s="76"/>
      <c r="AH449" s="37"/>
      <c r="AI449" s="86">
        <f>tbl_estimated_costs_quantities[[#This Row],[Bathroom Rehabilitation]]*BOQs!$L$11</f>
        <v>0</v>
      </c>
      <c r="AJ449" s="76"/>
      <c r="AK449" s="37"/>
      <c r="AL449" s="86">
        <f>tbl_estimated_costs_quantities[[#This Row],[Ceramic Tile Works WASH]]*BOQs!$L$12</f>
        <v>0</v>
      </c>
      <c r="AM449" s="76"/>
      <c r="AN449" s="37"/>
      <c r="AO449" s="86">
        <f>tbl_estimated_costs_quantities[[#This Row],[Electrical Repairs Lighting]]*BOQs!$L$13</f>
        <v>0</v>
      </c>
      <c r="AP449" s="76"/>
      <c r="AQ449" s="37"/>
      <c r="AR449" s="86">
        <f>tbl_estimated_costs_quantities[[#This Row],[Roof Insulation Leak Sealing]]*BOQs!$L$14</f>
        <v>0</v>
      </c>
      <c r="AS449" s="76"/>
      <c r="AT449" s="37"/>
      <c r="AU449" s="86">
        <f>tbl_estimated_costs_quantities[[#This Row],[Chimney Duct Cleaning Repair]]*BOQs!$L$15</f>
        <v>0</v>
      </c>
      <c r="AV449" s="76"/>
      <c r="AW449" s="37"/>
      <c r="AX449" s="89">
        <f>tbl_estimated_costs_quantities[[#This Row],[Accessibility Adaptations]]*BOQs!$L$16</f>
        <v>0</v>
      </c>
      <c r="AY449" s="86" t="str">
        <f>IF(tbl_estimated_costs_quantities[[#This Row],[Total cost]]&lt;&gt;0,tbl_estimated_costs_quantities[[#This Row],[Total cost]]/BOQs!$A$1,"")</f>
        <v/>
      </c>
      <c r="AZ449" s="37"/>
      <c r="BA449" s="37"/>
      <c r="BB449" s="37"/>
      <c r="BC449" s="37"/>
      <c r="BD449" s="41"/>
      <c r="BE449" s="37"/>
      <c r="BF449" s="37"/>
      <c r="BG449" s="37"/>
      <c r="BH449" s="41"/>
    </row>
    <row r="450" spans="2:60" ht="25.15" customHeight="1" x14ac:dyDescent="0.25">
      <c r="B450" s="49">
        <v>446</v>
      </c>
      <c r="C450" s="37"/>
      <c r="D450" s="41"/>
      <c r="E450" s="40"/>
      <c r="F450" s="87" t="str">
        <f>IF(tbl_estimated_costs_quantities[[#This Row],[House Code]]&lt;&gt;"",INDEX(tbl_Assessment[],MATCH(tbl_estimated_costs_quantities[[#This Row],[House Code]],tbl_Assessment[House Code],0),3),"")</f>
        <v/>
      </c>
      <c r="G450" s="115" t="str">
        <f>IF(tbl_estimated_costs_quantities[[#This Row],[House Code]]&lt;&gt;"",INDEX(tbl_Assessment[],MATCH(tbl_estimated_costs_quantities[[#This Row],[House Code]],tbl_Assessment[House Code],0),9),"")</f>
        <v/>
      </c>
      <c r="H45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0" s="75"/>
      <c r="J450" s="37"/>
      <c r="K450" s="86">
        <f>tbl_estimated_costs_quantities[[#This Row],[Site Preparation]]*BOQs!$L$3</f>
        <v>0</v>
      </c>
      <c r="L450" s="76"/>
      <c r="M450" s="37"/>
      <c r="N450" s="86">
        <f>tbl_estimated_costs_quantities[[#This Row],[Demolition Removal Unsafe Structures]]*BOQs!$L$4</f>
        <v>0</v>
      </c>
      <c r="O450" s="76"/>
      <c r="P450" s="37"/>
      <c r="Q450" s="86">
        <f>tbl_estimated_costs_quantities[[#This Row],[Concrete Works]]*BOQs!$L$5</f>
        <v>0</v>
      </c>
      <c r="R450" s="76"/>
      <c r="S450" s="37"/>
      <c r="T450" s="86">
        <f>tbl_estimated_costs_quantities[[#This Row],[Closure External Openings Walls Windows]]*BOQs!$L$6</f>
        <v>0</v>
      </c>
      <c r="U450" s="76"/>
      <c r="V450" s="37"/>
      <c r="W450" s="86">
        <f>tbl_estimated_costs_quantities[[#This Row],[Plastering Painting]]*BOQs!$L$7</f>
        <v>0</v>
      </c>
      <c r="X450" s="76"/>
      <c r="Y450" s="37"/>
      <c r="Z450" s="86">
        <f>tbl_estimated_costs_quantities[[#This Row],[Floor Repairs]]*BOQs!$L$8</f>
        <v>0</v>
      </c>
      <c r="AA450" s="76"/>
      <c r="AB450" s="37"/>
      <c r="AC450" s="86">
        <f>tbl_estimated_costs_quantities[[#This Row],[Doors Replacement Repair]]*BOQs!$L$9</f>
        <v>0</v>
      </c>
      <c r="AD450" s="76"/>
      <c r="AE450" s="37"/>
      <c r="AF450" s="86">
        <f>tbl_estimated_costs_quantities[[#This Row],[Windows Replacement Repair]]*BOQs!$L$10</f>
        <v>0</v>
      </c>
      <c r="AG450" s="76"/>
      <c r="AH450" s="37"/>
      <c r="AI450" s="86">
        <f>tbl_estimated_costs_quantities[[#This Row],[Bathroom Rehabilitation]]*BOQs!$L$11</f>
        <v>0</v>
      </c>
      <c r="AJ450" s="76"/>
      <c r="AK450" s="37"/>
      <c r="AL450" s="86">
        <f>tbl_estimated_costs_quantities[[#This Row],[Ceramic Tile Works WASH]]*BOQs!$L$12</f>
        <v>0</v>
      </c>
      <c r="AM450" s="76"/>
      <c r="AN450" s="37"/>
      <c r="AO450" s="86">
        <f>tbl_estimated_costs_quantities[[#This Row],[Electrical Repairs Lighting]]*BOQs!$L$13</f>
        <v>0</v>
      </c>
      <c r="AP450" s="76"/>
      <c r="AQ450" s="37"/>
      <c r="AR450" s="86">
        <f>tbl_estimated_costs_quantities[[#This Row],[Roof Insulation Leak Sealing]]*BOQs!$L$14</f>
        <v>0</v>
      </c>
      <c r="AS450" s="76"/>
      <c r="AT450" s="37"/>
      <c r="AU450" s="86">
        <f>tbl_estimated_costs_quantities[[#This Row],[Chimney Duct Cleaning Repair]]*BOQs!$L$15</f>
        <v>0</v>
      </c>
      <c r="AV450" s="76"/>
      <c r="AW450" s="37"/>
      <c r="AX450" s="89">
        <f>tbl_estimated_costs_quantities[[#This Row],[Accessibility Adaptations]]*BOQs!$L$16</f>
        <v>0</v>
      </c>
      <c r="AY450" s="86" t="str">
        <f>IF(tbl_estimated_costs_quantities[[#This Row],[Total cost]]&lt;&gt;0,tbl_estimated_costs_quantities[[#This Row],[Total cost]]/BOQs!$A$1,"")</f>
        <v/>
      </c>
      <c r="AZ450" s="37"/>
      <c r="BA450" s="37"/>
      <c r="BB450" s="37"/>
      <c r="BC450" s="37"/>
      <c r="BD450" s="41"/>
      <c r="BE450" s="37"/>
      <c r="BF450" s="37"/>
      <c r="BG450" s="37"/>
      <c r="BH450" s="41"/>
    </row>
    <row r="451" spans="2:60" ht="25.15" customHeight="1" x14ac:dyDescent="0.25">
      <c r="B451" s="49">
        <v>447</v>
      </c>
      <c r="C451" s="37"/>
      <c r="D451" s="41"/>
      <c r="E451" s="40"/>
      <c r="F451" s="87" t="str">
        <f>IF(tbl_estimated_costs_quantities[[#This Row],[House Code]]&lt;&gt;"",INDEX(tbl_Assessment[],MATCH(tbl_estimated_costs_quantities[[#This Row],[House Code]],tbl_Assessment[House Code],0),3),"")</f>
        <v/>
      </c>
      <c r="G451" s="115" t="str">
        <f>IF(tbl_estimated_costs_quantities[[#This Row],[House Code]]&lt;&gt;"",INDEX(tbl_Assessment[],MATCH(tbl_estimated_costs_quantities[[#This Row],[House Code]],tbl_Assessment[House Code],0),9),"")</f>
        <v/>
      </c>
      <c r="H45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1" s="75"/>
      <c r="J451" s="37"/>
      <c r="K451" s="86">
        <f>tbl_estimated_costs_quantities[[#This Row],[Site Preparation]]*BOQs!$L$3</f>
        <v>0</v>
      </c>
      <c r="L451" s="76"/>
      <c r="M451" s="37"/>
      <c r="N451" s="86">
        <f>tbl_estimated_costs_quantities[[#This Row],[Demolition Removal Unsafe Structures]]*BOQs!$L$4</f>
        <v>0</v>
      </c>
      <c r="O451" s="76"/>
      <c r="P451" s="37"/>
      <c r="Q451" s="86">
        <f>tbl_estimated_costs_quantities[[#This Row],[Concrete Works]]*BOQs!$L$5</f>
        <v>0</v>
      </c>
      <c r="R451" s="76"/>
      <c r="S451" s="37"/>
      <c r="T451" s="86">
        <f>tbl_estimated_costs_quantities[[#This Row],[Closure External Openings Walls Windows]]*BOQs!$L$6</f>
        <v>0</v>
      </c>
      <c r="U451" s="76"/>
      <c r="V451" s="37"/>
      <c r="W451" s="86">
        <f>tbl_estimated_costs_quantities[[#This Row],[Plastering Painting]]*BOQs!$L$7</f>
        <v>0</v>
      </c>
      <c r="X451" s="76"/>
      <c r="Y451" s="37"/>
      <c r="Z451" s="86">
        <f>tbl_estimated_costs_quantities[[#This Row],[Floor Repairs]]*BOQs!$L$8</f>
        <v>0</v>
      </c>
      <c r="AA451" s="76"/>
      <c r="AB451" s="37"/>
      <c r="AC451" s="86">
        <f>tbl_estimated_costs_quantities[[#This Row],[Doors Replacement Repair]]*BOQs!$L$9</f>
        <v>0</v>
      </c>
      <c r="AD451" s="76"/>
      <c r="AE451" s="37"/>
      <c r="AF451" s="86">
        <f>tbl_estimated_costs_quantities[[#This Row],[Windows Replacement Repair]]*BOQs!$L$10</f>
        <v>0</v>
      </c>
      <c r="AG451" s="76"/>
      <c r="AH451" s="37"/>
      <c r="AI451" s="86">
        <f>tbl_estimated_costs_quantities[[#This Row],[Bathroom Rehabilitation]]*BOQs!$L$11</f>
        <v>0</v>
      </c>
      <c r="AJ451" s="76"/>
      <c r="AK451" s="37"/>
      <c r="AL451" s="86">
        <f>tbl_estimated_costs_quantities[[#This Row],[Ceramic Tile Works WASH]]*BOQs!$L$12</f>
        <v>0</v>
      </c>
      <c r="AM451" s="76"/>
      <c r="AN451" s="37"/>
      <c r="AO451" s="86">
        <f>tbl_estimated_costs_quantities[[#This Row],[Electrical Repairs Lighting]]*BOQs!$L$13</f>
        <v>0</v>
      </c>
      <c r="AP451" s="76"/>
      <c r="AQ451" s="37"/>
      <c r="AR451" s="86">
        <f>tbl_estimated_costs_quantities[[#This Row],[Roof Insulation Leak Sealing]]*BOQs!$L$14</f>
        <v>0</v>
      </c>
      <c r="AS451" s="76"/>
      <c r="AT451" s="37"/>
      <c r="AU451" s="86">
        <f>tbl_estimated_costs_quantities[[#This Row],[Chimney Duct Cleaning Repair]]*BOQs!$L$15</f>
        <v>0</v>
      </c>
      <c r="AV451" s="76"/>
      <c r="AW451" s="37"/>
      <c r="AX451" s="89">
        <f>tbl_estimated_costs_quantities[[#This Row],[Accessibility Adaptations]]*BOQs!$L$16</f>
        <v>0</v>
      </c>
      <c r="AY451" s="86" t="str">
        <f>IF(tbl_estimated_costs_quantities[[#This Row],[Total cost]]&lt;&gt;0,tbl_estimated_costs_quantities[[#This Row],[Total cost]]/BOQs!$A$1,"")</f>
        <v/>
      </c>
      <c r="AZ451" s="37"/>
      <c r="BA451" s="37"/>
      <c r="BB451" s="37"/>
      <c r="BC451" s="37"/>
      <c r="BD451" s="41"/>
      <c r="BE451" s="37"/>
      <c r="BF451" s="37"/>
      <c r="BG451" s="37"/>
      <c r="BH451" s="41"/>
    </row>
    <row r="452" spans="2:60" ht="25.15" customHeight="1" x14ac:dyDescent="0.25">
      <c r="B452" s="49">
        <v>448</v>
      </c>
      <c r="C452" s="37"/>
      <c r="D452" s="41"/>
      <c r="E452" s="40"/>
      <c r="F452" s="87" t="str">
        <f>IF(tbl_estimated_costs_quantities[[#This Row],[House Code]]&lt;&gt;"",INDEX(tbl_Assessment[],MATCH(tbl_estimated_costs_quantities[[#This Row],[House Code]],tbl_Assessment[House Code],0),3),"")</f>
        <v/>
      </c>
      <c r="G452" s="115" t="str">
        <f>IF(tbl_estimated_costs_quantities[[#This Row],[House Code]]&lt;&gt;"",INDEX(tbl_Assessment[],MATCH(tbl_estimated_costs_quantities[[#This Row],[House Code]],tbl_Assessment[House Code],0),9),"")</f>
        <v/>
      </c>
      <c r="H45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2" s="75"/>
      <c r="J452" s="37"/>
      <c r="K452" s="86">
        <f>tbl_estimated_costs_quantities[[#This Row],[Site Preparation]]*BOQs!$L$3</f>
        <v>0</v>
      </c>
      <c r="L452" s="76"/>
      <c r="M452" s="37"/>
      <c r="N452" s="86">
        <f>tbl_estimated_costs_quantities[[#This Row],[Demolition Removal Unsafe Structures]]*BOQs!$L$4</f>
        <v>0</v>
      </c>
      <c r="O452" s="76"/>
      <c r="P452" s="37"/>
      <c r="Q452" s="86">
        <f>tbl_estimated_costs_quantities[[#This Row],[Concrete Works]]*BOQs!$L$5</f>
        <v>0</v>
      </c>
      <c r="R452" s="76"/>
      <c r="S452" s="37"/>
      <c r="T452" s="86">
        <f>tbl_estimated_costs_quantities[[#This Row],[Closure External Openings Walls Windows]]*BOQs!$L$6</f>
        <v>0</v>
      </c>
      <c r="U452" s="76"/>
      <c r="V452" s="37"/>
      <c r="W452" s="86">
        <f>tbl_estimated_costs_quantities[[#This Row],[Plastering Painting]]*BOQs!$L$7</f>
        <v>0</v>
      </c>
      <c r="X452" s="76"/>
      <c r="Y452" s="37"/>
      <c r="Z452" s="86">
        <f>tbl_estimated_costs_quantities[[#This Row],[Floor Repairs]]*BOQs!$L$8</f>
        <v>0</v>
      </c>
      <c r="AA452" s="76"/>
      <c r="AB452" s="37"/>
      <c r="AC452" s="86">
        <f>tbl_estimated_costs_quantities[[#This Row],[Doors Replacement Repair]]*BOQs!$L$9</f>
        <v>0</v>
      </c>
      <c r="AD452" s="76"/>
      <c r="AE452" s="37"/>
      <c r="AF452" s="86">
        <f>tbl_estimated_costs_quantities[[#This Row],[Windows Replacement Repair]]*BOQs!$L$10</f>
        <v>0</v>
      </c>
      <c r="AG452" s="76"/>
      <c r="AH452" s="37"/>
      <c r="AI452" s="86">
        <f>tbl_estimated_costs_quantities[[#This Row],[Bathroom Rehabilitation]]*BOQs!$L$11</f>
        <v>0</v>
      </c>
      <c r="AJ452" s="76"/>
      <c r="AK452" s="37"/>
      <c r="AL452" s="86">
        <f>tbl_estimated_costs_quantities[[#This Row],[Ceramic Tile Works WASH]]*BOQs!$L$12</f>
        <v>0</v>
      </c>
      <c r="AM452" s="76"/>
      <c r="AN452" s="37"/>
      <c r="AO452" s="86">
        <f>tbl_estimated_costs_quantities[[#This Row],[Electrical Repairs Lighting]]*BOQs!$L$13</f>
        <v>0</v>
      </c>
      <c r="AP452" s="76"/>
      <c r="AQ452" s="37"/>
      <c r="AR452" s="86">
        <f>tbl_estimated_costs_quantities[[#This Row],[Roof Insulation Leak Sealing]]*BOQs!$L$14</f>
        <v>0</v>
      </c>
      <c r="AS452" s="76"/>
      <c r="AT452" s="37"/>
      <c r="AU452" s="86">
        <f>tbl_estimated_costs_quantities[[#This Row],[Chimney Duct Cleaning Repair]]*BOQs!$L$15</f>
        <v>0</v>
      </c>
      <c r="AV452" s="76"/>
      <c r="AW452" s="37"/>
      <c r="AX452" s="89">
        <f>tbl_estimated_costs_quantities[[#This Row],[Accessibility Adaptations]]*BOQs!$L$16</f>
        <v>0</v>
      </c>
      <c r="AY452" s="86" t="str">
        <f>IF(tbl_estimated_costs_quantities[[#This Row],[Total cost]]&lt;&gt;0,tbl_estimated_costs_quantities[[#This Row],[Total cost]]/BOQs!$A$1,"")</f>
        <v/>
      </c>
      <c r="AZ452" s="37"/>
      <c r="BA452" s="37"/>
      <c r="BB452" s="37"/>
      <c r="BC452" s="37"/>
      <c r="BD452" s="41"/>
      <c r="BE452" s="37"/>
      <c r="BF452" s="37"/>
      <c r="BG452" s="37"/>
      <c r="BH452" s="41"/>
    </row>
    <row r="453" spans="2:60" ht="25.15" customHeight="1" x14ac:dyDescent="0.25">
      <c r="B453" s="49">
        <v>449</v>
      </c>
      <c r="C453" s="37"/>
      <c r="D453" s="41"/>
      <c r="E453" s="40"/>
      <c r="F453" s="87" t="str">
        <f>IF(tbl_estimated_costs_quantities[[#This Row],[House Code]]&lt;&gt;"",INDEX(tbl_Assessment[],MATCH(tbl_estimated_costs_quantities[[#This Row],[House Code]],tbl_Assessment[House Code],0),3),"")</f>
        <v/>
      </c>
      <c r="G453" s="115" t="str">
        <f>IF(tbl_estimated_costs_quantities[[#This Row],[House Code]]&lt;&gt;"",INDEX(tbl_Assessment[],MATCH(tbl_estimated_costs_quantities[[#This Row],[House Code]],tbl_Assessment[House Code],0),9),"")</f>
        <v/>
      </c>
      <c r="H45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3" s="75"/>
      <c r="J453" s="37"/>
      <c r="K453" s="86">
        <f>tbl_estimated_costs_quantities[[#This Row],[Site Preparation]]*BOQs!$L$3</f>
        <v>0</v>
      </c>
      <c r="L453" s="76"/>
      <c r="M453" s="37"/>
      <c r="N453" s="86">
        <f>tbl_estimated_costs_quantities[[#This Row],[Demolition Removal Unsafe Structures]]*BOQs!$L$4</f>
        <v>0</v>
      </c>
      <c r="O453" s="76"/>
      <c r="P453" s="37"/>
      <c r="Q453" s="86">
        <f>tbl_estimated_costs_quantities[[#This Row],[Concrete Works]]*BOQs!$L$5</f>
        <v>0</v>
      </c>
      <c r="R453" s="76"/>
      <c r="S453" s="37"/>
      <c r="T453" s="86">
        <f>tbl_estimated_costs_quantities[[#This Row],[Closure External Openings Walls Windows]]*BOQs!$L$6</f>
        <v>0</v>
      </c>
      <c r="U453" s="76"/>
      <c r="V453" s="37"/>
      <c r="W453" s="86">
        <f>tbl_estimated_costs_quantities[[#This Row],[Plastering Painting]]*BOQs!$L$7</f>
        <v>0</v>
      </c>
      <c r="X453" s="76"/>
      <c r="Y453" s="37"/>
      <c r="Z453" s="86">
        <f>tbl_estimated_costs_quantities[[#This Row],[Floor Repairs]]*BOQs!$L$8</f>
        <v>0</v>
      </c>
      <c r="AA453" s="76"/>
      <c r="AB453" s="37"/>
      <c r="AC453" s="86">
        <f>tbl_estimated_costs_quantities[[#This Row],[Doors Replacement Repair]]*BOQs!$L$9</f>
        <v>0</v>
      </c>
      <c r="AD453" s="76"/>
      <c r="AE453" s="37"/>
      <c r="AF453" s="86">
        <f>tbl_estimated_costs_quantities[[#This Row],[Windows Replacement Repair]]*BOQs!$L$10</f>
        <v>0</v>
      </c>
      <c r="AG453" s="76"/>
      <c r="AH453" s="37"/>
      <c r="AI453" s="86">
        <f>tbl_estimated_costs_quantities[[#This Row],[Bathroom Rehabilitation]]*BOQs!$L$11</f>
        <v>0</v>
      </c>
      <c r="AJ453" s="76"/>
      <c r="AK453" s="37"/>
      <c r="AL453" s="86">
        <f>tbl_estimated_costs_quantities[[#This Row],[Ceramic Tile Works WASH]]*BOQs!$L$12</f>
        <v>0</v>
      </c>
      <c r="AM453" s="76"/>
      <c r="AN453" s="37"/>
      <c r="AO453" s="86">
        <f>tbl_estimated_costs_quantities[[#This Row],[Electrical Repairs Lighting]]*BOQs!$L$13</f>
        <v>0</v>
      </c>
      <c r="AP453" s="76"/>
      <c r="AQ453" s="37"/>
      <c r="AR453" s="86">
        <f>tbl_estimated_costs_quantities[[#This Row],[Roof Insulation Leak Sealing]]*BOQs!$L$14</f>
        <v>0</v>
      </c>
      <c r="AS453" s="76"/>
      <c r="AT453" s="37"/>
      <c r="AU453" s="86">
        <f>tbl_estimated_costs_quantities[[#This Row],[Chimney Duct Cleaning Repair]]*BOQs!$L$15</f>
        <v>0</v>
      </c>
      <c r="AV453" s="76"/>
      <c r="AW453" s="37"/>
      <c r="AX453" s="89">
        <f>tbl_estimated_costs_quantities[[#This Row],[Accessibility Adaptations]]*BOQs!$L$16</f>
        <v>0</v>
      </c>
      <c r="AY453" s="86" t="str">
        <f>IF(tbl_estimated_costs_quantities[[#This Row],[Total cost]]&lt;&gt;0,tbl_estimated_costs_quantities[[#This Row],[Total cost]]/BOQs!$A$1,"")</f>
        <v/>
      </c>
      <c r="AZ453" s="37"/>
      <c r="BA453" s="37"/>
      <c r="BB453" s="37"/>
      <c r="BC453" s="37"/>
      <c r="BD453" s="41"/>
      <c r="BE453" s="37"/>
      <c r="BF453" s="37"/>
      <c r="BG453" s="37"/>
      <c r="BH453" s="41"/>
    </row>
    <row r="454" spans="2:60" ht="25.15" customHeight="1" x14ac:dyDescent="0.25">
      <c r="B454" s="49">
        <v>450</v>
      </c>
      <c r="C454" s="37"/>
      <c r="D454" s="41"/>
      <c r="E454" s="40"/>
      <c r="F454" s="87" t="str">
        <f>IF(tbl_estimated_costs_quantities[[#This Row],[House Code]]&lt;&gt;"",INDEX(tbl_Assessment[],MATCH(tbl_estimated_costs_quantities[[#This Row],[House Code]],tbl_Assessment[House Code],0),3),"")</f>
        <v/>
      </c>
      <c r="G454" s="115" t="str">
        <f>IF(tbl_estimated_costs_quantities[[#This Row],[House Code]]&lt;&gt;"",INDEX(tbl_Assessment[],MATCH(tbl_estimated_costs_quantities[[#This Row],[House Code]],tbl_Assessment[House Code],0),9),"")</f>
        <v/>
      </c>
      <c r="H45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4" s="75"/>
      <c r="J454" s="37"/>
      <c r="K454" s="86">
        <f>tbl_estimated_costs_quantities[[#This Row],[Site Preparation]]*BOQs!$L$3</f>
        <v>0</v>
      </c>
      <c r="L454" s="76"/>
      <c r="M454" s="37"/>
      <c r="N454" s="86">
        <f>tbl_estimated_costs_quantities[[#This Row],[Demolition Removal Unsafe Structures]]*BOQs!$L$4</f>
        <v>0</v>
      </c>
      <c r="O454" s="76"/>
      <c r="P454" s="37"/>
      <c r="Q454" s="86">
        <f>tbl_estimated_costs_quantities[[#This Row],[Concrete Works]]*BOQs!$L$5</f>
        <v>0</v>
      </c>
      <c r="R454" s="76"/>
      <c r="S454" s="37"/>
      <c r="T454" s="86">
        <f>tbl_estimated_costs_quantities[[#This Row],[Closure External Openings Walls Windows]]*BOQs!$L$6</f>
        <v>0</v>
      </c>
      <c r="U454" s="76"/>
      <c r="V454" s="37"/>
      <c r="W454" s="86">
        <f>tbl_estimated_costs_quantities[[#This Row],[Plastering Painting]]*BOQs!$L$7</f>
        <v>0</v>
      </c>
      <c r="X454" s="76"/>
      <c r="Y454" s="37"/>
      <c r="Z454" s="86">
        <f>tbl_estimated_costs_quantities[[#This Row],[Floor Repairs]]*BOQs!$L$8</f>
        <v>0</v>
      </c>
      <c r="AA454" s="76"/>
      <c r="AB454" s="37"/>
      <c r="AC454" s="86">
        <f>tbl_estimated_costs_quantities[[#This Row],[Doors Replacement Repair]]*BOQs!$L$9</f>
        <v>0</v>
      </c>
      <c r="AD454" s="76"/>
      <c r="AE454" s="37"/>
      <c r="AF454" s="86">
        <f>tbl_estimated_costs_quantities[[#This Row],[Windows Replacement Repair]]*BOQs!$L$10</f>
        <v>0</v>
      </c>
      <c r="AG454" s="76"/>
      <c r="AH454" s="37"/>
      <c r="AI454" s="86">
        <f>tbl_estimated_costs_quantities[[#This Row],[Bathroom Rehabilitation]]*BOQs!$L$11</f>
        <v>0</v>
      </c>
      <c r="AJ454" s="76"/>
      <c r="AK454" s="37"/>
      <c r="AL454" s="86">
        <f>tbl_estimated_costs_quantities[[#This Row],[Ceramic Tile Works WASH]]*BOQs!$L$12</f>
        <v>0</v>
      </c>
      <c r="AM454" s="76"/>
      <c r="AN454" s="37"/>
      <c r="AO454" s="86">
        <f>tbl_estimated_costs_quantities[[#This Row],[Electrical Repairs Lighting]]*BOQs!$L$13</f>
        <v>0</v>
      </c>
      <c r="AP454" s="76"/>
      <c r="AQ454" s="37"/>
      <c r="AR454" s="86">
        <f>tbl_estimated_costs_quantities[[#This Row],[Roof Insulation Leak Sealing]]*BOQs!$L$14</f>
        <v>0</v>
      </c>
      <c r="AS454" s="76"/>
      <c r="AT454" s="37"/>
      <c r="AU454" s="86">
        <f>tbl_estimated_costs_quantities[[#This Row],[Chimney Duct Cleaning Repair]]*BOQs!$L$15</f>
        <v>0</v>
      </c>
      <c r="AV454" s="76"/>
      <c r="AW454" s="37"/>
      <c r="AX454" s="89">
        <f>tbl_estimated_costs_quantities[[#This Row],[Accessibility Adaptations]]*BOQs!$L$16</f>
        <v>0</v>
      </c>
      <c r="AY454" s="86" t="str">
        <f>IF(tbl_estimated_costs_quantities[[#This Row],[Total cost]]&lt;&gt;0,tbl_estimated_costs_quantities[[#This Row],[Total cost]]/BOQs!$A$1,"")</f>
        <v/>
      </c>
      <c r="AZ454" s="37"/>
      <c r="BA454" s="37"/>
      <c r="BB454" s="37"/>
      <c r="BC454" s="37"/>
      <c r="BD454" s="41"/>
      <c r="BE454" s="37"/>
      <c r="BF454" s="37"/>
      <c r="BG454" s="37"/>
      <c r="BH454" s="41"/>
    </row>
    <row r="455" spans="2:60" ht="25.15" customHeight="1" x14ac:dyDescent="0.25">
      <c r="B455" s="49">
        <v>451</v>
      </c>
      <c r="C455" s="37"/>
      <c r="D455" s="41"/>
      <c r="E455" s="40"/>
      <c r="F455" s="87" t="str">
        <f>IF(tbl_estimated_costs_quantities[[#This Row],[House Code]]&lt;&gt;"",INDEX(tbl_Assessment[],MATCH(tbl_estimated_costs_quantities[[#This Row],[House Code]],tbl_Assessment[House Code],0),3),"")</f>
        <v/>
      </c>
      <c r="G455" s="115" t="str">
        <f>IF(tbl_estimated_costs_quantities[[#This Row],[House Code]]&lt;&gt;"",INDEX(tbl_Assessment[],MATCH(tbl_estimated_costs_quantities[[#This Row],[House Code]],tbl_Assessment[House Code],0),9),"")</f>
        <v/>
      </c>
      <c r="H45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5" s="75"/>
      <c r="J455" s="37"/>
      <c r="K455" s="86">
        <f>tbl_estimated_costs_quantities[[#This Row],[Site Preparation]]*BOQs!$L$3</f>
        <v>0</v>
      </c>
      <c r="L455" s="76"/>
      <c r="M455" s="37"/>
      <c r="N455" s="86">
        <f>tbl_estimated_costs_quantities[[#This Row],[Demolition Removal Unsafe Structures]]*BOQs!$L$4</f>
        <v>0</v>
      </c>
      <c r="O455" s="76"/>
      <c r="P455" s="37"/>
      <c r="Q455" s="86">
        <f>tbl_estimated_costs_quantities[[#This Row],[Concrete Works]]*BOQs!$L$5</f>
        <v>0</v>
      </c>
      <c r="R455" s="76"/>
      <c r="S455" s="37"/>
      <c r="T455" s="86">
        <f>tbl_estimated_costs_quantities[[#This Row],[Closure External Openings Walls Windows]]*BOQs!$L$6</f>
        <v>0</v>
      </c>
      <c r="U455" s="76"/>
      <c r="V455" s="37"/>
      <c r="W455" s="86">
        <f>tbl_estimated_costs_quantities[[#This Row],[Plastering Painting]]*BOQs!$L$7</f>
        <v>0</v>
      </c>
      <c r="X455" s="76"/>
      <c r="Y455" s="37"/>
      <c r="Z455" s="86">
        <f>tbl_estimated_costs_quantities[[#This Row],[Floor Repairs]]*BOQs!$L$8</f>
        <v>0</v>
      </c>
      <c r="AA455" s="76"/>
      <c r="AB455" s="37"/>
      <c r="AC455" s="86">
        <f>tbl_estimated_costs_quantities[[#This Row],[Doors Replacement Repair]]*BOQs!$L$9</f>
        <v>0</v>
      </c>
      <c r="AD455" s="76"/>
      <c r="AE455" s="37"/>
      <c r="AF455" s="86">
        <f>tbl_estimated_costs_quantities[[#This Row],[Windows Replacement Repair]]*BOQs!$L$10</f>
        <v>0</v>
      </c>
      <c r="AG455" s="76"/>
      <c r="AH455" s="37"/>
      <c r="AI455" s="86">
        <f>tbl_estimated_costs_quantities[[#This Row],[Bathroom Rehabilitation]]*BOQs!$L$11</f>
        <v>0</v>
      </c>
      <c r="AJ455" s="76"/>
      <c r="AK455" s="37"/>
      <c r="AL455" s="86">
        <f>tbl_estimated_costs_quantities[[#This Row],[Ceramic Tile Works WASH]]*BOQs!$L$12</f>
        <v>0</v>
      </c>
      <c r="AM455" s="76"/>
      <c r="AN455" s="37"/>
      <c r="AO455" s="86">
        <f>tbl_estimated_costs_quantities[[#This Row],[Electrical Repairs Lighting]]*BOQs!$L$13</f>
        <v>0</v>
      </c>
      <c r="AP455" s="76"/>
      <c r="AQ455" s="37"/>
      <c r="AR455" s="86">
        <f>tbl_estimated_costs_quantities[[#This Row],[Roof Insulation Leak Sealing]]*BOQs!$L$14</f>
        <v>0</v>
      </c>
      <c r="AS455" s="76"/>
      <c r="AT455" s="37"/>
      <c r="AU455" s="86">
        <f>tbl_estimated_costs_quantities[[#This Row],[Chimney Duct Cleaning Repair]]*BOQs!$L$15</f>
        <v>0</v>
      </c>
      <c r="AV455" s="76"/>
      <c r="AW455" s="37"/>
      <c r="AX455" s="89">
        <f>tbl_estimated_costs_quantities[[#This Row],[Accessibility Adaptations]]*BOQs!$L$16</f>
        <v>0</v>
      </c>
      <c r="AY455" s="86" t="str">
        <f>IF(tbl_estimated_costs_quantities[[#This Row],[Total cost]]&lt;&gt;0,tbl_estimated_costs_quantities[[#This Row],[Total cost]]/BOQs!$A$1,"")</f>
        <v/>
      </c>
      <c r="AZ455" s="37"/>
      <c r="BA455" s="37"/>
      <c r="BB455" s="37"/>
      <c r="BC455" s="37"/>
      <c r="BD455" s="41"/>
      <c r="BE455" s="37"/>
      <c r="BF455" s="37"/>
      <c r="BG455" s="37"/>
      <c r="BH455" s="41"/>
    </row>
    <row r="456" spans="2:60" ht="25.15" customHeight="1" x14ac:dyDescent="0.25">
      <c r="B456" s="49">
        <v>452</v>
      </c>
      <c r="C456" s="37"/>
      <c r="D456" s="41"/>
      <c r="E456" s="40"/>
      <c r="F456" s="87" t="str">
        <f>IF(tbl_estimated_costs_quantities[[#This Row],[House Code]]&lt;&gt;"",INDEX(tbl_Assessment[],MATCH(tbl_estimated_costs_quantities[[#This Row],[House Code]],tbl_Assessment[House Code],0),3),"")</f>
        <v/>
      </c>
      <c r="G456" s="115" t="str">
        <f>IF(tbl_estimated_costs_quantities[[#This Row],[House Code]]&lt;&gt;"",INDEX(tbl_Assessment[],MATCH(tbl_estimated_costs_quantities[[#This Row],[House Code]],tbl_Assessment[House Code],0),9),"")</f>
        <v/>
      </c>
      <c r="H45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6" s="75"/>
      <c r="J456" s="37"/>
      <c r="K456" s="86">
        <f>tbl_estimated_costs_quantities[[#This Row],[Site Preparation]]*BOQs!$L$3</f>
        <v>0</v>
      </c>
      <c r="L456" s="76"/>
      <c r="M456" s="37"/>
      <c r="N456" s="86">
        <f>tbl_estimated_costs_quantities[[#This Row],[Demolition Removal Unsafe Structures]]*BOQs!$L$4</f>
        <v>0</v>
      </c>
      <c r="O456" s="76"/>
      <c r="P456" s="37"/>
      <c r="Q456" s="86">
        <f>tbl_estimated_costs_quantities[[#This Row],[Concrete Works]]*BOQs!$L$5</f>
        <v>0</v>
      </c>
      <c r="R456" s="76"/>
      <c r="S456" s="37"/>
      <c r="T456" s="86">
        <f>tbl_estimated_costs_quantities[[#This Row],[Closure External Openings Walls Windows]]*BOQs!$L$6</f>
        <v>0</v>
      </c>
      <c r="U456" s="76"/>
      <c r="V456" s="37"/>
      <c r="W456" s="86">
        <f>tbl_estimated_costs_quantities[[#This Row],[Plastering Painting]]*BOQs!$L$7</f>
        <v>0</v>
      </c>
      <c r="X456" s="76"/>
      <c r="Y456" s="37"/>
      <c r="Z456" s="86">
        <f>tbl_estimated_costs_quantities[[#This Row],[Floor Repairs]]*BOQs!$L$8</f>
        <v>0</v>
      </c>
      <c r="AA456" s="76"/>
      <c r="AB456" s="37"/>
      <c r="AC456" s="86">
        <f>tbl_estimated_costs_quantities[[#This Row],[Doors Replacement Repair]]*BOQs!$L$9</f>
        <v>0</v>
      </c>
      <c r="AD456" s="76"/>
      <c r="AE456" s="37"/>
      <c r="AF456" s="86">
        <f>tbl_estimated_costs_quantities[[#This Row],[Windows Replacement Repair]]*BOQs!$L$10</f>
        <v>0</v>
      </c>
      <c r="AG456" s="76"/>
      <c r="AH456" s="37"/>
      <c r="AI456" s="86">
        <f>tbl_estimated_costs_quantities[[#This Row],[Bathroom Rehabilitation]]*BOQs!$L$11</f>
        <v>0</v>
      </c>
      <c r="AJ456" s="76"/>
      <c r="AK456" s="37"/>
      <c r="AL456" s="86">
        <f>tbl_estimated_costs_quantities[[#This Row],[Ceramic Tile Works WASH]]*BOQs!$L$12</f>
        <v>0</v>
      </c>
      <c r="AM456" s="76"/>
      <c r="AN456" s="37"/>
      <c r="AO456" s="86">
        <f>tbl_estimated_costs_quantities[[#This Row],[Electrical Repairs Lighting]]*BOQs!$L$13</f>
        <v>0</v>
      </c>
      <c r="AP456" s="76"/>
      <c r="AQ456" s="37"/>
      <c r="AR456" s="86">
        <f>tbl_estimated_costs_quantities[[#This Row],[Roof Insulation Leak Sealing]]*BOQs!$L$14</f>
        <v>0</v>
      </c>
      <c r="AS456" s="76"/>
      <c r="AT456" s="37"/>
      <c r="AU456" s="86">
        <f>tbl_estimated_costs_quantities[[#This Row],[Chimney Duct Cleaning Repair]]*BOQs!$L$15</f>
        <v>0</v>
      </c>
      <c r="AV456" s="76"/>
      <c r="AW456" s="37"/>
      <c r="AX456" s="89">
        <f>tbl_estimated_costs_quantities[[#This Row],[Accessibility Adaptations]]*BOQs!$L$16</f>
        <v>0</v>
      </c>
      <c r="AY456" s="86" t="str">
        <f>IF(tbl_estimated_costs_quantities[[#This Row],[Total cost]]&lt;&gt;0,tbl_estimated_costs_quantities[[#This Row],[Total cost]]/BOQs!$A$1,"")</f>
        <v/>
      </c>
      <c r="AZ456" s="37"/>
      <c r="BA456" s="37"/>
      <c r="BB456" s="37"/>
      <c r="BC456" s="37"/>
      <c r="BD456" s="41"/>
      <c r="BE456" s="37"/>
      <c r="BF456" s="37"/>
      <c r="BG456" s="37"/>
      <c r="BH456" s="41"/>
    </row>
    <row r="457" spans="2:60" ht="25.15" customHeight="1" x14ac:dyDescent="0.25">
      <c r="B457" s="49">
        <v>453</v>
      </c>
      <c r="C457" s="37"/>
      <c r="D457" s="41"/>
      <c r="E457" s="40"/>
      <c r="F457" s="87" t="str">
        <f>IF(tbl_estimated_costs_quantities[[#This Row],[House Code]]&lt;&gt;"",INDEX(tbl_Assessment[],MATCH(tbl_estimated_costs_quantities[[#This Row],[House Code]],tbl_Assessment[House Code],0),3),"")</f>
        <v/>
      </c>
      <c r="G457" s="115" t="str">
        <f>IF(tbl_estimated_costs_quantities[[#This Row],[House Code]]&lt;&gt;"",INDEX(tbl_Assessment[],MATCH(tbl_estimated_costs_quantities[[#This Row],[House Code]],tbl_Assessment[House Code],0),9),"")</f>
        <v/>
      </c>
      <c r="H45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7" s="75"/>
      <c r="J457" s="37"/>
      <c r="K457" s="86">
        <f>tbl_estimated_costs_quantities[[#This Row],[Site Preparation]]*BOQs!$L$3</f>
        <v>0</v>
      </c>
      <c r="L457" s="76"/>
      <c r="M457" s="37"/>
      <c r="N457" s="86">
        <f>tbl_estimated_costs_quantities[[#This Row],[Demolition Removal Unsafe Structures]]*BOQs!$L$4</f>
        <v>0</v>
      </c>
      <c r="O457" s="76"/>
      <c r="P457" s="37"/>
      <c r="Q457" s="86">
        <f>tbl_estimated_costs_quantities[[#This Row],[Concrete Works]]*BOQs!$L$5</f>
        <v>0</v>
      </c>
      <c r="R457" s="76"/>
      <c r="S457" s="37"/>
      <c r="T457" s="86">
        <f>tbl_estimated_costs_quantities[[#This Row],[Closure External Openings Walls Windows]]*BOQs!$L$6</f>
        <v>0</v>
      </c>
      <c r="U457" s="76"/>
      <c r="V457" s="37"/>
      <c r="W457" s="86">
        <f>tbl_estimated_costs_quantities[[#This Row],[Plastering Painting]]*BOQs!$L$7</f>
        <v>0</v>
      </c>
      <c r="X457" s="76"/>
      <c r="Y457" s="37"/>
      <c r="Z457" s="86">
        <f>tbl_estimated_costs_quantities[[#This Row],[Floor Repairs]]*BOQs!$L$8</f>
        <v>0</v>
      </c>
      <c r="AA457" s="76"/>
      <c r="AB457" s="37"/>
      <c r="AC457" s="86">
        <f>tbl_estimated_costs_quantities[[#This Row],[Doors Replacement Repair]]*BOQs!$L$9</f>
        <v>0</v>
      </c>
      <c r="AD457" s="76"/>
      <c r="AE457" s="37"/>
      <c r="AF457" s="86">
        <f>tbl_estimated_costs_quantities[[#This Row],[Windows Replacement Repair]]*BOQs!$L$10</f>
        <v>0</v>
      </c>
      <c r="AG457" s="76"/>
      <c r="AH457" s="37"/>
      <c r="AI457" s="86">
        <f>tbl_estimated_costs_quantities[[#This Row],[Bathroom Rehabilitation]]*BOQs!$L$11</f>
        <v>0</v>
      </c>
      <c r="AJ457" s="76"/>
      <c r="AK457" s="37"/>
      <c r="AL457" s="86">
        <f>tbl_estimated_costs_quantities[[#This Row],[Ceramic Tile Works WASH]]*BOQs!$L$12</f>
        <v>0</v>
      </c>
      <c r="AM457" s="76"/>
      <c r="AN457" s="37"/>
      <c r="AO457" s="86">
        <f>tbl_estimated_costs_quantities[[#This Row],[Electrical Repairs Lighting]]*BOQs!$L$13</f>
        <v>0</v>
      </c>
      <c r="AP457" s="76"/>
      <c r="AQ457" s="37"/>
      <c r="AR457" s="86">
        <f>tbl_estimated_costs_quantities[[#This Row],[Roof Insulation Leak Sealing]]*BOQs!$L$14</f>
        <v>0</v>
      </c>
      <c r="AS457" s="76"/>
      <c r="AT457" s="37"/>
      <c r="AU457" s="86">
        <f>tbl_estimated_costs_quantities[[#This Row],[Chimney Duct Cleaning Repair]]*BOQs!$L$15</f>
        <v>0</v>
      </c>
      <c r="AV457" s="76"/>
      <c r="AW457" s="37"/>
      <c r="AX457" s="89">
        <f>tbl_estimated_costs_quantities[[#This Row],[Accessibility Adaptations]]*BOQs!$L$16</f>
        <v>0</v>
      </c>
      <c r="AY457" s="86" t="str">
        <f>IF(tbl_estimated_costs_quantities[[#This Row],[Total cost]]&lt;&gt;0,tbl_estimated_costs_quantities[[#This Row],[Total cost]]/BOQs!$A$1,"")</f>
        <v/>
      </c>
      <c r="AZ457" s="37"/>
      <c r="BA457" s="37"/>
      <c r="BB457" s="37"/>
      <c r="BC457" s="37"/>
      <c r="BD457" s="41"/>
      <c r="BE457" s="37"/>
      <c r="BF457" s="37"/>
      <c r="BG457" s="37"/>
      <c r="BH457" s="41"/>
    </row>
    <row r="458" spans="2:60" ht="25.15" customHeight="1" x14ac:dyDescent="0.25">
      <c r="B458" s="49">
        <v>454</v>
      </c>
      <c r="C458" s="37"/>
      <c r="D458" s="41"/>
      <c r="E458" s="40"/>
      <c r="F458" s="87" t="str">
        <f>IF(tbl_estimated_costs_quantities[[#This Row],[House Code]]&lt;&gt;"",INDEX(tbl_Assessment[],MATCH(tbl_estimated_costs_quantities[[#This Row],[House Code]],tbl_Assessment[House Code],0),3),"")</f>
        <v/>
      </c>
      <c r="G458" s="115" t="str">
        <f>IF(tbl_estimated_costs_quantities[[#This Row],[House Code]]&lt;&gt;"",INDEX(tbl_Assessment[],MATCH(tbl_estimated_costs_quantities[[#This Row],[House Code]],tbl_Assessment[House Code],0),9),"")</f>
        <v/>
      </c>
      <c r="H45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8" s="75"/>
      <c r="J458" s="37"/>
      <c r="K458" s="86">
        <f>tbl_estimated_costs_quantities[[#This Row],[Site Preparation]]*BOQs!$L$3</f>
        <v>0</v>
      </c>
      <c r="L458" s="76"/>
      <c r="M458" s="37"/>
      <c r="N458" s="86">
        <f>tbl_estimated_costs_quantities[[#This Row],[Demolition Removal Unsafe Structures]]*BOQs!$L$4</f>
        <v>0</v>
      </c>
      <c r="O458" s="76"/>
      <c r="P458" s="37"/>
      <c r="Q458" s="86">
        <f>tbl_estimated_costs_quantities[[#This Row],[Concrete Works]]*BOQs!$L$5</f>
        <v>0</v>
      </c>
      <c r="R458" s="76"/>
      <c r="S458" s="37"/>
      <c r="T458" s="86">
        <f>tbl_estimated_costs_quantities[[#This Row],[Closure External Openings Walls Windows]]*BOQs!$L$6</f>
        <v>0</v>
      </c>
      <c r="U458" s="76"/>
      <c r="V458" s="37"/>
      <c r="W458" s="86">
        <f>tbl_estimated_costs_quantities[[#This Row],[Plastering Painting]]*BOQs!$L$7</f>
        <v>0</v>
      </c>
      <c r="X458" s="76"/>
      <c r="Y458" s="37"/>
      <c r="Z458" s="86">
        <f>tbl_estimated_costs_quantities[[#This Row],[Floor Repairs]]*BOQs!$L$8</f>
        <v>0</v>
      </c>
      <c r="AA458" s="76"/>
      <c r="AB458" s="37"/>
      <c r="AC458" s="86">
        <f>tbl_estimated_costs_quantities[[#This Row],[Doors Replacement Repair]]*BOQs!$L$9</f>
        <v>0</v>
      </c>
      <c r="AD458" s="76"/>
      <c r="AE458" s="37"/>
      <c r="AF458" s="86">
        <f>tbl_estimated_costs_quantities[[#This Row],[Windows Replacement Repair]]*BOQs!$L$10</f>
        <v>0</v>
      </c>
      <c r="AG458" s="76"/>
      <c r="AH458" s="37"/>
      <c r="AI458" s="86">
        <f>tbl_estimated_costs_quantities[[#This Row],[Bathroom Rehabilitation]]*BOQs!$L$11</f>
        <v>0</v>
      </c>
      <c r="AJ458" s="76"/>
      <c r="AK458" s="37"/>
      <c r="AL458" s="86">
        <f>tbl_estimated_costs_quantities[[#This Row],[Ceramic Tile Works WASH]]*BOQs!$L$12</f>
        <v>0</v>
      </c>
      <c r="AM458" s="76"/>
      <c r="AN458" s="37"/>
      <c r="AO458" s="86">
        <f>tbl_estimated_costs_quantities[[#This Row],[Electrical Repairs Lighting]]*BOQs!$L$13</f>
        <v>0</v>
      </c>
      <c r="AP458" s="76"/>
      <c r="AQ458" s="37"/>
      <c r="AR458" s="86">
        <f>tbl_estimated_costs_quantities[[#This Row],[Roof Insulation Leak Sealing]]*BOQs!$L$14</f>
        <v>0</v>
      </c>
      <c r="AS458" s="76"/>
      <c r="AT458" s="37"/>
      <c r="AU458" s="86">
        <f>tbl_estimated_costs_quantities[[#This Row],[Chimney Duct Cleaning Repair]]*BOQs!$L$15</f>
        <v>0</v>
      </c>
      <c r="AV458" s="76"/>
      <c r="AW458" s="37"/>
      <c r="AX458" s="89">
        <f>tbl_estimated_costs_quantities[[#This Row],[Accessibility Adaptations]]*BOQs!$L$16</f>
        <v>0</v>
      </c>
      <c r="AY458" s="86" t="str">
        <f>IF(tbl_estimated_costs_quantities[[#This Row],[Total cost]]&lt;&gt;0,tbl_estimated_costs_quantities[[#This Row],[Total cost]]/BOQs!$A$1,"")</f>
        <v/>
      </c>
      <c r="AZ458" s="37"/>
      <c r="BA458" s="37"/>
      <c r="BB458" s="37"/>
      <c r="BC458" s="37"/>
      <c r="BD458" s="41"/>
      <c r="BE458" s="37"/>
      <c r="BF458" s="37"/>
      <c r="BG458" s="37"/>
      <c r="BH458" s="41"/>
    </row>
    <row r="459" spans="2:60" ht="25.15" customHeight="1" x14ac:dyDescent="0.25">
      <c r="B459" s="49">
        <v>455</v>
      </c>
      <c r="C459" s="37"/>
      <c r="D459" s="41"/>
      <c r="E459" s="40"/>
      <c r="F459" s="87" t="str">
        <f>IF(tbl_estimated_costs_quantities[[#This Row],[House Code]]&lt;&gt;"",INDEX(tbl_Assessment[],MATCH(tbl_estimated_costs_quantities[[#This Row],[House Code]],tbl_Assessment[House Code],0),3),"")</f>
        <v/>
      </c>
      <c r="G459" s="115" t="str">
        <f>IF(tbl_estimated_costs_quantities[[#This Row],[House Code]]&lt;&gt;"",INDEX(tbl_Assessment[],MATCH(tbl_estimated_costs_quantities[[#This Row],[House Code]],tbl_Assessment[House Code],0),9),"")</f>
        <v/>
      </c>
      <c r="H45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59" s="75"/>
      <c r="J459" s="37"/>
      <c r="K459" s="86">
        <f>tbl_estimated_costs_quantities[[#This Row],[Site Preparation]]*BOQs!$L$3</f>
        <v>0</v>
      </c>
      <c r="L459" s="76"/>
      <c r="M459" s="37"/>
      <c r="N459" s="86">
        <f>tbl_estimated_costs_quantities[[#This Row],[Demolition Removal Unsafe Structures]]*BOQs!$L$4</f>
        <v>0</v>
      </c>
      <c r="O459" s="76"/>
      <c r="P459" s="37"/>
      <c r="Q459" s="86">
        <f>tbl_estimated_costs_quantities[[#This Row],[Concrete Works]]*BOQs!$L$5</f>
        <v>0</v>
      </c>
      <c r="R459" s="76"/>
      <c r="S459" s="37"/>
      <c r="T459" s="86">
        <f>tbl_estimated_costs_quantities[[#This Row],[Closure External Openings Walls Windows]]*BOQs!$L$6</f>
        <v>0</v>
      </c>
      <c r="U459" s="76"/>
      <c r="V459" s="37"/>
      <c r="W459" s="86">
        <f>tbl_estimated_costs_quantities[[#This Row],[Plastering Painting]]*BOQs!$L$7</f>
        <v>0</v>
      </c>
      <c r="X459" s="76"/>
      <c r="Y459" s="37"/>
      <c r="Z459" s="86">
        <f>tbl_estimated_costs_quantities[[#This Row],[Floor Repairs]]*BOQs!$L$8</f>
        <v>0</v>
      </c>
      <c r="AA459" s="76"/>
      <c r="AB459" s="37"/>
      <c r="AC459" s="86">
        <f>tbl_estimated_costs_quantities[[#This Row],[Doors Replacement Repair]]*BOQs!$L$9</f>
        <v>0</v>
      </c>
      <c r="AD459" s="76"/>
      <c r="AE459" s="37"/>
      <c r="AF459" s="86">
        <f>tbl_estimated_costs_quantities[[#This Row],[Windows Replacement Repair]]*BOQs!$L$10</f>
        <v>0</v>
      </c>
      <c r="AG459" s="76"/>
      <c r="AH459" s="37"/>
      <c r="AI459" s="86">
        <f>tbl_estimated_costs_quantities[[#This Row],[Bathroom Rehabilitation]]*BOQs!$L$11</f>
        <v>0</v>
      </c>
      <c r="AJ459" s="76"/>
      <c r="AK459" s="37"/>
      <c r="AL459" s="86">
        <f>tbl_estimated_costs_quantities[[#This Row],[Ceramic Tile Works WASH]]*BOQs!$L$12</f>
        <v>0</v>
      </c>
      <c r="AM459" s="76"/>
      <c r="AN459" s="37"/>
      <c r="AO459" s="86">
        <f>tbl_estimated_costs_quantities[[#This Row],[Electrical Repairs Lighting]]*BOQs!$L$13</f>
        <v>0</v>
      </c>
      <c r="AP459" s="76"/>
      <c r="AQ459" s="37"/>
      <c r="AR459" s="86">
        <f>tbl_estimated_costs_quantities[[#This Row],[Roof Insulation Leak Sealing]]*BOQs!$L$14</f>
        <v>0</v>
      </c>
      <c r="AS459" s="76"/>
      <c r="AT459" s="37"/>
      <c r="AU459" s="86">
        <f>tbl_estimated_costs_quantities[[#This Row],[Chimney Duct Cleaning Repair]]*BOQs!$L$15</f>
        <v>0</v>
      </c>
      <c r="AV459" s="76"/>
      <c r="AW459" s="37"/>
      <c r="AX459" s="89">
        <f>tbl_estimated_costs_quantities[[#This Row],[Accessibility Adaptations]]*BOQs!$L$16</f>
        <v>0</v>
      </c>
      <c r="AY459" s="86" t="str">
        <f>IF(tbl_estimated_costs_quantities[[#This Row],[Total cost]]&lt;&gt;0,tbl_estimated_costs_quantities[[#This Row],[Total cost]]/BOQs!$A$1,"")</f>
        <v/>
      </c>
      <c r="AZ459" s="37"/>
      <c r="BA459" s="37"/>
      <c r="BB459" s="37"/>
      <c r="BC459" s="37"/>
      <c r="BD459" s="41"/>
      <c r="BE459" s="37"/>
      <c r="BF459" s="37"/>
      <c r="BG459" s="37"/>
      <c r="BH459" s="41"/>
    </row>
    <row r="460" spans="2:60" ht="25.15" customHeight="1" x14ac:dyDescent="0.25">
      <c r="B460" s="49">
        <v>456</v>
      </c>
      <c r="C460" s="37"/>
      <c r="D460" s="41"/>
      <c r="E460" s="40"/>
      <c r="F460" s="87" t="str">
        <f>IF(tbl_estimated_costs_quantities[[#This Row],[House Code]]&lt;&gt;"",INDEX(tbl_Assessment[],MATCH(tbl_estimated_costs_quantities[[#This Row],[House Code]],tbl_Assessment[House Code],0),3),"")</f>
        <v/>
      </c>
      <c r="G460" s="115" t="str">
        <f>IF(tbl_estimated_costs_quantities[[#This Row],[House Code]]&lt;&gt;"",INDEX(tbl_Assessment[],MATCH(tbl_estimated_costs_quantities[[#This Row],[House Code]],tbl_Assessment[House Code],0),9),"")</f>
        <v/>
      </c>
      <c r="H46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0" s="75"/>
      <c r="J460" s="37"/>
      <c r="K460" s="86">
        <f>tbl_estimated_costs_quantities[[#This Row],[Site Preparation]]*BOQs!$L$3</f>
        <v>0</v>
      </c>
      <c r="L460" s="76"/>
      <c r="M460" s="37"/>
      <c r="N460" s="86">
        <f>tbl_estimated_costs_quantities[[#This Row],[Demolition Removal Unsafe Structures]]*BOQs!$L$4</f>
        <v>0</v>
      </c>
      <c r="O460" s="76"/>
      <c r="P460" s="37"/>
      <c r="Q460" s="86">
        <f>tbl_estimated_costs_quantities[[#This Row],[Concrete Works]]*BOQs!$L$5</f>
        <v>0</v>
      </c>
      <c r="R460" s="76"/>
      <c r="S460" s="37"/>
      <c r="T460" s="86">
        <f>tbl_estimated_costs_quantities[[#This Row],[Closure External Openings Walls Windows]]*BOQs!$L$6</f>
        <v>0</v>
      </c>
      <c r="U460" s="76"/>
      <c r="V460" s="37"/>
      <c r="W460" s="86">
        <f>tbl_estimated_costs_quantities[[#This Row],[Plastering Painting]]*BOQs!$L$7</f>
        <v>0</v>
      </c>
      <c r="X460" s="76"/>
      <c r="Y460" s="37"/>
      <c r="Z460" s="86">
        <f>tbl_estimated_costs_quantities[[#This Row],[Floor Repairs]]*BOQs!$L$8</f>
        <v>0</v>
      </c>
      <c r="AA460" s="76"/>
      <c r="AB460" s="37"/>
      <c r="AC460" s="86">
        <f>tbl_estimated_costs_quantities[[#This Row],[Doors Replacement Repair]]*BOQs!$L$9</f>
        <v>0</v>
      </c>
      <c r="AD460" s="76"/>
      <c r="AE460" s="37"/>
      <c r="AF460" s="86">
        <f>tbl_estimated_costs_quantities[[#This Row],[Windows Replacement Repair]]*BOQs!$L$10</f>
        <v>0</v>
      </c>
      <c r="AG460" s="76"/>
      <c r="AH460" s="37"/>
      <c r="AI460" s="86">
        <f>tbl_estimated_costs_quantities[[#This Row],[Bathroom Rehabilitation]]*BOQs!$L$11</f>
        <v>0</v>
      </c>
      <c r="AJ460" s="76"/>
      <c r="AK460" s="37"/>
      <c r="AL460" s="86">
        <f>tbl_estimated_costs_quantities[[#This Row],[Ceramic Tile Works WASH]]*BOQs!$L$12</f>
        <v>0</v>
      </c>
      <c r="AM460" s="76"/>
      <c r="AN460" s="37"/>
      <c r="AO460" s="86">
        <f>tbl_estimated_costs_quantities[[#This Row],[Electrical Repairs Lighting]]*BOQs!$L$13</f>
        <v>0</v>
      </c>
      <c r="AP460" s="76"/>
      <c r="AQ460" s="37"/>
      <c r="AR460" s="86">
        <f>tbl_estimated_costs_quantities[[#This Row],[Roof Insulation Leak Sealing]]*BOQs!$L$14</f>
        <v>0</v>
      </c>
      <c r="AS460" s="76"/>
      <c r="AT460" s="37"/>
      <c r="AU460" s="86">
        <f>tbl_estimated_costs_quantities[[#This Row],[Chimney Duct Cleaning Repair]]*BOQs!$L$15</f>
        <v>0</v>
      </c>
      <c r="AV460" s="76"/>
      <c r="AW460" s="37"/>
      <c r="AX460" s="89">
        <f>tbl_estimated_costs_quantities[[#This Row],[Accessibility Adaptations]]*BOQs!$L$16</f>
        <v>0</v>
      </c>
      <c r="AY460" s="86" t="str">
        <f>IF(tbl_estimated_costs_quantities[[#This Row],[Total cost]]&lt;&gt;0,tbl_estimated_costs_quantities[[#This Row],[Total cost]]/BOQs!$A$1,"")</f>
        <v/>
      </c>
      <c r="AZ460" s="37"/>
      <c r="BA460" s="37"/>
      <c r="BB460" s="37"/>
      <c r="BC460" s="37"/>
      <c r="BD460" s="41"/>
      <c r="BE460" s="37"/>
      <c r="BF460" s="37"/>
      <c r="BG460" s="37"/>
      <c r="BH460" s="41"/>
    </row>
    <row r="461" spans="2:60" ht="25.15" customHeight="1" x14ac:dyDescent="0.25">
      <c r="B461" s="49">
        <v>457</v>
      </c>
      <c r="C461" s="37"/>
      <c r="D461" s="41"/>
      <c r="E461" s="40"/>
      <c r="F461" s="87" t="str">
        <f>IF(tbl_estimated_costs_quantities[[#This Row],[House Code]]&lt;&gt;"",INDEX(tbl_Assessment[],MATCH(tbl_estimated_costs_quantities[[#This Row],[House Code]],tbl_Assessment[House Code],0),3),"")</f>
        <v/>
      </c>
      <c r="G461" s="115" t="str">
        <f>IF(tbl_estimated_costs_quantities[[#This Row],[House Code]]&lt;&gt;"",INDEX(tbl_Assessment[],MATCH(tbl_estimated_costs_quantities[[#This Row],[House Code]],tbl_Assessment[House Code],0),9),"")</f>
        <v/>
      </c>
      <c r="H46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1" s="75"/>
      <c r="J461" s="37"/>
      <c r="K461" s="86">
        <f>tbl_estimated_costs_quantities[[#This Row],[Site Preparation]]*BOQs!$L$3</f>
        <v>0</v>
      </c>
      <c r="L461" s="76"/>
      <c r="M461" s="37"/>
      <c r="N461" s="86">
        <f>tbl_estimated_costs_quantities[[#This Row],[Demolition Removal Unsafe Structures]]*BOQs!$L$4</f>
        <v>0</v>
      </c>
      <c r="O461" s="76"/>
      <c r="P461" s="37"/>
      <c r="Q461" s="86">
        <f>tbl_estimated_costs_quantities[[#This Row],[Concrete Works]]*BOQs!$L$5</f>
        <v>0</v>
      </c>
      <c r="R461" s="76"/>
      <c r="S461" s="37"/>
      <c r="T461" s="86">
        <f>tbl_estimated_costs_quantities[[#This Row],[Closure External Openings Walls Windows]]*BOQs!$L$6</f>
        <v>0</v>
      </c>
      <c r="U461" s="76"/>
      <c r="V461" s="37"/>
      <c r="W461" s="86">
        <f>tbl_estimated_costs_quantities[[#This Row],[Plastering Painting]]*BOQs!$L$7</f>
        <v>0</v>
      </c>
      <c r="X461" s="76"/>
      <c r="Y461" s="37"/>
      <c r="Z461" s="86">
        <f>tbl_estimated_costs_quantities[[#This Row],[Floor Repairs]]*BOQs!$L$8</f>
        <v>0</v>
      </c>
      <c r="AA461" s="76"/>
      <c r="AB461" s="37"/>
      <c r="AC461" s="86">
        <f>tbl_estimated_costs_quantities[[#This Row],[Doors Replacement Repair]]*BOQs!$L$9</f>
        <v>0</v>
      </c>
      <c r="AD461" s="76"/>
      <c r="AE461" s="37"/>
      <c r="AF461" s="86">
        <f>tbl_estimated_costs_quantities[[#This Row],[Windows Replacement Repair]]*BOQs!$L$10</f>
        <v>0</v>
      </c>
      <c r="AG461" s="76"/>
      <c r="AH461" s="37"/>
      <c r="AI461" s="86">
        <f>tbl_estimated_costs_quantities[[#This Row],[Bathroom Rehabilitation]]*BOQs!$L$11</f>
        <v>0</v>
      </c>
      <c r="AJ461" s="76"/>
      <c r="AK461" s="37"/>
      <c r="AL461" s="86">
        <f>tbl_estimated_costs_quantities[[#This Row],[Ceramic Tile Works WASH]]*BOQs!$L$12</f>
        <v>0</v>
      </c>
      <c r="AM461" s="76"/>
      <c r="AN461" s="37"/>
      <c r="AO461" s="86">
        <f>tbl_estimated_costs_quantities[[#This Row],[Electrical Repairs Lighting]]*BOQs!$L$13</f>
        <v>0</v>
      </c>
      <c r="AP461" s="76"/>
      <c r="AQ461" s="37"/>
      <c r="AR461" s="86">
        <f>tbl_estimated_costs_quantities[[#This Row],[Roof Insulation Leak Sealing]]*BOQs!$L$14</f>
        <v>0</v>
      </c>
      <c r="AS461" s="76"/>
      <c r="AT461" s="37"/>
      <c r="AU461" s="86">
        <f>tbl_estimated_costs_quantities[[#This Row],[Chimney Duct Cleaning Repair]]*BOQs!$L$15</f>
        <v>0</v>
      </c>
      <c r="AV461" s="76"/>
      <c r="AW461" s="37"/>
      <c r="AX461" s="89">
        <f>tbl_estimated_costs_quantities[[#This Row],[Accessibility Adaptations]]*BOQs!$L$16</f>
        <v>0</v>
      </c>
      <c r="AY461" s="86" t="str">
        <f>IF(tbl_estimated_costs_quantities[[#This Row],[Total cost]]&lt;&gt;0,tbl_estimated_costs_quantities[[#This Row],[Total cost]]/BOQs!$A$1,"")</f>
        <v/>
      </c>
      <c r="AZ461" s="37"/>
      <c r="BA461" s="37"/>
      <c r="BB461" s="37"/>
      <c r="BC461" s="37"/>
      <c r="BD461" s="41"/>
      <c r="BE461" s="37"/>
      <c r="BF461" s="37"/>
      <c r="BG461" s="37"/>
      <c r="BH461" s="41"/>
    </row>
    <row r="462" spans="2:60" ht="25.15" customHeight="1" x14ac:dyDescent="0.25">
      <c r="B462" s="49">
        <v>458</v>
      </c>
      <c r="C462" s="37"/>
      <c r="D462" s="41"/>
      <c r="E462" s="40"/>
      <c r="F462" s="87" t="str">
        <f>IF(tbl_estimated_costs_quantities[[#This Row],[House Code]]&lt;&gt;"",INDEX(tbl_Assessment[],MATCH(tbl_estimated_costs_quantities[[#This Row],[House Code]],tbl_Assessment[House Code],0),3),"")</f>
        <v/>
      </c>
      <c r="G462" s="115" t="str">
        <f>IF(tbl_estimated_costs_quantities[[#This Row],[House Code]]&lt;&gt;"",INDEX(tbl_Assessment[],MATCH(tbl_estimated_costs_quantities[[#This Row],[House Code]],tbl_Assessment[House Code],0),9),"")</f>
        <v/>
      </c>
      <c r="H46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2" s="75"/>
      <c r="J462" s="37"/>
      <c r="K462" s="86">
        <f>tbl_estimated_costs_quantities[[#This Row],[Site Preparation]]*BOQs!$L$3</f>
        <v>0</v>
      </c>
      <c r="L462" s="76"/>
      <c r="M462" s="37"/>
      <c r="N462" s="86">
        <f>tbl_estimated_costs_quantities[[#This Row],[Demolition Removal Unsafe Structures]]*BOQs!$L$4</f>
        <v>0</v>
      </c>
      <c r="O462" s="76"/>
      <c r="P462" s="37"/>
      <c r="Q462" s="86">
        <f>tbl_estimated_costs_quantities[[#This Row],[Concrete Works]]*BOQs!$L$5</f>
        <v>0</v>
      </c>
      <c r="R462" s="76"/>
      <c r="S462" s="37"/>
      <c r="T462" s="86">
        <f>tbl_estimated_costs_quantities[[#This Row],[Closure External Openings Walls Windows]]*BOQs!$L$6</f>
        <v>0</v>
      </c>
      <c r="U462" s="76"/>
      <c r="V462" s="37"/>
      <c r="W462" s="86">
        <f>tbl_estimated_costs_quantities[[#This Row],[Plastering Painting]]*BOQs!$L$7</f>
        <v>0</v>
      </c>
      <c r="X462" s="76"/>
      <c r="Y462" s="37"/>
      <c r="Z462" s="86">
        <f>tbl_estimated_costs_quantities[[#This Row],[Floor Repairs]]*BOQs!$L$8</f>
        <v>0</v>
      </c>
      <c r="AA462" s="76"/>
      <c r="AB462" s="37"/>
      <c r="AC462" s="86">
        <f>tbl_estimated_costs_quantities[[#This Row],[Doors Replacement Repair]]*BOQs!$L$9</f>
        <v>0</v>
      </c>
      <c r="AD462" s="76"/>
      <c r="AE462" s="37"/>
      <c r="AF462" s="86">
        <f>tbl_estimated_costs_quantities[[#This Row],[Windows Replacement Repair]]*BOQs!$L$10</f>
        <v>0</v>
      </c>
      <c r="AG462" s="76"/>
      <c r="AH462" s="37"/>
      <c r="AI462" s="86">
        <f>tbl_estimated_costs_quantities[[#This Row],[Bathroom Rehabilitation]]*BOQs!$L$11</f>
        <v>0</v>
      </c>
      <c r="AJ462" s="76"/>
      <c r="AK462" s="37"/>
      <c r="AL462" s="86">
        <f>tbl_estimated_costs_quantities[[#This Row],[Ceramic Tile Works WASH]]*BOQs!$L$12</f>
        <v>0</v>
      </c>
      <c r="AM462" s="76"/>
      <c r="AN462" s="37"/>
      <c r="AO462" s="86">
        <f>tbl_estimated_costs_quantities[[#This Row],[Electrical Repairs Lighting]]*BOQs!$L$13</f>
        <v>0</v>
      </c>
      <c r="AP462" s="76"/>
      <c r="AQ462" s="37"/>
      <c r="AR462" s="86">
        <f>tbl_estimated_costs_quantities[[#This Row],[Roof Insulation Leak Sealing]]*BOQs!$L$14</f>
        <v>0</v>
      </c>
      <c r="AS462" s="76"/>
      <c r="AT462" s="37"/>
      <c r="AU462" s="86">
        <f>tbl_estimated_costs_quantities[[#This Row],[Chimney Duct Cleaning Repair]]*BOQs!$L$15</f>
        <v>0</v>
      </c>
      <c r="AV462" s="76"/>
      <c r="AW462" s="37"/>
      <c r="AX462" s="89">
        <f>tbl_estimated_costs_quantities[[#This Row],[Accessibility Adaptations]]*BOQs!$L$16</f>
        <v>0</v>
      </c>
      <c r="AY462" s="86" t="str">
        <f>IF(tbl_estimated_costs_quantities[[#This Row],[Total cost]]&lt;&gt;0,tbl_estimated_costs_quantities[[#This Row],[Total cost]]/BOQs!$A$1,"")</f>
        <v/>
      </c>
      <c r="AZ462" s="37"/>
      <c r="BA462" s="37"/>
      <c r="BB462" s="37"/>
      <c r="BC462" s="37"/>
      <c r="BD462" s="41"/>
      <c r="BE462" s="37"/>
      <c r="BF462" s="37"/>
      <c r="BG462" s="37"/>
      <c r="BH462" s="41"/>
    </row>
    <row r="463" spans="2:60" ht="25.15" customHeight="1" x14ac:dyDescent="0.25">
      <c r="B463" s="49">
        <v>459</v>
      </c>
      <c r="C463" s="37"/>
      <c r="D463" s="41"/>
      <c r="E463" s="40"/>
      <c r="F463" s="87" t="str">
        <f>IF(tbl_estimated_costs_quantities[[#This Row],[House Code]]&lt;&gt;"",INDEX(tbl_Assessment[],MATCH(tbl_estimated_costs_quantities[[#This Row],[House Code]],tbl_Assessment[House Code],0),3),"")</f>
        <v/>
      </c>
      <c r="G463" s="115" t="str">
        <f>IF(tbl_estimated_costs_quantities[[#This Row],[House Code]]&lt;&gt;"",INDEX(tbl_Assessment[],MATCH(tbl_estimated_costs_quantities[[#This Row],[House Code]],tbl_Assessment[House Code],0),9),"")</f>
        <v/>
      </c>
      <c r="H46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3" s="75"/>
      <c r="J463" s="37"/>
      <c r="K463" s="86">
        <f>tbl_estimated_costs_quantities[[#This Row],[Site Preparation]]*BOQs!$L$3</f>
        <v>0</v>
      </c>
      <c r="L463" s="76"/>
      <c r="M463" s="37"/>
      <c r="N463" s="86">
        <f>tbl_estimated_costs_quantities[[#This Row],[Demolition Removal Unsafe Structures]]*BOQs!$L$4</f>
        <v>0</v>
      </c>
      <c r="O463" s="76"/>
      <c r="P463" s="37"/>
      <c r="Q463" s="86">
        <f>tbl_estimated_costs_quantities[[#This Row],[Concrete Works]]*BOQs!$L$5</f>
        <v>0</v>
      </c>
      <c r="R463" s="76"/>
      <c r="S463" s="37"/>
      <c r="T463" s="86">
        <f>tbl_estimated_costs_quantities[[#This Row],[Closure External Openings Walls Windows]]*BOQs!$L$6</f>
        <v>0</v>
      </c>
      <c r="U463" s="76"/>
      <c r="V463" s="37"/>
      <c r="W463" s="86">
        <f>tbl_estimated_costs_quantities[[#This Row],[Plastering Painting]]*BOQs!$L$7</f>
        <v>0</v>
      </c>
      <c r="X463" s="76"/>
      <c r="Y463" s="37"/>
      <c r="Z463" s="86">
        <f>tbl_estimated_costs_quantities[[#This Row],[Floor Repairs]]*BOQs!$L$8</f>
        <v>0</v>
      </c>
      <c r="AA463" s="76"/>
      <c r="AB463" s="37"/>
      <c r="AC463" s="86">
        <f>tbl_estimated_costs_quantities[[#This Row],[Doors Replacement Repair]]*BOQs!$L$9</f>
        <v>0</v>
      </c>
      <c r="AD463" s="76"/>
      <c r="AE463" s="37"/>
      <c r="AF463" s="86">
        <f>tbl_estimated_costs_quantities[[#This Row],[Windows Replacement Repair]]*BOQs!$L$10</f>
        <v>0</v>
      </c>
      <c r="AG463" s="76"/>
      <c r="AH463" s="37"/>
      <c r="AI463" s="86">
        <f>tbl_estimated_costs_quantities[[#This Row],[Bathroom Rehabilitation]]*BOQs!$L$11</f>
        <v>0</v>
      </c>
      <c r="AJ463" s="76"/>
      <c r="AK463" s="37"/>
      <c r="AL463" s="86">
        <f>tbl_estimated_costs_quantities[[#This Row],[Ceramic Tile Works WASH]]*BOQs!$L$12</f>
        <v>0</v>
      </c>
      <c r="AM463" s="76"/>
      <c r="AN463" s="37"/>
      <c r="AO463" s="86">
        <f>tbl_estimated_costs_quantities[[#This Row],[Electrical Repairs Lighting]]*BOQs!$L$13</f>
        <v>0</v>
      </c>
      <c r="AP463" s="76"/>
      <c r="AQ463" s="37"/>
      <c r="AR463" s="86">
        <f>tbl_estimated_costs_quantities[[#This Row],[Roof Insulation Leak Sealing]]*BOQs!$L$14</f>
        <v>0</v>
      </c>
      <c r="AS463" s="76"/>
      <c r="AT463" s="37"/>
      <c r="AU463" s="86">
        <f>tbl_estimated_costs_quantities[[#This Row],[Chimney Duct Cleaning Repair]]*BOQs!$L$15</f>
        <v>0</v>
      </c>
      <c r="AV463" s="76"/>
      <c r="AW463" s="37"/>
      <c r="AX463" s="89">
        <f>tbl_estimated_costs_quantities[[#This Row],[Accessibility Adaptations]]*BOQs!$L$16</f>
        <v>0</v>
      </c>
      <c r="AY463" s="86" t="str">
        <f>IF(tbl_estimated_costs_quantities[[#This Row],[Total cost]]&lt;&gt;0,tbl_estimated_costs_quantities[[#This Row],[Total cost]]/BOQs!$A$1,"")</f>
        <v/>
      </c>
      <c r="AZ463" s="37"/>
      <c r="BA463" s="37"/>
      <c r="BB463" s="37"/>
      <c r="BC463" s="37"/>
      <c r="BD463" s="41"/>
      <c r="BE463" s="37"/>
      <c r="BF463" s="37"/>
      <c r="BG463" s="37"/>
      <c r="BH463" s="41"/>
    </row>
    <row r="464" spans="2:60" ht="25.15" customHeight="1" x14ac:dyDescent="0.25">
      <c r="B464" s="49">
        <v>460</v>
      </c>
      <c r="C464" s="37"/>
      <c r="D464" s="41"/>
      <c r="E464" s="40"/>
      <c r="F464" s="87" t="str">
        <f>IF(tbl_estimated_costs_quantities[[#This Row],[House Code]]&lt;&gt;"",INDEX(tbl_Assessment[],MATCH(tbl_estimated_costs_quantities[[#This Row],[House Code]],tbl_Assessment[House Code],0),3),"")</f>
        <v/>
      </c>
      <c r="G464" s="115" t="str">
        <f>IF(tbl_estimated_costs_quantities[[#This Row],[House Code]]&lt;&gt;"",INDEX(tbl_Assessment[],MATCH(tbl_estimated_costs_quantities[[#This Row],[House Code]],tbl_Assessment[House Code],0),9),"")</f>
        <v/>
      </c>
      <c r="H46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4" s="75"/>
      <c r="J464" s="37"/>
      <c r="K464" s="86">
        <f>tbl_estimated_costs_quantities[[#This Row],[Site Preparation]]*BOQs!$L$3</f>
        <v>0</v>
      </c>
      <c r="L464" s="76"/>
      <c r="M464" s="37"/>
      <c r="N464" s="86">
        <f>tbl_estimated_costs_quantities[[#This Row],[Demolition Removal Unsafe Structures]]*BOQs!$L$4</f>
        <v>0</v>
      </c>
      <c r="O464" s="76"/>
      <c r="P464" s="37"/>
      <c r="Q464" s="86">
        <f>tbl_estimated_costs_quantities[[#This Row],[Concrete Works]]*BOQs!$L$5</f>
        <v>0</v>
      </c>
      <c r="R464" s="76"/>
      <c r="S464" s="37"/>
      <c r="T464" s="86">
        <f>tbl_estimated_costs_quantities[[#This Row],[Closure External Openings Walls Windows]]*BOQs!$L$6</f>
        <v>0</v>
      </c>
      <c r="U464" s="76"/>
      <c r="V464" s="37"/>
      <c r="W464" s="86">
        <f>tbl_estimated_costs_quantities[[#This Row],[Plastering Painting]]*BOQs!$L$7</f>
        <v>0</v>
      </c>
      <c r="X464" s="76"/>
      <c r="Y464" s="37"/>
      <c r="Z464" s="86">
        <f>tbl_estimated_costs_quantities[[#This Row],[Floor Repairs]]*BOQs!$L$8</f>
        <v>0</v>
      </c>
      <c r="AA464" s="76"/>
      <c r="AB464" s="37"/>
      <c r="AC464" s="86">
        <f>tbl_estimated_costs_quantities[[#This Row],[Doors Replacement Repair]]*BOQs!$L$9</f>
        <v>0</v>
      </c>
      <c r="AD464" s="76"/>
      <c r="AE464" s="37"/>
      <c r="AF464" s="86">
        <f>tbl_estimated_costs_quantities[[#This Row],[Windows Replacement Repair]]*BOQs!$L$10</f>
        <v>0</v>
      </c>
      <c r="AG464" s="76"/>
      <c r="AH464" s="37"/>
      <c r="AI464" s="86">
        <f>tbl_estimated_costs_quantities[[#This Row],[Bathroom Rehabilitation]]*BOQs!$L$11</f>
        <v>0</v>
      </c>
      <c r="AJ464" s="76"/>
      <c r="AK464" s="37"/>
      <c r="AL464" s="86">
        <f>tbl_estimated_costs_quantities[[#This Row],[Ceramic Tile Works WASH]]*BOQs!$L$12</f>
        <v>0</v>
      </c>
      <c r="AM464" s="76"/>
      <c r="AN464" s="37"/>
      <c r="AO464" s="86">
        <f>tbl_estimated_costs_quantities[[#This Row],[Electrical Repairs Lighting]]*BOQs!$L$13</f>
        <v>0</v>
      </c>
      <c r="AP464" s="76"/>
      <c r="AQ464" s="37"/>
      <c r="AR464" s="86">
        <f>tbl_estimated_costs_quantities[[#This Row],[Roof Insulation Leak Sealing]]*BOQs!$L$14</f>
        <v>0</v>
      </c>
      <c r="AS464" s="76"/>
      <c r="AT464" s="37"/>
      <c r="AU464" s="86">
        <f>tbl_estimated_costs_quantities[[#This Row],[Chimney Duct Cleaning Repair]]*BOQs!$L$15</f>
        <v>0</v>
      </c>
      <c r="AV464" s="76"/>
      <c r="AW464" s="37"/>
      <c r="AX464" s="89">
        <f>tbl_estimated_costs_quantities[[#This Row],[Accessibility Adaptations]]*BOQs!$L$16</f>
        <v>0</v>
      </c>
      <c r="AY464" s="86" t="str">
        <f>IF(tbl_estimated_costs_quantities[[#This Row],[Total cost]]&lt;&gt;0,tbl_estimated_costs_quantities[[#This Row],[Total cost]]/BOQs!$A$1,"")</f>
        <v/>
      </c>
      <c r="AZ464" s="37"/>
      <c r="BA464" s="37"/>
      <c r="BB464" s="37"/>
      <c r="BC464" s="37"/>
      <c r="BD464" s="41"/>
      <c r="BE464" s="37"/>
      <c r="BF464" s="37"/>
      <c r="BG464" s="37"/>
      <c r="BH464" s="41"/>
    </row>
    <row r="465" spans="2:60" ht="25.15" customHeight="1" x14ac:dyDescent="0.25">
      <c r="B465" s="49">
        <v>461</v>
      </c>
      <c r="C465" s="37"/>
      <c r="D465" s="41"/>
      <c r="E465" s="40"/>
      <c r="F465" s="87" t="str">
        <f>IF(tbl_estimated_costs_quantities[[#This Row],[House Code]]&lt;&gt;"",INDEX(tbl_Assessment[],MATCH(tbl_estimated_costs_quantities[[#This Row],[House Code]],tbl_Assessment[House Code],0),3),"")</f>
        <v/>
      </c>
      <c r="G465" s="115" t="str">
        <f>IF(tbl_estimated_costs_quantities[[#This Row],[House Code]]&lt;&gt;"",INDEX(tbl_Assessment[],MATCH(tbl_estimated_costs_quantities[[#This Row],[House Code]],tbl_Assessment[House Code],0),9),"")</f>
        <v/>
      </c>
      <c r="H46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5" s="75"/>
      <c r="J465" s="37"/>
      <c r="K465" s="86">
        <f>tbl_estimated_costs_quantities[[#This Row],[Site Preparation]]*BOQs!$L$3</f>
        <v>0</v>
      </c>
      <c r="L465" s="76"/>
      <c r="M465" s="37"/>
      <c r="N465" s="86">
        <f>tbl_estimated_costs_quantities[[#This Row],[Demolition Removal Unsafe Structures]]*BOQs!$L$4</f>
        <v>0</v>
      </c>
      <c r="O465" s="76"/>
      <c r="P465" s="37"/>
      <c r="Q465" s="86">
        <f>tbl_estimated_costs_quantities[[#This Row],[Concrete Works]]*BOQs!$L$5</f>
        <v>0</v>
      </c>
      <c r="R465" s="76"/>
      <c r="S465" s="37"/>
      <c r="T465" s="86">
        <f>tbl_estimated_costs_quantities[[#This Row],[Closure External Openings Walls Windows]]*BOQs!$L$6</f>
        <v>0</v>
      </c>
      <c r="U465" s="76"/>
      <c r="V465" s="37"/>
      <c r="W465" s="86">
        <f>tbl_estimated_costs_quantities[[#This Row],[Plastering Painting]]*BOQs!$L$7</f>
        <v>0</v>
      </c>
      <c r="X465" s="76"/>
      <c r="Y465" s="37"/>
      <c r="Z465" s="86">
        <f>tbl_estimated_costs_quantities[[#This Row],[Floor Repairs]]*BOQs!$L$8</f>
        <v>0</v>
      </c>
      <c r="AA465" s="76"/>
      <c r="AB465" s="37"/>
      <c r="AC465" s="86">
        <f>tbl_estimated_costs_quantities[[#This Row],[Doors Replacement Repair]]*BOQs!$L$9</f>
        <v>0</v>
      </c>
      <c r="AD465" s="76"/>
      <c r="AE465" s="37"/>
      <c r="AF465" s="86">
        <f>tbl_estimated_costs_quantities[[#This Row],[Windows Replacement Repair]]*BOQs!$L$10</f>
        <v>0</v>
      </c>
      <c r="AG465" s="76"/>
      <c r="AH465" s="37"/>
      <c r="AI465" s="86">
        <f>tbl_estimated_costs_quantities[[#This Row],[Bathroom Rehabilitation]]*BOQs!$L$11</f>
        <v>0</v>
      </c>
      <c r="AJ465" s="76"/>
      <c r="AK465" s="37"/>
      <c r="AL465" s="86">
        <f>tbl_estimated_costs_quantities[[#This Row],[Ceramic Tile Works WASH]]*BOQs!$L$12</f>
        <v>0</v>
      </c>
      <c r="AM465" s="76"/>
      <c r="AN465" s="37"/>
      <c r="AO465" s="86">
        <f>tbl_estimated_costs_quantities[[#This Row],[Electrical Repairs Lighting]]*BOQs!$L$13</f>
        <v>0</v>
      </c>
      <c r="AP465" s="76"/>
      <c r="AQ465" s="37"/>
      <c r="AR465" s="86">
        <f>tbl_estimated_costs_quantities[[#This Row],[Roof Insulation Leak Sealing]]*BOQs!$L$14</f>
        <v>0</v>
      </c>
      <c r="AS465" s="76"/>
      <c r="AT465" s="37"/>
      <c r="AU465" s="86">
        <f>tbl_estimated_costs_quantities[[#This Row],[Chimney Duct Cleaning Repair]]*BOQs!$L$15</f>
        <v>0</v>
      </c>
      <c r="AV465" s="76"/>
      <c r="AW465" s="37"/>
      <c r="AX465" s="89">
        <f>tbl_estimated_costs_quantities[[#This Row],[Accessibility Adaptations]]*BOQs!$L$16</f>
        <v>0</v>
      </c>
      <c r="AY465" s="86" t="str">
        <f>IF(tbl_estimated_costs_quantities[[#This Row],[Total cost]]&lt;&gt;0,tbl_estimated_costs_quantities[[#This Row],[Total cost]]/BOQs!$A$1,"")</f>
        <v/>
      </c>
      <c r="AZ465" s="37"/>
      <c r="BA465" s="37"/>
      <c r="BB465" s="37"/>
      <c r="BC465" s="37"/>
      <c r="BD465" s="41"/>
      <c r="BE465" s="37"/>
      <c r="BF465" s="37"/>
      <c r="BG465" s="37"/>
      <c r="BH465" s="41"/>
    </row>
    <row r="466" spans="2:60" ht="25.15" customHeight="1" x14ac:dyDescent="0.25">
      <c r="B466" s="49">
        <v>462</v>
      </c>
      <c r="C466" s="37"/>
      <c r="D466" s="41"/>
      <c r="E466" s="40"/>
      <c r="F466" s="87" t="str">
        <f>IF(tbl_estimated_costs_quantities[[#This Row],[House Code]]&lt;&gt;"",INDEX(tbl_Assessment[],MATCH(tbl_estimated_costs_quantities[[#This Row],[House Code]],tbl_Assessment[House Code],0),3),"")</f>
        <v/>
      </c>
      <c r="G466" s="115" t="str">
        <f>IF(tbl_estimated_costs_quantities[[#This Row],[House Code]]&lt;&gt;"",INDEX(tbl_Assessment[],MATCH(tbl_estimated_costs_quantities[[#This Row],[House Code]],tbl_Assessment[House Code],0),9),"")</f>
        <v/>
      </c>
      <c r="H46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6" s="75"/>
      <c r="J466" s="37"/>
      <c r="K466" s="86">
        <f>tbl_estimated_costs_quantities[[#This Row],[Site Preparation]]*BOQs!$L$3</f>
        <v>0</v>
      </c>
      <c r="L466" s="76"/>
      <c r="M466" s="37"/>
      <c r="N466" s="86">
        <f>tbl_estimated_costs_quantities[[#This Row],[Demolition Removal Unsafe Structures]]*BOQs!$L$4</f>
        <v>0</v>
      </c>
      <c r="O466" s="76"/>
      <c r="P466" s="37"/>
      <c r="Q466" s="86">
        <f>tbl_estimated_costs_quantities[[#This Row],[Concrete Works]]*BOQs!$L$5</f>
        <v>0</v>
      </c>
      <c r="R466" s="76"/>
      <c r="S466" s="37"/>
      <c r="T466" s="86">
        <f>tbl_estimated_costs_quantities[[#This Row],[Closure External Openings Walls Windows]]*BOQs!$L$6</f>
        <v>0</v>
      </c>
      <c r="U466" s="76"/>
      <c r="V466" s="37"/>
      <c r="W466" s="86">
        <f>tbl_estimated_costs_quantities[[#This Row],[Plastering Painting]]*BOQs!$L$7</f>
        <v>0</v>
      </c>
      <c r="X466" s="76"/>
      <c r="Y466" s="37"/>
      <c r="Z466" s="86">
        <f>tbl_estimated_costs_quantities[[#This Row],[Floor Repairs]]*BOQs!$L$8</f>
        <v>0</v>
      </c>
      <c r="AA466" s="76"/>
      <c r="AB466" s="37"/>
      <c r="AC466" s="86">
        <f>tbl_estimated_costs_quantities[[#This Row],[Doors Replacement Repair]]*BOQs!$L$9</f>
        <v>0</v>
      </c>
      <c r="AD466" s="76"/>
      <c r="AE466" s="37"/>
      <c r="AF466" s="86">
        <f>tbl_estimated_costs_quantities[[#This Row],[Windows Replacement Repair]]*BOQs!$L$10</f>
        <v>0</v>
      </c>
      <c r="AG466" s="76"/>
      <c r="AH466" s="37"/>
      <c r="AI466" s="86">
        <f>tbl_estimated_costs_quantities[[#This Row],[Bathroom Rehabilitation]]*BOQs!$L$11</f>
        <v>0</v>
      </c>
      <c r="AJ466" s="76"/>
      <c r="AK466" s="37"/>
      <c r="AL466" s="86">
        <f>tbl_estimated_costs_quantities[[#This Row],[Ceramic Tile Works WASH]]*BOQs!$L$12</f>
        <v>0</v>
      </c>
      <c r="AM466" s="76"/>
      <c r="AN466" s="37"/>
      <c r="AO466" s="86">
        <f>tbl_estimated_costs_quantities[[#This Row],[Electrical Repairs Lighting]]*BOQs!$L$13</f>
        <v>0</v>
      </c>
      <c r="AP466" s="76"/>
      <c r="AQ466" s="37"/>
      <c r="AR466" s="86">
        <f>tbl_estimated_costs_quantities[[#This Row],[Roof Insulation Leak Sealing]]*BOQs!$L$14</f>
        <v>0</v>
      </c>
      <c r="AS466" s="76"/>
      <c r="AT466" s="37"/>
      <c r="AU466" s="86">
        <f>tbl_estimated_costs_quantities[[#This Row],[Chimney Duct Cleaning Repair]]*BOQs!$L$15</f>
        <v>0</v>
      </c>
      <c r="AV466" s="76"/>
      <c r="AW466" s="37"/>
      <c r="AX466" s="89">
        <f>tbl_estimated_costs_quantities[[#This Row],[Accessibility Adaptations]]*BOQs!$L$16</f>
        <v>0</v>
      </c>
      <c r="AY466" s="86" t="str">
        <f>IF(tbl_estimated_costs_quantities[[#This Row],[Total cost]]&lt;&gt;0,tbl_estimated_costs_quantities[[#This Row],[Total cost]]/BOQs!$A$1,"")</f>
        <v/>
      </c>
      <c r="AZ466" s="37"/>
      <c r="BA466" s="37"/>
      <c r="BB466" s="37"/>
      <c r="BC466" s="37"/>
      <c r="BD466" s="41"/>
      <c r="BE466" s="37"/>
      <c r="BF466" s="37"/>
      <c r="BG466" s="37"/>
      <c r="BH466" s="41"/>
    </row>
    <row r="467" spans="2:60" ht="25.15" customHeight="1" x14ac:dyDescent="0.25">
      <c r="B467" s="49">
        <v>463</v>
      </c>
      <c r="C467" s="37"/>
      <c r="D467" s="41"/>
      <c r="E467" s="40"/>
      <c r="F467" s="87" t="str">
        <f>IF(tbl_estimated_costs_quantities[[#This Row],[House Code]]&lt;&gt;"",INDEX(tbl_Assessment[],MATCH(tbl_estimated_costs_quantities[[#This Row],[House Code]],tbl_Assessment[House Code],0),3),"")</f>
        <v/>
      </c>
      <c r="G467" s="115" t="str">
        <f>IF(tbl_estimated_costs_quantities[[#This Row],[House Code]]&lt;&gt;"",INDEX(tbl_Assessment[],MATCH(tbl_estimated_costs_quantities[[#This Row],[House Code]],tbl_Assessment[House Code],0),9),"")</f>
        <v/>
      </c>
      <c r="H46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7" s="75"/>
      <c r="J467" s="37"/>
      <c r="K467" s="86">
        <f>tbl_estimated_costs_quantities[[#This Row],[Site Preparation]]*BOQs!$L$3</f>
        <v>0</v>
      </c>
      <c r="L467" s="76"/>
      <c r="M467" s="37"/>
      <c r="N467" s="86">
        <f>tbl_estimated_costs_quantities[[#This Row],[Demolition Removal Unsafe Structures]]*BOQs!$L$4</f>
        <v>0</v>
      </c>
      <c r="O467" s="76"/>
      <c r="P467" s="37"/>
      <c r="Q467" s="86">
        <f>tbl_estimated_costs_quantities[[#This Row],[Concrete Works]]*BOQs!$L$5</f>
        <v>0</v>
      </c>
      <c r="R467" s="76"/>
      <c r="S467" s="37"/>
      <c r="T467" s="86">
        <f>tbl_estimated_costs_quantities[[#This Row],[Closure External Openings Walls Windows]]*BOQs!$L$6</f>
        <v>0</v>
      </c>
      <c r="U467" s="76"/>
      <c r="V467" s="37"/>
      <c r="W467" s="86">
        <f>tbl_estimated_costs_quantities[[#This Row],[Plastering Painting]]*BOQs!$L$7</f>
        <v>0</v>
      </c>
      <c r="X467" s="76"/>
      <c r="Y467" s="37"/>
      <c r="Z467" s="86">
        <f>tbl_estimated_costs_quantities[[#This Row],[Floor Repairs]]*BOQs!$L$8</f>
        <v>0</v>
      </c>
      <c r="AA467" s="76"/>
      <c r="AB467" s="37"/>
      <c r="AC467" s="86">
        <f>tbl_estimated_costs_quantities[[#This Row],[Doors Replacement Repair]]*BOQs!$L$9</f>
        <v>0</v>
      </c>
      <c r="AD467" s="76"/>
      <c r="AE467" s="37"/>
      <c r="AF467" s="86">
        <f>tbl_estimated_costs_quantities[[#This Row],[Windows Replacement Repair]]*BOQs!$L$10</f>
        <v>0</v>
      </c>
      <c r="AG467" s="76"/>
      <c r="AH467" s="37"/>
      <c r="AI467" s="86">
        <f>tbl_estimated_costs_quantities[[#This Row],[Bathroom Rehabilitation]]*BOQs!$L$11</f>
        <v>0</v>
      </c>
      <c r="AJ467" s="76"/>
      <c r="AK467" s="37"/>
      <c r="AL467" s="86">
        <f>tbl_estimated_costs_quantities[[#This Row],[Ceramic Tile Works WASH]]*BOQs!$L$12</f>
        <v>0</v>
      </c>
      <c r="AM467" s="76"/>
      <c r="AN467" s="37"/>
      <c r="AO467" s="86">
        <f>tbl_estimated_costs_quantities[[#This Row],[Electrical Repairs Lighting]]*BOQs!$L$13</f>
        <v>0</v>
      </c>
      <c r="AP467" s="76"/>
      <c r="AQ467" s="37"/>
      <c r="AR467" s="86">
        <f>tbl_estimated_costs_quantities[[#This Row],[Roof Insulation Leak Sealing]]*BOQs!$L$14</f>
        <v>0</v>
      </c>
      <c r="AS467" s="76"/>
      <c r="AT467" s="37"/>
      <c r="AU467" s="86">
        <f>tbl_estimated_costs_quantities[[#This Row],[Chimney Duct Cleaning Repair]]*BOQs!$L$15</f>
        <v>0</v>
      </c>
      <c r="AV467" s="76"/>
      <c r="AW467" s="37"/>
      <c r="AX467" s="89">
        <f>tbl_estimated_costs_quantities[[#This Row],[Accessibility Adaptations]]*BOQs!$L$16</f>
        <v>0</v>
      </c>
      <c r="AY467" s="86" t="str">
        <f>IF(tbl_estimated_costs_quantities[[#This Row],[Total cost]]&lt;&gt;0,tbl_estimated_costs_quantities[[#This Row],[Total cost]]/BOQs!$A$1,"")</f>
        <v/>
      </c>
      <c r="AZ467" s="37"/>
      <c r="BA467" s="37"/>
      <c r="BB467" s="37"/>
      <c r="BC467" s="37"/>
      <c r="BD467" s="41"/>
      <c r="BE467" s="37"/>
      <c r="BF467" s="37"/>
      <c r="BG467" s="37"/>
      <c r="BH467" s="41"/>
    </row>
    <row r="468" spans="2:60" ht="25.15" customHeight="1" x14ac:dyDescent="0.25">
      <c r="B468" s="49">
        <v>464</v>
      </c>
      <c r="C468" s="37"/>
      <c r="D468" s="41"/>
      <c r="E468" s="40"/>
      <c r="F468" s="87" t="str">
        <f>IF(tbl_estimated_costs_quantities[[#This Row],[House Code]]&lt;&gt;"",INDEX(tbl_Assessment[],MATCH(tbl_estimated_costs_quantities[[#This Row],[House Code]],tbl_Assessment[House Code],0),3),"")</f>
        <v/>
      </c>
      <c r="G468" s="115" t="str">
        <f>IF(tbl_estimated_costs_quantities[[#This Row],[House Code]]&lt;&gt;"",INDEX(tbl_Assessment[],MATCH(tbl_estimated_costs_quantities[[#This Row],[House Code]],tbl_Assessment[House Code],0),9),"")</f>
        <v/>
      </c>
      <c r="H46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8" s="75"/>
      <c r="J468" s="37"/>
      <c r="K468" s="86">
        <f>tbl_estimated_costs_quantities[[#This Row],[Site Preparation]]*BOQs!$L$3</f>
        <v>0</v>
      </c>
      <c r="L468" s="76"/>
      <c r="M468" s="37"/>
      <c r="N468" s="86">
        <f>tbl_estimated_costs_quantities[[#This Row],[Demolition Removal Unsafe Structures]]*BOQs!$L$4</f>
        <v>0</v>
      </c>
      <c r="O468" s="76"/>
      <c r="P468" s="37"/>
      <c r="Q468" s="86">
        <f>tbl_estimated_costs_quantities[[#This Row],[Concrete Works]]*BOQs!$L$5</f>
        <v>0</v>
      </c>
      <c r="R468" s="76"/>
      <c r="S468" s="37"/>
      <c r="T468" s="86">
        <f>tbl_estimated_costs_quantities[[#This Row],[Closure External Openings Walls Windows]]*BOQs!$L$6</f>
        <v>0</v>
      </c>
      <c r="U468" s="76"/>
      <c r="V468" s="37"/>
      <c r="W468" s="86">
        <f>tbl_estimated_costs_quantities[[#This Row],[Plastering Painting]]*BOQs!$L$7</f>
        <v>0</v>
      </c>
      <c r="X468" s="76"/>
      <c r="Y468" s="37"/>
      <c r="Z468" s="86">
        <f>tbl_estimated_costs_quantities[[#This Row],[Floor Repairs]]*BOQs!$L$8</f>
        <v>0</v>
      </c>
      <c r="AA468" s="76"/>
      <c r="AB468" s="37"/>
      <c r="AC468" s="86">
        <f>tbl_estimated_costs_quantities[[#This Row],[Doors Replacement Repair]]*BOQs!$L$9</f>
        <v>0</v>
      </c>
      <c r="AD468" s="76"/>
      <c r="AE468" s="37"/>
      <c r="AF468" s="86">
        <f>tbl_estimated_costs_quantities[[#This Row],[Windows Replacement Repair]]*BOQs!$L$10</f>
        <v>0</v>
      </c>
      <c r="AG468" s="76"/>
      <c r="AH468" s="37"/>
      <c r="AI468" s="86">
        <f>tbl_estimated_costs_quantities[[#This Row],[Bathroom Rehabilitation]]*BOQs!$L$11</f>
        <v>0</v>
      </c>
      <c r="AJ468" s="76"/>
      <c r="AK468" s="37"/>
      <c r="AL468" s="86">
        <f>tbl_estimated_costs_quantities[[#This Row],[Ceramic Tile Works WASH]]*BOQs!$L$12</f>
        <v>0</v>
      </c>
      <c r="AM468" s="76"/>
      <c r="AN468" s="37"/>
      <c r="AO468" s="86">
        <f>tbl_estimated_costs_quantities[[#This Row],[Electrical Repairs Lighting]]*BOQs!$L$13</f>
        <v>0</v>
      </c>
      <c r="AP468" s="76"/>
      <c r="AQ468" s="37"/>
      <c r="AR468" s="86">
        <f>tbl_estimated_costs_quantities[[#This Row],[Roof Insulation Leak Sealing]]*BOQs!$L$14</f>
        <v>0</v>
      </c>
      <c r="AS468" s="76"/>
      <c r="AT468" s="37"/>
      <c r="AU468" s="86">
        <f>tbl_estimated_costs_quantities[[#This Row],[Chimney Duct Cleaning Repair]]*BOQs!$L$15</f>
        <v>0</v>
      </c>
      <c r="AV468" s="76"/>
      <c r="AW468" s="37"/>
      <c r="AX468" s="89">
        <f>tbl_estimated_costs_quantities[[#This Row],[Accessibility Adaptations]]*BOQs!$L$16</f>
        <v>0</v>
      </c>
      <c r="AY468" s="86" t="str">
        <f>IF(tbl_estimated_costs_quantities[[#This Row],[Total cost]]&lt;&gt;0,tbl_estimated_costs_quantities[[#This Row],[Total cost]]/BOQs!$A$1,"")</f>
        <v/>
      </c>
      <c r="AZ468" s="37"/>
      <c r="BA468" s="37"/>
      <c r="BB468" s="37"/>
      <c r="BC468" s="37"/>
      <c r="BD468" s="41"/>
      <c r="BE468" s="37"/>
      <c r="BF468" s="37"/>
      <c r="BG468" s="37"/>
      <c r="BH468" s="41"/>
    </row>
    <row r="469" spans="2:60" ht="25.15" customHeight="1" x14ac:dyDescent="0.25">
      <c r="B469" s="49">
        <v>465</v>
      </c>
      <c r="C469" s="37"/>
      <c r="D469" s="41"/>
      <c r="E469" s="40"/>
      <c r="F469" s="87" t="str">
        <f>IF(tbl_estimated_costs_quantities[[#This Row],[House Code]]&lt;&gt;"",INDEX(tbl_Assessment[],MATCH(tbl_estimated_costs_quantities[[#This Row],[House Code]],tbl_Assessment[House Code],0),3),"")</f>
        <v/>
      </c>
      <c r="G469" s="115" t="str">
        <f>IF(tbl_estimated_costs_quantities[[#This Row],[House Code]]&lt;&gt;"",INDEX(tbl_Assessment[],MATCH(tbl_estimated_costs_quantities[[#This Row],[House Code]],tbl_Assessment[House Code],0),9),"")</f>
        <v/>
      </c>
      <c r="H46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69" s="75"/>
      <c r="J469" s="37"/>
      <c r="K469" s="86">
        <f>tbl_estimated_costs_quantities[[#This Row],[Site Preparation]]*BOQs!$L$3</f>
        <v>0</v>
      </c>
      <c r="L469" s="76"/>
      <c r="M469" s="37"/>
      <c r="N469" s="86">
        <f>tbl_estimated_costs_quantities[[#This Row],[Demolition Removal Unsafe Structures]]*BOQs!$L$4</f>
        <v>0</v>
      </c>
      <c r="O469" s="76"/>
      <c r="P469" s="37"/>
      <c r="Q469" s="86">
        <f>tbl_estimated_costs_quantities[[#This Row],[Concrete Works]]*BOQs!$L$5</f>
        <v>0</v>
      </c>
      <c r="R469" s="76"/>
      <c r="S469" s="37"/>
      <c r="T469" s="86">
        <f>tbl_estimated_costs_quantities[[#This Row],[Closure External Openings Walls Windows]]*BOQs!$L$6</f>
        <v>0</v>
      </c>
      <c r="U469" s="76"/>
      <c r="V469" s="37"/>
      <c r="W469" s="86">
        <f>tbl_estimated_costs_quantities[[#This Row],[Plastering Painting]]*BOQs!$L$7</f>
        <v>0</v>
      </c>
      <c r="X469" s="76"/>
      <c r="Y469" s="37"/>
      <c r="Z469" s="86">
        <f>tbl_estimated_costs_quantities[[#This Row],[Floor Repairs]]*BOQs!$L$8</f>
        <v>0</v>
      </c>
      <c r="AA469" s="76"/>
      <c r="AB469" s="37"/>
      <c r="AC469" s="86">
        <f>tbl_estimated_costs_quantities[[#This Row],[Doors Replacement Repair]]*BOQs!$L$9</f>
        <v>0</v>
      </c>
      <c r="AD469" s="76"/>
      <c r="AE469" s="37"/>
      <c r="AF469" s="86">
        <f>tbl_estimated_costs_quantities[[#This Row],[Windows Replacement Repair]]*BOQs!$L$10</f>
        <v>0</v>
      </c>
      <c r="AG469" s="76"/>
      <c r="AH469" s="37"/>
      <c r="AI469" s="86">
        <f>tbl_estimated_costs_quantities[[#This Row],[Bathroom Rehabilitation]]*BOQs!$L$11</f>
        <v>0</v>
      </c>
      <c r="AJ469" s="76"/>
      <c r="AK469" s="37"/>
      <c r="AL469" s="86">
        <f>tbl_estimated_costs_quantities[[#This Row],[Ceramic Tile Works WASH]]*BOQs!$L$12</f>
        <v>0</v>
      </c>
      <c r="AM469" s="76"/>
      <c r="AN469" s="37"/>
      <c r="AO469" s="86">
        <f>tbl_estimated_costs_quantities[[#This Row],[Electrical Repairs Lighting]]*BOQs!$L$13</f>
        <v>0</v>
      </c>
      <c r="AP469" s="76"/>
      <c r="AQ469" s="37"/>
      <c r="AR469" s="86">
        <f>tbl_estimated_costs_quantities[[#This Row],[Roof Insulation Leak Sealing]]*BOQs!$L$14</f>
        <v>0</v>
      </c>
      <c r="AS469" s="76"/>
      <c r="AT469" s="37"/>
      <c r="AU469" s="86">
        <f>tbl_estimated_costs_quantities[[#This Row],[Chimney Duct Cleaning Repair]]*BOQs!$L$15</f>
        <v>0</v>
      </c>
      <c r="AV469" s="76"/>
      <c r="AW469" s="37"/>
      <c r="AX469" s="89">
        <f>tbl_estimated_costs_quantities[[#This Row],[Accessibility Adaptations]]*BOQs!$L$16</f>
        <v>0</v>
      </c>
      <c r="AY469" s="86" t="str">
        <f>IF(tbl_estimated_costs_quantities[[#This Row],[Total cost]]&lt;&gt;0,tbl_estimated_costs_quantities[[#This Row],[Total cost]]/BOQs!$A$1,"")</f>
        <v/>
      </c>
      <c r="AZ469" s="37"/>
      <c r="BA469" s="37"/>
      <c r="BB469" s="37"/>
      <c r="BC469" s="37"/>
      <c r="BD469" s="41"/>
      <c r="BE469" s="37"/>
      <c r="BF469" s="37"/>
      <c r="BG469" s="37"/>
      <c r="BH469" s="41"/>
    </row>
    <row r="470" spans="2:60" ht="25.15" customHeight="1" x14ac:dyDescent="0.25">
      <c r="B470" s="49">
        <v>466</v>
      </c>
      <c r="C470" s="37"/>
      <c r="D470" s="41"/>
      <c r="E470" s="40"/>
      <c r="F470" s="87" t="str">
        <f>IF(tbl_estimated_costs_quantities[[#This Row],[House Code]]&lt;&gt;"",INDEX(tbl_Assessment[],MATCH(tbl_estimated_costs_quantities[[#This Row],[House Code]],tbl_Assessment[House Code],0),3),"")</f>
        <v/>
      </c>
      <c r="G470" s="115" t="str">
        <f>IF(tbl_estimated_costs_quantities[[#This Row],[House Code]]&lt;&gt;"",INDEX(tbl_Assessment[],MATCH(tbl_estimated_costs_quantities[[#This Row],[House Code]],tbl_Assessment[House Code],0),9),"")</f>
        <v/>
      </c>
      <c r="H47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0" s="75"/>
      <c r="J470" s="37"/>
      <c r="K470" s="86">
        <f>tbl_estimated_costs_quantities[[#This Row],[Site Preparation]]*BOQs!$L$3</f>
        <v>0</v>
      </c>
      <c r="L470" s="76"/>
      <c r="M470" s="37"/>
      <c r="N470" s="86">
        <f>tbl_estimated_costs_quantities[[#This Row],[Demolition Removal Unsafe Structures]]*BOQs!$L$4</f>
        <v>0</v>
      </c>
      <c r="O470" s="76"/>
      <c r="P470" s="37"/>
      <c r="Q470" s="86">
        <f>tbl_estimated_costs_quantities[[#This Row],[Concrete Works]]*BOQs!$L$5</f>
        <v>0</v>
      </c>
      <c r="R470" s="76"/>
      <c r="S470" s="37"/>
      <c r="T470" s="86">
        <f>tbl_estimated_costs_quantities[[#This Row],[Closure External Openings Walls Windows]]*BOQs!$L$6</f>
        <v>0</v>
      </c>
      <c r="U470" s="76"/>
      <c r="V470" s="37"/>
      <c r="W470" s="86">
        <f>tbl_estimated_costs_quantities[[#This Row],[Plastering Painting]]*BOQs!$L$7</f>
        <v>0</v>
      </c>
      <c r="X470" s="76"/>
      <c r="Y470" s="37"/>
      <c r="Z470" s="86">
        <f>tbl_estimated_costs_quantities[[#This Row],[Floor Repairs]]*BOQs!$L$8</f>
        <v>0</v>
      </c>
      <c r="AA470" s="76"/>
      <c r="AB470" s="37"/>
      <c r="AC470" s="86">
        <f>tbl_estimated_costs_quantities[[#This Row],[Doors Replacement Repair]]*BOQs!$L$9</f>
        <v>0</v>
      </c>
      <c r="AD470" s="76"/>
      <c r="AE470" s="37"/>
      <c r="AF470" s="86">
        <f>tbl_estimated_costs_quantities[[#This Row],[Windows Replacement Repair]]*BOQs!$L$10</f>
        <v>0</v>
      </c>
      <c r="AG470" s="76"/>
      <c r="AH470" s="37"/>
      <c r="AI470" s="86">
        <f>tbl_estimated_costs_quantities[[#This Row],[Bathroom Rehabilitation]]*BOQs!$L$11</f>
        <v>0</v>
      </c>
      <c r="AJ470" s="76"/>
      <c r="AK470" s="37"/>
      <c r="AL470" s="86">
        <f>tbl_estimated_costs_quantities[[#This Row],[Ceramic Tile Works WASH]]*BOQs!$L$12</f>
        <v>0</v>
      </c>
      <c r="AM470" s="76"/>
      <c r="AN470" s="37"/>
      <c r="AO470" s="86">
        <f>tbl_estimated_costs_quantities[[#This Row],[Electrical Repairs Lighting]]*BOQs!$L$13</f>
        <v>0</v>
      </c>
      <c r="AP470" s="76"/>
      <c r="AQ470" s="37"/>
      <c r="AR470" s="86">
        <f>tbl_estimated_costs_quantities[[#This Row],[Roof Insulation Leak Sealing]]*BOQs!$L$14</f>
        <v>0</v>
      </c>
      <c r="AS470" s="76"/>
      <c r="AT470" s="37"/>
      <c r="AU470" s="86">
        <f>tbl_estimated_costs_quantities[[#This Row],[Chimney Duct Cleaning Repair]]*BOQs!$L$15</f>
        <v>0</v>
      </c>
      <c r="AV470" s="76"/>
      <c r="AW470" s="37"/>
      <c r="AX470" s="89">
        <f>tbl_estimated_costs_quantities[[#This Row],[Accessibility Adaptations]]*BOQs!$L$16</f>
        <v>0</v>
      </c>
      <c r="AY470" s="86" t="str">
        <f>IF(tbl_estimated_costs_quantities[[#This Row],[Total cost]]&lt;&gt;0,tbl_estimated_costs_quantities[[#This Row],[Total cost]]/BOQs!$A$1,"")</f>
        <v/>
      </c>
      <c r="AZ470" s="37"/>
      <c r="BA470" s="37"/>
      <c r="BB470" s="37"/>
      <c r="BC470" s="37"/>
      <c r="BD470" s="41"/>
      <c r="BE470" s="37"/>
      <c r="BF470" s="37"/>
      <c r="BG470" s="37"/>
      <c r="BH470" s="41"/>
    </row>
    <row r="471" spans="2:60" ht="25.15" customHeight="1" x14ac:dyDescent="0.25">
      <c r="B471" s="49">
        <v>467</v>
      </c>
      <c r="C471" s="37"/>
      <c r="D471" s="41"/>
      <c r="E471" s="40"/>
      <c r="F471" s="87" t="str">
        <f>IF(tbl_estimated_costs_quantities[[#This Row],[House Code]]&lt;&gt;"",INDEX(tbl_Assessment[],MATCH(tbl_estimated_costs_quantities[[#This Row],[House Code]],tbl_Assessment[House Code],0),3),"")</f>
        <v/>
      </c>
      <c r="G471" s="115" t="str">
        <f>IF(tbl_estimated_costs_quantities[[#This Row],[House Code]]&lt;&gt;"",INDEX(tbl_Assessment[],MATCH(tbl_estimated_costs_quantities[[#This Row],[House Code]],tbl_Assessment[House Code],0),9),"")</f>
        <v/>
      </c>
      <c r="H47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1" s="75"/>
      <c r="J471" s="37"/>
      <c r="K471" s="86">
        <f>tbl_estimated_costs_quantities[[#This Row],[Site Preparation]]*BOQs!$L$3</f>
        <v>0</v>
      </c>
      <c r="L471" s="76"/>
      <c r="M471" s="37"/>
      <c r="N471" s="86">
        <f>tbl_estimated_costs_quantities[[#This Row],[Demolition Removal Unsafe Structures]]*BOQs!$L$4</f>
        <v>0</v>
      </c>
      <c r="O471" s="76"/>
      <c r="P471" s="37"/>
      <c r="Q471" s="86">
        <f>tbl_estimated_costs_quantities[[#This Row],[Concrete Works]]*BOQs!$L$5</f>
        <v>0</v>
      </c>
      <c r="R471" s="76"/>
      <c r="S471" s="37"/>
      <c r="T471" s="86">
        <f>tbl_estimated_costs_quantities[[#This Row],[Closure External Openings Walls Windows]]*BOQs!$L$6</f>
        <v>0</v>
      </c>
      <c r="U471" s="76"/>
      <c r="V471" s="37"/>
      <c r="W471" s="86">
        <f>tbl_estimated_costs_quantities[[#This Row],[Plastering Painting]]*BOQs!$L$7</f>
        <v>0</v>
      </c>
      <c r="X471" s="76"/>
      <c r="Y471" s="37"/>
      <c r="Z471" s="86">
        <f>tbl_estimated_costs_quantities[[#This Row],[Floor Repairs]]*BOQs!$L$8</f>
        <v>0</v>
      </c>
      <c r="AA471" s="76"/>
      <c r="AB471" s="37"/>
      <c r="AC471" s="86">
        <f>tbl_estimated_costs_quantities[[#This Row],[Doors Replacement Repair]]*BOQs!$L$9</f>
        <v>0</v>
      </c>
      <c r="AD471" s="76"/>
      <c r="AE471" s="37"/>
      <c r="AF471" s="86">
        <f>tbl_estimated_costs_quantities[[#This Row],[Windows Replacement Repair]]*BOQs!$L$10</f>
        <v>0</v>
      </c>
      <c r="AG471" s="76"/>
      <c r="AH471" s="37"/>
      <c r="AI471" s="86">
        <f>tbl_estimated_costs_quantities[[#This Row],[Bathroom Rehabilitation]]*BOQs!$L$11</f>
        <v>0</v>
      </c>
      <c r="AJ471" s="76"/>
      <c r="AK471" s="37"/>
      <c r="AL471" s="86">
        <f>tbl_estimated_costs_quantities[[#This Row],[Ceramic Tile Works WASH]]*BOQs!$L$12</f>
        <v>0</v>
      </c>
      <c r="AM471" s="76"/>
      <c r="AN471" s="37"/>
      <c r="AO471" s="86">
        <f>tbl_estimated_costs_quantities[[#This Row],[Electrical Repairs Lighting]]*BOQs!$L$13</f>
        <v>0</v>
      </c>
      <c r="AP471" s="76"/>
      <c r="AQ471" s="37"/>
      <c r="AR471" s="86">
        <f>tbl_estimated_costs_quantities[[#This Row],[Roof Insulation Leak Sealing]]*BOQs!$L$14</f>
        <v>0</v>
      </c>
      <c r="AS471" s="76"/>
      <c r="AT471" s="37"/>
      <c r="AU471" s="86">
        <f>tbl_estimated_costs_quantities[[#This Row],[Chimney Duct Cleaning Repair]]*BOQs!$L$15</f>
        <v>0</v>
      </c>
      <c r="AV471" s="76"/>
      <c r="AW471" s="37"/>
      <c r="AX471" s="89">
        <f>tbl_estimated_costs_quantities[[#This Row],[Accessibility Adaptations]]*BOQs!$L$16</f>
        <v>0</v>
      </c>
      <c r="AY471" s="86" t="str">
        <f>IF(tbl_estimated_costs_quantities[[#This Row],[Total cost]]&lt;&gt;0,tbl_estimated_costs_quantities[[#This Row],[Total cost]]/BOQs!$A$1,"")</f>
        <v/>
      </c>
      <c r="AZ471" s="37"/>
      <c r="BA471" s="37"/>
      <c r="BB471" s="37"/>
      <c r="BC471" s="37"/>
      <c r="BD471" s="41"/>
      <c r="BE471" s="37"/>
      <c r="BF471" s="37"/>
      <c r="BG471" s="37"/>
      <c r="BH471" s="41"/>
    </row>
    <row r="472" spans="2:60" ht="25.15" customHeight="1" x14ac:dyDescent="0.25">
      <c r="B472" s="49">
        <v>468</v>
      </c>
      <c r="C472" s="37"/>
      <c r="D472" s="41"/>
      <c r="E472" s="40"/>
      <c r="F472" s="87" t="str">
        <f>IF(tbl_estimated_costs_quantities[[#This Row],[House Code]]&lt;&gt;"",INDEX(tbl_Assessment[],MATCH(tbl_estimated_costs_quantities[[#This Row],[House Code]],tbl_Assessment[House Code],0),3),"")</f>
        <v/>
      </c>
      <c r="G472" s="115" t="str">
        <f>IF(tbl_estimated_costs_quantities[[#This Row],[House Code]]&lt;&gt;"",INDEX(tbl_Assessment[],MATCH(tbl_estimated_costs_quantities[[#This Row],[House Code]],tbl_Assessment[House Code],0),9),"")</f>
        <v/>
      </c>
      <c r="H47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2" s="75"/>
      <c r="J472" s="37"/>
      <c r="K472" s="86">
        <f>tbl_estimated_costs_quantities[[#This Row],[Site Preparation]]*BOQs!$L$3</f>
        <v>0</v>
      </c>
      <c r="L472" s="76"/>
      <c r="M472" s="37"/>
      <c r="N472" s="86">
        <f>tbl_estimated_costs_quantities[[#This Row],[Demolition Removal Unsafe Structures]]*BOQs!$L$4</f>
        <v>0</v>
      </c>
      <c r="O472" s="76"/>
      <c r="P472" s="37"/>
      <c r="Q472" s="86">
        <f>tbl_estimated_costs_quantities[[#This Row],[Concrete Works]]*BOQs!$L$5</f>
        <v>0</v>
      </c>
      <c r="R472" s="76"/>
      <c r="S472" s="37"/>
      <c r="T472" s="86">
        <f>tbl_estimated_costs_quantities[[#This Row],[Closure External Openings Walls Windows]]*BOQs!$L$6</f>
        <v>0</v>
      </c>
      <c r="U472" s="76"/>
      <c r="V472" s="37"/>
      <c r="W472" s="86">
        <f>tbl_estimated_costs_quantities[[#This Row],[Plastering Painting]]*BOQs!$L$7</f>
        <v>0</v>
      </c>
      <c r="X472" s="76"/>
      <c r="Y472" s="37"/>
      <c r="Z472" s="86">
        <f>tbl_estimated_costs_quantities[[#This Row],[Floor Repairs]]*BOQs!$L$8</f>
        <v>0</v>
      </c>
      <c r="AA472" s="76"/>
      <c r="AB472" s="37"/>
      <c r="AC472" s="86">
        <f>tbl_estimated_costs_quantities[[#This Row],[Doors Replacement Repair]]*BOQs!$L$9</f>
        <v>0</v>
      </c>
      <c r="AD472" s="76"/>
      <c r="AE472" s="37"/>
      <c r="AF472" s="86">
        <f>tbl_estimated_costs_quantities[[#This Row],[Windows Replacement Repair]]*BOQs!$L$10</f>
        <v>0</v>
      </c>
      <c r="AG472" s="76"/>
      <c r="AH472" s="37"/>
      <c r="AI472" s="86">
        <f>tbl_estimated_costs_quantities[[#This Row],[Bathroom Rehabilitation]]*BOQs!$L$11</f>
        <v>0</v>
      </c>
      <c r="AJ472" s="76"/>
      <c r="AK472" s="37"/>
      <c r="AL472" s="86">
        <f>tbl_estimated_costs_quantities[[#This Row],[Ceramic Tile Works WASH]]*BOQs!$L$12</f>
        <v>0</v>
      </c>
      <c r="AM472" s="76"/>
      <c r="AN472" s="37"/>
      <c r="AO472" s="86">
        <f>tbl_estimated_costs_quantities[[#This Row],[Electrical Repairs Lighting]]*BOQs!$L$13</f>
        <v>0</v>
      </c>
      <c r="AP472" s="76"/>
      <c r="AQ472" s="37"/>
      <c r="AR472" s="86">
        <f>tbl_estimated_costs_quantities[[#This Row],[Roof Insulation Leak Sealing]]*BOQs!$L$14</f>
        <v>0</v>
      </c>
      <c r="AS472" s="76"/>
      <c r="AT472" s="37"/>
      <c r="AU472" s="86">
        <f>tbl_estimated_costs_quantities[[#This Row],[Chimney Duct Cleaning Repair]]*BOQs!$L$15</f>
        <v>0</v>
      </c>
      <c r="AV472" s="76"/>
      <c r="AW472" s="37"/>
      <c r="AX472" s="89">
        <f>tbl_estimated_costs_quantities[[#This Row],[Accessibility Adaptations]]*BOQs!$L$16</f>
        <v>0</v>
      </c>
      <c r="AY472" s="86" t="str">
        <f>IF(tbl_estimated_costs_quantities[[#This Row],[Total cost]]&lt;&gt;0,tbl_estimated_costs_quantities[[#This Row],[Total cost]]/BOQs!$A$1,"")</f>
        <v/>
      </c>
      <c r="AZ472" s="37"/>
      <c r="BA472" s="37"/>
      <c r="BB472" s="37"/>
      <c r="BC472" s="37"/>
      <c r="BD472" s="41"/>
      <c r="BE472" s="37"/>
      <c r="BF472" s="37"/>
      <c r="BG472" s="37"/>
      <c r="BH472" s="41"/>
    </row>
    <row r="473" spans="2:60" ht="25.15" customHeight="1" x14ac:dyDescent="0.25">
      <c r="B473" s="49">
        <v>469</v>
      </c>
      <c r="C473" s="37"/>
      <c r="D473" s="41"/>
      <c r="E473" s="40"/>
      <c r="F473" s="87" t="str">
        <f>IF(tbl_estimated_costs_quantities[[#This Row],[House Code]]&lt;&gt;"",INDEX(tbl_Assessment[],MATCH(tbl_estimated_costs_quantities[[#This Row],[House Code]],tbl_Assessment[House Code],0),3),"")</f>
        <v/>
      </c>
      <c r="G473" s="115" t="str">
        <f>IF(tbl_estimated_costs_quantities[[#This Row],[House Code]]&lt;&gt;"",INDEX(tbl_Assessment[],MATCH(tbl_estimated_costs_quantities[[#This Row],[House Code]],tbl_Assessment[House Code],0),9),"")</f>
        <v/>
      </c>
      <c r="H47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3" s="75"/>
      <c r="J473" s="37"/>
      <c r="K473" s="86">
        <f>tbl_estimated_costs_quantities[[#This Row],[Site Preparation]]*BOQs!$L$3</f>
        <v>0</v>
      </c>
      <c r="L473" s="76"/>
      <c r="M473" s="37"/>
      <c r="N473" s="86">
        <f>tbl_estimated_costs_quantities[[#This Row],[Demolition Removal Unsafe Structures]]*BOQs!$L$4</f>
        <v>0</v>
      </c>
      <c r="O473" s="76"/>
      <c r="P473" s="37"/>
      <c r="Q473" s="86">
        <f>tbl_estimated_costs_quantities[[#This Row],[Concrete Works]]*BOQs!$L$5</f>
        <v>0</v>
      </c>
      <c r="R473" s="76"/>
      <c r="S473" s="37"/>
      <c r="T473" s="86">
        <f>tbl_estimated_costs_quantities[[#This Row],[Closure External Openings Walls Windows]]*BOQs!$L$6</f>
        <v>0</v>
      </c>
      <c r="U473" s="76"/>
      <c r="V473" s="37"/>
      <c r="W473" s="86">
        <f>tbl_estimated_costs_quantities[[#This Row],[Plastering Painting]]*BOQs!$L$7</f>
        <v>0</v>
      </c>
      <c r="X473" s="76"/>
      <c r="Y473" s="37"/>
      <c r="Z473" s="86">
        <f>tbl_estimated_costs_quantities[[#This Row],[Floor Repairs]]*BOQs!$L$8</f>
        <v>0</v>
      </c>
      <c r="AA473" s="76"/>
      <c r="AB473" s="37"/>
      <c r="AC473" s="86">
        <f>tbl_estimated_costs_quantities[[#This Row],[Doors Replacement Repair]]*BOQs!$L$9</f>
        <v>0</v>
      </c>
      <c r="AD473" s="76"/>
      <c r="AE473" s="37"/>
      <c r="AF473" s="86">
        <f>tbl_estimated_costs_quantities[[#This Row],[Windows Replacement Repair]]*BOQs!$L$10</f>
        <v>0</v>
      </c>
      <c r="AG473" s="76"/>
      <c r="AH473" s="37"/>
      <c r="AI473" s="86">
        <f>tbl_estimated_costs_quantities[[#This Row],[Bathroom Rehabilitation]]*BOQs!$L$11</f>
        <v>0</v>
      </c>
      <c r="AJ473" s="76"/>
      <c r="AK473" s="37"/>
      <c r="AL473" s="86">
        <f>tbl_estimated_costs_quantities[[#This Row],[Ceramic Tile Works WASH]]*BOQs!$L$12</f>
        <v>0</v>
      </c>
      <c r="AM473" s="76"/>
      <c r="AN473" s="37"/>
      <c r="AO473" s="86">
        <f>tbl_estimated_costs_quantities[[#This Row],[Electrical Repairs Lighting]]*BOQs!$L$13</f>
        <v>0</v>
      </c>
      <c r="AP473" s="76"/>
      <c r="AQ473" s="37"/>
      <c r="AR473" s="86">
        <f>tbl_estimated_costs_quantities[[#This Row],[Roof Insulation Leak Sealing]]*BOQs!$L$14</f>
        <v>0</v>
      </c>
      <c r="AS473" s="76"/>
      <c r="AT473" s="37"/>
      <c r="AU473" s="86">
        <f>tbl_estimated_costs_quantities[[#This Row],[Chimney Duct Cleaning Repair]]*BOQs!$L$15</f>
        <v>0</v>
      </c>
      <c r="AV473" s="76"/>
      <c r="AW473" s="37"/>
      <c r="AX473" s="89">
        <f>tbl_estimated_costs_quantities[[#This Row],[Accessibility Adaptations]]*BOQs!$L$16</f>
        <v>0</v>
      </c>
      <c r="AY473" s="86" t="str">
        <f>IF(tbl_estimated_costs_quantities[[#This Row],[Total cost]]&lt;&gt;0,tbl_estimated_costs_quantities[[#This Row],[Total cost]]/BOQs!$A$1,"")</f>
        <v/>
      </c>
      <c r="AZ473" s="37"/>
      <c r="BA473" s="37"/>
      <c r="BB473" s="37"/>
      <c r="BC473" s="37"/>
      <c r="BD473" s="41"/>
      <c r="BE473" s="37"/>
      <c r="BF473" s="37"/>
      <c r="BG473" s="37"/>
      <c r="BH473" s="41"/>
    </row>
    <row r="474" spans="2:60" ht="25.15" customHeight="1" x14ac:dyDescent="0.25">
      <c r="B474" s="49">
        <v>470</v>
      </c>
      <c r="C474" s="37"/>
      <c r="D474" s="41"/>
      <c r="E474" s="40"/>
      <c r="F474" s="87" t="str">
        <f>IF(tbl_estimated_costs_quantities[[#This Row],[House Code]]&lt;&gt;"",INDEX(tbl_Assessment[],MATCH(tbl_estimated_costs_quantities[[#This Row],[House Code]],tbl_Assessment[House Code],0),3),"")</f>
        <v/>
      </c>
      <c r="G474" s="115" t="str">
        <f>IF(tbl_estimated_costs_quantities[[#This Row],[House Code]]&lt;&gt;"",INDEX(tbl_Assessment[],MATCH(tbl_estimated_costs_quantities[[#This Row],[House Code]],tbl_Assessment[House Code],0),9),"")</f>
        <v/>
      </c>
      <c r="H47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4" s="75"/>
      <c r="J474" s="37"/>
      <c r="K474" s="86">
        <f>tbl_estimated_costs_quantities[[#This Row],[Site Preparation]]*BOQs!$L$3</f>
        <v>0</v>
      </c>
      <c r="L474" s="76"/>
      <c r="M474" s="37"/>
      <c r="N474" s="86">
        <f>tbl_estimated_costs_quantities[[#This Row],[Demolition Removal Unsafe Structures]]*BOQs!$L$4</f>
        <v>0</v>
      </c>
      <c r="O474" s="76"/>
      <c r="P474" s="37"/>
      <c r="Q474" s="86">
        <f>tbl_estimated_costs_quantities[[#This Row],[Concrete Works]]*BOQs!$L$5</f>
        <v>0</v>
      </c>
      <c r="R474" s="76"/>
      <c r="S474" s="37"/>
      <c r="T474" s="86">
        <f>tbl_estimated_costs_quantities[[#This Row],[Closure External Openings Walls Windows]]*BOQs!$L$6</f>
        <v>0</v>
      </c>
      <c r="U474" s="76"/>
      <c r="V474" s="37"/>
      <c r="W474" s="86">
        <f>tbl_estimated_costs_quantities[[#This Row],[Plastering Painting]]*BOQs!$L$7</f>
        <v>0</v>
      </c>
      <c r="X474" s="76"/>
      <c r="Y474" s="37"/>
      <c r="Z474" s="86">
        <f>tbl_estimated_costs_quantities[[#This Row],[Floor Repairs]]*BOQs!$L$8</f>
        <v>0</v>
      </c>
      <c r="AA474" s="76"/>
      <c r="AB474" s="37"/>
      <c r="AC474" s="86">
        <f>tbl_estimated_costs_quantities[[#This Row],[Doors Replacement Repair]]*BOQs!$L$9</f>
        <v>0</v>
      </c>
      <c r="AD474" s="76"/>
      <c r="AE474" s="37"/>
      <c r="AF474" s="86">
        <f>tbl_estimated_costs_quantities[[#This Row],[Windows Replacement Repair]]*BOQs!$L$10</f>
        <v>0</v>
      </c>
      <c r="AG474" s="76"/>
      <c r="AH474" s="37"/>
      <c r="AI474" s="86">
        <f>tbl_estimated_costs_quantities[[#This Row],[Bathroom Rehabilitation]]*BOQs!$L$11</f>
        <v>0</v>
      </c>
      <c r="AJ474" s="76"/>
      <c r="AK474" s="37"/>
      <c r="AL474" s="86">
        <f>tbl_estimated_costs_quantities[[#This Row],[Ceramic Tile Works WASH]]*BOQs!$L$12</f>
        <v>0</v>
      </c>
      <c r="AM474" s="76"/>
      <c r="AN474" s="37"/>
      <c r="AO474" s="86">
        <f>tbl_estimated_costs_quantities[[#This Row],[Electrical Repairs Lighting]]*BOQs!$L$13</f>
        <v>0</v>
      </c>
      <c r="AP474" s="76"/>
      <c r="AQ474" s="37"/>
      <c r="AR474" s="86">
        <f>tbl_estimated_costs_quantities[[#This Row],[Roof Insulation Leak Sealing]]*BOQs!$L$14</f>
        <v>0</v>
      </c>
      <c r="AS474" s="76"/>
      <c r="AT474" s="37"/>
      <c r="AU474" s="86">
        <f>tbl_estimated_costs_quantities[[#This Row],[Chimney Duct Cleaning Repair]]*BOQs!$L$15</f>
        <v>0</v>
      </c>
      <c r="AV474" s="76"/>
      <c r="AW474" s="37"/>
      <c r="AX474" s="89">
        <f>tbl_estimated_costs_quantities[[#This Row],[Accessibility Adaptations]]*BOQs!$L$16</f>
        <v>0</v>
      </c>
      <c r="AY474" s="86" t="str">
        <f>IF(tbl_estimated_costs_quantities[[#This Row],[Total cost]]&lt;&gt;0,tbl_estimated_costs_quantities[[#This Row],[Total cost]]/BOQs!$A$1,"")</f>
        <v/>
      </c>
      <c r="AZ474" s="37"/>
      <c r="BA474" s="37"/>
      <c r="BB474" s="37"/>
      <c r="BC474" s="37"/>
      <c r="BD474" s="41"/>
      <c r="BE474" s="37"/>
      <c r="BF474" s="37"/>
      <c r="BG474" s="37"/>
      <c r="BH474" s="41"/>
    </row>
    <row r="475" spans="2:60" ht="25.15" customHeight="1" x14ac:dyDescent="0.25">
      <c r="B475" s="49">
        <v>471</v>
      </c>
      <c r="C475" s="37"/>
      <c r="D475" s="41"/>
      <c r="E475" s="40"/>
      <c r="F475" s="87" t="str">
        <f>IF(tbl_estimated_costs_quantities[[#This Row],[House Code]]&lt;&gt;"",INDEX(tbl_Assessment[],MATCH(tbl_estimated_costs_quantities[[#This Row],[House Code]],tbl_Assessment[House Code],0),3),"")</f>
        <v/>
      </c>
      <c r="G475" s="115" t="str">
        <f>IF(tbl_estimated_costs_quantities[[#This Row],[House Code]]&lt;&gt;"",INDEX(tbl_Assessment[],MATCH(tbl_estimated_costs_quantities[[#This Row],[House Code]],tbl_Assessment[House Code],0),9),"")</f>
        <v/>
      </c>
      <c r="H47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5" s="75"/>
      <c r="J475" s="37"/>
      <c r="K475" s="86">
        <f>tbl_estimated_costs_quantities[[#This Row],[Site Preparation]]*BOQs!$L$3</f>
        <v>0</v>
      </c>
      <c r="L475" s="76"/>
      <c r="M475" s="37"/>
      <c r="N475" s="86">
        <f>tbl_estimated_costs_quantities[[#This Row],[Demolition Removal Unsafe Structures]]*BOQs!$L$4</f>
        <v>0</v>
      </c>
      <c r="O475" s="76"/>
      <c r="P475" s="37"/>
      <c r="Q475" s="86">
        <f>tbl_estimated_costs_quantities[[#This Row],[Concrete Works]]*BOQs!$L$5</f>
        <v>0</v>
      </c>
      <c r="R475" s="76"/>
      <c r="S475" s="37"/>
      <c r="T475" s="86">
        <f>tbl_estimated_costs_quantities[[#This Row],[Closure External Openings Walls Windows]]*BOQs!$L$6</f>
        <v>0</v>
      </c>
      <c r="U475" s="76"/>
      <c r="V475" s="37"/>
      <c r="W475" s="86">
        <f>tbl_estimated_costs_quantities[[#This Row],[Plastering Painting]]*BOQs!$L$7</f>
        <v>0</v>
      </c>
      <c r="X475" s="76"/>
      <c r="Y475" s="37"/>
      <c r="Z475" s="86">
        <f>tbl_estimated_costs_quantities[[#This Row],[Floor Repairs]]*BOQs!$L$8</f>
        <v>0</v>
      </c>
      <c r="AA475" s="76"/>
      <c r="AB475" s="37"/>
      <c r="AC475" s="86">
        <f>tbl_estimated_costs_quantities[[#This Row],[Doors Replacement Repair]]*BOQs!$L$9</f>
        <v>0</v>
      </c>
      <c r="AD475" s="76"/>
      <c r="AE475" s="37"/>
      <c r="AF475" s="86">
        <f>tbl_estimated_costs_quantities[[#This Row],[Windows Replacement Repair]]*BOQs!$L$10</f>
        <v>0</v>
      </c>
      <c r="AG475" s="76"/>
      <c r="AH475" s="37"/>
      <c r="AI475" s="86">
        <f>tbl_estimated_costs_quantities[[#This Row],[Bathroom Rehabilitation]]*BOQs!$L$11</f>
        <v>0</v>
      </c>
      <c r="AJ475" s="76"/>
      <c r="AK475" s="37"/>
      <c r="AL475" s="86">
        <f>tbl_estimated_costs_quantities[[#This Row],[Ceramic Tile Works WASH]]*BOQs!$L$12</f>
        <v>0</v>
      </c>
      <c r="AM475" s="76"/>
      <c r="AN475" s="37"/>
      <c r="AO475" s="86">
        <f>tbl_estimated_costs_quantities[[#This Row],[Electrical Repairs Lighting]]*BOQs!$L$13</f>
        <v>0</v>
      </c>
      <c r="AP475" s="76"/>
      <c r="AQ475" s="37"/>
      <c r="AR475" s="86">
        <f>tbl_estimated_costs_quantities[[#This Row],[Roof Insulation Leak Sealing]]*BOQs!$L$14</f>
        <v>0</v>
      </c>
      <c r="AS475" s="76"/>
      <c r="AT475" s="37"/>
      <c r="AU475" s="86">
        <f>tbl_estimated_costs_quantities[[#This Row],[Chimney Duct Cleaning Repair]]*BOQs!$L$15</f>
        <v>0</v>
      </c>
      <c r="AV475" s="76"/>
      <c r="AW475" s="37"/>
      <c r="AX475" s="89">
        <f>tbl_estimated_costs_quantities[[#This Row],[Accessibility Adaptations]]*BOQs!$L$16</f>
        <v>0</v>
      </c>
      <c r="AY475" s="86" t="str">
        <f>IF(tbl_estimated_costs_quantities[[#This Row],[Total cost]]&lt;&gt;0,tbl_estimated_costs_quantities[[#This Row],[Total cost]]/BOQs!$A$1,"")</f>
        <v/>
      </c>
      <c r="AZ475" s="37"/>
      <c r="BA475" s="37"/>
      <c r="BB475" s="37"/>
      <c r="BC475" s="37"/>
      <c r="BD475" s="41"/>
      <c r="BE475" s="37"/>
      <c r="BF475" s="37"/>
      <c r="BG475" s="37"/>
      <c r="BH475" s="41"/>
    </row>
    <row r="476" spans="2:60" ht="25.15" customHeight="1" x14ac:dyDescent="0.25">
      <c r="B476" s="49">
        <v>472</v>
      </c>
      <c r="C476" s="37"/>
      <c r="D476" s="41"/>
      <c r="E476" s="40"/>
      <c r="F476" s="87" t="str">
        <f>IF(tbl_estimated_costs_quantities[[#This Row],[House Code]]&lt;&gt;"",INDEX(tbl_Assessment[],MATCH(tbl_estimated_costs_quantities[[#This Row],[House Code]],tbl_Assessment[House Code],0),3),"")</f>
        <v/>
      </c>
      <c r="G476" s="115" t="str">
        <f>IF(tbl_estimated_costs_quantities[[#This Row],[House Code]]&lt;&gt;"",INDEX(tbl_Assessment[],MATCH(tbl_estimated_costs_quantities[[#This Row],[House Code]],tbl_Assessment[House Code],0),9),"")</f>
        <v/>
      </c>
      <c r="H47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6" s="75"/>
      <c r="J476" s="37"/>
      <c r="K476" s="86">
        <f>tbl_estimated_costs_quantities[[#This Row],[Site Preparation]]*BOQs!$L$3</f>
        <v>0</v>
      </c>
      <c r="L476" s="76"/>
      <c r="M476" s="37"/>
      <c r="N476" s="86">
        <f>tbl_estimated_costs_quantities[[#This Row],[Demolition Removal Unsafe Structures]]*BOQs!$L$4</f>
        <v>0</v>
      </c>
      <c r="O476" s="76"/>
      <c r="P476" s="37"/>
      <c r="Q476" s="86">
        <f>tbl_estimated_costs_quantities[[#This Row],[Concrete Works]]*BOQs!$L$5</f>
        <v>0</v>
      </c>
      <c r="R476" s="76"/>
      <c r="S476" s="37"/>
      <c r="T476" s="86">
        <f>tbl_estimated_costs_quantities[[#This Row],[Closure External Openings Walls Windows]]*BOQs!$L$6</f>
        <v>0</v>
      </c>
      <c r="U476" s="76"/>
      <c r="V476" s="37"/>
      <c r="W476" s="86">
        <f>tbl_estimated_costs_quantities[[#This Row],[Plastering Painting]]*BOQs!$L$7</f>
        <v>0</v>
      </c>
      <c r="X476" s="76"/>
      <c r="Y476" s="37"/>
      <c r="Z476" s="86">
        <f>tbl_estimated_costs_quantities[[#This Row],[Floor Repairs]]*BOQs!$L$8</f>
        <v>0</v>
      </c>
      <c r="AA476" s="76"/>
      <c r="AB476" s="37"/>
      <c r="AC476" s="86">
        <f>tbl_estimated_costs_quantities[[#This Row],[Doors Replacement Repair]]*BOQs!$L$9</f>
        <v>0</v>
      </c>
      <c r="AD476" s="76"/>
      <c r="AE476" s="37"/>
      <c r="AF476" s="86">
        <f>tbl_estimated_costs_quantities[[#This Row],[Windows Replacement Repair]]*BOQs!$L$10</f>
        <v>0</v>
      </c>
      <c r="AG476" s="76"/>
      <c r="AH476" s="37"/>
      <c r="AI476" s="86">
        <f>tbl_estimated_costs_quantities[[#This Row],[Bathroom Rehabilitation]]*BOQs!$L$11</f>
        <v>0</v>
      </c>
      <c r="AJ476" s="76"/>
      <c r="AK476" s="37"/>
      <c r="AL476" s="86">
        <f>tbl_estimated_costs_quantities[[#This Row],[Ceramic Tile Works WASH]]*BOQs!$L$12</f>
        <v>0</v>
      </c>
      <c r="AM476" s="76"/>
      <c r="AN476" s="37"/>
      <c r="AO476" s="86">
        <f>tbl_estimated_costs_quantities[[#This Row],[Electrical Repairs Lighting]]*BOQs!$L$13</f>
        <v>0</v>
      </c>
      <c r="AP476" s="76"/>
      <c r="AQ476" s="37"/>
      <c r="AR476" s="86">
        <f>tbl_estimated_costs_quantities[[#This Row],[Roof Insulation Leak Sealing]]*BOQs!$L$14</f>
        <v>0</v>
      </c>
      <c r="AS476" s="76"/>
      <c r="AT476" s="37"/>
      <c r="AU476" s="86">
        <f>tbl_estimated_costs_quantities[[#This Row],[Chimney Duct Cleaning Repair]]*BOQs!$L$15</f>
        <v>0</v>
      </c>
      <c r="AV476" s="76"/>
      <c r="AW476" s="37"/>
      <c r="AX476" s="89">
        <f>tbl_estimated_costs_quantities[[#This Row],[Accessibility Adaptations]]*BOQs!$L$16</f>
        <v>0</v>
      </c>
      <c r="AY476" s="86" t="str">
        <f>IF(tbl_estimated_costs_quantities[[#This Row],[Total cost]]&lt;&gt;0,tbl_estimated_costs_quantities[[#This Row],[Total cost]]/BOQs!$A$1,"")</f>
        <v/>
      </c>
      <c r="AZ476" s="37"/>
      <c r="BA476" s="37"/>
      <c r="BB476" s="37"/>
      <c r="BC476" s="37"/>
      <c r="BD476" s="41"/>
      <c r="BE476" s="37"/>
      <c r="BF476" s="37"/>
      <c r="BG476" s="37"/>
      <c r="BH476" s="41"/>
    </row>
    <row r="477" spans="2:60" ht="25.15" customHeight="1" x14ac:dyDescent="0.25">
      <c r="B477" s="49">
        <v>473</v>
      </c>
      <c r="C477" s="37"/>
      <c r="D477" s="41"/>
      <c r="E477" s="40"/>
      <c r="F477" s="87" t="str">
        <f>IF(tbl_estimated_costs_quantities[[#This Row],[House Code]]&lt;&gt;"",INDEX(tbl_Assessment[],MATCH(tbl_estimated_costs_quantities[[#This Row],[House Code]],tbl_Assessment[House Code],0),3),"")</f>
        <v/>
      </c>
      <c r="G477" s="115" t="str">
        <f>IF(tbl_estimated_costs_quantities[[#This Row],[House Code]]&lt;&gt;"",INDEX(tbl_Assessment[],MATCH(tbl_estimated_costs_quantities[[#This Row],[House Code]],tbl_Assessment[House Code],0),9),"")</f>
        <v/>
      </c>
      <c r="H47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7" s="75"/>
      <c r="J477" s="37"/>
      <c r="K477" s="86">
        <f>tbl_estimated_costs_quantities[[#This Row],[Site Preparation]]*BOQs!$L$3</f>
        <v>0</v>
      </c>
      <c r="L477" s="76"/>
      <c r="M477" s="37"/>
      <c r="N477" s="86">
        <f>tbl_estimated_costs_quantities[[#This Row],[Demolition Removal Unsafe Structures]]*BOQs!$L$4</f>
        <v>0</v>
      </c>
      <c r="O477" s="76"/>
      <c r="P477" s="37"/>
      <c r="Q477" s="86">
        <f>tbl_estimated_costs_quantities[[#This Row],[Concrete Works]]*BOQs!$L$5</f>
        <v>0</v>
      </c>
      <c r="R477" s="76"/>
      <c r="S477" s="37"/>
      <c r="T477" s="86">
        <f>tbl_estimated_costs_quantities[[#This Row],[Closure External Openings Walls Windows]]*BOQs!$L$6</f>
        <v>0</v>
      </c>
      <c r="U477" s="76"/>
      <c r="V477" s="37"/>
      <c r="W477" s="86">
        <f>tbl_estimated_costs_quantities[[#This Row],[Plastering Painting]]*BOQs!$L$7</f>
        <v>0</v>
      </c>
      <c r="X477" s="76"/>
      <c r="Y477" s="37"/>
      <c r="Z477" s="86">
        <f>tbl_estimated_costs_quantities[[#This Row],[Floor Repairs]]*BOQs!$L$8</f>
        <v>0</v>
      </c>
      <c r="AA477" s="76"/>
      <c r="AB477" s="37"/>
      <c r="AC477" s="86">
        <f>tbl_estimated_costs_quantities[[#This Row],[Doors Replacement Repair]]*BOQs!$L$9</f>
        <v>0</v>
      </c>
      <c r="AD477" s="76"/>
      <c r="AE477" s="37"/>
      <c r="AF477" s="86">
        <f>tbl_estimated_costs_quantities[[#This Row],[Windows Replacement Repair]]*BOQs!$L$10</f>
        <v>0</v>
      </c>
      <c r="AG477" s="76"/>
      <c r="AH477" s="37"/>
      <c r="AI477" s="86">
        <f>tbl_estimated_costs_quantities[[#This Row],[Bathroom Rehabilitation]]*BOQs!$L$11</f>
        <v>0</v>
      </c>
      <c r="AJ477" s="76"/>
      <c r="AK477" s="37"/>
      <c r="AL477" s="86">
        <f>tbl_estimated_costs_quantities[[#This Row],[Ceramic Tile Works WASH]]*BOQs!$L$12</f>
        <v>0</v>
      </c>
      <c r="AM477" s="76"/>
      <c r="AN477" s="37"/>
      <c r="AO477" s="86">
        <f>tbl_estimated_costs_quantities[[#This Row],[Electrical Repairs Lighting]]*BOQs!$L$13</f>
        <v>0</v>
      </c>
      <c r="AP477" s="76"/>
      <c r="AQ477" s="37"/>
      <c r="AR477" s="86">
        <f>tbl_estimated_costs_quantities[[#This Row],[Roof Insulation Leak Sealing]]*BOQs!$L$14</f>
        <v>0</v>
      </c>
      <c r="AS477" s="76"/>
      <c r="AT477" s="37"/>
      <c r="AU477" s="86">
        <f>tbl_estimated_costs_quantities[[#This Row],[Chimney Duct Cleaning Repair]]*BOQs!$L$15</f>
        <v>0</v>
      </c>
      <c r="AV477" s="76"/>
      <c r="AW477" s="37"/>
      <c r="AX477" s="89">
        <f>tbl_estimated_costs_quantities[[#This Row],[Accessibility Adaptations]]*BOQs!$L$16</f>
        <v>0</v>
      </c>
      <c r="AY477" s="86" t="str">
        <f>IF(tbl_estimated_costs_quantities[[#This Row],[Total cost]]&lt;&gt;0,tbl_estimated_costs_quantities[[#This Row],[Total cost]]/BOQs!$A$1,"")</f>
        <v/>
      </c>
      <c r="AZ477" s="37"/>
      <c r="BA477" s="37"/>
      <c r="BB477" s="37"/>
      <c r="BC477" s="37"/>
      <c r="BD477" s="41"/>
      <c r="BE477" s="37"/>
      <c r="BF477" s="37"/>
      <c r="BG477" s="37"/>
      <c r="BH477" s="41"/>
    </row>
    <row r="478" spans="2:60" ht="25.15" customHeight="1" x14ac:dyDescent="0.25">
      <c r="B478" s="49">
        <v>474</v>
      </c>
      <c r="C478" s="37"/>
      <c r="D478" s="41"/>
      <c r="E478" s="40"/>
      <c r="F478" s="87" t="str">
        <f>IF(tbl_estimated_costs_quantities[[#This Row],[House Code]]&lt;&gt;"",INDEX(tbl_Assessment[],MATCH(tbl_estimated_costs_quantities[[#This Row],[House Code]],tbl_Assessment[House Code],0),3),"")</f>
        <v/>
      </c>
      <c r="G478" s="115" t="str">
        <f>IF(tbl_estimated_costs_quantities[[#This Row],[House Code]]&lt;&gt;"",INDEX(tbl_Assessment[],MATCH(tbl_estimated_costs_quantities[[#This Row],[House Code]],tbl_Assessment[House Code],0),9),"")</f>
        <v/>
      </c>
      <c r="H47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8" s="75"/>
      <c r="J478" s="37"/>
      <c r="K478" s="86">
        <f>tbl_estimated_costs_quantities[[#This Row],[Site Preparation]]*BOQs!$L$3</f>
        <v>0</v>
      </c>
      <c r="L478" s="76"/>
      <c r="M478" s="37"/>
      <c r="N478" s="86">
        <f>tbl_estimated_costs_quantities[[#This Row],[Demolition Removal Unsafe Structures]]*BOQs!$L$4</f>
        <v>0</v>
      </c>
      <c r="O478" s="76"/>
      <c r="P478" s="37"/>
      <c r="Q478" s="86">
        <f>tbl_estimated_costs_quantities[[#This Row],[Concrete Works]]*BOQs!$L$5</f>
        <v>0</v>
      </c>
      <c r="R478" s="76"/>
      <c r="S478" s="37"/>
      <c r="T478" s="86">
        <f>tbl_estimated_costs_quantities[[#This Row],[Closure External Openings Walls Windows]]*BOQs!$L$6</f>
        <v>0</v>
      </c>
      <c r="U478" s="76"/>
      <c r="V478" s="37"/>
      <c r="W478" s="86">
        <f>tbl_estimated_costs_quantities[[#This Row],[Plastering Painting]]*BOQs!$L$7</f>
        <v>0</v>
      </c>
      <c r="X478" s="76"/>
      <c r="Y478" s="37"/>
      <c r="Z478" s="86">
        <f>tbl_estimated_costs_quantities[[#This Row],[Floor Repairs]]*BOQs!$L$8</f>
        <v>0</v>
      </c>
      <c r="AA478" s="76"/>
      <c r="AB478" s="37"/>
      <c r="AC478" s="86">
        <f>tbl_estimated_costs_quantities[[#This Row],[Doors Replacement Repair]]*BOQs!$L$9</f>
        <v>0</v>
      </c>
      <c r="AD478" s="76"/>
      <c r="AE478" s="37"/>
      <c r="AF478" s="86">
        <f>tbl_estimated_costs_quantities[[#This Row],[Windows Replacement Repair]]*BOQs!$L$10</f>
        <v>0</v>
      </c>
      <c r="AG478" s="76"/>
      <c r="AH478" s="37"/>
      <c r="AI478" s="86">
        <f>tbl_estimated_costs_quantities[[#This Row],[Bathroom Rehabilitation]]*BOQs!$L$11</f>
        <v>0</v>
      </c>
      <c r="AJ478" s="76"/>
      <c r="AK478" s="37"/>
      <c r="AL478" s="86">
        <f>tbl_estimated_costs_quantities[[#This Row],[Ceramic Tile Works WASH]]*BOQs!$L$12</f>
        <v>0</v>
      </c>
      <c r="AM478" s="76"/>
      <c r="AN478" s="37"/>
      <c r="AO478" s="86">
        <f>tbl_estimated_costs_quantities[[#This Row],[Electrical Repairs Lighting]]*BOQs!$L$13</f>
        <v>0</v>
      </c>
      <c r="AP478" s="76"/>
      <c r="AQ478" s="37"/>
      <c r="AR478" s="86">
        <f>tbl_estimated_costs_quantities[[#This Row],[Roof Insulation Leak Sealing]]*BOQs!$L$14</f>
        <v>0</v>
      </c>
      <c r="AS478" s="76"/>
      <c r="AT478" s="37"/>
      <c r="AU478" s="86">
        <f>tbl_estimated_costs_quantities[[#This Row],[Chimney Duct Cleaning Repair]]*BOQs!$L$15</f>
        <v>0</v>
      </c>
      <c r="AV478" s="76"/>
      <c r="AW478" s="37"/>
      <c r="AX478" s="89">
        <f>tbl_estimated_costs_quantities[[#This Row],[Accessibility Adaptations]]*BOQs!$L$16</f>
        <v>0</v>
      </c>
      <c r="AY478" s="86" t="str">
        <f>IF(tbl_estimated_costs_quantities[[#This Row],[Total cost]]&lt;&gt;0,tbl_estimated_costs_quantities[[#This Row],[Total cost]]/BOQs!$A$1,"")</f>
        <v/>
      </c>
      <c r="AZ478" s="37"/>
      <c r="BA478" s="37"/>
      <c r="BB478" s="37"/>
      <c r="BC478" s="37"/>
      <c r="BD478" s="41"/>
      <c r="BE478" s="37"/>
      <c r="BF478" s="37"/>
      <c r="BG478" s="37"/>
      <c r="BH478" s="41"/>
    </row>
    <row r="479" spans="2:60" ht="25.15" customHeight="1" x14ac:dyDescent="0.25">
      <c r="B479" s="49">
        <v>475</v>
      </c>
      <c r="C479" s="37"/>
      <c r="D479" s="41"/>
      <c r="E479" s="40"/>
      <c r="F479" s="87" t="str">
        <f>IF(tbl_estimated_costs_quantities[[#This Row],[House Code]]&lt;&gt;"",INDEX(tbl_Assessment[],MATCH(tbl_estimated_costs_quantities[[#This Row],[House Code]],tbl_Assessment[House Code],0),3),"")</f>
        <v/>
      </c>
      <c r="G479" s="115" t="str">
        <f>IF(tbl_estimated_costs_quantities[[#This Row],[House Code]]&lt;&gt;"",INDEX(tbl_Assessment[],MATCH(tbl_estimated_costs_quantities[[#This Row],[House Code]],tbl_Assessment[House Code],0),9),"")</f>
        <v/>
      </c>
      <c r="H47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79" s="75"/>
      <c r="J479" s="37"/>
      <c r="K479" s="86">
        <f>tbl_estimated_costs_quantities[[#This Row],[Site Preparation]]*BOQs!$L$3</f>
        <v>0</v>
      </c>
      <c r="L479" s="76"/>
      <c r="M479" s="37"/>
      <c r="N479" s="86">
        <f>tbl_estimated_costs_quantities[[#This Row],[Demolition Removal Unsafe Structures]]*BOQs!$L$4</f>
        <v>0</v>
      </c>
      <c r="O479" s="76"/>
      <c r="P479" s="37"/>
      <c r="Q479" s="86">
        <f>tbl_estimated_costs_quantities[[#This Row],[Concrete Works]]*BOQs!$L$5</f>
        <v>0</v>
      </c>
      <c r="R479" s="76"/>
      <c r="S479" s="37"/>
      <c r="T479" s="86">
        <f>tbl_estimated_costs_quantities[[#This Row],[Closure External Openings Walls Windows]]*BOQs!$L$6</f>
        <v>0</v>
      </c>
      <c r="U479" s="76"/>
      <c r="V479" s="37"/>
      <c r="W479" s="86">
        <f>tbl_estimated_costs_quantities[[#This Row],[Plastering Painting]]*BOQs!$L$7</f>
        <v>0</v>
      </c>
      <c r="X479" s="76"/>
      <c r="Y479" s="37"/>
      <c r="Z479" s="86">
        <f>tbl_estimated_costs_quantities[[#This Row],[Floor Repairs]]*BOQs!$L$8</f>
        <v>0</v>
      </c>
      <c r="AA479" s="76"/>
      <c r="AB479" s="37"/>
      <c r="AC479" s="86">
        <f>tbl_estimated_costs_quantities[[#This Row],[Doors Replacement Repair]]*BOQs!$L$9</f>
        <v>0</v>
      </c>
      <c r="AD479" s="76"/>
      <c r="AE479" s="37"/>
      <c r="AF479" s="86">
        <f>tbl_estimated_costs_quantities[[#This Row],[Windows Replacement Repair]]*BOQs!$L$10</f>
        <v>0</v>
      </c>
      <c r="AG479" s="76"/>
      <c r="AH479" s="37"/>
      <c r="AI479" s="86">
        <f>tbl_estimated_costs_quantities[[#This Row],[Bathroom Rehabilitation]]*BOQs!$L$11</f>
        <v>0</v>
      </c>
      <c r="AJ479" s="76"/>
      <c r="AK479" s="37"/>
      <c r="AL479" s="86">
        <f>tbl_estimated_costs_quantities[[#This Row],[Ceramic Tile Works WASH]]*BOQs!$L$12</f>
        <v>0</v>
      </c>
      <c r="AM479" s="76"/>
      <c r="AN479" s="37"/>
      <c r="AO479" s="86">
        <f>tbl_estimated_costs_quantities[[#This Row],[Electrical Repairs Lighting]]*BOQs!$L$13</f>
        <v>0</v>
      </c>
      <c r="AP479" s="76"/>
      <c r="AQ479" s="37"/>
      <c r="AR479" s="86">
        <f>tbl_estimated_costs_quantities[[#This Row],[Roof Insulation Leak Sealing]]*BOQs!$L$14</f>
        <v>0</v>
      </c>
      <c r="AS479" s="76"/>
      <c r="AT479" s="37"/>
      <c r="AU479" s="86">
        <f>tbl_estimated_costs_quantities[[#This Row],[Chimney Duct Cleaning Repair]]*BOQs!$L$15</f>
        <v>0</v>
      </c>
      <c r="AV479" s="76"/>
      <c r="AW479" s="37"/>
      <c r="AX479" s="89">
        <f>tbl_estimated_costs_quantities[[#This Row],[Accessibility Adaptations]]*BOQs!$L$16</f>
        <v>0</v>
      </c>
      <c r="AY479" s="86" t="str">
        <f>IF(tbl_estimated_costs_quantities[[#This Row],[Total cost]]&lt;&gt;0,tbl_estimated_costs_quantities[[#This Row],[Total cost]]/BOQs!$A$1,"")</f>
        <v/>
      </c>
      <c r="AZ479" s="37"/>
      <c r="BA479" s="37"/>
      <c r="BB479" s="37"/>
      <c r="BC479" s="37"/>
      <c r="BD479" s="41"/>
      <c r="BE479" s="37"/>
      <c r="BF479" s="37"/>
      <c r="BG479" s="37"/>
      <c r="BH479" s="41"/>
    </row>
    <row r="480" spans="2:60" ht="25.15" customHeight="1" x14ac:dyDescent="0.25">
      <c r="B480" s="49">
        <v>476</v>
      </c>
      <c r="C480" s="37"/>
      <c r="D480" s="41"/>
      <c r="E480" s="40"/>
      <c r="F480" s="87" t="str">
        <f>IF(tbl_estimated_costs_quantities[[#This Row],[House Code]]&lt;&gt;"",INDEX(tbl_Assessment[],MATCH(tbl_estimated_costs_quantities[[#This Row],[House Code]],tbl_Assessment[House Code],0),3),"")</f>
        <v/>
      </c>
      <c r="G480" s="115" t="str">
        <f>IF(tbl_estimated_costs_quantities[[#This Row],[House Code]]&lt;&gt;"",INDEX(tbl_Assessment[],MATCH(tbl_estimated_costs_quantities[[#This Row],[House Code]],tbl_Assessment[House Code],0),9),"")</f>
        <v/>
      </c>
      <c r="H48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0" s="75"/>
      <c r="J480" s="37"/>
      <c r="K480" s="86">
        <f>tbl_estimated_costs_quantities[[#This Row],[Site Preparation]]*BOQs!$L$3</f>
        <v>0</v>
      </c>
      <c r="L480" s="76"/>
      <c r="M480" s="37"/>
      <c r="N480" s="86">
        <f>tbl_estimated_costs_quantities[[#This Row],[Demolition Removal Unsafe Structures]]*BOQs!$L$4</f>
        <v>0</v>
      </c>
      <c r="O480" s="76"/>
      <c r="P480" s="37"/>
      <c r="Q480" s="86">
        <f>tbl_estimated_costs_quantities[[#This Row],[Concrete Works]]*BOQs!$L$5</f>
        <v>0</v>
      </c>
      <c r="R480" s="76"/>
      <c r="S480" s="37"/>
      <c r="T480" s="86">
        <f>tbl_estimated_costs_quantities[[#This Row],[Closure External Openings Walls Windows]]*BOQs!$L$6</f>
        <v>0</v>
      </c>
      <c r="U480" s="76"/>
      <c r="V480" s="37"/>
      <c r="W480" s="86">
        <f>tbl_estimated_costs_quantities[[#This Row],[Plastering Painting]]*BOQs!$L$7</f>
        <v>0</v>
      </c>
      <c r="X480" s="76"/>
      <c r="Y480" s="37"/>
      <c r="Z480" s="86">
        <f>tbl_estimated_costs_quantities[[#This Row],[Floor Repairs]]*BOQs!$L$8</f>
        <v>0</v>
      </c>
      <c r="AA480" s="76"/>
      <c r="AB480" s="37"/>
      <c r="AC480" s="86">
        <f>tbl_estimated_costs_quantities[[#This Row],[Doors Replacement Repair]]*BOQs!$L$9</f>
        <v>0</v>
      </c>
      <c r="AD480" s="76"/>
      <c r="AE480" s="37"/>
      <c r="AF480" s="86">
        <f>tbl_estimated_costs_quantities[[#This Row],[Windows Replacement Repair]]*BOQs!$L$10</f>
        <v>0</v>
      </c>
      <c r="AG480" s="76"/>
      <c r="AH480" s="37"/>
      <c r="AI480" s="86">
        <f>tbl_estimated_costs_quantities[[#This Row],[Bathroom Rehabilitation]]*BOQs!$L$11</f>
        <v>0</v>
      </c>
      <c r="AJ480" s="76"/>
      <c r="AK480" s="37"/>
      <c r="AL480" s="86">
        <f>tbl_estimated_costs_quantities[[#This Row],[Ceramic Tile Works WASH]]*BOQs!$L$12</f>
        <v>0</v>
      </c>
      <c r="AM480" s="76"/>
      <c r="AN480" s="37"/>
      <c r="AO480" s="86">
        <f>tbl_estimated_costs_quantities[[#This Row],[Electrical Repairs Lighting]]*BOQs!$L$13</f>
        <v>0</v>
      </c>
      <c r="AP480" s="76"/>
      <c r="AQ480" s="37"/>
      <c r="AR480" s="86">
        <f>tbl_estimated_costs_quantities[[#This Row],[Roof Insulation Leak Sealing]]*BOQs!$L$14</f>
        <v>0</v>
      </c>
      <c r="AS480" s="76"/>
      <c r="AT480" s="37"/>
      <c r="AU480" s="86">
        <f>tbl_estimated_costs_quantities[[#This Row],[Chimney Duct Cleaning Repair]]*BOQs!$L$15</f>
        <v>0</v>
      </c>
      <c r="AV480" s="76"/>
      <c r="AW480" s="37"/>
      <c r="AX480" s="89">
        <f>tbl_estimated_costs_quantities[[#This Row],[Accessibility Adaptations]]*BOQs!$L$16</f>
        <v>0</v>
      </c>
      <c r="AY480" s="86" t="str">
        <f>IF(tbl_estimated_costs_quantities[[#This Row],[Total cost]]&lt;&gt;0,tbl_estimated_costs_quantities[[#This Row],[Total cost]]/BOQs!$A$1,"")</f>
        <v/>
      </c>
      <c r="AZ480" s="37"/>
      <c r="BA480" s="37"/>
      <c r="BB480" s="37"/>
      <c r="BC480" s="37"/>
      <c r="BD480" s="41"/>
      <c r="BE480" s="37"/>
      <c r="BF480" s="37"/>
      <c r="BG480" s="37"/>
      <c r="BH480" s="41"/>
    </row>
    <row r="481" spans="2:60" ht="25.15" customHeight="1" x14ac:dyDescent="0.25">
      <c r="B481" s="49">
        <v>477</v>
      </c>
      <c r="C481" s="37"/>
      <c r="D481" s="41"/>
      <c r="E481" s="40"/>
      <c r="F481" s="87" t="str">
        <f>IF(tbl_estimated_costs_quantities[[#This Row],[House Code]]&lt;&gt;"",INDEX(tbl_Assessment[],MATCH(tbl_estimated_costs_quantities[[#This Row],[House Code]],tbl_Assessment[House Code],0),3),"")</f>
        <v/>
      </c>
      <c r="G481" s="115" t="str">
        <f>IF(tbl_estimated_costs_quantities[[#This Row],[House Code]]&lt;&gt;"",INDEX(tbl_Assessment[],MATCH(tbl_estimated_costs_quantities[[#This Row],[House Code]],tbl_Assessment[House Code],0),9),"")</f>
        <v/>
      </c>
      <c r="H48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1" s="75"/>
      <c r="J481" s="37"/>
      <c r="K481" s="86">
        <f>tbl_estimated_costs_quantities[[#This Row],[Site Preparation]]*BOQs!$L$3</f>
        <v>0</v>
      </c>
      <c r="L481" s="76"/>
      <c r="M481" s="37"/>
      <c r="N481" s="86">
        <f>tbl_estimated_costs_quantities[[#This Row],[Demolition Removal Unsafe Structures]]*BOQs!$L$4</f>
        <v>0</v>
      </c>
      <c r="O481" s="76"/>
      <c r="P481" s="37"/>
      <c r="Q481" s="86">
        <f>tbl_estimated_costs_quantities[[#This Row],[Concrete Works]]*BOQs!$L$5</f>
        <v>0</v>
      </c>
      <c r="R481" s="76"/>
      <c r="S481" s="37"/>
      <c r="T481" s="86">
        <f>tbl_estimated_costs_quantities[[#This Row],[Closure External Openings Walls Windows]]*BOQs!$L$6</f>
        <v>0</v>
      </c>
      <c r="U481" s="76"/>
      <c r="V481" s="37"/>
      <c r="W481" s="86">
        <f>tbl_estimated_costs_quantities[[#This Row],[Plastering Painting]]*BOQs!$L$7</f>
        <v>0</v>
      </c>
      <c r="X481" s="76"/>
      <c r="Y481" s="37"/>
      <c r="Z481" s="86">
        <f>tbl_estimated_costs_quantities[[#This Row],[Floor Repairs]]*BOQs!$L$8</f>
        <v>0</v>
      </c>
      <c r="AA481" s="76"/>
      <c r="AB481" s="37"/>
      <c r="AC481" s="86">
        <f>tbl_estimated_costs_quantities[[#This Row],[Doors Replacement Repair]]*BOQs!$L$9</f>
        <v>0</v>
      </c>
      <c r="AD481" s="76"/>
      <c r="AE481" s="37"/>
      <c r="AF481" s="86">
        <f>tbl_estimated_costs_quantities[[#This Row],[Windows Replacement Repair]]*BOQs!$L$10</f>
        <v>0</v>
      </c>
      <c r="AG481" s="76"/>
      <c r="AH481" s="37"/>
      <c r="AI481" s="86">
        <f>tbl_estimated_costs_quantities[[#This Row],[Bathroom Rehabilitation]]*BOQs!$L$11</f>
        <v>0</v>
      </c>
      <c r="AJ481" s="76"/>
      <c r="AK481" s="37"/>
      <c r="AL481" s="86">
        <f>tbl_estimated_costs_quantities[[#This Row],[Ceramic Tile Works WASH]]*BOQs!$L$12</f>
        <v>0</v>
      </c>
      <c r="AM481" s="76"/>
      <c r="AN481" s="37"/>
      <c r="AO481" s="86">
        <f>tbl_estimated_costs_quantities[[#This Row],[Electrical Repairs Lighting]]*BOQs!$L$13</f>
        <v>0</v>
      </c>
      <c r="AP481" s="76"/>
      <c r="AQ481" s="37"/>
      <c r="AR481" s="86">
        <f>tbl_estimated_costs_quantities[[#This Row],[Roof Insulation Leak Sealing]]*BOQs!$L$14</f>
        <v>0</v>
      </c>
      <c r="AS481" s="76"/>
      <c r="AT481" s="37"/>
      <c r="AU481" s="86">
        <f>tbl_estimated_costs_quantities[[#This Row],[Chimney Duct Cleaning Repair]]*BOQs!$L$15</f>
        <v>0</v>
      </c>
      <c r="AV481" s="76"/>
      <c r="AW481" s="37"/>
      <c r="AX481" s="89">
        <f>tbl_estimated_costs_quantities[[#This Row],[Accessibility Adaptations]]*BOQs!$L$16</f>
        <v>0</v>
      </c>
      <c r="AY481" s="86" t="str">
        <f>IF(tbl_estimated_costs_quantities[[#This Row],[Total cost]]&lt;&gt;0,tbl_estimated_costs_quantities[[#This Row],[Total cost]]/BOQs!$A$1,"")</f>
        <v/>
      </c>
      <c r="AZ481" s="37"/>
      <c r="BA481" s="37"/>
      <c r="BB481" s="37"/>
      <c r="BC481" s="37"/>
      <c r="BD481" s="41"/>
      <c r="BE481" s="37"/>
      <c r="BF481" s="37"/>
      <c r="BG481" s="37"/>
      <c r="BH481" s="41"/>
    </row>
    <row r="482" spans="2:60" ht="25.15" customHeight="1" x14ac:dyDescent="0.25">
      <c r="B482" s="49">
        <v>478</v>
      </c>
      <c r="C482" s="37"/>
      <c r="D482" s="41"/>
      <c r="E482" s="40"/>
      <c r="F482" s="87" t="str">
        <f>IF(tbl_estimated_costs_quantities[[#This Row],[House Code]]&lt;&gt;"",INDEX(tbl_Assessment[],MATCH(tbl_estimated_costs_quantities[[#This Row],[House Code]],tbl_Assessment[House Code],0),3),"")</f>
        <v/>
      </c>
      <c r="G482" s="115" t="str">
        <f>IF(tbl_estimated_costs_quantities[[#This Row],[House Code]]&lt;&gt;"",INDEX(tbl_Assessment[],MATCH(tbl_estimated_costs_quantities[[#This Row],[House Code]],tbl_Assessment[House Code],0),9),"")</f>
        <v/>
      </c>
      <c r="H48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2" s="75"/>
      <c r="J482" s="37"/>
      <c r="K482" s="86">
        <f>tbl_estimated_costs_quantities[[#This Row],[Site Preparation]]*BOQs!$L$3</f>
        <v>0</v>
      </c>
      <c r="L482" s="76"/>
      <c r="M482" s="37"/>
      <c r="N482" s="86">
        <f>tbl_estimated_costs_quantities[[#This Row],[Demolition Removal Unsafe Structures]]*BOQs!$L$4</f>
        <v>0</v>
      </c>
      <c r="O482" s="76"/>
      <c r="P482" s="37"/>
      <c r="Q482" s="86">
        <f>tbl_estimated_costs_quantities[[#This Row],[Concrete Works]]*BOQs!$L$5</f>
        <v>0</v>
      </c>
      <c r="R482" s="76"/>
      <c r="S482" s="37"/>
      <c r="T482" s="86">
        <f>tbl_estimated_costs_quantities[[#This Row],[Closure External Openings Walls Windows]]*BOQs!$L$6</f>
        <v>0</v>
      </c>
      <c r="U482" s="76"/>
      <c r="V482" s="37"/>
      <c r="W482" s="86">
        <f>tbl_estimated_costs_quantities[[#This Row],[Plastering Painting]]*BOQs!$L$7</f>
        <v>0</v>
      </c>
      <c r="X482" s="76"/>
      <c r="Y482" s="37"/>
      <c r="Z482" s="86">
        <f>tbl_estimated_costs_quantities[[#This Row],[Floor Repairs]]*BOQs!$L$8</f>
        <v>0</v>
      </c>
      <c r="AA482" s="76"/>
      <c r="AB482" s="37"/>
      <c r="AC482" s="86">
        <f>tbl_estimated_costs_quantities[[#This Row],[Doors Replacement Repair]]*BOQs!$L$9</f>
        <v>0</v>
      </c>
      <c r="AD482" s="76"/>
      <c r="AE482" s="37"/>
      <c r="AF482" s="86">
        <f>tbl_estimated_costs_quantities[[#This Row],[Windows Replacement Repair]]*BOQs!$L$10</f>
        <v>0</v>
      </c>
      <c r="AG482" s="76"/>
      <c r="AH482" s="37"/>
      <c r="AI482" s="86">
        <f>tbl_estimated_costs_quantities[[#This Row],[Bathroom Rehabilitation]]*BOQs!$L$11</f>
        <v>0</v>
      </c>
      <c r="AJ482" s="76"/>
      <c r="AK482" s="37"/>
      <c r="AL482" s="86">
        <f>tbl_estimated_costs_quantities[[#This Row],[Ceramic Tile Works WASH]]*BOQs!$L$12</f>
        <v>0</v>
      </c>
      <c r="AM482" s="76"/>
      <c r="AN482" s="37"/>
      <c r="AO482" s="86">
        <f>tbl_estimated_costs_quantities[[#This Row],[Electrical Repairs Lighting]]*BOQs!$L$13</f>
        <v>0</v>
      </c>
      <c r="AP482" s="76"/>
      <c r="AQ482" s="37"/>
      <c r="AR482" s="86">
        <f>tbl_estimated_costs_quantities[[#This Row],[Roof Insulation Leak Sealing]]*BOQs!$L$14</f>
        <v>0</v>
      </c>
      <c r="AS482" s="76"/>
      <c r="AT482" s="37"/>
      <c r="AU482" s="86">
        <f>tbl_estimated_costs_quantities[[#This Row],[Chimney Duct Cleaning Repair]]*BOQs!$L$15</f>
        <v>0</v>
      </c>
      <c r="AV482" s="76"/>
      <c r="AW482" s="37"/>
      <c r="AX482" s="89">
        <f>tbl_estimated_costs_quantities[[#This Row],[Accessibility Adaptations]]*BOQs!$L$16</f>
        <v>0</v>
      </c>
      <c r="AY482" s="86" t="str">
        <f>IF(tbl_estimated_costs_quantities[[#This Row],[Total cost]]&lt;&gt;0,tbl_estimated_costs_quantities[[#This Row],[Total cost]]/BOQs!$A$1,"")</f>
        <v/>
      </c>
      <c r="AZ482" s="37"/>
      <c r="BA482" s="37"/>
      <c r="BB482" s="37"/>
      <c r="BC482" s="37"/>
      <c r="BD482" s="41"/>
      <c r="BE482" s="37"/>
      <c r="BF482" s="37"/>
      <c r="BG482" s="37"/>
      <c r="BH482" s="41"/>
    </row>
    <row r="483" spans="2:60" ht="25.15" customHeight="1" x14ac:dyDescent="0.25">
      <c r="B483" s="49">
        <v>479</v>
      </c>
      <c r="C483" s="37"/>
      <c r="D483" s="41"/>
      <c r="E483" s="40"/>
      <c r="F483" s="87" t="str">
        <f>IF(tbl_estimated_costs_quantities[[#This Row],[House Code]]&lt;&gt;"",INDEX(tbl_Assessment[],MATCH(tbl_estimated_costs_quantities[[#This Row],[House Code]],tbl_Assessment[House Code],0),3),"")</f>
        <v/>
      </c>
      <c r="G483" s="115" t="str">
        <f>IF(tbl_estimated_costs_quantities[[#This Row],[House Code]]&lt;&gt;"",INDEX(tbl_Assessment[],MATCH(tbl_estimated_costs_quantities[[#This Row],[House Code]],tbl_Assessment[House Code],0),9),"")</f>
        <v/>
      </c>
      <c r="H48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3" s="75"/>
      <c r="J483" s="37"/>
      <c r="K483" s="86">
        <f>tbl_estimated_costs_quantities[[#This Row],[Site Preparation]]*BOQs!$L$3</f>
        <v>0</v>
      </c>
      <c r="L483" s="76"/>
      <c r="M483" s="37"/>
      <c r="N483" s="86">
        <f>tbl_estimated_costs_quantities[[#This Row],[Demolition Removal Unsafe Structures]]*BOQs!$L$4</f>
        <v>0</v>
      </c>
      <c r="O483" s="76"/>
      <c r="P483" s="37"/>
      <c r="Q483" s="86">
        <f>tbl_estimated_costs_quantities[[#This Row],[Concrete Works]]*BOQs!$L$5</f>
        <v>0</v>
      </c>
      <c r="R483" s="76"/>
      <c r="S483" s="37"/>
      <c r="T483" s="86">
        <f>tbl_estimated_costs_quantities[[#This Row],[Closure External Openings Walls Windows]]*BOQs!$L$6</f>
        <v>0</v>
      </c>
      <c r="U483" s="76"/>
      <c r="V483" s="37"/>
      <c r="W483" s="86">
        <f>tbl_estimated_costs_quantities[[#This Row],[Plastering Painting]]*BOQs!$L$7</f>
        <v>0</v>
      </c>
      <c r="X483" s="76"/>
      <c r="Y483" s="37"/>
      <c r="Z483" s="86">
        <f>tbl_estimated_costs_quantities[[#This Row],[Floor Repairs]]*BOQs!$L$8</f>
        <v>0</v>
      </c>
      <c r="AA483" s="76"/>
      <c r="AB483" s="37"/>
      <c r="AC483" s="86">
        <f>tbl_estimated_costs_quantities[[#This Row],[Doors Replacement Repair]]*BOQs!$L$9</f>
        <v>0</v>
      </c>
      <c r="AD483" s="76"/>
      <c r="AE483" s="37"/>
      <c r="AF483" s="86">
        <f>tbl_estimated_costs_quantities[[#This Row],[Windows Replacement Repair]]*BOQs!$L$10</f>
        <v>0</v>
      </c>
      <c r="AG483" s="76"/>
      <c r="AH483" s="37"/>
      <c r="AI483" s="86">
        <f>tbl_estimated_costs_quantities[[#This Row],[Bathroom Rehabilitation]]*BOQs!$L$11</f>
        <v>0</v>
      </c>
      <c r="AJ483" s="76"/>
      <c r="AK483" s="37"/>
      <c r="AL483" s="86">
        <f>tbl_estimated_costs_quantities[[#This Row],[Ceramic Tile Works WASH]]*BOQs!$L$12</f>
        <v>0</v>
      </c>
      <c r="AM483" s="76"/>
      <c r="AN483" s="37"/>
      <c r="AO483" s="86">
        <f>tbl_estimated_costs_quantities[[#This Row],[Electrical Repairs Lighting]]*BOQs!$L$13</f>
        <v>0</v>
      </c>
      <c r="AP483" s="76"/>
      <c r="AQ483" s="37"/>
      <c r="AR483" s="86">
        <f>tbl_estimated_costs_quantities[[#This Row],[Roof Insulation Leak Sealing]]*BOQs!$L$14</f>
        <v>0</v>
      </c>
      <c r="AS483" s="76"/>
      <c r="AT483" s="37"/>
      <c r="AU483" s="86">
        <f>tbl_estimated_costs_quantities[[#This Row],[Chimney Duct Cleaning Repair]]*BOQs!$L$15</f>
        <v>0</v>
      </c>
      <c r="AV483" s="76"/>
      <c r="AW483" s="37"/>
      <c r="AX483" s="89">
        <f>tbl_estimated_costs_quantities[[#This Row],[Accessibility Adaptations]]*BOQs!$L$16</f>
        <v>0</v>
      </c>
      <c r="AY483" s="86" t="str">
        <f>IF(tbl_estimated_costs_quantities[[#This Row],[Total cost]]&lt;&gt;0,tbl_estimated_costs_quantities[[#This Row],[Total cost]]/BOQs!$A$1,"")</f>
        <v/>
      </c>
      <c r="AZ483" s="37"/>
      <c r="BA483" s="37"/>
      <c r="BB483" s="37"/>
      <c r="BC483" s="37"/>
      <c r="BD483" s="41"/>
      <c r="BE483" s="37"/>
      <c r="BF483" s="37"/>
      <c r="BG483" s="37"/>
      <c r="BH483" s="41"/>
    </row>
    <row r="484" spans="2:60" ht="25.15" customHeight="1" x14ac:dyDescent="0.25">
      <c r="B484" s="49">
        <v>480</v>
      </c>
      <c r="C484" s="37"/>
      <c r="D484" s="41"/>
      <c r="E484" s="40"/>
      <c r="F484" s="87" t="str">
        <f>IF(tbl_estimated_costs_quantities[[#This Row],[House Code]]&lt;&gt;"",INDEX(tbl_Assessment[],MATCH(tbl_estimated_costs_quantities[[#This Row],[House Code]],tbl_Assessment[House Code],0),3),"")</f>
        <v/>
      </c>
      <c r="G484" s="115" t="str">
        <f>IF(tbl_estimated_costs_quantities[[#This Row],[House Code]]&lt;&gt;"",INDEX(tbl_Assessment[],MATCH(tbl_estimated_costs_quantities[[#This Row],[House Code]],tbl_Assessment[House Code],0),9),"")</f>
        <v/>
      </c>
      <c r="H48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4" s="75"/>
      <c r="J484" s="37"/>
      <c r="K484" s="86">
        <f>tbl_estimated_costs_quantities[[#This Row],[Site Preparation]]*BOQs!$L$3</f>
        <v>0</v>
      </c>
      <c r="L484" s="76"/>
      <c r="M484" s="37"/>
      <c r="N484" s="86">
        <f>tbl_estimated_costs_quantities[[#This Row],[Demolition Removal Unsafe Structures]]*BOQs!$L$4</f>
        <v>0</v>
      </c>
      <c r="O484" s="76"/>
      <c r="P484" s="37"/>
      <c r="Q484" s="86">
        <f>tbl_estimated_costs_quantities[[#This Row],[Concrete Works]]*BOQs!$L$5</f>
        <v>0</v>
      </c>
      <c r="R484" s="76"/>
      <c r="S484" s="37"/>
      <c r="T484" s="86">
        <f>tbl_estimated_costs_quantities[[#This Row],[Closure External Openings Walls Windows]]*BOQs!$L$6</f>
        <v>0</v>
      </c>
      <c r="U484" s="76"/>
      <c r="V484" s="37"/>
      <c r="W484" s="86">
        <f>tbl_estimated_costs_quantities[[#This Row],[Plastering Painting]]*BOQs!$L$7</f>
        <v>0</v>
      </c>
      <c r="X484" s="76"/>
      <c r="Y484" s="37"/>
      <c r="Z484" s="86">
        <f>tbl_estimated_costs_quantities[[#This Row],[Floor Repairs]]*BOQs!$L$8</f>
        <v>0</v>
      </c>
      <c r="AA484" s="76"/>
      <c r="AB484" s="37"/>
      <c r="AC484" s="86">
        <f>tbl_estimated_costs_quantities[[#This Row],[Doors Replacement Repair]]*BOQs!$L$9</f>
        <v>0</v>
      </c>
      <c r="AD484" s="76"/>
      <c r="AE484" s="37"/>
      <c r="AF484" s="86">
        <f>tbl_estimated_costs_quantities[[#This Row],[Windows Replacement Repair]]*BOQs!$L$10</f>
        <v>0</v>
      </c>
      <c r="AG484" s="76"/>
      <c r="AH484" s="37"/>
      <c r="AI484" s="86">
        <f>tbl_estimated_costs_quantities[[#This Row],[Bathroom Rehabilitation]]*BOQs!$L$11</f>
        <v>0</v>
      </c>
      <c r="AJ484" s="76"/>
      <c r="AK484" s="37"/>
      <c r="AL484" s="86">
        <f>tbl_estimated_costs_quantities[[#This Row],[Ceramic Tile Works WASH]]*BOQs!$L$12</f>
        <v>0</v>
      </c>
      <c r="AM484" s="76"/>
      <c r="AN484" s="37"/>
      <c r="AO484" s="86">
        <f>tbl_estimated_costs_quantities[[#This Row],[Electrical Repairs Lighting]]*BOQs!$L$13</f>
        <v>0</v>
      </c>
      <c r="AP484" s="76"/>
      <c r="AQ484" s="37"/>
      <c r="AR484" s="86">
        <f>tbl_estimated_costs_quantities[[#This Row],[Roof Insulation Leak Sealing]]*BOQs!$L$14</f>
        <v>0</v>
      </c>
      <c r="AS484" s="76"/>
      <c r="AT484" s="37"/>
      <c r="AU484" s="86">
        <f>tbl_estimated_costs_quantities[[#This Row],[Chimney Duct Cleaning Repair]]*BOQs!$L$15</f>
        <v>0</v>
      </c>
      <c r="AV484" s="76"/>
      <c r="AW484" s="37"/>
      <c r="AX484" s="89">
        <f>tbl_estimated_costs_quantities[[#This Row],[Accessibility Adaptations]]*BOQs!$L$16</f>
        <v>0</v>
      </c>
      <c r="AY484" s="86" t="str">
        <f>IF(tbl_estimated_costs_quantities[[#This Row],[Total cost]]&lt;&gt;0,tbl_estimated_costs_quantities[[#This Row],[Total cost]]/BOQs!$A$1,"")</f>
        <v/>
      </c>
      <c r="AZ484" s="37"/>
      <c r="BA484" s="37"/>
      <c r="BB484" s="37"/>
      <c r="BC484" s="37"/>
      <c r="BD484" s="41"/>
      <c r="BE484" s="37"/>
      <c r="BF484" s="37"/>
      <c r="BG484" s="37"/>
      <c r="BH484" s="41"/>
    </row>
    <row r="485" spans="2:60" ht="25.15" customHeight="1" x14ac:dyDescent="0.25">
      <c r="B485" s="49">
        <v>481</v>
      </c>
      <c r="C485" s="37"/>
      <c r="D485" s="41"/>
      <c r="E485" s="40"/>
      <c r="F485" s="87" t="str">
        <f>IF(tbl_estimated_costs_quantities[[#This Row],[House Code]]&lt;&gt;"",INDEX(tbl_Assessment[],MATCH(tbl_estimated_costs_quantities[[#This Row],[House Code]],tbl_Assessment[House Code],0),3),"")</f>
        <v/>
      </c>
      <c r="G485" s="115" t="str">
        <f>IF(tbl_estimated_costs_quantities[[#This Row],[House Code]]&lt;&gt;"",INDEX(tbl_Assessment[],MATCH(tbl_estimated_costs_quantities[[#This Row],[House Code]],tbl_Assessment[House Code],0),9),"")</f>
        <v/>
      </c>
      <c r="H48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5" s="75"/>
      <c r="J485" s="37"/>
      <c r="K485" s="86">
        <f>tbl_estimated_costs_quantities[[#This Row],[Site Preparation]]*BOQs!$L$3</f>
        <v>0</v>
      </c>
      <c r="L485" s="76"/>
      <c r="M485" s="37"/>
      <c r="N485" s="86">
        <f>tbl_estimated_costs_quantities[[#This Row],[Demolition Removal Unsafe Structures]]*BOQs!$L$4</f>
        <v>0</v>
      </c>
      <c r="O485" s="76"/>
      <c r="P485" s="37"/>
      <c r="Q485" s="86">
        <f>tbl_estimated_costs_quantities[[#This Row],[Concrete Works]]*BOQs!$L$5</f>
        <v>0</v>
      </c>
      <c r="R485" s="76"/>
      <c r="S485" s="37"/>
      <c r="T485" s="86">
        <f>tbl_estimated_costs_quantities[[#This Row],[Closure External Openings Walls Windows]]*BOQs!$L$6</f>
        <v>0</v>
      </c>
      <c r="U485" s="76"/>
      <c r="V485" s="37"/>
      <c r="W485" s="86">
        <f>tbl_estimated_costs_quantities[[#This Row],[Plastering Painting]]*BOQs!$L$7</f>
        <v>0</v>
      </c>
      <c r="X485" s="76"/>
      <c r="Y485" s="37"/>
      <c r="Z485" s="86">
        <f>tbl_estimated_costs_quantities[[#This Row],[Floor Repairs]]*BOQs!$L$8</f>
        <v>0</v>
      </c>
      <c r="AA485" s="76"/>
      <c r="AB485" s="37"/>
      <c r="AC485" s="86">
        <f>tbl_estimated_costs_quantities[[#This Row],[Doors Replacement Repair]]*BOQs!$L$9</f>
        <v>0</v>
      </c>
      <c r="AD485" s="76"/>
      <c r="AE485" s="37"/>
      <c r="AF485" s="86">
        <f>tbl_estimated_costs_quantities[[#This Row],[Windows Replacement Repair]]*BOQs!$L$10</f>
        <v>0</v>
      </c>
      <c r="AG485" s="76"/>
      <c r="AH485" s="37"/>
      <c r="AI485" s="86">
        <f>tbl_estimated_costs_quantities[[#This Row],[Bathroom Rehabilitation]]*BOQs!$L$11</f>
        <v>0</v>
      </c>
      <c r="AJ485" s="76"/>
      <c r="AK485" s="37"/>
      <c r="AL485" s="86">
        <f>tbl_estimated_costs_quantities[[#This Row],[Ceramic Tile Works WASH]]*BOQs!$L$12</f>
        <v>0</v>
      </c>
      <c r="AM485" s="76"/>
      <c r="AN485" s="37"/>
      <c r="AO485" s="86">
        <f>tbl_estimated_costs_quantities[[#This Row],[Electrical Repairs Lighting]]*BOQs!$L$13</f>
        <v>0</v>
      </c>
      <c r="AP485" s="76"/>
      <c r="AQ485" s="37"/>
      <c r="AR485" s="86">
        <f>tbl_estimated_costs_quantities[[#This Row],[Roof Insulation Leak Sealing]]*BOQs!$L$14</f>
        <v>0</v>
      </c>
      <c r="AS485" s="76"/>
      <c r="AT485" s="37"/>
      <c r="AU485" s="86">
        <f>tbl_estimated_costs_quantities[[#This Row],[Chimney Duct Cleaning Repair]]*BOQs!$L$15</f>
        <v>0</v>
      </c>
      <c r="AV485" s="76"/>
      <c r="AW485" s="37"/>
      <c r="AX485" s="89">
        <f>tbl_estimated_costs_quantities[[#This Row],[Accessibility Adaptations]]*BOQs!$L$16</f>
        <v>0</v>
      </c>
      <c r="AY485" s="86" t="str">
        <f>IF(tbl_estimated_costs_quantities[[#This Row],[Total cost]]&lt;&gt;0,tbl_estimated_costs_quantities[[#This Row],[Total cost]]/BOQs!$A$1,"")</f>
        <v/>
      </c>
      <c r="AZ485" s="37"/>
      <c r="BA485" s="37"/>
      <c r="BB485" s="37"/>
      <c r="BC485" s="37"/>
      <c r="BD485" s="41"/>
      <c r="BE485" s="37"/>
      <c r="BF485" s="37"/>
      <c r="BG485" s="37"/>
      <c r="BH485" s="41"/>
    </row>
    <row r="486" spans="2:60" ht="25.15" customHeight="1" x14ac:dyDescent="0.25">
      <c r="B486" s="49">
        <v>482</v>
      </c>
      <c r="C486" s="37"/>
      <c r="D486" s="41"/>
      <c r="E486" s="40"/>
      <c r="F486" s="87" t="str">
        <f>IF(tbl_estimated_costs_quantities[[#This Row],[House Code]]&lt;&gt;"",INDEX(tbl_Assessment[],MATCH(tbl_estimated_costs_quantities[[#This Row],[House Code]],tbl_Assessment[House Code],0),3),"")</f>
        <v/>
      </c>
      <c r="G486" s="115" t="str">
        <f>IF(tbl_estimated_costs_quantities[[#This Row],[House Code]]&lt;&gt;"",INDEX(tbl_Assessment[],MATCH(tbl_estimated_costs_quantities[[#This Row],[House Code]],tbl_Assessment[House Code],0),9),"")</f>
        <v/>
      </c>
      <c r="H48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6" s="75"/>
      <c r="J486" s="37"/>
      <c r="K486" s="86">
        <f>tbl_estimated_costs_quantities[[#This Row],[Site Preparation]]*BOQs!$L$3</f>
        <v>0</v>
      </c>
      <c r="L486" s="76"/>
      <c r="M486" s="37"/>
      <c r="N486" s="86">
        <f>tbl_estimated_costs_quantities[[#This Row],[Demolition Removal Unsafe Structures]]*BOQs!$L$4</f>
        <v>0</v>
      </c>
      <c r="O486" s="76"/>
      <c r="P486" s="37"/>
      <c r="Q486" s="86">
        <f>tbl_estimated_costs_quantities[[#This Row],[Concrete Works]]*BOQs!$L$5</f>
        <v>0</v>
      </c>
      <c r="R486" s="76"/>
      <c r="S486" s="37"/>
      <c r="T486" s="86">
        <f>tbl_estimated_costs_quantities[[#This Row],[Closure External Openings Walls Windows]]*BOQs!$L$6</f>
        <v>0</v>
      </c>
      <c r="U486" s="76"/>
      <c r="V486" s="37"/>
      <c r="W486" s="86">
        <f>tbl_estimated_costs_quantities[[#This Row],[Plastering Painting]]*BOQs!$L$7</f>
        <v>0</v>
      </c>
      <c r="X486" s="76"/>
      <c r="Y486" s="37"/>
      <c r="Z486" s="86">
        <f>tbl_estimated_costs_quantities[[#This Row],[Floor Repairs]]*BOQs!$L$8</f>
        <v>0</v>
      </c>
      <c r="AA486" s="76"/>
      <c r="AB486" s="37"/>
      <c r="AC486" s="86">
        <f>tbl_estimated_costs_quantities[[#This Row],[Doors Replacement Repair]]*BOQs!$L$9</f>
        <v>0</v>
      </c>
      <c r="AD486" s="76"/>
      <c r="AE486" s="37"/>
      <c r="AF486" s="86">
        <f>tbl_estimated_costs_quantities[[#This Row],[Windows Replacement Repair]]*BOQs!$L$10</f>
        <v>0</v>
      </c>
      <c r="AG486" s="76"/>
      <c r="AH486" s="37"/>
      <c r="AI486" s="86">
        <f>tbl_estimated_costs_quantities[[#This Row],[Bathroom Rehabilitation]]*BOQs!$L$11</f>
        <v>0</v>
      </c>
      <c r="AJ486" s="76"/>
      <c r="AK486" s="37"/>
      <c r="AL486" s="86">
        <f>tbl_estimated_costs_quantities[[#This Row],[Ceramic Tile Works WASH]]*BOQs!$L$12</f>
        <v>0</v>
      </c>
      <c r="AM486" s="76"/>
      <c r="AN486" s="37"/>
      <c r="AO486" s="86">
        <f>tbl_estimated_costs_quantities[[#This Row],[Electrical Repairs Lighting]]*BOQs!$L$13</f>
        <v>0</v>
      </c>
      <c r="AP486" s="76"/>
      <c r="AQ486" s="37"/>
      <c r="AR486" s="86">
        <f>tbl_estimated_costs_quantities[[#This Row],[Roof Insulation Leak Sealing]]*BOQs!$L$14</f>
        <v>0</v>
      </c>
      <c r="AS486" s="76"/>
      <c r="AT486" s="37"/>
      <c r="AU486" s="86">
        <f>tbl_estimated_costs_quantities[[#This Row],[Chimney Duct Cleaning Repair]]*BOQs!$L$15</f>
        <v>0</v>
      </c>
      <c r="AV486" s="76"/>
      <c r="AW486" s="37"/>
      <c r="AX486" s="89">
        <f>tbl_estimated_costs_quantities[[#This Row],[Accessibility Adaptations]]*BOQs!$L$16</f>
        <v>0</v>
      </c>
      <c r="AY486" s="86" t="str">
        <f>IF(tbl_estimated_costs_quantities[[#This Row],[Total cost]]&lt;&gt;0,tbl_estimated_costs_quantities[[#This Row],[Total cost]]/BOQs!$A$1,"")</f>
        <v/>
      </c>
      <c r="AZ486" s="37"/>
      <c r="BA486" s="37"/>
      <c r="BB486" s="37"/>
      <c r="BC486" s="37"/>
      <c r="BD486" s="41"/>
      <c r="BE486" s="37"/>
      <c r="BF486" s="37"/>
      <c r="BG486" s="37"/>
      <c r="BH486" s="41"/>
    </row>
    <row r="487" spans="2:60" ht="25.15" customHeight="1" x14ac:dyDescent="0.25">
      <c r="B487" s="49">
        <v>483</v>
      </c>
      <c r="C487" s="37"/>
      <c r="D487" s="41"/>
      <c r="E487" s="40"/>
      <c r="F487" s="87" t="str">
        <f>IF(tbl_estimated_costs_quantities[[#This Row],[House Code]]&lt;&gt;"",INDEX(tbl_Assessment[],MATCH(tbl_estimated_costs_quantities[[#This Row],[House Code]],tbl_Assessment[House Code],0),3),"")</f>
        <v/>
      </c>
      <c r="G487" s="115" t="str">
        <f>IF(tbl_estimated_costs_quantities[[#This Row],[House Code]]&lt;&gt;"",INDEX(tbl_Assessment[],MATCH(tbl_estimated_costs_quantities[[#This Row],[House Code]],tbl_Assessment[House Code],0),9),"")</f>
        <v/>
      </c>
      <c r="H48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7" s="75"/>
      <c r="J487" s="37"/>
      <c r="K487" s="86">
        <f>tbl_estimated_costs_quantities[[#This Row],[Site Preparation]]*BOQs!$L$3</f>
        <v>0</v>
      </c>
      <c r="L487" s="76"/>
      <c r="M487" s="37"/>
      <c r="N487" s="86">
        <f>tbl_estimated_costs_quantities[[#This Row],[Demolition Removal Unsafe Structures]]*BOQs!$L$4</f>
        <v>0</v>
      </c>
      <c r="O487" s="76"/>
      <c r="P487" s="37"/>
      <c r="Q487" s="86">
        <f>tbl_estimated_costs_quantities[[#This Row],[Concrete Works]]*BOQs!$L$5</f>
        <v>0</v>
      </c>
      <c r="R487" s="76"/>
      <c r="S487" s="37"/>
      <c r="T487" s="86">
        <f>tbl_estimated_costs_quantities[[#This Row],[Closure External Openings Walls Windows]]*BOQs!$L$6</f>
        <v>0</v>
      </c>
      <c r="U487" s="76"/>
      <c r="V487" s="37"/>
      <c r="W487" s="86">
        <f>tbl_estimated_costs_quantities[[#This Row],[Plastering Painting]]*BOQs!$L$7</f>
        <v>0</v>
      </c>
      <c r="X487" s="76"/>
      <c r="Y487" s="37"/>
      <c r="Z487" s="86">
        <f>tbl_estimated_costs_quantities[[#This Row],[Floor Repairs]]*BOQs!$L$8</f>
        <v>0</v>
      </c>
      <c r="AA487" s="76"/>
      <c r="AB487" s="37"/>
      <c r="AC487" s="86">
        <f>tbl_estimated_costs_quantities[[#This Row],[Doors Replacement Repair]]*BOQs!$L$9</f>
        <v>0</v>
      </c>
      <c r="AD487" s="76"/>
      <c r="AE487" s="37"/>
      <c r="AF487" s="86">
        <f>tbl_estimated_costs_quantities[[#This Row],[Windows Replacement Repair]]*BOQs!$L$10</f>
        <v>0</v>
      </c>
      <c r="AG487" s="76"/>
      <c r="AH487" s="37"/>
      <c r="AI487" s="86">
        <f>tbl_estimated_costs_quantities[[#This Row],[Bathroom Rehabilitation]]*BOQs!$L$11</f>
        <v>0</v>
      </c>
      <c r="AJ487" s="76"/>
      <c r="AK487" s="37"/>
      <c r="AL487" s="86">
        <f>tbl_estimated_costs_quantities[[#This Row],[Ceramic Tile Works WASH]]*BOQs!$L$12</f>
        <v>0</v>
      </c>
      <c r="AM487" s="76"/>
      <c r="AN487" s="37"/>
      <c r="AO487" s="86">
        <f>tbl_estimated_costs_quantities[[#This Row],[Electrical Repairs Lighting]]*BOQs!$L$13</f>
        <v>0</v>
      </c>
      <c r="AP487" s="76"/>
      <c r="AQ487" s="37"/>
      <c r="AR487" s="86">
        <f>tbl_estimated_costs_quantities[[#This Row],[Roof Insulation Leak Sealing]]*BOQs!$L$14</f>
        <v>0</v>
      </c>
      <c r="AS487" s="76"/>
      <c r="AT487" s="37"/>
      <c r="AU487" s="86">
        <f>tbl_estimated_costs_quantities[[#This Row],[Chimney Duct Cleaning Repair]]*BOQs!$L$15</f>
        <v>0</v>
      </c>
      <c r="AV487" s="76"/>
      <c r="AW487" s="37"/>
      <c r="AX487" s="89">
        <f>tbl_estimated_costs_quantities[[#This Row],[Accessibility Adaptations]]*BOQs!$L$16</f>
        <v>0</v>
      </c>
      <c r="AY487" s="86" t="str">
        <f>IF(tbl_estimated_costs_quantities[[#This Row],[Total cost]]&lt;&gt;0,tbl_estimated_costs_quantities[[#This Row],[Total cost]]/BOQs!$A$1,"")</f>
        <v/>
      </c>
      <c r="AZ487" s="37"/>
      <c r="BA487" s="37"/>
      <c r="BB487" s="37"/>
      <c r="BC487" s="37"/>
      <c r="BD487" s="41"/>
      <c r="BE487" s="37"/>
      <c r="BF487" s="37"/>
      <c r="BG487" s="37"/>
      <c r="BH487" s="41"/>
    </row>
    <row r="488" spans="2:60" ht="25.15" customHeight="1" x14ac:dyDescent="0.25">
      <c r="B488" s="49">
        <v>484</v>
      </c>
      <c r="C488" s="37"/>
      <c r="D488" s="41"/>
      <c r="E488" s="40"/>
      <c r="F488" s="87" t="str">
        <f>IF(tbl_estimated_costs_quantities[[#This Row],[House Code]]&lt;&gt;"",INDEX(tbl_Assessment[],MATCH(tbl_estimated_costs_quantities[[#This Row],[House Code]],tbl_Assessment[House Code],0),3),"")</f>
        <v/>
      </c>
      <c r="G488" s="115" t="str">
        <f>IF(tbl_estimated_costs_quantities[[#This Row],[House Code]]&lt;&gt;"",INDEX(tbl_Assessment[],MATCH(tbl_estimated_costs_quantities[[#This Row],[House Code]],tbl_Assessment[House Code],0),9),"")</f>
        <v/>
      </c>
      <c r="H48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8" s="75"/>
      <c r="J488" s="37"/>
      <c r="K488" s="86">
        <f>tbl_estimated_costs_quantities[[#This Row],[Site Preparation]]*BOQs!$L$3</f>
        <v>0</v>
      </c>
      <c r="L488" s="76"/>
      <c r="M488" s="37"/>
      <c r="N488" s="86">
        <f>tbl_estimated_costs_quantities[[#This Row],[Demolition Removal Unsafe Structures]]*BOQs!$L$4</f>
        <v>0</v>
      </c>
      <c r="O488" s="76"/>
      <c r="P488" s="37"/>
      <c r="Q488" s="86">
        <f>tbl_estimated_costs_quantities[[#This Row],[Concrete Works]]*BOQs!$L$5</f>
        <v>0</v>
      </c>
      <c r="R488" s="76"/>
      <c r="S488" s="37"/>
      <c r="T488" s="86">
        <f>tbl_estimated_costs_quantities[[#This Row],[Closure External Openings Walls Windows]]*BOQs!$L$6</f>
        <v>0</v>
      </c>
      <c r="U488" s="76"/>
      <c r="V488" s="37"/>
      <c r="W488" s="86">
        <f>tbl_estimated_costs_quantities[[#This Row],[Plastering Painting]]*BOQs!$L$7</f>
        <v>0</v>
      </c>
      <c r="X488" s="76"/>
      <c r="Y488" s="37"/>
      <c r="Z488" s="86">
        <f>tbl_estimated_costs_quantities[[#This Row],[Floor Repairs]]*BOQs!$L$8</f>
        <v>0</v>
      </c>
      <c r="AA488" s="76"/>
      <c r="AB488" s="37"/>
      <c r="AC488" s="86">
        <f>tbl_estimated_costs_quantities[[#This Row],[Doors Replacement Repair]]*BOQs!$L$9</f>
        <v>0</v>
      </c>
      <c r="AD488" s="76"/>
      <c r="AE488" s="37"/>
      <c r="AF488" s="86">
        <f>tbl_estimated_costs_quantities[[#This Row],[Windows Replacement Repair]]*BOQs!$L$10</f>
        <v>0</v>
      </c>
      <c r="AG488" s="76"/>
      <c r="AH488" s="37"/>
      <c r="AI488" s="86">
        <f>tbl_estimated_costs_quantities[[#This Row],[Bathroom Rehabilitation]]*BOQs!$L$11</f>
        <v>0</v>
      </c>
      <c r="AJ488" s="76"/>
      <c r="AK488" s="37"/>
      <c r="AL488" s="86">
        <f>tbl_estimated_costs_quantities[[#This Row],[Ceramic Tile Works WASH]]*BOQs!$L$12</f>
        <v>0</v>
      </c>
      <c r="AM488" s="76"/>
      <c r="AN488" s="37"/>
      <c r="AO488" s="86">
        <f>tbl_estimated_costs_quantities[[#This Row],[Electrical Repairs Lighting]]*BOQs!$L$13</f>
        <v>0</v>
      </c>
      <c r="AP488" s="76"/>
      <c r="AQ488" s="37"/>
      <c r="AR488" s="86">
        <f>tbl_estimated_costs_quantities[[#This Row],[Roof Insulation Leak Sealing]]*BOQs!$L$14</f>
        <v>0</v>
      </c>
      <c r="AS488" s="76"/>
      <c r="AT488" s="37"/>
      <c r="AU488" s="86">
        <f>tbl_estimated_costs_quantities[[#This Row],[Chimney Duct Cleaning Repair]]*BOQs!$L$15</f>
        <v>0</v>
      </c>
      <c r="AV488" s="76"/>
      <c r="AW488" s="37"/>
      <c r="AX488" s="89">
        <f>tbl_estimated_costs_quantities[[#This Row],[Accessibility Adaptations]]*BOQs!$L$16</f>
        <v>0</v>
      </c>
      <c r="AY488" s="86" t="str">
        <f>IF(tbl_estimated_costs_quantities[[#This Row],[Total cost]]&lt;&gt;0,tbl_estimated_costs_quantities[[#This Row],[Total cost]]/BOQs!$A$1,"")</f>
        <v/>
      </c>
      <c r="AZ488" s="37"/>
      <c r="BA488" s="37"/>
      <c r="BB488" s="37"/>
      <c r="BC488" s="37"/>
      <c r="BD488" s="41"/>
      <c r="BE488" s="37"/>
      <c r="BF488" s="37"/>
      <c r="BG488" s="37"/>
      <c r="BH488" s="41"/>
    </row>
    <row r="489" spans="2:60" ht="25.15" customHeight="1" x14ac:dyDescent="0.25">
      <c r="B489" s="49">
        <v>485</v>
      </c>
      <c r="C489" s="37"/>
      <c r="D489" s="41"/>
      <c r="E489" s="40"/>
      <c r="F489" s="87" t="str">
        <f>IF(tbl_estimated_costs_quantities[[#This Row],[House Code]]&lt;&gt;"",INDEX(tbl_Assessment[],MATCH(tbl_estimated_costs_quantities[[#This Row],[House Code]],tbl_Assessment[House Code],0),3),"")</f>
        <v/>
      </c>
      <c r="G489" s="115" t="str">
        <f>IF(tbl_estimated_costs_quantities[[#This Row],[House Code]]&lt;&gt;"",INDEX(tbl_Assessment[],MATCH(tbl_estimated_costs_quantities[[#This Row],[House Code]],tbl_Assessment[House Code],0),9),"")</f>
        <v/>
      </c>
      <c r="H48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89" s="75"/>
      <c r="J489" s="37"/>
      <c r="K489" s="86">
        <f>tbl_estimated_costs_quantities[[#This Row],[Site Preparation]]*BOQs!$L$3</f>
        <v>0</v>
      </c>
      <c r="L489" s="76"/>
      <c r="M489" s="37"/>
      <c r="N489" s="86">
        <f>tbl_estimated_costs_quantities[[#This Row],[Demolition Removal Unsafe Structures]]*BOQs!$L$4</f>
        <v>0</v>
      </c>
      <c r="O489" s="76"/>
      <c r="P489" s="37"/>
      <c r="Q489" s="86">
        <f>tbl_estimated_costs_quantities[[#This Row],[Concrete Works]]*BOQs!$L$5</f>
        <v>0</v>
      </c>
      <c r="R489" s="76"/>
      <c r="S489" s="37"/>
      <c r="T489" s="86">
        <f>tbl_estimated_costs_quantities[[#This Row],[Closure External Openings Walls Windows]]*BOQs!$L$6</f>
        <v>0</v>
      </c>
      <c r="U489" s="76"/>
      <c r="V489" s="37"/>
      <c r="W489" s="86">
        <f>tbl_estimated_costs_quantities[[#This Row],[Plastering Painting]]*BOQs!$L$7</f>
        <v>0</v>
      </c>
      <c r="X489" s="76"/>
      <c r="Y489" s="37"/>
      <c r="Z489" s="86">
        <f>tbl_estimated_costs_quantities[[#This Row],[Floor Repairs]]*BOQs!$L$8</f>
        <v>0</v>
      </c>
      <c r="AA489" s="76"/>
      <c r="AB489" s="37"/>
      <c r="AC489" s="86">
        <f>tbl_estimated_costs_quantities[[#This Row],[Doors Replacement Repair]]*BOQs!$L$9</f>
        <v>0</v>
      </c>
      <c r="AD489" s="76"/>
      <c r="AE489" s="37"/>
      <c r="AF489" s="86">
        <f>tbl_estimated_costs_quantities[[#This Row],[Windows Replacement Repair]]*BOQs!$L$10</f>
        <v>0</v>
      </c>
      <c r="AG489" s="76"/>
      <c r="AH489" s="37"/>
      <c r="AI489" s="86">
        <f>tbl_estimated_costs_quantities[[#This Row],[Bathroom Rehabilitation]]*BOQs!$L$11</f>
        <v>0</v>
      </c>
      <c r="AJ489" s="76"/>
      <c r="AK489" s="37"/>
      <c r="AL489" s="86">
        <f>tbl_estimated_costs_quantities[[#This Row],[Ceramic Tile Works WASH]]*BOQs!$L$12</f>
        <v>0</v>
      </c>
      <c r="AM489" s="76"/>
      <c r="AN489" s="37"/>
      <c r="AO489" s="86">
        <f>tbl_estimated_costs_quantities[[#This Row],[Electrical Repairs Lighting]]*BOQs!$L$13</f>
        <v>0</v>
      </c>
      <c r="AP489" s="76"/>
      <c r="AQ489" s="37"/>
      <c r="AR489" s="86">
        <f>tbl_estimated_costs_quantities[[#This Row],[Roof Insulation Leak Sealing]]*BOQs!$L$14</f>
        <v>0</v>
      </c>
      <c r="AS489" s="76"/>
      <c r="AT489" s="37"/>
      <c r="AU489" s="86">
        <f>tbl_estimated_costs_quantities[[#This Row],[Chimney Duct Cleaning Repair]]*BOQs!$L$15</f>
        <v>0</v>
      </c>
      <c r="AV489" s="76"/>
      <c r="AW489" s="37"/>
      <c r="AX489" s="89">
        <f>tbl_estimated_costs_quantities[[#This Row],[Accessibility Adaptations]]*BOQs!$L$16</f>
        <v>0</v>
      </c>
      <c r="AY489" s="86" t="str">
        <f>IF(tbl_estimated_costs_quantities[[#This Row],[Total cost]]&lt;&gt;0,tbl_estimated_costs_quantities[[#This Row],[Total cost]]/BOQs!$A$1,"")</f>
        <v/>
      </c>
      <c r="AZ489" s="37"/>
      <c r="BA489" s="37"/>
      <c r="BB489" s="37"/>
      <c r="BC489" s="37"/>
      <c r="BD489" s="41"/>
      <c r="BE489" s="37"/>
      <c r="BF489" s="37"/>
      <c r="BG489" s="37"/>
      <c r="BH489" s="41"/>
    </row>
    <row r="490" spans="2:60" ht="25.15" customHeight="1" x14ac:dyDescent="0.25">
      <c r="B490" s="49">
        <v>486</v>
      </c>
      <c r="C490" s="37"/>
      <c r="D490" s="41"/>
      <c r="E490" s="40"/>
      <c r="F490" s="87" t="str">
        <f>IF(tbl_estimated_costs_quantities[[#This Row],[House Code]]&lt;&gt;"",INDEX(tbl_Assessment[],MATCH(tbl_estimated_costs_quantities[[#This Row],[House Code]],tbl_Assessment[House Code],0),3),"")</f>
        <v/>
      </c>
      <c r="G490" s="115" t="str">
        <f>IF(tbl_estimated_costs_quantities[[#This Row],[House Code]]&lt;&gt;"",INDEX(tbl_Assessment[],MATCH(tbl_estimated_costs_quantities[[#This Row],[House Code]],tbl_Assessment[House Code],0),9),"")</f>
        <v/>
      </c>
      <c r="H49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0" s="75"/>
      <c r="J490" s="37"/>
      <c r="K490" s="86">
        <f>tbl_estimated_costs_quantities[[#This Row],[Site Preparation]]*BOQs!$L$3</f>
        <v>0</v>
      </c>
      <c r="L490" s="76"/>
      <c r="M490" s="37"/>
      <c r="N490" s="86">
        <f>tbl_estimated_costs_quantities[[#This Row],[Demolition Removal Unsafe Structures]]*BOQs!$L$4</f>
        <v>0</v>
      </c>
      <c r="O490" s="76"/>
      <c r="P490" s="37"/>
      <c r="Q490" s="86">
        <f>tbl_estimated_costs_quantities[[#This Row],[Concrete Works]]*BOQs!$L$5</f>
        <v>0</v>
      </c>
      <c r="R490" s="76"/>
      <c r="S490" s="37"/>
      <c r="T490" s="86">
        <f>tbl_estimated_costs_quantities[[#This Row],[Closure External Openings Walls Windows]]*BOQs!$L$6</f>
        <v>0</v>
      </c>
      <c r="U490" s="76"/>
      <c r="V490" s="37"/>
      <c r="W490" s="86">
        <f>tbl_estimated_costs_quantities[[#This Row],[Plastering Painting]]*BOQs!$L$7</f>
        <v>0</v>
      </c>
      <c r="X490" s="76"/>
      <c r="Y490" s="37"/>
      <c r="Z490" s="86">
        <f>tbl_estimated_costs_quantities[[#This Row],[Floor Repairs]]*BOQs!$L$8</f>
        <v>0</v>
      </c>
      <c r="AA490" s="76"/>
      <c r="AB490" s="37"/>
      <c r="AC490" s="86">
        <f>tbl_estimated_costs_quantities[[#This Row],[Doors Replacement Repair]]*BOQs!$L$9</f>
        <v>0</v>
      </c>
      <c r="AD490" s="76"/>
      <c r="AE490" s="37"/>
      <c r="AF490" s="86">
        <f>tbl_estimated_costs_quantities[[#This Row],[Windows Replacement Repair]]*BOQs!$L$10</f>
        <v>0</v>
      </c>
      <c r="AG490" s="76"/>
      <c r="AH490" s="37"/>
      <c r="AI490" s="86">
        <f>tbl_estimated_costs_quantities[[#This Row],[Bathroom Rehabilitation]]*BOQs!$L$11</f>
        <v>0</v>
      </c>
      <c r="AJ490" s="76"/>
      <c r="AK490" s="37"/>
      <c r="AL490" s="86">
        <f>tbl_estimated_costs_quantities[[#This Row],[Ceramic Tile Works WASH]]*BOQs!$L$12</f>
        <v>0</v>
      </c>
      <c r="AM490" s="76"/>
      <c r="AN490" s="37"/>
      <c r="AO490" s="86">
        <f>tbl_estimated_costs_quantities[[#This Row],[Electrical Repairs Lighting]]*BOQs!$L$13</f>
        <v>0</v>
      </c>
      <c r="AP490" s="76"/>
      <c r="AQ490" s="37"/>
      <c r="AR490" s="86">
        <f>tbl_estimated_costs_quantities[[#This Row],[Roof Insulation Leak Sealing]]*BOQs!$L$14</f>
        <v>0</v>
      </c>
      <c r="AS490" s="76"/>
      <c r="AT490" s="37"/>
      <c r="AU490" s="86">
        <f>tbl_estimated_costs_quantities[[#This Row],[Chimney Duct Cleaning Repair]]*BOQs!$L$15</f>
        <v>0</v>
      </c>
      <c r="AV490" s="76"/>
      <c r="AW490" s="37"/>
      <c r="AX490" s="89">
        <f>tbl_estimated_costs_quantities[[#This Row],[Accessibility Adaptations]]*BOQs!$L$16</f>
        <v>0</v>
      </c>
      <c r="AY490" s="86" t="str">
        <f>IF(tbl_estimated_costs_quantities[[#This Row],[Total cost]]&lt;&gt;0,tbl_estimated_costs_quantities[[#This Row],[Total cost]]/BOQs!$A$1,"")</f>
        <v/>
      </c>
      <c r="AZ490" s="37"/>
      <c r="BA490" s="37"/>
      <c r="BB490" s="37"/>
      <c r="BC490" s="37"/>
      <c r="BD490" s="41"/>
      <c r="BE490" s="37"/>
      <c r="BF490" s="37"/>
      <c r="BG490" s="37"/>
      <c r="BH490" s="41"/>
    </row>
    <row r="491" spans="2:60" ht="25.15" customHeight="1" x14ac:dyDescent="0.25">
      <c r="B491" s="49">
        <v>487</v>
      </c>
      <c r="C491" s="37"/>
      <c r="D491" s="41"/>
      <c r="E491" s="40"/>
      <c r="F491" s="87" t="str">
        <f>IF(tbl_estimated_costs_quantities[[#This Row],[House Code]]&lt;&gt;"",INDEX(tbl_Assessment[],MATCH(tbl_estimated_costs_quantities[[#This Row],[House Code]],tbl_Assessment[House Code],0),3),"")</f>
        <v/>
      </c>
      <c r="G491" s="115" t="str">
        <f>IF(tbl_estimated_costs_quantities[[#This Row],[House Code]]&lt;&gt;"",INDEX(tbl_Assessment[],MATCH(tbl_estimated_costs_quantities[[#This Row],[House Code]],tbl_Assessment[House Code],0),9),"")</f>
        <v/>
      </c>
      <c r="H49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1" s="75"/>
      <c r="J491" s="37"/>
      <c r="K491" s="86">
        <f>tbl_estimated_costs_quantities[[#This Row],[Site Preparation]]*BOQs!$L$3</f>
        <v>0</v>
      </c>
      <c r="L491" s="76"/>
      <c r="M491" s="37"/>
      <c r="N491" s="86">
        <f>tbl_estimated_costs_quantities[[#This Row],[Demolition Removal Unsafe Structures]]*BOQs!$L$4</f>
        <v>0</v>
      </c>
      <c r="O491" s="76"/>
      <c r="P491" s="37"/>
      <c r="Q491" s="86">
        <f>tbl_estimated_costs_quantities[[#This Row],[Concrete Works]]*BOQs!$L$5</f>
        <v>0</v>
      </c>
      <c r="R491" s="76"/>
      <c r="S491" s="37"/>
      <c r="T491" s="86">
        <f>tbl_estimated_costs_quantities[[#This Row],[Closure External Openings Walls Windows]]*BOQs!$L$6</f>
        <v>0</v>
      </c>
      <c r="U491" s="76"/>
      <c r="V491" s="37"/>
      <c r="W491" s="86">
        <f>tbl_estimated_costs_quantities[[#This Row],[Plastering Painting]]*BOQs!$L$7</f>
        <v>0</v>
      </c>
      <c r="X491" s="76"/>
      <c r="Y491" s="37"/>
      <c r="Z491" s="86">
        <f>tbl_estimated_costs_quantities[[#This Row],[Floor Repairs]]*BOQs!$L$8</f>
        <v>0</v>
      </c>
      <c r="AA491" s="76"/>
      <c r="AB491" s="37"/>
      <c r="AC491" s="86">
        <f>tbl_estimated_costs_quantities[[#This Row],[Doors Replacement Repair]]*BOQs!$L$9</f>
        <v>0</v>
      </c>
      <c r="AD491" s="76"/>
      <c r="AE491" s="37"/>
      <c r="AF491" s="86">
        <f>tbl_estimated_costs_quantities[[#This Row],[Windows Replacement Repair]]*BOQs!$L$10</f>
        <v>0</v>
      </c>
      <c r="AG491" s="76"/>
      <c r="AH491" s="37"/>
      <c r="AI491" s="86">
        <f>tbl_estimated_costs_quantities[[#This Row],[Bathroom Rehabilitation]]*BOQs!$L$11</f>
        <v>0</v>
      </c>
      <c r="AJ491" s="76"/>
      <c r="AK491" s="37"/>
      <c r="AL491" s="86">
        <f>tbl_estimated_costs_quantities[[#This Row],[Ceramic Tile Works WASH]]*BOQs!$L$12</f>
        <v>0</v>
      </c>
      <c r="AM491" s="76"/>
      <c r="AN491" s="37"/>
      <c r="AO491" s="86">
        <f>tbl_estimated_costs_quantities[[#This Row],[Electrical Repairs Lighting]]*BOQs!$L$13</f>
        <v>0</v>
      </c>
      <c r="AP491" s="76"/>
      <c r="AQ491" s="37"/>
      <c r="AR491" s="86">
        <f>tbl_estimated_costs_quantities[[#This Row],[Roof Insulation Leak Sealing]]*BOQs!$L$14</f>
        <v>0</v>
      </c>
      <c r="AS491" s="76"/>
      <c r="AT491" s="37"/>
      <c r="AU491" s="86">
        <f>tbl_estimated_costs_quantities[[#This Row],[Chimney Duct Cleaning Repair]]*BOQs!$L$15</f>
        <v>0</v>
      </c>
      <c r="AV491" s="76"/>
      <c r="AW491" s="37"/>
      <c r="AX491" s="89">
        <f>tbl_estimated_costs_quantities[[#This Row],[Accessibility Adaptations]]*BOQs!$L$16</f>
        <v>0</v>
      </c>
      <c r="AY491" s="86" t="str">
        <f>IF(tbl_estimated_costs_quantities[[#This Row],[Total cost]]&lt;&gt;0,tbl_estimated_costs_quantities[[#This Row],[Total cost]]/BOQs!$A$1,"")</f>
        <v/>
      </c>
      <c r="AZ491" s="37"/>
      <c r="BA491" s="37"/>
      <c r="BB491" s="37"/>
      <c r="BC491" s="37"/>
      <c r="BD491" s="41"/>
      <c r="BE491" s="37"/>
      <c r="BF491" s="37"/>
      <c r="BG491" s="37"/>
      <c r="BH491" s="41"/>
    </row>
    <row r="492" spans="2:60" ht="25.15" customHeight="1" x14ac:dyDescent="0.25">
      <c r="B492" s="49">
        <v>488</v>
      </c>
      <c r="C492" s="37"/>
      <c r="D492" s="41"/>
      <c r="E492" s="40"/>
      <c r="F492" s="87" t="str">
        <f>IF(tbl_estimated_costs_quantities[[#This Row],[House Code]]&lt;&gt;"",INDEX(tbl_Assessment[],MATCH(tbl_estimated_costs_quantities[[#This Row],[House Code]],tbl_Assessment[House Code],0),3),"")</f>
        <v/>
      </c>
      <c r="G492" s="115" t="str">
        <f>IF(tbl_estimated_costs_quantities[[#This Row],[House Code]]&lt;&gt;"",INDEX(tbl_Assessment[],MATCH(tbl_estimated_costs_quantities[[#This Row],[House Code]],tbl_Assessment[House Code],0),9),"")</f>
        <v/>
      </c>
      <c r="H49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2" s="75"/>
      <c r="J492" s="37"/>
      <c r="K492" s="86">
        <f>tbl_estimated_costs_quantities[[#This Row],[Site Preparation]]*BOQs!$L$3</f>
        <v>0</v>
      </c>
      <c r="L492" s="76"/>
      <c r="M492" s="37"/>
      <c r="N492" s="86">
        <f>tbl_estimated_costs_quantities[[#This Row],[Demolition Removal Unsafe Structures]]*BOQs!$L$4</f>
        <v>0</v>
      </c>
      <c r="O492" s="76"/>
      <c r="P492" s="37"/>
      <c r="Q492" s="86">
        <f>tbl_estimated_costs_quantities[[#This Row],[Concrete Works]]*BOQs!$L$5</f>
        <v>0</v>
      </c>
      <c r="R492" s="76"/>
      <c r="S492" s="37"/>
      <c r="T492" s="86">
        <f>tbl_estimated_costs_quantities[[#This Row],[Closure External Openings Walls Windows]]*BOQs!$L$6</f>
        <v>0</v>
      </c>
      <c r="U492" s="76"/>
      <c r="V492" s="37"/>
      <c r="W492" s="86">
        <f>tbl_estimated_costs_quantities[[#This Row],[Plastering Painting]]*BOQs!$L$7</f>
        <v>0</v>
      </c>
      <c r="X492" s="76"/>
      <c r="Y492" s="37"/>
      <c r="Z492" s="86">
        <f>tbl_estimated_costs_quantities[[#This Row],[Floor Repairs]]*BOQs!$L$8</f>
        <v>0</v>
      </c>
      <c r="AA492" s="76"/>
      <c r="AB492" s="37"/>
      <c r="AC492" s="86">
        <f>tbl_estimated_costs_quantities[[#This Row],[Doors Replacement Repair]]*BOQs!$L$9</f>
        <v>0</v>
      </c>
      <c r="AD492" s="76"/>
      <c r="AE492" s="37"/>
      <c r="AF492" s="86">
        <f>tbl_estimated_costs_quantities[[#This Row],[Windows Replacement Repair]]*BOQs!$L$10</f>
        <v>0</v>
      </c>
      <c r="AG492" s="76"/>
      <c r="AH492" s="37"/>
      <c r="AI492" s="86">
        <f>tbl_estimated_costs_quantities[[#This Row],[Bathroom Rehabilitation]]*BOQs!$L$11</f>
        <v>0</v>
      </c>
      <c r="AJ492" s="76"/>
      <c r="AK492" s="37"/>
      <c r="AL492" s="86">
        <f>tbl_estimated_costs_quantities[[#This Row],[Ceramic Tile Works WASH]]*BOQs!$L$12</f>
        <v>0</v>
      </c>
      <c r="AM492" s="76"/>
      <c r="AN492" s="37"/>
      <c r="AO492" s="86">
        <f>tbl_estimated_costs_quantities[[#This Row],[Electrical Repairs Lighting]]*BOQs!$L$13</f>
        <v>0</v>
      </c>
      <c r="AP492" s="76"/>
      <c r="AQ492" s="37"/>
      <c r="AR492" s="86">
        <f>tbl_estimated_costs_quantities[[#This Row],[Roof Insulation Leak Sealing]]*BOQs!$L$14</f>
        <v>0</v>
      </c>
      <c r="AS492" s="76"/>
      <c r="AT492" s="37"/>
      <c r="AU492" s="86">
        <f>tbl_estimated_costs_quantities[[#This Row],[Chimney Duct Cleaning Repair]]*BOQs!$L$15</f>
        <v>0</v>
      </c>
      <c r="AV492" s="76"/>
      <c r="AW492" s="37"/>
      <c r="AX492" s="89">
        <f>tbl_estimated_costs_quantities[[#This Row],[Accessibility Adaptations]]*BOQs!$L$16</f>
        <v>0</v>
      </c>
      <c r="AY492" s="86" t="str">
        <f>IF(tbl_estimated_costs_quantities[[#This Row],[Total cost]]&lt;&gt;0,tbl_estimated_costs_quantities[[#This Row],[Total cost]]/BOQs!$A$1,"")</f>
        <v/>
      </c>
      <c r="AZ492" s="37"/>
      <c r="BA492" s="37"/>
      <c r="BB492" s="37"/>
      <c r="BC492" s="37"/>
      <c r="BD492" s="41"/>
      <c r="BE492" s="37"/>
      <c r="BF492" s="37"/>
      <c r="BG492" s="37"/>
      <c r="BH492" s="41"/>
    </row>
    <row r="493" spans="2:60" ht="25.15" customHeight="1" x14ac:dyDescent="0.25">
      <c r="B493" s="49">
        <v>489</v>
      </c>
      <c r="C493" s="37"/>
      <c r="D493" s="41"/>
      <c r="E493" s="40"/>
      <c r="F493" s="87" t="str">
        <f>IF(tbl_estimated_costs_quantities[[#This Row],[House Code]]&lt;&gt;"",INDEX(tbl_Assessment[],MATCH(tbl_estimated_costs_quantities[[#This Row],[House Code]],tbl_Assessment[House Code],0),3),"")</f>
        <v/>
      </c>
      <c r="G493" s="115" t="str">
        <f>IF(tbl_estimated_costs_quantities[[#This Row],[House Code]]&lt;&gt;"",INDEX(tbl_Assessment[],MATCH(tbl_estimated_costs_quantities[[#This Row],[House Code]],tbl_Assessment[House Code],0),9),"")</f>
        <v/>
      </c>
      <c r="H49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3" s="75"/>
      <c r="J493" s="37"/>
      <c r="K493" s="86">
        <f>tbl_estimated_costs_quantities[[#This Row],[Site Preparation]]*BOQs!$L$3</f>
        <v>0</v>
      </c>
      <c r="L493" s="76"/>
      <c r="M493" s="37"/>
      <c r="N493" s="86">
        <f>tbl_estimated_costs_quantities[[#This Row],[Demolition Removal Unsafe Structures]]*BOQs!$L$4</f>
        <v>0</v>
      </c>
      <c r="O493" s="76"/>
      <c r="P493" s="37"/>
      <c r="Q493" s="86">
        <f>tbl_estimated_costs_quantities[[#This Row],[Concrete Works]]*BOQs!$L$5</f>
        <v>0</v>
      </c>
      <c r="R493" s="76"/>
      <c r="S493" s="37"/>
      <c r="T493" s="86">
        <f>tbl_estimated_costs_quantities[[#This Row],[Closure External Openings Walls Windows]]*BOQs!$L$6</f>
        <v>0</v>
      </c>
      <c r="U493" s="76"/>
      <c r="V493" s="37"/>
      <c r="W493" s="86">
        <f>tbl_estimated_costs_quantities[[#This Row],[Plastering Painting]]*BOQs!$L$7</f>
        <v>0</v>
      </c>
      <c r="X493" s="76"/>
      <c r="Y493" s="37"/>
      <c r="Z493" s="86">
        <f>tbl_estimated_costs_quantities[[#This Row],[Floor Repairs]]*BOQs!$L$8</f>
        <v>0</v>
      </c>
      <c r="AA493" s="76"/>
      <c r="AB493" s="37"/>
      <c r="AC493" s="86">
        <f>tbl_estimated_costs_quantities[[#This Row],[Doors Replacement Repair]]*BOQs!$L$9</f>
        <v>0</v>
      </c>
      <c r="AD493" s="76"/>
      <c r="AE493" s="37"/>
      <c r="AF493" s="86">
        <f>tbl_estimated_costs_quantities[[#This Row],[Windows Replacement Repair]]*BOQs!$L$10</f>
        <v>0</v>
      </c>
      <c r="AG493" s="76"/>
      <c r="AH493" s="37"/>
      <c r="AI493" s="86">
        <f>tbl_estimated_costs_quantities[[#This Row],[Bathroom Rehabilitation]]*BOQs!$L$11</f>
        <v>0</v>
      </c>
      <c r="AJ493" s="76"/>
      <c r="AK493" s="37"/>
      <c r="AL493" s="86">
        <f>tbl_estimated_costs_quantities[[#This Row],[Ceramic Tile Works WASH]]*BOQs!$L$12</f>
        <v>0</v>
      </c>
      <c r="AM493" s="76"/>
      <c r="AN493" s="37"/>
      <c r="AO493" s="86">
        <f>tbl_estimated_costs_quantities[[#This Row],[Electrical Repairs Lighting]]*BOQs!$L$13</f>
        <v>0</v>
      </c>
      <c r="AP493" s="76"/>
      <c r="AQ493" s="37"/>
      <c r="AR493" s="86">
        <f>tbl_estimated_costs_quantities[[#This Row],[Roof Insulation Leak Sealing]]*BOQs!$L$14</f>
        <v>0</v>
      </c>
      <c r="AS493" s="76"/>
      <c r="AT493" s="37"/>
      <c r="AU493" s="86">
        <f>tbl_estimated_costs_quantities[[#This Row],[Chimney Duct Cleaning Repair]]*BOQs!$L$15</f>
        <v>0</v>
      </c>
      <c r="AV493" s="76"/>
      <c r="AW493" s="37"/>
      <c r="AX493" s="89">
        <f>tbl_estimated_costs_quantities[[#This Row],[Accessibility Adaptations]]*BOQs!$L$16</f>
        <v>0</v>
      </c>
      <c r="AY493" s="86" t="str">
        <f>IF(tbl_estimated_costs_quantities[[#This Row],[Total cost]]&lt;&gt;0,tbl_estimated_costs_quantities[[#This Row],[Total cost]]/BOQs!$A$1,"")</f>
        <v/>
      </c>
      <c r="AZ493" s="37"/>
      <c r="BA493" s="37"/>
      <c r="BB493" s="37"/>
      <c r="BC493" s="37"/>
      <c r="BD493" s="41"/>
      <c r="BE493" s="37"/>
      <c r="BF493" s="37"/>
      <c r="BG493" s="37"/>
      <c r="BH493" s="41"/>
    </row>
    <row r="494" spans="2:60" ht="25.15" customHeight="1" x14ac:dyDescent="0.25">
      <c r="B494" s="49">
        <v>490</v>
      </c>
      <c r="C494" s="37"/>
      <c r="D494" s="41"/>
      <c r="E494" s="40"/>
      <c r="F494" s="87" t="str">
        <f>IF(tbl_estimated_costs_quantities[[#This Row],[House Code]]&lt;&gt;"",INDEX(tbl_Assessment[],MATCH(tbl_estimated_costs_quantities[[#This Row],[House Code]],tbl_Assessment[House Code],0),3),"")</f>
        <v/>
      </c>
      <c r="G494" s="115" t="str">
        <f>IF(tbl_estimated_costs_quantities[[#This Row],[House Code]]&lt;&gt;"",INDEX(tbl_Assessment[],MATCH(tbl_estimated_costs_quantities[[#This Row],[House Code]],tbl_Assessment[House Code],0),9),"")</f>
        <v/>
      </c>
      <c r="H49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4" s="75"/>
      <c r="J494" s="37"/>
      <c r="K494" s="86">
        <f>tbl_estimated_costs_quantities[[#This Row],[Site Preparation]]*BOQs!$L$3</f>
        <v>0</v>
      </c>
      <c r="L494" s="76"/>
      <c r="M494" s="37"/>
      <c r="N494" s="86">
        <f>tbl_estimated_costs_quantities[[#This Row],[Demolition Removal Unsafe Structures]]*BOQs!$L$4</f>
        <v>0</v>
      </c>
      <c r="O494" s="76"/>
      <c r="P494" s="37"/>
      <c r="Q494" s="86">
        <f>tbl_estimated_costs_quantities[[#This Row],[Concrete Works]]*BOQs!$L$5</f>
        <v>0</v>
      </c>
      <c r="R494" s="76"/>
      <c r="S494" s="37"/>
      <c r="T494" s="86">
        <f>tbl_estimated_costs_quantities[[#This Row],[Closure External Openings Walls Windows]]*BOQs!$L$6</f>
        <v>0</v>
      </c>
      <c r="U494" s="76"/>
      <c r="V494" s="37"/>
      <c r="W494" s="86">
        <f>tbl_estimated_costs_quantities[[#This Row],[Plastering Painting]]*BOQs!$L$7</f>
        <v>0</v>
      </c>
      <c r="X494" s="76"/>
      <c r="Y494" s="37"/>
      <c r="Z494" s="86">
        <f>tbl_estimated_costs_quantities[[#This Row],[Floor Repairs]]*BOQs!$L$8</f>
        <v>0</v>
      </c>
      <c r="AA494" s="76"/>
      <c r="AB494" s="37"/>
      <c r="AC494" s="86">
        <f>tbl_estimated_costs_quantities[[#This Row],[Doors Replacement Repair]]*BOQs!$L$9</f>
        <v>0</v>
      </c>
      <c r="AD494" s="76"/>
      <c r="AE494" s="37"/>
      <c r="AF494" s="86">
        <f>tbl_estimated_costs_quantities[[#This Row],[Windows Replacement Repair]]*BOQs!$L$10</f>
        <v>0</v>
      </c>
      <c r="AG494" s="76"/>
      <c r="AH494" s="37"/>
      <c r="AI494" s="86">
        <f>tbl_estimated_costs_quantities[[#This Row],[Bathroom Rehabilitation]]*BOQs!$L$11</f>
        <v>0</v>
      </c>
      <c r="AJ494" s="76"/>
      <c r="AK494" s="37"/>
      <c r="AL494" s="86">
        <f>tbl_estimated_costs_quantities[[#This Row],[Ceramic Tile Works WASH]]*BOQs!$L$12</f>
        <v>0</v>
      </c>
      <c r="AM494" s="76"/>
      <c r="AN494" s="37"/>
      <c r="AO494" s="86">
        <f>tbl_estimated_costs_quantities[[#This Row],[Electrical Repairs Lighting]]*BOQs!$L$13</f>
        <v>0</v>
      </c>
      <c r="AP494" s="76"/>
      <c r="AQ494" s="37"/>
      <c r="AR494" s="86">
        <f>tbl_estimated_costs_quantities[[#This Row],[Roof Insulation Leak Sealing]]*BOQs!$L$14</f>
        <v>0</v>
      </c>
      <c r="AS494" s="76"/>
      <c r="AT494" s="37"/>
      <c r="AU494" s="86">
        <f>tbl_estimated_costs_quantities[[#This Row],[Chimney Duct Cleaning Repair]]*BOQs!$L$15</f>
        <v>0</v>
      </c>
      <c r="AV494" s="76"/>
      <c r="AW494" s="37"/>
      <c r="AX494" s="89">
        <f>tbl_estimated_costs_quantities[[#This Row],[Accessibility Adaptations]]*BOQs!$L$16</f>
        <v>0</v>
      </c>
      <c r="AY494" s="86" t="str">
        <f>IF(tbl_estimated_costs_quantities[[#This Row],[Total cost]]&lt;&gt;0,tbl_estimated_costs_quantities[[#This Row],[Total cost]]/BOQs!$A$1,"")</f>
        <v/>
      </c>
      <c r="AZ494" s="37"/>
      <c r="BA494" s="37"/>
      <c r="BB494" s="37"/>
      <c r="BC494" s="37"/>
      <c r="BD494" s="41"/>
      <c r="BE494" s="37"/>
      <c r="BF494" s="37"/>
      <c r="BG494" s="37"/>
      <c r="BH494" s="41"/>
    </row>
    <row r="495" spans="2:60" ht="25.15" customHeight="1" x14ac:dyDescent="0.25">
      <c r="B495" s="49">
        <v>491</v>
      </c>
      <c r="C495" s="37"/>
      <c r="D495" s="41"/>
      <c r="E495" s="40"/>
      <c r="F495" s="87" t="str">
        <f>IF(tbl_estimated_costs_quantities[[#This Row],[House Code]]&lt;&gt;"",INDEX(tbl_Assessment[],MATCH(tbl_estimated_costs_quantities[[#This Row],[House Code]],tbl_Assessment[House Code],0),3),"")</f>
        <v/>
      </c>
      <c r="G495" s="115" t="str">
        <f>IF(tbl_estimated_costs_quantities[[#This Row],[House Code]]&lt;&gt;"",INDEX(tbl_Assessment[],MATCH(tbl_estimated_costs_quantities[[#This Row],[House Code]],tbl_Assessment[House Code],0),9),"")</f>
        <v/>
      </c>
      <c r="H49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5" s="75"/>
      <c r="J495" s="37"/>
      <c r="K495" s="86">
        <f>tbl_estimated_costs_quantities[[#This Row],[Site Preparation]]*BOQs!$L$3</f>
        <v>0</v>
      </c>
      <c r="L495" s="76"/>
      <c r="M495" s="37"/>
      <c r="N495" s="86">
        <f>tbl_estimated_costs_quantities[[#This Row],[Demolition Removal Unsafe Structures]]*BOQs!$L$4</f>
        <v>0</v>
      </c>
      <c r="O495" s="76"/>
      <c r="P495" s="37"/>
      <c r="Q495" s="86">
        <f>tbl_estimated_costs_quantities[[#This Row],[Concrete Works]]*BOQs!$L$5</f>
        <v>0</v>
      </c>
      <c r="R495" s="76"/>
      <c r="S495" s="37"/>
      <c r="T495" s="86">
        <f>tbl_estimated_costs_quantities[[#This Row],[Closure External Openings Walls Windows]]*BOQs!$L$6</f>
        <v>0</v>
      </c>
      <c r="U495" s="76"/>
      <c r="V495" s="37"/>
      <c r="W495" s="86">
        <f>tbl_estimated_costs_quantities[[#This Row],[Plastering Painting]]*BOQs!$L$7</f>
        <v>0</v>
      </c>
      <c r="X495" s="76"/>
      <c r="Y495" s="37"/>
      <c r="Z495" s="86">
        <f>tbl_estimated_costs_quantities[[#This Row],[Floor Repairs]]*BOQs!$L$8</f>
        <v>0</v>
      </c>
      <c r="AA495" s="76"/>
      <c r="AB495" s="37"/>
      <c r="AC495" s="86">
        <f>tbl_estimated_costs_quantities[[#This Row],[Doors Replacement Repair]]*BOQs!$L$9</f>
        <v>0</v>
      </c>
      <c r="AD495" s="76"/>
      <c r="AE495" s="37"/>
      <c r="AF495" s="86">
        <f>tbl_estimated_costs_quantities[[#This Row],[Windows Replacement Repair]]*BOQs!$L$10</f>
        <v>0</v>
      </c>
      <c r="AG495" s="76"/>
      <c r="AH495" s="37"/>
      <c r="AI495" s="86">
        <f>tbl_estimated_costs_quantities[[#This Row],[Bathroom Rehabilitation]]*BOQs!$L$11</f>
        <v>0</v>
      </c>
      <c r="AJ495" s="76"/>
      <c r="AK495" s="37"/>
      <c r="AL495" s="86">
        <f>tbl_estimated_costs_quantities[[#This Row],[Ceramic Tile Works WASH]]*BOQs!$L$12</f>
        <v>0</v>
      </c>
      <c r="AM495" s="76"/>
      <c r="AN495" s="37"/>
      <c r="AO495" s="86">
        <f>tbl_estimated_costs_quantities[[#This Row],[Electrical Repairs Lighting]]*BOQs!$L$13</f>
        <v>0</v>
      </c>
      <c r="AP495" s="76"/>
      <c r="AQ495" s="37"/>
      <c r="AR495" s="86">
        <f>tbl_estimated_costs_quantities[[#This Row],[Roof Insulation Leak Sealing]]*BOQs!$L$14</f>
        <v>0</v>
      </c>
      <c r="AS495" s="76"/>
      <c r="AT495" s="37"/>
      <c r="AU495" s="86">
        <f>tbl_estimated_costs_quantities[[#This Row],[Chimney Duct Cleaning Repair]]*BOQs!$L$15</f>
        <v>0</v>
      </c>
      <c r="AV495" s="76"/>
      <c r="AW495" s="37"/>
      <c r="AX495" s="89">
        <f>tbl_estimated_costs_quantities[[#This Row],[Accessibility Adaptations]]*BOQs!$L$16</f>
        <v>0</v>
      </c>
      <c r="AY495" s="86" t="str">
        <f>IF(tbl_estimated_costs_quantities[[#This Row],[Total cost]]&lt;&gt;0,tbl_estimated_costs_quantities[[#This Row],[Total cost]]/BOQs!$A$1,"")</f>
        <v/>
      </c>
      <c r="AZ495" s="37"/>
      <c r="BA495" s="37"/>
      <c r="BB495" s="37"/>
      <c r="BC495" s="37"/>
      <c r="BD495" s="41"/>
      <c r="BE495" s="37"/>
      <c r="BF495" s="37"/>
      <c r="BG495" s="37"/>
      <c r="BH495" s="41"/>
    </row>
    <row r="496" spans="2:60" ht="25.15" customHeight="1" x14ac:dyDescent="0.25">
      <c r="B496" s="49">
        <v>492</v>
      </c>
      <c r="C496" s="37"/>
      <c r="D496" s="41"/>
      <c r="E496" s="40"/>
      <c r="F496" s="87" t="str">
        <f>IF(tbl_estimated_costs_quantities[[#This Row],[House Code]]&lt;&gt;"",INDEX(tbl_Assessment[],MATCH(tbl_estimated_costs_quantities[[#This Row],[House Code]],tbl_Assessment[House Code],0),3),"")</f>
        <v/>
      </c>
      <c r="G496" s="115" t="str">
        <f>IF(tbl_estimated_costs_quantities[[#This Row],[House Code]]&lt;&gt;"",INDEX(tbl_Assessment[],MATCH(tbl_estimated_costs_quantities[[#This Row],[House Code]],tbl_Assessment[House Code],0),9),"")</f>
        <v/>
      </c>
      <c r="H49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6" s="75"/>
      <c r="J496" s="37"/>
      <c r="K496" s="86">
        <f>tbl_estimated_costs_quantities[[#This Row],[Site Preparation]]*BOQs!$L$3</f>
        <v>0</v>
      </c>
      <c r="L496" s="76"/>
      <c r="M496" s="37"/>
      <c r="N496" s="86">
        <f>tbl_estimated_costs_quantities[[#This Row],[Demolition Removal Unsafe Structures]]*BOQs!$L$4</f>
        <v>0</v>
      </c>
      <c r="O496" s="76"/>
      <c r="P496" s="37"/>
      <c r="Q496" s="86">
        <f>tbl_estimated_costs_quantities[[#This Row],[Concrete Works]]*BOQs!$L$5</f>
        <v>0</v>
      </c>
      <c r="R496" s="76"/>
      <c r="S496" s="37"/>
      <c r="T496" s="86">
        <f>tbl_estimated_costs_quantities[[#This Row],[Closure External Openings Walls Windows]]*BOQs!$L$6</f>
        <v>0</v>
      </c>
      <c r="U496" s="76"/>
      <c r="V496" s="37"/>
      <c r="W496" s="86">
        <f>tbl_estimated_costs_quantities[[#This Row],[Plastering Painting]]*BOQs!$L$7</f>
        <v>0</v>
      </c>
      <c r="X496" s="76"/>
      <c r="Y496" s="37"/>
      <c r="Z496" s="86">
        <f>tbl_estimated_costs_quantities[[#This Row],[Floor Repairs]]*BOQs!$L$8</f>
        <v>0</v>
      </c>
      <c r="AA496" s="76"/>
      <c r="AB496" s="37"/>
      <c r="AC496" s="86">
        <f>tbl_estimated_costs_quantities[[#This Row],[Doors Replacement Repair]]*BOQs!$L$9</f>
        <v>0</v>
      </c>
      <c r="AD496" s="76"/>
      <c r="AE496" s="37"/>
      <c r="AF496" s="86">
        <f>tbl_estimated_costs_quantities[[#This Row],[Windows Replacement Repair]]*BOQs!$L$10</f>
        <v>0</v>
      </c>
      <c r="AG496" s="76"/>
      <c r="AH496" s="37"/>
      <c r="AI496" s="86">
        <f>tbl_estimated_costs_quantities[[#This Row],[Bathroom Rehabilitation]]*BOQs!$L$11</f>
        <v>0</v>
      </c>
      <c r="AJ496" s="76"/>
      <c r="AK496" s="37"/>
      <c r="AL496" s="86">
        <f>tbl_estimated_costs_quantities[[#This Row],[Ceramic Tile Works WASH]]*BOQs!$L$12</f>
        <v>0</v>
      </c>
      <c r="AM496" s="76"/>
      <c r="AN496" s="37"/>
      <c r="AO496" s="86">
        <f>tbl_estimated_costs_quantities[[#This Row],[Electrical Repairs Lighting]]*BOQs!$L$13</f>
        <v>0</v>
      </c>
      <c r="AP496" s="76"/>
      <c r="AQ496" s="37"/>
      <c r="AR496" s="86">
        <f>tbl_estimated_costs_quantities[[#This Row],[Roof Insulation Leak Sealing]]*BOQs!$L$14</f>
        <v>0</v>
      </c>
      <c r="AS496" s="76"/>
      <c r="AT496" s="37"/>
      <c r="AU496" s="86">
        <f>tbl_estimated_costs_quantities[[#This Row],[Chimney Duct Cleaning Repair]]*BOQs!$L$15</f>
        <v>0</v>
      </c>
      <c r="AV496" s="76"/>
      <c r="AW496" s="37"/>
      <c r="AX496" s="89">
        <f>tbl_estimated_costs_quantities[[#This Row],[Accessibility Adaptations]]*BOQs!$L$16</f>
        <v>0</v>
      </c>
      <c r="AY496" s="86" t="str">
        <f>IF(tbl_estimated_costs_quantities[[#This Row],[Total cost]]&lt;&gt;0,tbl_estimated_costs_quantities[[#This Row],[Total cost]]/BOQs!$A$1,"")</f>
        <v/>
      </c>
      <c r="AZ496" s="37"/>
      <c r="BA496" s="37"/>
      <c r="BB496" s="37"/>
      <c r="BC496" s="37"/>
      <c r="BD496" s="41"/>
      <c r="BE496" s="37"/>
      <c r="BF496" s="37"/>
      <c r="BG496" s="37"/>
      <c r="BH496" s="41"/>
    </row>
    <row r="497" spans="2:60" ht="25.15" customHeight="1" x14ac:dyDescent="0.25">
      <c r="B497" s="49">
        <v>493</v>
      </c>
      <c r="C497" s="37"/>
      <c r="D497" s="41"/>
      <c r="E497" s="40"/>
      <c r="F497" s="87" t="str">
        <f>IF(tbl_estimated_costs_quantities[[#This Row],[House Code]]&lt;&gt;"",INDEX(tbl_Assessment[],MATCH(tbl_estimated_costs_quantities[[#This Row],[House Code]],tbl_Assessment[House Code],0),3),"")</f>
        <v/>
      </c>
      <c r="G497" s="115" t="str">
        <f>IF(tbl_estimated_costs_quantities[[#This Row],[House Code]]&lt;&gt;"",INDEX(tbl_Assessment[],MATCH(tbl_estimated_costs_quantities[[#This Row],[House Code]],tbl_Assessment[House Code],0),9),"")</f>
        <v/>
      </c>
      <c r="H49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7" s="75"/>
      <c r="J497" s="37"/>
      <c r="K497" s="86">
        <f>tbl_estimated_costs_quantities[[#This Row],[Site Preparation]]*BOQs!$L$3</f>
        <v>0</v>
      </c>
      <c r="L497" s="76"/>
      <c r="M497" s="37"/>
      <c r="N497" s="86">
        <f>tbl_estimated_costs_quantities[[#This Row],[Demolition Removal Unsafe Structures]]*BOQs!$L$4</f>
        <v>0</v>
      </c>
      <c r="O497" s="76"/>
      <c r="P497" s="37"/>
      <c r="Q497" s="86">
        <f>tbl_estimated_costs_quantities[[#This Row],[Concrete Works]]*BOQs!$L$5</f>
        <v>0</v>
      </c>
      <c r="R497" s="76"/>
      <c r="S497" s="37"/>
      <c r="T497" s="86">
        <f>tbl_estimated_costs_quantities[[#This Row],[Closure External Openings Walls Windows]]*BOQs!$L$6</f>
        <v>0</v>
      </c>
      <c r="U497" s="76"/>
      <c r="V497" s="37"/>
      <c r="W497" s="86">
        <f>tbl_estimated_costs_quantities[[#This Row],[Plastering Painting]]*BOQs!$L$7</f>
        <v>0</v>
      </c>
      <c r="X497" s="76"/>
      <c r="Y497" s="37"/>
      <c r="Z497" s="86">
        <f>tbl_estimated_costs_quantities[[#This Row],[Floor Repairs]]*BOQs!$L$8</f>
        <v>0</v>
      </c>
      <c r="AA497" s="76"/>
      <c r="AB497" s="37"/>
      <c r="AC497" s="86">
        <f>tbl_estimated_costs_quantities[[#This Row],[Doors Replacement Repair]]*BOQs!$L$9</f>
        <v>0</v>
      </c>
      <c r="AD497" s="76"/>
      <c r="AE497" s="37"/>
      <c r="AF497" s="86">
        <f>tbl_estimated_costs_quantities[[#This Row],[Windows Replacement Repair]]*BOQs!$L$10</f>
        <v>0</v>
      </c>
      <c r="AG497" s="76"/>
      <c r="AH497" s="37"/>
      <c r="AI497" s="86">
        <f>tbl_estimated_costs_quantities[[#This Row],[Bathroom Rehabilitation]]*BOQs!$L$11</f>
        <v>0</v>
      </c>
      <c r="AJ497" s="76"/>
      <c r="AK497" s="37"/>
      <c r="AL497" s="86">
        <f>tbl_estimated_costs_quantities[[#This Row],[Ceramic Tile Works WASH]]*BOQs!$L$12</f>
        <v>0</v>
      </c>
      <c r="AM497" s="76"/>
      <c r="AN497" s="37"/>
      <c r="AO497" s="86">
        <f>tbl_estimated_costs_quantities[[#This Row],[Electrical Repairs Lighting]]*BOQs!$L$13</f>
        <v>0</v>
      </c>
      <c r="AP497" s="76"/>
      <c r="AQ497" s="37"/>
      <c r="AR497" s="86">
        <f>tbl_estimated_costs_quantities[[#This Row],[Roof Insulation Leak Sealing]]*BOQs!$L$14</f>
        <v>0</v>
      </c>
      <c r="AS497" s="76"/>
      <c r="AT497" s="37"/>
      <c r="AU497" s="86">
        <f>tbl_estimated_costs_quantities[[#This Row],[Chimney Duct Cleaning Repair]]*BOQs!$L$15</f>
        <v>0</v>
      </c>
      <c r="AV497" s="76"/>
      <c r="AW497" s="37"/>
      <c r="AX497" s="89">
        <f>tbl_estimated_costs_quantities[[#This Row],[Accessibility Adaptations]]*BOQs!$L$16</f>
        <v>0</v>
      </c>
      <c r="AY497" s="86" t="str">
        <f>IF(tbl_estimated_costs_quantities[[#This Row],[Total cost]]&lt;&gt;0,tbl_estimated_costs_quantities[[#This Row],[Total cost]]/BOQs!$A$1,"")</f>
        <v/>
      </c>
      <c r="AZ497" s="37"/>
      <c r="BA497" s="37"/>
      <c r="BB497" s="37"/>
      <c r="BC497" s="37"/>
      <c r="BD497" s="41"/>
      <c r="BE497" s="37"/>
      <c r="BF497" s="37"/>
      <c r="BG497" s="37"/>
      <c r="BH497" s="41"/>
    </row>
    <row r="498" spans="2:60" ht="25.15" customHeight="1" x14ac:dyDescent="0.25">
      <c r="B498" s="49">
        <v>494</v>
      </c>
      <c r="C498" s="37"/>
      <c r="D498" s="41"/>
      <c r="E498" s="40"/>
      <c r="F498" s="87" t="str">
        <f>IF(tbl_estimated_costs_quantities[[#This Row],[House Code]]&lt;&gt;"",INDEX(tbl_Assessment[],MATCH(tbl_estimated_costs_quantities[[#This Row],[House Code]],tbl_Assessment[House Code],0),3),"")</f>
        <v/>
      </c>
      <c r="G498" s="115" t="str">
        <f>IF(tbl_estimated_costs_quantities[[#This Row],[House Code]]&lt;&gt;"",INDEX(tbl_Assessment[],MATCH(tbl_estimated_costs_quantities[[#This Row],[House Code]],tbl_Assessment[House Code],0),9),"")</f>
        <v/>
      </c>
      <c r="H49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8" s="75"/>
      <c r="J498" s="37"/>
      <c r="K498" s="86">
        <f>tbl_estimated_costs_quantities[[#This Row],[Site Preparation]]*BOQs!$L$3</f>
        <v>0</v>
      </c>
      <c r="L498" s="76"/>
      <c r="M498" s="37"/>
      <c r="N498" s="86">
        <f>tbl_estimated_costs_quantities[[#This Row],[Demolition Removal Unsafe Structures]]*BOQs!$L$4</f>
        <v>0</v>
      </c>
      <c r="O498" s="76"/>
      <c r="P498" s="37"/>
      <c r="Q498" s="86">
        <f>tbl_estimated_costs_quantities[[#This Row],[Concrete Works]]*BOQs!$L$5</f>
        <v>0</v>
      </c>
      <c r="R498" s="76"/>
      <c r="S498" s="37"/>
      <c r="T498" s="86">
        <f>tbl_estimated_costs_quantities[[#This Row],[Closure External Openings Walls Windows]]*BOQs!$L$6</f>
        <v>0</v>
      </c>
      <c r="U498" s="76"/>
      <c r="V498" s="37"/>
      <c r="W498" s="86">
        <f>tbl_estimated_costs_quantities[[#This Row],[Plastering Painting]]*BOQs!$L$7</f>
        <v>0</v>
      </c>
      <c r="X498" s="76"/>
      <c r="Y498" s="37"/>
      <c r="Z498" s="86">
        <f>tbl_estimated_costs_quantities[[#This Row],[Floor Repairs]]*BOQs!$L$8</f>
        <v>0</v>
      </c>
      <c r="AA498" s="76"/>
      <c r="AB498" s="37"/>
      <c r="AC498" s="86">
        <f>tbl_estimated_costs_quantities[[#This Row],[Doors Replacement Repair]]*BOQs!$L$9</f>
        <v>0</v>
      </c>
      <c r="AD498" s="76"/>
      <c r="AE498" s="37"/>
      <c r="AF498" s="86">
        <f>tbl_estimated_costs_quantities[[#This Row],[Windows Replacement Repair]]*BOQs!$L$10</f>
        <v>0</v>
      </c>
      <c r="AG498" s="76"/>
      <c r="AH498" s="37"/>
      <c r="AI498" s="86">
        <f>tbl_estimated_costs_quantities[[#This Row],[Bathroom Rehabilitation]]*BOQs!$L$11</f>
        <v>0</v>
      </c>
      <c r="AJ498" s="76"/>
      <c r="AK498" s="37"/>
      <c r="AL498" s="86">
        <f>tbl_estimated_costs_quantities[[#This Row],[Ceramic Tile Works WASH]]*BOQs!$L$12</f>
        <v>0</v>
      </c>
      <c r="AM498" s="76"/>
      <c r="AN498" s="37"/>
      <c r="AO498" s="86">
        <f>tbl_estimated_costs_quantities[[#This Row],[Electrical Repairs Lighting]]*BOQs!$L$13</f>
        <v>0</v>
      </c>
      <c r="AP498" s="76"/>
      <c r="AQ498" s="37"/>
      <c r="AR498" s="86">
        <f>tbl_estimated_costs_quantities[[#This Row],[Roof Insulation Leak Sealing]]*BOQs!$L$14</f>
        <v>0</v>
      </c>
      <c r="AS498" s="76"/>
      <c r="AT498" s="37"/>
      <c r="AU498" s="86">
        <f>tbl_estimated_costs_quantities[[#This Row],[Chimney Duct Cleaning Repair]]*BOQs!$L$15</f>
        <v>0</v>
      </c>
      <c r="AV498" s="76"/>
      <c r="AW498" s="37"/>
      <c r="AX498" s="89">
        <f>tbl_estimated_costs_quantities[[#This Row],[Accessibility Adaptations]]*BOQs!$L$16</f>
        <v>0</v>
      </c>
      <c r="AY498" s="86" t="str">
        <f>IF(tbl_estimated_costs_quantities[[#This Row],[Total cost]]&lt;&gt;0,tbl_estimated_costs_quantities[[#This Row],[Total cost]]/BOQs!$A$1,"")</f>
        <v/>
      </c>
      <c r="AZ498" s="37"/>
      <c r="BA498" s="37"/>
      <c r="BB498" s="37"/>
      <c r="BC498" s="37"/>
      <c r="BD498" s="41"/>
      <c r="BE498" s="37"/>
      <c r="BF498" s="37"/>
      <c r="BG498" s="37"/>
      <c r="BH498" s="41"/>
    </row>
    <row r="499" spans="2:60" ht="25.15" customHeight="1" x14ac:dyDescent="0.25">
      <c r="B499" s="49">
        <v>495</v>
      </c>
      <c r="C499" s="37"/>
      <c r="D499" s="41"/>
      <c r="E499" s="40"/>
      <c r="F499" s="87" t="str">
        <f>IF(tbl_estimated_costs_quantities[[#This Row],[House Code]]&lt;&gt;"",INDEX(tbl_Assessment[],MATCH(tbl_estimated_costs_quantities[[#This Row],[House Code]],tbl_Assessment[House Code],0),3),"")</f>
        <v/>
      </c>
      <c r="G499" s="115" t="str">
        <f>IF(tbl_estimated_costs_quantities[[#This Row],[House Code]]&lt;&gt;"",INDEX(tbl_Assessment[],MATCH(tbl_estimated_costs_quantities[[#This Row],[House Code]],tbl_Assessment[House Code],0),9),"")</f>
        <v/>
      </c>
      <c r="H49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499" s="75"/>
      <c r="J499" s="37"/>
      <c r="K499" s="86">
        <f>tbl_estimated_costs_quantities[[#This Row],[Site Preparation]]*BOQs!$L$3</f>
        <v>0</v>
      </c>
      <c r="L499" s="76"/>
      <c r="M499" s="37"/>
      <c r="N499" s="86">
        <f>tbl_estimated_costs_quantities[[#This Row],[Demolition Removal Unsafe Structures]]*BOQs!$L$4</f>
        <v>0</v>
      </c>
      <c r="O499" s="76"/>
      <c r="P499" s="37"/>
      <c r="Q499" s="86">
        <f>tbl_estimated_costs_quantities[[#This Row],[Concrete Works]]*BOQs!$L$5</f>
        <v>0</v>
      </c>
      <c r="R499" s="76"/>
      <c r="S499" s="37"/>
      <c r="T499" s="86">
        <f>tbl_estimated_costs_quantities[[#This Row],[Closure External Openings Walls Windows]]*BOQs!$L$6</f>
        <v>0</v>
      </c>
      <c r="U499" s="76"/>
      <c r="V499" s="37"/>
      <c r="W499" s="86">
        <f>tbl_estimated_costs_quantities[[#This Row],[Plastering Painting]]*BOQs!$L$7</f>
        <v>0</v>
      </c>
      <c r="X499" s="76"/>
      <c r="Y499" s="37"/>
      <c r="Z499" s="86">
        <f>tbl_estimated_costs_quantities[[#This Row],[Floor Repairs]]*BOQs!$L$8</f>
        <v>0</v>
      </c>
      <c r="AA499" s="76"/>
      <c r="AB499" s="37"/>
      <c r="AC499" s="86">
        <f>tbl_estimated_costs_quantities[[#This Row],[Doors Replacement Repair]]*BOQs!$L$9</f>
        <v>0</v>
      </c>
      <c r="AD499" s="76"/>
      <c r="AE499" s="37"/>
      <c r="AF499" s="86">
        <f>tbl_estimated_costs_quantities[[#This Row],[Windows Replacement Repair]]*BOQs!$L$10</f>
        <v>0</v>
      </c>
      <c r="AG499" s="76"/>
      <c r="AH499" s="37"/>
      <c r="AI499" s="86">
        <f>tbl_estimated_costs_quantities[[#This Row],[Bathroom Rehabilitation]]*BOQs!$L$11</f>
        <v>0</v>
      </c>
      <c r="AJ499" s="76"/>
      <c r="AK499" s="37"/>
      <c r="AL499" s="86">
        <f>tbl_estimated_costs_quantities[[#This Row],[Ceramic Tile Works WASH]]*BOQs!$L$12</f>
        <v>0</v>
      </c>
      <c r="AM499" s="76"/>
      <c r="AN499" s="37"/>
      <c r="AO499" s="86">
        <f>tbl_estimated_costs_quantities[[#This Row],[Electrical Repairs Lighting]]*BOQs!$L$13</f>
        <v>0</v>
      </c>
      <c r="AP499" s="76"/>
      <c r="AQ499" s="37"/>
      <c r="AR499" s="86">
        <f>tbl_estimated_costs_quantities[[#This Row],[Roof Insulation Leak Sealing]]*BOQs!$L$14</f>
        <v>0</v>
      </c>
      <c r="AS499" s="76"/>
      <c r="AT499" s="37"/>
      <c r="AU499" s="86">
        <f>tbl_estimated_costs_quantities[[#This Row],[Chimney Duct Cleaning Repair]]*BOQs!$L$15</f>
        <v>0</v>
      </c>
      <c r="AV499" s="76"/>
      <c r="AW499" s="37"/>
      <c r="AX499" s="89">
        <f>tbl_estimated_costs_quantities[[#This Row],[Accessibility Adaptations]]*BOQs!$L$16</f>
        <v>0</v>
      </c>
      <c r="AY499" s="86" t="str">
        <f>IF(tbl_estimated_costs_quantities[[#This Row],[Total cost]]&lt;&gt;0,tbl_estimated_costs_quantities[[#This Row],[Total cost]]/BOQs!$A$1,"")</f>
        <v/>
      </c>
      <c r="AZ499" s="37"/>
      <c r="BA499" s="37"/>
      <c r="BB499" s="37"/>
      <c r="BC499" s="37"/>
      <c r="BD499" s="41"/>
      <c r="BE499" s="37"/>
      <c r="BF499" s="37"/>
      <c r="BG499" s="37"/>
      <c r="BH499" s="41"/>
    </row>
    <row r="500" spans="2:60" ht="25.15" customHeight="1" x14ac:dyDescent="0.25">
      <c r="B500" s="49">
        <v>496</v>
      </c>
      <c r="C500" s="37"/>
      <c r="D500" s="41"/>
      <c r="E500" s="40"/>
      <c r="F500" s="87" t="str">
        <f>IF(tbl_estimated_costs_quantities[[#This Row],[House Code]]&lt;&gt;"",INDEX(tbl_Assessment[],MATCH(tbl_estimated_costs_quantities[[#This Row],[House Code]],tbl_Assessment[House Code],0),3),"")</f>
        <v/>
      </c>
      <c r="G500" s="115" t="str">
        <f>IF(tbl_estimated_costs_quantities[[#This Row],[House Code]]&lt;&gt;"",INDEX(tbl_Assessment[],MATCH(tbl_estimated_costs_quantities[[#This Row],[House Code]],tbl_Assessment[House Code],0),9),"")</f>
        <v/>
      </c>
      <c r="H50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0" s="75"/>
      <c r="J500" s="37"/>
      <c r="K500" s="86">
        <f>tbl_estimated_costs_quantities[[#This Row],[Site Preparation]]*BOQs!$L$3</f>
        <v>0</v>
      </c>
      <c r="L500" s="76"/>
      <c r="M500" s="37"/>
      <c r="N500" s="86">
        <f>tbl_estimated_costs_quantities[[#This Row],[Demolition Removal Unsafe Structures]]*BOQs!$L$4</f>
        <v>0</v>
      </c>
      <c r="O500" s="76"/>
      <c r="P500" s="37"/>
      <c r="Q500" s="86">
        <f>tbl_estimated_costs_quantities[[#This Row],[Concrete Works]]*BOQs!$L$5</f>
        <v>0</v>
      </c>
      <c r="R500" s="76"/>
      <c r="S500" s="37"/>
      <c r="T500" s="86">
        <f>tbl_estimated_costs_quantities[[#This Row],[Closure External Openings Walls Windows]]*BOQs!$L$6</f>
        <v>0</v>
      </c>
      <c r="U500" s="76"/>
      <c r="V500" s="37"/>
      <c r="W500" s="86">
        <f>tbl_estimated_costs_quantities[[#This Row],[Plastering Painting]]*BOQs!$L$7</f>
        <v>0</v>
      </c>
      <c r="X500" s="76"/>
      <c r="Y500" s="37"/>
      <c r="Z500" s="86">
        <f>tbl_estimated_costs_quantities[[#This Row],[Floor Repairs]]*BOQs!$L$8</f>
        <v>0</v>
      </c>
      <c r="AA500" s="76"/>
      <c r="AB500" s="37"/>
      <c r="AC500" s="86">
        <f>tbl_estimated_costs_quantities[[#This Row],[Doors Replacement Repair]]*BOQs!$L$9</f>
        <v>0</v>
      </c>
      <c r="AD500" s="76"/>
      <c r="AE500" s="37"/>
      <c r="AF500" s="86">
        <f>tbl_estimated_costs_quantities[[#This Row],[Windows Replacement Repair]]*BOQs!$L$10</f>
        <v>0</v>
      </c>
      <c r="AG500" s="76"/>
      <c r="AH500" s="37"/>
      <c r="AI500" s="86">
        <f>tbl_estimated_costs_quantities[[#This Row],[Bathroom Rehabilitation]]*BOQs!$L$11</f>
        <v>0</v>
      </c>
      <c r="AJ500" s="76"/>
      <c r="AK500" s="37"/>
      <c r="AL500" s="86">
        <f>tbl_estimated_costs_quantities[[#This Row],[Ceramic Tile Works WASH]]*BOQs!$L$12</f>
        <v>0</v>
      </c>
      <c r="AM500" s="76"/>
      <c r="AN500" s="37"/>
      <c r="AO500" s="86">
        <f>tbl_estimated_costs_quantities[[#This Row],[Electrical Repairs Lighting]]*BOQs!$L$13</f>
        <v>0</v>
      </c>
      <c r="AP500" s="76"/>
      <c r="AQ500" s="37"/>
      <c r="AR500" s="86">
        <f>tbl_estimated_costs_quantities[[#This Row],[Roof Insulation Leak Sealing]]*BOQs!$L$14</f>
        <v>0</v>
      </c>
      <c r="AS500" s="76"/>
      <c r="AT500" s="37"/>
      <c r="AU500" s="86">
        <f>tbl_estimated_costs_quantities[[#This Row],[Chimney Duct Cleaning Repair]]*BOQs!$L$15</f>
        <v>0</v>
      </c>
      <c r="AV500" s="76"/>
      <c r="AW500" s="37"/>
      <c r="AX500" s="89">
        <f>tbl_estimated_costs_quantities[[#This Row],[Accessibility Adaptations]]*BOQs!$L$16</f>
        <v>0</v>
      </c>
      <c r="AY500" s="86" t="str">
        <f>IF(tbl_estimated_costs_quantities[[#This Row],[Total cost]]&lt;&gt;0,tbl_estimated_costs_quantities[[#This Row],[Total cost]]/BOQs!$A$1,"")</f>
        <v/>
      </c>
      <c r="AZ500" s="37"/>
      <c r="BA500" s="37"/>
      <c r="BB500" s="37"/>
      <c r="BC500" s="37"/>
      <c r="BD500" s="41"/>
      <c r="BE500" s="37"/>
      <c r="BF500" s="37"/>
      <c r="BG500" s="37"/>
      <c r="BH500" s="41"/>
    </row>
    <row r="501" spans="2:60" ht="25.15" customHeight="1" x14ac:dyDescent="0.25">
      <c r="B501" s="49">
        <v>497</v>
      </c>
      <c r="C501" s="37"/>
      <c r="D501" s="41"/>
      <c r="E501" s="40"/>
      <c r="F501" s="87" t="str">
        <f>IF(tbl_estimated_costs_quantities[[#This Row],[House Code]]&lt;&gt;"",INDEX(tbl_Assessment[],MATCH(tbl_estimated_costs_quantities[[#This Row],[House Code]],tbl_Assessment[House Code],0),3),"")</f>
        <v/>
      </c>
      <c r="G501" s="115" t="str">
        <f>IF(tbl_estimated_costs_quantities[[#This Row],[House Code]]&lt;&gt;"",INDEX(tbl_Assessment[],MATCH(tbl_estimated_costs_quantities[[#This Row],[House Code]],tbl_Assessment[House Code],0),9),"")</f>
        <v/>
      </c>
      <c r="H50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1" s="75"/>
      <c r="J501" s="37"/>
      <c r="K501" s="86">
        <f>tbl_estimated_costs_quantities[[#This Row],[Site Preparation]]*BOQs!$L$3</f>
        <v>0</v>
      </c>
      <c r="L501" s="76"/>
      <c r="M501" s="37"/>
      <c r="N501" s="86">
        <f>tbl_estimated_costs_quantities[[#This Row],[Demolition Removal Unsafe Structures]]*BOQs!$L$4</f>
        <v>0</v>
      </c>
      <c r="O501" s="76"/>
      <c r="P501" s="37"/>
      <c r="Q501" s="86">
        <f>tbl_estimated_costs_quantities[[#This Row],[Concrete Works]]*BOQs!$L$5</f>
        <v>0</v>
      </c>
      <c r="R501" s="76"/>
      <c r="S501" s="37"/>
      <c r="T501" s="86">
        <f>tbl_estimated_costs_quantities[[#This Row],[Closure External Openings Walls Windows]]*BOQs!$L$6</f>
        <v>0</v>
      </c>
      <c r="U501" s="76"/>
      <c r="V501" s="37"/>
      <c r="W501" s="86">
        <f>tbl_estimated_costs_quantities[[#This Row],[Plastering Painting]]*BOQs!$L$7</f>
        <v>0</v>
      </c>
      <c r="X501" s="76"/>
      <c r="Y501" s="37"/>
      <c r="Z501" s="86">
        <f>tbl_estimated_costs_quantities[[#This Row],[Floor Repairs]]*BOQs!$L$8</f>
        <v>0</v>
      </c>
      <c r="AA501" s="76"/>
      <c r="AB501" s="37"/>
      <c r="AC501" s="86">
        <f>tbl_estimated_costs_quantities[[#This Row],[Doors Replacement Repair]]*BOQs!$L$9</f>
        <v>0</v>
      </c>
      <c r="AD501" s="76"/>
      <c r="AE501" s="37"/>
      <c r="AF501" s="86">
        <f>tbl_estimated_costs_quantities[[#This Row],[Windows Replacement Repair]]*BOQs!$L$10</f>
        <v>0</v>
      </c>
      <c r="AG501" s="76"/>
      <c r="AH501" s="37"/>
      <c r="AI501" s="86">
        <f>tbl_estimated_costs_quantities[[#This Row],[Bathroom Rehabilitation]]*BOQs!$L$11</f>
        <v>0</v>
      </c>
      <c r="AJ501" s="76"/>
      <c r="AK501" s="37"/>
      <c r="AL501" s="86">
        <f>tbl_estimated_costs_quantities[[#This Row],[Ceramic Tile Works WASH]]*BOQs!$L$12</f>
        <v>0</v>
      </c>
      <c r="AM501" s="76"/>
      <c r="AN501" s="37"/>
      <c r="AO501" s="86">
        <f>tbl_estimated_costs_quantities[[#This Row],[Electrical Repairs Lighting]]*BOQs!$L$13</f>
        <v>0</v>
      </c>
      <c r="AP501" s="76"/>
      <c r="AQ501" s="37"/>
      <c r="AR501" s="86">
        <f>tbl_estimated_costs_quantities[[#This Row],[Roof Insulation Leak Sealing]]*BOQs!$L$14</f>
        <v>0</v>
      </c>
      <c r="AS501" s="76"/>
      <c r="AT501" s="37"/>
      <c r="AU501" s="86">
        <f>tbl_estimated_costs_quantities[[#This Row],[Chimney Duct Cleaning Repair]]*BOQs!$L$15</f>
        <v>0</v>
      </c>
      <c r="AV501" s="76"/>
      <c r="AW501" s="37"/>
      <c r="AX501" s="89">
        <f>tbl_estimated_costs_quantities[[#This Row],[Accessibility Adaptations]]*BOQs!$L$16</f>
        <v>0</v>
      </c>
      <c r="AY501" s="86" t="str">
        <f>IF(tbl_estimated_costs_quantities[[#This Row],[Total cost]]&lt;&gt;0,tbl_estimated_costs_quantities[[#This Row],[Total cost]]/BOQs!$A$1,"")</f>
        <v/>
      </c>
      <c r="AZ501" s="37"/>
      <c r="BA501" s="37"/>
      <c r="BB501" s="37"/>
      <c r="BC501" s="37"/>
      <c r="BD501" s="41"/>
      <c r="BE501" s="37"/>
      <c r="BF501" s="37"/>
      <c r="BG501" s="37"/>
      <c r="BH501" s="41"/>
    </row>
    <row r="502" spans="2:60" ht="25.15" customHeight="1" x14ac:dyDescent="0.25">
      <c r="B502" s="49">
        <v>498</v>
      </c>
      <c r="C502" s="37"/>
      <c r="D502" s="41"/>
      <c r="E502" s="40"/>
      <c r="F502" s="87" t="str">
        <f>IF(tbl_estimated_costs_quantities[[#This Row],[House Code]]&lt;&gt;"",INDEX(tbl_Assessment[],MATCH(tbl_estimated_costs_quantities[[#This Row],[House Code]],tbl_Assessment[House Code],0),3),"")</f>
        <v/>
      </c>
      <c r="G502" s="115" t="str">
        <f>IF(tbl_estimated_costs_quantities[[#This Row],[House Code]]&lt;&gt;"",INDEX(tbl_Assessment[],MATCH(tbl_estimated_costs_quantities[[#This Row],[House Code]],tbl_Assessment[House Code],0),9),"")</f>
        <v/>
      </c>
      <c r="H50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2" s="75"/>
      <c r="J502" s="37"/>
      <c r="K502" s="86">
        <f>tbl_estimated_costs_quantities[[#This Row],[Site Preparation]]*BOQs!$L$3</f>
        <v>0</v>
      </c>
      <c r="L502" s="76"/>
      <c r="M502" s="37"/>
      <c r="N502" s="86">
        <f>tbl_estimated_costs_quantities[[#This Row],[Demolition Removal Unsafe Structures]]*BOQs!$L$4</f>
        <v>0</v>
      </c>
      <c r="O502" s="76"/>
      <c r="P502" s="37"/>
      <c r="Q502" s="86">
        <f>tbl_estimated_costs_quantities[[#This Row],[Concrete Works]]*BOQs!$L$5</f>
        <v>0</v>
      </c>
      <c r="R502" s="76"/>
      <c r="S502" s="37"/>
      <c r="T502" s="86">
        <f>tbl_estimated_costs_quantities[[#This Row],[Closure External Openings Walls Windows]]*BOQs!$L$6</f>
        <v>0</v>
      </c>
      <c r="U502" s="76"/>
      <c r="V502" s="37"/>
      <c r="W502" s="86">
        <f>tbl_estimated_costs_quantities[[#This Row],[Plastering Painting]]*BOQs!$L$7</f>
        <v>0</v>
      </c>
      <c r="X502" s="76"/>
      <c r="Y502" s="37"/>
      <c r="Z502" s="86">
        <f>tbl_estimated_costs_quantities[[#This Row],[Floor Repairs]]*BOQs!$L$8</f>
        <v>0</v>
      </c>
      <c r="AA502" s="76"/>
      <c r="AB502" s="37"/>
      <c r="AC502" s="86">
        <f>tbl_estimated_costs_quantities[[#This Row],[Doors Replacement Repair]]*BOQs!$L$9</f>
        <v>0</v>
      </c>
      <c r="AD502" s="76"/>
      <c r="AE502" s="37"/>
      <c r="AF502" s="86">
        <f>tbl_estimated_costs_quantities[[#This Row],[Windows Replacement Repair]]*BOQs!$L$10</f>
        <v>0</v>
      </c>
      <c r="AG502" s="76"/>
      <c r="AH502" s="37"/>
      <c r="AI502" s="86">
        <f>tbl_estimated_costs_quantities[[#This Row],[Bathroom Rehabilitation]]*BOQs!$L$11</f>
        <v>0</v>
      </c>
      <c r="AJ502" s="76"/>
      <c r="AK502" s="37"/>
      <c r="AL502" s="86">
        <f>tbl_estimated_costs_quantities[[#This Row],[Ceramic Tile Works WASH]]*BOQs!$L$12</f>
        <v>0</v>
      </c>
      <c r="AM502" s="76"/>
      <c r="AN502" s="37"/>
      <c r="AO502" s="86">
        <f>tbl_estimated_costs_quantities[[#This Row],[Electrical Repairs Lighting]]*BOQs!$L$13</f>
        <v>0</v>
      </c>
      <c r="AP502" s="76"/>
      <c r="AQ502" s="37"/>
      <c r="AR502" s="86">
        <f>tbl_estimated_costs_quantities[[#This Row],[Roof Insulation Leak Sealing]]*BOQs!$L$14</f>
        <v>0</v>
      </c>
      <c r="AS502" s="76"/>
      <c r="AT502" s="37"/>
      <c r="AU502" s="86">
        <f>tbl_estimated_costs_quantities[[#This Row],[Chimney Duct Cleaning Repair]]*BOQs!$L$15</f>
        <v>0</v>
      </c>
      <c r="AV502" s="76"/>
      <c r="AW502" s="37"/>
      <c r="AX502" s="89">
        <f>tbl_estimated_costs_quantities[[#This Row],[Accessibility Adaptations]]*BOQs!$L$16</f>
        <v>0</v>
      </c>
      <c r="AY502" s="86" t="str">
        <f>IF(tbl_estimated_costs_quantities[[#This Row],[Total cost]]&lt;&gt;0,tbl_estimated_costs_quantities[[#This Row],[Total cost]]/BOQs!$A$1,"")</f>
        <v/>
      </c>
      <c r="AZ502" s="37"/>
      <c r="BA502" s="37"/>
      <c r="BB502" s="37"/>
      <c r="BC502" s="37"/>
      <c r="BD502" s="41"/>
      <c r="BE502" s="37"/>
      <c r="BF502" s="37"/>
      <c r="BG502" s="37"/>
      <c r="BH502" s="41"/>
    </row>
    <row r="503" spans="2:60" ht="25.15" customHeight="1" x14ac:dyDescent="0.25">
      <c r="B503" s="49">
        <v>499</v>
      </c>
      <c r="C503" s="37"/>
      <c r="D503" s="41"/>
      <c r="E503" s="40"/>
      <c r="F503" s="87" t="str">
        <f>IF(tbl_estimated_costs_quantities[[#This Row],[House Code]]&lt;&gt;"",INDEX(tbl_Assessment[],MATCH(tbl_estimated_costs_quantities[[#This Row],[House Code]],tbl_Assessment[House Code],0),3),"")</f>
        <v/>
      </c>
      <c r="G503" s="115" t="str">
        <f>IF(tbl_estimated_costs_quantities[[#This Row],[House Code]]&lt;&gt;"",INDEX(tbl_Assessment[],MATCH(tbl_estimated_costs_quantities[[#This Row],[House Code]],tbl_Assessment[House Code],0),9),"")</f>
        <v/>
      </c>
      <c r="H50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3" s="75"/>
      <c r="J503" s="37"/>
      <c r="K503" s="86">
        <f>tbl_estimated_costs_quantities[[#This Row],[Site Preparation]]*BOQs!$L$3</f>
        <v>0</v>
      </c>
      <c r="L503" s="76"/>
      <c r="M503" s="37"/>
      <c r="N503" s="86">
        <f>tbl_estimated_costs_quantities[[#This Row],[Demolition Removal Unsafe Structures]]*BOQs!$L$4</f>
        <v>0</v>
      </c>
      <c r="O503" s="76"/>
      <c r="P503" s="37"/>
      <c r="Q503" s="86">
        <f>tbl_estimated_costs_quantities[[#This Row],[Concrete Works]]*BOQs!$L$5</f>
        <v>0</v>
      </c>
      <c r="R503" s="76"/>
      <c r="S503" s="37"/>
      <c r="T503" s="86">
        <f>tbl_estimated_costs_quantities[[#This Row],[Closure External Openings Walls Windows]]*BOQs!$L$6</f>
        <v>0</v>
      </c>
      <c r="U503" s="76"/>
      <c r="V503" s="37"/>
      <c r="W503" s="86">
        <f>tbl_estimated_costs_quantities[[#This Row],[Plastering Painting]]*BOQs!$L$7</f>
        <v>0</v>
      </c>
      <c r="X503" s="76"/>
      <c r="Y503" s="37"/>
      <c r="Z503" s="86">
        <f>tbl_estimated_costs_quantities[[#This Row],[Floor Repairs]]*BOQs!$L$8</f>
        <v>0</v>
      </c>
      <c r="AA503" s="76"/>
      <c r="AB503" s="37"/>
      <c r="AC503" s="86">
        <f>tbl_estimated_costs_quantities[[#This Row],[Doors Replacement Repair]]*BOQs!$L$9</f>
        <v>0</v>
      </c>
      <c r="AD503" s="76"/>
      <c r="AE503" s="37"/>
      <c r="AF503" s="86">
        <f>tbl_estimated_costs_quantities[[#This Row],[Windows Replacement Repair]]*BOQs!$L$10</f>
        <v>0</v>
      </c>
      <c r="AG503" s="76"/>
      <c r="AH503" s="37"/>
      <c r="AI503" s="86">
        <f>tbl_estimated_costs_quantities[[#This Row],[Bathroom Rehabilitation]]*BOQs!$L$11</f>
        <v>0</v>
      </c>
      <c r="AJ503" s="76"/>
      <c r="AK503" s="37"/>
      <c r="AL503" s="86">
        <f>tbl_estimated_costs_quantities[[#This Row],[Ceramic Tile Works WASH]]*BOQs!$L$12</f>
        <v>0</v>
      </c>
      <c r="AM503" s="76"/>
      <c r="AN503" s="37"/>
      <c r="AO503" s="86">
        <f>tbl_estimated_costs_quantities[[#This Row],[Electrical Repairs Lighting]]*BOQs!$L$13</f>
        <v>0</v>
      </c>
      <c r="AP503" s="76"/>
      <c r="AQ503" s="37"/>
      <c r="AR503" s="86">
        <f>tbl_estimated_costs_quantities[[#This Row],[Roof Insulation Leak Sealing]]*BOQs!$L$14</f>
        <v>0</v>
      </c>
      <c r="AS503" s="76"/>
      <c r="AT503" s="37"/>
      <c r="AU503" s="86">
        <f>tbl_estimated_costs_quantities[[#This Row],[Chimney Duct Cleaning Repair]]*BOQs!$L$15</f>
        <v>0</v>
      </c>
      <c r="AV503" s="76"/>
      <c r="AW503" s="37"/>
      <c r="AX503" s="89">
        <f>tbl_estimated_costs_quantities[[#This Row],[Accessibility Adaptations]]*BOQs!$L$16</f>
        <v>0</v>
      </c>
      <c r="AY503" s="86" t="str">
        <f>IF(tbl_estimated_costs_quantities[[#This Row],[Total cost]]&lt;&gt;0,tbl_estimated_costs_quantities[[#This Row],[Total cost]]/BOQs!$A$1,"")</f>
        <v/>
      </c>
      <c r="AZ503" s="37"/>
      <c r="BA503" s="37"/>
      <c r="BB503" s="37"/>
      <c r="BC503" s="37"/>
      <c r="BD503" s="41"/>
      <c r="BE503" s="37"/>
      <c r="BF503" s="37"/>
      <c r="BG503" s="37"/>
      <c r="BH503" s="41"/>
    </row>
    <row r="504" spans="2:60" ht="25.15" customHeight="1" x14ac:dyDescent="0.25">
      <c r="B504" s="49">
        <v>500</v>
      </c>
      <c r="C504" s="37"/>
      <c r="D504" s="41"/>
      <c r="E504" s="40"/>
      <c r="F504" s="87" t="str">
        <f>IF(tbl_estimated_costs_quantities[[#This Row],[House Code]]&lt;&gt;"",INDEX(tbl_Assessment[],MATCH(tbl_estimated_costs_quantities[[#This Row],[House Code]],tbl_Assessment[House Code],0),3),"")</f>
        <v/>
      </c>
      <c r="G504" s="115" t="str">
        <f>IF(tbl_estimated_costs_quantities[[#This Row],[House Code]]&lt;&gt;"",INDEX(tbl_Assessment[],MATCH(tbl_estimated_costs_quantities[[#This Row],[House Code]],tbl_Assessment[House Code],0),9),"")</f>
        <v/>
      </c>
      <c r="H50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4" s="75"/>
      <c r="J504" s="37"/>
      <c r="K504" s="86">
        <f>tbl_estimated_costs_quantities[[#This Row],[Site Preparation]]*BOQs!$L$3</f>
        <v>0</v>
      </c>
      <c r="L504" s="76"/>
      <c r="M504" s="37"/>
      <c r="N504" s="86">
        <f>tbl_estimated_costs_quantities[[#This Row],[Demolition Removal Unsafe Structures]]*BOQs!$L$4</f>
        <v>0</v>
      </c>
      <c r="O504" s="76"/>
      <c r="P504" s="37"/>
      <c r="Q504" s="86">
        <f>tbl_estimated_costs_quantities[[#This Row],[Concrete Works]]*BOQs!$L$5</f>
        <v>0</v>
      </c>
      <c r="R504" s="76"/>
      <c r="S504" s="37"/>
      <c r="T504" s="86">
        <f>tbl_estimated_costs_quantities[[#This Row],[Closure External Openings Walls Windows]]*BOQs!$L$6</f>
        <v>0</v>
      </c>
      <c r="U504" s="76"/>
      <c r="V504" s="37"/>
      <c r="W504" s="86">
        <f>tbl_estimated_costs_quantities[[#This Row],[Plastering Painting]]*BOQs!$L$7</f>
        <v>0</v>
      </c>
      <c r="X504" s="76"/>
      <c r="Y504" s="37"/>
      <c r="Z504" s="86">
        <f>tbl_estimated_costs_quantities[[#This Row],[Floor Repairs]]*BOQs!$L$8</f>
        <v>0</v>
      </c>
      <c r="AA504" s="76"/>
      <c r="AB504" s="37"/>
      <c r="AC504" s="86">
        <f>tbl_estimated_costs_quantities[[#This Row],[Doors Replacement Repair]]*BOQs!$L$9</f>
        <v>0</v>
      </c>
      <c r="AD504" s="76"/>
      <c r="AE504" s="37"/>
      <c r="AF504" s="86">
        <f>tbl_estimated_costs_quantities[[#This Row],[Windows Replacement Repair]]*BOQs!$L$10</f>
        <v>0</v>
      </c>
      <c r="AG504" s="76"/>
      <c r="AH504" s="37"/>
      <c r="AI504" s="86">
        <f>tbl_estimated_costs_quantities[[#This Row],[Bathroom Rehabilitation]]*BOQs!$L$11</f>
        <v>0</v>
      </c>
      <c r="AJ504" s="76"/>
      <c r="AK504" s="37"/>
      <c r="AL504" s="86">
        <f>tbl_estimated_costs_quantities[[#This Row],[Ceramic Tile Works WASH]]*BOQs!$L$12</f>
        <v>0</v>
      </c>
      <c r="AM504" s="76"/>
      <c r="AN504" s="37"/>
      <c r="AO504" s="86">
        <f>tbl_estimated_costs_quantities[[#This Row],[Electrical Repairs Lighting]]*BOQs!$L$13</f>
        <v>0</v>
      </c>
      <c r="AP504" s="76"/>
      <c r="AQ504" s="37"/>
      <c r="AR504" s="86">
        <f>tbl_estimated_costs_quantities[[#This Row],[Roof Insulation Leak Sealing]]*BOQs!$L$14</f>
        <v>0</v>
      </c>
      <c r="AS504" s="76"/>
      <c r="AT504" s="37"/>
      <c r="AU504" s="86">
        <f>tbl_estimated_costs_quantities[[#This Row],[Chimney Duct Cleaning Repair]]*BOQs!$L$15</f>
        <v>0</v>
      </c>
      <c r="AV504" s="76"/>
      <c r="AW504" s="37"/>
      <c r="AX504" s="89">
        <f>tbl_estimated_costs_quantities[[#This Row],[Accessibility Adaptations]]*BOQs!$L$16</f>
        <v>0</v>
      </c>
      <c r="AY504" s="86" t="str">
        <f>IF(tbl_estimated_costs_quantities[[#This Row],[Total cost]]&lt;&gt;0,tbl_estimated_costs_quantities[[#This Row],[Total cost]]/BOQs!$A$1,"")</f>
        <v/>
      </c>
      <c r="AZ504" s="37"/>
      <c r="BA504" s="37"/>
      <c r="BB504" s="37"/>
      <c r="BC504" s="37"/>
      <c r="BD504" s="41"/>
      <c r="BE504" s="37"/>
      <c r="BF504" s="37"/>
      <c r="BG504" s="37"/>
      <c r="BH504" s="41"/>
    </row>
    <row r="505" spans="2:60" ht="25.15" customHeight="1" x14ac:dyDescent="0.25">
      <c r="B505" s="49">
        <v>501</v>
      </c>
      <c r="C505" s="37"/>
      <c r="D505" s="41"/>
      <c r="E505" s="40"/>
      <c r="F505" s="87" t="str">
        <f>IF(tbl_estimated_costs_quantities[[#This Row],[House Code]]&lt;&gt;"",INDEX(tbl_Assessment[],MATCH(tbl_estimated_costs_quantities[[#This Row],[House Code]],tbl_Assessment[House Code],0),3),"")</f>
        <v/>
      </c>
      <c r="G505" s="115" t="str">
        <f>IF(tbl_estimated_costs_quantities[[#This Row],[House Code]]&lt;&gt;"",INDEX(tbl_Assessment[],MATCH(tbl_estimated_costs_quantities[[#This Row],[House Code]],tbl_Assessment[House Code],0),9),"")</f>
        <v/>
      </c>
      <c r="H50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5" s="75"/>
      <c r="J505" s="37"/>
      <c r="K505" s="86">
        <f>tbl_estimated_costs_quantities[[#This Row],[Site Preparation]]*BOQs!$L$3</f>
        <v>0</v>
      </c>
      <c r="L505" s="76"/>
      <c r="M505" s="37"/>
      <c r="N505" s="86">
        <f>tbl_estimated_costs_quantities[[#This Row],[Demolition Removal Unsafe Structures]]*BOQs!$L$4</f>
        <v>0</v>
      </c>
      <c r="O505" s="76"/>
      <c r="P505" s="37"/>
      <c r="Q505" s="86">
        <f>tbl_estimated_costs_quantities[[#This Row],[Concrete Works]]*BOQs!$L$5</f>
        <v>0</v>
      </c>
      <c r="R505" s="76"/>
      <c r="S505" s="37"/>
      <c r="T505" s="86">
        <f>tbl_estimated_costs_quantities[[#This Row],[Closure External Openings Walls Windows]]*BOQs!$L$6</f>
        <v>0</v>
      </c>
      <c r="U505" s="76"/>
      <c r="V505" s="37"/>
      <c r="W505" s="86">
        <f>tbl_estimated_costs_quantities[[#This Row],[Plastering Painting]]*BOQs!$L$7</f>
        <v>0</v>
      </c>
      <c r="X505" s="76"/>
      <c r="Y505" s="37"/>
      <c r="Z505" s="86">
        <f>tbl_estimated_costs_quantities[[#This Row],[Floor Repairs]]*BOQs!$L$8</f>
        <v>0</v>
      </c>
      <c r="AA505" s="76"/>
      <c r="AB505" s="37"/>
      <c r="AC505" s="86">
        <f>tbl_estimated_costs_quantities[[#This Row],[Doors Replacement Repair]]*BOQs!$L$9</f>
        <v>0</v>
      </c>
      <c r="AD505" s="76"/>
      <c r="AE505" s="37"/>
      <c r="AF505" s="86">
        <f>tbl_estimated_costs_quantities[[#This Row],[Windows Replacement Repair]]*BOQs!$L$10</f>
        <v>0</v>
      </c>
      <c r="AG505" s="76"/>
      <c r="AH505" s="37"/>
      <c r="AI505" s="86">
        <f>tbl_estimated_costs_quantities[[#This Row],[Bathroom Rehabilitation]]*BOQs!$L$11</f>
        <v>0</v>
      </c>
      <c r="AJ505" s="76"/>
      <c r="AK505" s="37"/>
      <c r="AL505" s="86">
        <f>tbl_estimated_costs_quantities[[#This Row],[Ceramic Tile Works WASH]]*BOQs!$L$12</f>
        <v>0</v>
      </c>
      <c r="AM505" s="76"/>
      <c r="AN505" s="37"/>
      <c r="AO505" s="86">
        <f>tbl_estimated_costs_quantities[[#This Row],[Electrical Repairs Lighting]]*BOQs!$L$13</f>
        <v>0</v>
      </c>
      <c r="AP505" s="76"/>
      <c r="AQ505" s="37"/>
      <c r="AR505" s="86">
        <f>tbl_estimated_costs_quantities[[#This Row],[Roof Insulation Leak Sealing]]*BOQs!$L$14</f>
        <v>0</v>
      </c>
      <c r="AS505" s="76"/>
      <c r="AT505" s="37"/>
      <c r="AU505" s="86">
        <f>tbl_estimated_costs_quantities[[#This Row],[Chimney Duct Cleaning Repair]]*BOQs!$L$15</f>
        <v>0</v>
      </c>
      <c r="AV505" s="76"/>
      <c r="AW505" s="37"/>
      <c r="AX505" s="89">
        <f>tbl_estimated_costs_quantities[[#This Row],[Accessibility Adaptations]]*BOQs!$L$16</f>
        <v>0</v>
      </c>
      <c r="AY505" s="86" t="str">
        <f>IF(tbl_estimated_costs_quantities[[#This Row],[Total cost]]&lt;&gt;0,tbl_estimated_costs_quantities[[#This Row],[Total cost]]/BOQs!$A$1,"")</f>
        <v/>
      </c>
      <c r="AZ505" s="37"/>
      <c r="BA505" s="37"/>
      <c r="BB505" s="37"/>
      <c r="BC505" s="37"/>
      <c r="BD505" s="41"/>
      <c r="BE505" s="37"/>
      <c r="BF505" s="37"/>
      <c r="BG505" s="37"/>
      <c r="BH505" s="41"/>
    </row>
    <row r="506" spans="2:60" ht="25.15" customHeight="1" x14ac:dyDescent="0.25">
      <c r="B506" s="49">
        <v>502</v>
      </c>
      <c r="C506" s="37"/>
      <c r="D506" s="41"/>
      <c r="E506" s="40"/>
      <c r="F506" s="87" t="str">
        <f>IF(tbl_estimated_costs_quantities[[#This Row],[House Code]]&lt;&gt;"",INDEX(tbl_Assessment[],MATCH(tbl_estimated_costs_quantities[[#This Row],[House Code]],tbl_Assessment[House Code],0),3),"")</f>
        <v/>
      </c>
      <c r="G506" s="115" t="str">
        <f>IF(tbl_estimated_costs_quantities[[#This Row],[House Code]]&lt;&gt;"",INDEX(tbl_Assessment[],MATCH(tbl_estimated_costs_quantities[[#This Row],[House Code]],tbl_Assessment[House Code],0),9),"")</f>
        <v/>
      </c>
      <c r="H50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6" s="75"/>
      <c r="J506" s="37"/>
      <c r="K506" s="86">
        <f>tbl_estimated_costs_quantities[[#This Row],[Site Preparation]]*BOQs!$L$3</f>
        <v>0</v>
      </c>
      <c r="L506" s="76"/>
      <c r="M506" s="37"/>
      <c r="N506" s="86">
        <f>tbl_estimated_costs_quantities[[#This Row],[Demolition Removal Unsafe Structures]]*BOQs!$L$4</f>
        <v>0</v>
      </c>
      <c r="O506" s="76"/>
      <c r="P506" s="37"/>
      <c r="Q506" s="86">
        <f>tbl_estimated_costs_quantities[[#This Row],[Concrete Works]]*BOQs!$L$5</f>
        <v>0</v>
      </c>
      <c r="R506" s="76"/>
      <c r="S506" s="37"/>
      <c r="T506" s="86">
        <f>tbl_estimated_costs_quantities[[#This Row],[Closure External Openings Walls Windows]]*BOQs!$L$6</f>
        <v>0</v>
      </c>
      <c r="U506" s="76"/>
      <c r="V506" s="37"/>
      <c r="W506" s="86">
        <f>tbl_estimated_costs_quantities[[#This Row],[Plastering Painting]]*BOQs!$L$7</f>
        <v>0</v>
      </c>
      <c r="X506" s="76"/>
      <c r="Y506" s="37"/>
      <c r="Z506" s="86">
        <f>tbl_estimated_costs_quantities[[#This Row],[Floor Repairs]]*BOQs!$L$8</f>
        <v>0</v>
      </c>
      <c r="AA506" s="76"/>
      <c r="AB506" s="37"/>
      <c r="AC506" s="86">
        <f>tbl_estimated_costs_quantities[[#This Row],[Doors Replacement Repair]]*BOQs!$L$9</f>
        <v>0</v>
      </c>
      <c r="AD506" s="76"/>
      <c r="AE506" s="37"/>
      <c r="AF506" s="86">
        <f>tbl_estimated_costs_quantities[[#This Row],[Windows Replacement Repair]]*BOQs!$L$10</f>
        <v>0</v>
      </c>
      <c r="AG506" s="76"/>
      <c r="AH506" s="37"/>
      <c r="AI506" s="86">
        <f>tbl_estimated_costs_quantities[[#This Row],[Bathroom Rehabilitation]]*BOQs!$L$11</f>
        <v>0</v>
      </c>
      <c r="AJ506" s="76"/>
      <c r="AK506" s="37"/>
      <c r="AL506" s="86">
        <f>tbl_estimated_costs_quantities[[#This Row],[Ceramic Tile Works WASH]]*BOQs!$L$12</f>
        <v>0</v>
      </c>
      <c r="AM506" s="76"/>
      <c r="AN506" s="37"/>
      <c r="AO506" s="86">
        <f>tbl_estimated_costs_quantities[[#This Row],[Electrical Repairs Lighting]]*BOQs!$L$13</f>
        <v>0</v>
      </c>
      <c r="AP506" s="76"/>
      <c r="AQ506" s="37"/>
      <c r="AR506" s="86">
        <f>tbl_estimated_costs_quantities[[#This Row],[Roof Insulation Leak Sealing]]*BOQs!$L$14</f>
        <v>0</v>
      </c>
      <c r="AS506" s="76"/>
      <c r="AT506" s="37"/>
      <c r="AU506" s="86">
        <f>tbl_estimated_costs_quantities[[#This Row],[Chimney Duct Cleaning Repair]]*BOQs!$L$15</f>
        <v>0</v>
      </c>
      <c r="AV506" s="76"/>
      <c r="AW506" s="37"/>
      <c r="AX506" s="89">
        <f>tbl_estimated_costs_quantities[[#This Row],[Accessibility Adaptations]]*BOQs!$L$16</f>
        <v>0</v>
      </c>
      <c r="AY506" s="86" t="str">
        <f>IF(tbl_estimated_costs_quantities[[#This Row],[Total cost]]&lt;&gt;0,tbl_estimated_costs_quantities[[#This Row],[Total cost]]/BOQs!$A$1,"")</f>
        <v/>
      </c>
      <c r="AZ506" s="37"/>
      <c r="BA506" s="37"/>
      <c r="BB506" s="37"/>
      <c r="BC506" s="37"/>
      <c r="BD506" s="41"/>
      <c r="BE506" s="37"/>
      <c r="BF506" s="37"/>
      <c r="BG506" s="37"/>
      <c r="BH506" s="41"/>
    </row>
    <row r="507" spans="2:60" ht="25.15" customHeight="1" x14ac:dyDescent="0.25">
      <c r="B507" s="49">
        <v>503</v>
      </c>
      <c r="C507" s="37"/>
      <c r="D507" s="41"/>
      <c r="E507" s="40"/>
      <c r="F507" s="87" t="str">
        <f>IF(tbl_estimated_costs_quantities[[#This Row],[House Code]]&lt;&gt;"",INDEX(tbl_Assessment[],MATCH(tbl_estimated_costs_quantities[[#This Row],[House Code]],tbl_Assessment[House Code],0),3),"")</f>
        <v/>
      </c>
      <c r="G507" s="115" t="str">
        <f>IF(tbl_estimated_costs_quantities[[#This Row],[House Code]]&lt;&gt;"",INDEX(tbl_Assessment[],MATCH(tbl_estimated_costs_quantities[[#This Row],[House Code]],tbl_Assessment[House Code],0),9),"")</f>
        <v/>
      </c>
      <c r="H50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7" s="75"/>
      <c r="J507" s="37"/>
      <c r="K507" s="86">
        <f>tbl_estimated_costs_quantities[[#This Row],[Site Preparation]]*BOQs!$L$3</f>
        <v>0</v>
      </c>
      <c r="L507" s="76"/>
      <c r="M507" s="37"/>
      <c r="N507" s="86">
        <f>tbl_estimated_costs_quantities[[#This Row],[Demolition Removal Unsafe Structures]]*BOQs!$L$4</f>
        <v>0</v>
      </c>
      <c r="O507" s="76"/>
      <c r="P507" s="37"/>
      <c r="Q507" s="86">
        <f>tbl_estimated_costs_quantities[[#This Row],[Concrete Works]]*BOQs!$L$5</f>
        <v>0</v>
      </c>
      <c r="R507" s="76"/>
      <c r="S507" s="37"/>
      <c r="T507" s="86">
        <f>tbl_estimated_costs_quantities[[#This Row],[Closure External Openings Walls Windows]]*BOQs!$L$6</f>
        <v>0</v>
      </c>
      <c r="U507" s="76"/>
      <c r="V507" s="37"/>
      <c r="W507" s="86">
        <f>tbl_estimated_costs_quantities[[#This Row],[Plastering Painting]]*BOQs!$L$7</f>
        <v>0</v>
      </c>
      <c r="X507" s="76"/>
      <c r="Y507" s="37"/>
      <c r="Z507" s="86">
        <f>tbl_estimated_costs_quantities[[#This Row],[Floor Repairs]]*BOQs!$L$8</f>
        <v>0</v>
      </c>
      <c r="AA507" s="76"/>
      <c r="AB507" s="37"/>
      <c r="AC507" s="86">
        <f>tbl_estimated_costs_quantities[[#This Row],[Doors Replacement Repair]]*BOQs!$L$9</f>
        <v>0</v>
      </c>
      <c r="AD507" s="76"/>
      <c r="AE507" s="37"/>
      <c r="AF507" s="86">
        <f>tbl_estimated_costs_quantities[[#This Row],[Windows Replacement Repair]]*BOQs!$L$10</f>
        <v>0</v>
      </c>
      <c r="AG507" s="76"/>
      <c r="AH507" s="37"/>
      <c r="AI507" s="86">
        <f>tbl_estimated_costs_quantities[[#This Row],[Bathroom Rehabilitation]]*BOQs!$L$11</f>
        <v>0</v>
      </c>
      <c r="AJ507" s="76"/>
      <c r="AK507" s="37"/>
      <c r="AL507" s="86">
        <f>tbl_estimated_costs_quantities[[#This Row],[Ceramic Tile Works WASH]]*BOQs!$L$12</f>
        <v>0</v>
      </c>
      <c r="AM507" s="76"/>
      <c r="AN507" s="37"/>
      <c r="AO507" s="86">
        <f>tbl_estimated_costs_quantities[[#This Row],[Electrical Repairs Lighting]]*BOQs!$L$13</f>
        <v>0</v>
      </c>
      <c r="AP507" s="76"/>
      <c r="AQ507" s="37"/>
      <c r="AR507" s="86">
        <f>tbl_estimated_costs_quantities[[#This Row],[Roof Insulation Leak Sealing]]*BOQs!$L$14</f>
        <v>0</v>
      </c>
      <c r="AS507" s="76"/>
      <c r="AT507" s="37"/>
      <c r="AU507" s="86">
        <f>tbl_estimated_costs_quantities[[#This Row],[Chimney Duct Cleaning Repair]]*BOQs!$L$15</f>
        <v>0</v>
      </c>
      <c r="AV507" s="76"/>
      <c r="AW507" s="37"/>
      <c r="AX507" s="89">
        <f>tbl_estimated_costs_quantities[[#This Row],[Accessibility Adaptations]]*BOQs!$L$16</f>
        <v>0</v>
      </c>
      <c r="AY507" s="86" t="str">
        <f>IF(tbl_estimated_costs_quantities[[#This Row],[Total cost]]&lt;&gt;0,tbl_estimated_costs_quantities[[#This Row],[Total cost]]/BOQs!$A$1,"")</f>
        <v/>
      </c>
      <c r="AZ507" s="37"/>
      <c r="BA507" s="37"/>
      <c r="BB507" s="37"/>
      <c r="BC507" s="37"/>
      <c r="BD507" s="41"/>
      <c r="BE507" s="37"/>
      <c r="BF507" s="37"/>
      <c r="BG507" s="37"/>
      <c r="BH507" s="41"/>
    </row>
    <row r="508" spans="2:60" ht="25.15" customHeight="1" x14ac:dyDescent="0.25">
      <c r="B508" s="49">
        <v>504</v>
      </c>
      <c r="C508" s="37"/>
      <c r="D508" s="41"/>
      <c r="E508" s="40"/>
      <c r="F508" s="87" t="str">
        <f>IF(tbl_estimated_costs_quantities[[#This Row],[House Code]]&lt;&gt;"",INDEX(tbl_Assessment[],MATCH(tbl_estimated_costs_quantities[[#This Row],[House Code]],tbl_Assessment[House Code],0),3),"")</f>
        <v/>
      </c>
      <c r="G508" s="115" t="str">
        <f>IF(tbl_estimated_costs_quantities[[#This Row],[House Code]]&lt;&gt;"",INDEX(tbl_Assessment[],MATCH(tbl_estimated_costs_quantities[[#This Row],[House Code]],tbl_Assessment[House Code],0),9),"")</f>
        <v/>
      </c>
      <c r="H50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8" s="75"/>
      <c r="J508" s="37"/>
      <c r="K508" s="86">
        <f>tbl_estimated_costs_quantities[[#This Row],[Site Preparation]]*BOQs!$L$3</f>
        <v>0</v>
      </c>
      <c r="L508" s="76"/>
      <c r="M508" s="37"/>
      <c r="N508" s="86">
        <f>tbl_estimated_costs_quantities[[#This Row],[Demolition Removal Unsafe Structures]]*BOQs!$L$4</f>
        <v>0</v>
      </c>
      <c r="O508" s="76"/>
      <c r="P508" s="37"/>
      <c r="Q508" s="86">
        <f>tbl_estimated_costs_quantities[[#This Row],[Concrete Works]]*BOQs!$L$5</f>
        <v>0</v>
      </c>
      <c r="R508" s="76"/>
      <c r="S508" s="37"/>
      <c r="T508" s="86">
        <f>tbl_estimated_costs_quantities[[#This Row],[Closure External Openings Walls Windows]]*BOQs!$L$6</f>
        <v>0</v>
      </c>
      <c r="U508" s="76"/>
      <c r="V508" s="37"/>
      <c r="W508" s="86">
        <f>tbl_estimated_costs_quantities[[#This Row],[Plastering Painting]]*BOQs!$L$7</f>
        <v>0</v>
      </c>
      <c r="X508" s="76"/>
      <c r="Y508" s="37"/>
      <c r="Z508" s="86">
        <f>tbl_estimated_costs_quantities[[#This Row],[Floor Repairs]]*BOQs!$L$8</f>
        <v>0</v>
      </c>
      <c r="AA508" s="76"/>
      <c r="AB508" s="37"/>
      <c r="AC508" s="86">
        <f>tbl_estimated_costs_quantities[[#This Row],[Doors Replacement Repair]]*BOQs!$L$9</f>
        <v>0</v>
      </c>
      <c r="AD508" s="76"/>
      <c r="AE508" s="37"/>
      <c r="AF508" s="86">
        <f>tbl_estimated_costs_quantities[[#This Row],[Windows Replacement Repair]]*BOQs!$L$10</f>
        <v>0</v>
      </c>
      <c r="AG508" s="76"/>
      <c r="AH508" s="37"/>
      <c r="AI508" s="86">
        <f>tbl_estimated_costs_quantities[[#This Row],[Bathroom Rehabilitation]]*BOQs!$L$11</f>
        <v>0</v>
      </c>
      <c r="AJ508" s="76"/>
      <c r="AK508" s="37"/>
      <c r="AL508" s="86">
        <f>tbl_estimated_costs_quantities[[#This Row],[Ceramic Tile Works WASH]]*BOQs!$L$12</f>
        <v>0</v>
      </c>
      <c r="AM508" s="76"/>
      <c r="AN508" s="37"/>
      <c r="AO508" s="86">
        <f>tbl_estimated_costs_quantities[[#This Row],[Electrical Repairs Lighting]]*BOQs!$L$13</f>
        <v>0</v>
      </c>
      <c r="AP508" s="76"/>
      <c r="AQ508" s="37"/>
      <c r="AR508" s="86">
        <f>tbl_estimated_costs_quantities[[#This Row],[Roof Insulation Leak Sealing]]*BOQs!$L$14</f>
        <v>0</v>
      </c>
      <c r="AS508" s="76"/>
      <c r="AT508" s="37"/>
      <c r="AU508" s="86">
        <f>tbl_estimated_costs_quantities[[#This Row],[Chimney Duct Cleaning Repair]]*BOQs!$L$15</f>
        <v>0</v>
      </c>
      <c r="AV508" s="76"/>
      <c r="AW508" s="37"/>
      <c r="AX508" s="89">
        <f>tbl_estimated_costs_quantities[[#This Row],[Accessibility Adaptations]]*BOQs!$L$16</f>
        <v>0</v>
      </c>
      <c r="AY508" s="86" t="str">
        <f>IF(tbl_estimated_costs_quantities[[#This Row],[Total cost]]&lt;&gt;0,tbl_estimated_costs_quantities[[#This Row],[Total cost]]/BOQs!$A$1,"")</f>
        <v/>
      </c>
      <c r="AZ508" s="37"/>
      <c r="BA508" s="37"/>
      <c r="BB508" s="37"/>
      <c r="BC508" s="37"/>
      <c r="BD508" s="41"/>
      <c r="BE508" s="37"/>
      <c r="BF508" s="37"/>
      <c r="BG508" s="37"/>
      <c r="BH508" s="41"/>
    </row>
    <row r="509" spans="2:60" ht="25.15" customHeight="1" x14ac:dyDescent="0.25">
      <c r="B509" s="49">
        <v>505</v>
      </c>
      <c r="C509" s="37"/>
      <c r="D509" s="41"/>
      <c r="E509" s="40"/>
      <c r="F509" s="87" t="str">
        <f>IF(tbl_estimated_costs_quantities[[#This Row],[House Code]]&lt;&gt;"",INDEX(tbl_Assessment[],MATCH(tbl_estimated_costs_quantities[[#This Row],[House Code]],tbl_Assessment[House Code],0),3),"")</f>
        <v/>
      </c>
      <c r="G509" s="115" t="str">
        <f>IF(tbl_estimated_costs_quantities[[#This Row],[House Code]]&lt;&gt;"",INDEX(tbl_Assessment[],MATCH(tbl_estimated_costs_quantities[[#This Row],[House Code]],tbl_Assessment[House Code],0),9),"")</f>
        <v/>
      </c>
      <c r="H50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09" s="75"/>
      <c r="J509" s="37"/>
      <c r="K509" s="86">
        <f>tbl_estimated_costs_quantities[[#This Row],[Site Preparation]]*BOQs!$L$3</f>
        <v>0</v>
      </c>
      <c r="L509" s="76"/>
      <c r="M509" s="37"/>
      <c r="N509" s="86">
        <f>tbl_estimated_costs_quantities[[#This Row],[Demolition Removal Unsafe Structures]]*BOQs!$L$4</f>
        <v>0</v>
      </c>
      <c r="O509" s="76"/>
      <c r="P509" s="37"/>
      <c r="Q509" s="86">
        <f>tbl_estimated_costs_quantities[[#This Row],[Concrete Works]]*BOQs!$L$5</f>
        <v>0</v>
      </c>
      <c r="R509" s="76"/>
      <c r="S509" s="37"/>
      <c r="T509" s="86">
        <f>tbl_estimated_costs_quantities[[#This Row],[Closure External Openings Walls Windows]]*BOQs!$L$6</f>
        <v>0</v>
      </c>
      <c r="U509" s="76"/>
      <c r="V509" s="37"/>
      <c r="W509" s="86">
        <f>tbl_estimated_costs_quantities[[#This Row],[Plastering Painting]]*BOQs!$L$7</f>
        <v>0</v>
      </c>
      <c r="X509" s="76"/>
      <c r="Y509" s="37"/>
      <c r="Z509" s="86">
        <f>tbl_estimated_costs_quantities[[#This Row],[Floor Repairs]]*BOQs!$L$8</f>
        <v>0</v>
      </c>
      <c r="AA509" s="76"/>
      <c r="AB509" s="37"/>
      <c r="AC509" s="86">
        <f>tbl_estimated_costs_quantities[[#This Row],[Doors Replacement Repair]]*BOQs!$L$9</f>
        <v>0</v>
      </c>
      <c r="AD509" s="76"/>
      <c r="AE509" s="37"/>
      <c r="AF509" s="86">
        <f>tbl_estimated_costs_quantities[[#This Row],[Windows Replacement Repair]]*BOQs!$L$10</f>
        <v>0</v>
      </c>
      <c r="AG509" s="76"/>
      <c r="AH509" s="37"/>
      <c r="AI509" s="86">
        <f>tbl_estimated_costs_quantities[[#This Row],[Bathroom Rehabilitation]]*BOQs!$L$11</f>
        <v>0</v>
      </c>
      <c r="AJ509" s="76"/>
      <c r="AK509" s="37"/>
      <c r="AL509" s="86">
        <f>tbl_estimated_costs_quantities[[#This Row],[Ceramic Tile Works WASH]]*BOQs!$L$12</f>
        <v>0</v>
      </c>
      <c r="AM509" s="76"/>
      <c r="AN509" s="37"/>
      <c r="AO509" s="86">
        <f>tbl_estimated_costs_quantities[[#This Row],[Electrical Repairs Lighting]]*BOQs!$L$13</f>
        <v>0</v>
      </c>
      <c r="AP509" s="76"/>
      <c r="AQ509" s="37"/>
      <c r="AR509" s="86">
        <f>tbl_estimated_costs_quantities[[#This Row],[Roof Insulation Leak Sealing]]*BOQs!$L$14</f>
        <v>0</v>
      </c>
      <c r="AS509" s="76"/>
      <c r="AT509" s="37"/>
      <c r="AU509" s="86">
        <f>tbl_estimated_costs_quantities[[#This Row],[Chimney Duct Cleaning Repair]]*BOQs!$L$15</f>
        <v>0</v>
      </c>
      <c r="AV509" s="76"/>
      <c r="AW509" s="37"/>
      <c r="AX509" s="89">
        <f>tbl_estimated_costs_quantities[[#This Row],[Accessibility Adaptations]]*BOQs!$L$16</f>
        <v>0</v>
      </c>
      <c r="AY509" s="86" t="str">
        <f>IF(tbl_estimated_costs_quantities[[#This Row],[Total cost]]&lt;&gt;0,tbl_estimated_costs_quantities[[#This Row],[Total cost]]/BOQs!$A$1,"")</f>
        <v/>
      </c>
      <c r="AZ509" s="37"/>
      <c r="BA509" s="37"/>
      <c r="BB509" s="37"/>
      <c r="BC509" s="37"/>
      <c r="BD509" s="41"/>
      <c r="BE509" s="37"/>
      <c r="BF509" s="37"/>
      <c r="BG509" s="37"/>
      <c r="BH509" s="41"/>
    </row>
    <row r="510" spans="2:60" ht="25.15" customHeight="1" x14ac:dyDescent="0.25">
      <c r="B510" s="49">
        <v>506</v>
      </c>
      <c r="C510" s="37"/>
      <c r="D510" s="41"/>
      <c r="E510" s="40"/>
      <c r="F510" s="87" t="str">
        <f>IF(tbl_estimated_costs_quantities[[#This Row],[House Code]]&lt;&gt;"",INDEX(tbl_Assessment[],MATCH(tbl_estimated_costs_quantities[[#This Row],[House Code]],tbl_Assessment[House Code],0),3),"")</f>
        <v/>
      </c>
      <c r="G510" s="115" t="str">
        <f>IF(tbl_estimated_costs_quantities[[#This Row],[House Code]]&lt;&gt;"",INDEX(tbl_Assessment[],MATCH(tbl_estimated_costs_quantities[[#This Row],[House Code]],tbl_Assessment[House Code],0),9),"")</f>
        <v/>
      </c>
      <c r="H51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0" s="75"/>
      <c r="J510" s="37"/>
      <c r="K510" s="86">
        <f>tbl_estimated_costs_quantities[[#This Row],[Site Preparation]]*BOQs!$L$3</f>
        <v>0</v>
      </c>
      <c r="L510" s="76"/>
      <c r="M510" s="37"/>
      <c r="N510" s="86">
        <f>tbl_estimated_costs_quantities[[#This Row],[Demolition Removal Unsafe Structures]]*BOQs!$L$4</f>
        <v>0</v>
      </c>
      <c r="O510" s="76"/>
      <c r="P510" s="37"/>
      <c r="Q510" s="86">
        <f>tbl_estimated_costs_quantities[[#This Row],[Concrete Works]]*BOQs!$L$5</f>
        <v>0</v>
      </c>
      <c r="R510" s="76"/>
      <c r="S510" s="37"/>
      <c r="T510" s="86">
        <f>tbl_estimated_costs_quantities[[#This Row],[Closure External Openings Walls Windows]]*BOQs!$L$6</f>
        <v>0</v>
      </c>
      <c r="U510" s="76"/>
      <c r="V510" s="37"/>
      <c r="W510" s="86">
        <f>tbl_estimated_costs_quantities[[#This Row],[Plastering Painting]]*BOQs!$L$7</f>
        <v>0</v>
      </c>
      <c r="X510" s="76"/>
      <c r="Y510" s="37"/>
      <c r="Z510" s="86">
        <f>tbl_estimated_costs_quantities[[#This Row],[Floor Repairs]]*BOQs!$L$8</f>
        <v>0</v>
      </c>
      <c r="AA510" s="76"/>
      <c r="AB510" s="37"/>
      <c r="AC510" s="86">
        <f>tbl_estimated_costs_quantities[[#This Row],[Doors Replacement Repair]]*BOQs!$L$9</f>
        <v>0</v>
      </c>
      <c r="AD510" s="76"/>
      <c r="AE510" s="37"/>
      <c r="AF510" s="86">
        <f>tbl_estimated_costs_quantities[[#This Row],[Windows Replacement Repair]]*BOQs!$L$10</f>
        <v>0</v>
      </c>
      <c r="AG510" s="76"/>
      <c r="AH510" s="37"/>
      <c r="AI510" s="86">
        <f>tbl_estimated_costs_quantities[[#This Row],[Bathroom Rehabilitation]]*BOQs!$L$11</f>
        <v>0</v>
      </c>
      <c r="AJ510" s="76"/>
      <c r="AK510" s="37"/>
      <c r="AL510" s="86">
        <f>tbl_estimated_costs_quantities[[#This Row],[Ceramic Tile Works WASH]]*BOQs!$L$12</f>
        <v>0</v>
      </c>
      <c r="AM510" s="76"/>
      <c r="AN510" s="37"/>
      <c r="AO510" s="86">
        <f>tbl_estimated_costs_quantities[[#This Row],[Electrical Repairs Lighting]]*BOQs!$L$13</f>
        <v>0</v>
      </c>
      <c r="AP510" s="76"/>
      <c r="AQ510" s="37"/>
      <c r="AR510" s="86">
        <f>tbl_estimated_costs_quantities[[#This Row],[Roof Insulation Leak Sealing]]*BOQs!$L$14</f>
        <v>0</v>
      </c>
      <c r="AS510" s="76"/>
      <c r="AT510" s="37"/>
      <c r="AU510" s="86">
        <f>tbl_estimated_costs_quantities[[#This Row],[Chimney Duct Cleaning Repair]]*BOQs!$L$15</f>
        <v>0</v>
      </c>
      <c r="AV510" s="76"/>
      <c r="AW510" s="37"/>
      <c r="AX510" s="89">
        <f>tbl_estimated_costs_quantities[[#This Row],[Accessibility Adaptations]]*BOQs!$L$16</f>
        <v>0</v>
      </c>
      <c r="AY510" s="86" t="str">
        <f>IF(tbl_estimated_costs_quantities[[#This Row],[Total cost]]&lt;&gt;0,tbl_estimated_costs_quantities[[#This Row],[Total cost]]/BOQs!$A$1,"")</f>
        <v/>
      </c>
      <c r="AZ510" s="37"/>
      <c r="BA510" s="37"/>
      <c r="BB510" s="37"/>
      <c r="BC510" s="37"/>
      <c r="BD510" s="41"/>
      <c r="BE510" s="37"/>
      <c r="BF510" s="37"/>
      <c r="BG510" s="37"/>
      <c r="BH510" s="41"/>
    </row>
    <row r="511" spans="2:60" ht="25.15" customHeight="1" x14ac:dyDescent="0.25">
      <c r="B511" s="49">
        <v>507</v>
      </c>
      <c r="C511" s="37"/>
      <c r="D511" s="41"/>
      <c r="E511" s="40"/>
      <c r="F511" s="87" t="str">
        <f>IF(tbl_estimated_costs_quantities[[#This Row],[House Code]]&lt;&gt;"",INDEX(tbl_Assessment[],MATCH(tbl_estimated_costs_quantities[[#This Row],[House Code]],tbl_Assessment[House Code],0),3),"")</f>
        <v/>
      </c>
      <c r="G511" s="115" t="str">
        <f>IF(tbl_estimated_costs_quantities[[#This Row],[House Code]]&lt;&gt;"",INDEX(tbl_Assessment[],MATCH(tbl_estimated_costs_quantities[[#This Row],[House Code]],tbl_Assessment[House Code],0),9),"")</f>
        <v/>
      </c>
      <c r="H51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1" s="75"/>
      <c r="J511" s="37"/>
      <c r="K511" s="86">
        <f>tbl_estimated_costs_quantities[[#This Row],[Site Preparation]]*BOQs!$L$3</f>
        <v>0</v>
      </c>
      <c r="L511" s="76"/>
      <c r="M511" s="37"/>
      <c r="N511" s="86">
        <f>tbl_estimated_costs_quantities[[#This Row],[Demolition Removal Unsafe Structures]]*BOQs!$L$4</f>
        <v>0</v>
      </c>
      <c r="O511" s="76"/>
      <c r="P511" s="37"/>
      <c r="Q511" s="86">
        <f>tbl_estimated_costs_quantities[[#This Row],[Concrete Works]]*BOQs!$L$5</f>
        <v>0</v>
      </c>
      <c r="R511" s="76"/>
      <c r="S511" s="37"/>
      <c r="T511" s="86">
        <f>tbl_estimated_costs_quantities[[#This Row],[Closure External Openings Walls Windows]]*BOQs!$L$6</f>
        <v>0</v>
      </c>
      <c r="U511" s="76"/>
      <c r="V511" s="37"/>
      <c r="W511" s="86">
        <f>tbl_estimated_costs_quantities[[#This Row],[Plastering Painting]]*BOQs!$L$7</f>
        <v>0</v>
      </c>
      <c r="X511" s="76"/>
      <c r="Y511" s="37"/>
      <c r="Z511" s="86">
        <f>tbl_estimated_costs_quantities[[#This Row],[Floor Repairs]]*BOQs!$L$8</f>
        <v>0</v>
      </c>
      <c r="AA511" s="76"/>
      <c r="AB511" s="37"/>
      <c r="AC511" s="86">
        <f>tbl_estimated_costs_quantities[[#This Row],[Doors Replacement Repair]]*BOQs!$L$9</f>
        <v>0</v>
      </c>
      <c r="AD511" s="76"/>
      <c r="AE511" s="37"/>
      <c r="AF511" s="86">
        <f>tbl_estimated_costs_quantities[[#This Row],[Windows Replacement Repair]]*BOQs!$L$10</f>
        <v>0</v>
      </c>
      <c r="AG511" s="76"/>
      <c r="AH511" s="37"/>
      <c r="AI511" s="86">
        <f>tbl_estimated_costs_quantities[[#This Row],[Bathroom Rehabilitation]]*BOQs!$L$11</f>
        <v>0</v>
      </c>
      <c r="AJ511" s="76"/>
      <c r="AK511" s="37"/>
      <c r="AL511" s="86">
        <f>tbl_estimated_costs_quantities[[#This Row],[Ceramic Tile Works WASH]]*BOQs!$L$12</f>
        <v>0</v>
      </c>
      <c r="AM511" s="76"/>
      <c r="AN511" s="37"/>
      <c r="AO511" s="86">
        <f>tbl_estimated_costs_quantities[[#This Row],[Electrical Repairs Lighting]]*BOQs!$L$13</f>
        <v>0</v>
      </c>
      <c r="AP511" s="76"/>
      <c r="AQ511" s="37"/>
      <c r="AR511" s="86">
        <f>tbl_estimated_costs_quantities[[#This Row],[Roof Insulation Leak Sealing]]*BOQs!$L$14</f>
        <v>0</v>
      </c>
      <c r="AS511" s="76"/>
      <c r="AT511" s="37"/>
      <c r="AU511" s="86">
        <f>tbl_estimated_costs_quantities[[#This Row],[Chimney Duct Cleaning Repair]]*BOQs!$L$15</f>
        <v>0</v>
      </c>
      <c r="AV511" s="76"/>
      <c r="AW511" s="37"/>
      <c r="AX511" s="89">
        <f>tbl_estimated_costs_quantities[[#This Row],[Accessibility Adaptations]]*BOQs!$L$16</f>
        <v>0</v>
      </c>
      <c r="AY511" s="86" t="str">
        <f>IF(tbl_estimated_costs_quantities[[#This Row],[Total cost]]&lt;&gt;0,tbl_estimated_costs_quantities[[#This Row],[Total cost]]/BOQs!$A$1,"")</f>
        <v/>
      </c>
      <c r="AZ511" s="37"/>
      <c r="BA511" s="37"/>
      <c r="BB511" s="37"/>
      <c r="BC511" s="37"/>
      <c r="BD511" s="41"/>
      <c r="BE511" s="37"/>
      <c r="BF511" s="37"/>
      <c r="BG511" s="37"/>
      <c r="BH511" s="41"/>
    </row>
    <row r="512" spans="2:60" ht="25.15" customHeight="1" x14ac:dyDescent="0.25">
      <c r="B512" s="49">
        <v>508</v>
      </c>
      <c r="C512" s="37"/>
      <c r="D512" s="41"/>
      <c r="E512" s="40"/>
      <c r="F512" s="87" t="str">
        <f>IF(tbl_estimated_costs_quantities[[#This Row],[House Code]]&lt;&gt;"",INDEX(tbl_Assessment[],MATCH(tbl_estimated_costs_quantities[[#This Row],[House Code]],tbl_Assessment[House Code],0),3),"")</f>
        <v/>
      </c>
      <c r="G512" s="115" t="str">
        <f>IF(tbl_estimated_costs_quantities[[#This Row],[House Code]]&lt;&gt;"",INDEX(tbl_Assessment[],MATCH(tbl_estimated_costs_quantities[[#This Row],[House Code]],tbl_Assessment[House Code],0),9),"")</f>
        <v/>
      </c>
      <c r="H51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2" s="75"/>
      <c r="J512" s="37"/>
      <c r="K512" s="86">
        <f>tbl_estimated_costs_quantities[[#This Row],[Site Preparation]]*BOQs!$L$3</f>
        <v>0</v>
      </c>
      <c r="L512" s="76"/>
      <c r="M512" s="37"/>
      <c r="N512" s="86">
        <f>tbl_estimated_costs_quantities[[#This Row],[Demolition Removal Unsafe Structures]]*BOQs!$L$4</f>
        <v>0</v>
      </c>
      <c r="O512" s="76"/>
      <c r="P512" s="37"/>
      <c r="Q512" s="86">
        <f>tbl_estimated_costs_quantities[[#This Row],[Concrete Works]]*BOQs!$L$5</f>
        <v>0</v>
      </c>
      <c r="R512" s="76"/>
      <c r="S512" s="37"/>
      <c r="T512" s="86">
        <f>tbl_estimated_costs_quantities[[#This Row],[Closure External Openings Walls Windows]]*BOQs!$L$6</f>
        <v>0</v>
      </c>
      <c r="U512" s="76"/>
      <c r="V512" s="37"/>
      <c r="W512" s="86">
        <f>tbl_estimated_costs_quantities[[#This Row],[Plastering Painting]]*BOQs!$L$7</f>
        <v>0</v>
      </c>
      <c r="X512" s="76"/>
      <c r="Y512" s="37"/>
      <c r="Z512" s="86">
        <f>tbl_estimated_costs_quantities[[#This Row],[Floor Repairs]]*BOQs!$L$8</f>
        <v>0</v>
      </c>
      <c r="AA512" s="76"/>
      <c r="AB512" s="37"/>
      <c r="AC512" s="86">
        <f>tbl_estimated_costs_quantities[[#This Row],[Doors Replacement Repair]]*BOQs!$L$9</f>
        <v>0</v>
      </c>
      <c r="AD512" s="76"/>
      <c r="AE512" s="37"/>
      <c r="AF512" s="86">
        <f>tbl_estimated_costs_quantities[[#This Row],[Windows Replacement Repair]]*BOQs!$L$10</f>
        <v>0</v>
      </c>
      <c r="AG512" s="76"/>
      <c r="AH512" s="37"/>
      <c r="AI512" s="86">
        <f>tbl_estimated_costs_quantities[[#This Row],[Bathroom Rehabilitation]]*BOQs!$L$11</f>
        <v>0</v>
      </c>
      <c r="AJ512" s="76"/>
      <c r="AK512" s="37"/>
      <c r="AL512" s="86">
        <f>tbl_estimated_costs_quantities[[#This Row],[Ceramic Tile Works WASH]]*BOQs!$L$12</f>
        <v>0</v>
      </c>
      <c r="AM512" s="76"/>
      <c r="AN512" s="37"/>
      <c r="AO512" s="86">
        <f>tbl_estimated_costs_quantities[[#This Row],[Electrical Repairs Lighting]]*BOQs!$L$13</f>
        <v>0</v>
      </c>
      <c r="AP512" s="76"/>
      <c r="AQ512" s="37"/>
      <c r="AR512" s="86">
        <f>tbl_estimated_costs_quantities[[#This Row],[Roof Insulation Leak Sealing]]*BOQs!$L$14</f>
        <v>0</v>
      </c>
      <c r="AS512" s="76"/>
      <c r="AT512" s="37"/>
      <c r="AU512" s="86">
        <f>tbl_estimated_costs_quantities[[#This Row],[Chimney Duct Cleaning Repair]]*BOQs!$L$15</f>
        <v>0</v>
      </c>
      <c r="AV512" s="76"/>
      <c r="AW512" s="37"/>
      <c r="AX512" s="89">
        <f>tbl_estimated_costs_quantities[[#This Row],[Accessibility Adaptations]]*BOQs!$L$16</f>
        <v>0</v>
      </c>
      <c r="AY512" s="86" t="str">
        <f>IF(tbl_estimated_costs_quantities[[#This Row],[Total cost]]&lt;&gt;0,tbl_estimated_costs_quantities[[#This Row],[Total cost]]/BOQs!$A$1,"")</f>
        <v/>
      </c>
      <c r="AZ512" s="37"/>
      <c r="BA512" s="37"/>
      <c r="BB512" s="37"/>
      <c r="BC512" s="37"/>
      <c r="BD512" s="41"/>
      <c r="BE512" s="37"/>
      <c r="BF512" s="37"/>
      <c r="BG512" s="37"/>
      <c r="BH512" s="41"/>
    </row>
    <row r="513" spans="2:60" ht="25.15" customHeight="1" x14ac:dyDescent="0.25">
      <c r="B513" s="49">
        <v>509</v>
      </c>
      <c r="C513" s="37"/>
      <c r="D513" s="41"/>
      <c r="E513" s="40"/>
      <c r="F513" s="87" t="str">
        <f>IF(tbl_estimated_costs_quantities[[#This Row],[House Code]]&lt;&gt;"",INDEX(tbl_Assessment[],MATCH(tbl_estimated_costs_quantities[[#This Row],[House Code]],tbl_Assessment[House Code],0),3),"")</f>
        <v/>
      </c>
      <c r="G513" s="115" t="str">
        <f>IF(tbl_estimated_costs_quantities[[#This Row],[House Code]]&lt;&gt;"",INDEX(tbl_Assessment[],MATCH(tbl_estimated_costs_quantities[[#This Row],[House Code]],tbl_Assessment[House Code],0),9),"")</f>
        <v/>
      </c>
      <c r="H51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3" s="75"/>
      <c r="J513" s="37"/>
      <c r="K513" s="86">
        <f>tbl_estimated_costs_quantities[[#This Row],[Site Preparation]]*BOQs!$L$3</f>
        <v>0</v>
      </c>
      <c r="L513" s="76"/>
      <c r="M513" s="37"/>
      <c r="N513" s="86">
        <f>tbl_estimated_costs_quantities[[#This Row],[Demolition Removal Unsafe Structures]]*BOQs!$L$4</f>
        <v>0</v>
      </c>
      <c r="O513" s="76"/>
      <c r="P513" s="37"/>
      <c r="Q513" s="86">
        <f>tbl_estimated_costs_quantities[[#This Row],[Concrete Works]]*BOQs!$L$5</f>
        <v>0</v>
      </c>
      <c r="R513" s="76"/>
      <c r="S513" s="37"/>
      <c r="T513" s="86">
        <f>tbl_estimated_costs_quantities[[#This Row],[Closure External Openings Walls Windows]]*BOQs!$L$6</f>
        <v>0</v>
      </c>
      <c r="U513" s="76"/>
      <c r="V513" s="37"/>
      <c r="W513" s="86">
        <f>tbl_estimated_costs_quantities[[#This Row],[Plastering Painting]]*BOQs!$L$7</f>
        <v>0</v>
      </c>
      <c r="X513" s="76"/>
      <c r="Y513" s="37"/>
      <c r="Z513" s="86">
        <f>tbl_estimated_costs_quantities[[#This Row],[Floor Repairs]]*BOQs!$L$8</f>
        <v>0</v>
      </c>
      <c r="AA513" s="76"/>
      <c r="AB513" s="37"/>
      <c r="AC513" s="86">
        <f>tbl_estimated_costs_quantities[[#This Row],[Doors Replacement Repair]]*BOQs!$L$9</f>
        <v>0</v>
      </c>
      <c r="AD513" s="76"/>
      <c r="AE513" s="37"/>
      <c r="AF513" s="86">
        <f>tbl_estimated_costs_quantities[[#This Row],[Windows Replacement Repair]]*BOQs!$L$10</f>
        <v>0</v>
      </c>
      <c r="AG513" s="76"/>
      <c r="AH513" s="37"/>
      <c r="AI513" s="86">
        <f>tbl_estimated_costs_quantities[[#This Row],[Bathroom Rehabilitation]]*BOQs!$L$11</f>
        <v>0</v>
      </c>
      <c r="AJ513" s="76"/>
      <c r="AK513" s="37"/>
      <c r="AL513" s="86">
        <f>tbl_estimated_costs_quantities[[#This Row],[Ceramic Tile Works WASH]]*BOQs!$L$12</f>
        <v>0</v>
      </c>
      <c r="AM513" s="76"/>
      <c r="AN513" s="37"/>
      <c r="AO513" s="86">
        <f>tbl_estimated_costs_quantities[[#This Row],[Electrical Repairs Lighting]]*BOQs!$L$13</f>
        <v>0</v>
      </c>
      <c r="AP513" s="76"/>
      <c r="AQ513" s="37"/>
      <c r="AR513" s="86">
        <f>tbl_estimated_costs_quantities[[#This Row],[Roof Insulation Leak Sealing]]*BOQs!$L$14</f>
        <v>0</v>
      </c>
      <c r="AS513" s="76"/>
      <c r="AT513" s="37"/>
      <c r="AU513" s="86">
        <f>tbl_estimated_costs_quantities[[#This Row],[Chimney Duct Cleaning Repair]]*BOQs!$L$15</f>
        <v>0</v>
      </c>
      <c r="AV513" s="76"/>
      <c r="AW513" s="37"/>
      <c r="AX513" s="89">
        <f>tbl_estimated_costs_quantities[[#This Row],[Accessibility Adaptations]]*BOQs!$L$16</f>
        <v>0</v>
      </c>
      <c r="AY513" s="86" t="str">
        <f>IF(tbl_estimated_costs_quantities[[#This Row],[Total cost]]&lt;&gt;0,tbl_estimated_costs_quantities[[#This Row],[Total cost]]/BOQs!$A$1,"")</f>
        <v/>
      </c>
      <c r="AZ513" s="37"/>
      <c r="BA513" s="37"/>
      <c r="BB513" s="37"/>
      <c r="BC513" s="37"/>
      <c r="BD513" s="41"/>
      <c r="BE513" s="37"/>
      <c r="BF513" s="37"/>
      <c r="BG513" s="37"/>
      <c r="BH513" s="41"/>
    </row>
    <row r="514" spans="2:60" ht="25.15" customHeight="1" x14ac:dyDescent="0.25">
      <c r="B514" s="49">
        <v>510</v>
      </c>
      <c r="C514" s="37"/>
      <c r="D514" s="41"/>
      <c r="E514" s="40"/>
      <c r="F514" s="87" t="str">
        <f>IF(tbl_estimated_costs_quantities[[#This Row],[House Code]]&lt;&gt;"",INDEX(tbl_Assessment[],MATCH(tbl_estimated_costs_quantities[[#This Row],[House Code]],tbl_Assessment[House Code],0),3),"")</f>
        <v/>
      </c>
      <c r="G514" s="115" t="str">
        <f>IF(tbl_estimated_costs_quantities[[#This Row],[House Code]]&lt;&gt;"",INDEX(tbl_Assessment[],MATCH(tbl_estimated_costs_quantities[[#This Row],[House Code]],tbl_Assessment[House Code],0),9),"")</f>
        <v/>
      </c>
      <c r="H51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4" s="75"/>
      <c r="J514" s="37"/>
      <c r="K514" s="86">
        <f>tbl_estimated_costs_quantities[[#This Row],[Site Preparation]]*BOQs!$L$3</f>
        <v>0</v>
      </c>
      <c r="L514" s="76"/>
      <c r="M514" s="37"/>
      <c r="N514" s="86">
        <f>tbl_estimated_costs_quantities[[#This Row],[Demolition Removal Unsafe Structures]]*BOQs!$L$4</f>
        <v>0</v>
      </c>
      <c r="O514" s="76"/>
      <c r="P514" s="37"/>
      <c r="Q514" s="86">
        <f>tbl_estimated_costs_quantities[[#This Row],[Concrete Works]]*BOQs!$L$5</f>
        <v>0</v>
      </c>
      <c r="R514" s="76"/>
      <c r="S514" s="37"/>
      <c r="T514" s="86">
        <f>tbl_estimated_costs_quantities[[#This Row],[Closure External Openings Walls Windows]]*BOQs!$L$6</f>
        <v>0</v>
      </c>
      <c r="U514" s="76"/>
      <c r="V514" s="37"/>
      <c r="W514" s="86">
        <f>tbl_estimated_costs_quantities[[#This Row],[Plastering Painting]]*BOQs!$L$7</f>
        <v>0</v>
      </c>
      <c r="X514" s="76"/>
      <c r="Y514" s="37"/>
      <c r="Z514" s="86">
        <f>tbl_estimated_costs_quantities[[#This Row],[Floor Repairs]]*BOQs!$L$8</f>
        <v>0</v>
      </c>
      <c r="AA514" s="76"/>
      <c r="AB514" s="37"/>
      <c r="AC514" s="86">
        <f>tbl_estimated_costs_quantities[[#This Row],[Doors Replacement Repair]]*BOQs!$L$9</f>
        <v>0</v>
      </c>
      <c r="AD514" s="76"/>
      <c r="AE514" s="37"/>
      <c r="AF514" s="86">
        <f>tbl_estimated_costs_quantities[[#This Row],[Windows Replacement Repair]]*BOQs!$L$10</f>
        <v>0</v>
      </c>
      <c r="AG514" s="76"/>
      <c r="AH514" s="37"/>
      <c r="AI514" s="86">
        <f>tbl_estimated_costs_quantities[[#This Row],[Bathroom Rehabilitation]]*BOQs!$L$11</f>
        <v>0</v>
      </c>
      <c r="AJ514" s="76"/>
      <c r="AK514" s="37"/>
      <c r="AL514" s="86">
        <f>tbl_estimated_costs_quantities[[#This Row],[Ceramic Tile Works WASH]]*BOQs!$L$12</f>
        <v>0</v>
      </c>
      <c r="AM514" s="76"/>
      <c r="AN514" s="37"/>
      <c r="AO514" s="86">
        <f>tbl_estimated_costs_quantities[[#This Row],[Electrical Repairs Lighting]]*BOQs!$L$13</f>
        <v>0</v>
      </c>
      <c r="AP514" s="76"/>
      <c r="AQ514" s="37"/>
      <c r="AR514" s="86">
        <f>tbl_estimated_costs_quantities[[#This Row],[Roof Insulation Leak Sealing]]*BOQs!$L$14</f>
        <v>0</v>
      </c>
      <c r="AS514" s="76"/>
      <c r="AT514" s="37"/>
      <c r="AU514" s="86">
        <f>tbl_estimated_costs_quantities[[#This Row],[Chimney Duct Cleaning Repair]]*BOQs!$L$15</f>
        <v>0</v>
      </c>
      <c r="AV514" s="76"/>
      <c r="AW514" s="37"/>
      <c r="AX514" s="89">
        <f>tbl_estimated_costs_quantities[[#This Row],[Accessibility Adaptations]]*BOQs!$L$16</f>
        <v>0</v>
      </c>
      <c r="AY514" s="86" t="str">
        <f>IF(tbl_estimated_costs_quantities[[#This Row],[Total cost]]&lt;&gt;0,tbl_estimated_costs_quantities[[#This Row],[Total cost]]/BOQs!$A$1,"")</f>
        <v/>
      </c>
      <c r="AZ514" s="37"/>
      <c r="BA514" s="37"/>
      <c r="BB514" s="37"/>
      <c r="BC514" s="37"/>
      <c r="BD514" s="41"/>
      <c r="BE514" s="37"/>
      <c r="BF514" s="37"/>
      <c r="BG514" s="37"/>
      <c r="BH514" s="41"/>
    </row>
    <row r="515" spans="2:60" ht="25.15" customHeight="1" x14ac:dyDescent="0.25">
      <c r="B515" s="49">
        <v>511</v>
      </c>
      <c r="C515" s="37"/>
      <c r="D515" s="41"/>
      <c r="E515" s="40"/>
      <c r="F515" s="87" t="str">
        <f>IF(tbl_estimated_costs_quantities[[#This Row],[House Code]]&lt;&gt;"",INDEX(tbl_Assessment[],MATCH(tbl_estimated_costs_quantities[[#This Row],[House Code]],tbl_Assessment[House Code],0),3),"")</f>
        <v/>
      </c>
      <c r="G515" s="115" t="str">
        <f>IF(tbl_estimated_costs_quantities[[#This Row],[House Code]]&lt;&gt;"",INDEX(tbl_Assessment[],MATCH(tbl_estimated_costs_quantities[[#This Row],[House Code]],tbl_Assessment[House Code],0),9),"")</f>
        <v/>
      </c>
      <c r="H51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5" s="75"/>
      <c r="J515" s="37"/>
      <c r="K515" s="86">
        <f>tbl_estimated_costs_quantities[[#This Row],[Site Preparation]]*BOQs!$L$3</f>
        <v>0</v>
      </c>
      <c r="L515" s="76"/>
      <c r="M515" s="37"/>
      <c r="N515" s="86">
        <f>tbl_estimated_costs_quantities[[#This Row],[Demolition Removal Unsafe Structures]]*BOQs!$L$4</f>
        <v>0</v>
      </c>
      <c r="O515" s="76"/>
      <c r="P515" s="37"/>
      <c r="Q515" s="86">
        <f>tbl_estimated_costs_quantities[[#This Row],[Concrete Works]]*BOQs!$L$5</f>
        <v>0</v>
      </c>
      <c r="R515" s="76"/>
      <c r="S515" s="37"/>
      <c r="T515" s="86">
        <f>tbl_estimated_costs_quantities[[#This Row],[Closure External Openings Walls Windows]]*BOQs!$L$6</f>
        <v>0</v>
      </c>
      <c r="U515" s="76"/>
      <c r="V515" s="37"/>
      <c r="W515" s="86">
        <f>tbl_estimated_costs_quantities[[#This Row],[Plastering Painting]]*BOQs!$L$7</f>
        <v>0</v>
      </c>
      <c r="X515" s="76"/>
      <c r="Y515" s="37"/>
      <c r="Z515" s="86">
        <f>tbl_estimated_costs_quantities[[#This Row],[Floor Repairs]]*BOQs!$L$8</f>
        <v>0</v>
      </c>
      <c r="AA515" s="76"/>
      <c r="AB515" s="37"/>
      <c r="AC515" s="86">
        <f>tbl_estimated_costs_quantities[[#This Row],[Doors Replacement Repair]]*BOQs!$L$9</f>
        <v>0</v>
      </c>
      <c r="AD515" s="76"/>
      <c r="AE515" s="37"/>
      <c r="AF515" s="86">
        <f>tbl_estimated_costs_quantities[[#This Row],[Windows Replacement Repair]]*BOQs!$L$10</f>
        <v>0</v>
      </c>
      <c r="AG515" s="76"/>
      <c r="AH515" s="37"/>
      <c r="AI515" s="86">
        <f>tbl_estimated_costs_quantities[[#This Row],[Bathroom Rehabilitation]]*BOQs!$L$11</f>
        <v>0</v>
      </c>
      <c r="AJ515" s="76"/>
      <c r="AK515" s="37"/>
      <c r="AL515" s="86">
        <f>tbl_estimated_costs_quantities[[#This Row],[Ceramic Tile Works WASH]]*BOQs!$L$12</f>
        <v>0</v>
      </c>
      <c r="AM515" s="76"/>
      <c r="AN515" s="37"/>
      <c r="AO515" s="86">
        <f>tbl_estimated_costs_quantities[[#This Row],[Electrical Repairs Lighting]]*BOQs!$L$13</f>
        <v>0</v>
      </c>
      <c r="AP515" s="76"/>
      <c r="AQ515" s="37"/>
      <c r="AR515" s="86">
        <f>tbl_estimated_costs_quantities[[#This Row],[Roof Insulation Leak Sealing]]*BOQs!$L$14</f>
        <v>0</v>
      </c>
      <c r="AS515" s="76"/>
      <c r="AT515" s="37"/>
      <c r="AU515" s="86">
        <f>tbl_estimated_costs_quantities[[#This Row],[Chimney Duct Cleaning Repair]]*BOQs!$L$15</f>
        <v>0</v>
      </c>
      <c r="AV515" s="76"/>
      <c r="AW515" s="37"/>
      <c r="AX515" s="89">
        <f>tbl_estimated_costs_quantities[[#This Row],[Accessibility Adaptations]]*BOQs!$L$16</f>
        <v>0</v>
      </c>
      <c r="AY515" s="86" t="str">
        <f>IF(tbl_estimated_costs_quantities[[#This Row],[Total cost]]&lt;&gt;0,tbl_estimated_costs_quantities[[#This Row],[Total cost]]/BOQs!$A$1,"")</f>
        <v/>
      </c>
      <c r="AZ515" s="37"/>
      <c r="BA515" s="37"/>
      <c r="BB515" s="37"/>
      <c r="BC515" s="37"/>
      <c r="BD515" s="41"/>
      <c r="BE515" s="37"/>
      <c r="BF515" s="37"/>
      <c r="BG515" s="37"/>
      <c r="BH515" s="41"/>
    </row>
    <row r="516" spans="2:60" ht="25.15" customHeight="1" x14ac:dyDescent="0.25">
      <c r="B516" s="49">
        <v>512</v>
      </c>
      <c r="C516" s="37"/>
      <c r="D516" s="41"/>
      <c r="E516" s="40"/>
      <c r="F516" s="87" t="str">
        <f>IF(tbl_estimated_costs_quantities[[#This Row],[House Code]]&lt;&gt;"",INDEX(tbl_Assessment[],MATCH(tbl_estimated_costs_quantities[[#This Row],[House Code]],tbl_Assessment[House Code],0),3),"")</f>
        <v/>
      </c>
      <c r="G516" s="115" t="str">
        <f>IF(tbl_estimated_costs_quantities[[#This Row],[House Code]]&lt;&gt;"",INDEX(tbl_Assessment[],MATCH(tbl_estimated_costs_quantities[[#This Row],[House Code]],tbl_Assessment[House Code],0),9),"")</f>
        <v/>
      </c>
      <c r="H51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6" s="75"/>
      <c r="J516" s="37"/>
      <c r="K516" s="86">
        <f>tbl_estimated_costs_quantities[[#This Row],[Site Preparation]]*BOQs!$L$3</f>
        <v>0</v>
      </c>
      <c r="L516" s="76"/>
      <c r="M516" s="37"/>
      <c r="N516" s="86">
        <f>tbl_estimated_costs_quantities[[#This Row],[Demolition Removal Unsafe Structures]]*BOQs!$L$4</f>
        <v>0</v>
      </c>
      <c r="O516" s="76"/>
      <c r="P516" s="37"/>
      <c r="Q516" s="86">
        <f>tbl_estimated_costs_quantities[[#This Row],[Concrete Works]]*BOQs!$L$5</f>
        <v>0</v>
      </c>
      <c r="R516" s="76"/>
      <c r="S516" s="37"/>
      <c r="T516" s="86">
        <f>tbl_estimated_costs_quantities[[#This Row],[Closure External Openings Walls Windows]]*BOQs!$L$6</f>
        <v>0</v>
      </c>
      <c r="U516" s="76"/>
      <c r="V516" s="37"/>
      <c r="W516" s="86">
        <f>tbl_estimated_costs_quantities[[#This Row],[Plastering Painting]]*BOQs!$L$7</f>
        <v>0</v>
      </c>
      <c r="X516" s="76"/>
      <c r="Y516" s="37"/>
      <c r="Z516" s="86">
        <f>tbl_estimated_costs_quantities[[#This Row],[Floor Repairs]]*BOQs!$L$8</f>
        <v>0</v>
      </c>
      <c r="AA516" s="76"/>
      <c r="AB516" s="37"/>
      <c r="AC516" s="86">
        <f>tbl_estimated_costs_quantities[[#This Row],[Doors Replacement Repair]]*BOQs!$L$9</f>
        <v>0</v>
      </c>
      <c r="AD516" s="76"/>
      <c r="AE516" s="37"/>
      <c r="AF516" s="86">
        <f>tbl_estimated_costs_quantities[[#This Row],[Windows Replacement Repair]]*BOQs!$L$10</f>
        <v>0</v>
      </c>
      <c r="AG516" s="76"/>
      <c r="AH516" s="37"/>
      <c r="AI516" s="86">
        <f>tbl_estimated_costs_quantities[[#This Row],[Bathroom Rehabilitation]]*BOQs!$L$11</f>
        <v>0</v>
      </c>
      <c r="AJ516" s="76"/>
      <c r="AK516" s="37"/>
      <c r="AL516" s="86">
        <f>tbl_estimated_costs_quantities[[#This Row],[Ceramic Tile Works WASH]]*BOQs!$L$12</f>
        <v>0</v>
      </c>
      <c r="AM516" s="76"/>
      <c r="AN516" s="37"/>
      <c r="AO516" s="86">
        <f>tbl_estimated_costs_quantities[[#This Row],[Electrical Repairs Lighting]]*BOQs!$L$13</f>
        <v>0</v>
      </c>
      <c r="AP516" s="76"/>
      <c r="AQ516" s="37"/>
      <c r="AR516" s="86">
        <f>tbl_estimated_costs_quantities[[#This Row],[Roof Insulation Leak Sealing]]*BOQs!$L$14</f>
        <v>0</v>
      </c>
      <c r="AS516" s="76"/>
      <c r="AT516" s="37"/>
      <c r="AU516" s="86">
        <f>tbl_estimated_costs_quantities[[#This Row],[Chimney Duct Cleaning Repair]]*BOQs!$L$15</f>
        <v>0</v>
      </c>
      <c r="AV516" s="76"/>
      <c r="AW516" s="37"/>
      <c r="AX516" s="89">
        <f>tbl_estimated_costs_quantities[[#This Row],[Accessibility Adaptations]]*BOQs!$L$16</f>
        <v>0</v>
      </c>
      <c r="AY516" s="86" t="str">
        <f>IF(tbl_estimated_costs_quantities[[#This Row],[Total cost]]&lt;&gt;0,tbl_estimated_costs_quantities[[#This Row],[Total cost]]/BOQs!$A$1,"")</f>
        <v/>
      </c>
      <c r="AZ516" s="37"/>
      <c r="BA516" s="37"/>
      <c r="BB516" s="37"/>
      <c r="BC516" s="37"/>
      <c r="BD516" s="41"/>
      <c r="BE516" s="37"/>
      <c r="BF516" s="37"/>
      <c r="BG516" s="37"/>
      <c r="BH516" s="41"/>
    </row>
    <row r="517" spans="2:60" ht="25.15" customHeight="1" x14ac:dyDescent="0.25">
      <c r="B517" s="49">
        <v>513</v>
      </c>
      <c r="C517" s="37"/>
      <c r="D517" s="41"/>
      <c r="E517" s="40"/>
      <c r="F517" s="87" t="str">
        <f>IF(tbl_estimated_costs_quantities[[#This Row],[House Code]]&lt;&gt;"",INDEX(tbl_Assessment[],MATCH(tbl_estimated_costs_quantities[[#This Row],[House Code]],tbl_Assessment[House Code],0),3),"")</f>
        <v/>
      </c>
      <c r="G517" s="115" t="str">
        <f>IF(tbl_estimated_costs_quantities[[#This Row],[House Code]]&lt;&gt;"",INDEX(tbl_Assessment[],MATCH(tbl_estimated_costs_quantities[[#This Row],[House Code]],tbl_Assessment[House Code],0),9),"")</f>
        <v/>
      </c>
      <c r="H51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7" s="75"/>
      <c r="J517" s="37"/>
      <c r="K517" s="86">
        <f>tbl_estimated_costs_quantities[[#This Row],[Site Preparation]]*BOQs!$L$3</f>
        <v>0</v>
      </c>
      <c r="L517" s="76"/>
      <c r="M517" s="37"/>
      <c r="N517" s="86">
        <f>tbl_estimated_costs_quantities[[#This Row],[Demolition Removal Unsafe Structures]]*BOQs!$L$4</f>
        <v>0</v>
      </c>
      <c r="O517" s="76"/>
      <c r="P517" s="37"/>
      <c r="Q517" s="86">
        <f>tbl_estimated_costs_quantities[[#This Row],[Concrete Works]]*BOQs!$L$5</f>
        <v>0</v>
      </c>
      <c r="R517" s="76"/>
      <c r="S517" s="37"/>
      <c r="T517" s="86">
        <f>tbl_estimated_costs_quantities[[#This Row],[Closure External Openings Walls Windows]]*BOQs!$L$6</f>
        <v>0</v>
      </c>
      <c r="U517" s="76"/>
      <c r="V517" s="37"/>
      <c r="W517" s="86">
        <f>tbl_estimated_costs_quantities[[#This Row],[Plastering Painting]]*BOQs!$L$7</f>
        <v>0</v>
      </c>
      <c r="X517" s="76"/>
      <c r="Y517" s="37"/>
      <c r="Z517" s="86">
        <f>tbl_estimated_costs_quantities[[#This Row],[Floor Repairs]]*BOQs!$L$8</f>
        <v>0</v>
      </c>
      <c r="AA517" s="76"/>
      <c r="AB517" s="37"/>
      <c r="AC517" s="86">
        <f>tbl_estimated_costs_quantities[[#This Row],[Doors Replacement Repair]]*BOQs!$L$9</f>
        <v>0</v>
      </c>
      <c r="AD517" s="76"/>
      <c r="AE517" s="37"/>
      <c r="AF517" s="86">
        <f>tbl_estimated_costs_quantities[[#This Row],[Windows Replacement Repair]]*BOQs!$L$10</f>
        <v>0</v>
      </c>
      <c r="AG517" s="76"/>
      <c r="AH517" s="37"/>
      <c r="AI517" s="86">
        <f>tbl_estimated_costs_quantities[[#This Row],[Bathroom Rehabilitation]]*BOQs!$L$11</f>
        <v>0</v>
      </c>
      <c r="AJ517" s="76"/>
      <c r="AK517" s="37"/>
      <c r="AL517" s="86">
        <f>tbl_estimated_costs_quantities[[#This Row],[Ceramic Tile Works WASH]]*BOQs!$L$12</f>
        <v>0</v>
      </c>
      <c r="AM517" s="76"/>
      <c r="AN517" s="37"/>
      <c r="AO517" s="86">
        <f>tbl_estimated_costs_quantities[[#This Row],[Electrical Repairs Lighting]]*BOQs!$L$13</f>
        <v>0</v>
      </c>
      <c r="AP517" s="76"/>
      <c r="AQ517" s="37"/>
      <c r="AR517" s="86">
        <f>tbl_estimated_costs_quantities[[#This Row],[Roof Insulation Leak Sealing]]*BOQs!$L$14</f>
        <v>0</v>
      </c>
      <c r="AS517" s="76"/>
      <c r="AT517" s="37"/>
      <c r="AU517" s="86">
        <f>tbl_estimated_costs_quantities[[#This Row],[Chimney Duct Cleaning Repair]]*BOQs!$L$15</f>
        <v>0</v>
      </c>
      <c r="AV517" s="76"/>
      <c r="AW517" s="37"/>
      <c r="AX517" s="89">
        <f>tbl_estimated_costs_quantities[[#This Row],[Accessibility Adaptations]]*BOQs!$L$16</f>
        <v>0</v>
      </c>
      <c r="AY517" s="86" t="str">
        <f>IF(tbl_estimated_costs_quantities[[#This Row],[Total cost]]&lt;&gt;0,tbl_estimated_costs_quantities[[#This Row],[Total cost]]/BOQs!$A$1,"")</f>
        <v/>
      </c>
      <c r="AZ517" s="37"/>
      <c r="BA517" s="37"/>
      <c r="BB517" s="37"/>
      <c r="BC517" s="37"/>
      <c r="BD517" s="41"/>
      <c r="BE517" s="37"/>
      <c r="BF517" s="37"/>
      <c r="BG517" s="37"/>
      <c r="BH517" s="41"/>
    </row>
    <row r="518" spans="2:60" ht="25.15" customHeight="1" x14ac:dyDescent="0.25">
      <c r="B518" s="49">
        <v>514</v>
      </c>
      <c r="C518" s="37"/>
      <c r="D518" s="41"/>
      <c r="E518" s="40"/>
      <c r="F518" s="87" t="str">
        <f>IF(tbl_estimated_costs_quantities[[#This Row],[House Code]]&lt;&gt;"",INDEX(tbl_Assessment[],MATCH(tbl_estimated_costs_quantities[[#This Row],[House Code]],tbl_Assessment[House Code],0),3),"")</f>
        <v/>
      </c>
      <c r="G518" s="115" t="str">
        <f>IF(tbl_estimated_costs_quantities[[#This Row],[House Code]]&lt;&gt;"",INDEX(tbl_Assessment[],MATCH(tbl_estimated_costs_quantities[[#This Row],[House Code]],tbl_Assessment[House Code],0),9),"")</f>
        <v/>
      </c>
      <c r="H51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8" s="75"/>
      <c r="J518" s="37"/>
      <c r="K518" s="86">
        <f>tbl_estimated_costs_quantities[[#This Row],[Site Preparation]]*BOQs!$L$3</f>
        <v>0</v>
      </c>
      <c r="L518" s="76"/>
      <c r="M518" s="37"/>
      <c r="N518" s="86">
        <f>tbl_estimated_costs_quantities[[#This Row],[Demolition Removal Unsafe Structures]]*BOQs!$L$4</f>
        <v>0</v>
      </c>
      <c r="O518" s="76"/>
      <c r="P518" s="37"/>
      <c r="Q518" s="86">
        <f>tbl_estimated_costs_quantities[[#This Row],[Concrete Works]]*BOQs!$L$5</f>
        <v>0</v>
      </c>
      <c r="R518" s="76"/>
      <c r="S518" s="37"/>
      <c r="T518" s="86">
        <f>tbl_estimated_costs_quantities[[#This Row],[Closure External Openings Walls Windows]]*BOQs!$L$6</f>
        <v>0</v>
      </c>
      <c r="U518" s="76"/>
      <c r="V518" s="37"/>
      <c r="W518" s="86">
        <f>tbl_estimated_costs_quantities[[#This Row],[Plastering Painting]]*BOQs!$L$7</f>
        <v>0</v>
      </c>
      <c r="X518" s="76"/>
      <c r="Y518" s="37"/>
      <c r="Z518" s="86">
        <f>tbl_estimated_costs_quantities[[#This Row],[Floor Repairs]]*BOQs!$L$8</f>
        <v>0</v>
      </c>
      <c r="AA518" s="76"/>
      <c r="AB518" s="37"/>
      <c r="AC518" s="86">
        <f>tbl_estimated_costs_quantities[[#This Row],[Doors Replacement Repair]]*BOQs!$L$9</f>
        <v>0</v>
      </c>
      <c r="AD518" s="76"/>
      <c r="AE518" s="37"/>
      <c r="AF518" s="86">
        <f>tbl_estimated_costs_quantities[[#This Row],[Windows Replacement Repair]]*BOQs!$L$10</f>
        <v>0</v>
      </c>
      <c r="AG518" s="76"/>
      <c r="AH518" s="37"/>
      <c r="AI518" s="86">
        <f>tbl_estimated_costs_quantities[[#This Row],[Bathroom Rehabilitation]]*BOQs!$L$11</f>
        <v>0</v>
      </c>
      <c r="AJ518" s="76"/>
      <c r="AK518" s="37"/>
      <c r="AL518" s="86">
        <f>tbl_estimated_costs_quantities[[#This Row],[Ceramic Tile Works WASH]]*BOQs!$L$12</f>
        <v>0</v>
      </c>
      <c r="AM518" s="76"/>
      <c r="AN518" s="37"/>
      <c r="AO518" s="86">
        <f>tbl_estimated_costs_quantities[[#This Row],[Electrical Repairs Lighting]]*BOQs!$L$13</f>
        <v>0</v>
      </c>
      <c r="AP518" s="76"/>
      <c r="AQ518" s="37"/>
      <c r="AR518" s="86">
        <f>tbl_estimated_costs_quantities[[#This Row],[Roof Insulation Leak Sealing]]*BOQs!$L$14</f>
        <v>0</v>
      </c>
      <c r="AS518" s="76"/>
      <c r="AT518" s="37"/>
      <c r="AU518" s="86">
        <f>tbl_estimated_costs_quantities[[#This Row],[Chimney Duct Cleaning Repair]]*BOQs!$L$15</f>
        <v>0</v>
      </c>
      <c r="AV518" s="76"/>
      <c r="AW518" s="37"/>
      <c r="AX518" s="89">
        <f>tbl_estimated_costs_quantities[[#This Row],[Accessibility Adaptations]]*BOQs!$L$16</f>
        <v>0</v>
      </c>
      <c r="AY518" s="86" t="str">
        <f>IF(tbl_estimated_costs_quantities[[#This Row],[Total cost]]&lt;&gt;0,tbl_estimated_costs_quantities[[#This Row],[Total cost]]/BOQs!$A$1,"")</f>
        <v/>
      </c>
      <c r="AZ518" s="37"/>
      <c r="BA518" s="37"/>
      <c r="BB518" s="37"/>
      <c r="BC518" s="37"/>
      <c r="BD518" s="41"/>
      <c r="BE518" s="37"/>
      <c r="BF518" s="37"/>
      <c r="BG518" s="37"/>
      <c r="BH518" s="41"/>
    </row>
    <row r="519" spans="2:60" ht="25.15" customHeight="1" x14ac:dyDescent="0.25">
      <c r="B519" s="49">
        <v>515</v>
      </c>
      <c r="C519" s="37"/>
      <c r="D519" s="41"/>
      <c r="E519" s="40"/>
      <c r="F519" s="87" t="str">
        <f>IF(tbl_estimated_costs_quantities[[#This Row],[House Code]]&lt;&gt;"",INDEX(tbl_Assessment[],MATCH(tbl_estimated_costs_quantities[[#This Row],[House Code]],tbl_Assessment[House Code],0),3),"")</f>
        <v/>
      </c>
      <c r="G519" s="115" t="str">
        <f>IF(tbl_estimated_costs_quantities[[#This Row],[House Code]]&lt;&gt;"",INDEX(tbl_Assessment[],MATCH(tbl_estimated_costs_quantities[[#This Row],[House Code]],tbl_Assessment[House Code],0),9),"")</f>
        <v/>
      </c>
      <c r="H51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19" s="75"/>
      <c r="J519" s="37"/>
      <c r="K519" s="86">
        <f>tbl_estimated_costs_quantities[[#This Row],[Site Preparation]]*BOQs!$L$3</f>
        <v>0</v>
      </c>
      <c r="L519" s="76"/>
      <c r="M519" s="37"/>
      <c r="N519" s="86">
        <f>tbl_estimated_costs_quantities[[#This Row],[Demolition Removal Unsafe Structures]]*BOQs!$L$4</f>
        <v>0</v>
      </c>
      <c r="O519" s="76"/>
      <c r="P519" s="37"/>
      <c r="Q519" s="86">
        <f>tbl_estimated_costs_quantities[[#This Row],[Concrete Works]]*BOQs!$L$5</f>
        <v>0</v>
      </c>
      <c r="R519" s="76"/>
      <c r="S519" s="37"/>
      <c r="T519" s="86">
        <f>tbl_estimated_costs_quantities[[#This Row],[Closure External Openings Walls Windows]]*BOQs!$L$6</f>
        <v>0</v>
      </c>
      <c r="U519" s="76"/>
      <c r="V519" s="37"/>
      <c r="W519" s="86">
        <f>tbl_estimated_costs_quantities[[#This Row],[Plastering Painting]]*BOQs!$L$7</f>
        <v>0</v>
      </c>
      <c r="X519" s="76"/>
      <c r="Y519" s="37"/>
      <c r="Z519" s="86">
        <f>tbl_estimated_costs_quantities[[#This Row],[Floor Repairs]]*BOQs!$L$8</f>
        <v>0</v>
      </c>
      <c r="AA519" s="76"/>
      <c r="AB519" s="37"/>
      <c r="AC519" s="86">
        <f>tbl_estimated_costs_quantities[[#This Row],[Doors Replacement Repair]]*BOQs!$L$9</f>
        <v>0</v>
      </c>
      <c r="AD519" s="76"/>
      <c r="AE519" s="37"/>
      <c r="AF519" s="86">
        <f>tbl_estimated_costs_quantities[[#This Row],[Windows Replacement Repair]]*BOQs!$L$10</f>
        <v>0</v>
      </c>
      <c r="AG519" s="76"/>
      <c r="AH519" s="37"/>
      <c r="AI519" s="86">
        <f>tbl_estimated_costs_quantities[[#This Row],[Bathroom Rehabilitation]]*BOQs!$L$11</f>
        <v>0</v>
      </c>
      <c r="AJ519" s="76"/>
      <c r="AK519" s="37"/>
      <c r="AL519" s="86">
        <f>tbl_estimated_costs_quantities[[#This Row],[Ceramic Tile Works WASH]]*BOQs!$L$12</f>
        <v>0</v>
      </c>
      <c r="AM519" s="76"/>
      <c r="AN519" s="37"/>
      <c r="AO519" s="86">
        <f>tbl_estimated_costs_quantities[[#This Row],[Electrical Repairs Lighting]]*BOQs!$L$13</f>
        <v>0</v>
      </c>
      <c r="AP519" s="76"/>
      <c r="AQ519" s="37"/>
      <c r="AR519" s="86">
        <f>tbl_estimated_costs_quantities[[#This Row],[Roof Insulation Leak Sealing]]*BOQs!$L$14</f>
        <v>0</v>
      </c>
      <c r="AS519" s="76"/>
      <c r="AT519" s="37"/>
      <c r="AU519" s="86">
        <f>tbl_estimated_costs_quantities[[#This Row],[Chimney Duct Cleaning Repair]]*BOQs!$L$15</f>
        <v>0</v>
      </c>
      <c r="AV519" s="76"/>
      <c r="AW519" s="37"/>
      <c r="AX519" s="89">
        <f>tbl_estimated_costs_quantities[[#This Row],[Accessibility Adaptations]]*BOQs!$L$16</f>
        <v>0</v>
      </c>
      <c r="AY519" s="86" t="str">
        <f>IF(tbl_estimated_costs_quantities[[#This Row],[Total cost]]&lt;&gt;0,tbl_estimated_costs_quantities[[#This Row],[Total cost]]/BOQs!$A$1,"")</f>
        <v/>
      </c>
      <c r="AZ519" s="37"/>
      <c r="BA519" s="37"/>
      <c r="BB519" s="37"/>
      <c r="BC519" s="37"/>
      <c r="BD519" s="41"/>
      <c r="BE519" s="37"/>
      <c r="BF519" s="37"/>
      <c r="BG519" s="37"/>
      <c r="BH519" s="41"/>
    </row>
    <row r="520" spans="2:60" ht="25.15" customHeight="1" x14ac:dyDescent="0.25">
      <c r="B520" s="49">
        <v>516</v>
      </c>
      <c r="C520" s="37"/>
      <c r="D520" s="41"/>
      <c r="E520" s="40"/>
      <c r="F520" s="87" t="str">
        <f>IF(tbl_estimated_costs_quantities[[#This Row],[House Code]]&lt;&gt;"",INDEX(tbl_Assessment[],MATCH(tbl_estimated_costs_quantities[[#This Row],[House Code]],tbl_Assessment[House Code],0),3),"")</f>
        <v/>
      </c>
      <c r="G520" s="115" t="str">
        <f>IF(tbl_estimated_costs_quantities[[#This Row],[House Code]]&lt;&gt;"",INDEX(tbl_Assessment[],MATCH(tbl_estimated_costs_quantities[[#This Row],[House Code]],tbl_Assessment[House Code],0),9),"")</f>
        <v/>
      </c>
      <c r="H52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0" s="75"/>
      <c r="J520" s="37"/>
      <c r="K520" s="86">
        <f>tbl_estimated_costs_quantities[[#This Row],[Site Preparation]]*BOQs!$L$3</f>
        <v>0</v>
      </c>
      <c r="L520" s="76"/>
      <c r="M520" s="37"/>
      <c r="N520" s="86">
        <f>tbl_estimated_costs_quantities[[#This Row],[Demolition Removal Unsafe Structures]]*BOQs!$L$4</f>
        <v>0</v>
      </c>
      <c r="O520" s="76"/>
      <c r="P520" s="37"/>
      <c r="Q520" s="86">
        <f>tbl_estimated_costs_quantities[[#This Row],[Concrete Works]]*BOQs!$L$5</f>
        <v>0</v>
      </c>
      <c r="R520" s="76"/>
      <c r="S520" s="37"/>
      <c r="T520" s="86">
        <f>tbl_estimated_costs_quantities[[#This Row],[Closure External Openings Walls Windows]]*BOQs!$L$6</f>
        <v>0</v>
      </c>
      <c r="U520" s="76"/>
      <c r="V520" s="37"/>
      <c r="W520" s="86">
        <f>tbl_estimated_costs_quantities[[#This Row],[Plastering Painting]]*BOQs!$L$7</f>
        <v>0</v>
      </c>
      <c r="X520" s="76"/>
      <c r="Y520" s="37"/>
      <c r="Z520" s="86">
        <f>tbl_estimated_costs_quantities[[#This Row],[Floor Repairs]]*BOQs!$L$8</f>
        <v>0</v>
      </c>
      <c r="AA520" s="76"/>
      <c r="AB520" s="37"/>
      <c r="AC520" s="86">
        <f>tbl_estimated_costs_quantities[[#This Row],[Doors Replacement Repair]]*BOQs!$L$9</f>
        <v>0</v>
      </c>
      <c r="AD520" s="76"/>
      <c r="AE520" s="37"/>
      <c r="AF520" s="86">
        <f>tbl_estimated_costs_quantities[[#This Row],[Windows Replacement Repair]]*BOQs!$L$10</f>
        <v>0</v>
      </c>
      <c r="AG520" s="76"/>
      <c r="AH520" s="37"/>
      <c r="AI520" s="86">
        <f>tbl_estimated_costs_quantities[[#This Row],[Bathroom Rehabilitation]]*BOQs!$L$11</f>
        <v>0</v>
      </c>
      <c r="AJ520" s="76"/>
      <c r="AK520" s="37"/>
      <c r="AL520" s="86">
        <f>tbl_estimated_costs_quantities[[#This Row],[Ceramic Tile Works WASH]]*BOQs!$L$12</f>
        <v>0</v>
      </c>
      <c r="AM520" s="76"/>
      <c r="AN520" s="37"/>
      <c r="AO520" s="86">
        <f>tbl_estimated_costs_quantities[[#This Row],[Electrical Repairs Lighting]]*BOQs!$L$13</f>
        <v>0</v>
      </c>
      <c r="AP520" s="76"/>
      <c r="AQ520" s="37"/>
      <c r="AR520" s="86">
        <f>tbl_estimated_costs_quantities[[#This Row],[Roof Insulation Leak Sealing]]*BOQs!$L$14</f>
        <v>0</v>
      </c>
      <c r="AS520" s="76"/>
      <c r="AT520" s="37"/>
      <c r="AU520" s="86">
        <f>tbl_estimated_costs_quantities[[#This Row],[Chimney Duct Cleaning Repair]]*BOQs!$L$15</f>
        <v>0</v>
      </c>
      <c r="AV520" s="76"/>
      <c r="AW520" s="37"/>
      <c r="AX520" s="89">
        <f>tbl_estimated_costs_quantities[[#This Row],[Accessibility Adaptations]]*BOQs!$L$16</f>
        <v>0</v>
      </c>
      <c r="AY520" s="86" t="str">
        <f>IF(tbl_estimated_costs_quantities[[#This Row],[Total cost]]&lt;&gt;0,tbl_estimated_costs_quantities[[#This Row],[Total cost]]/BOQs!$A$1,"")</f>
        <v/>
      </c>
      <c r="AZ520" s="37"/>
      <c r="BA520" s="37"/>
      <c r="BB520" s="37"/>
      <c r="BC520" s="37"/>
      <c r="BD520" s="41"/>
      <c r="BE520" s="37"/>
      <c r="BF520" s="37"/>
      <c r="BG520" s="37"/>
      <c r="BH520" s="41"/>
    </row>
    <row r="521" spans="2:60" ht="25.15" customHeight="1" x14ac:dyDescent="0.25">
      <c r="B521" s="49">
        <v>517</v>
      </c>
      <c r="C521" s="37"/>
      <c r="D521" s="41"/>
      <c r="E521" s="40"/>
      <c r="F521" s="87" t="str">
        <f>IF(tbl_estimated_costs_quantities[[#This Row],[House Code]]&lt;&gt;"",INDEX(tbl_Assessment[],MATCH(tbl_estimated_costs_quantities[[#This Row],[House Code]],tbl_Assessment[House Code],0),3),"")</f>
        <v/>
      </c>
      <c r="G521" s="115" t="str">
        <f>IF(tbl_estimated_costs_quantities[[#This Row],[House Code]]&lt;&gt;"",INDEX(tbl_Assessment[],MATCH(tbl_estimated_costs_quantities[[#This Row],[House Code]],tbl_Assessment[House Code],0),9),"")</f>
        <v/>
      </c>
      <c r="H52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1" s="75"/>
      <c r="J521" s="37"/>
      <c r="K521" s="86">
        <f>tbl_estimated_costs_quantities[[#This Row],[Site Preparation]]*BOQs!$L$3</f>
        <v>0</v>
      </c>
      <c r="L521" s="76"/>
      <c r="M521" s="37"/>
      <c r="N521" s="86">
        <f>tbl_estimated_costs_quantities[[#This Row],[Demolition Removal Unsafe Structures]]*BOQs!$L$4</f>
        <v>0</v>
      </c>
      <c r="O521" s="76"/>
      <c r="P521" s="37"/>
      <c r="Q521" s="86">
        <f>tbl_estimated_costs_quantities[[#This Row],[Concrete Works]]*BOQs!$L$5</f>
        <v>0</v>
      </c>
      <c r="R521" s="76"/>
      <c r="S521" s="37"/>
      <c r="T521" s="86">
        <f>tbl_estimated_costs_quantities[[#This Row],[Closure External Openings Walls Windows]]*BOQs!$L$6</f>
        <v>0</v>
      </c>
      <c r="U521" s="76"/>
      <c r="V521" s="37"/>
      <c r="W521" s="86">
        <f>tbl_estimated_costs_quantities[[#This Row],[Plastering Painting]]*BOQs!$L$7</f>
        <v>0</v>
      </c>
      <c r="X521" s="76"/>
      <c r="Y521" s="37"/>
      <c r="Z521" s="86">
        <f>tbl_estimated_costs_quantities[[#This Row],[Floor Repairs]]*BOQs!$L$8</f>
        <v>0</v>
      </c>
      <c r="AA521" s="76"/>
      <c r="AB521" s="37"/>
      <c r="AC521" s="86">
        <f>tbl_estimated_costs_quantities[[#This Row],[Doors Replacement Repair]]*BOQs!$L$9</f>
        <v>0</v>
      </c>
      <c r="AD521" s="76"/>
      <c r="AE521" s="37"/>
      <c r="AF521" s="86">
        <f>tbl_estimated_costs_quantities[[#This Row],[Windows Replacement Repair]]*BOQs!$L$10</f>
        <v>0</v>
      </c>
      <c r="AG521" s="76"/>
      <c r="AH521" s="37"/>
      <c r="AI521" s="86">
        <f>tbl_estimated_costs_quantities[[#This Row],[Bathroom Rehabilitation]]*BOQs!$L$11</f>
        <v>0</v>
      </c>
      <c r="AJ521" s="76"/>
      <c r="AK521" s="37"/>
      <c r="AL521" s="86">
        <f>tbl_estimated_costs_quantities[[#This Row],[Ceramic Tile Works WASH]]*BOQs!$L$12</f>
        <v>0</v>
      </c>
      <c r="AM521" s="76"/>
      <c r="AN521" s="37"/>
      <c r="AO521" s="86">
        <f>tbl_estimated_costs_quantities[[#This Row],[Electrical Repairs Lighting]]*BOQs!$L$13</f>
        <v>0</v>
      </c>
      <c r="AP521" s="76"/>
      <c r="AQ521" s="37"/>
      <c r="AR521" s="86">
        <f>tbl_estimated_costs_quantities[[#This Row],[Roof Insulation Leak Sealing]]*BOQs!$L$14</f>
        <v>0</v>
      </c>
      <c r="AS521" s="76"/>
      <c r="AT521" s="37"/>
      <c r="AU521" s="86">
        <f>tbl_estimated_costs_quantities[[#This Row],[Chimney Duct Cleaning Repair]]*BOQs!$L$15</f>
        <v>0</v>
      </c>
      <c r="AV521" s="76"/>
      <c r="AW521" s="37"/>
      <c r="AX521" s="89">
        <f>tbl_estimated_costs_quantities[[#This Row],[Accessibility Adaptations]]*BOQs!$L$16</f>
        <v>0</v>
      </c>
      <c r="AY521" s="86" t="str">
        <f>IF(tbl_estimated_costs_quantities[[#This Row],[Total cost]]&lt;&gt;0,tbl_estimated_costs_quantities[[#This Row],[Total cost]]/BOQs!$A$1,"")</f>
        <v/>
      </c>
      <c r="AZ521" s="37"/>
      <c r="BA521" s="37"/>
      <c r="BB521" s="37"/>
      <c r="BC521" s="37"/>
      <c r="BD521" s="41"/>
      <c r="BE521" s="37"/>
      <c r="BF521" s="37"/>
      <c r="BG521" s="37"/>
      <c r="BH521" s="41"/>
    </row>
    <row r="522" spans="2:60" ht="25.15" customHeight="1" x14ac:dyDescent="0.25">
      <c r="B522" s="49">
        <v>518</v>
      </c>
      <c r="C522" s="37"/>
      <c r="D522" s="41"/>
      <c r="E522" s="40"/>
      <c r="F522" s="87" t="str">
        <f>IF(tbl_estimated_costs_quantities[[#This Row],[House Code]]&lt;&gt;"",INDEX(tbl_Assessment[],MATCH(tbl_estimated_costs_quantities[[#This Row],[House Code]],tbl_Assessment[House Code],0),3),"")</f>
        <v/>
      </c>
      <c r="G522" s="115" t="str">
        <f>IF(tbl_estimated_costs_quantities[[#This Row],[House Code]]&lt;&gt;"",INDEX(tbl_Assessment[],MATCH(tbl_estimated_costs_quantities[[#This Row],[House Code]],tbl_Assessment[House Code],0),9),"")</f>
        <v/>
      </c>
      <c r="H52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2" s="75"/>
      <c r="J522" s="37"/>
      <c r="K522" s="86">
        <f>tbl_estimated_costs_quantities[[#This Row],[Site Preparation]]*BOQs!$L$3</f>
        <v>0</v>
      </c>
      <c r="L522" s="76"/>
      <c r="M522" s="37"/>
      <c r="N522" s="86">
        <f>tbl_estimated_costs_quantities[[#This Row],[Demolition Removal Unsafe Structures]]*BOQs!$L$4</f>
        <v>0</v>
      </c>
      <c r="O522" s="76"/>
      <c r="P522" s="37"/>
      <c r="Q522" s="86">
        <f>tbl_estimated_costs_quantities[[#This Row],[Concrete Works]]*BOQs!$L$5</f>
        <v>0</v>
      </c>
      <c r="R522" s="76"/>
      <c r="S522" s="37"/>
      <c r="T522" s="86">
        <f>tbl_estimated_costs_quantities[[#This Row],[Closure External Openings Walls Windows]]*BOQs!$L$6</f>
        <v>0</v>
      </c>
      <c r="U522" s="76"/>
      <c r="V522" s="37"/>
      <c r="W522" s="86">
        <f>tbl_estimated_costs_quantities[[#This Row],[Plastering Painting]]*BOQs!$L$7</f>
        <v>0</v>
      </c>
      <c r="X522" s="76"/>
      <c r="Y522" s="37"/>
      <c r="Z522" s="86">
        <f>tbl_estimated_costs_quantities[[#This Row],[Floor Repairs]]*BOQs!$L$8</f>
        <v>0</v>
      </c>
      <c r="AA522" s="76"/>
      <c r="AB522" s="37"/>
      <c r="AC522" s="86">
        <f>tbl_estimated_costs_quantities[[#This Row],[Doors Replacement Repair]]*BOQs!$L$9</f>
        <v>0</v>
      </c>
      <c r="AD522" s="76"/>
      <c r="AE522" s="37"/>
      <c r="AF522" s="86">
        <f>tbl_estimated_costs_quantities[[#This Row],[Windows Replacement Repair]]*BOQs!$L$10</f>
        <v>0</v>
      </c>
      <c r="AG522" s="76"/>
      <c r="AH522" s="37"/>
      <c r="AI522" s="86">
        <f>tbl_estimated_costs_quantities[[#This Row],[Bathroom Rehabilitation]]*BOQs!$L$11</f>
        <v>0</v>
      </c>
      <c r="AJ522" s="76"/>
      <c r="AK522" s="37"/>
      <c r="AL522" s="86">
        <f>tbl_estimated_costs_quantities[[#This Row],[Ceramic Tile Works WASH]]*BOQs!$L$12</f>
        <v>0</v>
      </c>
      <c r="AM522" s="76"/>
      <c r="AN522" s="37"/>
      <c r="AO522" s="86">
        <f>tbl_estimated_costs_quantities[[#This Row],[Electrical Repairs Lighting]]*BOQs!$L$13</f>
        <v>0</v>
      </c>
      <c r="AP522" s="76"/>
      <c r="AQ522" s="37"/>
      <c r="AR522" s="86">
        <f>tbl_estimated_costs_quantities[[#This Row],[Roof Insulation Leak Sealing]]*BOQs!$L$14</f>
        <v>0</v>
      </c>
      <c r="AS522" s="76"/>
      <c r="AT522" s="37"/>
      <c r="AU522" s="86">
        <f>tbl_estimated_costs_quantities[[#This Row],[Chimney Duct Cleaning Repair]]*BOQs!$L$15</f>
        <v>0</v>
      </c>
      <c r="AV522" s="76"/>
      <c r="AW522" s="37"/>
      <c r="AX522" s="89">
        <f>tbl_estimated_costs_quantities[[#This Row],[Accessibility Adaptations]]*BOQs!$L$16</f>
        <v>0</v>
      </c>
      <c r="AY522" s="86" t="str">
        <f>IF(tbl_estimated_costs_quantities[[#This Row],[Total cost]]&lt;&gt;0,tbl_estimated_costs_quantities[[#This Row],[Total cost]]/BOQs!$A$1,"")</f>
        <v/>
      </c>
      <c r="AZ522" s="37"/>
      <c r="BA522" s="37"/>
      <c r="BB522" s="37"/>
      <c r="BC522" s="37"/>
      <c r="BD522" s="41"/>
      <c r="BE522" s="37"/>
      <c r="BF522" s="37"/>
      <c r="BG522" s="37"/>
      <c r="BH522" s="41"/>
    </row>
    <row r="523" spans="2:60" ht="25.15" customHeight="1" x14ac:dyDescent="0.25">
      <c r="B523" s="49">
        <v>519</v>
      </c>
      <c r="C523" s="37"/>
      <c r="D523" s="41"/>
      <c r="E523" s="40"/>
      <c r="F523" s="87" t="str">
        <f>IF(tbl_estimated_costs_quantities[[#This Row],[House Code]]&lt;&gt;"",INDEX(tbl_Assessment[],MATCH(tbl_estimated_costs_quantities[[#This Row],[House Code]],tbl_Assessment[House Code],0),3),"")</f>
        <v/>
      </c>
      <c r="G523" s="115" t="str">
        <f>IF(tbl_estimated_costs_quantities[[#This Row],[House Code]]&lt;&gt;"",INDEX(tbl_Assessment[],MATCH(tbl_estimated_costs_quantities[[#This Row],[House Code]],tbl_Assessment[House Code],0),9),"")</f>
        <v/>
      </c>
      <c r="H52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3" s="75"/>
      <c r="J523" s="37"/>
      <c r="K523" s="86">
        <f>tbl_estimated_costs_quantities[[#This Row],[Site Preparation]]*BOQs!$L$3</f>
        <v>0</v>
      </c>
      <c r="L523" s="76"/>
      <c r="M523" s="37"/>
      <c r="N523" s="86">
        <f>tbl_estimated_costs_quantities[[#This Row],[Demolition Removal Unsafe Structures]]*BOQs!$L$4</f>
        <v>0</v>
      </c>
      <c r="O523" s="76"/>
      <c r="P523" s="37"/>
      <c r="Q523" s="86">
        <f>tbl_estimated_costs_quantities[[#This Row],[Concrete Works]]*BOQs!$L$5</f>
        <v>0</v>
      </c>
      <c r="R523" s="76"/>
      <c r="S523" s="37"/>
      <c r="T523" s="86">
        <f>tbl_estimated_costs_quantities[[#This Row],[Closure External Openings Walls Windows]]*BOQs!$L$6</f>
        <v>0</v>
      </c>
      <c r="U523" s="76"/>
      <c r="V523" s="37"/>
      <c r="W523" s="86">
        <f>tbl_estimated_costs_quantities[[#This Row],[Plastering Painting]]*BOQs!$L$7</f>
        <v>0</v>
      </c>
      <c r="X523" s="76"/>
      <c r="Y523" s="37"/>
      <c r="Z523" s="86">
        <f>tbl_estimated_costs_quantities[[#This Row],[Floor Repairs]]*BOQs!$L$8</f>
        <v>0</v>
      </c>
      <c r="AA523" s="76"/>
      <c r="AB523" s="37"/>
      <c r="AC523" s="86">
        <f>tbl_estimated_costs_quantities[[#This Row],[Doors Replacement Repair]]*BOQs!$L$9</f>
        <v>0</v>
      </c>
      <c r="AD523" s="76"/>
      <c r="AE523" s="37"/>
      <c r="AF523" s="86">
        <f>tbl_estimated_costs_quantities[[#This Row],[Windows Replacement Repair]]*BOQs!$L$10</f>
        <v>0</v>
      </c>
      <c r="AG523" s="76"/>
      <c r="AH523" s="37"/>
      <c r="AI523" s="86">
        <f>tbl_estimated_costs_quantities[[#This Row],[Bathroom Rehabilitation]]*BOQs!$L$11</f>
        <v>0</v>
      </c>
      <c r="AJ523" s="76"/>
      <c r="AK523" s="37"/>
      <c r="AL523" s="86">
        <f>tbl_estimated_costs_quantities[[#This Row],[Ceramic Tile Works WASH]]*BOQs!$L$12</f>
        <v>0</v>
      </c>
      <c r="AM523" s="76"/>
      <c r="AN523" s="37"/>
      <c r="AO523" s="86">
        <f>tbl_estimated_costs_quantities[[#This Row],[Electrical Repairs Lighting]]*BOQs!$L$13</f>
        <v>0</v>
      </c>
      <c r="AP523" s="76"/>
      <c r="AQ523" s="37"/>
      <c r="AR523" s="86">
        <f>tbl_estimated_costs_quantities[[#This Row],[Roof Insulation Leak Sealing]]*BOQs!$L$14</f>
        <v>0</v>
      </c>
      <c r="AS523" s="76"/>
      <c r="AT523" s="37"/>
      <c r="AU523" s="86">
        <f>tbl_estimated_costs_quantities[[#This Row],[Chimney Duct Cleaning Repair]]*BOQs!$L$15</f>
        <v>0</v>
      </c>
      <c r="AV523" s="76"/>
      <c r="AW523" s="37"/>
      <c r="AX523" s="89">
        <f>tbl_estimated_costs_quantities[[#This Row],[Accessibility Adaptations]]*BOQs!$L$16</f>
        <v>0</v>
      </c>
      <c r="AY523" s="86" t="str">
        <f>IF(tbl_estimated_costs_quantities[[#This Row],[Total cost]]&lt;&gt;0,tbl_estimated_costs_quantities[[#This Row],[Total cost]]/BOQs!$A$1,"")</f>
        <v/>
      </c>
      <c r="AZ523" s="37"/>
      <c r="BA523" s="37"/>
      <c r="BB523" s="37"/>
      <c r="BC523" s="37"/>
      <c r="BD523" s="41"/>
      <c r="BE523" s="37"/>
      <c r="BF523" s="37"/>
      <c r="BG523" s="37"/>
      <c r="BH523" s="41"/>
    </row>
    <row r="524" spans="2:60" ht="25.15" customHeight="1" x14ac:dyDescent="0.25">
      <c r="B524" s="49">
        <v>520</v>
      </c>
      <c r="C524" s="37"/>
      <c r="D524" s="41"/>
      <c r="E524" s="40"/>
      <c r="F524" s="87" t="str">
        <f>IF(tbl_estimated_costs_quantities[[#This Row],[House Code]]&lt;&gt;"",INDEX(tbl_Assessment[],MATCH(tbl_estimated_costs_quantities[[#This Row],[House Code]],tbl_Assessment[House Code],0),3),"")</f>
        <v/>
      </c>
      <c r="G524" s="115" t="str">
        <f>IF(tbl_estimated_costs_quantities[[#This Row],[House Code]]&lt;&gt;"",INDEX(tbl_Assessment[],MATCH(tbl_estimated_costs_quantities[[#This Row],[House Code]],tbl_Assessment[House Code],0),9),"")</f>
        <v/>
      </c>
      <c r="H52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4" s="75"/>
      <c r="J524" s="37"/>
      <c r="K524" s="86">
        <f>tbl_estimated_costs_quantities[[#This Row],[Site Preparation]]*BOQs!$L$3</f>
        <v>0</v>
      </c>
      <c r="L524" s="76"/>
      <c r="M524" s="37"/>
      <c r="N524" s="86">
        <f>tbl_estimated_costs_quantities[[#This Row],[Demolition Removal Unsafe Structures]]*BOQs!$L$4</f>
        <v>0</v>
      </c>
      <c r="O524" s="76"/>
      <c r="P524" s="37"/>
      <c r="Q524" s="86">
        <f>tbl_estimated_costs_quantities[[#This Row],[Concrete Works]]*BOQs!$L$5</f>
        <v>0</v>
      </c>
      <c r="R524" s="76"/>
      <c r="S524" s="37"/>
      <c r="T524" s="86">
        <f>tbl_estimated_costs_quantities[[#This Row],[Closure External Openings Walls Windows]]*BOQs!$L$6</f>
        <v>0</v>
      </c>
      <c r="U524" s="76"/>
      <c r="V524" s="37"/>
      <c r="W524" s="86">
        <f>tbl_estimated_costs_quantities[[#This Row],[Plastering Painting]]*BOQs!$L$7</f>
        <v>0</v>
      </c>
      <c r="X524" s="76"/>
      <c r="Y524" s="37"/>
      <c r="Z524" s="86">
        <f>tbl_estimated_costs_quantities[[#This Row],[Floor Repairs]]*BOQs!$L$8</f>
        <v>0</v>
      </c>
      <c r="AA524" s="76"/>
      <c r="AB524" s="37"/>
      <c r="AC524" s="86">
        <f>tbl_estimated_costs_quantities[[#This Row],[Doors Replacement Repair]]*BOQs!$L$9</f>
        <v>0</v>
      </c>
      <c r="AD524" s="76"/>
      <c r="AE524" s="37"/>
      <c r="AF524" s="86">
        <f>tbl_estimated_costs_quantities[[#This Row],[Windows Replacement Repair]]*BOQs!$L$10</f>
        <v>0</v>
      </c>
      <c r="AG524" s="76"/>
      <c r="AH524" s="37"/>
      <c r="AI524" s="86">
        <f>tbl_estimated_costs_quantities[[#This Row],[Bathroom Rehabilitation]]*BOQs!$L$11</f>
        <v>0</v>
      </c>
      <c r="AJ524" s="76"/>
      <c r="AK524" s="37"/>
      <c r="AL524" s="86">
        <f>tbl_estimated_costs_quantities[[#This Row],[Ceramic Tile Works WASH]]*BOQs!$L$12</f>
        <v>0</v>
      </c>
      <c r="AM524" s="76"/>
      <c r="AN524" s="37"/>
      <c r="AO524" s="86">
        <f>tbl_estimated_costs_quantities[[#This Row],[Electrical Repairs Lighting]]*BOQs!$L$13</f>
        <v>0</v>
      </c>
      <c r="AP524" s="76"/>
      <c r="AQ524" s="37"/>
      <c r="AR524" s="86">
        <f>tbl_estimated_costs_quantities[[#This Row],[Roof Insulation Leak Sealing]]*BOQs!$L$14</f>
        <v>0</v>
      </c>
      <c r="AS524" s="76"/>
      <c r="AT524" s="37"/>
      <c r="AU524" s="86">
        <f>tbl_estimated_costs_quantities[[#This Row],[Chimney Duct Cleaning Repair]]*BOQs!$L$15</f>
        <v>0</v>
      </c>
      <c r="AV524" s="76"/>
      <c r="AW524" s="37"/>
      <c r="AX524" s="89">
        <f>tbl_estimated_costs_quantities[[#This Row],[Accessibility Adaptations]]*BOQs!$L$16</f>
        <v>0</v>
      </c>
      <c r="AY524" s="86" t="str">
        <f>IF(tbl_estimated_costs_quantities[[#This Row],[Total cost]]&lt;&gt;0,tbl_estimated_costs_quantities[[#This Row],[Total cost]]/BOQs!$A$1,"")</f>
        <v/>
      </c>
      <c r="AZ524" s="37"/>
      <c r="BA524" s="37"/>
      <c r="BB524" s="37"/>
      <c r="BC524" s="37"/>
      <c r="BD524" s="41"/>
      <c r="BE524" s="37"/>
      <c r="BF524" s="37"/>
      <c r="BG524" s="37"/>
      <c r="BH524" s="41"/>
    </row>
    <row r="525" spans="2:60" ht="25.15" customHeight="1" x14ac:dyDescent="0.25">
      <c r="B525" s="49">
        <v>521</v>
      </c>
      <c r="C525" s="37"/>
      <c r="D525" s="41"/>
      <c r="E525" s="40"/>
      <c r="F525" s="87" t="str">
        <f>IF(tbl_estimated_costs_quantities[[#This Row],[House Code]]&lt;&gt;"",INDEX(tbl_Assessment[],MATCH(tbl_estimated_costs_quantities[[#This Row],[House Code]],tbl_Assessment[House Code],0),3),"")</f>
        <v/>
      </c>
      <c r="G525" s="115" t="str">
        <f>IF(tbl_estimated_costs_quantities[[#This Row],[House Code]]&lt;&gt;"",INDEX(tbl_Assessment[],MATCH(tbl_estimated_costs_quantities[[#This Row],[House Code]],tbl_Assessment[House Code],0),9),"")</f>
        <v/>
      </c>
      <c r="H52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5" s="75"/>
      <c r="J525" s="37"/>
      <c r="K525" s="86">
        <f>tbl_estimated_costs_quantities[[#This Row],[Site Preparation]]*BOQs!$L$3</f>
        <v>0</v>
      </c>
      <c r="L525" s="76"/>
      <c r="M525" s="37"/>
      <c r="N525" s="86">
        <f>tbl_estimated_costs_quantities[[#This Row],[Demolition Removal Unsafe Structures]]*BOQs!$L$4</f>
        <v>0</v>
      </c>
      <c r="O525" s="76"/>
      <c r="P525" s="37"/>
      <c r="Q525" s="86">
        <f>tbl_estimated_costs_quantities[[#This Row],[Concrete Works]]*BOQs!$L$5</f>
        <v>0</v>
      </c>
      <c r="R525" s="76"/>
      <c r="S525" s="37"/>
      <c r="T525" s="86">
        <f>tbl_estimated_costs_quantities[[#This Row],[Closure External Openings Walls Windows]]*BOQs!$L$6</f>
        <v>0</v>
      </c>
      <c r="U525" s="76"/>
      <c r="V525" s="37"/>
      <c r="W525" s="86">
        <f>tbl_estimated_costs_quantities[[#This Row],[Plastering Painting]]*BOQs!$L$7</f>
        <v>0</v>
      </c>
      <c r="X525" s="76"/>
      <c r="Y525" s="37"/>
      <c r="Z525" s="86">
        <f>tbl_estimated_costs_quantities[[#This Row],[Floor Repairs]]*BOQs!$L$8</f>
        <v>0</v>
      </c>
      <c r="AA525" s="76"/>
      <c r="AB525" s="37"/>
      <c r="AC525" s="86">
        <f>tbl_estimated_costs_quantities[[#This Row],[Doors Replacement Repair]]*BOQs!$L$9</f>
        <v>0</v>
      </c>
      <c r="AD525" s="76"/>
      <c r="AE525" s="37"/>
      <c r="AF525" s="86">
        <f>tbl_estimated_costs_quantities[[#This Row],[Windows Replacement Repair]]*BOQs!$L$10</f>
        <v>0</v>
      </c>
      <c r="AG525" s="76"/>
      <c r="AH525" s="37"/>
      <c r="AI525" s="86">
        <f>tbl_estimated_costs_quantities[[#This Row],[Bathroom Rehabilitation]]*BOQs!$L$11</f>
        <v>0</v>
      </c>
      <c r="AJ525" s="76"/>
      <c r="AK525" s="37"/>
      <c r="AL525" s="86">
        <f>tbl_estimated_costs_quantities[[#This Row],[Ceramic Tile Works WASH]]*BOQs!$L$12</f>
        <v>0</v>
      </c>
      <c r="AM525" s="76"/>
      <c r="AN525" s="37"/>
      <c r="AO525" s="86">
        <f>tbl_estimated_costs_quantities[[#This Row],[Electrical Repairs Lighting]]*BOQs!$L$13</f>
        <v>0</v>
      </c>
      <c r="AP525" s="76"/>
      <c r="AQ525" s="37"/>
      <c r="AR525" s="86">
        <f>tbl_estimated_costs_quantities[[#This Row],[Roof Insulation Leak Sealing]]*BOQs!$L$14</f>
        <v>0</v>
      </c>
      <c r="AS525" s="76"/>
      <c r="AT525" s="37"/>
      <c r="AU525" s="86">
        <f>tbl_estimated_costs_quantities[[#This Row],[Chimney Duct Cleaning Repair]]*BOQs!$L$15</f>
        <v>0</v>
      </c>
      <c r="AV525" s="76"/>
      <c r="AW525" s="37"/>
      <c r="AX525" s="89">
        <f>tbl_estimated_costs_quantities[[#This Row],[Accessibility Adaptations]]*BOQs!$L$16</f>
        <v>0</v>
      </c>
      <c r="AY525" s="86" t="str">
        <f>IF(tbl_estimated_costs_quantities[[#This Row],[Total cost]]&lt;&gt;0,tbl_estimated_costs_quantities[[#This Row],[Total cost]]/BOQs!$A$1,"")</f>
        <v/>
      </c>
      <c r="AZ525" s="37"/>
      <c r="BA525" s="37"/>
      <c r="BB525" s="37"/>
      <c r="BC525" s="37"/>
      <c r="BD525" s="41"/>
      <c r="BE525" s="37"/>
      <c r="BF525" s="37"/>
      <c r="BG525" s="37"/>
      <c r="BH525" s="41"/>
    </row>
    <row r="526" spans="2:60" ht="25.15" customHeight="1" x14ac:dyDescent="0.25">
      <c r="B526" s="49">
        <v>522</v>
      </c>
      <c r="C526" s="37"/>
      <c r="D526" s="41"/>
      <c r="E526" s="40"/>
      <c r="F526" s="87" t="str">
        <f>IF(tbl_estimated_costs_quantities[[#This Row],[House Code]]&lt;&gt;"",INDEX(tbl_Assessment[],MATCH(tbl_estimated_costs_quantities[[#This Row],[House Code]],tbl_Assessment[House Code],0),3),"")</f>
        <v/>
      </c>
      <c r="G526" s="115" t="str">
        <f>IF(tbl_estimated_costs_quantities[[#This Row],[House Code]]&lt;&gt;"",INDEX(tbl_Assessment[],MATCH(tbl_estimated_costs_quantities[[#This Row],[House Code]],tbl_Assessment[House Code],0),9),"")</f>
        <v/>
      </c>
      <c r="H52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6" s="75"/>
      <c r="J526" s="37"/>
      <c r="K526" s="86">
        <f>tbl_estimated_costs_quantities[[#This Row],[Site Preparation]]*BOQs!$L$3</f>
        <v>0</v>
      </c>
      <c r="L526" s="76"/>
      <c r="M526" s="37"/>
      <c r="N526" s="86">
        <f>tbl_estimated_costs_quantities[[#This Row],[Demolition Removal Unsafe Structures]]*BOQs!$L$4</f>
        <v>0</v>
      </c>
      <c r="O526" s="76"/>
      <c r="P526" s="37"/>
      <c r="Q526" s="86">
        <f>tbl_estimated_costs_quantities[[#This Row],[Concrete Works]]*BOQs!$L$5</f>
        <v>0</v>
      </c>
      <c r="R526" s="76"/>
      <c r="S526" s="37"/>
      <c r="T526" s="86">
        <f>tbl_estimated_costs_quantities[[#This Row],[Closure External Openings Walls Windows]]*BOQs!$L$6</f>
        <v>0</v>
      </c>
      <c r="U526" s="76"/>
      <c r="V526" s="37"/>
      <c r="W526" s="86">
        <f>tbl_estimated_costs_quantities[[#This Row],[Plastering Painting]]*BOQs!$L$7</f>
        <v>0</v>
      </c>
      <c r="X526" s="76"/>
      <c r="Y526" s="37"/>
      <c r="Z526" s="86">
        <f>tbl_estimated_costs_quantities[[#This Row],[Floor Repairs]]*BOQs!$L$8</f>
        <v>0</v>
      </c>
      <c r="AA526" s="76"/>
      <c r="AB526" s="37"/>
      <c r="AC526" s="86">
        <f>tbl_estimated_costs_quantities[[#This Row],[Doors Replacement Repair]]*BOQs!$L$9</f>
        <v>0</v>
      </c>
      <c r="AD526" s="76"/>
      <c r="AE526" s="37"/>
      <c r="AF526" s="86">
        <f>tbl_estimated_costs_quantities[[#This Row],[Windows Replacement Repair]]*BOQs!$L$10</f>
        <v>0</v>
      </c>
      <c r="AG526" s="76"/>
      <c r="AH526" s="37"/>
      <c r="AI526" s="86">
        <f>tbl_estimated_costs_quantities[[#This Row],[Bathroom Rehabilitation]]*BOQs!$L$11</f>
        <v>0</v>
      </c>
      <c r="AJ526" s="76"/>
      <c r="AK526" s="37"/>
      <c r="AL526" s="86">
        <f>tbl_estimated_costs_quantities[[#This Row],[Ceramic Tile Works WASH]]*BOQs!$L$12</f>
        <v>0</v>
      </c>
      <c r="AM526" s="76"/>
      <c r="AN526" s="37"/>
      <c r="AO526" s="86">
        <f>tbl_estimated_costs_quantities[[#This Row],[Electrical Repairs Lighting]]*BOQs!$L$13</f>
        <v>0</v>
      </c>
      <c r="AP526" s="76"/>
      <c r="AQ526" s="37"/>
      <c r="AR526" s="86">
        <f>tbl_estimated_costs_quantities[[#This Row],[Roof Insulation Leak Sealing]]*BOQs!$L$14</f>
        <v>0</v>
      </c>
      <c r="AS526" s="76"/>
      <c r="AT526" s="37"/>
      <c r="AU526" s="86">
        <f>tbl_estimated_costs_quantities[[#This Row],[Chimney Duct Cleaning Repair]]*BOQs!$L$15</f>
        <v>0</v>
      </c>
      <c r="AV526" s="76"/>
      <c r="AW526" s="37"/>
      <c r="AX526" s="89">
        <f>tbl_estimated_costs_quantities[[#This Row],[Accessibility Adaptations]]*BOQs!$L$16</f>
        <v>0</v>
      </c>
      <c r="AY526" s="86" t="str">
        <f>IF(tbl_estimated_costs_quantities[[#This Row],[Total cost]]&lt;&gt;0,tbl_estimated_costs_quantities[[#This Row],[Total cost]]/BOQs!$A$1,"")</f>
        <v/>
      </c>
      <c r="AZ526" s="37"/>
      <c r="BA526" s="37"/>
      <c r="BB526" s="37"/>
      <c r="BC526" s="37"/>
      <c r="BD526" s="41"/>
      <c r="BE526" s="37"/>
      <c r="BF526" s="37"/>
      <c r="BG526" s="37"/>
      <c r="BH526" s="41"/>
    </row>
    <row r="527" spans="2:60" ht="25.15" customHeight="1" x14ac:dyDescent="0.25">
      <c r="B527" s="49">
        <v>523</v>
      </c>
      <c r="C527" s="37"/>
      <c r="D527" s="41"/>
      <c r="E527" s="40"/>
      <c r="F527" s="87" t="str">
        <f>IF(tbl_estimated_costs_quantities[[#This Row],[House Code]]&lt;&gt;"",INDEX(tbl_Assessment[],MATCH(tbl_estimated_costs_quantities[[#This Row],[House Code]],tbl_Assessment[House Code],0),3),"")</f>
        <v/>
      </c>
      <c r="G527" s="115" t="str">
        <f>IF(tbl_estimated_costs_quantities[[#This Row],[House Code]]&lt;&gt;"",INDEX(tbl_Assessment[],MATCH(tbl_estimated_costs_quantities[[#This Row],[House Code]],tbl_Assessment[House Code],0),9),"")</f>
        <v/>
      </c>
      <c r="H52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7" s="75"/>
      <c r="J527" s="37"/>
      <c r="K527" s="86">
        <f>tbl_estimated_costs_quantities[[#This Row],[Site Preparation]]*BOQs!$L$3</f>
        <v>0</v>
      </c>
      <c r="L527" s="76"/>
      <c r="M527" s="37"/>
      <c r="N527" s="86">
        <f>tbl_estimated_costs_quantities[[#This Row],[Demolition Removal Unsafe Structures]]*BOQs!$L$4</f>
        <v>0</v>
      </c>
      <c r="O527" s="76"/>
      <c r="P527" s="37"/>
      <c r="Q527" s="86">
        <f>tbl_estimated_costs_quantities[[#This Row],[Concrete Works]]*BOQs!$L$5</f>
        <v>0</v>
      </c>
      <c r="R527" s="76"/>
      <c r="S527" s="37"/>
      <c r="T527" s="86">
        <f>tbl_estimated_costs_quantities[[#This Row],[Closure External Openings Walls Windows]]*BOQs!$L$6</f>
        <v>0</v>
      </c>
      <c r="U527" s="76"/>
      <c r="V527" s="37"/>
      <c r="W527" s="86">
        <f>tbl_estimated_costs_quantities[[#This Row],[Plastering Painting]]*BOQs!$L$7</f>
        <v>0</v>
      </c>
      <c r="X527" s="76"/>
      <c r="Y527" s="37"/>
      <c r="Z527" s="86">
        <f>tbl_estimated_costs_quantities[[#This Row],[Floor Repairs]]*BOQs!$L$8</f>
        <v>0</v>
      </c>
      <c r="AA527" s="76"/>
      <c r="AB527" s="37"/>
      <c r="AC527" s="86">
        <f>tbl_estimated_costs_quantities[[#This Row],[Doors Replacement Repair]]*BOQs!$L$9</f>
        <v>0</v>
      </c>
      <c r="AD527" s="76"/>
      <c r="AE527" s="37"/>
      <c r="AF527" s="86">
        <f>tbl_estimated_costs_quantities[[#This Row],[Windows Replacement Repair]]*BOQs!$L$10</f>
        <v>0</v>
      </c>
      <c r="AG527" s="76"/>
      <c r="AH527" s="37"/>
      <c r="AI527" s="86">
        <f>tbl_estimated_costs_quantities[[#This Row],[Bathroom Rehabilitation]]*BOQs!$L$11</f>
        <v>0</v>
      </c>
      <c r="AJ527" s="76"/>
      <c r="AK527" s="37"/>
      <c r="AL527" s="86">
        <f>tbl_estimated_costs_quantities[[#This Row],[Ceramic Tile Works WASH]]*BOQs!$L$12</f>
        <v>0</v>
      </c>
      <c r="AM527" s="76"/>
      <c r="AN527" s="37"/>
      <c r="AO527" s="86">
        <f>tbl_estimated_costs_quantities[[#This Row],[Electrical Repairs Lighting]]*BOQs!$L$13</f>
        <v>0</v>
      </c>
      <c r="AP527" s="76"/>
      <c r="AQ527" s="37"/>
      <c r="AR527" s="86">
        <f>tbl_estimated_costs_quantities[[#This Row],[Roof Insulation Leak Sealing]]*BOQs!$L$14</f>
        <v>0</v>
      </c>
      <c r="AS527" s="76"/>
      <c r="AT527" s="37"/>
      <c r="AU527" s="86">
        <f>tbl_estimated_costs_quantities[[#This Row],[Chimney Duct Cleaning Repair]]*BOQs!$L$15</f>
        <v>0</v>
      </c>
      <c r="AV527" s="76"/>
      <c r="AW527" s="37"/>
      <c r="AX527" s="89">
        <f>tbl_estimated_costs_quantities[[#This Row],[Accessibility Adaptations]]*BOQs!$L$16</f>
        <v>0</v>
      </c>
      <c r="AY527" s="86" t="str">
        <f>IF(tbl_estimated_costs_quantities[[#This Row],[Total cost]]&lt;&gt;0,tbl_estimated_costs_quantities[[#This Row],[Total cost]]/BOQs!$A$1,"")</f>
        <v/>
      </c>
      <c r="AZ527" s="37"/>
      <c r="BA527" s="37"/>
      <c r="BB527" s="37"/>
      <c r="BC527" s="37"/>
      <c r="BD527" s="41"/>
      <c r="BE527" s="37"/>
      <c r="BF527" s="37"/>
      <c r="BG527" s="37"/>
      <c r="BH527" s="41"/>
    </row>
    <row r="528" spans="2:60" ht="25.15" customHeight="1" x14ac:dyDescent="0.25">
      <c r="B528" s="49">
        <v>524</v>
      </c>
      <c r="C528" s="37"/>
      <c r="D528" s="41"/>
      <c r="E528" s="40"/>
      <c r="F528" s="87" t="str">
        <f>IF(tbl_estimated_costs_quantities[[#This Row],[House Code]]&lt;&gt;"",INDEX(tbl_Assessment[],MATCH(tbl_estimated_costs_quantities[[#This Row],[House Code]],tbl_Assessment[House Code],0),3),"")</f>
        <v/>
      </c>
      <c r="G528" s="115" t="str">
        <f>IF(tbl_estimated_costs_quantities[[#This Row],[House Code]]&lt;&gt;"",INDEX(tbl_Assessment[],MATCH(tbl_estimated_costs_quantities[[#This Row],[House Code]],tbl_Assessment[House Code],0),9),"")</f>
        <v/>
      </c>
      <c r="H52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8" s="75"/>
      <c r="J528" s="37"/>
      <c r="K528" s="86">
        <f>tbl_estimated_costs_quantities[[#This Row],[Site Preparation]]*BOQs!$L$3</f>
        <v>0</v>
      </c>
      <c r="L528" s="76"/>
      <c r="M528" s="37"/>
      <c r="N528" s="86">
        <f>tbl_estimated_costs_quantities[[#This Row],[Demolition Removal Unsafe Structures]]*BOQs!$L$4</f>
        <v>0</v>
      </c>
      <c r="O528" s="76"/>
      <c r="P528" s="37"/>
      <c r="Q528" s="86">
        <f>tbl_estimated_costs_quantities[[#This Row],[Concrete Works]]*BOQs!$L$5</f>
        <v>0</v>
      </c>
      <c r="R528" s="76"/>
      <c r="S528" s="37"/>
      <c r="T528" s="86">
        <f>tbl_estimated_costs_quantities[[#This Row],[Closure External Openings Walls Windows]]*BOQs!$L$6</f>
        <v>0</v>
      </c>
      <c r="U528" s="76"/>
      <c r="V528" s="37"/>
      <c r="W528" s="86">
        <f>tbl_estimated_costs_quantities[[#This Row],[Plastering Painting]]*BOQs!$L$7</f>
        <v>0</v>
      </c>
      <c r="X528" s="76"/>
      <c r="Y528" s="37"/>
      <c r="Z528" s="86">
        <f>tbl_estimated_costs_quantities[[#This Row],[Floor Repairs]]*BOQs!$L$8</f>
        <v>0</v>
      </c>
      <c r="AA528" s="76"/>
      <c r="AB528" s="37"/>
      <c r="AC528" s="86">
        <f>tbl_estimated_costs_quantities[[#This Row],[Doors Replacement Repair]]*BOQs!$L$9</f>
        <v>0</v>
      </c>
      <c r="AD528" s="76"/>
      <c r="AE528" s="37"/>
      <c r="AF528" s="86">
        <f>tbl_estimated_costs_quantities[[#This Row],[Windows Replacement Repair]]*BOQs!$L$10</f>
        <v>0</v>
      </c>
      <c r="AG528" s="76"/>
      <c r="AH528" s="37"/>
      <c r="AI528" s="86">
        <f>tbl_estimated_costs_quantities[[#This Row],[Bathroom Rehabilitation]]*BOQs!$L$11</f>
        <v>0</v>
      </c>
      <c r="AJ528" s="76"/>
      <c r="AK528" s="37"/>
      <c r="AL528" s="86">
        <f>tbl_estimated_costs_quantities[[#This Row],[Ceramic Tile Works WASH]]*BOQs!$L$12</f>
        <v>0</v>
      </c>
      <c r="AM528" s="76"/>
      <c r="AN528" s="37"/>
      <c r="AO528" s="86">
        <f>tbl_estimated_costs_quantities[[#This Row],[Electrical Repairs Lighting]]*BOQs!$L$13</f>
        <v>0</v>
      </c>
      <c r="AP528" s="76"/>
      <c r="AQ528" s="37"/>
      <c r="AR528" s="86">
        <f>tbl_estimated_costs_quantities[[#This Row],[Roof Insulation Leak Sealing]]*BOQs!$L$14</f>
        <v>0</v>
      </c>
      <c r="AS528" s="76"/>
      <c r="AT528" s="37"/>
      <c r="AU528" s="86">
        <f>tbl_estimated_costs_quantities[[#This Row],[Chimney Duct Cleaning Repair]]*BOQs!$L$15</f>
        <v>0</v>
      </c>
      <c r="AV528" s="76"/>
      <c r="AW528" s="37"/>
      <c r="AX528" s="89">
        <f>tbl_estimated_costs_quantities[[#This Row],[Accessibility Adaptations]]*BOQs!$L$16</f>
        <v>0</v>
      </c>
      <c r="AY528" s="86" t="str">
        <f>IF(tbl_estimated_costs_quantities[[#This Row],[Total cost]]&lt;&gt;0,tbl_estimated_costs_quantities[[#This Row],[Total cost]]/BOQs!$A$1,"")</f>
        <v/>
      </c>
      <c r="AZ528" s="37"/>
      <c r="BA528" s="37"/>
      <c r="BB528" s="37"/>
      <c r="BC528" s="37"/>
      <c r="BD528" s="41"/>
      <c r="BE528" s="37"/>
      <c r="BF528" s="37"/>
      <c r="BG528" s="37"/>
      <c r="BH528" s="41"/>
    </row>
    <row r="529" spans="2:60" ht="25.15" customHeight="1" x14ac:dyDescent="0.25">
      <c r="B529" s="49">
        <v>525</v>
      </c>
      <c r="C529" s="37"/>
      <c r="D529" s="41"/>
      <c r="E529" s="40"/>
      <c r="F529" s="87" t="str">
        <f>IF(tbl_estimated_costs_quantities[[#This Row],[House Code]]&lt;&gt;"",INDEX(tbl_Assessment[],MATCH(tbl_estimated_costs_quantities[[#This Row],[House Code]],tbl_Assessment[House Code],0),3),"")</f>
        <v/>
      </c>
      <c r="G529" s="115" t="str">
        <f>IF(tbl_estimated_costs_quantities[[#This Row],[House Code]]&lt;&gt;"",INDEX(tbl_Assessment[],MATCH(tbl_estimated_costs_quantities[[#This Row],[House Code]],tbl_Assessment[House Code],0),9),"")</f>
        <v/>
      </c>
      <c r="H52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29" s="75"/>
      <c r="J529" s="37"/>
      <c r="K529" s="86">
        <f>tbl_estimated_costs_quantities[[#This Row],[Site Preparation]]*BOQs!$L$3</f>
        <v>0</v>
      </c>
      <c r="L529" s="76"/>
      <c r="M529" s="37"/>
      <c r="N529" s="86">
        <f>tbl_estimated_costs_quantities[[#This Row],[Demolition Removal Unsafe Structures]]*BOQs!$L$4</f>
        <v>0</v>
      </c>
      <c r="O529" s="76"/>
      <c r="P529" s="37"/>
      <c r="Q529" s="86">
        <f>tbl_estimated_costs_quantities[[#This Row],[Concrete Works]]*BOQs!$L$5</f>
        <v>0</v>
      </c>
      <c r="R529" s="76"/>
      <c r="S529" s="37"/>
      <c r="T529" s="86">
        <f>tbl_estimated_costs_quantities[[#This Row],[Closure External Openings Walls Windows]]*BOQs!$L$6</f>
        <v>0</v>
      </c>
      <c r="U529" s="76"/>
      <c r="V529" s="37"/>
      <c r="W529" s="86">
        <f>tbl_estimated_costs_quantities[[#This Row],[Plastering Painting]]*BOQs!$L$7</f>
        <v>0</v>
      </c>
      <c r="X529" s="76"/>
      <c r="Y529" s="37"/>
      <c r="Z529" s="86">
        <f>tbl_estimated_costs_quantities[[#This Row],[Floor Repairs]]*BOQs!$L$8</f>
        <v>0</v>
      </c>
      <c r="AA529" s="76"/>
      <c r="AB529" s="37"/>
      <c r="AC529" s="86">
        <f>tbl_estimated_costs_quantities[[#This Row],[Doors Replacement Repair]]*BOQs!$L$9</f>
        <v>0</v>
      </c>
      <c r="AD529" s="76"/>
      <c r="AE529" s="37"/>
      <c r="AF529" s="86">
        <f>tbl_estimated_costs_quantities[[#This Row],[Windows Replacement Repair]]*BOQs!$L$10</f>
        <v>0</v>
      </c>
      <c r="AG529" s="76"/>
      <c r="AH529" s="37"/>
      <c r="AI529" s="86">
        <f>tbl_estimated_costs_quantities[[#This Row],[Bathroom Rehabilitation]]*BOQs!$L$11</f>
        <v>0</v>
      </c>
      <c r="AJ529" s="76"/>
      <c r="AK529" s="37"/>
      <c r="AL529" s="86">
        <f>tbl_estimated_costs_quantities[[#This Row],[Ceramic Tile Works WASH]]*BOQs!$L$12</f>
        <v>0</v>
      </c>
      <c r="AM529" s="76"/>
      <c r="AN529" s="37"/>
      <c r="AO529" s="86">
        <f>tbl_estimated_costs_quantities[[#This Row],[Electrical Repairs Lighting]]*BOQs!$L$13</f>
        <v>0</v>
      </c>
      <c r="AP529" s="76"/>
      <c r="AQ529" s="37"/>
      <c r="AR529" s="86">
        <f>tbl_estimated_costs_quantities[[#This Row],[Roof Insulation Leak Sealing]]*BOQs!$L$14</f>
        <v>0</v>
      </c>
      <c r="AS529" s="76"/>
      <c r="AT529" s="37"/>
      <c r="AU529" s="86">
        <f>tbl_estimated_costs_quantities[[#This Row],[Chimney Duct Cleaning Repair]]*BOQs!$L$15</f>
        <v>0</v>
      </c>
      <c r="AV529" s="76"/>
      <c r="AW529" s="37"/>
      <c r="AX529" s="89">
        <f>tbl_estimated_costs_quantities[[#This Row],[Accessibility Adaptations]]*BOQs!$L$16</f>
        <v>0</v>
      </c>
      <c r="AY529" s="86" t="str">
        <f>IF(tbl_estimated_costs_quantities[[#This Row],[Total cost]]&lt;&gt;0,tbl_estimated_costs_quantities[[#This Row],[Total cost]]/BOQs!$A$1,"")</f>
        <v/>
      </c>
      <c r="AZ529" s="37"/>
      <c r="BA529" s="37"/>
      <c r="BB529" s="37"/>
      <c r="BC529" s="37"/>
      <c r="BD529" s="41"/>
      <c r="BE529" s="37"/>
      <c r="BF529" s="37"/>
      <c r="BG529" s="37"/>
      <c r="BH529" s="41"/>
    </row>
    <row r="530" spans="2:60" ht="25.15" customHeight="1" x14ac:dyDescent="0.25">
      <c r="B530" s="49">
        <v>526</v>
      </c>
      <c r="C530" s="37"/>
      <c r="D530" s="41"/>
      <c r="E530" s="40"/>
      <c r="F530" s="87" t="str">
        <f>IF(tbl_estimated_costs_quantities[[#This Row],[House Code]]&lt;&gt;"",INDEX(tbl_Assessment[],MATCH(tbl_estimated_costs_quantities[[#This Row],[House Code]],tbl_Assessment[House Code],0),3),"")</f>
        <v/>
      </c>
      <c r="G530" s="115" t="str">
        <f>IF(tbl_estimated_costs_quantities[[#This Row],[House Code]]&lt;&gt;"",INDEX(tbl_Assessment[],MATCH(tbl_estimated_costs_quantities[[#This Row],[House Code]],tbl_Assessment[House Code],0),9),"")</f>
        <v/>
      </c>
      <c r="H53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0" s="75"/>
      <c r="J530" s="37"/>
      <c r="K530" s="86">
        <f>tbl_estimated_costs_quantities[[#This Row],[Site Preparation]]*BOQs!$L$3</f>
        <v>0</v>
      </c>
      <c r="L530" s="76"/>
      <c r="M530" s="37"/>
      <c r="N530" s="86">
        <f>tbl_estimated_costs_quantities[[#This Row],[Demolition Removal Unsafe Structures]]*BOQs!$L$4</f>
        <v>0</v>
      </c>
      <c r="O530" s="76"/>
      <c r="P530" s="37"/>
      <c r="Q530" s="86">
        <f>tbl_estimated_costs_quantities[[#This Row],[Concrete Works]]*BOQs!$L$5</f>
        <v>0</v>
      </c>
      <c r="R530" s="76"/>
      <c r="S530" s="37"/>
      <c r="T530" s="86">
        <f>tbl_estimated_costs_quantities[[#This Row],[Closure External Openings Walls Windows]]*BOQs!$L$6</f>
        <v>0</v>
      </c>
      <c r="U530" s="76"/>
      <c r="V530" s="37"/>
      <c r="W530" s="86">
        <f>tbl_estimated_costs_quantities[[#This Row],[Plastering Painting]]*BOQs!$L$7</f>
        <v>0</v>
      </c>
      <c r="X530" s="76"/>
      <c r="Y530" s="37"/>
      <c r="Z530" s="86">
        <f>tbl_estimated_costs_quantities[[#This Row],[Floor Repairs]]*BOQs!$L$8</f>
        <v>0</v>
      </c>
      <c r="AA530" s="76"/>
      <c r="AB530" s="37"/>
      <c r="AC530" s="86">
        <f>tbl_estimated_costs_quantities[[#This Row],[Doors Replacement Repair]]*BOQs!$L$9</f>
        <v>0</v>
      </c>
      <c r="AD530" s="76"/>
      <c r="AE530" s="37"/>
      <c r="AF530" s="86">
        <f>tbl_estimated_costs_quantities[[#This Row],[Windows Replacement Repair]]*BOQs!$L$10</f>
        <v>0</v>
      </c>
      <c r="AG530" s="76"/>
      <c r="AH530" s="37"/>
      <c r="AI530" s="86">
        <f>tbl_estimated_costs_quantities[[#This Row],[Bathroom Rehabilitation]]*BOQs!$L$11</f>
        <v>0</v>
      </c>
      <c r="AJ530" s="76"/>
      <c r="AK530" s="37"/>
      <c r="AL530" s="86">
        <f>tbl_estimated_costs_quantities[[#This Row],[Ceramic Tile Works WASH]]*BOQs!$L$12</f>
        <v>0</v>
      </c>
      <c r="AM530" s="76"/>
      <c r="AN530" s="37"/>
      <c r="AO530" s="86">
        <f>tbl_estimated_costs_quantities[[#This Row],[Electrical Repairs Lighting]]*BOQs!$L$13</f>
        <v>0</v>
      </c>
      <c r="AP530" s="76"/>
      <c r="AQ530" s="37"/>
      <c r="AR530" s="86">
        <f>tbl_estimated_costs_quantities[[#This Row],[Roof Insulation Leak Sealing]]*BOQs!$L$14</f>
        <v>0</v>
      </c>
      <c r="AS530" s="76"/>
      <c r="AT530" s="37"/>
      <c r="AU530" s="86">
        <f>tbl_estimated_costs_quantities[[#This Row],[Chimney Duct Cleaning Repair]]*BOQs!$L$15</f>
        <v>0</v>
      </c>
      <c r="AV530" s="76"/>
      <c r="AW530" s="37"/>
      <c r="AX530" s="89">
        <f>tbl_estimated_costs_quantities[[#This Row],[Accessibility Adaptations]]*BOQs!$L$16</f>
        <v>0</v>
      </c>
      <c r="AY530" s="86" t="str">
        <f>IF(tbl_estimated_costs_quantities[[#This Row],[Total cost]]&lt;&gt;0,tbl_estimated_costs_quantities[[#This Row],[Total cost]]/BOQs!$A$1,"")</f>
        <v/>
      </c>
      <c r="AZ530" s="37"/>
      <c r="BA530" s="37"/>
      <c r="BB530" s="37"/>
      <c r="BC530" s="37"/>
      <c r="BD530" s="41"/>
      <c r="BE530" s="37"/>
      <c r="BF530" s="37"/>
      <c r="BG530" s="37"/>
      <c r="BH530" s="41"/>
    </row>
    <row r="531" spans="2:60" ht="25.15" customHeight="1" x14ac:dyDescent="0.25">
      <c r="B531" s="49">
        <v>527</v>
      </c>
      <c r="C531" s="37"/>
      <c r="D531" s="41"/>
      <c r="E531" s="40"/>
      <c r="F531" s="87" t="str">
        <f>IF(tbl_estimated_costs_quantities[[#This Row],[House Code]]&lt;&gt;"",INDEX(tbl_Assessment[],MATCH(tbl_estimated_costs_quantities[[#This Row],[House Code]],tbl_Assessment[House Code],0),3),"")</f>
        <v/>
      </c>
      <c r="G531" s="115" t="str">
        <f>IF(tbl_estimated_costs_quantities[[#This Row],[House Code]]&lt;&gt;"",INDEX(tbl_Assessment[],MATCH(tbl_estimated_costs_quantities[[#This Row],[House Code]],tbl_Assessment[House Code],0),9),"")</f>
        <v/>
      </c>
      <c r="H53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1" s="75"/>
      <c r="J531" s="37"/>
      <c r="K531" s="86">
        <f>tbl_estimated_costs_quantities[[#This Row],[Site Preparation]]*BOQs!$L$3</f>
        <v>0</v>
      </c>
      <c r="L531" s="76"/>
      <c r="M531" s="37"/>
      <c r="N531" s="86">
        <f>tbl_estimated_costs_quantities[[#This Row],[Demolition Removal Unsafe Structures]]*BOQs!$L$4</f>
        <v>0</v>
      </c>
      <c r="O531" s="76"/>
      <c r="P531" s="37"/>
      <c r="Q531" s="86">
        <f>tbl_estimated_costs_quantities[[#This Row],[Concrete Works]]*BOQs!$L$5</f>
        <v>0</v>
      </c>
      <c r="R531" s="76"/>
      <c r="S531" s="37"/>
      <c r="T531" s="86">
        <f>tbl_estimated_costs_quantities[[#This Row],[Closure External Openings Walls Windows]]*BOQs!$L$6</f>
        <v>0</v>
      </c>
      <c r="U531" s="76"/>
      <c r="V531" s="37"/>
      <c r="W531" s="86">
        <f>tbl_estimated_costs_quantities[[#This Row],[Plastering Painting]]*BOQs!$L$7</f>
        <v>0</v>
      </c>
      <c r="X531" s="76"/>
      <c r="Y531" s="37"/>
      <c r="Z531" s="86">
        <f>tbl_estimated_costs_quantities[[#This Row],[Floor Repairs]]*BOQs!$L$8</f>
        <v>0</v>
      </c>
      <c r="AA531" s="76"/>
      <c r="AB531" s="37"/>
      <c r="AC531" s="86">
        <f>tbl_estimated_costs_quantities[[#This Row],[Doors Replacement Repair]]*BOQs!$L$9</f>
        <v>0</v>
      </c>
      <c r="AD531" s="76"/>
      <c r="AE531" s="37"/>
      <c r="AF531" s="86">
        <f>tbl_estimated_costs_quantities[[#This Row],[Windows Replacement Repair]]*BOQs!$L$10</f>
        <v>0</v>
      </c>
      <c r="AG531" s="76"/>
      <c r="AH531" s="37"/>
      <c r="AI531" s="86">
        <f>tbl_estimated_costs_quantities[[#This Row],[Bathroom Rehabilitation]]*BOQs!$L$11</f>
        <v>0</v>
      </c>
      <c r="AJ531" s="76"/>
      <c r="AK531" s="37"/>
      <c r="AL531" s="86">
        <f>tbl_estimated_costs_quantities[[#This Row],[Ceramic Tile Works WASH]]*BOQs!$L$12</f>
        <v>0</v>
      </c>
      <c r="AM531" s="76"/>
      <c r="AN531" s="37"/>
      <c r="AO531" s="86">
        <f>tbl_estimated_costs_quantities[[#This Row],[Electrical Repairs Lighting]]*BOQs!$L$13</f>
        <v>0</v>
      </c>
      <c r="AP531" s="76"/>
      <c r="AQ531" s="37"/>
      <c r="AR531" s="86">
        <f>tbl_estimated_costs_quantities[[#This Row],[Roof Insulation Leak Sealing]]*BOQs!$L$14</f>
        <v>0</v>
      </c>
      <c r="AS531" s="76"/>
      <c r="AT531" s="37"/>
      <c r="AU531" s="86">
        <f>tbl_estimated_costs_quantities[[#This Row],[Chimney Duct Cleaning Repair]]*BOQs!$L$15</f>
        <v>0</v>
      </c>
      <c r="AV531" s="76"/>
      <c r="AW531" s="37"/>
      <c r="AX531" s="89">
        <f>tbl_estimated_costs_quantities[[#This Row],[Accessibility Adaptations]]*BOQs!$L$16</f>
        <v>0</v>
      </c>
      <c r="AY531" s="86" t="str">
        <f>IF(tbl_estimated_costs_quantities[[#This Row],[Total cost]]&lt;&gt;0,tbl_estimated_costs_quantities[[#This Row],[Total cost]]/BOQs!$A$1,"")</f>
        <v/>
      </c>
      <c r="AZ531" s="37"/>
      <c r="BA531" s="37"/>
      <c r="BB531" s="37"/>
      <c r="BC531" s="37"/>
      <c r="BD531" s="41"/>
      <c r="BE531" s="37"/>
      <c r="BF531" s="37"/>
      <c r="BG531" s="37"/>
      <c r="BH531" s="41"/>
    </row>
    <row r="532" spans="2:60" ht="25.15" customHeight="1" x14ac:dyDescent="0.25">
      <c r="B532" s="49">
        <v>528</v>
      </c>
      <c r="C532" s="37"/>
      <c r="D532" s="41"/>
      <c r="E532" s="40"/>
      <c r="F532" s="87" t="str">
        <f>IF(tbl_estimated_costs_quantities[[#This Row],[House Code]]&lt;&gt;"",INDEX(tbl_Assessment[],MATCH(tbl_estimated_costs_quantities[[#This Row],[House Code]],tbl_Assessment[House Code],0),3),"")</f>
        <v/>
      </c>
      <c r="G532" s="115" t="str">
        <f>IF(tbl_estimated_costs_quantities[[#This Row],[House Code]]&lt;&gt;"",INDEX(tbl_Assessment[],MATCH(tbl_estimated_costs_quantities[[#This Row],[House Code]],tbl_Assessment[House Code],0),9),"")</f>
        <v/>
      </c>
      <c r="H53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2" s="75"/>
      <c r="J532" s="37"/>
      <c r="K532" s="86">
        <f>tbl_estimated_costs_quantities[[#This Row],[Site Preparation]]*BOQs!$L$3</f>
        <v>0</v>
      </c>
      <c r="L532" s="76"/>
      <c r="M532" s="37"/>
      <c r="N532" s="86">
        <f>tbl_estimated_costs_quantities[[#This Row],[Demolition Removal Unsafe Structures]]*BOQs!$L$4</f>
        <v>0</v>
      </c>
      <c r="O532" s="76"/>
      <c r="P532" s="37"/>
      <c r="Q532" s="86">
        <f>tbl_estimated_costs_quantities[[#This Row],[Concrete Works]]*BOQs!$L$5</f>
        <v>0</v>
      </c>
      <c r="R532" s="76"/>
      <c r="S532" s="37"/>
      <c r="T532" s="86">
        <f>tbl_estimated_costs_quantities[[#This Row],[Closure External Openings Walls Windows]]*BOQs!$L$6</f>
        <v>0</v>
      </c>
      <c r="U532" s="76"/>
      <c r="V532" s="37"/>
      <c r="W532" s="86">
        <f>tbl_estimated_costs_quantities[[#This Row],[Plastering Painting]]*BOQs!$L$7</f>
        <v>0</v>
      </c>
      <c r="X532" s="76"/>
      <c r="Y532" s="37"/>
      <c r="Z532" s="86">
        <f>tbl_estimated_costs_quantities[[#This Row],[Floor Repairs]]*BOQs!$L$8</f>
        <v>0</v>
      </c>
      <c r="AA532" s="76"/>
      <c r="AB532" s="37"/>
      <c r="AC532" s="86">
        <f>tbl_estimated_costs_quantities[[#This Row],[Doors Replacement Repair]]*BOQs!$L$9</f>
        <v>0</v>
      </c>
      <c r="AD532" s="76"/>
      <c r="AE532" s="37"/>
      <c r="AF532" s="86">
        <f>tbl_estimated_costs_quantities[[#This Row],[Windows Replacement Repair]]*BOQs!$L$10</f>
        <v>0</v>
      </c>
      <c r="AG532" s="76"/>
      <c r="AH532" s="37"/>
      <c r="AI532" s="86">
        <f>tbl_estimated_costs_quantities[[#This Row],[Bathroom Rehabilitation]]*BOQs!$L$11</f>
        <v>0</v>
      </c>
      <c r="AJ532" s="76"/>
      <c r="AK532" s="37"/>
      <c r="AL532" s="86">
        <f>tbl_estimated_costs_quantities[[#This Row],[Ceramic Tile Works WASH]]*BOQs!$L$12</f>
        <v>0</v>
      </c>
      <c r="AM532" s="76"/>
      <c r="AN532" s="37"/>
      <c r="AO532" s="86">
        <f>tbl_estimated_costs_quantities[[#This Row],[Electrical Repairs Lighting]]*BOQs!$L$13</f>
        <v>0</v>
      </c>
      <c r="AP532" s="76"/>
      <c r="AQ532" s="37"/>
      <c r="AR532" s="86">
        <f>tbl_estimated_costs_quantities[[#This Row],[Roof Insulation Leak Sealing]]*BOQs!$L$14</f>
        <v>0</v>
      </c>
      <c r="AS532" s="76"/>
      <c r="AT532" s="37"/>
      <c r="AU532" s="86">
        <f>tbl_estimated_costs_quantities[[#This Row],[Chimney Duct Cleaning Repair]]*BOQs!$L$15</f>
        <v>0</v>
      </c>
      <c r="AV532" s="76"/>
      <c r="AW532" s="37"/>
      <c r="AX532" s="89">
        <f>tbl_estimated_costs_quantities[[#This Row],[Accessibility Adaptations]]*BOQs!$L$16</f>
        <v>0</v>
      </c>
      <c r="AY532" s="86" t="str">
        <f>IF(tbl_estimated_costs_quantities[[#This Row],[Total cost]]&lt;&gt;0,tbl_estimated_costs_quantities[[#This Row],[Total cost]]/BOQs!$A$1,"")</f>
        <v/>
      </c>
      <c r="AZ532" s="37"/>
      <c r="BA532" s="37"/>
      <c r="BB532" s="37"/>
      <c r="BC532" s="37"/>
      <c r="BD532" s="41"/>
      <c r="BE532" s="37"/>
      <c r="BF532" s="37"/>
      <c r="BG532" s="37"/>
      <c r="BH532" s="41"/>
    </row>
    <row r="533" spans="2:60" ht="25.15" customHeight="1" x14ac:dyDescent="0.25">
      <c r="B533" s="49">
        <v>529</v>
      </c>
      <c r="C533" s="37"/>
      <c r="D533" s="41"/>
      <c r="E533" s="40"/>
      <c r="F533" s="87" t="str">
        <f>IF(tbl_estimated_costs_quantities[[#This Row],[House Code]]&lt;&gt;"",INDEX(tbl_Assessment[],MATCH(tbl_estimated_costs_quantities[[#This Row],[House Code]],tbl_Assessment[House Code],0),3),"")</f>
        <v/>
      </c>
      <c r="G533" s="115" t="str">
        <f>IF(tbl_estimated_costs_quantities[[#This Row],[House Code]]&lt;&gt;"",INDEX(tbl_Assessment[],MATCH(tbl_estimated_costs_quantities[[#This Row],[House Code]],tbl_Assessment[House Code],0),9),"")</f>
        <v/>
      </c>
      <c r="H53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3" s="75"/>
      <c r="J533" s="37"/>
      <c r="K533" s="86">
        <f>tbl_estimated_costs_quantities[[#This Row],[Site Preparation]]*BOQs!$L$3</f>
        <v>0</v>
      </c>
      <c r="L533" s="76"/>
      <c r="M533" s="37"/>
      <c r="N533" s="86">
        <f>tbl_estimated_costs_quantities[[#This Row],[Demolition Removal Unsafe Structures]]*BOQs!$L$4</f>
        <v>0</v>
      </c>
      <c r="O533" s="76"/>
      <c r="P533" s="37"/>
      <c r="Q533" s="86">
        <f>tbl_estimated_costs_quantities[[#This Row],[Concrete Works]]*BOQs!$L$5</f>
        <v>0</v>
      </c>
      <c r="R533" s="76"/>
      <c r="S533" s="37"/>
      <c r="T533" s="86">
        <f>tbl_estimated_costs_quantities[[#This Row],[Closure External Openings Walls Windows]]*BOQs!$L$6</f>
        <v>0</v>
      </c>
      <c r="U533" s="76"/>
      <c r="V533" s="37"/>
      <c r="W533" s="86">
        <f>tbl_estimated_costs_quantities[[#This Row],[Plastering Painting]]*BOQs!$L$7</f>
        <v>0</v>
      </c>
      <c r="X533" s="76"/>
      <c r="Y533" s="37"/>
      <c r="Z533" s="86">
        <f>tbl_estimated_costs_quantities[[#This Row],[Floor Repairs]]*BOQs!$L$8</f>
        <v>0</v>
      </c>
      <c r="AA533" s="76"/>
      <c r="AB533" s="37"/>
      <c r="AC533" s="86">
        <f>tbl_estimated_costs_quantities[[#This Row],[Doors Replacement Repair]]*BOQs!$L$9</f>
        <v>0</v>
      </c>
      <c r="AD533" s="76"/>
      <c r="AE533" s="37"/>
      <c r="AF533" s="86">
        <f>tbl_estimated_costs_quantities[[#This Row],[Windows Replacement Repair]]*BOQs!$L$10</f>
        <v>0</v>
      </c>
      <c r="AG533" s="76"/>
      <c r="AH533" s="37"/>
      <c r="AI533" s="86">
        <f>tbl_estimated_costs_quantities[[#This Row],[Bathroom Rehabilitation]]*BOQs!$L$11</f>
        <v>0</v>
      </c>
      <c r="AJ533" s="76"/>
      <c r="AK533" s="37"/>
      <c r="AL533" s="86">
        <f>tbl_estimated_costs_quantities[[#This Row],[Ceramic Tile Works WASH]]*BOQs!$L$12</f>
        <v>0</v>
      </c>
      <c r="AM533" s="76"/>
      <c r="AN533" s="37"/>
      <c r="AO533" s="86">
        <f>tbl_estimated_costs_quantities[[#This Row],[Electrical Repairs Lighting]]*BOQs!$L$13</f>
        <v>0</v>
      </c>
      <c r="AP533" s="76"/>
      <c r="AQ533" s="37"/>
      <c r="AR533" s="86">
        <f>tbl_estimated_costs_quantities[[#This Row],[Roof Insulation Leak Sealing]]*BOQs!$L$14</f>
        <v>0</v>
      </c>
      <c r="AS533" s="76"/>
      <c r="AT533" s="37"/>
      <c r="AU533" s="86">
        <f>tbl_estimated_costs_quantities[[#This Row],[Chimney Duct Cleaning Repair]]*BOQs!$L$15</f>
        <v>0</v>
      </c>
      <c r="AV533" s="76"/>
      <c r="AW533" s="37"/>
      <c r="AX533" s="89">
        <f>tbl_estimated_costs_quantities[[#This Row],[Accessibility Adaptations]]*BOQs!$L$16</f>
        <v>0</v>
      </c>
      <c r="AY533" s="86" t="str">
        <f>IF(tbl_estimated_costs_quantities[[#This Row],[Total cost]]&lt;&gt;0,tbl_estimated_costs_quantities[[#This Row],[Total cost]]/BOQs!$A$1,"")</f>
        <v/>
      </c>
      <c r="AZ533" s="37"/>
      <c r="BA533" s="37"/>
      <c r="BB533" s="37"/>
      <c r="BC533" s="37"/>
      <c r="BD533" s="41"/>
      <c r="BE533" s="37"/>
      <c r="BF533" s="37"/>
      <c r="BG533" s="37"/>
      <c r="BH533" s="41"/>
    </row>
    <row r="534" spans="2:60" ht="25.15" customHeight="1" x14ac:dyDescent="0.25">
      <c r="B534" s="49">
        <v>530</v>
      </c>
      <c r="C534" s="37"/>
      <c r="D534" s="41"/>
      <c r="E534" s="40"/>
      <c r="F534" s="87" t="str">
        <f>IF(tbl_estimated_costs_quantities[[#This Row],[House Code]]&lt;&gt;"",INDEX(tbl_Assessment[],MATCH(tbl_estimated_costs_quantities[[#This Row],[House Code]],tbl_Assessment[House Code],0),3),"")</f>
        <v/>
      </c>
      <c r="G534" s="115" t="str">
        <f>IF(tbl_estimated_costs_quantities[[#This Row],[House Code]]&lt;&gt;"",INDEX(tbl_Assessment[],MATCH(tbl_estimated_costs_quantities[[#This Row],[House Code]],tbl_Assessment[House Code],0),9),"")</f>
        <v/>
      </c>
      <c r="H53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4" s="75"/>
      <c r="J534" s="37"/>
      <c r="K534" s="86">
        <f>tbl_estimated_costs_quantities[[#This Row],[Site Preparation]]*BOQs!$L$3</f>
        <v>0</v>
      </c>
      <c r="L534" s="76"/>
      <c r="M534" s="37"/>
      <c r="N534" s="86">
        <f>tbl_estimated_costs_quantities[[#This Row],[Demolition Removal Unsafe Structures]]*BOQs!$L$4</f>
        <v>0</v>
      </c>
      <c r="O534" s="76"/>
      <c r="P534" s="37"/>
      <c r="Q534" s="86">
        <f>tbl_estimated_costs_quantities[[#This Row],[Concrete Works]]*BOQs!$L$5</f>
        <v>0</v>
      </c>
      <c r="R534" s="76"/>
      <c r="S534" s="37"/>
      <c r="T534" s="86">
        <f>tbl_estimated_costs_quantities[[#This Row],[Closure External Openings Walls Windows]]*BOQs!$L$6</f>
        <v>0</v>
      </c>
      <c r="U534" s="76"/>
      <c r="V534" s="37"/>
      <c r="W534" s="86">
        <f>tbl_estimated_costs_quantities[[#This Row],[Plastering Painting]]*BOQs!$L$7</f>
        <v>0</v>
      </c>
      <c r="X534" s="76"/>
      <c r="Y534" s="37"/>
      <c r="Z534" s="86">
        <f>tbl_estimated_costs_quantities[[#This Row],[Floor Repairs]]*BOQs!$L$8</f>
        <v>0</v>
      </c>
      <c r="AA534" s="76"/>
      <c r="AB534" s="37"/>
      <c r="AC534" s="86">
        <f>tbl_estimated_costs_quantities[[#This Row],[Doors Replacement Repair]]*BOQs!$L$9</f>
        <v>0</v>
      </c>
      <c r="AD534" s="76"/>
      <c r="AE534" s="37"/>
      <c r="AF534" s="86">
        <f>tbl_estimated_costs_quantities[[#This Row],[Windows Replacement Repair]]*BOQs!$L$10</f>
        <v>0</v>
      </c>
      <c r="AG534" s="76"/>
      <c r="AH534" s="37"/>
      <c r="AI534" s="86">
        <f>tbl_estimated_costs_quantities[[#This Row],[Bathroom Rehabilitation]]*BOQs!$L$11</f>
        <v>0</v>
      </c>
      <c r="AJ534" s="76"/>
      <c r="AK534" s="37"/>
      <c r="AL534" s="86">
        <f>tbl_estimated_costs_quantities[[#This Row],[Ceramic Tile Works WASH]]*BOQs!$L$12</f>
        <v>0</v>
      </c>
      <c r="AM534" s="76"/>
      <c r="AN534" s="37"/>
      <c r="AO534" s="86">
        <f>tbl_estimated_costs_quantities[[#This Row],[Electrical Repairs Lighting]]*BOQs!$L$13</f>
        <v>0</v>
      </c>
      <c r="AP534" s="76"/>
      <c r="AQ534" s="37"/>
      <c r="AR534" s="86">
        <f>tbl_estimated_costs_quantities[[#This Row],[Roof Insulation Leak Sealing]]*BOQs!$L$14</f>
        <v>0</v>
      </c>
      <c r="AS534" s="76"/>
      <c r="AT534" s="37"/>
      <c r="AU534" s="86">
        <f>tbl_estimated_costs_quantities[[#This Row],[Chimney Duct Cleaning Repair]]*BOQs!$L$15</f>
        <v>0</v>
      </c>
      <c r="AV534" s="76"/>
      <c r="AW534" s="37"/>
      <c r="AX534" s="89">
        <f>tbl_estimated_costs_quantities[[#This Row],[Accessibility Adaptations]]*BOQs!$L$16</f>
        <v>0</v>
      </c>
      <c r="AY534" s="86" t="str">
        <f>IF(tbl_estimated_costs_quantities[[#This Row],[Total cost]]&lt;&gt;0,tbl_estimated_costs_quantities[[#This Row],[Total cost]]/BOQs!$A$1,"")</f>
        <v/>
      </c>
      <c r="AZ534" s="37"/>
      <c r="BA534" s="37"/>
      <c r="BB534" s="37"/>
      <c r="BC534" s="37"/>
      <c r="BD534" s="41"/>
      <c r="BE534" s="37"/>
      <c r="BF534" s="37"/>
      <c r="BG534" s="37"/>
      <c r="BH534" s="41"/>
    </row>
    <row r="535" spans="2:60" ht="25.15" customHeight="1" x14ac:dyDescent="0.25">
      <c r="B535" s="49">
        <v>531</v>
      </c>
      <c r="C535" s="37"/>
      <c r="D535" s="41"/>
      <c r="E535" s="40"/>
      <c r="F535" s="87" t="str">
        <f>IF(tbl_estimated_costs_quantities[[#This Row],[House Code]]&lt;&gt;"",INDEX(tbl_Assessment[],MATCH(tbl_estimated_costs_quantities[[#This Row],[House Code]],tbl_Assessment[House Code],0),3),"")</f>
        <v/>
      </c>
      <c r="G535" s="115" t="str">
        <f>IF(tbl_estimated_costs_quantities[[#This Row],[House Code]]&lt;&gt;"",INDEX(tbl_Assessment[],MATCH(tbl_estimated_costs_quantities[[#This Row],[House Code]],tbl_Assessment[House Code],0),9),"")</f>
        <v/>
      </c>
      <c r="H53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5" s="75"/>
      <c r="J535" s="37"/>
      <c r="K535" s="86">
        <f>tbl_estimated_costs_quantities[[#This Row],[Site Preparation]]*BOQs!$L$3</f>
        <v>0</v>
      </c>
      <c r="L535" s="76"/>
      <c r="M535" s="37"/>
      <c r="N535" s="86">
        <f>tbl_estimated_costs_quantities[[#This Row],[Demolition Removal Unsafe Structures]]*BOQs!$L$4</f>
        <v>0</v>
      </c>
      <c r="O535" s="76"/>
      <c r="P535" s="37"/>
      <c r="Q535" s="86">
        <f>tbl_estimated_costs_quantities[[#This Row],[Concrete Works]]*BOQs!$L$5</f>
        <v>0</v>
      </c>
      <c r="R535" s="76"/>
      <c r="S535" s="37"/>
      <c r="T535" s="86">
        <f>tbl_estimated_costs_quantities[[#This Row],[Closure External Openings Walls Windows]]*BOQs!$L$6</f>
        <v>0</v>
      </c>
      <c r="U535" s="76"/>
      <c r="V535" s="37"/>
      <c r="W535" s="86">
        <f>tbl_estimated_costs_quantities[[#This Row],[Plastering Painting]]*BOQs!$L$7</f>
        <v>0</v>
      </c>
      <c r="X535" s="76"/>
      <c r="Y535" s="37"/>
      <c r="Z535" s="86">
        <f>tbl_estimated_costs_quantities[[#This Row],[Floor Repairs]]*BOQs!$L$8</f>
        <v>0</v>
      </c>
      <c r="AA535" s="76"/>
      <c r="AB535" s="37"/>
      <c r="AC535" s="86">
        <f>tbl_estimated_costs_quantities[[#This Row],[Doors Replacement Repair]]*BOQs!$L$9</f>
        <v>0</v>
      </c>
      <c r="AD535" s="76"/>
      <c r="AE535" s="37"/>
      <c r="AF535" s="86">
        <f>tbl_estimated_costs_quantities[[#This Row],[Windows Replacement Repair]]*BOQs!$L$10</f>
        <v>0</v>
      </c>
      <c r="AG535" s="76"/>
      <c r="AH535" s="37"/>
      <c r="AI535" s="86">
        <f>tbl_estimated_costs_quantities[[#This Row],[Bathroom Rehabilitation]]*BOQs!$L$11</f>
        <v>0</v>
      </c>
      <c r="AJ535" s="76"/>
      <c r="AK535" s="37"/>
      <c r="AL535" s="86">
        <f>tbl_estimated_costs_quantities[[#This Row],[Ceramic Tile Works WASH]]*BOQs!$L$12</f>
        <v>0</v>
      </c>
      <c r="AM535" s="76"/>
      <c r="AN535" s="37"/>
      <c r="AO535" s="86">
        <f>tbl_estimated_costs_quantities[[#This Row],[Electrical Repairs Lighting]]*BOQs!$L$13</f>
        <v>0</v>
      </c>
      <c r="AP535" s="76"/>
      <c r="AQ535" s="37"/>
      <c r="AR535" s="86">
        <f>tbl_estimated_costs_quantities[[#This Row],[Roof Insulation Leak Sealing]]*BOQs!$L$14</f>
        <v>0</v>
      </c>
      <c r="AS535" s="76"/>
      <c r="AT535" s="37"/>
      <c r="AU535" s="86">
        <f>tbl_estimated_costs_quantities[[#This Row],[Chimney Duct Cleaning Repair]]*BOQs!$L$15</f>
        <v>0</v>
      </c>
      <c r="AV535" s="76"/>
      <c r="AW535" s="37"/>
      <c r="AX535" s="89">
        <f>tbl_estimated_costs_quantities[[#This Row],[Accessibility Adaptations]]*BOQs!$L$16</f>
        <v>0</v>
      </c>
      <c r="AY535" s="86" t="str">
        <f>IF(tbl_estimated_costs_quantities[[#This Row],[Total cost]]&lt;&gt;0,tbl_estimated_costs_quantities[[#This Row],[Total cost]]/BOQs!$A$1,"")</f>
        <v/>
      </c>
      <c r="AZ535" s="37"/>
      <c r="BA535" s="37"/>
      <c r="BB535" s="37"/>
      <c r="BC535" s="37"/>
      <c r="BD535" s="41"/>
      <c r="BE535" s="37"/>
      <c r="BF535" s="37"/>
      <c r="BG535" s="37"/>
      <c r="BH535" s="41"/>
    </row>
    <row r="536" spans="2:60" ht="25.15" customHeight="1" x14ac:dyDescent="0.25">
      <c r="B536" s="49">
        <v>532</v>
      </c>
      <c r="C536" s="37"/>
      <c r="D536" s="41"/>
      <c r="E536" s="40"/>
      <c r="F536" s="87" t="str">
        <f>IF(tbl_estimated_costs_quantities[[#This Row],[House Code]]&lt;&gt;"",INDEX(tbl_Assessment[],MATCH(tbl_estimated_costs_quantities[[#This Row],[House Code]],tbl_Assessment[House Code],0),3),"")</f>
        <v/>
      </c>
      <c r="G536" s="115" t="str">
        <f>IF(tbl_estimated_costs_quantities[[#This Row],[House Code]]&lt;&gt;"",INDEX(tbl_Assessment[],MATCH(tbl_estimated_costs_quantities[[#This Row],[House Code]],tbl_Assessment[House Code],0),9),"")</f>
        <v/>
      </c>
      <c r="H53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6" s="75"/>
      <c r="J536" s="37"/>
      <c r="K536" s="86">
        <f>tbl_estimated_costs_quantities[[#This Row],[Site Preparation]]*BOQs!$L$3</f>
        <v>0</v>
      </c>
      <c r="L536" s="76"/>
      <c r="M536" s="37"/>
      <c r="N536" s="86">
        <f>tbl_estimated_costs_quantities[[#This Row],[Demolition Removal Unsafe Structures]]*BOQs!$L$4</f>
        <v>0</v>
      </c>
      <c r="O536" s="76"/>
      <c r="P536" s="37"/>
      <c r="Q536" s="86">
        <f>tbl_estimated_costs_quantities[[#This Row],[Concrete Works]]*BOQs!$L$5</f>
        <v>0</v>
      </c>
      <c r="R536" s="76"/>
      <c r="S536" s="37"/>
      <c r="T536" s="86">
        <f>tbl_estimated_costs_quantities[[#This Row],[Closure External Openings Walls Windows]]*BOQs!$L$6</f>
        <v>0</v>
      </c>
      <c r="U536" s="76"/>
      <c r="V536" s="37"/>
      <c r="W536" s="86">
        <f>tbl_estimated_costs_quantities[[#This Row],[Plastering Painting]]*BOQs!$L$7</f>
        <v>0</v>
      </c>
      <c r="X536" s="76"/>
      <c r="Y536" s="37"/>
      <c r="Z536" s="86">
        <f>tbl_estimated_costs_quantities[[#This Row],[Floor Repairs]]*BOQs!$L$8</f>
        <v>0</v>
      </c>
      <c r="AA536" s="76"/>
      <c r="AB536" s="37"/>
      <c r="AC536" s="86">
        <f>tbl_estimated_costs_quantities[[#This Row],[Doors Replacement Repair]]*BOQs!$L$9</f>
        <v>0</v>
      </c>
      <c r="AD536" s="76"/>
      <c r="AE536" s="37"/>
      <c r="AF536" s="86">
        <f>tbl_estimated_costs_quantities[[#This Row],[Windows Replacement Repair]]*BOQs!$L$10</f>
        <v>0</v>
      </c>
      <c r="AG536" s="76"/>
      <c r="AH536" s="37"/>
      <c r="AI536" s="86">
        <f>tbl_estimated_costs_quantities[[#This Row],[Bathroom Rehabilitation]]*BOQs!$L$11</f>
        <v>0</v>
      </c>
      <c r="AJ536" s="76"/>
      <c r="AK536" s="37"/>
      <c r="AL536" s="86">
        <f>tbl_estimated_costs_quantities[[#This Row],[Ceramic Tile Works WASH]]*BOQs!$L$12</f>
        <v>0</v>
      </c>
      <c r="AM536" s="76"/>
      <c r="AN536" s="37"/>
      <c r="AO536" s="86">
        <f>tbl_estimated_costs_quantities[[#This Row],[Electrical Repairs Lighting]]*BOQs!$L$13</f>
        <v>0</v>
      </c>
      <c r="AP536" s="76"/>
      <c r="AQ536" s="37"/>
      <c r="AR536" s="86">
        <f>tbl_estimated_costs_quantities[[#This Row],[Roof Insulation Leak Sealing]]*BOQs!$L$14</f>
        <v>0</v>
      </c>
      <c r="AS536" s="76"/>
      <c r="AT536" s="37"/>
      <c r="AU536" s="86">
        <f>tbl_estimated_costs_quantities[[#This Row],[Chimney Duct Cleaning Repair]]*BOQs!$L$15</f>
        <v>0</v>
      </c>
      <c r="AV536" s="76"/>
      <c r="AW536" s="37"/>
      <c r="AX536" s="89">
        <f>tbl_estimated_costs_quantities[[#This Row],[Accessibility Adaptations]]*BOQs!$L$16</f>
        <v>0</v>
      </c>
      <c r="AY536" s="86" t="str">
        <f>IF(tbl_estimated_costs_quantities[[#This Row],[Total cost]]&lt;&gt;0,tbl_estimated_costs_quantities[[#This Row],[Total cost]]/BOQs!$A$1,"")</f>
        <v/>
      </c>
      <c r="AZ536" s="37"/>
      <c r="BA536" s="37"/>
      <c r="BB536" s="37"/>
      <c r="BC536" s="37"/>
      <c r="BD536" s="41"/>
      <c r="BE536" s="37"/>
      <c r="BF536" s="37"/>
      <c r="BG536" s="37"/>
      <c r="BH536" s="41"/>
    </row>
    <row r="537" spans="2:60" ht="25.15" customHeight="1" x14ac:dyDescent="0.25">
      <c r="B537" s="49">
        <v>533</v>
      </c>
      <c r="C537" s="37"/>
      <c r="D537" s="41"/>
      <c r="E537" s="40"/>
      <c r="F537" s="87" t="str">
        <f>IF(tbl_estimated_costs_quantities[[#This Row],[House Code]]&lt;&gt;"",INDEX(tbl_Assessment[],MATCH(tbl_estimated_costs_quantities[[#This Row],[House Code]],tbl_Assessment[House Code],0),3),"")</f>
        <v/>
      </c>
      <c r="G537" s="115" t="str">
        <f>IF(tbl_estimated_costs_quantities[[#This Row],[House Code]]&lt;&gt;"",INDEX(tbl_Assessment[],MATCH(tbl_estimated_costs_quantities[[#This Row],[House Code]],tbl_Assessment[House Code],0),9),"")</f>
        <v/>
      </c>
      <c r="H53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7" s="75"/>
      <c r="J537" s="37"/>
      <c r="K537" s="86">
        <f>tbl_estimated_costs_quantities[[#This Row],[Site Preparation]]*BOQs!$L$3</f>
        <v>0</v>
      </c>
      <c r="L537" s="76"/>
      <c r="M537" s="37"/>
      <c r="N537" s="86">
        <f>tbl_estimated_costs_quantities[[#This Row],[Demolition Removal Unsafe Structures]]*BOQs!$L$4</f>
        <v>0</v>
      </c>
      <c r="O537" s="76"/>
      <c r="P537" s="37"/>
      <c r="Q537" s="86">
        <f>tbl_estimated_costs_quantities[[#This Row],[Concrete Works]]*BOQs!$L$5</f>
        <v>0</v>
      </c>
      <c r="R537" s="76"/>
      <c r="S537" s="37"/>
      <c r="T537" s="86">
        <f>tbl_estimated_costs_quantities[[#This Row],[Closure External Openings Walls Windows]]*BOQs!$L$6</f>
        <v>0</v>
      </c>
      <c r="U537" s="76"/>
      <c r="V537" s="37"/>
      <c r="W537" s="86">
        <f>tbl_estimated_costs_quantities[[#This Row],[Plastering Painting]]*BOQs!$L$7</f>
        <v>0</v>
      </c>
      <c r="X537" s="76"/>
      <c r="Y537" s="37"/>
      <c r="Z537" s="86">
        <f>tbl_estimated_costs_quantities[[#This Row],[Floor Repairs]]*BOQs!$L$8</f>
        <v>0</v>
      </c>
      <c r="AA537" s="76"/>
      <c r="AB537" s="37"/>
      <c r="AC537" s="86">
        <f>tbl_estimated_costs_quantities[[#This Row],[Doors Replacement Repair]]*BOQs!$L$9</f>
        <v>0</v>
      </c>
      <c r="AD537" s="76"/>
      <c r="AE537" s="37"/>
      <c r="AF537" s="86">
        <f>tbl_estimated_costs_quantities[[#This Row],[Windows Replacement Repair]]*BOQs!$L$10</f>
        <v>0</v>
      </c>
      <c r="AG537" s="76"/>
      <c r="AH537" s="37"/>
      <c r="AI537" s="86">
        <f>tbl_estimated_costs_quantities[[#This Row],[Bathroom Rehabilitation]]*BOQs!$L$11</f>
        <v>0</v>
      </c>
      <c r="AJ537" s="76"/>
      <c r="AK537" s="37"/>
      <c r="AL537" s="86">
        <f>tbl_estimated_costs_quantities[[#This Row],[Ceramic Tile Works WASH]]*BOQs!$L$12</f>
        <v>0</v>
      </c>
      <c r="AM537" s="76"/>
      <c r="AN537" s="37"/>
      <c r="AO537" s="86">
        <f>tbl_estimated_costs_quantities[[#This Row],[Electrical Repairs Lighting]]*BOQs!$L$13</f>
        <v>0</v>
      </c>
      <c r="AP537" s="76"/>
      <c r="AQ537" s="37"/>
      <c r="AR537" s="86">
        <f>tbl_estimated_costs_quantities[[#This Row],[Roof Insulation Leak Sealing]]*BOQs!$L$14</f>
        <v>0</v>
      </c>
      <c r="AS537" s="76"/>
      <c r="AT537" s="37"/>
      <c r="AU537" s="86">
        <f>tbl_estimated_costs_quantities[[#This Row],[Chimney Duct Cleaning Repair]]*BOQs!$L$15</f>
        <v>0</v>
      </c>
      <c r="AV537" s="76"/>
      <c r="AW537" s="37"/>
      <c r="AX537" s="89">
        <f>tbl_estimated_costs_quantities[[#This Row],[Accessibility Adaptations]]*BOQs!$L$16</f>
        <v>0</v>
      </c>
      <c r="AY537" s="86" t="str">
        <f>IF(tbl_estimated_costs_quantities[[#This Row],[Total cost]]&lt;&gt;0,tbl_estimated_costs_quantities[[#This Row],[Total cost]]/BOQs!$A$1,"")</f>
        <v/>
      </c>
      <c r="AZ537" s="37"/>
      <c r="BA537" s="37"/>
      <c r="BB537" s="37"/>
      <c r="BC537" s="37"/>
      <c r="BD537" s="41"/>
      <c r="BE537" s="37"/>
      <c r="BF537" s="37"/>
      <c r="BG537" s="37"/>
      <c r="BH537" s="41"/>
    </row>
    <row r="538" spans="2:60" ht="25.15" customHeight="1" x14ac:dyDescent="0.25">
      <c r="B538" s="49">
        <v>534</v>
      </c>
      <c r="C538" s="37"/>
      <c r="D538" s="41"/>
      <c r="E538" s="40"/>
      <c r="F538" s="87" t="str">
        <f>IF(tbl_estimated_costs_quantities[[#This Row],[House Code]]&lt;&gt;"",INDEX(tbl_Assessment[],MATCH(tbl_estimated_costs_quantities[[#This Row],[House Code]],tbl_Assessment[House Code],0),3),"")</f>
        <v/>
      </c>
      <c r="G538" s="115" t="str">
        <f>IF(tbl_estimated_costs_quantities[[#This Row],[House Code]]&lt;&gt;"",INDEX(tbl_Assessment[],MATCH(tbl_estimated_costs_quantities[[#This Row],[House Code]],tbl_Assessment[House Code],0),9),"")</f>
        <v/>
      </c>
      <c r="H53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8" s="75"/>
      <c r="J538" s="37"/>
      <c r="K538" s="86">
        <f>tbl_estimated_costs_quantities[[#This Row],[Site Preparation]]*BOQs!$L$3</f>
        <v>0</v>
      </c>
      <c r="L538" s="76"/>
      <c r="M538" s="37"/>
      <c r="N538" s="86">
        <f>tbl_estimated_costs_quantities[[#This Row],[Demolition Removal Unsafe Structures]]*BOQs!$L$4</f>
        <v>0</v>
      </c>
      <c r="O538" s="76"/>
      <c r="P538" s="37"/>
      <c r="Q538" s="86">
        <f>tbl_estimated_costs_quantities[[#This Row],[Concrete Works]]*BOQs!$L$5</f>
        <v>0</v>
      </c>
      <c r="R538" s="76"/>
      <c r="S538" s="37"/>
      <c r="T538" s="86">
        <f>tbl_estimated_costs_quantities[[#This Row],[Closure External Openings Walls Windows]]*BOQs!$L$6</f>
        <v>0</v>
      </c>
      <c r="U538" s="76"/>
      <c r="V538" s="37"/>
      <c r="W538" s="86">
        <f>tbl_estimated_costs_quantities[[#This Row],[Plastering Painting]]*BOQs!$L$7</f>
        <v>0</v>
      </c>
      <c r="X538" s="76"/>
      <c r="Y538" s="37"/>
      <c r="Z538" s="86">
        <f>tbl_estimated_costs_quantities[[#This Row],[Floor Repairs]]*BOQs!$L$8</f>
        <v>0</v>
      </c>
      <c r="AA538" s="76"/>
      <c r="AB538" s="37"/>
      <c r="AC538" s="86">
        <f>tbl_estimated_costs_quantities[[#This Row],[Doors Replacement Repair]]*BOQs!$L$9</f>
        <v>0</v>
      </c>
      <c r="AD538" s="76"/>
      <c r="AE538" s="37"/>
      <c r="AF538" s="86">
        <f>tbl_estimated_costs_quantities[[#This Row],[Windows Replacement Repair]]*BOQs!$L$10</f>
        <v>0</v>
      </c>
      <c r="AG538" s="76"/>
      <c r="AH538" s="37"/>
      <c r="AI538" s="86">
        <f>tbl_estimated_costs_quantities[[#This Row],[Bathroom Rehabilitation]]*BOQs!$L$11</f>
        <v>0</v>
      </c>
      <c r="AJ538" s="76"/>
      <c r="AK538" s="37"/>
      <c r="AL538" s="86">
        <f>tbl_estimated_costs_quantities[[#This Row],[Ceramic Tile Works WASH]]*BOQs!$L$12</f>
        <v>0</v>
      </c>
      <c r="AM538" s="76"/>
      <c r="AN538" s="37"/>
      <c r="AO538" s="86">
        <f>tbl_estimated_costs_quantities[[#This Row],[Electrical Repairs Lighting]]*BOQs!$L$13</f>
        <v>0</v>
      </c>
      <c r="AP538" s="76"/>
      <c r="AQ538" s="37"/>
      <c r="AR538" s="86">
        <f>tbl_estimated_costs_quantities[[#This Row],[Roof Insulation Leak Sealing]]*BOQs!$L$14</f>
        <v>0</v>
      </c>
      <c r="AS538" s="76"/>
      <c r="AT538" s="37"/>
      <c r="AU538" s="86">
        <f>tbl_estimated_costs_quantities[[#This Row],[Chimney Duct Cleaning Repair]]*BOQs!$L$15</f>
        <v>0</v>
      </c>
      <c r="AV538" s="76"/>
      <c r="AW538" s="37"/>
      <c r="AX538" s="89">
        <f>tbl_estimated_costs_quantities[[#This Row],[Accessibility Adaptations]]*BOQs!$L$16</f>
        <v>0</v>
      </c>
      <c r="AY538" s="86" t="str">
        <f>IF(tbl_estimated_costs_quantities[[#This Row],[Total cost]]&lt;&gt;0,tbl_estimated_costs_quantities[[#This Row],[Total cost]]/BOQs!$A$1,"")</f>
        <v/>
      </c>
      <c r="AZ538" s="37"/>
      <c r="BA538" s="37"/>
      <c r="BB538" s="37"/>
      <c r="BC538" s="37"/>
      <c r="BD538" s="41"/>
      <c r="BE538" s="37"/>
      <c r="BF538" s="37"/>
      <c r="BG538" s="37"/>
      <c r="BH538" s="41"/>
    </row>
    <row r="539" spans="2:60" ht="25.15" customHeight="1" x14ac:dyDescent="0.25">
      <c r="B539" s="49">
        <v>535</v>
      </c>
      <c r="C539" s="37"/>
      <c r="D539" s="41"/>
      <c r="E539" s="40"/>
      <c r="F539" s="87" t="str">
        <f>IF(tbl_estimated_costs_quantities[[#This Row],[House Code]]&lt;&gt;"",INDEX(tbl_Assessment[],MATCH(tbl_estimated_costs_quantities[[#This Row],[House Code]],tbl_Assessment[House Code],0),3),"")</f>
        <v/>
      </c>
      <c r="G539" s="115" t="str">
        <f>IF(tbl_estimated_costs_quantities[[#This Row],[House Code]]&lt;&gt;"",INDEX(tbl_Assessment[],MATCH(tbl_estimated_costs_quantities[[#This Row],[House Code]],tbl_Assessment[House Code],0),9),"")</f>
        <v/>
      </c>
      <c r="H53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39" s="75"/>
      <c r="J539" s="37"/>
      <c r="K539" s="86">
        <f>tbl_estimated_costs_quantities[[#This Row],[Site Preparation]]*BOQs!$L$3</f>
        <v>0</v>
      </c>
      <c r="L539" s="76"/>
      <c r="M539" s="37"/>
      <c r="N539" s="86">
        <f>tbl_estimated_costs_quantities[[#This Row],[Demolition Removal Unsafe Structures]]*BOQs!$L$4</f>
        <v>0</v>
      </c>
      <c r="O539" s="76"/>
      <c r="P539" s="37"/>
      <c r="Q539" s="86">
        <f>tbl_estimated_costs_quantities[[#This Row],[Concrete Works]]*BOQs!$L$5</f>
        <v>0</v>
      </c>
      <c r="R539" s="76"/>
      <c r="S539" s="37"/>
      <c r="T539" s="86">
        <f>tbl_estimated_costs_quantities[[#This Row],[Closure External Openings Walls Windows]]*BOQs!$L$6</f>
        <v>0</v>
      </c>
      <c r="U539" s="76"/>
      <c r="V539" s="37"/>
      <c r="W539" s="86">
        <f>tbl_estimated_costs_quantities[[#This Row],[Plastering Painting]]*BOQs!$L$7</f>
        <v>0</v>
      </c>
      <c r="X539" s="76"/>
      <c r="Y539" s="37"/>
      <c r="Z539" s="86">
        <f>tbl_estimated_costs_quantities[[#This Row],[Floor Repairs]]*BOQs!$L$8</f>
        <v>0</v>
      </c>
      <c r="AA539" s="76"/>
      <c r="AB539" s="37"/>
      <c r="AC539" s="86">
        <f>tbl_estimated_costs_quantities[[#This Row],[Doors Replacement Repair]]*BOQs!$L$9</f>
        <v>0</v>
      </c>
      <c r="AD539" s="76"/>
      <c r="AE539" s="37"/>
      <c r="AF539" s="86">
        <f>tbl_estimated_costs_quantities[[#This Row],[Windows Replacement Repair]]*BOQs!$L$10</f>
        <v>0</v>
      </c>
      <c r="AG539" s="76"/>
      <c r="AH539" s="37"/>
      <c r="AI539" s="86">
        <f>tbl_estimated_costs_quantities[[#This Row],[Bathroom Rehabilitation]]*BOQs!$L$11</f>
        <v>0</v>
      </c>
      <c r="AJ539" s="76"/>
      <c r="AK539" s="37"/>
      <c r="AL539" s="86">
        <f>tbl_estimated_costs_quantities[[#This Row],[Ceramic Tile Works WASH]]*BOQs!$L$12</f>
        <v>0</v>
      </c>
      <c r="AM539" s="76"/>
      <c r="AN539" s="37"/>
      <c r="AO539" s="86">
        <f>tbl_estimated_costs_quantities[[#This Row],[Electrical Repairs Lighting]]*BOQs!$L$13</f>
        <v>0</v>
      </c>
      <c r="AP539" s="76"/>
      <c r="AQ539" s="37"/>
      <c r="AR539" s="86">
        <f>tbl_estimated_costs_quantities[[#This Row],[Roof Insulation Leak Sealing]]*BOQs!$L$14</f>
        <v>0</v>
      </c>
      <c r="AS539" s="76"/>
      <c r="AT539" s="37"/>
      <c r="AU539" s="86">
        <f>tbl_estimated_costs_quantities[[#This Row],[Chimney Duct Cleaning Repair]]*BOQs!$L$15</f>
        <v>0</v>
      </c>
      <c r="AV539" s="76"/>
      <c r="AW539" s="37"/>
      <c r="AX539" s="89">
        <f>tbl_estimated_costs_quantities[[#This Row],[Accessibility Adaptations]]*BOQs!$L$16</f>
        <v>0</v>
      </c>
      <c r="AY539" s="86" t="str">
        <f>IF(tbl_estimated_costs_quantities[[#This Row],[Total cost]]&lt;&gt;0,tbl_estimated_costs_quantities[[#This Row],[Total cost]]/BOQs!$A$1,"")</f>
        <v/>
      </c>
      <c r="AZ539" s="37"/>
      <c r="BA539" s="37"/>
      <c r="BB539" s="37"/>
      <c r="BC539" s="37"/>
      <c r="BD539" s="41"/>
      <c r="BE539" s="37"/>
      <c r="BF539" s="37"/>
      <c r="BG539" s="37"/>
      <c r="BH539" s="41"/>
    </row>
    <row r="540" spans="2:60" ht="25.15" customHeight="1" x14ac:dyDescent="0.25">
      <c r="B540" s="49">
        <v>536</v>
      </c>
      <c r="C540" s="37"/>
      <c r="D540" s="41"/>
      <c r="E540" s="40"/>
      <c r="F540" s="87" t="str">
        <f>IF(tbl_estimated_costs_quantities[[#This Row],[House Code]]&lt;&gt;"",INDEX(tbl_Assessment[],MATCH(tbl_estimated_costs_quantities[[#This Row],[House Code]],tbl_Assessment[House Code],0),3),"")</f>
        <v/>
      </c>
      <c r="G540" s="115" t="str">
        <f>IF(tbl_estimated_costs_quantities[[#This Row],[House Code]]&lt;&gt;"",INDEX(tbl_Assessment[],MATCH(tbl_estimated_costs_quantities[[#This Row],[House Code]],tbl_Assessment[House Code],0),9),"")</f>
        <v/>
      </c>
      <c r="H54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0" s="75"/>
      <c r="J540" s="37"/>
      <c r="K540" s="86">
        <f>tbl_estimated_costs_quantities[[#This Row],[Site Preparation]]*BOQs!$L$3</f>
        <v>0</v>
      </c>
      <c r="L540" s="76"/>
      <c r="M540" s="37"/>
      <c r="N540" s="86">
        <f>tbl_estimated_costs_quantities[[#This Row],[Demolition Removal Unsafe Structures]]*BOQs!$L$4</f>
        <v>0</v>
      </c>
      <c r="O540" s="76"/>
      <c r="P540" s="37"/>
      <c r="Q540" s="86">
        <f>tbl_estimated_costs_quantities[[#This Row],[Concrete Works]]*BOQs!$L$5</f>
        <v>0</v>
      </c>
      <c r="R540" s="76"/>
      <c r="S540" s="37"/>
      <c r="T540" s="86">
        <f>tbl_estimated_costs_quantities[[#This Row],[Closure External Openings Walls Windows]]*BOQs!$L$6</f>
        <v>0</v>
      </c>
      <c r="U540" s="76"/>
      <c r="V540" s="37"/>
      <c r="W540" s="86">
        <f>tbl_estimated_costs_quantities[[#This Row],[Plastering Painting]]*BOQs!$L$7</f>
        <v>0</v>
      </c>
      <c r="X540" s="76"/>
      <c r="Y540" s="37"/>
      <c r="Z540" s="86">
        <f>tbl_estimated_costs_quantities[[#This Row],[Floor Repairs]]*BOQs!$L$8</f>
        <v>0</v>
      </c>
      <c r="AA540" s="76"/>
      <c r="AB540" s="37"/>
      <c r="AC540" s="86">
        <f>tbl_estimated_costs_quantities[[#This Row],[Doors Replacement Repair]]*BOQs!$L$9</f>
        <v>0</v>
      </c>
      <c r="AD540" s="76"/>
      <c r="AE540" s="37"/>
      <c r="AF540" s="86">
        <f>tbl_estimated_costs_quantities[[#This Row],[Windows Replacement Repair]]*BOQs!$L$10</f>
        <v>0</v>
      </c>
      <c r="AG540" s="76"/>
      <c r="AH540" s="37"/>
      <c r="AI540" s="86">
        <f>tbl_estimated_costs_quantities[[#This Row],[Bathroom Rehabilitation]]*BOQs!$L$11</f>
        <v>0</v>
      </c>
      <c r="AJ540" s="76"/>
      <c r="AK540" s="37"/>
      <c r="AL540" s="86">
        <f>tbl_estimated_costs_quantities[[#This Row],[Ceramic Tile Works WASH]]*BOQs!$L$12</f>
        <v>0</v>
      </c>
      <c r="AM540" s="76"/>
      <c r="AN540" s="37"/>
      <c r="AO540" s="86">
        <f>tbl_estimated_costs_quantities[[#This Row],[Electrical Repairs Lighting]]*BOQs!$L$13</f>
        <v>0</v>
      </c>
      <c r="AP540" s="76"/>
      <c r="AQ540" s="37"/>
      <c r="AR540" s="86">
        <f>tbl_estimated_costs_quantities[[#This Row],[Roof Insulation Leak Sealing]]*BOQs!$L$14</f>
        <v>0</v>
      </c>
      <c r="AS540" s="76"/>
      <c r="AT540" s="37"/>
      <c r="AU540" s="86">
        <f>tbl_estimated_costs_quantities[[#This Row],[Chimney Duct Cleaning Repair]]*BOQs!$L$15</f>
        <v>0</v>
      </c>
      <c r="AV540" s="76"/>
      <c r="AW540" s="37"/>
      <c r="AX540" s="89">
        <f>tbl_estimated_costs_quantities[[#This Row],[Accessibility Adaptations]]*BOQs!$L$16</f>
        <v>0</v>
      </c>
      <c r="AY540" s="86" t="str">
        <f>IF(tbl_estimated_costs_quantities[[#This Row],[Total cost]]&lt;&gt;0,tbl_estimated_costs_quantities[[#This Row],[Total cost]]/BOQs!$A$1,"")</f>
        <v/>
      </c>
      <c r="AZ540" s="37"/>
      <c r="BA540" s="37"/>
      <c r="BB540" s="37"/>
      <c r="BC540" s="37"/>
      <c r="BD540" s="41"/>
      <c r="BE540" s="37"/>
      <c r="BF540" s="37"/>
      <c r="BG540" s="37"/>
      <c r="BH540" s="41"/>
    </row>
    <row r="541" spans="2:60" ht="25.15" customHeight="1" x14ac:dyDescent="0.25">
      <c r="B541" s="49">
        <v>537</v>
      </c>
      <c r="C541" s="37"/>
      <c r="D541" s="41"/>
      <c r="E541" s="40"/>
      <c r="F541" s="87" t="str">
        <f>IF(tbl_estimated_costs_quantities[[#This Row],[House Code]]&lt;&gt;"",INDEX(tbl_Assessment[],MATCH(tbl_estimated_costs_quantities[[#This Row],[House Code]],tbl_Assessment[House Code],0),3),"")</f>
        <v/>
      </c>
      <c r="G541" s="115" t="str">
        <f>IF(tbl_estimated_costs_quantities[[#This Row],[House Code]]&lt;&gt;"",INDEX(tbl_Assessment[],MATCH(tbl_estimated_costs_quantities[[#This Row],[House Code]],tbl_Assessment[House Code],0),9),"")</f>
        <v/>
      </c>
      <c r="H54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1" s="75"/>
      <c r="J541" s="37"/>
      <c r="K541" s="86">
        <f>tbl_estimated_costs_quantities[[#This Row],[Site Preparation]]*BOQs!$L$3</f>
        <v>0</v>
      </c>
      <c r="L541" s="76"/>
      <c r="M541" s="37"/>
      <c r="N541" s="86">
        <f>tbl_estimated_costs_quantities[[#This Row],[Demolition Removal Unsafe Structures]]*BOQs!$L$4</f>
        <v>0</v>
      </c>
      <c r="O541" s="76"/>
      <c r="P541" s="37"/>
      <c r="Q541" s="86">
        <f>tbl_estimated_costs_quantities[[#This Row],[Concrete Works]]*BOQs!$L$5</f>
        <v>0</v>
      </c>
      <c r="R541" s="76"/>
      <c r="S541" s="37"/>
      <c r="T541" s="86">
        <f>tbl_estimated_costs_quantities[[#This Row],[Closure External Openings Walls Windows]]*BOQs!$L$6</f>
        <v>0</v>
      </c>
      <c r="U541" s="76"/>
      <c r="V541" s="37"/>
      <c r="W541" s="86">
        <f>tbl_estimated_costs_quantities[[#This Row],[Plastering Painting]]*BOQs!$L$7</f>
        <v>0</v>
      </c>
      <c r="X541" s="76"/>
      <c r="Y541" s="37"/>
      <c r="Z541" s="86">
        <f>tbl_estimated_costs_quantities[[#This Row],[Floor Repairs]]*BOQs!$L$8</f>
        <v>0</v>
      </c>
      <c r="AA541" s="76"/>
      <c r="AB541" s="37"/>
      <c r="AC541" s="86">
        <f>tbl_estimated_costs_quantities[[#This Row],[Doors Replacement Repair]]*BOQs!$L$9</f>
        <v>0</v>
      </c>
      <c r="AD541" s="76"/>
      <c r="AE541" s="37"/>
      <c r="AF541" s="86">
        <f>tbl_estimated_costs_quantities[[#This Row],[Windows Replacement Repair]]*BOQs!$L$10</f>
        <v>0</v>
      </c>
      <c r="AG541" s="76"/>
      <c r="AH541" s="37"/>
      <c r="AI541" s="86">
        <f>tbl_estimated_costs_quantities[[#This Row],[Bathroom Rehabilitation]]*BOQs!$L$11</f>
        <v>0</v>
      </c>
      <c r="AJ541" s="76"/>
      <c r="AK541" s="37"/>
      <c r="AL541" s="86">
        <f>tbl_estimated_costs_quantities[[#This Row],[Ceramic Tile Works WASH]]*BOQs!$L$12</f>
        <v>0</v>
      </c>
      <c r="AM541" s="76"/>
      <c r="AN541" s="37"/>
      <c r="AO541" s="86">
        <f>tbl_estimated_costs_quantities[[#This Row],[Electrical Repairs Lighting]]*BOQs!$L$13</f>
        <v>0</v>
      </c>
      <c r="AP541" s="76"/>
      <c r="AQ541" s="37"/>
      <c r="AR541" s="86">
        <f>tbl_estimated_costs_quantities[[#This Row],[Roof Insulation Leak Sealing]]*BOQs!$L$14</f>
        <v>0</v>
      </c>
      <c r="AS541" s="76"/>
      <c r="AT541" s="37"/>
      <c r="AU541" s="86">
        <f>tbl_estimated_costs_quantities[[#This Row],[Chimney Duct Cleaning Repair]]*BOQs!$L$15</f>
        <v>0</v>
      </c>
      <c r="AV541" s="76"/>
      <c r="AW541" s="37"/>
      <c r="AX541" s="89">
        <f>tbl_estimated_costs_quantities[[#This Row],[Accessibility Adaptations]]*BOQs!$L$16</f>
        <v>0</v>
      </c>
      <c r="AY541" s="86" t="str">
        <f>IF(tbl_estimated_costs_quantities[[#This Row],[Total cost]]&lt;&gt;0,tbl_estimated_costs_quantities[[#This Row],[Total cost]]/BOQs!$A$1,"")</f>
        <v/>
      </c>
      <c r="AZ541" s="37"/>
      <c r="BA541" s="37"/>
      <c r="BB541" s="37"/>
      <c r="BC541" s="37"/>
      <c r="BD541" s="41"/>
      <c r="BE541" s="37"/>
      <c r="BF541" s="37"/>
      <c r="BG541" s="37"/>
      <c r="BH541" s="41"/>
    </row>
    <row r="542" spans="2:60" ht="25.15" customHeight="1" x14ac:dyDescent="0.25">
      <c r="B542" s="49">
        <v>538</v>
      </c>
      <c r="C542" s="37"/>
      <c r="D542" s="41"/>
      <c r="E542" s="40"/>
      <c r="F542" s="87" t="str">
        <f>IF(tbl_estimated_costs_quantities[[#This Row],[House Code]]&lt;&gt;"",INDEX(tbl_Assessment[],MATCH(tbl_estimated_costs_quantities[[#This Row],[House Code]],tbl_Assessment[House Code],0),3),"")</f>
        <v/>
      </c>
      <c r="G542" s="115" t="str">
        <f>IF(tbl_estimated_costs_quantities[[#This Row],[House Code]]&lt;&gt;"",INDEX(tbl_Assessment[],MATCH(tbl_estimated_costs_quantities[[#This Row],[House Code]],tbl_Assessment[House Code],0),9),"")</f>
        <v/>
      </c>
      <c r="H54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2" s="75"/>
      <c r="J542" s="37"/>
      <c r="K542" s="86">
        <f>tbl_estimated_costs_quantities[[#This Row],[Site Preparation]]*BOQs!$L$3</f>
        <v>0</v>
      </c>
      <c r="L542" s="76"/>
      <c r="M542" s="37"/>
      <c r="N542" s="86">
        <f>tbl_estimated_costs_quantities[[#This Row],[Demolition Removal Unsafe Structures]]*BOQs!$L$4</f>
        <v>0</v>
      </c>
      <c r="O542" s="76"/>
      <c r="P542" s="37"/>
      <c r="Q542" s="86">
        <f>tbl_estimated_costs_quantities[[#This Row],[Concrete Works]]*BOQs!$L$5</f>
        <v>0</v>
      </c>
      <c r="R542" s="76"/>
      <c r="S542" s="37"/>
      <c r="T542" s="86">
        <f>tbl_estimated_costs_quantities[[#This Row],[Closure External Openings Walls Windows]]*BOQs!$L$6</f>
        <v>0</v>
      </c>
      <c r="U542" s="76"/>
      <c r="V542" s="37"/>
      <c r="W542" s="86">
        <f>tbl_estimated_costs_quantities[[#This Row],[Plastering Painting]]*BOQs!$L$7</f>
        <v>0</v>
      </c>
      <c r="X542" s="76"/>
      <c r="Y542" s="37"/>
      <c r="Z542" s="86">
        <f>tbl_estimated_costs_quantities[[#This Row],[Floor Repairs]]*BOQs!$L$8</f>
        <v>0</v>
      </c>
      <c r="AA542" s="76"/>
      <c r="AB542" s="37"/>
      <c r="AC542" s="86">
        <f>tbl_estimated_costs_quantities[[#This Row],[Doors Replacement Repair]]*BOQs!$L$9</f>
        <v>0</v>
      </c>
      <c r="AD542" s="76"/>
      <c r="AE542" s="37"/>
      <c r="AF542" s="86">
        <f>tbl_estimated_costs_quantities[[#This Row],[Windows Replacement Repair]]*BOQs!$L$10</f>
        <v>0</v>
      </c>
      <c r="AG542" s="76"/>
      <c r="AH542" s="37"/>
      <c r="AI542" s="86">
        <f>tbl_estimated_costs_quantities[[#This Row],[Bathroom Rehabilitation]]*BOQs!$L$11</f>
        <v>0</v>
      </c>
      <c r="AJ542" s="76"/>
      <c r="AK542" s="37"/>
      <c r="AL542" s="86">
        <f>tbl_estimated_costs_quantities[[#This Row],[Ceramic Tile Works WASH]]*BOQs!$L$12</f>
        <v>0</v>
      </c>
      <c r="AM542" s="76"/>
      <c r="AN542" s="37"/>
      <c r="AO542" s="86">
        <f>tbl_estimated_costs_quantities[[#This Row],[Electrical Repairs Lighting]]*BOQs!$L$13</f>
        <v>0</v>
      </c>
      <c r="AP542" s="76"/>
      <c r="AQ542" s="37"/>
      <c r="AR542" s="86">
        <f>tbl_estimated_costs_quantities[[#This Row],[Roof Insulation Leak Sealing]]*BOQs!$L$14</f>
        <v>0</v>
      </c>
      <c r="AS542" s="76"/>
      <c r="AT542" s="37"/>
      <c r="AU542" s="86">
        <f>tbl_estimated_costs_quantities[[#This Row],[Chimney Duct Cleaning Repair]]*BOQs!$L$15</f>
        <v>0</v>
      </c>
      <c r="AV542" s="76"/>
      <c r="AW542" s="37"/>
      <c r="AX542" s="89">
        <f>tbl_estimated_costs_quantities[[#This Row],[Accessibility Adaptations]]*BOQs!$L$16</f>
        <v>0</v>
      </c>
      <c r="AY542" s="86" t="str">
        <f>IF(tbl_estimated_costs_quantities[[#This Row],[Total cost]]&lt;&gt;0,tbl_estimated_costs_quantities[[#This Row],[Total cost]]/BOQs!$A$1,"")</f>
        <v/>
      </c>
      <c r="AZ542" s="37"/>
      <c r="BA542" s="37"/>
      <c r="BB542" s="37"/>
      <c r="BC542" s="37"/>
      <c r="BD542" s="41"/>
      <c r="BE542" s="37"/>
      <c r="BF542" s="37"/>
      <c r="BG542" s="37"/>
      <c r="BH542" s="41"/>
    </row>
    <row r="543" spans="2:60" ht="25.15" customHeight="1" x14ac:dyDescent="0.25">
      <c r="B543" s="49">
        <v>539</v>
      </c>
      <c r="C543" s="37"/>
      <c r="D543" s="41"/>
      <c r="E543" s="40"/>
      <c r="F543" s="87" t="str">
        <f>IF(tbl_estimated_costs_quantities[[#This Row],[House Code]]&lt;&gt;"",INDEX(tbl_Assessment[],MATCH(tbl_estimated_costs_quantities[[#This Row],[House Code]],tbl_Assessment[House Code],0),3),"")</f>
        <v/>
      </c>
      <c r="G543" s="115" t="str">
        <f>IF(tbl_estimated_costs_quantities[[#This Row],[House Code]]&lt;&gt;"",INDEX(tbl_Assessment[],MATCH(tbl_estimated_costs_quantities[[#This Row],[House Code]],tbl_Assessment[House Code],0),9),"")</f>
        <v/>
      </c>
      <c r="H54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3" s="75"/>
      <c r="J543" s="37"/>
      <c r="K543" s="86">
        <f>tbl_estimated_costs_quantities[[#This Row],[Site Preparation]]*BOQs!$L$3</f>
        <v>0</v>
      </c>
      <c r="L543" s="76"/>
      <c r="M543" s="37"/>
      <c r="N543" s="86">
        <f>tbl_estimated_costs_quantities[[#This Row],[Demolition Removal Unsafe Structures]]*BOQs!$L$4</f>
        <v>0</v>
      </c>
      <c r="O543" s="76"/>
      <c r="P543" s="37"/>
      <c r="Q543" s="86">
        <f>tbl_estimated_costs_quantities[[#This Row],[Concrete Works]]*BOQs!$L$5</f>
        <v>0</v>
      </c>
      <c r="R543" s="76"/>
      <c r="S543" s="37"/>
      <c r="T543" s="86">
        <f>tbl_estimated_costs_quantities[[#This Row],[Closure External Openings Walls Windows]]*BOQs!$L$6</f>
        <v>0</v>
      </c>
      <c r="U543" s="76"/>
      <c r="V543" s="37"/>
      <c r="W543" s="86">
        <f>tbl_estimated_costs_quantities[[#This Row],[Plastering Painting]]*BOQs!$L$7</f>
        <v>0</v>
      </c>
      <c r="X543" s="76"/>
      <c r="Y543" s="37"/>
      <c r="Z543" s="86">
        <f>tbl_estimated_costs_quantities[[#This Row],[Floor Repairs]]*BOQs!$L$8</f>
        <v>0</v>
      </c>
      <c r="AA543" s="76"/>
      <c r="AB543" s="37"/>
      <c r="AC543" s="86">
        <f>tbl_estimated_costs_quantities[[#This Row],[Doors Replacement Repair]]*BOQs!$L$9</f>
        <v>0</v>
      </c>
      <c r="AD543" s="76"/>
      <c r="AE543" s="37"/>
      <c r="AF543" s="86">
        <f>tbl_estimated_costs_quantities[[#This Row],[Windows Replacement Repair]]*BOQs!$L$10</f>
        <v>0</v>
      </c>
      <c r="AG543" s="76"/>
      <c r="AH543" s="37"/>
      <c r="AI543" s="86">
        <f>tbl_estimated_costs_quantities[[#This Row],[Bathroom Rehabilitation]]*BOQs!$L$11</f>
        <v>0</v>
      </c>
      <c r="AJ543" s="76"/>
      <c r="AK543" s="37"/>
      <c r="AL543" s="86">
        <f>tbl_estimated_costs_quantities[[#This Row],[Ceramic Tile Works WASH]]*BOQs!$L$12</f>
        <v>0</v>
      </c>
      <c r="AM543" s="76"/>
      <c r="AN543" s="37"/>
      <c r="AO543" s="86">
        <f>tbl_estimated_costs_quantities[[#This Row],[Electrical Repairs Lighting]]*BOQs!$L$13</f>
        <v>0</v>
      </c>
      <c r="AP543" s="76"/>
      <c r="AQ543" s="37"/>
      <c r="AR543" s="86">
        <f>tbl_estimated_costs_quantities[[#This Row],[Roof Insulation Leak Sealing]]*BOQs!$L$14</f>
        <v>0</v>
      </c>
      <c r="AS543" s="76"/>
      <c r="AT543" s="37"/>
      <c r="AU543" s="86">
        <f>tbl_estimated_costs_quantities[[#This Row],[Chimney Duct Cleaning Repair]]*BOQs!$L$15</f>
        <v>0</v>
      </c>
      <c r="AV543" s="76"/>
      <c r="AW543" s="37"/>
      <c r="AX543" s="89">
        <f>tbl_estimated_costs_quantities[[#This Row],[Accessibility Adaptations]]*BOQs!$L$16</f>
        <v>0</v>
      </c>
      <c r="AY543" s="86" t="str">
        <f>IF(tbl_estimated_costs_quantities[[#This Row],[Total cost]]&lt;&gt;0,tbl_estimated_costs_quantities[[#This Row],[Total cost]]/BOQs!$A$1,"")</f>
        <v/>
      </c>
      <c r="AZ543" s="37"/>
      <c r="BA543" s="37"/>
      <c r="BB543" s="37"/>
      <c r="BC543" s="37"/>
      <c r="BD543" s="41"/>
      <c r="BE543" s="37"/>
      <c r="BF543" s="37"/>
      <c r="BG543" s="37"/>
      <c r="BH543" s="41"/>
    </row>
    <row r="544" spans="2:60" ht="25.15" customHeight="1" x14ac:dyDescent="0.25">
      <c r="B544" s="49">
        <v>540</v>
      </c>
      <c r="C544" s="37"/>
      <c r="D544" s="41"/>
      <c r="E544" s="40"/>
      <c r="F544" s="87" t="str">
        <f>IF(tbl_estimated_costs_quantities[[#This Row],[House Code]]&lt;&gt;"",INDEX(tbl_Assessment[],MATCH(tbl_estimated_costs_quantities[[#This Row],[House Code]],tbl_Assessment[House Code],0),3),"")</f>
        <v/>
      </c>
      <c r="G544" s="115" t="str">
        <f>IF(tbl_estimated_costs_quantities[[#This Row],[House Code]]&lt;&gt;"",INDEX(tbl_Assessment[],MATCH(tbl_estimated_costs_quantities[[#This Row],[House Code]],tbl_Assessment[House Code],0),9),"")</f>
        <v/>
      </c>
      <c r="H54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4" s="75"/>
      <c r="J544" s="37"/>
      <c r="K544" s="86">
        <f>tbl_estimated_costs_quantities[[#This Row],[Site Preparation]]*BOQs!$L$3</f>
        <v>0</v>
      </c>
      <c r="L544" s="76"/>
      <c r="M544" s="37"/>
      <c r="N544" s="86">
        <f>tbl_estimated_costs_quantities[[#This Row],[Demolition Removal Unsafe Structures]]*BOQs!$L$4</f>
        <v>0</v>
      </c>
      <c r="O544" s="76"/>
      <c r="P544" s="37"/>
      <c r="Q544" s="86">
        <f>tbl_estimated_costs_quantities[[#This Row],[Concrete Works]]*BOQs!$L$5</f>
        <v>0</v>
      </c>
      <c r="R544" s="76"/>
      <c r="S544" s="37"/>
      <c r="T544" s="86">
        <f>tbl_estimated_costs_quantities[[#This Row],[Closure External Openings Walls Windows]]*BOQs!$L$6</f>
        <v>0</v>
      </c>
      <c r="U544" s="76"/>
      <c r="V544" s="37"/>
      <c r="W544" s="86">
        <f>tbl_estimated_costs_quantities[[#This Row],[Plastering Painting]]*BOQs!$L$7</f>
        <v>0</v>
      </c>
      <c r="X544" s="76"/>
      <c r="Y544" s="37"/>
      <c r="Z544" s="86">
        <f>tbl_estimated_costs_quantities[[#This Row],[Floor Repairs]]*BOQs!$L$8</f>
        <v>0</v>
      </c>
      <c r="AA544" s="76"/>
      <c r="AB544" s="37"/>
      <c r="AC544" s="86">
        <f>tbl_estimated_costs_quantities[[#This Row],[Doors Replacement Repair]]*BOQs!$L$9</f>
        <v>0</v>
      </c>
      <c r="AD544" s="76"/>
      <c r="AE544" s="37"/>
      <c r="AF544" s="86">
        <f>tbl_estimated_costs_quantities[[#This Row],[Windows Replacement Repair]]*BOQs!$L$10</f>
        <v>0</v>
      </c>
      <c r="AG544" s="76"/>
      <c r="AH544" s="37"/>
      <c r="AI544" s="86">
        <f>tbl_estimated_costs_quantities[[#This Row],[Bathroom Rehabilitation]]*BOQs!$L$11</f>
        <v>0</v>
      </c>
      <c r="AJ544" s="76"/>
      <c r="AK544" s="37"/>
      <c r="AL544" s="86">
        <f>tbl_estimated_costs_quantities[[#This Row],[Ceramic Tile Works WASH]]*BOQs!$L$12</f>
        <v>0</v>
      </c>
      <c r="AM544" s="76"/>
      <c r="AN544" s="37"/>
      <c r="AO544" s="86">
        <f>tbl_estimated_costs_quantities[[#This Row],[Electrical Repairs Lighting]]*BOQs!$L$13</f>
        <v>0</v>
      </c>
      <c r="AP544" s="76"/>
      <c r="AQ544" s="37"/>
      <c r="AR544" s="86">
        <f>tbl_estimated_costs_quantities[[#This Row],[Roof Insulation Leak Sealing]]*BOQs!$L$14</f>
        <v>0</v>
      </c>
      <c r="AS544" s="76"/>
      <c r="AT544" s="37"/>
      <c r="AU544" s="86">
        <f>tbl_estimated_costs_quantities[[#This Row],[Chimney Duct Cleaning Repair]]*BOQs!$L$15</f>
        <v>0</v>
      </c>
      <c r="AV544" s="76"/>
      <c r="AW544" s="37"/>
      <c r="AX544" s="89">
        <f>tbl_estimated_costs_quantities[[#This Row],[Accessibility Adaptations]]*BOQs!$L$16</f>
        <v>0</v>
      </c>
      <c r="AY544" s="86" t="str">
        <f>IF(tbl_estimated_costs_quantities[[#This Row],[Total cost]]&lt;&gt;0,tbl_estimated_costs_quantities[[#This Row],[Total cost]]/BOQs!$A$1,"")</f>
        <v/>
      </c>
      <c r="AZ544" s="37"/>
      <c r="BA544" s="37"/>
      <c r="BB544" s="37"/>
      <c r="BC544" s="37"/>
      <c r="BD544" s="41"/>
      <c r="BE544" s="37"/>
      <c r="BF544" s="37"/>
      <c r="BG544" s="37"/>
      <c r="BH544" s="41"/>
    </row>
    <row r="545" spans="2:60" ht="25.15" customHeight="1" x14ac:dyDescent="0.25">
      <c r="B545" s="49">
        <v>541</v>
      </c>
      <c r="C545" s="37"/>
      <c r="D545" s="41"/>
      <c r="E545" s="40"/>
      <c r="F545" s="87" t="str">
        <f>IF(tbl_estimated_costs_quantities[[#This Row],[House Code]]&lt;&gt;"",INDEX(tbl_Assessment[],MATCH(tbl_estimated_costs_quantities[[#This Row],[House Code]],tbl_Assessment[House Code],0),3),"")</f>
        <v/>
      </c>
      <c r="G545" s="115" t="str">
        <f>IF(tbl_estimated_costs_quantities[[#This Row],[House Code]]&lt;&gt;"",INDEX(tbl_Assessment[],MATCH(tbl_estimated_costs_quantities[[#This Row],[House Code]],tbl_Assessment[House Code],0),9),"")</f>
        <v/>
      </c>
      <c r="H54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5" s="75"/>
      <c r="J545" s="37"/>
      <c r="K545" s="86">
        <f>tbl_estimated_costs_quantities[[#This Row],[Site Preparation]]*BOQs!$L$3</f>
        <v>0</v>
      </c>
      <c r="L545" s="76"/>
      <c r="M545" s="37"/>
      <c r="N545" s="86">
        <f>tbl_estimated_costs_quantities[[#This Row],[Demolition Removal Unsafe Structures]]*BOQs!$L$4</f>
        <v>0</v>
      </c>
      <c r="O545" s="76"/>
      <c r="P545" s="37"/>
      <c r="Q545" s="86">
        <f>tbl_estimated_costs_quantities[[#This Row],[Concrete Works]]*BOQs!$L$5</f>
        <v>0</v>
      </c>
      <c r="R545" s="76"/>
      <c r="S545" s="37"/>
      <c r="T545" s="86">
        <f>tbl_estimated_costs_quantities[[#This Row],[Closure External Openings Walls Windows]]*BOQs!$L$6</f>
        <v>0</v>
      </c>
      <c r="U545" s="76"/>
      <c r="V545" s="37"/>
      <c r="W545" s="86">
        <f>tbl_estimated_costs_quantities[[#This Row],[Plastering Painting]]*BOQs!$L$7</f>
        <v>0</v>
      </c>
      <c r="X545" s="76"/>
      <c r="Y545" s="37"/>
      <c r="Z545" s="86">
        <f>tbl_estimated_costs_quantities[[#This Row],[Floor Repairs]]*BOQs!$L$8</f>
        <v>0</v>
      </c>
      <c r="AA545" s="76"/>
      <c r="AB545" s="37"/>
      <c r="AC545" s="86">
        <f>tbl_estimated_costs_quantities[[#This Row],[Doors Replacement Repair]]*BOQs!$L$9</f>
        <v>0</v>
      </c>
      <c r="AD545" s="76"/>
      <c r="AE545" s="37"/>
      <c r="AF545" s="86">
        <f>tbl_estimated_costs_quantities[[#This Row],[Windows Replacement Repair]]*BOQs!$L$10</f>
        <v>0</v>
      </c>
      <c r="AG545" s="76"/>
      <c r="AH545" s="37"/>
      <c r="AI545" s="86">
        <f>tbl_estimated_costs_quantities[[#This Row],[Bathroom Rehabilitation]]*BOQs!$L$11</f>
        <v>0</v>
      </c>
      <c r="AJ545" s="76"/>
      <c r="AK545" s="37"/>
      <c r="AL545" s="86">
        <f>tbl_estimated_costs_quantities[[#This Row],[Ceramic Tile Works WASH]]*BOQs!$L$12</f>
        <v>0</v>
      </c>
      <c r="AM545" s="76"/>
      <c r="AN545" s="37"/>
      <c r="AO545" s="86">
        <f>tbl_estimated_costs_quantities[[#This Row],[Electrical Repairs Lighting]]*BOQs!$L$13</f>
        <v>0</v>
      </c>
      <c r="AP545" s="76"/>
      <c r="AQ545" s="37"/>
      <c r="AR545" s="86">
        <f>tbl_estimated_costs_quantities[[#This Row],[Roof Insulation Leak Sealing]]*BOQs!$L$14</f>
        <v>0</v>
      </c>
      <c r="AS545" s="76"/>
      <c r="AT545" s="37"/>
      <c r="AU545" s="86">
        <f>tbl_estimated_costs_quantities[[#This Row],[Chimney Duct Cleaning Repair]]*BOQs!$L$15</f>
        <v>0</v>
      </c>
      <c r="AV545" s="76"/>
      <c r="AW545" s="37"/>
      <c r="AX545" s="89">
        <f>tbl_estimated_costs_quantities[[#This Row],[Accessibility Adaptations]]*BOQs!$L$16</f>
        <v>0</v>
      </c>
      <c r="AY545" s="86" t="str">
        <f>IF(tbl_estimated_costs_quantities[[#This Row],[Total cost]]&lt;&gt;0,tbl_estimated_costs_quantities[[#This Row],[Total cost]]/BOQs!$A$1,"")</f>
        <v/>
      </c>
      <c r="AZ545" s="37"/>
      <c r="BA545" s="37"/>
      <c r="BB545" s="37"/>
      <c r="BC545" s="37"/>
      <c r="BD545" s="41"/>
      <c r="BE545" s="37"/>
      <c r="BF545" s="37"/>
      <c r="BG545" s="37"/>
      <c r="BH545" s="41"/>
    </row>
    <row r="546" spans="2:60" ht="25.15" customHeight="1" x14ac:dyDescent="0.25">
      <c r="B546" s="49">
        <v>542</v>
      </c>
      <c r="C546" s="37"/>
      <c r="D546" s="41"/>
      <c r="E546" s="40"/>
      <c r="F546" s="87" t="str">
        <f>IF(tbl_estimated_costs_quantities[[#This Row],[House Code]]&lt;&gt;"",INDEX(tbl_Assessment[],MATCH(tbl_estimated_costs_quantities[[#This Row],[House Code]],tbl_Assessment[House Code],0),3),"")</f>
        <v/>
      </c>
      <c r="G546" s="115" t="str">
        <f>IF(tbl_estimated_costs_quantities[[#This Row],[House Code]]&lt;&gt;"",INDEX(tbl_Assessment[],MATCH(tbl_estimated_costs_quantities[[#This Row],[House Code]],tbl_Assessment[House Code],0),9),"")</f>
        <v/>
      </c>
      <c r="H54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6" s="75"/>
      <c r="J546" s="37"/>
      <c r="K546" s="86">
        <f>tbl_estimated_costs_quantities[[#This Row],[Site Preparation]]*BOQs!$L$3</f>
        <v>0</v>
      </c>
      <c r="L546" s="76"/>
      <c r="M546" s="37"/>
      <c r="N546" s="86">
        <f>tbl_estimated_costs_quantities[[#This Row],[Demolition Removal Unsafe Structures]]*BOQs!$L$4</f>
        <v>0</v>
      </c>
      <c r="O546" s="76"/>
      <c r="P546" s="37"/>
      <c r="Q546" s="86">
        <f>tbl_estimated_costs_quantities[[#This Row],[Concrete Works]]*BOQs!$L$5</f>
        <v>0</v>
      </c>
      <c r="R546" s="76"/>
      <c r="S546" s="37"/>
      <c r="T546" s="86">
        <f>tbl_estimated_costs_quantities[[#This Row],[Closure External Openings Walls Windows]]*BOQs!$L$6</f>
        <v>0</v>
      </c>
      <c r="U546" s="76"/>
      <c r="V546" s="37"/>
      <c r="W546" s="86">
        <f>tbl_estimated_costs_quantities[[#This Row],[Plastering Painting]]*BOQs!$L$7</f>
        <v>0</v>
      </c>
      <c r="X546" s="76"/>
      <c r="Y546" s="37"/>
      <c r="Z546" s="86">
        <f>tbl_estimated_costs_quantities[[#This Row],[Floor Repairs]]*BOQs!$L$8</f>
        <v>0</v>
      </c>
      <c r="AA546" s="76"/>
      <c r="AB546" s="37"/>
      <c r="AC546" s="86">
        <f>tbl_estimated_costs_quantities[[#This Row],[Doors Replacement Repair]]*BOQs!$L$9</f>
        <v>0</v>
      </c>
      <c r="AD546" s="76"/>
      <c r="AE546" s="37"/>
      <c r="AF546" s="86">
        <f>tbl_estimated_costs_quantities[[#This Row],[Windows Replacement Repair]]*BOQs!$L$10</f>
        <v>0</v>
      </c>
      <c r="AG546" s="76"/>
      <c r="AH546" s="37"/>
      <c r="AI546" s="86">
        <f>tbl_estimated_costs_quantities[[#This Row],[Bathroom Rehabilitation]]*BOQs!$L$11</f>
        <v>0</v>
      </c>
      <c r="AJ546" s="76"/>
      <c r="AK546" s="37"/>
      <c r="AL546" s="86">
        <f>tbl_estimated_costs_quantities[[#This Row],[Ceramic Tile Works WASH]]*BOQs!$L$12</f>
        <v>0</v>
      </c>
      <c r="AM546" s="76"/>
      <c r="AN546" s="37"/>
      <c r="AO546" s="86">
        <f>tbl_estimated_costs_quantities[[#This Row],[Electrical Repairs Lighting]]*BOQs!$L$13</f>
        <v>0</v>
      </c>
      <c r="AP546" s="76"/>
      <c r="AQ546" s="37"/>
      <c r="AR546" s="86">
        <f>tbl_estimated_costs_quantities[[#This Row],[Roof Insulation Leak Sealing]]*BOQs!$L$14</f>
        <v>0</v>
      </c>
      <c r="AS546" s="76"/>
      <c r="AT546" s="37"/>
      <c r="AU546" s="86">
        <f>tbl_estimated_costs_quantities[[#This Row],[Chimney Duct Cleaning Repair]]*BOQs!$L$15</f>
        <v>0</v>
      </c>
      <c r="AV546" s="76"/>
      <c r="AW546" s="37"/>
      <c r="AX546" s="89">
        <f>tbl_estimated_costs_quantities[[#This Row],[Accessibility Adaptations]]*BOQs!$L$16</f>
        <v>0</v>
      </c>
      <c r="AY546" s="86" t="str">
        <f>IF(tbl_estimated_costs_quantities[[#This Row],[Total cost]]&lt;&gt;0,tbl_estimated_costs_quantities[[#This Row],[Total cost]]/BOQs!$A$1,"")</f>
        <v/>
      </c>
      <c r="AZ546" s="37"/>
      <c r="BA546" s="37"/>
      <c r="BB546" s="37"/>
      <c r="BC546" s="37"/>
      <c r="BD546" s="41"/>
      <c r="BE546" s="37"/>
      <c r="BF546" s="37"/>
      <c r="BG546" s="37"/>
      <c r="BH546" s="41"/>
    </row>
    <row r="547" spans="2:60" ht="25.15" customHeight="1" x14ac:dyDescent="0.25">
      <c r="B547" s="49">
        <v>543</v>
      </c>
      <c r="C547" s="37"/>
      <c r="D547" s="41"/>
      <c r="E547" s="40"/>
      <c r="F547" s="87" t="str">
        <f>IF(tbl_estimated_costs_quantities[[#This Row],[House Code]]&lt;&gt;"",INDEX(tbl_Assessment[],MATCH(tbl_estimated_costs_quantities[[#This Row],[House Code]],tbl_Assessment[House Code],0),3),"")</f>
        <v/>
      </c>
      <c r="G547" s="115" t="str">
        <f>IF(tbl_estimated_costs_quantities[[#This Row],[House Code]]&lt;&gt;"",INDEX(tbl_Assessment[],MATCH(tbl_estimated_costs_quantities[[#This Row],[House Code]],tbl_Assessment[House Code],0),9),"")</f>
        <v/>
      </c>
      <c r="H54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7" s="75"/>
      <c r="J547" s="37"/>
      <c r="K547" s="86">
        <f>tbl_estimated_costs_quantities[[#This Row],[Site Preparation]]*BOQs!$L$3</f>
        <v>0</v>
      </c>
      <c r="L547" s="76"/>
      <c r="M547" s="37"/>
      <c r="N547" s="86">
        <f>tbl_estimated_costs_quantities[[#This Row],[Demolition Removal Unsafe Structures]]*BOQs!$L$4</f>
        <v>0</v>
      </c>
      <c r="O547" s="76"/>
      <c r="P547" s="37"/>
      <c r="Q547" s="86">
        <f>tbl_estimated_costs_quantities[[#This Row],[Concrete Works]]*BOQs!$L$5</f>
        <v>0</v>
      </c>
      <c r="R547" s="76"/>
      <c r="S547" s="37"/>
      <c r="T547" s="86">
        <f>tbl_estimated_costs_quantities[[#This Row],[Closure External Openings Walls Windows]]*BOQs!$L$6</f>
        <v>0</v>
      </c>
      <c r="U547" s="76"/>
      <c r="V547" s="37"/>
      <c r="W547" s="86">
        <f>tbl_estimated_costs_quantities[[#This Row],[Plastering Painting]]*BOQs!$L$7</f>
        <v>0</v>
      </c>
      <c r="X547" s="76"/>
      <c r="Y547" s="37"/>
      <c r="Z547" s="86">
        <f>tbl_estimated_costs_quantities[[#This Row],[Floor Repairs]]*BOQs!$L$8</f>
        <v>0</v>
      </c>
      <c r="AA547" s="76"/>
      <c r="AB547" s="37"/>
      <c r="AC547" s="86">
        <f>tbl_estimated_costs_quantities[[#This Row],[Doors Replacement Repair]]*BOQs!$L$9</f>
        <v>0</v>
      </c>
      <c r="AD547" s="76"/>
      <c r="AE547" s="37"/>
      <c r="AF547" s="86">
        <f>tbl_estimated_costs_quantities[[#This Row],[Windows Replacement Repair]]*BOQs!$L$10</f>
        <v>0</v>
      </c>
      <c r="AG547" s="76"/>
      <c r="AH547" s="37"/>
      <c r="AI547" s="86">
        <f>tbl_estimated_costs_quantities[[#This Row],[Bathroom Rehabilitation]]*BOQs!$L$11</f>
        <v>0</v>
      </c>
      <c r="AJ547" s="76"/>
      <c r="AK547" s="37"/>
      <c r="AL547" s="86">
        <f>tbl_estimated_costs_quantities[[#This Row],[Ceramic Tile Works WASH]]*BOQs!$L$12</f>
        <v>0</v>
      </c>
      <c r="AM547" s="76"/>
      <c r="AN547" s="37"/>
      <c r="AO547" s="86">
        <f>tbl_estimated_costs_quantities[[#This Row],[Electrical Repairs Lighting]]*BOQs!$L$13</f>
        <v>0</v>
      </c>
      <c r="AP547" s="76"/>
      <c r="AQ547" s="37"/>
      <c r="AR547" s="86">
        <f>tbl_estimated_costs_quantities[[#This Row],[Roof Insulation Leak Sealing]]*BOQs!$L$14</f>
        <v>0</v>
      </c>
      <c r="AS547" s="76"/>
      <c r="AT547" s="37"/>
      <c r="AU547" s="86">
        <f>tbl_estimated_costs_quantities[[#This Row],[Chimney Duct Cleaning Repair]]*BOQs!$L$15</f>
        <v>0</v>
      </c>
      <c r="AV547" s="76"/>
      <c r="AW547" s="37"/>
      <c r="AX547" s="89">
        <f>tbl_estimated_costs_quantities[[#This Row],[Accessibility Adaptations]]*BOQs!$L$16</f>
        <v>0</v>
      </c>
      <c r="AY547" s="86" t="str">
        <f>IF(tbl_estimated_costs_quantities[[#This Row],[Total cost]]&lt;&gt;0,tbl_estimated_costs_quantities[[#This Row],[Total cost]]/BOQs!$A$1,"")</f>
        <v/>
      </c>
      <c r="AZ547" s="37"/>
      <c r="BA547" s="37"/>
      <c r="BB547" s="37"/>
      <c r="BC547" s="37"/>
      <c r="BD547" s="41"/>
      <c r="BE547" s="37"/>
      <c r="BF547" s="37"/>
      <c r="BG547" s="37"/>
      <c r="BH547" s="41"/>
    </row>
    <row r="548" spans="2:60" ht="25.15" customHeight="1" x14ac:dyDescent="0.25">
      <c r="B548" s="49">
        <v>544</v>
      </c>
      <c r="C548" s="37"/>
      <c r="D548" s="41"/>
      <c r="E548" s="40"/>
      <c r="F548" s="87" t="str">
        <f>IF(tbl_estimated_costs_quantities[[#This Row],[House Code]]&lt;&gt;"",INDEX(tbl_Assessment[],MATCH(tbl_estimated_costs_quantities[[#This Row],[House Code]],tbl_Assessment[House Code],0),3),"")</f>
        <v/>
      </c>
      <c r="G548" s="115" t="str">
        <f>IF(tbl_estimated_costs_quantities[[#This Row],[House Code]]&lt;&gt;"",INDEX(tbl_Assessment[],MATCH(tbl_estimated_costs_quantities[[#This Row],[House Code]],tbl_Assessment[House Code],0),9),"")</f>
        <v/>
      </c>
      <c r="H54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8" s="75"/>
      <c r="J548" s="37"/>
      <c r="K548" s="86">
        <f>tbl_estimated_costs_quantities[[#This Row],[Site Preparation]]*BOQs!$L$3</f>
        <v>0</v>
      </c>
      <c r="L548" s="76"/>
      <c r="M548" s="37"/>
      <c r="N548" s="86">
        <f>tbl_estimated_costs_quantities[[#This Row],[Demolition Removal Unsafe Structures]]*BOQs!$L$4</f>
        <v>0</v>
      </c>
      <c r="O548" s="76"/>
      <c r="P548" s="37"/>
      <c r="Q548" s="86">
        <f>tbl_estimated_costs_quantities[[#This Row],[Concrete Works]]*BOQs!$L$5</f>
        <v>0</v>
      </c>
      <c r="R548" s="76"/>
      <c r="S548" s="37"/>
      <c r="T548" s="86">
        <f>tbl_estimated_costs_quantities[[#This Row],[Closure External Openings Walls Windows]]*BOQs!$L$6</f>
        <v>0</v>
      </c>
      <c r="U548" s="76"/>
      <c r="V548" s="37"/>
      <c r="W548" s="86">
        <f>tbl_estimated_costs_quantities[[#This Row],[Plastering Painting]]*BOQs!$L$7</f>
        <v>0</v>
      </c>
      <c r="X548" s="76"/>
      <c r="Y548" s="37"/>
      <c r="Z548" s="86">
        <f>tbl_estimated_costs_quantities[[#This Row],[Floor Repairs]]*BOQs!$L$8</f>
        <v>0</v>
      </c>
      <c r="AA548" s="76"/>
      <c r="AB548" s="37"/>
      <c r="AC548" s="86">
        <f>tbl_estimated_costs_quantities[[#This Row],[Doors Replacement Repair]]*BOQs!$L$9</f>
        <v>0</v>
      </c>
      <c r="AD548" s="76"/>
      <c r="AE548" s="37"/>
      <c r="AF548" s="86">
        <f>tbl_estimated_costs_quantities[[#This Row],[Windows Replacement Repair]]*BOQs!$L$10</f>
        <v>0</v>
      </c>
      <c r="AG548" s="76"/>
      <c r="AH548" s="37"/>
      <c r="AI548" s="86">
        <f>tbl_estimated_costs_quantities[[#This Row],[Bathroom Rehabilitation]]*BOQs!$L$11</f>
        <v>0</v>
      </c>
      <c r="AJ548" s="76"/>
      <c r="AK548" s="37"/>
      <c r="AL548" s="86">
        <f>tbl_estimated_costs_quantities[[#This Row],[Ceramic Tile Works WASH]]*BOQs!$L$12</f>
        <v>0</v>
      </c>
      <c r="AM548" s="76"/>
      <c r="AN548" s="37"/>
      <c r="AO548" s="86">
        <f>tbl_estimated_costs_quantities[[#This Row],[Electrical Repairs Lighting]]*BOQs!$L$13</f>
        <v>0</v>
      </c>
      <c r="AP548" s="76"/>
      <c r="AQ548" s="37"/>
      <c r="AR548" s="86">
        <f>tbl_estimated_costs_quantities[[#This Row],[Roof Insulation Leak Sealing]]*BOQs!$L$14</f>
        <v>0</v>
      </c>
      <c r="AS548" s="76"/>
      <c r="AT548" s="37"/>
      <c r="AU548" s="86">
        <f>tbl_estimated_costs_quantities[[#This Row],[Chimney Duct Cleaning Repair]]*BOQs!$L$15</f>
        <v>0</v>
      </c>
      <c r="AV548" s="76"/>
      <c r="AW548" s="37"/>
      <c r="AX548" s="89">
        <f>tbl_estimated_costs_quantities[[#This Row],[Accessibility Adaptations]]*BOQs!$L$16</f>
        <v>0</v>
      </c>
      <c r="AY548" s="86" t="str">
        <f>IF(tbl_estimated_costs_quantities[[#This Row],[Total cost]]&lt;&gt;0,tbl_estimated_costs_quantities[[#This Row],[Total cost]]/BOQs!$A$1,"")</f>
        <v/>
      </c>
      <c r="AZ548" s="37"/>
      <c r="BA548" s="37"/>
      <c r="BB548" s="37"/>
      <c r="BC548" s="37"/>
      <c r="BD548" s="41"/>
      <c r="BE548" s="37"/>
      <c r="BF548" s="37"/>
      <c r="BG548" s="37"/>
      <c r="BH548" s="41"/>
    </row>
    <row r="549" spans="2:60" ht="25.15" customHeight="1" x14ac:dyDescent="0.25">
      <c r="B549" s="49">
        <v>545</v>
      </c>
      <c r="C549" s="37"/>
      <c r="D549" s="41"/>
      <c r="E549" s="40"/>
      <c r="F549" s="87" t="str">
        <f>IF(tbl_estimated_costs_quantities[[#This Row],[House Code]]&lt;&gt;"",INDEX(tbl_Assessment[],MATCH(tbl_estimated_costs_quantities[[#This Row],[House Code]],tbl_Assessment[House Code],0),3),"")</f>
        <v/>
      </c>
      <c r="G549" s="115" t="str">
        <f>IF(tbl_estimated_costs_quantities[[#This Row],[House Code]]&lt;&gt;"",INDEX(tbl_Assessment[],MATCH(tbl_estimated_costs_quantities[[#This Row],[House Code]],tbl_Assessment[House Code],0),9),"")</f>
        <v/>
      </c>
      <c r="H54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49" s="75"/>
      <c r="J549" s="37"/>
      <c r="K549" s="86">
        <f>tbl_estimated_costs_quantities[[#This Row],[Site Preparation]]*BOQs!$L$3</f>
        <v>0</v>
      </c>
      <c r="L549" s="76"/>
      <c r="M549" s="37"/>
      <c r="N549" s="86">
        <f>tbl_estimated_costs_quantities[[#This Row],[Demolition Removal Unsafe Structures]]*BOQs!$L$4</f>
        <v>0</v>
      </c>
      <c r="O549" s="76"/>
      <c r="P549" s="37"/>
      <c r="Q549" s="86">
        <f>tbl_estimated_costs_quantities[[#This Row],[Concrete Works]]*BOQs!$L$5</f>
        <v>0</v>
      </c>
      <c r="R549" s="76"/>
      <c r="S549" s="37"/>
      <c r="T549" s="86">
        <f>tbl_estimated_costs_quantities[[#This Row],[Closure External Openings Walls Windows]]*BOQs!$L$6</f>
        <v>0</v>
      </c>
      <c r="U549" s="76"/>
      <c r="V549" s="37"/>
      <c r="W549" s="86">
        <f>tbl_estimated_costs_quantities[[#This Row],[Plastering Painting]]*BOQs!$L$7</f>
        <v>0</v>
      </c>
      <c r="X549" s="76"/>
      <c r="Y549" s="37"/>
      <c r="Z549" s="86">
        <f>tbl_estimated_costs_quantities[[#This Row],[Floor Repairs]]*BOQs!$L$8</f>
        <v>0</v>
      </c>
      <c r="AA549" s="76"/>
      <c r="AB549" s="37"/>
      <c r="AC549" s="86">
        <f>tbl_estimated_costs_quantities[[#This Row],[Doors Replacement Repair]]*BOQs!$L$9</f>
        <v>0</v>
      </c>
      <c r="AD549" s="76"/>
      <c r="AE549" s="37"/>
      <c r="AF549" s="86">
        <f>tbl_estimated_costs_quantities[[#This Row],[Windows Replacement Repair]]*BOQs!$L$10</f>
        <v>0</v>
      </c>
      <c r="AG549" s="76"/>
      <c r="AH549" s="37"/>
      <c r="AI549" s="86">
        <f>tbl_estimated_costs_quantities[[#This Row],[Bathroom Rehabilitation]]*BOQs!$L$11</f>
        <v>0</v>
      </c>
      <c r="AJ549" s="76"/>
      <c r="AK549" s="37"/>
      <c r="AL549" s="86">
        <f>tbl_estimated_costs_quantities[[#This Row],[Ceramic Tile Works WASH]]*BOQs!$L$12</f>
        <v>0</v>
      </c>
      <c r="AM549" s="76"/>
      <c r="AN549" s="37"/>
      <c r="AO549" s="86">
        <f>tbl_estimated_costs_quantities[[#This Row],[Electrical Repairs Lighting]]*BOQs!$L$13</f>
        <v>0</v>
      </c>
      <c r="AP549" s="76"/>
      <c r="AQ549" s="37"/>
      <c r="AR549" s="86">
        <f>tbl_estimated_costs_quantities[[#This Row],[Roof Insulation Leak Sealing]]*BOQs!$L$14</f>
        <v>0</v>
      </c>
      <c r="AS549" s="76"/>
      <c r="AT549" s="37"/>
      <c r="AU549" s="86">
        <f>tbl_estimated_costs_quantities[[#This Row],[Chimney Duct Cleaning Repair]]*BOQs!$L$15</f>
        <v>0</v>
      </c>
      <c r="AV549" s="76"/>
      <c r="AW549" s="37"/>
      <c r="AX549" s="89">
        <f>tbl_estimated_costs_quantities[[#This Row],[Accessibility Adaptations]]*BOQs!$L$16</f>
        <v>0</v>
      </c>
      <c r="AY549" s="86" t="str">
        <f>IF(tbl_estimated_costs_quantities[[#This Row],[Total cost]]&lt;&gt;0,tbl_estimated_costs_quantities[[#This Row],[Total cost]]/BOQs!$A$1,"")</f>
        <v/>
      </c>
      <c r="AZ549" s="37"/>
      <c r="BA549" s="37"/>
      <c r="BB549" s="37"/>
      <c r="BC549" s="37"/>
      <c r="BD549" s="41"/>
      <c r="BE549" s="37"/>
      <c r="BF549" s="37"/>
      <c r="BG549" s="37"/>
      <c r="BH549" s="41"/>
    </row>
    <row r="550" spans="2:60" ht="25.15" customHeight="1" x14ac:dyDescent="0.25">
      <c r="B550" s="49">
        <v>546</v>
      </c>
      <c r="C550" s="37"/>
      <c r="D550" s="41"/>
      <c r="E550" s="40"/>
      <c r="F550" s="87" t="str">
        <f>IF(tbl_estimated_costs_quantities[[#This Row],[House Code]]&lt;&gt;"",INDEX(tbl_Assessment[],MATCH(tbl_estimated_costs_quantities[[#This Row],[House Code]],tbl_Assessment[House Code],0),3),"")</f>
        <v/>
      </c>
      <c r="G550" s="115" t="str">
        <f>IF(tbl_estimated_costs_quantities[[#This Row],[House Code]]&lt;&gt;"",INDEX(tbl_Assessment[],MATCH(tbl_estimated_costs_quantities[[#This Row],[House Code]],tbl_Assessment[House Code],0),9),"")</f>
        <v/>
      </c>
      <c r="H55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0" s="75"/>
      <c r="J550" s="37"/>
      <c r="K550" s="86">
        <f>tbl_estimated_costs_quantities[[#This Row],[Site Preparation]]*BOQs!$L$3</f>
        <v>0</v>
      </c>
      <c r="L550" s="76"/>
      <c r="M550" s="37"/>
      <c r="N550" s="86">
        <f>tbl_estimated_costs_quantities[[#This Row],[Demolition Removal Unsafe Structures]]*BOQs!$L$4</f>
        <v>0</v>
      </c>
      <c r="O550" s="76"/>
      <c r="P550" s="37"/>
      <c r="Q550" s="86">
        <f>tbl_estimated_costs_quantities[[#This Row],[Concrete Works]]*BOQs!$L$5</f>
        <v>0</v>
      </c>
      <c r="R550" s="76"/>
      <c r="S550" s="37"/>
      <c r="T550" s="86">
        <f>tbl_estimated_costs_quantities[[#This Row],[Closure External Openings Walls Windows]]*BOQs!$L$6</f>
        <v>0</v>
      </c>
      <c r="U550" s="76"/>
      <c r="V550" s="37"/>
      <c r="W550" s="86">
        <f>tbl_estimated_costs_quantities[[#This Row],[Plastering Painting]]*BOQs!$L$7</f>
        <v>0</v>
      </c>
      <c r="X550" s="76"/>
      <c r="Y550" s="37"/>
      <c r="Z550" s="86">
        <f>tbl_estimated_costs_quantities[[#This Row],[Floor Repairs]]*BOQs!$L$8</f>
        <v>0</v>
      </c>
      <c r="AA550" s="76"/>
      <c r="AB550" s="37"/>
      <c r="AC550" s="86">
        <f>tbl_estimated_costs_quantities[[#This Row],[Doors Replacement Repair]]*BOQs!$L$9</f>
        <v>0</v>
      </c>
      <c r="AD550" s="76"/>
      <c r="AE550" s="37"/>
      <c r="AF550" s="86">
        <f>tbl_estimated_costs_quantities[[#This Row],[Windows Replacement Repair]]*BOQs!$L$10</f>
        <v>0</v>
      </c>
      <c r="AG550" s="76"/>
      <c r="AH550" s="37"/>
      <c r="AI550" s="86">
        <f>tbl_estimated_costs_quantities[[#This Row],[Bathroom Rehabilitation]]*BOQs!$L$11</f>
        <v>0</v>
      </c>
      <c r="AJ550" s="76"/>
      <c r="AK550" s="37"/>
      <c r="AL550" s="86">
        <f>tbl_estimated_costs_quantities[[#This Row],[Ceramic Tile Works WASH]]*BOQs!$L$12</f>
        <v>0</v>
      </c>
      <c r="AM550" s="76"/>
      <c r="AN550" s="37"/>
      <c r="AO550" s="86">
        <f>tbl_estimated_costs_quantities[[#This Row],[Electrical Repairs Lighting]]*BOQs!$L$13</f>
        <v>0</v>
      </c>
      <c r="AP550" s="76"/>
      <c r="AQ550" s="37"/>
      <c r="AR550" s="86">
        <f>tbl_estimated_costs_quantities[[#This Row],[Roof Insulation Leak Sealing]]*BOQs!$L$14</f>
        <v>0</v>
      </c>
      <c r="AS550" s="76"/>
      <c r="AT550" s="37"/>
      <c r="AU550" s="86">
        <f>tbl_estimated_costs_quantities[[#This Row],[Chimney Duct Cleaning Repair]]*BOQs!$L$15</f>
        <v>0</v>
      </c>
      <c r="AV550" s="76"/>
      <c r="AW550" s="37"/>
      <c r="AX550" s="89">
        <f>tbl_estimated_costs_quantities[[#This Row],[Accessibility Adaptations]]*BOQs!$L$16</f>
        <v>0</v>
      </c>
      <c r="AY550" s="86" t="str">
        <f>IF(tbl_estimated_costs_quantities[[#This Row],[Total cost]]&lt;&gt;0,tbl_estimated_costs_quantities[[#This Row],[Total cost]]/BOQs!$A$1,"")</f>
        <v/>
      </c>
      <c r="AZ550" s="37"/>
      <c r="BA550" s="37"/>
      <c r="BB550" s="37"/>
      <c r="BC550" s="37"/>
      <c r="BD550" s="41"/>
      <c r="BE550" s="37"/>
      <c r="BF550" s="37"/>
      <c r="BG550" s="37"/>
      <c r="BH550" s="41"/>
    </row>
    <row r="551" spans="2:60" ht="25.15" customHeight="1" x14ac:dyDescent="0.25">
      <c r="B551" s="49">
        <v>547</v>
      </c>
      <c r="C551" s="37"/>
      <c r="D551" s="41"/>
      <c r="E551" s="40"/>
      <c r="F551" s="87" t="str">
        <f>IF(tbl_estimated_costs_quantities[[#This Row],[House Code]]&lt;&gt;"",INDEX(tbl_Assessment[],MATCH(tbl_estimated_costs_quantities[[#This Row],[House Code]],tbl_Assessment[House Code],0),3),"")</f>
        <v/>
      </c>
      <c r="G551" s="115" t="str">
        <f>IF(tbl_estimated_costs_quantities[[#This Row],[House Code]]&lt;&gt;"",INDEX(tbl_Assessment[],MATCH(tbl_estimated_costs_quantities[[#This Row],[House Code]],tbl_Assessment[House Code],0),9),"")</f>
        <v/>
      </c>
      <c r="H55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1" s="75"/>
      <c r="J551" s="37"/>
      <c r="K551" s="86">
        <f>tbl_estimated_costs_quantities[[#This Row],[Site Preparation]]*BOQs!$L$3</f>
        <v>0</v>
      </c>
      <c r="L551" s="76"/>
      <c r="M551" s="37"/>
      <c r="N551" s="86">
        <f>tbl_estimated_costs_quantities[[#This Row],[Demolition Removal Unsafe Structures]]*BOQs!$L$4</f>
        <v>0</v>
      </c>
      <c r="O551" s="76"/>
      <c r="P551" s="37"/>
      <c r="Q551" s="86">
        <f>tbl_estimated_costs_quantities[[#This Row],[Concrete Works]]*BOQs!$L$5</f>
        <v>0</v>
      </c>
      <c r="R551" s="76"/>
      <c r="S551" s="37"/>
      <c r="T551" s="86">
        <f>tbl_estimated_costs_quantities[[#This Row],[Closure External Openings Walls Windows]]*BOQs!$L$6</f>
        <v>0</v>
      </c>
      <c r="U551" s="76"/>
      <c r="V551" s="37"/>
      <c r="W551" s="86">
        <f>tbl_estimated_costs_quantities[[#This Row],[Plastering Painting]]*BOQs!$L$7</f>
        <v>0</v>
      </c>
      <c r="X551" s="76"/>
      <c r="Y551" s="37"/>
      <c r="Z551" s="86">
        <f>tbl_estimated_costs_quantities[[#This Row],[Floor Repairs]]*BOQs!$L$8</f>
        <v>0</v>
      </c>
      <c r="AA551" s="76"/>
      <c r="AB551" s="37"/>
      <c r="AC551" s="86">
        <f>tbl_estimated_costs_quantities[[#This Row],[Doors Replacement Repair]]*BOQs!$L$9</f>
        <v>0</v>
      </c>
      <c r="AD551" s="76"/>
      <c r="AE551" s="37"/>
      <c r="AF551" s="86">
        <f>tbl_estimated_costs_quantities[[#This Row],[Windows Replacement Repair]]*BOQs!$L$10</f>
        <v>0</v>
      </c>
      <c r="AG551" s="76"/>
      <c r="AH551" s="37"/>
      <c r="AI551" s="86">
        <f>tbl_estimated_costs_quantities[[#This Row],[Bathroom Rehabilitation]]*BOQs!$L$11</f>
        <v>0</v>
      </c>
      <c r="AJ551" s="76"/>
      <c r="AK551" s="37"/>
      <c r="AL551" s="86">
        <f>tbl_estimated_costs_quantities[[#This Row],[Ceramic Tile Works WASH]]*BOQs!$L$12</f>
        <v>0</v>
      </c>
      <c r="AM551" s="76"/>
      <c r="AN551" s="37"/>
      <c r="AO551" s="86">
        <f>tbl_estimated_costs_quantities[[#This Row],[Electrical Repairs Lighting]]*BOQs!$L$13</f>
        <v>0</v>
      </c>
      <c r="AP551" s="76"/>
      <c r="AQ551" s="37"/>
      <c r="AR551" s="86">
        <f>tbl_estimated_costs_quantities[[#This Row],[Roof Insulation Leak Sealing]]*BOQs!$L$14</f>
        <v>0</v>
      </c>
      <c r="AS551" s="76"/>
      <c r="AT551" s="37"/>
      <c r="AU551" s="86">
        <f>tbl_estimated_costs_quantities[[#This Row],[Chimney Duct Cleaning Repair]]*BOQs!$L$15</f>
        <v>0</v>
      </c>
      <c r="AV551" s="76"/>
      <c r="AW551" s="37"/>
      <c r="AX551" s="89">
        <f>tbl_estimated_costs_quantities[[#This Row],[Accessibility Adaptations]]*BOQs!$L$16</f>
        <v>0</v>
      </c>
      <c r="AY551" s="86" t="str">
        <f>IF(tbl_estimated_costs_quantities[[#This Row],[Total cost]]&lt;&gt;0,tbl_estimated_costs_quantities[[#This Row],[Total cost]]/BOQs!$A$1,"")</f>
        <v/>
      </c>
      <c r="AZ551" s="37"/>
      <c r="BA551" s="37"/>
      <c r="BB551" s="37"/>
      <c r="BC551" s="37"/>
      <c r="BD551" s="41"/>
      <c r="BE551" s="37"/>
      <c r="BF551" s="37"/>
      <c r="BG551" s="37"/>
      <c r="BH551" s="41"/>
    </row>
    <row r="552" spans="2:60" ht="25.15" customHeight="1" x14ac:dyDescent="0.25">
      <c r="B552" s="49">
        <v>548</v>
      </c>
      <c r="C552" s="37"/>
      <c r="D552" s="41"/>
      <c r="E552" s="40"/>
      <c r="F552" s="87" t="str">
        <f>IF(tbl_estimated_costs_quantities[[#This Row],[House Code]]&lt;&gt;"",INDEX(tbl_Assessment[],MATCH(tbl_estimated_costs_quantities[[#This Row],[House Code]],tbl_Assessment[House Code],0),3),"")</f>
        <v/>
      </c>
      <c r="G552" s="115" t="str">
        <f>IF(tbl_estimated_costs_quantities[[#This Row],[House Code]]&lt;&gt;"",INDEX(tbl_Assessment[],MATCH(tbl_estimated_costs_quantities[[#This Row],[House Code]],tbl_Assessment[House Code],0),9),"")</f>
        <v/>
      </c>
      <c r="H55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2" s="75"/>
      <c r="J552" s="37"/>
      <c r="K552" s="86">
        <f>tbl_estimated_costs_quantities[[#This Row],[Site Preparation]]*BOQs!$L$3</f>
        <v>0</v>
      </c>
      <c r="L552" s="76"/>
      <c r="M552" s="37"/>
      <c r="N552" s="86">
        <f>tbl_estimated_costs_quantities[[#This Row],[Demolition Removal Unsafe Structures]]*BOQs!$L$4</f>
        <v>0</v>
      </c>
      <c r="O552" s="76"/>
      <c r="P552" s="37"/>
      <c r="Q552" s="86">
        <f>tbl_estimated_costs_quantities[[#This Row],[Concrete Works]]*BOQs!$L$5</f>
        <v>0</v>
      </c>
      <c r="R552" s="76"/>
      <c r="S552" s="37"/>
      <c r="T552" s="86">
        <f>tbl_estimated_costs_quantities[[#This Row],[Closure External Openings Walls Windows]]*BOQs!$L$6</f>
        <v>0</v>
      </c>
      <c r="U552" s="76"/>
      <c r="V552" s="37"/>
      <c r="W552" s="86">
        <f>tbl_estimated_costs_quantities[[#This Row],[Plastering Painting]]*BOQs!$L$7</f>
        <v>0</v>
      </c>
      <c r="X552" s="76"/>
      <c r="Y552" s="37"/>
      <c r="Z552" s="86">
        <f>tbl_estimated_costs_quantities[[#This Row],[Floor Repairs]]*BOQs!$L$8</f>
        <v>0</v>
      </c>
      <c r="AA552" s="76"/>
      <c r="AB552" s="37"/>
      <c r="AC552" s="86">
        <f>tbl_estimated_costs_quantities[[#This Row],[Doors Replacement Repair]]*BOQs!$L$9</f>
        <v>0</v>
      </c>
      <c r="AD552" s="76"/>
      <c r="AE552" s="37"/>
      <c r="AF552" s="86">
        <f>tbl_estimated_costs_quantities[[#This Row],[Windows Replacement Repair]]*BOQs!$L$10</f>
        <v>0</v>
      </c>
      <c r="AG552" s="76"/>
      <c r="AH552" s="37"/>
      <c r="AI552" s="86">
        <f>tbl_estimated_costs_quantities[[#This Row],[Bathroom Rehabilitation]]*BOQs!$L$11</f>
        <v>0</v>
      </c>
      <c r="AJ552" s="76"/>
      <c r="AK552" s="37"/>
      <c r="AL552" s="86">
        <f>tbl_estimated_costs_quantities[[#This Row],[Ceramic Tile Works WASH]]*BOQs!$L$12</f>
        <v>0</v>
      </c>
      <c r="AM552" s="76"/>
      <c r="AN552" s="37"/>
      <c r="AO552" s="86">
        <f>tbl_estimated_costs_quantities[[#This Row],[Electrical Repairs Lighting]]*BOQs!$L$13</f>
        <v>0</v>
      </c>
      <c r="AP552" s="76"/>
      <c r="AQ552" s="37"/>
      <c r="AR552" s="86">
        <f>tbl_estimated_costs_quantities[[#This Row],[Roof Insulation Leak Sealing]]*BOQs!$L$14</f>
        <v>0</v>
      </c>
      <c r="AS552" s="76"/>
      <c r="AT552" s="37"/>
      <c r="AU552" s="86">
        <f>tbl_estimated_costs_quantities[[#This Row],[Chimney Duct Cleaning Repair]]*BOQs!$L$15</f>
        <v>0</v>
      </c>
      <c r="AV552" s="76"/>
      <c r="AW552" s="37"/>
      <c r="AX552" s="89">
        <f>tbl_estimated_costs_quantities[[#This Row],[Accessibility Adaptations]]*BOQs!$L$16</f>
        <v>0</v>
      </c>
      <c r="AY552" s="86" t="str">
        <f>IF(tbl_estimated_costs_quantities[[#This Row],[Total cost]]&lt;&gt;0,tbl_estimated_costs_quantities[[#This Row],[Total cost]]/BOQs!$A$1,"")</f>
        <v/>
      </c>
      <c r="AZ552" s="37"/>
      <c r="BA552" s="37"/>
      <c r="BB552" s="37"/>
      <c r="BC552" s="37"/>
      <c r="BD552" s="41"/>
      <c r="BE552" s="37"/>
      <c r="BF552" s="37"/>
      <c r="BG552" s="37"/>
      <c r="BH552" s="41"/>
    </row>
    <row r="553" spans="2:60" ht="25.15" customHeight="1" x14ac:dyDescent="0.25">
      <c r="B553" s="49">
        <v>549</v>
      </c>
      <c r="C553" s="37"/>
      <c r="D553" s="41"/>
      <c r="E553" s="40"/>
      <c r="F553" s="87" t="str">
        <f>IF(tbl_estimated_costs_quantities[[#This Row],[House Code]]&lt;&gt;"",INDEX(tbl_Assessment[],MATCH(tbl_estimated_costs_quantities[[#This Row],[House Code]],tbl_Assessment[House Code],0),3),"")</f>
        <v/>
      </c>
      <c r="G553" s="115" t="str">
        <f>IF(tbl_estimated_costs_quantities[[#This Row],[House Code]]&lt;&gt;"",INDEX(tbl_Assessment[],MATCH(tbl_estimated_costs_quantities[[#This Row],[House Code]],tbl_Assessment[House Code],0),9),"")</f>
        <v/>
      </c>
      <c r="H55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3" s="75"/>
      <c r="J553" s="37"/>
      <c r="K553" s="86">
        <f>tbl_estimated_costs_quantities[[#This Row],[Site Preparation]]*BOQs!$L$3</f>
        <v>0</v>
      </c>
      <c r="L553" s="76"/>
      <c r="M553" s="37"/>
      <c r="N553" s="86">
        <f>tbl_estimated_costs_quantities[[#This Row],[Demolition Removal Unsafe Structures]]*BOQs!$L$4</f>
        <v>0</v>
      </c>
      <c r="O553" s="76"/>
      <c r="P553" s="37"/>
      <c r="Q553" s="86">
        <f>tbl_estimated_costs_quantities[[#This Row],[Concrete Works]]*BOQs!$L$5</f>
        <v>0</v>
      </c>
      <c r="R553" s="76"/>
      <c r="S553" s="37"/>
      <c r="T553" s="86">
        <f>tbl_estimated_costs_quantities[[#This Row],[Closure External Openings Walls Windows]]*BOQs!$L$6</f>
        <v>0</v>
      </c>
      <c r="U553" s="76"/>
      <c r="V553" s="37"/>
      <c r="W553" s="86">
        <f>tbl_estimated_costs_quantities[[#This Row],[Plastering Painting]]*BOQs!$L$7</f>
        <v>0</v>
      </c>
      <c r="X553" s="76"/>
      <c r="Y553" s="37"/>
      <c r="Z553" s="86">
        <f>tbl_estimated_costs_quantities[[#This Row],[Floor Repairs]]*BOQs!$L$8</f>
        <v>0</v>
      </c>
      <c r="AA553" s="76"/>
      <c r="AB553" s="37"/>
      <c r="AC553" s="86">
        <f>tbl_estimated_costs_quantities[[#This Row],[Doors Replacement Repair]]*BOQs!$L$9</f>
        <v>0</v>
      </c>
      <c r="AD553" s="76"/>
      <c r="AE553" s="37"/>
      <c r="AF553" s="86">
        <f>tbl_estimated_costs_quantities[[#This Row],[Windows Replacement Repair]]*BOQs!$L$10</f>
        <v>0</v>
      </c>
      <c r="AG553" s="76"/>
      <c r="AH553" s="37"/>
      <c r="AI553" s="86">
        <f>tbl_estimated_costs_quantities[[#This Row],[Bathroom Rehabilitation]]*BOQs!$L$11</f>
        <v>0</v>
      </c>
      <c r="AJ553" s="76"/>
      <c r="AK553" s="37"/>
      <c r="AL553" s="86">
        <f>tbl_estimated_costs_quantities[[#This Row],[Ceramic Tile Works WASH]]*BOQs!$L$12</f>
        <v>0</v>
      </c>
      <c r="AM553" s="76"/>
      <c r="AN553" s="37"/>
      <c r="AO553" s="86">
        <f>tbl_estimated_costs_quantities[[#This Row],[Electrical Repairs Lighting]]*BOQs!$L$13</f>
        <v>0</v>
      </c>
      <c r="AP553" s="76"/>
      <c r="AQ553" s="37"/>
      <c r="AR553" s="86">
        <f>tbl_estimated_costs_quantities[[#This Row],[Roof Insulation Leak Sealing]]*BOQs!$L$14</f>
        <v>0</v>
      </c>
      <c r="AS553" s="76"/>
      <c r="AT553" s="37"/>
      <c r="AU553" s="86">
        <f>tbl_estimated_costs_quantities[[#This Row],[Chimney Duct Cleaning Repair]]*BOQs!$L$15</f>
        <v>0</v>
      </c>
      <c r="AV553" s="76"/>
      <c r="AW553" s="37"/>
      <c r="AX553" s="89">
        <f>tbl_estimated_costs_quantities[[#This Row],[Accessibility Adaptations]]*BOQs!$L$16</f>
        <v>0</v>
      </c>
      <c r="AY553" s="86" t="str">
        <f>IF(tbl_estimated_costs_quantities[[#This Row],[Total cost]]&lt;&gt;0,tbl_estimated_costs_quantities[[#This Row],[Total cost]]/BOQs!$A$1,"")</f>
        <v/>
      </c>
      <c r="AZ553" s="37"/>
      <c r="BA553" s="37"/>
      <c r="BB553" s="37"/>
      <c r="BC553" s="37"/>
      <c r="BD553" s="41"/>
      <c r="BE553" s="37"/>
      <c r="BF553" s="37"/>
      <c r="BG553" s="37"/>
      <c r="BH553" s="41"/>
    </row>
    <row r="554" spans="2:60" ht="25.15" customHeight="1" x14ac:dyDescent="0.25">
      <c r="B554" s="49">
        <v>550</v>
      </c>
      <c r="C554" s="37"/>
      <c r="D554" s="41"/>
      <c r="E554" s="40"/>
      <c r="F554" s="87" t="str">
        <f>IF(tbl_estimated_costs_quantities[[#This Row],[House Code]]&lt;&gt;"",INDEX(tbl_Assessment[],MATCH(tbl_estimated_costs_quantities[[#This Row],[House Code]],tbl_Assessment[House Code],0),3),"")</f>
        <v/>
      </c>
      <c r="G554" s="115" t="str">
        <f>IF(tbl_estimated_costs_quantities[[#This Row],[House Code]]&lt;&gt;"",INDEX(tbl_Assessment[],MATCH(tbl_estimated_costs_quantities[[#This Row],[House Code]],tbl_Assessment[House Code],0),9),"")</f>
        <v/>
      </c>
      <c r="H55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4" s="75"/>
      <c r="J554" s="37"/>
      <c r="K554" s="86">
        <f>tbl_estimated_costs_quantities[[#This Row],[Site Preparation]]*BOQs!$L$3</f>
        <v>0</v>
      </c>
      <c r="L554" s="76"/>
      <c r="M554" s="37"/>
      <c r="N554" s="86">
        <f>tbl_estimated_costs_quantities[[#This Row],[Demolition Removal Unsafe Structures]]*BOQs!$L$4</f>
        <v>0</v>
      </c>
      <c r="O554" s="76"/>
      <c r="P554" s="37"/>
      <c r="Q554" s="86">
        <f>tbl_estimated_costs_quantities[[#This Row],[Concrete Works]]*BOQs!$L$5</f>
        <v>0</v>
      </c>
      <c r="R554" s="76"/>
      <c r="S554" s="37"/>
      <c r="T554" s="86">
        <f>tbl_estimated_costs_quantities[[#This Row],[Closure External Openings Walls Windows]]*BOQs!$L$6</f>
        <v>0</v>
      </c>
      <c r="U554" s="76"/>
      <c r="V554" s="37"/>
      <c r="W554" s="86">
        <f>tbl_estimated_costs_quantities[[#This Row],[Plastering Painting]]*BOQs!$L$7</f>
        <v>0</v>
      </c>
      <c r="X554" s="76"/>
      <c r="Y554" s="37"/>
      <c r="Z554" s="86">
        <f>tbl_estimated_costs_quantities[[#This Row],[Floor Repairs]]*BOQs!$L$8</f>
        <v>0</v>
      </c>
      <c r="AA554" s="76"/>
      <c r="AB554" s="37"/>
      <c r="AC554" s="86">
        <f>tbl_estimated_costs_quantities[[#This Row],[Doors Replacement Repair]]*BOQs!$L$9</f>
        <v>0</v>
      </c>
      <c r="AD554" s="76"/>
      <c r="AE554" s="37"/>
      <c r="AF554" s="86">
        <f>tbl_estimated_costs_quantities[[#This Row],[Windows Replacement Repair]]*BOQs!$L$10</f>
        <v>0</v>
      </c>
      <c r="AG554" s="76"/>
      <c r="AH554" s="37"/>
      <c r="AI554" s="86">
        <f>tbl_estimated_costs_quantities[[#This Row],[Bathroom Rehabilitation]]*BOQs!$L$11</f>
        <v>0</v>
      </c>
      <c r="AJ554" s="76"/>
      <c r="AK554" s="37"/>
      <c r="AL554" s="86">
        <f>tbl_estimated_costs_quantities[[#This Row],[Ceramic Tile Works WASH]]*BOQs!$L$12</f>
        <v>0</v>
      </c>
      <c r="AM554" s="76"/>
      <c r="AN554" s="37"/>
      <c r="AO554" s="86">
        <f>tbl_estimated_costs_quantities[[#This Row],[Electrical Repairs Lighting]]*BOQs!$L$13</f>
        <v>0</v>
      </c>
      <c r="AP554" s="76"/>
      <c r="AQ554" s="37"/>
      <c r="AR554" s="86">
        <f>tbl_estimated_costs_quantities[[#This Row],[Roof Insulation Leak Sealing]]*BOQs!$L$14</f>
        <v>0</v>
      </c>
      <c r="AS554" s="76"/>
      <c r="AT554" s="37"/>
      <c r="AU554" s="86">
        <f>tbl_estimated_costs_quantities[[#This Row],[Chimney Duct Cleaning Repair]]*BOQs!$L$15</f>
        <v>0</v>
      </c>
      <c r="AV554" s="76"/>
      <c r="AW554" s="37"/>
      <c r="AX554" s="89">
        <f>tbl_estimated_costs_quantities[[#This Row],[Accessibility Adaptations]]*BOQs!$L$16</f>
        <v>0</v>
      </c>
      <c r="AY554" s="86" t="str">
        <f>IF(tbl_estimated_costs_quantities[[#This Row],[Total cost]]&lt;&gt;0,tbl_estimated_costs_quantities[[#This Row],[Total cost]]/BOQs!$A$1,"")</f>
        <v/>
      </c>
      <c r="AZ554" s="37"/>
      <c r="BA554" s="37"/>
      <c r="BB554" s="37"/>
      <c r="BC554" s="37"/>
      <c r="BD554" s="41"/>
      <c r="BE554" s="37"/>
      <c r="BF554" s="37"/>
      <c r="BG554" s="37"/>
      <c r="BH554" s="41"/>
    </row>
    <row r="555" spans="2:60" ht="25.15" customHeight="1" x14ac:dyDescent="0.25">
      <c r="B555" s="49">
        <v>551</v>
      </c>
      <c r="C555" s="37"/>
      <c r="D555" s="41"/>
      <c r="E555" s="40"/>
      <c r="F555" s="87" t="str">
        <f>IF(tbl_estimated_costs_quantities[[#This Row],[House Code]]&lt;&gt;"",INDEX(tbl_Assessment[],MATCH(tbl_estimated_costs_quantities[[#This Row],[House Code]],tbl_Assessment[House Code],0),3),"")</f>
        <v/>
      </c>
      <c r="G555" s="115" t="str">
        <f>IF(tbl_estimated_costs_quantities[[#This Row],[House Code]]&lt;&gt;"",INDEX(tbl_Assessment[],MATCH(tbl_estimated_costs_quantities[[#This Row],[House Code]],tbl_Assessment[House Code],0),9),"")</f>
        <v/>
      </c>
      <c r="H55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5" s="75"/>
      <c r="J555" s="37"/>
      <c r="K555" s="86">
        <f>tbl_estimated_costs_quantities[[#This Row],[Site Preparation]]*BOQs!$L$3</f>
        <v>0</v>
      </c>
      <c r="L555" s="76"/>
      <c r="M555" s="37"/>
      <c r="N555" s="86">
        <f>tbl_estimated_costs_quantities[[#This Row],[Demolition Removal Unsafe Structures]]*BOQs!$L$4</f>
        <v>0</v>
      </c>
      <c r="O555" s="76"/>
      <c r="P555" s="37"/>
      <c r="Q555" s="86">
        <f>tbl_estimated_costs_quantities[[#This Row],[Concrete Works]]*BOQs!$L$5</f>
        <v>0</v>
      </c>
      <c r="R555" s="76"/>
      <c r="S555" s="37"/>
      <c r="T555" s="86">
        <f>tbl_estimated_costs_quantities[[#This Row],[Closure External Openings Walls Windows]]*BOQs!$L$6</f>
        <v>0</v>
      </c>
      <c r="U555" s="76"/>
      <c r="V555" s="37"/>
      <c r="W555" s="86">
        <f>tbl_estimated_costs_quantities[[#This Row],[Plastering Painting]]*BOQs!$L$7</f>
        <v>0</v>
      </c>
      <c r="X555" s="76"/>
      <c r="Y555" s="37"/>
      <c r="Z555" s="86">
        <f>tbl_estimated_costs_quantities[[#This Row],[Floor Repairs]]*BOQs!$L$8</f>
        <v>0</v>
      </c>
      <c r="AA555" s="76"/>
      <c r="AB555" s="37"/>
      <c r="AC555" s="86">
        <f>tbl_estimated_costs_quantities[[#This Row],[Doors Replacement Repair]]*BOQs!$L$9</f>
        <v>0</v>
      </c>
      <c r="AD555" s="76"/>
      <c r="AE555" s="37"/>
      <c r="AF555" s="86">
        <f>tbl_estimated_costs_quantities[[#This Row],[Windows Replacement Repair]]*BOQs!$L$10</f>
        <v>0</v>
      </c>
      <c r="AG555" s="76"/>
      <c r="AH555" s="37"/>
      <c r="AI555" s="86">
        <f>tbl_estimated_costs_quantities[[#This Row],[Bathroom Rehabilitation]]*BOQs!$L$11</f>
        <v>0</v>
      </c>
      <c r="AJ555" s="76"/>
      <c r="AK555" s="37"/>
      <c r="AL555" s="86">
        <f>tbl_estimated_costs_quantities[[#This Row],[Ceramic Tile Works WASH]]*BOQs!$L$12</f>
        <v>0</v>
      </c>
      <c r="AM555" s="76"/>
      <c r="AN555" s="37"/>
      <c r="AO555" s="86">
        <f>tbl_estimated_costs_quantities[[#This Row],[Electrical Repairs Lighting]]*BOQs!$L$13</f>
        <v>0</v>
      </c>
      <c r="AP555" s="76"/>
      <c r="AQ555" s="37"/>
      <c r="AR555" s="86">
        <f>tbl_estimated_costs_quantities[[#This Row],[Roof Insulation Leak Sealing]]*BOQs!$L$14</f>
        <v>0</v>
      </c>
      <c r="AS555" s="76"/>
      <c r="AT555" s="37"/>
      <c r="AU555" s="86">
        <f>tbl_estimated_costs_quantities[[#This Row],[Chimney Duct Cleaning Repair]]*BOQs!$L$15</f>
        <v>0</v>
      </c>
      <c r="AV555" s="76"/>
      <c r="AW555" s="37"/>
      <c r="AX555" s="89">
        <f>tbl_estimated_costs_quantities[[#This Row],[Accessibility Adaptations]]*BOQs!$L$16</f>
        <v>0</v>
      </c>
      <c r="AY555" s="86" t="str">
        <f>IF(tbl_estimated_costs_quantities[[#This Row],[Total cost]]&lt;&gt;0,tbl_estimated_costs_quantities[[#This Row],[Total cost]]/BOQs!$A$1,"")</f>
        <v/>
      </c>
      <c r="AZ555" s="37"/>
      <c r="BA555" s="37"/>
      <c r="BB555" s="37"/>
      <c r="BC555" s="37"/>
      <c r="BD555" s="41"/>
      <c r="BE555" s="37"/>
      <c r="BF555" s="37"/>
      <c r="BG555" s="37"/>
      <c r="BH555" s="41"/>
    </row>
    <row r="556" spans="2:60" ht="25.15" customHeight="1" x14ac:dyDescent="0.25">
      <c r="B556" s="49">
        <v>552</v>
      </c>
      <c r="C556" s="37"/>
      <c r="D556" s="41"/>
      <c r="E556" s="40"/>
      <c r="F556" s="87" t="str">
        <f>IF(tbl_estimated_costs_quantities[[#This Row],[House Code]]&lt;&gt;"",INDEX(tbl_Assessment[],MATCH(tbl_estimated_costs_quantities[[#This Row],[House Code]],tbl_Assessment[House Code],0),3),"")</f>
        <v/>
      </c>
      <c r="G556" s="115" t="str">
        <f>IF(tbl_estimated_costs_quantities[[#This Row],[House Code]]&lt;&gt;"",INDEX(tbl_Assessment[],MATCH(tbl_estimated_costs_quantities[[#This Row],[House Code]],tbl_Assessment[House Code],0),9),"")</f>
        <v/>
      </c>
      <c r="H55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6" s="75"/>
      <c r="J556" s="37"/>
      <c r="K556" s="86">
        <f>tbl_estimated_costs_quantities[[#This Row],[Site Preparation]]*BOQs!$L$3</f>
        <v>0</v>
      </c>
      <c r="L556" s="76"/>
      <c r="M556" s="37"/>
      <c r="N556" s="86">
        <f>tbl_estimated_costs_quantities[[#This Row],[Demolition Removal Unsafe Structures]]*BOQs!$L$4</f>
        <v>0</v>
      </c>
      <c r="O556" s="76"/>
      <c r="P556" s="37"/>
      <c r="Q556" s="86">
        <f>tbl_estimated_costs_quantities[[#This Row],[Concrete Works]]*BOQs!$L$5</f>
        <v>0</v>
      </c>
      <c r="R556" s="76"/>
      <c r="S556" s="37"/>
      <c r="T556" s="86">
        <f>tbl_estimated_costs_quantities[[#This Row],[Closure External Openings Walls Windows]]*BOQs!$L$6</f>
        <v>0</v>
      </c>
      <c r="U556" s="76"/>
      <c r="V556" s="37"/>
      <c r="W556" s="86">
        <f>tbl_estimated_costs_quantities[[#This Row],[Plastering Painting]]*BOQs!$L$7</f>
        <v>0</v>
      </c>
      <c r="X556" s="76"/>
      <c r="Y556" s="37"/>
      <c r="Z556" s="86">
        <f>tbl_estimated_costs_quantities[[#This Row],[Floor Repairs]]*BOQs!$L$8</f>
        <v>0</v>
      </c>
      <c r="AA556" s="76"/>
      <c r="AB556" s="37"/>
      <c r="AC556" s="86">
        <f>tbl_estimated_costs_quantities[[#This Row],[Doors Replacement Repair]]*BOQs!$L$9</f>
        <v>0</v>
      </c>
      <c r="AD556" s="76"/>
      <c r="AE556" s="37"/>
      <c r="AF556" s="86">
        <f>tbl_estimated_costs_quantities[[#This Row],[Windows Replacement Repair]]*BOQs!$L$10</f>
        <v>0</v>
      </c>
      <c r="AG556" s="76"/>
      <c r="AH556" s="37"/>
      <c r="AI556" s="86">
        <f>tbl_estimated_costs_quantities[[#This Row],[Bathroom Rehabilitation]]*BOQs!$L$11</f>
        <v>0</v>
      </c>
      <c r="AJ556" s="76"/>
      <c r="AK556" s="37"/>
      <c r="AL556" s="86">
        <f>tbl_estimated_costs_quantities[[#This Row],[Ceramic Tile Works WASH]]*BOQs!$L$12</f>
        <v>0</v>
      </c>
      <c r="AM556" s="76"/>
      <c r="AN556" s="37"/>
      <c r="AO556" s="86">
        <f>tbl_estimated_costs_quantities[[#This Row],[Electrical Repairs Lighting]]*BOQs!$L$13</f>
        <v>0</v>
      </c>
      <c r="AP556" s="76"/>
      <c r="AQ556" s="37"/>
      <c r="AR556" s="86">
        <f>tbl_estimated_costs_quantities[[#This Row],[Roof Insulation Leak Sealing]]*BOQs!$L$14</f>
        <v>0</v>
      </c>
      <c r="AS556" s="76"/>
      <c r="AT556" s="37"/>
      <c r="AU556" s="86">
        <f>tbl_estimated_costs_quantities[[#This Row],[Chimney Duct Cleaning Repair]]*BOQs!$L$15</f>
        <v>0</v>
      </c>
      <c r="AV556" s="76"/>
      <c r="AW556" s="37"/>
      <c r="AX556" s="89">
        <f>tbl_estimated_costs_quantities[[#This Row],[Accessibility Adaptations]]*BOQs!$L$16</f>
        <v>0</v>
      </c>
      <c r="AY556" s="86" t="str">
        <f>IF(tbl_estimated_costs_quantities[[#This Row],[Total cost]]&lt;&gt;0,tbl_estimated_costs_quantities[[#This Row],[Total cost]]/BOQs!$A$1,"")</f>
        <v/>
      </c>
      <c r="AZ556" s="37"/>
      <c r="BA556" s="37"/>
      <c r="BB556" s="37"/>
      <c r="BC556" s="37"/>
      <c r="BD556" s="41"/>
      <c r="BE556" s="37"/>
      <c r="BF556" s="37"/>
      <c r="BG556" s="37"/>
      <c r="BH556" s="41"/>
    </row>
    <row r="557" spans="2:60" ht="25.15" customHeight="1" x14ac:dyDescent="0.25">
      <c r="B557" s="49">
        <v>553</v>
      </c>
      <c r="C557" s="37"/>
      <c r="D557" s="41"/>
      <c r="E557" s="40"/>
      <c r="F557" s="87" t="str">
        <f>IF(tbl_estimated_costs_quantities[[#This Row],[House Code]]&lt;&gt;"",INDEX(tbl_Assessment[],MATCH(tbl_estimated_costs_quantities[[#This Row],[House Code]],tbl_Assessment[House Code],0),3),"")</f>
        <v/>
      </c>
      <c r="G557" s="115" t="str">
        <f>IF(tbl_estimated_costs_quantities[[#This Row],[House Code]]&lt;&gt;"",INDEX(tbl_Assessment[],MATCH(tbl_estimated_costs_quantities[[#This Row],[House Code]],tbl_Assessment[House Code],0),9),"")</f>
        <v/>
      </c>
      <c r="H55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7" s="75"/>
      <c r="J557" s="37"/>
      <c r="K557" s="86">
        <f>tbl_estimated_costs_quantities[[#This Row],[Site Preparation]]*BOQs!$L$3</f>
        <v>0</v>
      </c>
      <c r="L557" s="76"/>
      <c r="M557" s="37"/>
      <c r="N557" s="86">
        <f>tbl_estimated_costs_quantities[[#This Row],[Demolition Removal Unsafe Structures]]*BOQs!$L$4</f>
        <v>0</v>
      </c>
      <c r="O557" s="76"/>
      <c r="P557" s="37"/>
      <c r="Q557" s="86">
        <f>tbl_estimated_costs_quantities[[#This Row],[Concrete Works]]*BOQs!$L$5</f>
        <v>0</v>
      </c>
      <c r="R557" s="76"/>
      <c r="S557" s="37"/>
      <c r="T557" s="86">
        <f>tbl_estimated_costs_quantities[[#This Row],[Closure External Openings Walls Windows]]*BOQs!$L$6</f>
        <v>0</v>
      </c>
      <c r="U557" s="76"/>
      <c r="V557" s="37"/>
      <c r="W557" s="86">
        <f>tbl_estimated_costs_quantities[[#This Row],[Plastering Painting]]*BOQs!$L$7</f>
        <v>0</v>
      </c>
      <c r="X557" s="76"/>
      <c r="Y557" s="37"/>
      <c r="Z557" s="86">
        <f>tbl_estimated_costs_quantities[[#This Row],[Floor Repairs]]*BOQs!$L$8</f>
        <v>0</v>
      </c>
      <c r="AA557" s="76"/>
      <c r="AB557" s="37"/>
      <c r="AC557" s="86">
        <f>tbl_estimated_costs_quantities[[#This Row],[Doors Replacement Repair]]*BOQs!$L$9</f>
        <v>0</v>
      </c>
      <c r="AD557" s="76"/>
      <c r="AE557" s="37"/>
      <c r="AF557" s="86">
        <f>tbl_estimated_costs_quantities[[#This Row],[Windows Replacement Repair]]*BOQs!$L$10</f>
        <v>0</v>
      </c>
      <c r="AG557" s="76"/>
      <c r="AH557" s="37"/>
      <c r="AI557" s="86">
        <f>tbl_estimated_costs_quantities[[#This Row],[Bathroom Rehabilitation]]*BOQs!$L$11</f>
        <v>0</v>
      </c>
      <c r="AJ557" s="76"/>
      <c r="AK557" s="37"/>
      <c r="AL557" s="86">
        <f>tbl_estimated_costs_quantities[[#This Row],[Ceramic Tile Works WASH]]*BOQs!$L$12</f>
        <v>0</v>
      </c>
      <c r="AM557" s="76"/>
      <c r="AN557" s="37"/>
      <c r="AO557" s="86">
        <f>tbl_estimated_costs_quantities[[#This Row],[Electrical Repairs Lighting]]*BOQs!$L$13</f>
        <v>0</v>
      </c>
      <c r="AP557" s="76"/>
      <c r="AQ557" s="37"/>
      <c r="AR557" s="86">
        <f>tbl_estimated_costs_quantities[[#This Row],[Roof Insulation Leak Sealing]]*BOQs!$L$14</f>
        <v>0</v>
      </c>
      <c r="AS557" s="76"/>
      <c r="AT557" s="37"/>
      <c r="AU557" s="86">
        <f>tbl_estimated_costs_quantities[[#This Row],[Chimney Duct Cleaning Repair]]*BOQs!$L$15</f>
        <v>0</v>
      </c>
      <c r="AV557" s="76"/>
      <c r="AW557" s="37"/>
      <c r="AX557" s="89">
        <f>tbl_estimated_costs_quantities[[#This Row],[Accessibility Adaptations]]*BOQs!$L$16</f>
        <v>0</v>
      </c>
      <c r="AY557" s="86" t="str">
        <f>IF(tbl_estimated_costs_quantities[[#This Row],[Total cost]]&lt;&gt;0,tbl_estimated_costs_quantities[[#This Row],[Total cost]]/BOQs!$A$1,"")</f>
        <v/>
      </c>
      <c r="AZ557" s="37"/>
      <c r="BA557" s="37"/>
      <c r="BB557" s="37"/>
      <c r="BC557" s="37"/>
      <c r="BD557" s="41"/>
      <c r="BE557" s="37"/>
      <c r="BF557" s="37"/>
      <c r="BG557" s="37"/>
      <c r="BH557" s="41"/>
    </row>
    <row r="558" spans="2:60" ht="25.15" customHeight="1" x14ac:dyDescent="0.25">
      <c r="B558" s="49">
        <v>554</v>
      </c>
      <c r="C558" s="37"/>
      <c r="D558" s="41"/>
      <c r="E558" s="40"/>
      <c r="F558" s="87" t="str">
        <f>IF(tbl_estimated_costs_quantities[[#This Row],[House Code]]&lt;&gt;"",INDEX(tbl_Assessment[],MATCH(tbl_estimated_costs_quantities[[#This Row],[House Code]],tbl_Assessment[House Code],0),3),"")</f>
        <v/>
      </c>
      <c r="G558" s="115" t="str">
        <f>IF(tbl_estimated_costs_quantities[[#This Row],[House Code]]&lt;&gt;"",INDEX(tbl_Assessment[],MATCH(tbl_estimated_costs_quantities[[#This Row],[House Code]],tbl_Assessment[House Code],0),9),"")</f>
        <v/>
      </c>
      <c r="H55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8" s="75"/>
      <c r="J558" s="37"/>
      <c r="K558" s="86">
        <f>tbl_estimated_costs_quantities[[#This Row],[Site Preparation]]*BOQs!$L$3</f>
        <v>0</v>
      </c>
      <c r="L558" s="76"/>
      <c r="M558" s="37"/>
      <c r="N558" s="86">
        <f>tbl_estimated_costs_quantities[[#This Row],[Demolition Removal Unsafe Structures]]*BOQs!$L$4</f>
        <v>0</v>
      </c>
      <c r="O558" s="76"/>
      <c r="P558" s="37"/>
      <c r="Q558" s="86">
        <f>tbl_estimated_costs_quantities[[#This Row],[Concrete Works]]*BOQs!$L$5</f>
        <v>0</v>
      </c>
      <c r="R558" s="76"/>
      <c r="S558" s="37"/>
      <c r="T558" s="86">
        <f>tbl_estimated_costs_quantities[[#This Row],[Closure External Openings Walls Windows]]*BOQs!$L$6</f>
        <v>0</v>
      </c>
      <c r="U558" s="76"/>
      <c r="V558" s="37"/>
      <c r="W558" s="86">
        <f>tbl_estimated_costs_quantities[[#This Row],[Plastering Painting]]*BOQs!$L$7</f>
        <v>0</v>
      </c>
      <c r="X558" s="76"/>
      <c r="Y558" s="37"/>
      <c r="Z558" s="86">
        <f>tbl_estimated_costs_quantities[[#This Row],[Floor Repairs]]*BOQs!$L$8</f>
        <v>0</v>
      </c>
      <c r="AA558" s="76"/>
      <c r="AB558" s="37"/>
      <c r="AC558" s="86">
        <f>tbl_estimated_costs_quantities[[#This Row],[Doors Replacement Repair]]*BOQs!$L$9</f>
        <v>0</v>
      </c>
      <c r="AD558" s="76"/>
      <c r="AE558" s="37"/>
      <c r="AF558" s="86">
        <f>tbl_estimated_costs_quantities[[#This Row],[Windows Replacement Repair]]*BOQs!$L$10</f>
        <v>0</v>
      </c>
      <c r="AG558" s="76"/>
      <c r="AH558" s="37"/>
      <c r="AI558" s="86">
        <f>tbl_estimated_costs_quantities[[#This Row],[Bathroom Rehabilitation]]*BOQs!$L$11</f>
        <v>0</v>
      </c>
      <c r="AJ558" s="76"/>
      <c r="AK558" s="37"/>
      <c r="AL558" s="86">
        <f>tbl_estimated_costs_quantities[[#This Row],[Ceramic Tile Works WASH]]*BOQs!$L$12</f>
        <v>0</v>
      </c>
      <c r="AM558" s="76"/>
      <c r="AN558" s="37"/>
      <c r="AO558" s="86">
        <f>tbl_estimated_costs_quantities[[#This Row],[Electrical Repairs Lighting]]*BOQs!$L$13</f>
        <v>0</v>
      </c>
      <c r="AP558" s="76"/>
      <c r="AQ558" s="37"/>
      <c r="AR558" s="86">
        <f>tbl_estimated_costs_quantities[[#This Row],[Roof Insulation Leak Sealing]]*BOQs!$L$14</f>
        <v>0</v>
      </c>
      <c r="AS558" s="76"/>
      <c r="AT558" s="37"/>
      <c r="AU558" s="86">
        <f>tbl_estimated_costs_quantities[[#This Row],[Chimney Duct Cleaning Repair]]*BOQs!$L$15</f>
        <v>0</v>
      </c>
      <c r="AV558" s="76"/>
      <c r="AW558" s="37"/>
      <c r="AX558" s="89">
        <f>tbl_estimated_costs_quantities[[#This Row],[Accessibility Adaptations]]*BOQs!$L$16</f>
        <v>0</v>
      </c>
      <c r="AY558" s="86" t="str">
        <f>IF(tbl_estimated_costs_quantities[[#This Row],[Total cost]]&lt;&gt;0,tbl_estimated_costs_quantities[[#This Row],[Total cost]]/BOQs!$A$1,"")</f>
        <v/>
      </c>
      <c r="AZ558" s="37"/>
      <c r="BA558" s="37"/>
      <c r="BB558" s="37"/>
      <c r="BC558" s="37"/>
      <c r="BD558" s="41"/>
      <c r="BE558" s="37"/>
      <c r="BF558" s="37"/>
      <c r="BG558" s="37"/>
      <c r="BH558" s="41"/>
    </row>
    <row r="559" spans="2:60" ht="25.15" customHeight="1" x14ac:dyDescent="0.25">
      <c r="B559" s="49">
        <v>555</v>
      </c>
      <c r="C559" s="37"/>
      <c r="D559" s="41"/>
      <c r="E559" s="40"/>
      <c r="F559" s="87" t="str">
        <f>IF(tbl_estimated_costs_quantities[[#This Row],[House Code]]&lt;&gt;"",INDEX(tbl_Assessment[],MATCH(tbl_estimated_costs_quantities[[#This Row],[House Code]],tbl_Assessment[House Code],0),3),"")</f>
        <v/>
      </c>
      <c r="G559" s="115" t="str">
        <f>IF(tbl_estimated_costs_quantities[[#This Row],[House Code]]&lt;&gt;"",INDEX(tbl_Assessment[],MATCH(tbl_estimated_costs_quantities[[#This Row],[House Code]],tbl_Assessment[House Code],0),9),"")</f>
        <v/>
      </c>
      <c r="H55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59" s="75"/>
      <c r="J559" s="37"/>
      <c r="K559" s="86">
        <f>tbl_estimated_costs_quantities[[#This Row],[Site Preparation]]*BOQs!$L$3</f>
        <v>0</v>
      </c>
      <c r="L559" s="76"/>
      <c r="M559" s="37"/>
      <c r="N559" s="86">
        <f>tbl_estimated_costs_quantities[[#This Row],[Demolition Removal Unsafe Structures]]*BOQs!$L$4</f>
        <v>0</v>
      </c>
      <c r="O559" s="76"/>
      <c r="P559" s="37"/>
      <c r="Q559" s="86">
        <f>tbl_estimated_costs_quantities[[#This Row],[Concrete Works]]*BOQs!$L$5</f>
        <v>0</v>
      </c>
      <c r="R559" s="76"/>
      <c r="S559" s="37"/>
      <c r="T559" s="86">
        <f>tbl_estimated_costs_quantities[[#This Row],[Closure External Openings Walls Windows]]*BOQs!$L$6</f>
        <v>0</v>
      </c>
      <c r="U559" s="76"/>
      <c r="V559" s="37"/>
      <c r="W559" s="86">
        <f>tbl_estimated_costs_quantities[[#This Row],[Plastering Painting]]*BOQs!$L$7</f>
        <v>0</v>
      </c>
      <c r="X559" s="76"/>
      <c r="Y559" s="37"/>
      <c r="Z559" s="86">
        <f>tbl_estimated_costs_quantities[[#This Row],[Floor Repairs]]*BOQs!$L$8</f>
        <v>0</v>
      </c>
      <c r="AA559" s="76"/>
      <c r="AB559" s="37"/>
      <c r="AC559" s="86">
        <f>tbl_estimated_costs_quantities[[#This Row],[Doors Replacement Repair]]*BOQs!$L$9</f>
        <v>0</v>
      </c>
      <c r="AD559" s="76"/>
      <c r="AE559" s="37"/>
      <c r="AF559" s="86">
        <f>tbl_estimated_costs_quantities[[#This Row],[Windows Replacement Repair]]*BOQs!$L$10</f>
        <v>0</v>
      </c>
      <c r="AG559" s="76"/>
      <c r="AH559" s="37"/>
      <c r="AI559" s="86">
        <f>tbl_estimated_costs_quantities[[#This Row],[Bathroom Rehabilitation]]*BOQs!$L$11</f>
        <v>0</v>
      </c>
      <c r="AJ559" s="76"/>
      <c r="AK559" s="37"/>
      <c r="AL559" s="86">
        <f>tbl_estimated_costs_quantities[[#This Row],[Ceramic Tile Works WASH]]*BOQs!$L$12</f>
        <v>0</v>
      </c>
      <c r="AM559" s="76"/>
      <c r="AN559" s="37"/>
      <c r="AO559" s="86">
        <f>tbl_estimated_costs_quantities[[#This Row],[Electrical Repairs Lighting]]*BOQs!$L$13</f>
        <v>0</v>
      </c>
      <c r="AP559" s="76"/>
      <c r="AQ559" s="37"/>
      <c r="AR559" s="86">
        <f>tbl_estimated_costs_quantities[[#This Row],[Roof Insulation Leak Sealing]]*BOQs!$L$14</f>
        <v>0</v>
      </c>
      <c r="AS559" s="76"/>
      <c r="AT559" s="37"/>
      <c r="AU559" s="86">
        <f>tbl_estimated_costs_quantities[[#This Row],[Chimney Duct Cleaning Repair]]*BOQs!$L$15</f>
        <v>0</v>
      </c>
      <c r="AV559" s="76"/>
      <c r="AW559" s="37"/>
      <c r="AX559" s="89">
        <f>tbl_estimated_costs_quantities[[#This Row],[Accessibility Adaptations]]*BOQs!$L$16</f>
        <v>0</v>
      </c>
      <c r="AY559" s="86" t="str">
        <f>IF(tbl_estimated_costs_quantities[[#This Row],[Total cost]]&lt;&gt;0,tbl_estimated_costs_quantities[[#This Row],[Total cost]]/BOQs!$A$1,"")</f>
        <v/>
      </c>
      <c r="AZ559" s="37"/>
      <c r="BA559" s="37"/>
      <c r="BB559" s="37"/>
      <c r="BC559" s="37"/>
      <c r="BD559" s="41"/>
      <c r="BE559" s="37"/>
      <c r="BF559" s="37"/>
      <c r="BG559" s="37"/>
      <c r="BH559" s="41"/>
    </row>
    <row r="560" spans="2:60" ht="25.15" customHeight="1" x14ac:dyDescent="0.25">
      <c r="B560" s="49">
        <v>556</v>
      </c>
      <c r="C560" s="37"/>
      <c r="D560" s="41"/>
      <c r="E560" s="40"/>
      <c r="F560" s="87" t="str">
        <f>IF(tbl_estimated_costs_quantities[[#This Row],[House Code]]&lt;&gt;"",INDEX(tbl_Assessment[],MATCH(tbl_estimated_costs_quantities[[#This Row],[House Code]],tbl_Assessment[House Code],0),3),"")</f>
        <v/>
      </c>
      <c r="G560" s="115" t="str">
        <f>IF(tbl_estimated_costs_quantities[[#This Row],[House Code]]&lt;&gt;"",INDEX(tbl_Assessment[],MATCH(tbl_estimated_costs_quantities[[#This Row],[House Code]],tbl_Assessment[House Code],0),9),"")</f>
        <v/>
      </c>
      <c r="H56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0" s="75"/>
      <c r="J560" s="37"/>
      <c r="K560" s="86">
        <f>tbl_estimated_costs_quantities[[#This Row],[Site Preparation]]*BOQs!$L$3</f>
        <v>0</v>
      </c>
      <c r="L560" s="76"/>
      <c r="M560" s="37"/>
      <c r="N560" s="86">
        <f>tbl_estimated_costs_quantities[[#This Row],[Demolition Removal Unsafe Structures]]*BOQs!$L$4</f>
        <v>0</v>
      </c>
      <c r="O560" s="76"/>
      <c r="P560" s="37"/>
      <c r="Q560" s="86">
        <f>tbl_estimated_costs_quantities[[#This Row],[Concrete Works]]*BOQs!$L$5</f>
        <v>0</v>
      </c>
      <c r="R560" s="76"/>
      <c r="S560" s="37"/>
      <c r="T560" s="86">
        <f>tbl_estimated_costs_quantities[[#This Row],[Closure External Openings Walls Windows]]*BOQs!$L$6</f>
        <v>0</v>
      </c>
      <c r="U560" s="76"/>
      <c r="V560" s="37"/>
      <c r="W560" s="86">
        <f>tbl_estimated_costs_quantities[[#This Row],[Plastering Painting]]*BOQs!$L$7</f>
        <v>0</v>
      </c>
      <c r="X560" s="76"/>
      <c r="Y560" s="37"/>
      <c r="Z560" s="86">
        <f>tbl_estimated_costs_quantities[[#This Row],[Floor Repairs]]*BOQs!$L$8</f>
        <v>0</v>
      </c>
      <c r="AA560" s="76"/>
      <c r="AB560" s="37"/>
      <c r="AC560" s="86">
        <f>tbl_estimated_costs_quantities[[#This Row],[Doors Replacement Repair]]*BOQs!$L$9</f>
        <v>0</v>
      </c>
      <c r="AD560" s="76"/>
      <c r="AE560" s="37"/>
      <c r="AF560" s="86">
        <f>tbl_estimated_costs_quantities[[#This Row],[Windows Replacement Repair]]*BOQs!$L$10</f>
        <v>0</v>
      </c>
      <c r="AG560" s="76"/>
      <c r="AH560" s="37"/>
      <c r="AI560" s="86">
        <f>tbl_estimated_costs_quantities[[#This Row],[Bathroom Rehabilitation]]*BOQs!$L$11</f>
        <v>0</v>
      </c>
      <c r="AJ560" s="76"/>
      <c r="AK560" s="37"/>
      <c r="AL560" s="86">
        <f>tbl_estimated_costs_quantities[[#This Row],[Ceramic Tile Works WASH]]*BOQs!$L$12</f>
        <v>0</v>
      </c>
      <c r="AM560" s="76"/>
      <c r="AN560" s="37"/>
      <c r="AO560" s="86">
        <f>tbl_estimated_costs_quantities[[#This Row],[Electrical Repairs Lighting]]*BOQs!$L$13</f>
        <v>0</v>
      </c>
      <c r="AP560" s="76"/>
      <c r="AQ560" s="37"/>
      <c r="AR560" s="86">
        <f>tbl_estimated_costs_quantities[[#This Row],[Roof Insulation Leak Sealing]]*BOQs!$L$14</f>
        <v>0</v>
      </c>
      <c r="AS560" s="76"/>
      <c r="AT560" s="37"/>
      <c r="AU560" s="86">
        <f>tbl_estimated_costs_quantities[[#This Row],[Chimney Duct Cleaning Repair]]*BOQs!$L$15</f>
        <v>0</v>
      </c>
      <c r="AV560" s="76"/>
      <c r="AW560" s="37"/>
      <c r="AX560" s="89">
        <f>tbl_estimated_costs_quantities[[#This Row],[Accessibility Adaptations]]*BOQs!$L$16</f>
        <v>0</v>
      </c>
      <c r="AY560" s="86" t="str">
        <f>IF(tbl_estimated_costs_quantities[[#This Row],[Total cost]]&lt;&gt;0,tbl_estimated_costs_quantities[[#This Row],[Total cost]]/BOQs!$A$1,"")</f>
        <v/>
      </c>
      <c r="AZ560" s="37"/>
      <c r="BA560" s="37"/>
      <c r="BB560" s="37"/>
      <c r="BC560" s="37"/>
      <c r="BD560" s="41"/>
      <c r="BE560" s="37"/>
      <c r="BF560" s="37"/>
      <c r="BG560" s="37"/>
      <c r="BH560" s="41"/>
    </row>
    <row r="561" spans="2:60" ht="25.15" customHeight="1" x14ac:dyDescent="0.25">
      <c r="B561" s="49">
        <v>557</v>
      </c>
      <c r="C561" s="37"/>
      <c r="D561" s="41"/>
      <c r="E561" s="40"/>
      <c r="F561" s="87" t="str">
        <f>IF(tbl_estimated_costs_quantities[[#This Row],[House Code]]&lt;&gt;"",INDEX(tbl_Assessment[],MATCH(tbl_estimated_costs_quantities[[#This Row],[House Code]],tbl_Assessment[House Code],0),3),"")</f>
        <v/>
      </c>
      <c r="G561" s="115" t="str">
        <f>IF(tbl_estimated_costs_quantities[[#This Row],[House Code]]&lt;&gt;"",INDEX(tbl_Assessment[],MATCH(tbl_estimated_costs_quantities[[#This Row],[House Code]],tbl_Assessment[House Code],0),9),"")</f>
        <v/>
      </c>
      <c r="H56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1" s="75"/>
      <c r="J561" s="37"/>
      <c r="K561" s="86">
        <f>tbl_estimated_costs_quantities[[#This Row],[Site Preparation]]*BOQs!$L$3</f>
        <v>0</v>
      </c>
      <c r="L561" s="76"/>
      <c r="M561" s="37"/>
      <c r="N561" s="86">
        <f>tbl_estimated_costs_quantities[[#This Row],[Demolition Removal Unsafe Structures]]*BOQs!$L$4</f>
        <v>0</v>
      </c>
      <c r="O561" s="76"/>
      <c r="P561" s="37"/>
      <c r="Q561" s="86">
        <f>tbl_estimated_costs_quantities[[#This Row],[Concrete Works]]*BOQs!$L$5</f>
        <v>0</v>
      </c>
      <c r="R561" s="76"/>
      <c r="S561" s="37"/>
      <c r="T561" s="86">
        <f>tbl_estimated_costs_quantities[[#This Row],[Closure External Openings Walls Windows]]*BOQs!$L$6</f>
        <v>0</v>
      </c>
      <c r="U561" s="76"/>
      <c r="V561" s="37"/>
      <c r="W561" s="86">
        <f>tbl_estimated_costs_quantities[[#This Row],[Plastering Painting]]*BOQs!$L$7</f>
        <v>0</v>
      </c>
      <c r="X561" s="76"/>
      <c r="Y561" s="37"/>
      <c r="Z561" s="86">
        <f>tbl_estimated_costs_quantities[[#This Row],[Floor Repairs]]*BOQs!$L$8</f>
        <v>0</v>
      </c>
      <c r="AA561" s="76"/>
      <c r="AB561" s="37"/>
      <c r="AC561" s="86">
        <f>tbl_estimated_costs_quantities[[#This Row],[Doors Replacement Repair]]*BOQs!$L$9</f>
        <v>0</v>
      </c>
      <c r="AD561" s="76"/>
      <c r="AE561" s="37"/>
      <c r="AF561" s="86">
        <f>tbl_estimated_costs_quantities[[#This Row],[Windows Replacement Repair]]*BOQs!$L$10</f>
        <v>0</v>
      </c>
      <c r="AG561" s="76"/>
      <c r="AH561" s="37"/>
      <c r="AI561" s="86">
        <f>tbl_estimated_costs_quantities[[#This Row],[Bathroom Rehabilitation]]*BOQs!$L$11</f>
        <v>0</v>
      </c>
      <c r="AJ561" s="76"/>
      <c r="AK561" s="37"/>
      <c r="AL561" s="86">
        <f>tbl_estimated_costs_quantities[[#This Row],[Ceramic Tile Works WASH]]*BOQs!$L$12</f>
        <v>0</v>
      </c>
      <c r="AM561" s="76"/>
      <c r="AN561" s="37"/>
      <c r="AO561" s="86">
        <f>tbl_estimated_costs_quantities[[#This Row],[Electrical Repairs Lighting]]*BOQs!$L$13</f>
        <v>0</v>
      </c>
      <c r="AP561" s="76"/>
      <c r="AQ561" s="37"/>
      <c r="AR561" s="86">
        <f>tbl_estimated_costs_quantities[[#This Row],[Roof Insulation Leak Sealing]]*BOQs!$L$14</f>
        <v>0</v>
      </c>
      <c r="AS561" s="76"/>
      <c r="AT561" s="37"/>
      <c r="AU561" s="86">
        <f>tbl_estimated_costs_quantities[[#This Row],[Chimney Duct Cleaning Repair]]*BOQs!$L$15</f>
        <v>0</v>
      </c>
      <c r="AV561" s="76"/>
      <c r="AW561" s="37"/>
      <c r="AX561" s="89">
        <f>tbl_estimated_costs_quantities[[#This Row],[Accessibility Adaptations]]*BOQs!$L$16</f>
        <v>0</v>
      </c>
      <c r="AY561" s="86" t="str">
        <f>IF(tbl_estimated_costs_quantities[[#This Row],[Total cost]]&lt;&gt;0,tbl_estimated_costs_quantities[[#This Row],[Total cost]]/BOQs!$A$1,"")</f>
        <v/>
      </c>
      <c r="AZ561" s="37"/>
      <c r="BA561" s="37"/>
      <c r="BB561" s="37"/>
      <c r="BC561" s="37"/>
      <c r="BD561" s="41"/>
      <c r="BE561" s="37"/>
      <c r="BF561" s="37"/>
      <c r="BG561" s="37"/>
      <c r="BH561" s="41"/>
    </row>
    <row r="562" spans="2:60" ht="25.15" customHeight="1" x14ac:dyDescent="0.25">
      <c r="B562" s="49">
        <v>558</v>
      </c>
      <c r="C562" s="37"/>
      <c r="D562" s="41"/>
      <c r="E562" s="40"/>
      <c r="F562" s="87" t="str">
        <f>IF(tbl_estimated_costs_quantities[[#This Row],[House Code]]&lt;&gt;"",INDEX(tbl_Assessment[],MATCH(tbl_estimated_costs_quantities[[#This Row],[House Code]],tbl_Assessment[House Code],0),3),"")</f>
        <v/>
      </c>
      <c r="G562" s="115" t="str">
        <f>IF(tbl_estimated_costs_quantities[[#This Row],[House Code]]&lt;&gt;"",INDEX(tbl_Assessment[],MATCH(tbl_estimated_costs_quantities[[#This Row],[House Code]],tbl_Assessment[House Code],0),9),"")</f>
        <v/>
      </c>
      <c r="H56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2" s="75"/>
      <c r="J562" s="37"/>
      <c r="K562" s="86">
        <f>tbl_estimated_costs_quantities[[#This Row],[Site Preparation]]*BOQs!$L$3</f>
        <v>0</v>
      </c>
      <c r="L562" s="76"/>
      <c r="M562" s="37"/>
      <c r="N562" s="86">
        <f>tbl_estimated_costs_quantities[[#This Row],[Demolition Removal Unsafe Structures]]*BOQs!$L$4</f>
        <v>0</v>
      </c>
      <c r="O562" s="76"/>
      <c r="P562" s="37"/>
      <c r="Q562" s="86">
        <f>tbl_estimated_costs_quantities[[#This Row],[Concrete Works]]*BOQs!$L$5</f>
        <v>0</v>
      </c>
      <c r="R562" s="76"/>
      <c r="S562" s="37"/>
      <c r="T562" s="86">
        <f>tbl_estimated_costs_quantities[[#This Row],[Closure External Openings Walls Windows]]*BOQs!$L$6</f>
        <v>0</v>
      </c>
      <c r="U562" s="76"/>
      <c r="V562" s="37"/>
      <c r="W562" s="86">
        <f>tbl_estimated_costs_quantities[[#This Row],[Plastering Painting]]*BOQs!$L$7</f>
        <v>0</v>
      </c>
      <c r="X562" s="76"/>
      <c r="Y562" s="37"/>
      <c r="Z562" s="86">
        <f>tbl_estimated_costs_quantities[[#This Row],[Floor Repairs]]*BOQs!$L$8</f>
        <v>0</v>
      </c>
      <c r="AA562" s="76"/>
      <c r="AB562" s="37"/>
      <c r="AC562" s="86">
        <f>tbl_estimated_costs_quantities[[#This Row],[Doors Replacement Repair]]*BOQs!$L$9</f>
        <v>0</v>
      </c>
      <c r="AD562" s="76"/>
      <c r="AE562" s="37"/>
      <c r="AF562" s="86">
        <f>tbl_estimated_costs_quantities[[#This Row],[Windows Replacement Repair]]*BOQs!$L$10</f>
        <v>0</v>
      </c>
      <c r="AG562" s="76"/>
      <c r="AH562" s="37"/>
      <c r="AI562" s="86">
        <f>tbl_estimated_costs_quantities[[#This Row],[Bathroom Rehabilitation]]*BOQs!$L$11</f>
        <v>0</v>
      </c>
      <c r="AJ562" s="76"/>
      <c r="AK562" s="37"/>
      <c r="AL562" s="86">
        <f>tbl_estimated_costs_quantities[[#This Row],[Ceramic Tile Works WASH]]*BOQs!$L$12</f>
        <v>0</v>
      </c>
      <c r="AM562" s="76"/>
      <c r="AN562" s="37"/>
      <c r="AO562" s="86">
        <f>tbl_estimated_costs_quantities[[#This Row],[Electrical Repairs Lighting]]*BOQs!$L$13</f>
        <v>0</v>
      </c>
      <c r="AP562" s="76"/>
      <c r="AQ562" s="37"/>
      <c r="AR562" s="86">
        <f>tbl_estimated_costs_quantities[[#This Row],[Roof Insulation Leak Sealing]]*BOQs!$L$14</f>
        <v>0</v>
      </c>
      <c r="AS562" s="76"/>
      <c r="AT562" s="37"/>
      <c r="AU562" s="86">
        <f>tbl_estimated_costs_quantities[[#This Row],[Chimney Duct Cleaning Repair]]*BOQs!$L$15</f>
        <v>0</v>
      </c>
      <c r="AV562" s="76"/>
      <c r="AW562" s="37"/>
      <c r="AX562" s="89">
        <f>tbl_estimated_costs_quantities[[#This Row],[Accessibility Adaptations]]*BOQs!$L$16</f>
        <v>0</v>
      </c>
      <c r="AY562" s="86" t="str">
        <f>IF(tbl_estimated_costs_quantities[[#This Row],[Total cost]]&lt;&gt;0,tbl_estimated_costs_quantities[[#This Row],[Total cost]]/BOQs!$A$1,"")</f>
        <v/>
      </c>
      <c r="AZ562" s="37"/>
      <c r="BA562" s="37"/>
      <c r="BB562" s="37"/>
      <c r="BC562" s="37"/>
      <c r="BD562" s="41"/>
      <c r="BE562" s="37"/>
      <c r="BF562" s="37"/>
      <c r="BG562" s="37"/>
      <c r="BH562" s="41"/>
    </row>
    <row r="563" spans="2:60" ht="25.15" customHeight="1" x14ac:dyDescent="0.25">
      <c r="B563" s="49">
        <v>559</v>
      </c>
      <c r="C563" s="37"/>
      <c r="D563" s="41"/>
      <c r="E563" s="40"/>
      <c r="F563" s="87" t="str">
        <f>IF(tbl_estimated_costs_quantities[[#This Row],[House Code]]&lt;&gt;"",INDEX(tbl_Assessment[],MATCH(tbl_estimated_costs_quantities[[#This Row],[House Code]],tbl_Assessment[House Code],0),3),"")</f>
        <v/>
      </c>
      <c r="G563" s="115" t="str">
        <f>IF(tbl_estimated_costs_quantities[[#This Row],[House Code]]&lt;&gt;"",INDEX(tbl_Assessment[],MATCH(tbl_estimated_costs_quantities[[#This Row],[House Code]],tbl_Assessment[House Code],0),9),"")</f>
        <v/>
      </c>
      <c r="H56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3" s="75"/>
      <c r="J563" s="37"/>
      <c r="K563" s="86">
        <f>tbl_estimated_costs_quantities[[#This Row],[Site Preparation]]*BOQs!$L$3</f>
        <v>0</v>
      </c>
      <c r="L563" s="76"/>
      <c r="M563" s="37"/>
      <c r="N563" s="86">
        <f>tbl_estimated_costs_quantities[[#This Row],[Demolition Removal Unsafe Structures]]*BOQs!$L$4</f>
        <v>0</v>
      </c>
      <c r="O563" s="76"/>
      <c r="P563" s="37"/>
      <c r="Q563" s="86">
        <f>tbl_estimated_costs_quantities[[#This Row],[Concrete Works]]*BOQs!$L$5</f>
        <v>0</v>
      </c>
      <c r="R563" s="76"/>
      <c r="S563" s="37"/>
      <c r="T563" s="86">
        <f>tbl_estimated_costs_quantities[[#This Row],[Closure External Openings Walls Windows]]*BOQs!$L$6</f>
        <v>0</v>
      </c>
      <c r="U563" s="76"/>
      <c r="V563" s="37"/>
      <c r="W563" s="86">
        <f>tbl_estimated_costs_quantities[[#This Row],[Plastering Painting]]*BOQs!$L$7</f>
        <v>0</v>
      </c>
      <c r="X563" s="76"/>
      <c r="Y563" s="37"/>
      <c r="Z563" s="86">
        <f>tbl_estimated_costs_quantities[[#This Row],[Floor Repairs]]*BOQs!$L$8</f>
        <v>0</v>
      </c>
      <c r="AA563" s="76"/>
      <c r="AB563" s="37"/>
      <c r="AC563" s="86">
        <f>tbl_estimated_costs_quantities[[#This Row],[Doors Replacement Repair]]*BOQs!$L$9</f>
        <v>0</v>
      </c>
      <c r="AD563" s="76"/>
      <c r="AE563" s="37"/>
      <c r="AF563" s="86">
        <f>tbl_estimated_costs_quantities[[#This Row],[Windows Replacement Repair]]*BOQs!$L$10</f>
        <v>0</v>
      </c>
      <c r="AG563" s="76"/>
      <c r="AH563" s="37"/>
      <c r="AI563" s="86">
        <f>tbl_estimated_costs_quantities[[#This Row],[Bathroom Rehabilitation]]*BOQs!$L$11</f>
        <v>0</v>
      </c>
      <c r="AJ563" s="76"/>
      <c r="AK563" s="37"/>
      <c r="AL563" s="86">
        <f>tbl_estimated_costs_quantities[[#This Row],[Ceramic Tile Works WASH]]*BOQs!$L$12</f>
        <v>0</v>
      </c>
      <c r="AM563" s="76"/>
      <c r="AN563" s="37"/>
      <c r="AO563" s="86">
        <f>tbl_estimated_costs_quantities[[#This Row],[Electrical Repairs Lighting]]*BOQs!$L$13</f>
        <v>0</v>
      </c>
      <c r="AP563" s="76"/>
      <c r="AQ563" s="37"/>
      <c r="AR563" s="86">
        <f>tbl_estimated_costs_quantities[[#This Row],[Roof Insulation Leak Sealing]]*BOQs!$L$14</f>
        <v>0</v>
      </c>
      <c r="AS563" s="76"/>
      <c r="AT563" s="37"/>
      <c r="AU563" s="86">
        <f>tbl_estimated_costs_quantities[[#This Row],[Chimney Duct Cleaning Repair]]*BOQs!$L$15</f>
        <v>0</v>
      </c>
      <c r="AV563" s="76"/>
      <c r="AW563" s="37"/>
      <c r="AX563" s="89">
        <f>tbl_estimated_costs_quantities[[#This Row],[Accessibility Adaptations]]*BOQs!$L$16</f>
        <v>0</v>
      </c>
      <c r="AY563" s="86" t="str">
        <f>IF(tbl_estimated_costs_quantities[[#This Row],[Total cost]]&lt;&gt;0,tbl_estimated_costs_quantities[[#This Row],[Total cost]]/BOQs!$A$1,"")</f>
        <v/>
      </c>
      <c r="AZ563" s="37"/>
      <c r="BA563" s="37"/>
      <c r="BB563" s="37"/>
      <c r="BC563" s="37"/>
      <c r="BD563" s="41"/>
      <c r="BE563" s="37"/>
      <c r="BF563" s="37"/>
      <c r="BG563" s="37"/>
      <c r="BH563" s="41"/>
    </row>
    <row r="564" spans="2:60" ht="25.15" customHeight="1" x14ac:dyDescent="0.25">
      <c r="B564" s="49">
        <v>560</v>
      </c>
      <c r="C564" s="37"/>
      <c r="D564" s="41"/>
      <c r="E564" s="40"/>
      <c r="F564" s="87" t="str">
        <f>IF(tbl_estimated_costs_quantities[[#This Row],[House Code]]&lt;&gt;"",INDEX(tbl_Assessment[],MATCH(tbl_estimated_costs_quantities[[#This Row],[House Code]],tbl_Assessment[House Code],0),3),"")</f>
        <v/>
      </c>
      <c r="G564" s="115" t="str">
        <f>IF(tbl_estimated_costs_quantities[[#This Row],[House Code]]&lt;&gt;"",INDEX(tbl_Assessment[],MATCH(tbl_estimated_costs_quantities[[#This Row],[House Code]],tbl_Assessment[House Code],0),9),"")</f>
        <v/>
      </c>
      <c r="H56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4" s="75"/>
      <c r="J564" s="37"/>
      <c r="K564" s="86">
        <f>tbl_estimated_costs_quantities[[#This Row],[Site Preparation]]*BOQs!$L$3</f>
        <v>0</v>
      </c>
      <c r="L564" s="76"/>
      <c r="M564" s="37"/>
      <c r="N564" s="86">
        <f>tbl_estimated_costs_quantities[[#This Row],[Demolition Removal Unsafe Structures]]*BOQs!$L$4</f>
        <v>0</v>
      </c>
      <c r="O564" s="76"/>
      <c r="P564" s="37"/>
      <c r="Q564" s="86">
        <f>tbl_estimated_costs_quantities[[#This Row],[Concrete Works]]*BOQs!$L$5</f>
        <v>0</v>
      </c>
      <c r="R564" s="76"/>
      <c r="S564" s="37"/>
      <c r="T564" s="86">
        <f>tbl_estimated_costs_quantities[[#This Row],[Closure External Openings Walls Windows]]*BOQs!$L$6</f>
        <v>0</v>
      </c>
      <c r="U564" s="76"/>
      <c r="V564" s="37"/>
      <c r="W564" s="86">
        <f>tbl_estimated_costs_quantities[[#This Row],[Plastering Painting]]*BOQs!$L$7</f>
        <v>0</v>
      </c>
      <c r="X564" s="76"/>
      <c r="Y564" s="37"/>
      <c r="Z564" s="86">
        <f>tbl_estimated_costs_quantities[[#This Row],[Floor Repairs]]*BOQs!$L$8</f>
        <v>0</v>
      </c>
      <c r="AA564" s="76"/>
      <c r="AB564" s="37"/>
      <c r="AC564" s="86">
        <f>tbl_estimated_costs_quantities[[#This Row],[Doors Replacement Repair]]*BOQs!$L$9</f>
        <v>0</v>
      </c>
      <c r="AD564" s="76"/>
      <c r="AE564" s="37"/>
      <c r="AF564" s="86">
        <f>tbl_estimated_costs_quantities[[#This Row],[Windows Replacement Repair]]*BOQs!$L$10</f>
        <v>0</v>
      </c>
      <c r="AG564" s="76"/>
      <c r="AH564" s="37"/>
      <c r="AI564" s="86">
        <f>tbl_estimated_costs_quantities[[#This Row],[Bathroom Rehabilitation]]*BOQs!$L$11</f>
        <v>0</v>
      </c>
      <c r="AJ564" s="76"/>
      <c r="AK564" s="37"/>
      <c r="AL564" s="86">
        <f>tbl_estimated_costs_quantities[[#This Row],[Ceramic Tile Works WASH]]*BOQs!$L$12</f>
        <v>0</v>
      </c>
      <c r="AM564" s="76"/>
      <c r="AN564" s="37"/>
      <c r="AO564" s="86">
        <f>tbl_estimated_costs_quantities[[#This Row],[Electrical Repairs Lighting]]*BOQs!$L$13</f>
        <v>0</v>
      </c>
      <c r="AP564" s="76"/>
      <c r="AQ564" s="37"/>
      <c r="AR564" s="86">
        <f>tbl_estimated_costs_quantities[[#This Row],[Roof Insulation Leak Sealing]]*BOQs!$L$14</f>
        <v>0</v>
      </c>
      <c r="AS564" s="76"/>
      <c r="AT564" s="37"/>
      <c r="AU564" s="86">
        <f>tbl_estimated_costs_quantities[[#This Row],[Chimney Duct Cleaning Repair]]*BOQs!$L$15</f>
        <v>0</v>
      </c>
      <c r="AV564" s="76"/>
      <c r="AW564" s="37"/>
      <c r="AX564" s="89">
        <f>tbl_estimated_costs_quantities[[#This Row],[Accessibility Adaptations]]*BOQs!$L$16</f>
        <v>0</v>
      </c>
      <c r="AY564" s="86" t="str">
        <f>IF(tbl_estimated_costs_quantities[[#This Row],[Total cost]]&lt;&gt;0,tbl_estimated_costs_quantities[[#This Row],[Total cost]]/BOQs!$A$1,"")</f>
        <v/>
      </c>
      <c r="AZ564" s="37"/>
      <c r="BA564" s="37"/>
      <c r="BB564" s="37"/>
      <c r="BC564" s="37"/>
      <c r="BD564" s="41"/>
      <c r="BE564" s="37"/>
      <c r="BF564" s="37"/>
      <c r="BG564" s="37"/>
      <c r="BH564" s="41"/>
    </row>
    <row r="565" spans="2:60" ht="25.15" customHeight="1" x14ac:dyDescent="0.25">
      <c r="B565" s="49">
        <v>561</v>
      </c>
      <c r="C565" s="37"/>
      <c r="D565" s="41"/>
      <c r="E565" s="40"/>
      <c r="F565" s="87" t="str">
        <f>IF(tbl_estimated_costs_quantities[[#This Row],[House Code]]&lt;&gt;"",INDEX(tbl_Assessment[],MATCH(tbl_estimated_costs_quantities[[#This Row],[House Code]],tbl_Assessment[House Code],0),3),"")</f>
        <v/>
      </c>
      <c r="G565" s="115" t="str">
        <f>IF(tbl_estimated_costs_quantities[[#This Row],[House Code]]&lt;&gt;"",INDEX(tbl_Assessment[],MATCH(tbl_estimated_costs_quantities[[#This Row],[House Code]],tbl_Assessment[House Code],0),9),"")</f>
        <v/>
      </c>
      <c r="H56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5" s="75"/>
      <c r="J565" s="37"/>
      <c r="K565" s="86">
        <f>tbl_estimated_costs_quantities[[#This Row],[Site Preparation]]*BOQs!$L$3</f>
        <v>0</v>
      </c>
      <c r="L565" s="76"/>
      <c r="M565" s="37"/>
      <c r="N565" s="86">
        <f>tbl_estimated_costs_quantities[[#This Row],[Demolition Removal Unsafe Structures]]*BOQs!$L$4</f>
        <v>0</v>
      </c>
      <c r="O565" s="76"/>
      <c r="P565" s="37"/>
      <c r="Q565" s="86">
        <f>tbl_estimated_costs_quantities[[#This Row],[Concrete Works]]*BOQs!$L$5</f>
        <v>0</v>
      </c>
      <c r="R565" s="76"/>
      <c r="S565" s="37"/>
      <c r="T565" s="86">
        <f>tbl_estimated_costs_quantities[[#This Row],[Closure External Openings Walls Windows]]*BOQs!$L$6</f>
        <v>0</v>
      </c>
      <c r="U565" s="76"/>
      <c r="V565" s="37"/>
      <c r="W565" s="86">
        <f>tbl_estimated_costs_quantities[[#This Row],[Plastering Painting]]*BOQs!$L$7</f>
        <v>0</v>
      </c>
      <c r="X565" s="76"/>
      <c r="Y565" s="37"/>
      <c r="Z565" s="86">
        <f>tbl_estimated_costs_quantities[[#This Row],[Floor Repairs]]*BOQs!$L$8</f>
        <v>0</v>
      </c>
      <c r="AA565" s="76"/>
      <c r="AB565" s="37"/>
      <c r="AC565" s="86">
        <f>tbl_estimated_costs_quantities[[#This Row],[Doors Replacement Repair]]*BOQs!$L$9</f>
        <v>0</v>
      </c>
      <c r="AD565" s="76"/>
      <c r="AE565" s="37"/>
      <c r="AF565" s="86">
        <f>tbl_estimated_costs_quantities[[#This Row],[Windows Replacement Repair]]*BOQs!$L$10</f>
        <v>0</v>
      </c>
      <c r="AG565" s="76"/>
      <c r="AH565" s="37"/>
      <c r="AI565" s="86">
        <f>tbl_estimated_costs_quantities[[#This Row],[Bathroom Rehabilitation]]*BOQs!$L$11</f>
        <v>0</v>
      </c>
      <c r="AJ565" s="76"/>
      <c r="AK565" s="37"/>
      <c r="AL565" s="86">
        <f>tbl_estimated_costs_quantities[[#This Row],[Ceramic Tile Works WASH]]*BOQs!$L$12</f>
        <v>0</v>
      </c>
      <c r="AM565" s="76"/>
      <c r="AN565" s="37"/>
      <c r="AO565" s="86">
        <f>tbl_estimated_costs_quantities[[#This Row],[Electrical Repairs Lighting]]*BOQs!$L$13</f>
        <v>0</v>
      </c>
      <c r="AP565" s="76"/>
      <c r="AQ565" s="37"/>
      <c r="AR565" s="86">
        <f>tbl_estimated_costs_quantities[[#This Row],[Roof Insulation Leak Sealing]]*BOQs!$L$14</f>
        <v>0</v>
      </c>
      <c r="AS565" s="76"/>
      <c r="AT565" s="37"/>
      <c r="AU565" s="86">
        <f>tbl_estimated_costs_quantities[[#This Row],[Chimney Duct Cleaning Repair]]*BOQs!$L$15</f>
        <v>0</v>
      </c>
      <c r="AV565" s="76"/>
      <c r="AW565" s="37"/>
      <c r="AX565" s="89">
        <f>tbl_estimated_costs_quantities[[#This Row],[Accessibility Adaptations]]*BOQs!$L$16</f>
        <v>0</v>
      </c>
      <c r="AY565" s="86" t="str">
        <f>IF(tbl_estimated_costs_quantities[[#This Row],[Total cost]]&lt;&gt;0,tbl_estimated_costs_quantities[[#This Row],[Total cost]]/BOQs!$A$1,"")</f>
        <v/>
      </c>
      <c r="AZ565" s="37"/>
      <c r="BA565" s="37"/>
      <c r="BB565" s="37"/>
      <c r="BC565" s="37"/>
      <c r="BD565" s="41"/>
      <c r="BE565" s="37"/>
      <c r="BF565" s="37"/>
      <c r="BG565" s="37"/>
      <c r="BH565" s="41"/>
    </row>
    <row r="566" spans="2:60" ht="25.15" customHeight="1" x14ac:dyDescent="0.25">
      <c r="B566" s="49">
        <v>562</v>
      </c>
      <c r="C566" s="37"/>
      <c r="D566" s="41"/>
      <c r="E566" s="40"/>
      <c r="F566" s="87" t="str">
        <f>IF(tbl_estimated_costs_quantities[[#This Row],[House Code]]&lt;&gt;"",INDEX(tbl_Assessment[],MATCH(tbl_estimated_costs_quantities[[#This Row],[House Code]],tbl_Assessment[House Code],0),3),"")</f>
        <v/>
      </c>
      <c r="G566" s="115" t="str">
        <f>IF(tbl_estimated_costs_quantities[[#This Row],[House Code]]&lt;&gt;"",INDEX(tbl_Assessment[],MATCH(tbl_estimated_costs_quantities[[#This Row],[House Code]],tbl_Assessment[House Code],0),9),"")</f>
        <v/>
      </c>
      <c r="H56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6" s="75"/>
      <c r="J566" s="37"/>
      <c r="K566" s="86">
        <f>tbl_estimated_costs_quantities[[#This Row],[Site Preparation]]*BOQs!$L$3</f>
        <v>0</v>
      </c>
      <c r="L566" s="76"/>
      <c r="M566" s="37"/>
      <c r="N566" s="86">
        <f>tbl_estimated_costs_quantities[[#This Row],[Demolition Removal Unsafe Structures]]*BOQs!$L$4</f>
        <v>0</v>
      </c>
      <c r="O566" s="76"/>
      <c r="P566" s="37"/>
      <c r="Q566" s="86">
        <f>tbl_estimated_costs_quantities[[#This Row],[Concrete Works]]*BOQs!$L$5</f>
        <v>0</v>
      </c>
      <c r="R566" s="76"/>
      <c r="S566" s="37"/>
      <c r="T566" s="86">
        <f>tbl_estimated_costs_quantities[[#This Row],[Closure External Openings Walls Windows]]*BOQs!$L$6</f>
        <v>0</v>
      </c>
      <c r="U566" s="76"/>
      <c r="V566" s="37"/>
      <c r="W566" s="86">
        <f>tbl_estimated_costs_quantities[[#This Row],[Plastering Painting]]*BOQs!$L$7</f>
        <v>0</v>
      </c>
      <c r="X566" s="76"/>
      <c r="Y566" s="37"/>
      <c r="Z566" s="86">
        <f>tbl_estimated_costs_quantities[[#This Row],[Floor Repairs]]*BOQs!$L$8</f>
        <v>0</v>
      </c>
      <c r="AA566" s="76"/>
      <c r="AB566" s="37"/>
      <c r="AC566" s="86">
        <f>tbl_estimated_costs_quantities[[#This Row],[Doors Replacement Repair]]*BOQs!$L$9</f>
        <v>0</v>
      </c>
      <c r="AD566" s="76"/>
      <c r="AE566" s="37"/>
      <c r="AF566" s="86">
        <f>tbl_estimated_costs_quantities[[#This Row],[Windows Replacement Repair]]*BOQs!$L$10</f>
        <v>0</v>
      </c>
      <c r="AG566" s="76"/>
      <c r="AH566" s="37"/>
      <c r="AI566" s="86">
        <f>tbl_estimated_costs_quantities[[#This Row],[Bathroom Rehabilitation]]*BOQs!$L$11</f>
        <v>0</v>
      </c>
      <c r="AJ566" s="76"/>
      <c r="AK566" s="37"/>
      <c r="AL566" s="86">
        <f>tbl_estimated_costs_quantities[[#This Row],[Ceramic Tile Works WASH]]*BOQs!$L$12</f>
        <v>0</v>
      </c>
      <c r="AM566" s="76"/>
      <c r="AN566" s="37"/>
      <c r="AO566" s="86">
        <f>tbl_estimated_costs_quantities[[#This Row],[Electrical Repairs Lighting]]*BOQs!$L$13</f>
        <v>0</v>
      </c>
      <c r="AP566" s="76"/>
      <c r="AQ566" s="37"/>
      <c r="AR566" s="86">
        <f>tbl_estimated_costs_quantities[[#This Row],[Roof Insulation Leak Sealing]]*BOQs!$L$14</f>
        <v>0</v>
      </c>
      <c r="AS566" s="76"/>
      <c r="AT566" s="37"/>
      <c r="AU566" s="86">
        <f>tbl_estimated_costs_quantities[[#This Row],[Chimney Duct Cleaning Repair]]*BOQs!$L$15</f>
        <v>0</v>
      </c>
      <c r="AV566" s="76"/>
      <c r="AW566" s="37"/>
      <c r="AX566" s="89">
        <f>tbl_estimated_costs_quantities[[#This Row],[Accessibility Adaptations]]*BOQs!$L$16</f>
        <v>0</v>
      </c>
      <c r="AY566" s="86" t="str">
        <f>IF(tbl_estimated_costs_quantities[[#This Row],[Total cost]]&lt;&gt;0,tbl_estimated_costs_quantities[[#This Row],[Total cost]]/BOQs!$A$1,"")</f>
        <v/>
      </c>
      <c r="AZ566" s="37"/>
      <c r="BA566" s="37"/>
      <c r="BB566" s="37"/>
      <c r="BC566" s="37"/>
      <c r="BD566" s="41"/>
      <c r="BE566" s="37"/>
      <c r="BF566" s="37"/>
      <c r="BG566" s="37"/>
      <c r="BH566" s="41"/>
    </row>
    <row r="567" spans="2:60" ht="25.15" customHeight="1" x14ac:dyDescent="0.25">
      <c r="B567" s="49">
        <v>563</v>
      </c>
      <c r="C567" s="37"/>
      <c r="D567" s="41"/>
      <c r="E567" s="40"/>
      <c r="F567" s="87" t="str">
        <f>IF(tbl_estimated_costs_quantities[[#This Row],[House Code]]&lt;&gt;"",INDEX(tbl_Assessment[],MATCH(tbl_estimated_costs_quantities[[#This Row],[House Code]],tbl_Assessment[House Code],0),3),"")</f>
        <v/>
      </c>
      <c r="G567" s="115" t="str">
        <f>IF(tbl_estimated_costs_quantities[[#This Row],[House Code]]&lt;&gt;"",INDEX(tbl_Assessment[],MATCH(tbl_estimated_costs_quantities[[#This Row],[House Code]],tbl_Assessment[House Code],0),9),"")</f>
        <v/>
      </c>
      <c r="H56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7" s="75"/>
      <c r="J567" s="37"/>
      <c r="K567" s="86">
        <f>tbl_estimated_costs_quantities[[#This Row],[Site Preparation]]*BOQs!$L$3</f>
        <v>0</v>
      </c>
      <c r="L567" s="76"/>
      <c r="M567" s="37"/>
      <c r="N567" s="86">
        <f>tbl_estimated_costs_quantities[[#This Row],[Demolition Removal Unsafe Structures]]*BOQs!$L$4</f>
        <v>0</v>
      </c>
      <c r="O567" s="76"/>
      <c r="P567" s="37"/>
      <c r="Q567" s="86">
        <f>tbl_estimated_costs_quantities[[#This Row],[Concrete Works]]*BOQs!$L$5</f>
        <v>0</v>
      </c>
      <c r="R567" s="76"/>
      <c r="S567" s="37"/>
      <c r="T567" s="86">
        <f>tbl_estimated_costs_quantities[[#This Row],[Closure External Openings Walls Windows]]*BOQs!$L$6</f>
        <v>0</v>
      </c>
      <c r="U567" s="76"/>
      <c r="V567" s="37"/>
      <c r="W567" s="86">
        <f>tbl_estimated_costs_quantities[[#This Row],[Plastering Painting]]*BOQs!$L$7</f>
        <v>0</v>
      </c>
      <c r="X567" s="76"/>
      <c r="Y567" s="37"/>
      <c r="Z567" s="86">
        <f>tbl_estimated_costs_quantities[[#This Row],[Floor Repairs]]*BOQs!$L$8</f>
        <v>0</v>
      </c>
      <c r="AA567" s="76"/>
      <c r="AB567" s="37"/>
      <c r="AC567" s="86">
        <f>tbl_estimated_costs_quantities[[#This Row],[Doors Replacement Repair]]*BOQs!$L$9</f>
        <v>0</v>
      </c>
      <c r="AD567" s="76"/>
      <c r="AE567" s="37"/>
      <c r="AF567" s="86">
        <f>tbl_estimated_costs_quantities[[#This Row],[Windows Replacement Repair]]*BOQs!$L$10</f>
        <v>0</v>
      </c>
      <c r="AG567" s="76"/>
      <c r="AH567" s="37"/>
      <c r="AI567" s="86">
        <f>tbl_estimated_costs_quantities[[#This Row],[Bathroom Rehabilitation]]*BOQs!$L$11</f>
        <v>0</v>
      </c>
      <c r="AJ567" s="76"/>
      <c r="AK567" s="37"/>
      <c r="AL567" s="86">
        <f>tbl_estimated_costs_quantities[[#This Row],[Ceramic Tile Works WASH]]*BOQs!$L$12</f>
        <v>0</v>
      </c>
      <c r="AM567" s="76"/>
      <c r="AN567" s="37"/>
      <c r="AO567" s="86">
        <f>tbl_estimated_costs_quantities[[#This Row],[Electrical Repairs Lighting]]*BOQs!$L$13</f>
        <v>0</v>
      </c>
      <c r="AP567" s="76"/>
      <c r="AQ567" s="37"/>
      <c r="AR567" s="86">
        <f>tbl_estimated_costs_quantities[[#This Row],[Roof Insulation Leak Sealing]]*BOQs!$L$14</f>
        <v>0</v>
      </c>
      <c r="AS567" s="76"/>
      <c r="AT567" s="37"/>
      <c r="AU567" s="86">
        <f>tbl_estimated_costs_quantities[[#This Row],[Chimney Duct Cleaning Repair]]*BOQs!$L$15</f>
        <v>0</v>
      </c>
      <c r="AV567" s="76"/>
      <c r="AW567" s="37"/>
      <c r="AX567" s="89">
        <f>tbl_estimated_costs_quantities[[#This Row],[Accessibility Adaptations]]*BOQs!$L$16</f>
        <v>0</v>
      </c>
      <c r="AY567" s="86" t="str">
        <f>IF(tbl_estimated_costs_quantities[[#This Row],[Total cost]]&lt;&gt;0,tbl_estimated_costs_quantities[[#This Row],[Total cost]]/BOQs!$A$1,"")</f>
        <v/>
      </c>
      <c r="AZ567" s="37"/>
      <c r="BA567" s="37"/>
      <c r="BB567" s="37"/>
      <c r="BC567" s="37"/>
      <c r="BD567" s="41"/>
      <c r="BE567" s="37"/>
      <c r="BF567" s="37"/>
      <c r="BG567" s="37"/>
      <c r="BH567" s="41"/>
    </row>
    <row r="568" spans="2:60" ht="25.15" customHeight="1" x14ac:dyDescent="0.25">
      <c r="B568" s="49">
        <v>564</v>
      </c>
      <c r="C568" s="37"/>
      <c r="D568" s="41"/>
      <c r="E568" s="40"/>
      <c r="F568" s="87" t="str">
        <f>IF(tbl_estimated_costs_quantities[[#This Row],[House Code]]&lt;&gt;"",INDEX(tbl_Assessment[],MATCH(tbl_estimated_costs_quantities[[#This Row],[House Code]],tbl_Assessment[House Code],0),3),"")</f>
        <v/>
      </c>
      <c r="G568" s="115" t="str">
        <f>IF(tbl_estimated_costs_quantities[[#This Row],[House Code]]&lt;&gt;"",INDEX(tbl_Assessment[],MATCH(tbl_estimated_costs_quantities[[#This Row],[House Code]],tbl_Assessment[House Code],0),9),"")</f>
        <v/>
      </c>
      <c r="H56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8" s="75"/>
      <c r="J568" s="37"/>
      <c r="K568" s="86">
        <f>tbl_estimated_costs_quantities[[#This Row],[Site Preparation]]*BOQs!$L$3</f>
        <v>0</v>
      </c>
      <c r="L568" s="76"/>
      <c r="M568" s="37"/>
      <c r="N568" s="86">
        <f>tbl_estimated_costs_quantities[[#This Row],[Demolition Removal Unsafe Structures]]*BOQs!$L$4</f>
        <v>0</v>
      </c>
      <c r="O568" s="76"/>
      <c r="P568" s="37"/>
      <c r="Q568" s="86">
        <f>tbl_estimated_costs_quantities[[#This Row],[Concrete Works]]*BOQs!$L$5</f>
        <v>0</v>
      </c>
      <c r="R568" s="76"/>
      <c r="S568" s="37"/>
      <c r="T568" s="86">
        <f>tbl_estimated_costs_quantities[[#This Row],[Closure External Openings Walls Windows]]*BOQs!$L$6</f>
        <v>0</v>
      </c>
      <c r="U568" s="76"/>
      <c r="V568" s="37"/>
      <c r="W568" s="86">
        <f>tbl_estimated_costs_quantities[[#This Row],[Plastering Painting]]*BOQs!$L$7</f>
        <v>0</v>
      </c>
      <c r="X568" s="76"/>
      <c r="Y568" s="37"/>
      <c r="Z568" s="86">
        <f>tbl_estimated_costs_quantities[[#This Row],[Floor Repairs]]*BOQs!$L$8</f>
        <v>0</v>
      </c>
      <c r="AA568" s="76"/>
      <c r="AB568" s="37"/>
      <c r="AC568" s="86">
        <f>tbl_estimated_costs_quantities[[#This Row],[Doors Replacement Repair]]*BOQs!$L$9</f>
        <v>0</v>
      </c>
      <c r="AD568" s="76"/>
      <c r="AE568" s="37"/>
      <c r="AF568" s="86">
        <f>tbl_estimated_costs_quantities[[#This Row],[Windows Replacement Repair]]*BOQs!$L$10</f>
        <v>0</v>
      </c>
      <c r="AG568" s="76"/>
      <c r="AH568" s="37"/>
      <c r="AI568" s="86">
        <f>tbl_estimated_costs_quantities[[#This Row],[Bathroom Rehabilitation]]*BOQs!$L$11</f>
        <v>0</v>
      </c>
      <c r="AJ568" s="76"/>
      <c r="AK568" s="37"/>
      <c r="AL568" s="86">
        <f>tbl_estimated_costs_quantities[[#This Row],[Ceramic Tile Works WASH]]*BOQs!$L$12</f>
        <v>0</v>
      </c>
      <c r="AM568" s="76"/>
      <c r="AN568" s="37"/>
      <c r="AO568" s="86">
        <f>tbl_estimated_costs_quantities[[#This Row],[Electrical Repairs Lighting]]*BOQs!$L$13</f>
        <v>0</v>
      </c>
      <c r="AP568" s="76"/>
      <c r="AQ568" s="37"/>
      <c r="AR568" s="86">
        <f>tbl_estimated_costs_quantities[[#This Row],[Roof Insulation Leak Sealing]]*BOQs!$L$14</f>
        <v>0</v>
      </c>
      <c r="AS568" s="76"/>
      <c r="AT568" s="37"/>
      <c r="AU568" s="86">
        <f>tbl_estimated_costs_quantities[[#This Row],[Chimney Duct Cleaning Repair]]*BOQs!$L$15</f>
        <v>0</v>
      </c>
      <c r="AV568" s="76"/>
      <c r="AW568" s="37"/>
      <c r="AX568" s="89">
        <f>tbl_estimated_costs_quantities[[#This Row],[Accessibility Adaptations]]*BOQs!$L$16</f>
        <v>0</v>
      </c>
      <c r="AY568" s="86" t="str">
        <f>IF(tbl_estimated_costs_quantities[[#This Row],[Total cost]]&lt;&gt;0,tbl_estimated_costs_quantities[[#This Row],[Total cost]]/BOQs!$A$1,"")</f>
        <v/>
      </c>
      <c r="AZ568" s="37"/>
      <c r="BA568" s="37"/>
      <c r="BB568" s="37"/>
      <c r="BC568" s="37"/>
      <c r="BD568" s="41"/>
      <c r="BE568" s="37"/>
      <c r="BF568" s="37"/>
      <c r="BG568" s="37"/>
      <c r="BH568" s="41"/>
    </row>
    <row r="569" spans="2:60" ht="25.15" customHeight="1" x14ac:dyDescent="0.25">
      <c r="B569" s="49">
        <v>565</v>
      </c>
      <c r="C569" s="37"/>
      <c r="D569" s="41"/>
      <c r="E569" s="40"/>
      <c r="F569" s="87" t="str">
        <f>IF(tbl_estimated_costs_quantities[[#This Row],[House Code]]&lt;&gt;"",INDEX(tbl_Assessment[],MATCH(tbl_estimated_costs_quantities[[#This Row],[House Code]],tbl_Assessment[House Code],0),3),"")</f>
        <v/>
      </c>
      <c r="G569" s="115" t="str">
        <f>IF(tbl_estimated_costs_quantities[[#This Row],[House Code]]&lt;&gt;"",INDEX(tbl_Assessment[],MATCH(tbl_estimated_costs_quantities[[#This Row],[House Code]],tbl_Assessment[House Code],0),9),"")</f>
        <v/>
      </c>
      <c r="H56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69" s="75"/>
      <c r="J569" s="37"/>
      <c r="K569" s="86">
        <f>tbl_estimated_costs_quantities[[#This Row],[Site Preparation]]*BOQs!$L$3</f>
        <v>0</v>
      </c>
      <c r="L569" s="76"/>
      <c r="M569" s="37"/>
      <c r="N569" s="86">
        <f>tbl_estimated_costs_quantities[[#This Row],[Demolition Removal Unsafe Structures]]*BOQs!$L$4</f>
        <v>0</v>
      </c>
      <c r="O569" s="76"/>
      <c r="P569" s="37"/>
      <c r="Q569" s="86">
        <f>tbl_estimated_costs_quantities[[#This Row],[Concrete Works]]*BOQs!$L$5</f>
        <v>0</v>
      </c>
      <c r="R569" s="76"/>
      <c r="S569" s="37"/>
      <c r="T569" s="86">
        <f>tbl_estimated_costs_quantities[[#This Row],[Closure External Openings Walls Windows]]*BOQs!$L$6</f>
        <v>0</v>
      </c>
      <c r="U569" s="76"/>
      <c r="V569" s="37"/>
      <c r="W569" s="86">
        <f>tbl_estimated_costs_quantities[[#This Row],[Plastering Painting]]*BOQs!$L$7</f>
        <v>0</v>
      </c>
      <c r="X569" s="76"/>
      <c r="Y569" s="37"/>
      <c r="Z569" s="86">
        <f>tbl_estimated_costs_quantities[[#This Row],[Floor Repairs]]*BOQs!$L$8</f>
        <v>0</v>
      </c>
      <c r="AA569" s="76"/>
      <c r="AB569" s="37"/>
      <c r="AC569" s="86">
        <f>tbl_estimated_costs_quantities[[#This Row],[Doors Replacement Repair]]*BOQs!$L$9</f>
        <v>0</v>
      </c>
      <c r="AD569" s="76"/>
      <c r="AE569" s="37"/>
      <c r="AF569" s="86">
        <f>tbl_estimated_costs_quantities[[#This Row],[Windows Replacement Repair]]*BOQs!$L$10</f>
        <v>0</v>
      </c>
      <c r="AG569" s="76"/>
      <c r="AH569" s="37"/>
      <c r="AI569" s="86">
        <f>tbl_estimated_costs_quantities[[#This Row],[Bathroom Rehabilitation]]*BOQs!$L$11</f>
        <v>0</v>
      </c>
      <c r="AJ569" s="76"/>
      <c r="AK569" s="37"/>
      <c r="AL569" s="86">
        <f>tbl_estimated_costs_quantities[[#This Row],[Ceramic Tile Works WASH]]*BOQs!$L$12</f>
        <v>0</v>
      </c>
      <c r="AM569" s="76"/>
      <c r="AN569" s="37"/>
      <c r="AO569" s="86">
        <f>tbl_estimated_costs_quantities[[#This Row],[Electrical Repairs Lighting]]*BOQs!$L$13</f>
        <v>0</v>
      </c>
      <c r="AP569" s="76"/>
      <c r="AQ569" s="37"/>
      <c r="AR569" s="86">
        <f>tbl_estimated_costs_quantities[[#This Row],[Roof Insulation Leak Sealing]]*BOQs!$L$14</f>
        <v>0</v>
      </c>
      <c r="AS569" s="76"/>
      <c r="AT569" s="37"/>
      <c r="AU569" s="86">
        <f>tbl_estimated_costs_quantities[[#This Row],[Chimney Duct Cleaning Repair]]*BOQs!$L$15</f>
        <v>0</v>
      </c>
      <c r="AV569" s="76"/>
      <c r="AW569" s="37"/>
      <c r="AX569" s="89">
        <f>tbl_estimated_costs_quantities[[#This Row],[Accessibility Adaptations]]*BOQs!$L$16</f>
        <v>0</v>
      </c>
      <c r="AY569" s="86" t="str">
        <f>IF(tbl_estimated_costs_quantities[[#This Row],[Total cost]]&lt;&gt;0,tbl_estimated_costs_quantities[[#This Row],[Total cost]]/BOQs!$A$1,"")</f>
        <v/>
      </c>
      <c r="AZ569" s="37"/>
      <c r="BA569" s="37"/>
      <c r="BB569" s="37"/>
      <c r="BC569" s="37"/>
      <c r="BD569" s="41"/>
      <c r="BE569" s="37"/>
      <c r="BF569" s="37"/>
      <c r="BG569" s="37"/>
      <c r="BH569" s="41"/>
    </row>
    <row r="570" spans="2:60" ht="25.15" customHeight="1" x14ac:dyDescent="0.25">
      <c r="B570" s="49">
        <v>566</v>
      </c>
      <c r="C570" s="37"/>
      <c r="D570" s="41"/>
      <c r="E570" s="40"/>
      <c r="F570" s="87" t="str">
        <f>IF(tbl_estimated_costs_quantities[[#This Row],[House Code]]&lt;&gt;"",INDEX(tbl_Assessment[],MATCH(tbl_estimated_costs_quantities[[#This Row],[House Code]],tbl_Assessment[House Code],0),3),"")</f>
        <v/>
      </c>
      <c r="G570" s="115" t="str">
        <f>IF(tbl_estimated_costs_quantities[[#This Row],[House Code]]&lt;&gt;"",INDEX(tbl_Assessment[],MATCH(tbl_estimated_costs_quantities[[#This Row],[House Code]],tbl_Assessment[House Code],0),9),"")</f>
        <v/>
      </c>
      <c r="H57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0" s="75"/>
      <c r="J570" s="37"/>
      <c r="K570" s="86">
        <f>tbl_estimated_costs_quantities[[#This Row],[Site Preparation]]*BOQs!$L$3</f>
        <v>0</v>
      </c>
      <c r="L570" s="76"/>
      <c r="M570" s="37"/>
      <c r="N570" s="86">
        <f>tbl_estimated_costs_quantities[[#This Row],[Demolition Removal Unsafe Structures]]*BOQs!$L$4</f>
        <v>0</v>
      </c>
      <c r="O570" s="76"/>
      <c r="P570" s="37"/>
      <c r="Q570" s="86">
        <f>tbl_estimated_costs_quantities[[#This Row],[Concrete Works]]*BOQs!$L$5</f>
        <v>0</v>
      </c>
      <c r="R570" s="76"/>
      <c r="S570" s="37"/>
      <c r="T570" s="86">
        <f>tbl_estimated_costs_quantities[[#This Row],[Closure External Openings Walls Windows]]*BOQs!$L$6</f>
        <v>0</v>
      </c>
      <c r="U570" s="76"/>
      <c r="V570" s="37"/>
      <c r="W570" s="86">
        <f>tbl_estimated_costs_quantities[[#This Row],[Plastering Painting]]*BOQs!$L$7</f>
        <v>0</v>
      </c>
      <c r="X570" s="76"/>
      <c r="Y570" s="37"/>
      <c r="Z570" s="86">
        <f>tbl_estimated_costs_quantities[[#This Row],[Floor Repairs]]*BOQs!$L$8</f>
        <v>0</v>
      </c>
      <c r="AA570" s="76"/>
      <c r="AB570" s="37"/>
      <c r="AC570" s="86">
        <f>tbl_estimated_costs_quantities[[#This Row],[Doors Replacement Repair]]*BOQs!$L$9</f>
        <v>0</v>
      </c>
      <c r="AD570" s="76"/>
      <c r="AE570" s="37"/>
      <c r="AF570" s="86">
        <f>tbl_estimated_costs_quantities[[#This Row],[Windows Replacement Repair]]*BOQs!$L$10</f>
        <v>0</v>
      </c>
      <c r="AG570" s="76"/>
      <c r="AH570" s="37"/>
      <c r="AI570" s="86">
        <f>tbl_estimated_costs_quantities[[#This Row],[Bathroom Rehabilitation]]*BOQs!$L$11</f>
        <v>0</v>
      </c>
      <c r="AJ570" s="76"/>
      <c r="AK570" s="37"/>
      <c r="AL570" s="86">
        <f>tbl_estimated_costs_quantities[[#This Row],[Ceramic Tile Works WASH]]*BOQs!$L$12</f>
        <v>0</v>
      </c>
      <c r="AM570" s="76"/>
      <c r="AN570" s="37"/>
      <c r="AO570" s="86">
        <f>tbl_estimated_costs_quantities[[#This Row],[Electrical Repairs Lighting]]*BOQs!$L$13</f>
        <v>0</v>
      </c>
      <c r="AP570" s="76"/>
      <c r="AQ570" s="37"/>
      <c r="AR570" s="86">
        <f>tbl_estimated_costs_quantities[[#This Row],[Roof Insulation Leak Sealing]]*BOQs!$L$14</f>
        <v>0</v>
      </c>
      <c r="AS570" s="76"/>
      <c r="AT570" s="37"/>
      <c r="AU570" s="86">
        <f>tbl_estimated_costs_quantities[[#This Row],[Chimney Duct Cleaning Repair]]*BOQs!$L$15</f>
        <v>0</v>
      </c>
      <c r="AV570" s="76"/>
      <c r="AW570" s="37"/>
      <c r="AX570" s="89">
        <f>tbl_estimated_costs_quantities[[#This Row],[Accessibility Adaptations]]*BOQs!$L$16</f>
        <v>0</v>
      </c>
      <c r="AY570" s="86" t="str">
        <f>IF(tbl_estimated_costs_quantities[[#This Row],[Total cost]]&lt;&gt;0,tbl_estimated_costs_quantities[[#This Row],[Total cost]]/BOQs!$A$1,"")</f>
        <v/>
      </c>
      <c r="AZ570" s="37"/>
      <c r="BA570" s="37"/>
      <c r="BB570" s="37"/>
      <c r="BC570" s="37"/>
      <c r="BD570" s="41"/>
      <c r="BE570" s="37"/>
      <c r="BF570" s="37"/>
      <c r="BG570" s="37"/>
      <c r="BH570" s="41"/>
    </row>
    <row r="571" spans="2:60" ht="25.15" customHeight="1" x14ac:dyDescent="0.25">
      <c r="B571" s="49">
        <v>567</v>
      </c>
      <c r="C571" s="37"/>
      <c r="D571" s="41"/>
      <c r="E571" s="40"/>
      <c r="F571" s="87" t="str">
        <f>IF(tbl_estimated_costs_quantities[[#This Row],[House Code]]&lt;&gt;"",INDEX(tbl_Assessment[],MATCH(tbl_estimated_costs_quantities[[#This Row],[House Code]],tbl_Assessment[House Code],0),3),"")</f>
        <v/>
      </c>
      <c r="G571" s="115" t="str">
        <f>IF(tbl_estimated_costs_quantities[[#This Row],[House Code]]&lt;&gt;"",INDEX(tbl_Assessment[],MATCH(tbl_estimated_costs_quantities[[#This Row],[House Code]],tbl_Assessment[House Code],0),9),"")</f>
        <v/>
      </c>
      <c r="H57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1" s="75"/>
      <c r="J571" s="37"/>
      <c r="K571" s="86">
        <f>tbl_estimated_costs_quantities[[#This Row],[Site Preparation]]*BOQs!$L$3</f>
        <v>0</v>
      </c>
      <c r="L571" s="76"/>
      <c r="M571" s="37"/>
      <c r="N571" s="86">
        <f>tbl_estimated_costs_quantities[[#This Row],[Demolition Removal Unsafe Structures]]*BOQs!$L$4</f>
        <v>0</v>
      </c>
      <c r="O571" s="76"/>
      <c r="P571" s="37"/>
      <c r="Q571" s="86">
        <f>tbl_estimated_costs_quantities[[#This Row],[Concrete Works]]*BOQs!$L$5</f>
        <v>0</v>
      </c>
      <c r="R571" s="76"/>
      <c r="S571" s="37"/>
      <c r="T571" s="86">
        <f>tbl_estimated_costs_quantities[[#This Row],[Closure External Openings Walls Windows]]*BOQs!$L$6</f>
        <v>0</v>
      </c>
      <c r="U571" s="76"/>
      <c r="V571" s="37"/>
      <c r="W571" s="86">
        <f>tbl_estimated_costs_quantities[[#This Row],[Plastering Painting]]*BOQs!$L$7</f>
        <v>0</v>
      </c>
      <c r="X571" s="76"/>
      <c r="Y571" s="37"/>
      <c r="Z571" s="86">
        <f>tbl_estimated_costs_quantities[[#This Row],[Floor Repairs]]*BOQs!$L$8</f>
        <v>0</v>
      </c>
      <c r="AA571" s="76"/>
      <c r="AB571" s="37"/>
      <c r="AC571" s="86">
        <f>tbl_estimated_costs_quantities[[#This Row],[Doors Replacement Repair]]*BOQs!$L$9</f>
        <v>0</v>
      </c>
      <c r="AD571" s="76"/>
      <c r="AE571" s="37"/>
      <c r="AF571" s="86">
        <f>tbl_estimated_costs_quantities[[#This Row],[Windows Replacement Repair]]*BOQs!$L$10</f>
        <v>0</v>
      </c>
      <c r="AG571" s="76"/>
      <c r="AH571" s="37"/>
      <c r="AI571" s="86">
        <f>tbl_estimated_costs_quantities[[#This Row],[Bathroom Rehabilitation]]*BOQs!$L$11</f>
        <v>0</v>
      </c>
      <c r="AJ571" s="76"/>
      <c r="AK571" s="37"/>
      <c r="AL571" s="86">
        <f>tbl_estimated_costs_quantities[[#This Row],[Ceramic Tile Works WASH]]*BOQs!$L$12</f>
        <v>0</v>
      </c>
      <c r="AM571" s="76"/>
      <c r="AN571" s="37"/>
      <c r="AO571" s="86">
        <f>tbl_estimated_costs_quantities[[#This Row],[Electrical Repairs Lighting]]*BOQs!$L$13</f>
        <v>0</v>
      </c>
      <c r="AP571" s="76"/>
      <c r="AQ571" s="37"/>
      <c r="AR571" s="86">
        <f>tbl_estimated_costs_quantities[[#This Row],[Roof Insulation Leak Sealing]]*BOQs!$L$14</f>
        <v>0</v>
      </c>
      <c r="AS571" s="76"/>
      <c r="AT571" s="37"/>
      <c r="AU571" s="86">
        <f>tbl_estimated_costs_quantities[[#This Row],[Chimney Duct Cleaning Repair]]*BOQs!$L$15</f>
        <v>0</v>
      </c>
      <c r="AV571" s="76"/>
      <c r="AW571" s="37"/>
      <c r="AX571" s="89">
        <f>tbl_estimated_costs_quantities[[#This Row],[Accessibility Adaptations]]*BOQs!$L$16</f>
        <v>0</v>
      </c>
      <c r="AY571" s="86" t="str">
        <f>IF(tbl_estimated_costs_quantities[[#This Row],[Total cost]]&lt;&gt;0,tbl_estimated_costs_quantities[[#This Row],[Total cost]]/BOQs!$A$1,"")</f>
        <v/>
      </c>
      <c r="AZ571" s="37"/>
      <c r="BA571" s="37"/>
      <c r="BB571" s="37"/>
      <c r="BC571" s="37"/>
      <c r="BD571" s="41"/>
      <c r="BE571" s="37"/>
      <c r="BF571" s="37"/>
      <c r="BG571" s="37"/>
      <c r="BH571" s="41"/>
    </row>
    <row r="572" spans="2:60" ht="25.15" customHeight="1" x14ac:dyDescent="0.25">
      <c r="B572" s="49">
        <v>568</v>
      </c>
      <c r="C572" s="37"/>
      <c r="D572" s="41"/>
      <c r="E572" s="40"/>
      <c r="F572" s="87" t="str">
        <f>IF(tbl_estimated_costs_quantities[[#This Row],[House Code]]&lt;&gt;"",INDEX(tbl_Assessment[],MATCH(tbl_estimated_costs_quantities[[#This Row],[House Code]],tbl_Assessment[House Code],0),3),"")</f>
        <v/>
      </c>
      <c r="G572" s="115" t="str">
        <f>IF(tbl_estimated_costs_quantities[[#This Row],[House Code]]&lt;&gt;"",INDEX(tbl_Assessment[],MATCH(tbl_estimated_costs_quantities[[#This Row],[House Code]],tbl_Assessment[House Code],0),9),"")</f>
        <v/>
      </c>
      <c r="H57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2" s="75"/>
      <c r="J572" s="37"/>
      <c r="K572" s="86">
        <f>tbl_estimated_costs_quantities[[#This Row],[Site Preparation]]*BOQs!$L$3</f>
        <v>0</v>
      </c>
      <c r="L572" s="76"/>
      <c r="M572" s="37"/>
      <c r="N572" s="86">
        <f>tbl_estimated_costs_quantities[[#This Row],[Demolition Removal Unsafe Structures]]*BOQs!$L$4</f>
        <v>0</v>
      </c>
      <c r="O572" s="76"/>
      <c r="P572" s="37"/>
      <c r="Q572" s="86">
        <f>tbl_estimated_costs_quantities[[#This Row],[Concrete Works]]*BOQs!$L$5</f>
        <v>0</v>
      </c>
      <c r="R572" s="76"/>
      <c r="S572" s="37"/>
      <c r="T572" s="86">
        <f>tbl_estimated_costs_quantities[[#This Row],[Closure External Openings Walls Windows]]*BOQs!$L$6</f>
        <v>0</v>
      </c>
      <c r="U572" s="76"/>
      <c r="V572" s="37"/>
      <c r="W572" s="86">
        <f>tbl_estimated_costs_quantities[[#This Row],[Plastering Painting]]*BOQs!$L$7</f>
        <v>0</v>
      </c>
      <c r="X572" s="76"/>
      <c r="Y572" s="37"/>
      <c r="Z572" s="86">
        <f>tbl_estimated_costs_quantities[[#This Row],[Floor Repairs]]*BOQs!$L$8</f>
        <v>0</v>
      </c>
      <c r="AA572" s="76"/>
      <c r="AB572" s="37"/>
      <c r="AC572" s="86">
        <f>tbl_estimated_costs_quantities[[#This Row],[Doors Replacement Repair]]*BOQs!$L$9</f>
        <v>0</v>
      </c>
      <c r="AD572" s="76"/>
      <c r="AE572" s="37"/>
      <c r="AF572" s="86">
        <f>tbl_estimated_costs_quantities[[#This Row],[Windows Replacement Repair]]*BOQs!$L$10</f>
        <v>0</v>
      </c>
      <c r="AG572" s="76"/>
      <c r="AH572" s="37"/>
      <c r="AI572" s="86">
        <f>tbl_estimated_costs_quantities[[#This Row],[Bathroom Rehabilitation]]*BOQs!$L$11</f>
        <v>0</v>
      </c>
      <c r="AJ572" s="76"/>
      <c r="AK572" s="37"/>
      <c r="AL572" s="86">
        <f>tbl_estimated_costs_quantities[[#This Row],[Ceramic Tile Works WASH]]*BOQs!$L$12</f>
        <v>0</v>
      </c>
      <c r="AM572" s="76"/>
      <c r="AN572" s="37"/>
      <c r="AO572" s="86">
        <f>tbl_estimated_costs_quantities[[#This Row],[Electrical Repairs Lighting]]*BOQs!$L$13</f>
        <v>0</v>
      </c>
      <c r="AP572" s="76"/>
      <c r="AQ572" s="37"/>
      <c r="AR572" s="86">
        <f>tbl_estimated_costs_quantities[[#This Row],[Roof Insulation Leak Sealing]]*BOQs!$L$14</f>
        <v>0</v>
      </c>
      <c r="AS572" s="76"/>
      <c r="AT572" s="37"/>
      <c r="AU572" s="86">
        <f>tbl_estimated_costs_quantities[[#This Row],[Chimney Duct Cleaning Repair]]*BOQs!$L$15</f>
        <v>0</v>
      </c>
      <c r="AV572" s="76"/>
      <c r="AW572" s="37"/>
      <c r="AX572" s="89">
        <f>tbl_estimated_costs_quantities[[#This Row],[Accessibility Adaptations]]*BOQs!$L$16</f>
        <v>0</v>
      </c>
      <c r="AY572" s="86" t="str">
        <f>IF(tbl_estimated_costs_quantities[[#This Row],[Total cost]]&lt;&gt;0,tbl_estimated_costs_quantities[[#This Row],[Total cost]]/BOQs!$A$1,"")</f>
        <v/>
      </c>
      <c r="AZ572" s="37"/>
      <c r="BA572" s="37"/>
      <c r="BB572" s="37"/>
      <c r="BC572" s="37"/>
      <c r="BD572" s="41"/>
      <c r="BE572" s="37"/>
      <c r="BF572" s="37"/>
      <c r="BG572" s="37"/>
      <c r="BH572" s="41"/>
    </row>
    <row r="573" spans="2:60" ht="25.15" customHeight="1" x14ac:dyDescent="0.25">
      <c r="B573" s="49">
        <v>569</v>
      </c>
      <c r="C573" s="37"/>
      <c r="D573" s="41"/>
      <c r="E573" s="40"/>
      <c r="F573" s="87" t="str">
        <f>IF(tbl_estimated_costs_quantities[[#This Row],[House Code]]&lt;&gt;"",INDEX(tbl_Assessment[],MATCH(tbl_estimated_costs_quantities[[#This Row],[House Code]],tbl_Assessment[House Code],0),3),"")</f>
        <v/>
      </c>
      <c r="G573" s="115" t="str">
        <f>IF(tbl_estimated_costs_quantities[[#This Row],[House Code]]&lt;&gt;"",INDEX(tbl_Assessment[],MATCH(tbl_estimated_costs_quantities[[#This Row],[House Code]],tbl_Assessment[House Code],0),9),"")</f>
        <v/>
      </c>
      <c r="H57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3" s="75"/>
      <c r="J573" s="37"/>
      <c r="K573" s="86">
        <f>tbl_estimated_costs_quantities[[#This Row],[Site Preparation]]*BOQs!$L$3</f>
        <v>0</v>
      </c>
      <c r="L573" s="76"/>
      <c r="M573" s="37"/>
      <c r="N573" s="86">
        <f>tbl_estimated_costs_quantities[[#This Row],[Demolition Removal Unsafe Structures]]*BOQs!$L$4</f>
        <v>0</v>
      </c>
      <c r="O573" s="76"/>
      <c r="P573" s="37"/>
      <c r="Q573" s="86">
        <f>tbl_estimated_costs_quantities[[#This Row],[Concrete Works]]*BOQs!$L$5</f>
        <v>0</v>
      </c>
      <c r="R573" s="76"/>
      <c r="S573" s="37"/>
      <c r="T573" s="86">
        <f>tbl_estimated_costs_quantities[[#This Row],[Closure External Openings Walls Windows]]*BOQs!$L$6</f>
        <v>0</v>
      </c>
      <c r="U573" s="76"/>
      <c r="V573" s="37"/>
      <c r="W573" s="86">
        <f>tbl_estimated_costs_quantities[[#This Row],[Plastering Painting]]*BOQs!$L$7</f>
        <v>0</v>
      </c>
      <c r="X573" s="76"/>
      <c r="Y573" s="37"/>
      <c r="Z573" s="86">
        <f>tbl_estimated_costs_quantities[[#This Row],[Floor Repairs]]*BOQs!$L$8</f>
        <v>0</v>
      </c>
      <c r="AA573" s="76"/>
      <c r="AB573" s="37"/>
      <c r="AC573" s="86">
        <f>tbl_estimated_costs_quantities[[#This Row],[Doors Replacement Repair]]*BOQs!$L$9</f>
        <v>0</v>
      </c>
      <c r="AD573" s="76"/>
      <c r="AE573" s="37"/>
      <c r="AF573" s="86">
        <f>tbl_estimated_costs_quantities[[#This Row],[Windows Replacement Repair]]*BOQs!$L$10</f>
        <v>0</v>
      </c>
      <c r="AG573" s="76"/>
      <c r="AH573" s="37"/>
      <c r="AI573" s="86">
        <f>tbl_estimated_costs_quantities[[#This Row],[Bathroom Rehabilitation]]*BOQs!$L$11</f>
        <v>0</v>
      </c>
      <c r="AJ573" s="76"/>
      <c r="AK573" s="37"/>
      <c r="AL573" s="86">
        <f>tbl_estimated_costs_quantities[[#This Row],[Ceramic Tile Works WASH]]*BOQs!$L$12</f>
        <v>0</v>
      </c>
      <c r="AM573" s="76"/>
      <c r="AN573" s="37"/>
      <c r="AO573" s="86">
        <f>tbl_estimated_costs_quantities[[#This Row],[Electrical Repairs Lighting]]*BOQs!$L$13</f>
        <v>0</v>
      </c>
      <c r="AP573" s="76"/>
      <c r="AQ573" s="37"/>
      <c r="AR573" s="86">
        <f>tbl_estimated_costs_quantities[[#This Row],[Roof Insulation Leak Sealing]]*BOQs!$L$14</f>
        <v>0</v>
      </c>
      <c r="AS573" s="76"/>
      <c r="AT573" s="37"/>
      <c r="AU573" s="86">
        <f>tbl_estimated_costs_quantities[[#This Row],[Chimney Duct Cleaning Repair]]*BOQs!$L$15</f>
        <v>0</v>
      </c>
      <c r="AV573" s="76"/>
      <c r="AW573" s="37"/>
      <c r="AX573" s="89">
        <f>tbl_estimated_costs_quantities[[#This Row],[Accessibility Adaptations]]*BOQs!$L$16</f>
        <v>0</v>
      </c>
      <c r="AY573" s="86" t="str">
        <f>IF(tbl_estimated_costs_quantities[[#This Row],[Total cost]]&lt;&gt;0,tbl_estimated_costs_quantities[[#This Row],[Total cost]]/BOQs!$A$1,"")</f>
        <v/>
      </c>
      <c r="AZ573" s="37"/>
      <c r="BA573" s="37"/>
      <c r="BB573" s="37"/>
      <c r="BC573" s="37"/>
      <c r="BD573" s="41"/>
      <c r="BE573" s="37"/>
      <c r="BF573" s="37"/>
      <c r="BG573" s="37"/>
      <c r="BH573" s="41"/>
    </row>
    <row r="574" spans="2:60" ht="25.15" customHeight="1" x14ac:dyDescent="0.25">
      <c r="B574" s="49">
        <v>570</v>
      </c>
      <c r="C574" s="37"/>
      <c r="D574" s="41"/>
      <c r="E574" s="40"/>
      <c r="F574" s="87" t="str">
        <f>IF(tbl_estimated_costs_quantities[[#This Row],[House Code]]&lt;&gt;"",INDEX(tbl_Assessment[],MATCH(tbl_estimated_costs_quantities[[#This Row],[House Code]],tbl_Assessment[House Code],0),3),"")</f>
        <v/>
      </c>
      <c r="G574" s="115" t="str">
        <f>IF(tbl_estimated_costs_quantities[[#This Row],[House Code]]&lt;&gt;"",INDEX(tbl_Assessment[],MATCH(tbl_estimated_costs_quantities[[#This Row],[House Code]],tbl_Assessment[House Code],0),9),"")</f>
        <v/>
      </c>
      <c r="H57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4" s="75"/>
      <c r="J574" s="37"/>
      <c r="K574" s="86">
        <f>tbl_estimated_costs_quantities[[#This Row],[Site Preparation]]*BOQs!$L$3</f>
        <v>0</v>
      </c>
      <c r="L574" s="76"/>
      <c r="M574" s="37"/>
      <c r="N574" s="86">
        <f>tbl_estimated_costs_quantities[[#This Row],[Demolition Removal Unsafe Structures]]*BOQs!$L$4</f>
        <v>0</v>
      </c>
      <c r="O574" s="76"/>
      <c r="P574" s="37"/>
      <c r="Q574" s="86">
        <f>tbl_estimated_costs_quantities[[#This Row],[Concrete Works]]*BOQs!$L$5</f>
        <v>0</v>
      </c>
      <c r="R574" s="76"/>
      <c r="S574" s="37"/>
      <c r="T574" s="86">
        <f>tbl_estimated_costs_quantities[[#This Row],[Closure External Openings Walls Windows]]*BOQs!$L$6</f>
        <v>0</v>
      </c>
      <c r="U574" s="76"/>
      <c r="V574" s="37"/>
      <c r="W574" s="86">
        <f>tbl_estimated_costs_quantities[[#This Row],[Plastering Painting]]*BOQs!$L$7</f>
        <v>0</v>
      </c>
      <c r="X574" s="76"/>
      <c r="Y574" s="37"/>
      <c r="Z574" s="86">
        <f>tbl_estimated_costs_quantities[[#This Row],[Floor Repairs]]*BOQs!$L$8</f>
        <v>0</v>
      </c>
      <c r="AA574" s="76"/>
      <c r="AB574" s="37"/>
      <c r="AC574" s="86">
        <f>tbl_estimated_costs_quantities[[#This Row],[Doors Replacement Repair]]*BOQs!$L$9</f>
        <v>0</v>
      </c>
      <c r="AD574" s="76"/>
      <c r="AE574" s="37"/>
      <c r="AF574" s="86">
        <f>tbl_estimated_costs_quantities[[#This Row],[Windows Replacement Repair]]*BOQs!$L$10</f>
        <v>0</v>
      </c>
      <c r="AG574" s="76"/>
      <c r="AH574" s="37"/>
      <c r="AI574" s="86">
        <f>tbl_estimated_costs_quantities[[#This Row],[Bathroom Rehabilitation]]*BOQs!$L$11</f>
        <v>0</v>
      </c>
      <c r="AJ574" s="76"/>
      <c r="AK574" s="37"/>
      <c r="AL574" s="86">
        <f>tbl_estimated_costs_quantities[[#This Row],[Ceramic Tile Works WASH]]*BOQs!$L$12</f>
        <v>0</v>
      </c>
      <c r="AM574" s="76"/>
      <c r="AN574" s="37"/>
      <c r="AO574" s="86">
        <f>tbl_estimated_costs_quantities[[#This Row],[Electrical Repairs Lighting]]*BOQs!$L$13</f>
        <v>0</v>
      </c>
      <c r="AP574" s="76"/>
      <c r="AQ574" s="37"/>
      <c r="AR574" s="86">
        <f>tbl_estimated_costs_quantities[[#This Row],[Roof Insulation Leak Sealing]]*BOQs!$L$14</f>
        <v>0</v>
      </c>
      <c r="AS574" s="76"/>
      <c r="AT574" s="37"/>
      <c r="AU574" s="86">
        <f>tbl_estimated_costs_quantities[[#This Row],[Chimney Duct Cleaning Repair]]*BOQs!$L$15</f>
        <v>0</v>
      </c>
      <c r="AV574" s="76"/>
      <c r="AW574" s="37"/>
      <c r="AX574" s="89">
        <f>tbl_estimated_costs_quantities[[#This Row],[Accessibility Adaptations]]*BOQs!$L$16</f>
        <v>0</v>
      </c>
      <c r="AY574" s="86" t="str">
        <f>IF(tbl_estimated_costs_quantities[[#This Row],[Total cost]]&lt;&gt;0,tbl_estimated_costs_quantities[[#This Row],[Total cost]]/BOQs!$A$1,"")</f>
        <v/>
      </c>
      <c r="AZ574" s="37"/>
      <c r="BA574" s="37"/>
      <c r="BB574" s="37"/>
      <c r="BC574" s="37"/>
      <c r="BD574" s="41"/>
      <c r="BE574" s="37"/>
      <c r="BF574" s="37"/>
      <c r="BG574" s="37"/>
      <c r="BH574" s="41"/>
    </row>
    <row r="575" spans="2:60" ht="25.15" customHeight="1" x14ac:dyDescent="0.25">
      <c r="B575" s="49">
        <v>571</v>
      </c>
      <c r="C575" s="37"/>
      <c r="D575" s="41"/>
      <c r="E575" s="40"/>
      <c r="F575" s="87" t="str">
        <f>IF(tbl_estimated_costs_quantities[[#This Row],[House Code]]&lt;&gt;"",INDEX(tbl_Assessment[],MATCH(tbl_estimated_costs_quantities[[#This Row],[House Code]],tbl_Assessment[House Code],0),3),"")</f>
        <v/>
      </c>
      <c r="G575" s="115" t="str">
        <f>IF(tbl_estimated_costs_quantities[[#This Row],[House Code]]&lt;&gt;"",INDEX(tbl_Assessment[],MATCH(tbl_estimated_costs_quantities[[#This Row],[House Code]],tbl_Assessment[House Code],0),9),"")</f>
        <v/>
      </c>
      <c r="H57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5" s="75"/>
      <c r="J575" s="37"/>
      <c r="K575" s="86">
        <f>tbl_estimated_costs_quantities[[#This Row],[Site Preparation]]*BOQs!$L$3</f>
        <v>0</v>
      </c>
      <c r="L575" s="76"/>
      <c r="M575" s="37"/>
      <c r="N575" s="86">
        <f>tbl_estimated_costs_quantities[[#This Row],[Demolition Removal Unsafe Structures]]*BOQs!$L$4</f>
        <v>0</v>
      </c>
      <c r="O575" s="76"/>
      <c r="P575" s="37"/>
      <c r="Q575" s="86">
        <f>tbl_estimated_costs_quantities[[#This Row],[Concrete Works]]*BOQs!$L$5</f>
        <v>0</v>
      </c>
      <c r="R575" s="76"/>
      <c r="S575" s="37"/>
      <c r="T575" s="86">
        <f>tbl_estimated_costs_quantities[[#This Row],[Closure External Openings Walls Windows]]*BOQs!$L$6</f>
        <v>0</v>
      </c>
      <c r="U575" s="76"/>
      <c r="V575" s="37"/>
      <c r="W575" s="86">
        <f>tbl_estimated_costs_quantities[[#This Row],[Plastering Painting]]*BOQs!$L$7</f>
        <v>0</v>
      </c>
      <c r="X575" s="76"/>
      <c r="Y575" s="37"/>
      <c r="Z575" s="86">
        <f>tbl_estimated_costs_quantities[[#This Row],[Floor Repairs]]*BOQs!$L$8</f>
        <v>0</v>
      </c>
      <c r="AA575" s="76"/>
      <c r="AB575" s="37"/>
      <c r="AC575" s="86">
        <f>tbl_estimated_costs_quantities[[#This Row],[Doors Replacement Repair]]*BOQs!$L$9</f>
        <v>0</v>
      </c>
      <c r="AD575" s="76"/>
      <c r="AE575" s="37"/>
      <c r="AF575" s="86">
        <f>tbl_estimated_costs_quantities[[#This Row],[Windows Replacement Repair]]*BOQs!$L$10</f>
        <v>0</v>
      </c>
      <c r="AG575" s="76"/>
      <c r="AH575" s="37"/>
      <c r="AI575" s="86">
        <f>tbl_estimated_costs_quantities[[#This Row],[Bathroom Rehabilitation]]*BOQs!$L$11</f>
        <v>0</v>
      </c>
      <c r="AJ575" s="76"/>
      <c r="AK575" s="37"/>
      <c r="AL575" s="86">
        <f>tbl_estimated_costs_quantities[[#This Row],[Ceramic Tile Works WASH]]*BOQs!$L$12</f>
        <v>0</v>
      </c>
      <c r="AM575" s="76"/>
      <c r="AN575" s="37"/>
      <c r="AO575" s="86">
        <f>tbl_estimated_costs_quantities[[#This Row],[Electrical Repairs Lighting]]*BOQs!$L$13</f>
        <v>0</v>
      </c>
      <c r="AP575" s="76"/>
      <c r="AQ575" s="37"/>
      <c r="AR575" s="86">
        <f>tbl_estimated_costs_quantities[[#This Row],[Roof Insulation Leak Sealing]]*BOQs!$L$14</f>
        <v>0</v>
      </c>
      <c r="AS575" s="76"/>
      <c r="AT575" s="37"/>
      <c r="AU575" s="86">
        <f>tbl_estimated_costs_quantities[[#This Row],[Chimney Duct Cleaning Repair]]*BOQs!$L$15</f>
        <v>0</v>
      </c>
      <c r="AV575" s="76"/>
      <c r="AW575" s="37"/>
      <c r="AX575" s="89">
        <f>tbl_estimated_costs_quantities[[#This Row],[Accessibility Adaptations]]*BOQs!$L$16</f>
        <v>0</v>
      </c>
      <c r="AY575" s="86" t="str">
        <f>IF(tbl_estimated_costs_quantities[[#This Row],[Total cost]]&lt;&gt;0,tbl_estimated_costs_quantities[[#This Row],[Total cost]]/BOQs!$A$1,"")</f>
        <v/>
      </c>
      <c r="AZ575" s="37"/>
      <c r="BA575" s="37"/>
      <c r="BB575" s="37"/>
      <c r="BC575" s="37"/>
      <c r="BD575" s="41"/>
      <c r="BE575" s="37"/>
      <c r="BF575" s="37"/>
      <c r="BG575" s="37"/>
      <c r="BH575" s="41"/>
    </row>
    <row r="576" spans="2:60" ht="25.15" customHeight="1" x14ac:dyDescent="0.25">
      <c r="B576" s="49">
        <v>572</v>
      </c>
      <c r="C576" s="37"/>
      <c r="D576" s="41"/>
      <c r="E576" s="40"/>
      <c r="F576" s="87" t="str">
        <f>IF(tbl_estimated_costs_quantities[[#This Row],[House Code]]&lt;&gt;"",INDEX(tbl_Assessment[],MATCH(tbl_estimated_costs_quantities[[#This Row],[House Code]],tbl_Assessment[House Code],0),3),"")</f>
        <v/>
      </c>
      <c r="G576" s="115" t="str">
        <f>IF(tbl_estimated_costs_quantities[[#This Row],[House Code]]&lt;&gt;"",INDEX(tbl_Assessment[],MATCH(tbl_estimated_costs_quantities[[#This Row],[House Code]],tbl_Assessment[House Code],0),9),"")</f>
        <v/>
      </c>
      <c r="H57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6" s="75"/>
      <c r="J576" s="37"/>
      <c r="K576" s="86">
        <f>tbl_estimated_costs_quantities[[#This Row],[Site Preparation]]*BOQs!$L$3</f>
        <v>0</v>
      </c>
      <c r="L576" s="76"/>
      <c r="M576" s="37"/>
      <c r="N576" s="86">
        <f>tbl_estimated_costs_quantities[[#This Row],[Demolition Removal Unsafe Structures]]*BOQs!$L$4</f>
        <v>0</v>
      </c>
      <c r="O576" s="76"/>
      <c r="P576" s="37"/>
      <c r="Q576" s="86">
        <f>tbl_estimated_costs_quantities[[#This Row],[Concrete Works]]*BOQs!$L$5</f>
        <v>0</v>
      </c>
      <c r="R576" s="76"/>
      <c r="S576" s="37"/>
      <c r="T576" s="86">
        <f>tbl_estimated_costs_quantities[[#This Row],[Closure External Openings Walls Windows]]*BOQs!$L$6</f>
        <v>0</v>
      </c>
      <c r="U576" s="76"/>
      <c r="V576" s="37"/>
      <c r="W576" s="86">
        <f>tbl_estimated_costs_quantities[[#This Row],[Plastering Painting]]*BOQs!$L$7</f>
        <v>0</v>
      </c>
      <c r="X576" s="76"/>
      <c r="Y576" s="37"/>
      <c r="Z576" s="86">
        <f>tbl_estimated_costs_quantities[[#This Row],[Floor Repairs]]*BOQs!$L$8</f>
        <v>0</v>
      </c>
      <c r="AA576" s="76"/>
      <c r="AB576" s="37"/>
      <c r="AC576" s="86">
        <f>tbl_estimated_costs_quantities[[#This Row],[Doors Replacement Repair]]*BOQs!$L$9</f>
        <v>0</v>
      </c>
      <c r="AD576" s="76"/>
      <c r="AE576" s="37"/>
      <c r="AF576" s="86">
        <f>tbl_estimated_costs_quantities[[#This Row],[Windows Replacement Repair]]*BOQs!$L$10</f>
        <v>0</v>
      </c>
      <c r="AG576" s="76"/>
      <c r="AH576" s="37"/>
      <c r="AI576" s="86">
        <f>tbl_estimated_costs_quantities[[#This Row],[Bathroom Rehabilitation]]*BOQs!$L$11</f>
        <v>0</v>
      </c>
      <c r="AJ576" s="76"/>
      <c r="AK576" s="37"/>
      <c r="AL576" s="86">
        <f>tbl_estimated_costs_quantities[[#This Row],[Ceramic Tile Works WASH]]*BOQs!$L$12</f>
        <v>0</v>
      </c>
      <c r="AM576" s="76"/>
      <c r="AN576" s="37"/>
      <c r="AO576" s="86">
        <f>tbl_estimated_costs_quantities[[#This Row],[Electrical Repairs Lighting]]*BOQs!$L$13</f>
        <v>0</v>
      </c>
      <c r="AP576" s="76"/>
      <c r="AQ576" s="37"/>
      <c r="AR576" s="86">
        <f>tbl_estimated_costs_quantities[[#This Row],[Roof Insulation Leak Sealing]]*BOQs!$L$14</f>
        <v>0</v>
      </c>
      <c r="AS576" s="76"/>
      <c r="AT576" s="37"/>
      <c r="AU576" s="86">
        <f>tbl_estimated_costs_quantities[[#This Row],[Chimney Duct Cleaning Repair]]*BOQs!$L$15</f>
        <v>0</v>
      </c>
      <c r="AV576" s="76"/>
      <c r="AW576" s="37"/>
      <c r="AX576" s="89">
        <f>tbl_estimated_costs_quantities[[#This Row],[Accessibility Adaptations]]*BOQs!$L$16</f>
        <v>0</v>
      </c>
      <c r="AY576" s="86" t="str">
        <f>IF(tbl_estimated_costs_quantities[[#This Row],[Total cost]]&lt;&gt;0,tbl_estimated_costs_quantities[[#This Row],[Total cost]]/BOQs!$A$1,"")</f>
        <v/>
      </c>
      <c r="AZ576" s="37"/>
      <c r="BA576" s="37"/>
      <c r="BB576" s="37"/>
      <c r="BC576" s="37"/>
      <c r="BD576" s="41"/>
      <c r="BE576" s="37"/>
      <c r="BF576" s="37"/>
      <c r="BG576" s="37"/>
      <c r="BH576" s="41"/>
    </row>
    <row r="577" spans="2:60" ht="25.15" customHeight="1" x14ac:dyDescent="0.25">
      <c r="B577" s="49">
        <v>573</v>
      </c>
      <c r="C577" s="37"/>
      <c r="D577" s="41"/>
      <c r="E577" s="40"/>
      <c r="F577" s="87" t="str">
        <f>IF(tbl_estimated_costs_quantities[[#This Row],[House Code]]&lt;&gt;"",INDEX(tbl_Assessment[],MATCH(tbl_estimated_costs_quantities[[#This Row],[House Code]],tbl_Assessment[House Code],0),3),"")</f>
        <v/>
      </c>
      <c r="G577" s="115" t="str">
        <f>IF(tbl_estimated_costs_quantities[[#This Row],[House Code]]&lt;&gt;"",INDEX(tbl_Assessment[],MATCH(tbl_estimated_costs_quantities[[#This Row],[House Code]],tbl_Assessment[House Code],0),9),"")</f>
        <v/>
      </c>
      <c r="H57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7" s="75"/>
      <c r="J577" s="37"/>
      <c r="K577" s="86">
        <f>tbl_estimated_costs_quantities[[#This Row],[Site Preparation]]*BOQs!$L$3</f>
        <v>0</v>
      </c>
      <c r="L577" s="76"/>
      <c r="M577" s="37"/>
      <c r="N577" s="86">
        <f>tbl_estimated_costs_quantities[[#This Row],[Demolition Removal Unsafe Structures]]*BOQs!$L$4</f>
        <v>0</v>
      </c>
      <c r="O577" s="76"/>
      <c r="P577" s="37"/>
      <c r="Q577" s="86">
        <f>tbl_estimated_costs_quantities[[#This Row],[Concrete Works]]*BOQs!$L$5</f>
        <v>0</v>
      </c>
      <c r="R577" s="76"/>
      <c r="S577" s="37"/>
      <c r="T577" s="86">
        <f>tbl_estimated_costs_quantities[[#This Row],[Closure External Openings Walls Windows]]*BOQs!$L$6</f>
        <v>0</v>
      </c>
      <c r="U577" s="76"/>
      <c r="V577" s="37"/>
      <c r="W577" s="86">
        <f>tbl_estimated_costs_quantities[[#This Row],[Plastering Painting]]*BOQs!$L$7</f>
        <v>0</v>
      </c>
      <c r="X577" s="76"/>
      <c r="Y577" s="37"/>
      <c r="Z577" s="86">
        <f>tbl_estimated_costs_quantities[[#This Row],[Floor Repairs]]*BOQs!$L$8</f>
        <v>0</v>
      </c>
      <c r="AA577" s="76"/>
      <c r="AB577" s="37"/>
      <c r="AC577" s="86">
        <f>tbl_estimated_costs_quantities[[#This Row],[Doors Replacement Repair]]*BOQs!$L$9</f>
        <v>0</v>
      </c>
      <c r="AD577" s="76"/>
      <c r="AE577" s="37"/>
      <c r="AF577" s="86">
        <f>tbl_estimated_costs_quantities[[#This Row],[Windows Replacement Repair]]*BOQs!$L$10</f>
        <v>0</v>
      </c>
      <c r="AG577" s="76"/>
      <c r="AH577" s="37"/>
      <c r="AI577" s="86">
        <f>tbl_estimated_costs_quantities[[#This Row],[Bathroom Rehabilitation]]*BOQs!$L$11</f>
        <v>0</v>
      </c>
      <c r="AJ577" s="76"/>
      <c r="AK577" s="37"/>
      <c r="AL577" s="86">
        <f>tbl_estimated_costs_quantities[[#This Row],[Ceramic Tile Works WASH]]*BOQs!$L$12</f>
        <v>0</v>
      </c>
      <c r="AM577" s="76"/>
      <c r="AN577" s="37"/>
      <c r="AO577" s="86">
        <f>tbl_estimated_costs_quantities[[#This Row],[Electrical Repairs Lighting]]*BOQs!$L$13</f>
        <v>0</v>
      </c>
      <c r="AP577" s="76"/>
      <c r="AQ577" s="37"/>
      <c r="AR577" s="86">
        <f>tbl_estimated_costs_quantities[[#This Row],[Roof Insulation Leak Sealing]]*BOQs!$L$14</f>
        <v>0</v>
      </c>
      <c r="AS577" s="76"/>
      <c r="AT577" s="37"/>
      <c r="AU577" s="86">
        <f>tbl_estimated_costs_quantities[[#This Row],[Chimney Duct Cleaning Repair]]*BOQs!$L$15</f>
        <v>0</v>
      </c>
      <c r="AV577" s="76"/>
      <c r="AW577" s="37"/>
      <c r="AX577" s="89">
        <f>tbl_estimated_costs_quantities[[#This Row],[Accessibility Adaptations]]*BOQs!$L$16</f>
        <v>0</v>
      </c>
      <c r="AY577" s="86" t="str">
        <f>IF(tbl_estimated_costs_quantities[[#This Row],[Total cost]]&lt;&gt;0,tbl_estimated_costs_quantities[[#This Row],[Total cost]]/BOQs!$A$1,"")</f>
        <v/>
      </c>
      <c r="AZ577" s="37"/>
      <c r="BA577" s="37"/>
      <c r="BB577" s="37"/>
      <c r="BC577" s="37"/>
      <c r="BD577" s="41"/>
      <c r="BE577" s="37"/>
      <c r="BF577" s="37"/>
      <c r="BG577" s="37"/>
      <c r="BH577" s="41"/>
    </row>
    <row r="578" spans="2:60" ht="25.15" customHeight="1" x14ac:dyDescent="0.25">
      <c r="B578" s="49">
        <v>574</v>
      </c>
      <c r="C578" s="37"/>
      <c r="D578" s="41"/>
      <c r="E578" s="40"/>
      <c r="F578" s="87" t="str">
        <f>IF(tbl_estimated_costs_quantities[[#This Row],[House Code]]&lt;&gt;"",INDEX(tbl_Assessment[],MATCH(tbl_estimated_costs_quantities[[#This Row],[House Code]],tbl_Assessment[House Code],0),3),"")</f>
        <v/>
      </c>
      <c r="G578" s="115" t="str">
        <f>IF(tbl_estimated_costs_quantities[[#This Row],[House Code]]&lt;&gt;"",INDEX(tbl_Assessment[],MATCH(tbl_estimated_costs_quantities[[#This Row],[House Code]],tbl_Assessment[House Code],0),9),"")</f>
        <v/>
      </c>
      <c r="H57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8" s="75"/>
      <c r="J578" s="37"/>
      <c r="K578" s="86">
        <f>tbl_estimated_costs_quantities[[#This Row],[Site Preparation]]*BOQs!$L$3</f>
        <v>0</v>
      </c>
      <c r="L578" s="76"/>
      <c r="M578" s="37"/>
      <c r="N578" s="86">
        <f>tbl_estimated_costs_quantities[[#This Row],[Demolition Removal Unsafe Structures]]*BOQs!$L$4</f>
        <v>0</v>
      </c>
      <c r="O578" s="76"/>
      <c r="P578" s="37"/>
      <c r="Q578" s="86">
        <f>tbl_estimated_costs_quantities[[#This Row],[Concrete Works]]*BOQs!$L$5</f>
        <v>0</v>
      </c>
      <c r="R578" s="76"/>
      <c r="S578" s="37"/>
      <c r="T578" s="86">
        <f>tbl_estimated_costs_quantities[[#This Row],[Closure External Openings Walls Windows]]*BOQs!$L$6</f>
        <v>0</v>
      </c>
      <c r="U578" s="76"/>
      <c r="V578" s="37"/>
      <c r="W578" s="86">
        <f>tbl_estimated_costs_quantities[[#This Row],[Plastering Painting]]*BOQs!$L$7</f>
        <v>0</v>
      </c>
      <c r="X578" s="76"/>
      <c r="Y578" s="37"/>
      <c r="Z578" s="86">
        <f>tbl_estimated_costs_quantities[[#This Row],[Floor Repairs]]*BOQs!$L$8</f>
        <v>0</v>
      </c>
      <c r="AA578" s="76"/>
      <c r="AB578" s="37"/>
      <c r="AC578" s="86">
        <f>tbl_estimated_costs_quantities[[#This Row],[Doors Replacement Repair]]*BOQs!$L$9</f>
        <v>0</v>
      </c>
      <c r="AD578" s="76"/>
      <c r="AE578" s="37"/>
      <c r="AF578" s="86">
        <f>tbl_estimated_costs_quantities[[#This Row],[Windows Replacement Repair]]*BOQs!$L$10</f>
        <v>0</v>
      </c>
      <c r="AG578" s="76"/>
      <c r="AH578" s="37"/>
      <c r="AI578" s="86">
        <f>tbl_estimated_costs_quantities[[#This Row],[Bathroom Rehabilitation]]*BOQs!$L$11</f>
        <v>0</v>
      </c>
      <c r="AJ578" s="76"/>
      <c r="AK578" s="37"/>
      <c r="AL578" s="86">
        <f>tbl_estimated_costs_quantities[[#This Row],[Ceramic Tile Works WASH]]*BOQs!$L$12</f>
        <v>0</v>
      </c>
      <c r="AM578" s="76"/>
      <c r="AN578" s="37"/>
      <c r="AO578" s="86">
        <f>tbl_estimated_costs_quantities[[#This Row],[Electrical Repairs Lighting]]*BOQs!$L$13</f>
        <v>0</v>
      </c>
      <c r="AP578" s="76"/>
      <c r="AQ578" s="37"/>
      <c r="AR578" s="86">
        <f>tbl_estimated_costs_quantities[[#This Row],[Roof Insulation Leak Sealing]]*BOQs!$L$14</f>
        <v>0</v>
      </c>
      <c r="AS578" s="76"/>
      <c r="AT578" s="37"/>
      <c r="AU578" s="86">
        <f>tbl_estimated_costs_quantities[[#This Row],[Chimney Duct Cleaning Repair]]*BOQs!$L$15</f>
        <v>0</v>
      </c>
      <c r="AV578" s="76"/>
      <c r="AW578" s="37"/>
      <c r="AX578" s="89">
        <f>tbl_estimated_costs_quantities[[#This Row],[Accessibility Adaptations]]*BOQs!$L$16</f>
        <v>0</v>
      </c>
      <c r="AY578" s="86" t="str">
        <f>IF(tbl_estimated_costs_quantities[[#This Row],[Total cost]]&lt;&gt;0,tbl_estimated_costs_quantities[[#This Row],[Total cost]]/BOQs!$A$1,"")</f>
        <v/>
      </c>
      <c r="AZ578" s="37"/>
      <c r="BA578" s="37"/>
      <c r="BB578" s="37"/>
      <c r="BC578" s="37"/>
      <c r="BD578" s="41"/>
      <c r="BE578" s="37"/>
      <c r="BF578" s="37"/>
      <c r="BG578" s="37"/>
      <c r="BH578" s="41"/>
    </row>
    <row r="579" spans="2:60" ht="25.15" customHeight="1" x14ac:dyDescent="0.25">
      <c r="B579" s="49">
        <v>575</v>
      </c>
      <c r="C579" s="37"/>
      <c r="D579" s="41"/>
      <c r="E579" s="40"/>
      <c r="F579" s="87" t="str">
        <f>IF(tbl_estimated_costs_quantities[[#This Row],[House Code]]&lt;&gt;"",INDEX(tbl_Assessment[],MATCH(tbl_estimated_costs_quantities[[#This Row],[House Code]],tbl_Assessment[House Code],0),3),"")</f>
        <v/>
      </c>
      <c r="G579" s="115" t="str">
        <f>IF(tbl_estimated_costs_quantities[[#This Row],[House Code]]&lt;&gt;"",INDEX(tbl_Assessment[],MATCH(tbl_estimated_costs_quantities[[#This Row],[House Code]],tbl_Assessment[House Code],0),9),"")</f>
        <v/>
      </c>
      <c r="H57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79" s="75"/>
      <c r="J579" s="37"/>
      <c r="K579" s="86">
        <f>tbl_estimated_costs_quantities[[#This Row],[Site Preparation]]*BOQs!$L$3</f>
        <v>0</v>
      </c>
      <c r="L579" s="76"/>
      <c r="M579" s="37"/>
      <c r="N579" s="86">
        <f>tbl_estimated_costs_quantities[[#This Row],[Demolition Removal Unsafe Structures]]*BOQs!$L$4</f>
        <v>0</v>
      </c>
      <c r="O579" s="76"/>
      <c r="P579" s="37"/>
      <c r="Q579" s="86">
        <f>tbl_estimated_costs_quantities[[#This Row],[Concrete Works]]*BOQs!$L$5</f>
        <v>0</v>
      </c>
      <c r="R579" s="76"/>
      <c r="S579" s="37"/>
      <c r="T579" s="86">
        <f>tbl_estimated_costs_quantities[[#This Row],[Closure External Openings Walls Windows]]*BOQs!$L$6</f>
        <v>0</v>
      </c>
      <c r="U579" s="76"/>
      <c r="V579" s="37"/>
      <c r="W579" s="86">
        <f>tbl_estimated_costs_quantities[[#This Row],[Plastering Painting]]*BOQs!$L$7</f>
        <v>0</v>
      </c>
      <c r="X579" s="76"/>
      <c r="Y579" s="37"/>
      <c r="Z579" s="86">
        <f>tbl_estimated_costs_quantities[[#This Row],[Floor Repairs]]*BOQs!$L$8</f>
        <v>0</v>
      </c>
      <c r="AA579" s="76"/>
      <c r="AB579" s="37"/>
      <c r="AC579" s="86">
        <f>tbl_estimated_costs_quantities[[#This Row],[Doors Replacement Repair]]*BOQs!$L$9</f>
        <v>0</v>
      </c>
      <c r="AD579" s="76"/>
      <c r="AE579" s="37"/>
      <c r="AF579" s="86">
        <f>tbl_estimated_costs_quantities[[#This Row],[Windows Replacement Repair]]*BOQs!$L$10</f>
        <v>0</v>
      </c>
      <c r="AG579" s="76"/>
      <c r="AH579" s="37"/>
      <c r="AI579" s="86">
        <f>tbl_estimated_costs_quantities[[#This Row],[Bathroom Rehabilitation]]*BOQs!$L$11</f>
        <v>0</v>
      </c>
      <c r="AJ579" s="76"/>
      <c r="AK579" s="37"/>
      <c r="AL579" s="86">
        <f>tbl_estimated_costs_quantities[[#This Row],[Ceramic Tile Works WASH]]*BOQs!$L$12</f>
        <v>0</v>
      </c>
      <c r="AM579" s="76"/>
      <c r="AN579" s="37"/>
      <c r="AO579" s="86">
        <f>tbl_estimated_costs_quantities[[#This Row],[Electrical Repairs Lighting]]*BOQs!$L$13</f>
        <v>0</v>
      </c>
      <c r="AP579" s="76"/>
      <c r="AQ579" s="37"/>
      <c r="AR579" s="86">
        <f>tbl_estimated_costs_quantities[[#This Row],[Roof Insulation Leak Sealing]]*BOQs!$L$14</f>
        <v>0</v>
      </c>
      <c r="AS579" s="76"/>
      <c r="AT579" s="37"/>
      <c r="AU579" s="86">
        <f>tbl_estimated_costs_quantities[[#This Row],[Chimney Duct Cleaning Repair]]*BOQs!$L$15</f>
        <v>0</v>
      </c>
      <c r="AV579" s="76"/>
      <c r="AW579" s="37"/>
      <c r="AX579" s="89">
        <f>tbl_estimated_costs_quantities[[#This Row],[Accessibility Adaptations]]*BOQs!$L$16</f>
        <v>0</v>
      </c>
      <c r="AY579" s="86" t="str">
        <f>IF(tbl_estimated_costs_quantities[[#This Row],[Total cost]]&lt;&gt;0,tbl_estimated_costs_quantities[[#This Row],[Total cost]]/BOQs!$A$1,"")</f>
        <v/>
      </c>
      <c r="AZ579" s="37"/>
      <c r="BA579" s="37"/>
      <c r="BB579" s="37"/>
      <c r="BC579" s="37"/>
      <c r="BD579" s="41"/>
      <c r="BE579" s="37"/>
      <c r="BF579" s="37"/>
      <c r="BG579" s="37"/>
      <c r="BH579" s="41"/>
    </row>
    <row r="580" spans="2:60" ht="25.15" customHeight="1" x14ac:dyDescent="0.25">
      <c r="B580" s="49">
        <v>576</v>
      </c>
      <c r="C580" s="37"/>
      <c r="D580" s="41"/>
      <c r="E580" s="40"/>
      <c r="F580" s="87" t="str">
        <f>IF(tbl_estimated_costs_quantities[[#This Row],[House Code]]&lt;&gt;"",INDEX(tbl_Assessment[],MATCH(tbl_estimated_costs_quantities[[#This Row],[House Code]],tbl_Assessment[House Code],0),3),"")</f>
        <v/>
      </c>
      <c r="G580" s="115" t="str">
        <f>IF(tbl_estimated_costs_quantities[[#This Row],[House Code]]&lt;&gt;"",INDEX(tbl_Assessment[],MATCH(tbl_estimated_costs_quantities[[#This Row],[House Code]],tbl_Assessment[House Code],0),9),"")</f>
        <v/>
      </c>
      <c r="H58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0" s="75"/>
      <c r="J580" s="37"/>
      <c r="K580" s="86">
        <f>tbl_estimated_costs_quantities[[#This Row],[Site Preparation]]*BOQs!$L$3</f>
        <v>0</v>
      </c>
      <c r="L580" s="76"/>
      <c r="M580" s="37"/>
      <c r="N580" s="86">
        <f>tbl_estimated_costs_quantities[[#This Row],[Demolition Removal Unsafe Structures]]*BOQs!$L$4</f>
        <v>0</v>
      </c>
      <c r="O580" s="76"/>
      <c r="P580" s="37"/>
      <c r="Q580" s="86">
        <f>tbl_estimated_costs_quantities[[#This Row],[Concrete Works]]*BOQs!$L$5</f>
        <v>0</v>
      </c>
      <c r="R580" s="76"/>
      <c r="S580" s="37"/>
      <c r="T580" s="86">
        <f>tbl_estimated_costs_quantities[[#This Row],[Closure External Openings Walls Windows]]*BOQs!$L$6</f>
        <v>0</v>
      </c>
      <c r="U580" s="76"/>
      <c r="V580" s="37"/>
      <c r="W580" s="86">
        <f>tbl_estimated_costs_quantities[[#This Row],[Plastering Painting]]*BOQs!$L$7</f>
        <v>0</v>
      </c>
      <c r="X580" s="76"/>
      <c r="Y580" s="37"/>
      <c r="Z580" s="86">
        <f>tbl_estimated_costs_quantities[[#This Row],[Floor Repairs]]*BOQs!$L$8</f>
        <v>0</v>
      </c>
      <c r="AA580" s="76"/>
      <c r="AB580" s="37"/>
      <c r="AC580" s="86">
        <f>tbl_estimated_costs_quantities[[#This Row],[Doors Replacement Repair]]*BOQs!$L$9</f>
        <v>0</v>
      </c>
      <c r="AD580" s="76"/>
      <c r="AE580" s="37"/>
      <c r="AF580" s="86">
        <f>tbl_estimated_costs_quantities[[#This Row],[Windows Replacement Repair]]*BOQs!$L$10</f>
        <v>0</v>
      </c>
      <c r="AG580" s="76"/>
      <c r="AH580" s="37"/>
      <c r="AI580" s="86">
        <f>tbl_estimated_costs_quantities[[#This Row],[Bathroom Rehabilitation]]*BOQs!$L$11</f>
        <v>0</v>
      </c>
      <c r="AJ580" s="76"/>
      <c r="AK580" s="37"/>
      <c r="AL580" s="86">
        <f>tbl_estimated_costs_quantities[[#This Row],[Ceramic Tile Works WASH]]*BOQs!$L$12</f>
        <v>0</v>
      </c>
      <c r="AM580" s="76"/>
      <c r="AN580" s="37"/>
      <c r="AO580" s="86">
        <f>tbl_estimated_costs_quantities[[#This Row],[Electrical Repairs Lighting]]*BOQs!$L$13</f>
        <v>0</v>
      </c>
      <c r="AP580" s="76"/>
      <c r="AQ580" s="37"/>
      <c r="AR580" s="86">
        <f>tbl_estimated_costs_quantities[[#This Row],[Roof Insulation Leak Sealing]]*BOQs!$L$14</f>
        <v>0</v>
      </c>
      <c r="AS580" s="76"/>
      <c r="AT580" s="37"/>
      <c r="AU580" s="86">
        <f>tbl_estimated_costs_quantities[[#This Row],[Chimney Duct Cleaning Repair]]*BOQs!$L$15</f>
        <v>0</v>
      </c>
      <c r="AV580" s="76"/>
      <c r="AW580" s="37"/>
      <c r="AX580" s="89">
        <f>tbl_estimated_costs_quantities[[#This Row],[Accessibility Adaptations]]*BOQs!$L$16</f>
        <v>0</v>
      </c>
      <c r="AY580" s="86" t="str">
        <f>IF(tbl_estimated_costs_quantities[[#This Row],[Total cost]]&lt;&gt;0,tbl_estimated_costs_quantities[[#This Row],[Total cost]]/BOQs!$A$1,"")</f>
        <v/>
      </c>
      <c r="AZ580" s="37"/>
      <c r="BA580" s="37"/>
      <c r="BB580" s="37"/>
      <c r="BC580" s="37"/>
      <c r="BD580" s="41"/>
      <c r="BE580" s="37"/>
      <c r="BF580" s="37"/>
      <c r="BG580" s="37"/>
      <c r="BH580" s="41"/>
    </row>
    <row r="581" spans="2:60" ht="25.15" customHeight="1" x14ac:dyDescent="0.25">
      <c r="B581" s="49">
        <v>577</v>
      </c>
      <c r="C581" s="37"/>
      <c r="D581" s="41"/>
      <c r="E581" s="40"/>
      <c r="F581" s="87" t="str">
        <f>IF(tbl_estimated_costs_quantities[[#This Row],[House Code]]&lt;&gt;"",INDEX(tbl_Assessment[],MATCH(tbl_estimated_costs_quantities[[#This Row],[House Code]],tbl_Assessment[House Code],0),3),"")</f>
        <v/>
      </c>
      <c r="G581" s="115" t="str">
        <f>IF(tbl_estimated_costs_quantities[[#This Row],[House Code]]&lt;&gt;"",INDEX(tbl_Assessment[],MATCH(tbl_estimated_costs_quantities[[#This Row],[House Code]],tbl_Assessment[House Code],0),9),"")</f>
        <v/>
      </c>
      <c r="H58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1" s="75"/>
      <c r="J581" s="37"/>
      <c r="K581" s="86">
        <f>tbl_estimated_costs_quantities[[#This Row],[Site Preparation]]*BOQs!$L$3</f>
        <v>0</v>
      </c>
      <c r="L581" s="76"/>
      <c r="M581" s="37"/>
      <c r="N581" s="86">
        <f>tbl_estimated_costs_quantities[[#This Row],[Demolition Removal Unsafe Structures]]*BOQs!$L$4</f>
        <v>0</v>
      </c>
      <c r="O581" s="76"/>
      <c r="P581" s="37"/>
      <c r="Q581" s="86">
        <f>tbl_estimated_costs_quantities[[#This Row],[Concrete Works]]*BOQs!$L$5</f>
        <v>0</v>
      </c>
      <c r="R581" s="76"/>
      <c r="S581" s="37"/>
      <c r="T581" s="86">
        <f>tbl_estimated_costs_quantities[[#This Row],[Closure External Openings Walls Windows]]*BOQs!$L$6</f>
        <v>0</v>
      </c>
      <c r="U581" s="76"/>
      <c r="V581" s="37"/>
      <c r="W581" s="86">
        <f>tbl_estimated_costs_quantities[[#This Row],[Plastering Painting]]*BOQs!$L$7</f>
        <v>0</v>
      </c>
      <c r="X581" s="76"/>
      <c r="Y581" s="37"/>
      <c r="Z581" s="86">
        <f>tbl_estimated_costs_quantities[[#This Row],[Floor Repairs]]*BOQs!$L$8</f>
        <v>0</v>
      </c>
      <c r="AA581" s="76"/>
      <c r="AB581" s="37"/>
      <c r="AC581" s="86">
        <f>tbl_estimated_costs_quantities[[#This Row],[Doors Replacement Repair]]*BOQs!$L$9</f>
        <v>0</v>
      </c>
      <c r="AD581" s="76"/>
      <c r="AE581" s="37"/>
      <c r="AF581" s="86">
        <f>tbl_estimated_costs_quantities[[#This Row],[Windows Replacement Repair]]*BOQs!$L$10</f>
        <v>0</v>
      </c>
      <c r="AG581" s="76"/>
      <c r="AH581" s="37"/>
      <c r="AI581" s="86">
        <f>tbl_estimated_costs_quantities[[#This Row],[Bathroom Rehabilitation]]*BOQs!$L$11</f>
        <v>0</v>
      </c>
      <c r="AJ581" s="76"/>
      <c r="AK581" s="37"/>
      <c r="AL581" s="86">
        <f>tbl_estimated_costs_quantities[[#This Row],[Ceramic Tile Works WASH]]*BOQs!$L$12</f>
        <v>0</v>
      </c>
      <c r="AM581" s="76"/>
      <c r="AN581" s="37"/>
      <c r="AO581" s="86">
        <f>tbl_estimated_costs_quantities[[#This Row],[Electrical Repairs Lighting]]*BOQs!$L$13</f>
        <v>0</v>
      </c>
      <c r="AP581" s="76"/>
      <c r="AQ581" s="37"/>
      <c r="AR581" s="86">
        <f>tbl_estimated_costs_quantities[[#This Row],[Roof Insulation Leak Sealing]]*BOQs!$L$14</f>
        <v>0</v>
      </c>
      <c r="AS581" s="76"/>
      <c r="AT581" s="37"/>
      <c r="AU581" s="86">
        <f>tbl_estimated_costs_quantities[[#This Row],[Chimney Duct Cleaning Repair]]*BOQs!$L$15</f>
        <v>0</v>
      </c>
      <c r="AV581" s="76"/>
      <c r="AW581" s="37"/>
      <c r="AX581" s="89">
        <f>tbl_estimated_costs_quantities[[#This Row],[Accessibility Adaptations]]*BOQs!$L$16</f>
        <v>0</v>
      </c>
      <c r="AY581" s="86" t="str">
        <f>IF(tbl_estimated_costs_quantities[[#This Row],[Total cost]]&lt;&gt;0,tbl_estimated_costs_quantities[[#This Row],[Total cost]]/BOQs!$A$1,"")</f>
        <v/>
      </c>
      <c r="AZ581" s="37"/>
      <c r="BA581" s="37"/>
      <c r="BB581" s="37"/>
      <c r="BC581" s="37"/>
      <c r="BD581" s="41"/>
      <c r="BE581" s="37"/>
      <c r="BF581" s="37"/>
      <c r="BG581" s="37"/>
      <c r="BH581" s="41"/>
    </row>
    <row r="582" spans="2:60" ht="25.15" customHeight="1" x14ac:dyDescent="0.25">
      <c r="B582" s="49">
        <v>578</v>
      </c>
      <c r="C582" s="37"/>
      <c r="D582" s="41"/>
      <c r="E582" s="40"/>
      <c r="F582" s="87" t="str">
        <f>IF(tbl_estimated_costs_quantities[[#This Row],[House Code]]&lt;&gt;"",INDEX(tbl_Assessment[],MATCH(tbl_estimated_costs_quantities[[#This Row],[House Code]],tbl_Assessment[House Code],0),3),"")</f>
        <v/>
      </c>
      <c r="G582" s="115" t="str">
        <f>IF(tbl_estimated_costs_quantities[[#This Row],[House Code]]&lt;&gt;"",INDEX(tbl_Assessment[],MATCH(tbl_estimated_costs_quantities[[#This Row],[House Code]],tbl_Assessment[House Code],0),9),"")</f>
        <v/>
      </c>
      <c r="H58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2" s="75"/>
      <c r="J582" s="37"/>
      <c r="K582" s="86">
        <f>tbl_estimated_costs_quantities[[#This Row],[Site Preparation]]*BOQs!$L$3</f>
        <v>0</v>
      </c>
      <c r="L582" s="76"/>
      <c r="M582" s="37"/>
      <c r="N582" s="86">
        <f>tbl_estimated_costs_quantities[[#This Row],[Demolition Removal Unsafe Structures]]*BOQs!$L$4</f>
        <v>0</v>
      </c>
      <c r="O582" s="76"/>
      <c r="P582" s="37"/>
      <c r="Q582" s="86">
        <f>tbl_estimated_costs_quantities[[#This Row],[Concrete Works]]*BOQs!$L$5</f>
        <v>0</v>
      </c>
      <c r="R582" s="76"/>
      <c r="S582" s="37"/>
      <c r="T582" s="86">
        <f>tbl_estimated_costs_quantities[[#This Row],[Closure External Openings Walls Windows]]*BOQs!$L$6</f>
        <v>0</v>
      </c>
      <c r="U582" s="76"/>
      <c r="V582" s="37"/>
      <c r="W582" s="86">
        <f>tbl_estimated_costs_quantities[[#This Row],[Plastering Painting]]*BOQs!$L$7</f>
        <v>0</v>
      </c>
      <c r="X582" s="76"/>
      <c r="Y582" s="37"/>
      <c r="Z582" s="86">
        <f>tbl_estimated_costs_quantities[[#This Row],[Floor Repairs]]*BOQs!$L$8</f>
        <v>0</v>
      </c>
      <c r="AA582" s="76"/>
      <c r="AB582" s="37"/>
      <c r="AC582" s="86">
        <f>tbl_estimated_costs_quantities[[#This Row],[Doors Replacement Repair]]*BOQs!$L$9</f>
        <v>0</v>
      </c>
      <c r="AD582" s="76"/>
      <c r="AE582" s="37"/>
      <c r="AF582" s="86">
        <f>tbl_estimated_costs_quantities[[#This Row],[Windows Replacement Repair]]*BOQs!$L$10</f>
        <v>0</v>
      </c>
      <c r="AG582" s="76"/>
      <c r="AH582" s="37"/>
      <c r="AI582" s="86">
        <f>tbl_estimated_costs_quantities[[#This Row],[Bathroom Rehabilitation]]*BOQs!$L$11</f>
        <v>0</v>
      </c>
      <c r="AJ582" s="76"/>
      <c r="AK582" s="37"/>
      <c r="AL582" s="86">
        <f>tbl_estimated_costs_quantities[[#This Row],[Ceramic Tile Works WASH]]*BOQs!$L$12</f>
        <v>0</v>
      </c>
      <c r="AM582" s="76"/>
      <c r="AN582" s="37"/>
      <c r="AO582" s="86">
        <f>tbl_estimated_costs_quantities[[#This Row],[Electrical Repairs Lighting]]*BOQs!$L$13</f>
        <v>0</v>
      </c>
      <c r="AP582" s="76"/>
      <c r="AQ582" s="37"/>
      <c r="AR582" s="86">
        <f>tbl_estimated_costs_quantities[[#This Row],[Roof Insulation Leak Sealing]]*BOQs!$L$14</f>
        <v>0</v>
      </c>
      <c r="AS582" s="76"/>
      <c r="AT582" s="37"/>
      <c r="AU582" s="86">
        <f>tbl_estimated_costs_quantities[[#This Row],[Chimney Duct Cleaning Repair]]*BOQs!$L$15</f>
        <v>0</v>
      </c>
      <c r="AV582" s="76"/>
      <c r="AW582" s="37"/>
      <c r="AX582" s="89">
        <f>tbl_estimated_costs_quantities[[#This Row],[Accessibility Adaptations]]*BOQs!$L$16</f>
        <v>0</v>
      </c>
      <c r="AY582" s="86" t="str">
        <f>IF(tbl_estimated_costs_quantities[[#This Row],[Total cost]]&lt;&gt;0,tbl_estimated_costs_quantities[[#This Row],[Total cost]]/BOQs!$A$1,"")</f>
        <v/>
      </c>
      <c r="AZ582" s="37"/>
      <c r="BA582" s="37"/>
      <c r="BB582" s="37"/>
      <c r="BC582" s="37"/>
      <c r="BD582" s="41"/>
      <c r="BE582" s="37"/>
      <c r="BF582" s="37"/>
      <c r="BG582" s="37"/>
      <c r="BH582" s="41"/>
    </row>
    <row r="583" spans="2:60" ht="25.15" customHeight="1" x14ac:dyDescent="0.25">
      <c r="B583" s="49">
        <v>579</v>
      </c>
      <c r="C583" s="37"/>
      <c r="D583" s="41"/>
      <c r="E583" s="40"/>
      <c r="F583" s="87" t="str">
        <f>IF(tbl_estimated_costs_quantities[[#This Row],[House Code]]&lt;&gt;"",INDEX(tbl_Assessment[],MATCH(tbl_estimated_costs_quantities[[#This Row],[House Code]],tbl_Assessment[House Code],0),3),"")</f>
        <v/>
      </c>
      <c r="G583" s="115" t="str">
        <f>IF(tbl_estimated_costs_quantities[[#This Row],[House Code]]&lt;&gt;"",INDEX(tbl_Assessment[],MATCH(tbl_estimated_costs_quantities[[#This Row],[House Code]],tbl_Assessment[House Code],0),9),"")</f>
        <v/>
      </c>
      <c r="H58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3" s="75"/>
      <c r="J583" s="37"/>
      <c r="K583" s="86">
        <f>tbl_estimated_costs_quantities[[#This Row],[Site Preparation]]*BOQs!$L$3</f>
        <v>0</v>
      </c>
      <c r="L583" s="76"/>
      <c r="M583" s="37"/>
      <c r="N583" s="86">
        <f>tbl_estimated_costs_quantities[[#This Row],[Demolition Removal Unsafe Structures]]*BOQs!$L$4</f>
        <v>0</v>
      </c>
      <c r="O583" s="76"/>
      <c r="P583" s="37"/>
      <c r="Q583" s="86">
        <f>tbl_estimated_costs_quantities[[#This Row],[Concrete Works]]*BOQs!$L$5</f>
        <v>0</v>
      </c>
      <c r="R583" s="76"/>
      <c r="S583" s="37"/>
      <c r="T583" s="86">
        <f>tbl_estimated_costs_quantities[[#This Row],[Closure External Openings Walls Windows]]*BOQs!$L$6</f>
        <v>0</v>
      </c>
      <c r="U583" s="76"/>
      <c r="V583" s="37"/>
      <c r="W583" s="86">
        <f>tbl_estimated_costs_quantities[[#This Row],[Plastering Painting]]*BOQs!$L$7</f>
        <v>0</v>
      </c>
      <c r="X583" s="76"/>
      <c r="Y583" s="37"/>
      <c r="Z583" s="86">
        <f>tbl_estimated_costs_quantities[[#This Row],[Floor Repairs]]*BOQs!$L$8</f>
        <v>0</v>
      </c>
      <c r="AA583" s="76"/>
      <c r="AB583" s="37"/>
      <c r="AC583" s="86">
        <f>tbl_estimated_costs_quantities[[#This Row],[Doors Replacement Repair]]*BOQs!$L$9</f>
        <v>0</v>
      </c>
      <c r="AD583" s="76"/>
      <c r="AE583" s="37"/>
      <c r="AF583" s="86">
        <f>tbl_estimated_costs_quantities[[#This Row],[Windows Replacement Repair]]*BOQs!$L$10</f>
        <v>0</v>
      </c>
      <c r="AG583" s="76"/>
      <c r="AH583" s="37"/>
      <c r="AI583" s="86">
        <f>tbl_estimated_costs_quantities[[#This Row],[Bathroom Rehabilitation]]*BOQs!$L$11</f>
        <v>0</v>
      </c>
      <c r="AJ583" s="76"/>
      <c r="AK583" s="37"/>
      <c r="AL583" s="86">
        <f>tbl_estimated_costs_quantities[[#This Row],[Ceramic Tile Works WASH]]*BOQs!$L$12</f>
        <v>0</v>
      </c>
      <c r="AM583" s="76"/>
      <c r="AN583" s="37"/>
      <c r="AO583" s="86">
        <f>tbl_estimated_costs_quantities[[#This Row],[Electrical Repairs Lighting]]*BOQs!$L$13</f>
        <v>0</v>
      </c>
      <c r="AP583" s="76"/>
      <c r="AQ583" s="37"/>
      <c r="AR583" s="86">
        <f>tbl_estimated_costs_quantities[[#This Row],[Roof Insulation Leak Sealing]]*BOQs!$L$14</f>
        <v>0</v>
      </c>
      <c r="AS583" s="76"/>
      <c r="AT583" s="37"/>
      <c r="AU583" s="86">
        <f>tbl_estimated_costs_quantities[[#This Row],[Chimney Duct Cleaning Repair]]*BOQs!$L$15</f>
        <v>0</v>
      </c>
      <c r="AV583" s="76"/>
      <c r="AW583" s="37"/>
      <c r="AX583" s="89">
        <f>tbl_estimated_costs_quantities[[#This Row],[Accessibility Adaptations]]*BOQs!$L$16</f>
        <v>0</v>
      </c>
      <c r="AY583" s="86" t="str">
        <f>IF(tbl_estimated_costs_quantities[[#This Row],[Total cost]]&lt;&gt;0,tbl_estimated_costs_quantities[[#This Row],[Total cost]]/BOQs!$A$1,"")</f>
        <v/>
      </c>
      <c r="AZ583" s="37"/>
      <c r="BA583" s="37"/>
      <c r="BB583" s="37"/>
      <c r="BC583" s="37"/>
      <c r="BD583" s="41"/>
      <c r="BE583" s="37"/>
      <c r="BF583" s="37"/>
      <c r="BG583" s="37"/>
      <c r="BH583" s="41"/>
    </row>
    <row r="584" spans="2:60" ht="25.15" customHeight="1" x14ac:dyDescent="0.25">
      <c r="B584" s="49">
        <v>580</v>
      </c>
      <c r="C584" s="37"/>
      <c r="D584" s="41"/>
      <c r="E584" s="40"/>
      <c r="F584" s="87" t="str">
        <f>IF(tbl_estimated_costs_quantities[[#This Row],[House Code]]&lt;&gt;"",INDEX(tbl_Assessment[],MATCH(tbl_estimated_costs_quantities[[#This Row],[House Code]],tbl_Assessment[House Code],0),3),"")</f>
        <v/>
      </c>
      <c r="G584" s="115" t="str">
        <f>IF(tbl_estimated_costs_quantities[[#This Row],[House Code]]&lt;&gt;"",INDEX(tbl_Assessment[],MATCH(tbl_estimated_costs_quantities[[#This Row],[House Code]],tbl_Assessment[House Code],0),9),"")</f>
        <v/>
      </c>
      <c r="H58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4" s="75"/>
      <c r="J584" s="37"/>
      <c r="K584" s="86">
        <f>tbl_estimated_costs_quantities[[#This Row],[Site Preparation]]*BOQs!$L$3</f>
        <v>0</v>
      </c>
      <c r="L584" s="76"/>
      <c r="M584" s="37"/>
      <c r="N584" s="86">
        <f>tbl_estimated_costs_quantities[[#This Row],[Demolition Removal Unsafe Structures]]*BOQs!$L$4</f>
        <v>0</v>
      </c>
      <c r="O584" s="76"/>
      <c r="P584" s="37"/>
      <c r="Q584" s="86">
        <f>tbl_estimated_costs_quantities[[#This Row],[Concrete Works]]*BOQs!$L$5</f>
        <v>0</v>
      </c>
      <c r="R584" s="76"/>
      <c r="S584" s="37"/>
      <c r="T584" s="86">
        <f>tbl_estimated_costs_quantities[[#This Row],[Closure External Openings Walls Windows]]*BOQs!$L$6</f>
        <v>0</v>
      </c>
      <c r="U584" s="76"/>
      <c r="V584" s="37"/>
      <c r="W584" s="86">
        <f>tbl_estimated_costs_quantities[[#This Row],[Plastering Painting]]*BOQs!$L$7</f>
        <v>0</v>
      </c>
      <c r="X584" s="76"/>
      <c r="Y584" s="37"/>
      <c r="Z584" s="86">
        <f>tbl_estimated_costs_quantities[[#This Row],[Floor Repairs]]*BOQs!$L$8</f>
        <v>0</v>
      </c>
      <c r="AA584" s="76"/>
      <c r="AB584" s="37"/>
      <c r="AC584" s="86">
        <f>tbl_estimated_costs_quantities[[#This Row],[Doors Replacement Repair]]*BOQs!$L$9</f>
        <v>0</v>
      </c>
      <c r="AD584" s="76"/>
      <c r="AE584" s="37"/>
      <c r="AF584" s="86">
        <f>tbl_estimated_costs_quantities[[#This Row],[Windows Replacement Repair]]*BOQs!$L$10</f>
        <v>0</v>
      </c>
      <c r="AG584" s="76"/>
      <c r="AH584" s="37"/>
      <c r="AI584" s="86">
        <f>tbl_estimated_costs_quantities[[#This Row],[Bathroom Rehabilitation]]*BOQs!$L$11</f>
        <v>0</v>
      </c>
      <c r="AJ584" s="76"/>
      <c r="AK584" s="37"/>
      <c r="AL584" s="86">
        <f>tbl_estimated_costs_quantities[[#This Row],[Ceramic Tile Works WASH]]*BOQs!$L$12</f>
        <v>0</v>
      </c>
      <c r="AM584" s="76"/>
      <c r="AN584" s="37"/>
      <c r="AO584" s="86">
        <f>tbl_estimated_costs_quantities[[#This Row],[Electrical Repairs Lighting]]*BOQs!$L$13</f>
        <v>0</v>
      </c>
      <c r="AP584" s="76"/>
      <c r="AQ584" s="37"/>
      <c r="AR584" s="86">
        <f>tbl_estimated_costs_quantities[[#This Row],[Roof Insulation Leak Sealing]]*BOQs!$L$14</f>
        <v>0</v>
      </c>
      <c r="AS584" s="76"/>
      <c r="AT584" s="37"/>
      <c r="AU584" s="86">
        <f>tbl_estimated_costs_quantities[[#This Row],[Chimney Duct Cleaning Repair]]*BOQs!$L$15</f>
        <v>0</v>
      </c>
      <c r="AV584" s="76"/>
      <c r="AW584" s="37"/>
      <c r="AX584" s="89">
        <f>tbl_estimated_costs_quantities[[#This Row],[Accessibility Adaptations]]*BOQs!$L$16</f>
        <v>0</v>
      </c>
      <c r="AY584" s="86" t="str">
        <f>IF(tbl_estimated_costs_quantities[[#This Row],[Total cost]]&lt;&gt;0,tbl_estimated_costs_quantities[[#This Row],[Total cost]]/BOQs!$A$1,"")</f>
        <v/>
      </c>
      <c r="AZ584" s="37"/>
      <c r="BA584" s="37"/>
      <c r="BB584" s="37"/>
      <c r="BC584" s="37"/>
      <c r="BD584" s="41"/>
      <c r="BE584" s="37"/>
      <c r="BF584" s="37"/>
      <c r="BG584" s="37"/>
      <c r="BH584" s="41"/>
    </row>
    <row r="585" spans="2:60" ht="25.15" customHeight="1" x14ac:dyDescent="0.25">
      <c r="B585" s="49">
        <v>581</v>
      </c>
      <c r="C585" s="37"/>
      <c r="D585" s="41"/>
      <c r="E585" s="40"/>
      <c r="F585" s="87" t="str">
        <f>IF(tbl_estimated_costs_quantities[[#This Row],[House Code]]&lt;&gt;"",INDEX(tbl_Assessment[],MATCH(tbl_estimated_costs_quantities[[#This Row],[House Code]],tbl_Assessment[House Code],0),3),"")</f>
        <v/>
      </c>
      <c r="G585" s="115" t="str">
        <f>IF(tbl_estimated_costs_quantities[[#This Row],[House Code]]&lt;&gt;"",INDEX(tbl_Assessment[],MATCH(tbl_estimated_costs_quantities[[#This Row],[House Code]],tbl_Assessment[House Code],0),9),"")</f>
        <v/>
      </c>
      <c r="H58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5" s="75"/>
      <c r="J585" s="37"/>
      <c r="K585" s="86">
        <f>tbl_estimated_costs_quantities[[#This Row],[Site Preparation]]*BOQs!$L$3</f>
        <v>0</v>
      </c>
      <c r="L585" s="76"/>
      <c r="M585" s="37"/>
      <c r="N585" s="86">
        <f>tbl_estimated_costs_quantities[[#This Row],[Demolition Removal Unsafe Structures]]*BOQs!$L$4</f>
        <v>0</v>
      </c>
      <c r="O585" s="76"/>
      <c r="P585" s="37"/>
      <c r="Q585" s="86">
        <f>tbl_estimated_costs_quantities[[#This Row],[Concrete Works]]*BOQs!$L$5</f>
        <v>0</v>
      </c>
      <c r="R585" s="76"/>
      <c r="S585" s="37"/>
      <c r="T585" s="86">
        <f>tbl_estimated_costs_quantities[[#This Row],[Closure External Openings Walls Windows]]*BOQs!$L$6</f>
        <v>0</v>
      </c>
      <c r="U585" s="76"/>
      <c r="V585" s="37"/>
      <c r="W585" s="86">
        <f>tbl_estimated_costs_quantities[[#This Row],[Plastering Painting]]*BOQs!$L$7</f>
        <v>0</v>
      </c>
      <c r="X585" s="76"/>
      <c r="Y585" s="37"/>
      <c r="Z585" s="86">
        <f>tbl_estimated_costs_quantities[[#This Row],[Floor Repairs]]*BOQs!$L$8</f>
        <v>0</v>
      </c>
      <c r="AA585" s="76"/>
      <c r="AB585" s="37"/>
      <c r="AC585" s="86">
        <f>tbl_estimated_costs_quantities[[#This Row],[Doors Replacement Repair]]*BOQs!$L$9</f>
        <v>0</v>
      </c>
      <c r="AD585" s="76"/>
      <c r="AE585" s="37"/>
      <c r="AF585" s="86">
        <f>tbl_estimated_costs_quantities[[#This Row],[Windows Replacement Repair]]*BOQs!$L$10</f>
        <v>0</v>
      </c>
      <c r="AG585" s="76"/>
      <c r="AH585" s="37"/>
      <c r="AI585" s="86">
        <f>tbl_estimated_costs_quantities[[#This Row],[Bathroom Rehabilitation]]*BOQs!$L$11</f>
        <v>0</v>
      </c>
      <c r="AJ585" s="76"/>
      <c r="AK585" s="37"/>
      <c r="AL585" s="86">
        <f>tbl_estimated_costs_quantities[[#This Row],[Ceramic Tile Works WASH]]*BOQs!$L$12</f>
        <v>0</v>
      </c>
      <c r="AM585" s="76"/>
      <c r="AN585" s="37"/>
      <c r="AO585" s="86">
        <f>tbl_estimated_costs_quantities[[#This Row],[Electrical Repairs Lighting]]*BOQs!$L$13</f>
        <v>0</v>
      </c>
      <c r="AP585" s="76"/>
      <c r="AQ585" s="37"/>
      <c r="AR585" s="86">
        <f>tbl_estimated_costs_quantities[[#This Row],[Roof Insulation Leak Sealing]]*BOQs!$L$14</f>
        <v>0</v>
      </c>
      <c r="AS585" s="76"/>
      <c r="AT585" s="37"/>
      <c r="AU585" s="86">
        <f>tbl_estimated_costs_quantities[[#This Row],[Chimney Duct Cleaning Repair]]*BOQs!$L$15</f>
        <v>0</v>
      </c>
      <c r="AV585" s="76"/>
      <c r="AW585" s="37"/>
      <c r="AX585" s="89">
        <f>tbl_estimated_costs_quantities[[#This Row],[Accessibility Adaptations]]*BOQs!$L$16</f>
        <v>0</v>
      </c>
      <c r="AY585" s="86" t="str">
        <f>IF(tbl_estimated_costs_quantities[[#This Row],[Total cost]]&lt;&gt;0,tbl_estimated_costs_quantities[[#This Row],[Total cost]]/BOQs!$A$1,"")</f>
        <v/>
      </c>
      <c r="AZ585" s="37"/>
      <c r="BA585" s="37"/>
      <c r="BB585" s="37"/>
      <c r="BC585" s="37"/>
      <c r="BD585" s="41"/>
      <c r="BE585" s="37"/>
      <c r="BF585" s="37"/>
      <c r="BG585" s="37"/>
      <c r="BH585" s="41"/>
    </row>
    <row r="586" spans="2:60" ht="25.15" customHeight="1" x14ac:dyDescent="0.25">
      <c r="B586" s="49">
        <v>582</v>
      </c>
      <c r="C586" s="37"/>
      <c r="D586" s="41"/>
      <c r="E586" s="40"/>
      <c r="F586" s="87" t="str">
        <f>IF(tbl_estimated_costs_quantities[[#This Row],[House Code]]&lt;&gt;"",INDEX(tbl_Assessment[],MATCH(tbl_estimated_costs_quantities[[#This Row],[House Code]],tbl_Assessment[House Code],0),3),"")</f>
        <v/>
      </c>
      <c r="G586" s="115" t="str">
        <f>IF(tbl_estimated_costs_quantities[[#This Row],[House Code]]&lt;&gt;"",INDEX(tbl_Assessment[],MATCH(tbl_estimated_costs_quantities[[#This Row],[House Code]],tbl_Assessment[House Code],0),9),"")</f>
        <v/>
      </c>
      <c r="H58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6" s="75"/>
      <c r="J586" s="37"/>
      <c r="K586" s="86">
        <f>tbl_estimated_costs_quantities[[#This Row],[Site Preparation]]*BOQs!$L$3</f>
        <v>0</v>
      </c>
      <c r="L586" s="76"/>
      <c r="M586" s="37"/>
      <c r="N586" s="86">
        <f>tbl_estimated_costs_quantities[[#This Row],[Demolition Removal Unsafe Structures]]*BOQs!$L$4</f>
        <v>0</v>
      </c>
      <c r="O586" s="76"/>
      <c r="P586" s="37"/>
      <c r="Q586" s="86">
        <f>tbl_estimated_costs_quantities[[#This Row],[Concrete Works]]*BOQs!$L$5</f>
        <v>0</v>
      </c>
      <c r="R586" s="76"/>
      <c r="S586" s="37"/>
      <c r="T586" s="86">
        <f>tbl_estimated_costs_quantities[[#This Row],[Closure External Openings Walls Windows]]*BOQs!$L$6</f>
        <v>0</v>
      </c>
      <c r="U586" s="76"/>
      <c r="V586" s="37"/>
      <c r="W586" s="86">
        <f>tbl_estimated_costs_quantities[[#This Row],[Plastering Painting]]*BOQs!$L$7</f>
        <v>0</v>
      </c>
      <c r="X586" s="76"/>
      <c r="Y586" s="37"/>
      <c r="Z586" s="86">
        <f>tbl_estimated_costs_quantities[[#This Row],[Floor Repairs]]*BOQs!$L$8</f>
        <v>0</v>
      </c>
      <c r="AA586" s="76"/>
      <c r="AB586" s="37"/>
      <c r="AC586" s="86">
        <f>tbl_estimated_costs_quantities[[#This Row],[Doors Replacement Repair]]*BOQs!$L$9</f>
        <v>0</v>
      </c>
      <c r="AD586" s="76"/>
      <c r="AE586" s="37"/>
      <c r="AF586" s="86">
        <f>tbl_estimated_costs_quantities[[#This Row],[Windows Replacement Repair]]*BOQs!$L$10</f>
        <v>0</v>
      </c>
      <c r="AG586" s="76"/>
      <c r="AH586" s="37"/>
      <c r="AI586" s="86">
        <f>tbl_estimated_costs_quantities[[#This Row],[Bathroom Rehabilitation]]*BOQs!$L$11</f>
        <v>0</v>
      </c>
      <c r="AJ586" s="76"/>
      <c r="AK586" s="37"/>
      <c r="AL586" s="86">
        <f>tbl_estimated_costs_quantities[[#This Row],[Ceramic Tile Works WASH]]*BOQs!$L$12</f>
        <v>0</v>
      </c>
      <c r="AM586" s="76"/>
      <c r="AN586" s="37"/>
      <c r="AO586" s="86">
        <f>tbl_estimated_costs_quantities[[#This Row],[Electrical Repairs Lighting]]*BOQs!$L$13</f>
        <v>0</v>
      </c>
      <c r="AP586" s="76"/>
      <c r="AQ586" s="37"/>
      <c r="AR586" s="86">
        <f>tbl_estimated_costs_quantities[[#This Row],[Roof Insulation Leak Sealing]]*BOQs!$L$14</f>
        <v>0</v>
      </c>
      <c r="AS586" s="76"/>
      <c r="AT586" s="37"/>
      <c r="AU586" s="86">
        <f>tbl_estimated_costs_quantities[[#This Row],[Chimney Duct Cleaning Repair]]*BOQs!$L$15</f>
        <v>0</v>
      </c>
      <c r="AV586" s="76"/>
      <c r="AW586" s="37"/>
      <c r="AX586" s="89">
        <f>tbl_estimated_costs_quantities[[#This Row],[Accessibility Adaptations]]*BOQs!$L$16</f>
        <v>0</v>
      </c>
      <c r="AY586" s="86" t="str">
        <f>IF(tbl_estimated_costs_quantities[[#This Row],[Total cost]]&lt;&gt;0,tbl_estimated_costs_quantities[[#This Row],[Total cost]]/BOQs!$A$1,"")</f>
        <v/>
      </c>
      <c r="AZ586" s="37"/>
      <c r="BA586" s="37"/>
      <c r="BB586" s="37"/>
      <c r="BC586" s="37"/>
      <c r="BD586" s="41"/>
      <c r="BE586" s="37"/>
      <c r="BF586" s="37"/>
      <c r="BG586" s="37"/>
      <c r="BH586" s="41"/>
    </row>
    <row r="587" spans="2:60" ht="25.15" customHeight="1" x14ac:dyDescent="0.25">
      <c r="B587" s="49">
        <v>583</v>
      </c>
      <c r="C587" s="37"/>
      <c r="D587" s="41"/>
      <c r="E587" s="40"/>
      <c r="F587" s="87" t="str">
        <f>IF(tbl_estimated_costs_quantities[[#This Row],[House Code]]&lt;&gt;"",INDEX(tbl_Assessment[],MATCH(tbl_estimated_costs_quantities[[#This Row],[House Code]],tbl_Assessment[House Code],0),3),"")</f>
        <v/>
      </c>
      <c r="G587" s="115" t="str">
        <f>IF(tbl_estimated_costs_quantities[[#This Row],[House Code]]&lt;&gt;"",INDEX(tbl_Assessment[],MATCH(tbl_estimated_costs_quantities[[#This Row],[House Code]],tbl_Assessment[House Code],0),9),"")</f>
        <v/>
      </c>
      <c r="H58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7" s="75"/>
      <c r="J587" s="37"/>
      <c r="K587" s="86">
        <f>tbl_estimated_costs_quantities[[#This Row],[Site Preparation]]*BOQs!$L$3</f>
        <v>0</v>
      </c>
      <c r="L587" s="76"/>
      <c r="M587" s="37"/>
      <c r="N587" s="86">
        <f>tbl_estimated_costs_quantities[[#This Row],[Demolition Removal Unsafe Structures]]*BOQs!$L$4</f>
        <v>0</v>
      </c>
      <c r="O587" s="76"/>
      <c r="P587" s="37"/>
      <c r="Q587" s="86">
        <f>tbl_estimated_costs_quantities[[#This Row],[Concrete Works]]*BOQs!$L$5</f>
        <v>0</v>
      </c>
      <c r="R587" s="76"/>
      <c r="S587" s="37"/>
      <c r="T587" s="86">
        <f>tbl_estimated_costs_quantities[[#This Row],[Closure External Openings Walls Windows]]*BOQs!$L$6</f>
        <v>0</v>
      </c>
      <c r="U587" s="76"/>
      <c r="V587" s="37"/>
      <c r="W587" s="86">
        <f>tbl_estimated_costs_quantities[[#This Row],[Plastering Painting]]*BOQs!$L$7</f>
        <v>0</v>
      </c>
      <c r="X587" s="76"/>
      <c r="Y587" s="37"/>
      <c r="Z587" s="86">
        <f>tbl_estimated_costs_quantities[[#This Row],[Floor Repairs]]*BOQs!$L$8</f>
        <v>0</v>
      </c>
      <c r="AA587" s="76"/>
      <c r="AB587" s="37"/>
      <c r="AC587" s="86">
        <f>tbl_estimated_costs_quantities[[#This Row],[Doors Replacement Repair]]*BOQs!$L$9</f>
        <v>0</v>
      </c>
      <c r="AD587" s="76"/>
      <c r="AE587" s="37"/>
      <c r="AF587" s="86">
        <f>tbl_estimated_costs_quantities[[#This Row],[Windows Replacement Repair]]*BOQs!$L$10</f>
        <v>0</v>
      </c>
      <c r="AG587" s="76"/>
      <c r="AH587" s="37"/>
      <c r="AI587" s="86">
        <f>tbl_estimated_costs_quantities[[#This Row],[Bathroom Rehabilitation]]*BOQs!$L$11</f>
        <v>0</v>
      </c>
      <c r="AJ587" s="76"/>
      <c r="AK587" s="37"/>
      <c r="AL587" s="86">
        <f>tbl_estimated_costs_quantities[[#This Row],[Ceramic Tile Works WASH]]*BOQs!$L$12</f>
        <v>0</v>
      </c>
      <c r="AM587" s="76"/>
      <c r="AN587" s="37"/>
      <c r="AO587" s="86">
        <f>tbl_estimated_costs_quantities[[#This Row],[Electrical Repairs Lighting]]*BOQs!$L$13</f>
        <v>0</v>
      </c>
      <c r="AP587" s="76"/>
      <c r="AQ587" s="37"/>
      <c r="AR587" s="86">
        <f>tbl_estimated_costs_quantities[[#This Row],[Roof Insulation Leak Sealing]]*BOQs!$L$14</f>
        <v>0</v>
      </c>
      <c r="AS587" s="76"/>
      <c r="AT587" s="37"/>
      <c r="AU587" s="86">
        <f>tbl_estimated_costs_quantities[[#This Row],[Chimney Duct Cleaning Repair]]*BOQs!$L$15</f>
        <v>0</v>
      </c>
      <c r="AV587" s="76"/>
      <c r="AW587" s="37"/>
      <c r="AX587" s="89">
        <f>tbl_estimated_costs_quantities[[#This Row],[Accessibility Adaptations]]*BOQs!$L$16</f>
        <v>0</v>
      </c>
      <c r="AY587" s="86" t="str">
        <f>IF(tbl_estimated_costs_quantities[[#This Row],[Total cost]]&lt;&gt;0,tbl_estimated_costs_quantities[[#This Row],[Total cost]]/BOQs!$A$1,"")</f>
        <v/>
      </c>
      <c r="AZ587" s="37"/>
      <c r="BA587" s="37"/>
      <c r="BB587" s="37"/>
      <c r="BC587" s="37"/>
      <c r="BD587" s="41"/>
      <c r="BE587" s="37"/>
      <c r="BF587" s="37"/>
      <c r="BG587" s="37"/>
      <c r="BH587" s="41"/>
    </row>
    <row r="588" spans="2:60" ht="25.15" customHeight="1" x14ac:dyDescent="0.25">
      <c r="B588" s="49">
        <v>584</v>
      </c>
      <c r="C588" s="37"/>
      <c r="D588" s="41"/>
      <c r="E588" s="40"/>
      <c r="F588" s="87" t="str">
        <f>IF(tbl_estimated_costs_quantities[[#This Row],[House Code]]&lt;&gt;"",INDEX(tbl_Assessment[],MATCH(tbl_estimated_costs_quantities[[#This Row],[House Code]],tbl_Assessment[House Code],0),3),"")</f>
        <v/>
      </c>
      <c r="G588" s="115" t="str">
        <f>IF(tbl_estimated_costs_quantities[[#This Row],[House Code]]&lt;&gt;"",INDEX(tbl_Assessment[],MATCH(tbl_estimated_costs_quantities[[#This Row],[House Code]],tbl_Assessment[House Code],0),9),"")</f>
        <v/>
      </c>
      <c r="H58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8" s="75"/>
      <c r="J588" s="37"/>
      <c r="K588" s="86">
        <f>tbl_estimated_costs_quantities[[#This Row],[Site Preparation]]*BOQs!$L$3</f>
        <v>0</v>
      </c>
      <c r="L588" s="76"/>
      <c r="M588" s="37"/>
      <c r="N588" s="86">
        <f>tbl_estimated_costs_quantities[[#This Row],[Demolition Removal Unsafe Structures]]*BOQs!$L$4</f>
        <v>0</v>
      </c>
      <c r="O588" s="76"/>
      <c r="P588" s="37"/>
      <c r="Q588" s="86">
        <f>tbl_estimated_costs_quantities[[#This Row],[Concrete Works]]*BOQs!$L$5</f>
        <v>0</v>
      </c>
      <c r="R588" s="76"/>
      <c r="S588" s="37"/>
      <c r="T588" s="86">
        <f>tbl_estimated_costs_quantities[[#This Row],[Closure External Openings Walls Windows]]*BOQs!$L$6</f>
        <v>0</v>
      </c>
      <c r="U588" s="76"/>
      <c r="V588" s="37"/>
      <c r="W588" s="86">
        <f>tbl_estimated_costs_quantities[[#This Row],[Plastering Painting]]*BOQs!$L$7</f>
        <v>0</v>
      </c>
      <c r="X588" s="76"/>
      <c r="Y588" s="37"/>
      <c r="Z588" s="86">
        <f>tbl_estimated_costs_quantities[[#This Row],[Floor Repairs]]*BOQs!$L$8</f>
        <v>0</v>
      </c>
      <c r="AA588" s="76"/>
      <c r="AB588" s="37"/>
      <c r="AC588" s="86">
        <f>tbl_estimated_costs_quantities[[#This Row],[Doors Replacement Repair]]*BOQs!$L$9</f>
        <v>0</v>
      </c>
      <c r="AD588" s="76"/>
      <c r="AE588" s="37"/>
      <c r="AF588" s="86">
        <f>tbl_estimated_costs_quantities[[#This Row],[Windows Replacement Repair]]*BOQs!$L$10</f>
        <v>0</v>
      </c>
      <c r="AG588" s="76"/>
      <c r="AH588" s="37"/>
      <c r="AI588" s="86">
        <f>tbl_estimated_costs_quantities[[#This Row],[Bathroom Rehabilitation]]*BOQs!$L$11</f>
        <v>0</v>
      </c>
      <c r="AJ588" s="76"/>
      <c r="AK588" s="37"/>
      <c r="AL588" s="86">
        <f>tbl_estimated_costs_quantities[[#This Row],[Ceramic Tile Works WASH]]*BOQs!$L$12</f>
        <v>0</v>
      </c>
      <c r="AM588" s="76"/>
      <c r="AN588" s="37"/>
      <c r="AO588" s="86">
        <f>tbl_estimated_costs_quantities[[#This Row],[Electrical Repairs Lighting]]*BOQs!$L$13</f>
        <v>0</v>
      </c>
      <c r="AP588" s="76"/>
      <c r="AQ588" s="37"/>
      <c r="AR588" s="86">
        <f>tbl_estimated_costs_quantities[[#This Row],[Roof Insulation Leak Sealing]]*BOQs!$L$14</f>
        <v>0</v>
      </c>
      <c r="AS588" s="76"/>
      <c r="AT588" s="37"/>
      <c r="AU588" s="86">
        <f>tbl_estimated_costs_quantities[[#This Row],[Chimney Duct Cleaning Repair]]*BOQs!$L$15</f>
        <v>0</v>
      </c>
      <c r="AV588" s="76"/>
      <c r="AW588" s="37"/>
      <c r="AX588" s="89">
        <f>tbl_estimated_costs_quantities[[#This Row],[Accessibility Adaptations]]*BOQs!$L$16</f>
        <v>0</v>
      </c>
      <c r="AY588" s="86" t="str">
        <f>IF(tbl_estimated_costs_quantities[[#This Row],[Total cost]]&lt;&gt;0,tbl_estimated_costs_quantities[[#This Row],[Total cost]]/BOQs!$A$1,"")</f>
        <v/>
      </c>
      <c r="AZ588" s="37"/>
      <c r="BA588" s="37"/>
      <c r="BB588" s="37"/>
      <c r="BC588" s="37"/>
      <c r="BD588" s="41"/>
      <c r="BE588" s="37"/>
      <c r="BF588" s="37"/>
      <c r="BG588" s="37"/>
      <c r="BH588" s="41"/>
    </row>
    <row r="589" spans="2:60" ht="25.15" customHeight="1" x14ac:dyDescent="0.25">
      <c r="B589" s="49">
        <v>585</v>
      </c>
      <c r="C589" s="37"/>
      <c r="D589" s="41"/>
      <c r="E589" s="40"/>
      <c r="F589" s="87" t="str">
        <f>IF(tbl_estimated_costs_quantities[[#This Row],[House Code]]&lt;&gt;"",INDEX(tbl_Assessment[],MATCH(tbl_estimated_costs_quantities[[#This Row],[House Code]],tbl_Assessment[House Code],0),3),"")</f>
        <v/>
      </c>
      <c r="G589" s="115" t="str">
        <f>IF(tbl_estimated_costs_quantities[[#This Row],[House Code]]&lt;&gt;"",INDEX(tbl_Assessment[],MATCH(tbl_estimated_costs_quantities[[#This Row],[House Code]],tbl_Assessment[House Code],0),9),"")</f>
        <v/>
      </c>
      <c r="H58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89" s="75"/>
      <c r="J589" s="37"/>
      <c r="K589" s="86">
        <f>tbl_estimated_costs_quantities[[#This Row],[Site Preparation]]*BOQs!$L$3</f>
        <v>0</v>
      </c>
      <c r="L589" s="76"/>
      <c r="M589" s="37"/>
      <c r="N589" s="86">
        <f>tbl_estimated_costs_quantities[[#This Row],[Demolition Removal Unsafe Structures]]*BOQs!$L$4</f>
        <v>0</v>
      </c>
      <c r="O589" s="76"/>
      <c r="P589" s="37"/>
      <c r="Q589" s="86">
        <f>tbl_estimated_costs_quantities[[#This Row],[Concrete Works]]*BOQs!$L$5</f>
        <v>0</v>
      </c>
      <c r="R589" s="76"/>
      <c r="S589" s="37"/>
      <c r="T589" s="86">
        <f>tbl_estimated_costs_quantities[[#This Row],[Closure External Openings Walls Windows]]*BOQs!$L$6</f>
        <v>0</v>
      </c>
      <c r="U589" s="76"/>
      <c r="V589" s="37"/>
      <c r="W589" s="86">
        <f>tbl_estimated_costs_quantities[[#This Row],[Plastering Painting]]*BOQs!$L$7</f>
        <v>0</v>
      </c>
      <c r="X589" s="76"/>
      <c r="Y589" s="37"/>
      <c r="Z589" s="86">
        <f>tbl_estimated_costs_quantities[[#This Row],[Floor Repairs]]*BOQs!$L$8</f>
        <v>0</v>
      </c>
      <c r="AA589" s="76"/>
      <c r="AB589" s="37"/>
      <c r="AC589" s="86">
        <f>tbl_estimated_costs_quantities[[#This Row],[Doors Replacement Repair]]*BOQs!$L$9</f>
        <v>0</v>
      </c>
      <c r="AD589" s="76"/>
      <c r="AE589" s="37"/>
      <c r="AF589" s="86">
        <f>tbl_estimated_costs_quantities[[#This Row],[Windows Replacement Repair]]*BOQs!$L$10</f>
        <v>0</v>
      </c>
      <c r="AG589" s="76"/>
      <c r="AH589" s="37"/>
      <c r="AI589" s="86">
        <f>tbl_estimated_costs_quantities[[#This Row],[Bathroom Rehabilitation]]*BOQs!$L$11</f>
        <v>0</v>
      </c>
      <c r="AJ589" s="76"/>
      <c r="AK589" s="37"/>
      <c r="AL589" s="86">
        <f>tbl_estimated_costs_quantities[[#This Row],[Ceramic Tile Works WASH]]*BOQs!$L$12</f>
        <v>0</v>
      </c>
      <c r="AM589" s="76"/>
      <c r="AN589" s="37"/>
      <c r="AO589" s="86">
        <f>tbl_estimated_costs_quantities[[#This Row],[Electrical Repairs Lighting]]*BOQs!$L$13</f>
        <v>0</v>
      </c>
      <c r="AP589" s="76"/>
      <c r="AQ589" s="37"/>
      <c r="AR589" s="86">
        <f>tbl_estimated_costs_quantities[[#This Row],[Roof Insulation Leak Sealing]]*BOQs!$L$14</f>
        <v>0</v>
      </c>
      <c r="AS589" s="76"/>
      <c r="AT589" s="37"/>
      <c r="AU589" s="86">
        <f>tbl_estimated_costs_quantities[[#This Row],[Chimney Duct Cleaning Repair]]*BOQs!$L$15</f>
        <v>0</v>
      </c>
      <c r="AV589" s="76"/>
      <c r="AW589" s="37"/>
      <c r="AX589" s="89">
        <f>tbl_estimated_costs_quantities[[#This Row],[Accessibility Adaptations]]*BOQs!$L$16</f>
        <v>0</v>
      </c>
      <c r="AY589" s="86" t="str">
        <f>IF(tbl_estimated_costs_quantities[[#This Row],[Total cost]]&lt;&gt;0,tbl_estimated_costs_quantities[[#This Row],[Total cost]]/BOQs!$A$1,"")</f>
        <v/>
      </c>
      <c r="AZ589" s="37"/>
      <c r="BA589" s="37"/>
      <c r="BB589" s="37"/>
      <c r="BC589" s="37"/>
      <c r="BD589" s="41"/>
      <c r="BE589" s="37"/>
      <c r="BF589" s="37"/>
      <c r="BG589" s="37"/>
      <c r="BH589" s="41"/>
    </row>
    <row r="590" spans="2:60" ht="25.15" customHeight="1" x14ac:dyDescent="0.25">
      <c r="B590" s="49">
        <v>586</v>
      </c>
      <c r="C590" s="37"/>
      <c r="D590" s="41"/>
      <c r="E590" s="40"/>
      <c r="F590" s="87" t="str">
        <f>IF(tbl_estimated_costs_quantities[[#This Row],[House Code]]&lt;&gt;"",INDEX(tbl_Assessment[],MATCH(tbl_estimated_costs_quantities[[#This Row],[House Code]],tbl_Assessment[House Code],0),3),"")</f>
        <v/>
      </c>
      <c r="G590" s="115" t="str">
        <f>IF(tbl_estimated_costs_quantities[[#This Row],[House Code]]&lt;&gt;"",INDEX(tbl_Assessment[],MATCH(tbl_estimated_costs_quantities[[#This Row],[House Code]],tbl_Assessment[House Code],0),9),"")</f>
        <v/>
      </c>
      <c r="H59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0" s="75"/>
      <c r="J590" s="37"/>
      <c r="K590" s="86">
        <f>tbl_estimated_costs_quantities[[#This Row],[Site Preparation]]*BOQs!$L$3</f>
        <v>0</v>
      </c>
      <c r="L590" s="76"/>
      <c r="M590" s="37"/>
      <c r="N590" s="86">
        <f>tbl_estimated_costs_quantities[[#This Row],[Demolition Removal Unsafe Structures]]*BOQs!$L$4</f>
        <v>0</v>
      </c>
      <c r="O590" s="76"/>
      <c r="P590" s="37"/>
      <c r="Q590" s="86">
        <f>tbl_estimated_costs_quantities[[#This Row],[Concrete Works]]*BOQs!$L$5</f>
        <v>0</v>
      </c>
      <c r="R590" s="76"/>
      <c r="S590" s="37"/>
      <c r="T590" s="86">
        <f>tbl_estimated_costs_quantities[[#This Row],[Closure External Openings Walls Windows]]*BOQs!$L$6</f>
        <v>0</v>
      </c>
      <c r="U590" s="76"/>
      <c r="V590" s="37"/>
      <c r="W590" s="86">
        <f>tbl_estimated_costs_quantities[[#This Row],[Plastering Painting]]*BOQs!$L$7</f>
        <v>0</v>
      </c>
      <c r="X590" s="76"/>
      <c r="Y590" s="37"/>
      <c r="Z590" s="86">
        <f>tbl_estimated_costs_quantities[[#This Row],[Floor Repairs]]*BOQs!$L$8</f>
        <v>0</v>
      </c>
      <c r="AA590" s="76"/>
      <c r="AB590" s="37"/>
      <c r="AC590" s="86">
        <f>tbl_estimated_costs_quantities[[#This Row],[Doors Replacement Repair]]*BOQs!$L$9</f>
        <v>0</v>
      </c>
      <c r="AD590" s="76"/>
      <c r="AE590" s="37"/>
      <c r="AF590" s="86">
        <f>tbl_estimated_costs_quantities[[#This Row],[Windows Replacement Repair]]*BOQs!$L$10</f>
        <v>0</v>
      </c>
      <c r="AG590" s="76"/>
      <c r="AH590" s="37"/>
      <c r="AI590" s="86">
        <f>tbl_estimated_costs_quantities[[#This Row],[Bathroom Rehabilitation]]*BOQs!$L$11</f>
        <v>0</v>
      </c>
      <c r="AJ590" s="76"/>
      <c r="AK590" s="37"/>
      <c r="AL590" s="86">
        <f>tbl_estimated_costs_quantities[[#This Row],[Ceramic Tile Works WASH]]*BOQs!$L$12</f>
        <v>0</v>
      </c>
      <c r="AM590" s="76"/>
      <c r="AN590" s="37"/>
      <c r="AO590" s="86">
        <f>tbl_estimated_costs_quantities[[#This Row],[Electrical Repairs Lighting]]*BOQs!$L$13</f>
        <v>0</v>
      </c>
      <c r="AP590" s="76"/>
      <c r="AQ590" s="37"/>
      <c r="AR590" s="86">
        <f>tbl_estimated_costs_quantities[[#This Row],[Roof Insulation Leak Sealing]]*BOQs!$L$14</f>
        <v>0</v>
      </c>
      <c r="AS590" s="76"/>
      <c r="AT590" s="37"/>
      <c r="AU590" s="86">
        <f>tbl_estimated_costs_quantities[[#This Row],[Chimney Duct Cleaning Repair]]*BOQs!$L$15</f>
        <v>0</v>
      </c>
      <c r="AV590" s="76"/>
      <c r="AW590" s="37"/>
      <c r="AX590" s="89">
        <f>tbl_estimated_costs_quantities[[#This Row],[Accessibility Adaptations]]*BOQs!$L$16</f>
        <v>0</v>
      </c>
      <c r="AY590" s="86" t="str">
        <f>IF(tbl_estimated_costs_quantities[[#This Row],[Total cost]]&lt;&gt;0,tbl_estimated_costs_quantities[[#This Row],[Total cost]]/BOQs!$A$1,"")</f>
        <v/>
      </c>
      <c r="AZ590" s="37"/>
      <c r="BA590" s="37"/>
      <c r="BB590" s="37"/>
      <c r="BC590" s="37"/>
      <c r="BD590" s="41"/>
      <c r="BE590" s="37"/>
      <c r="BF590" s="37"/>
      <c r="BG590" s="37"/>
      <c r="BH590" s="41"/>
    </row>
    <row r="591" spans="2:60" ht="25.15" customHeight="1" x14ac:dyDescent="0.25">
      <c r="B591" s="49">
        <v>587</v>
      </c>
      <c r="C591" s="37"/>
      <c r="D591" s="41"/>
      <c r="E591" s="40"/>
      <c r="F591" s="87" t="str">
        <f>IF(tbl_estimated_costs_quantities[[#This Row],[House Code]]&lt;&gt;"",INDEX(tbl_Assessment[],MATCH(tbl_estimated_costs_quantities[[#This Row],[House Code]],tbl_Assessment[House Code],0),3),"")</f>
        <v/>
      </c>
      <c r="G591" s="115" t="str">
        <f>IF(tbl_estimated_costs_quantities[[#This Row],[House Code]]&lt;&gt;"",INDEX(tbl_Assessment[],MATCH(tbl_estimated_costs_quantities[[#This Row],[House Code]],tbl_Assessment[House Code],0),9),"")</f>
        <v/>
      </c>
      <c r="H59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1" s="75"/>
      <c r="J591" s="37"/>
      <c r="K591" s="86">
        <f>tbl_estimated_costs_quantities[[#This Row],[Site Preparation]]*BOQs!$L$3</f>
        <v>0</v>
      </c>
      <c r="L591" s="76"/>
      <c r="M591" s="37"/>
      <c r="N591" s="86">
        <f>tbl_estimated_costs_quantities[[#This Row],[Demolition Removal Unsafe Structures]]*BOQs!$L$4</f>
        <v>0</v>
      </c>
      <c r="O591" s="76"/>
      <c r="P591" s="37"/>
      <c r="Q591" s="86">
        <f>tbl_estimated_costs_quantities[[#This Row],[Concrete Works]]*BOQs!$L$5</f>
        <v>0</v>
      </c>
      <c r="R591" s="76"/>
      <c r="S591" s="37"/>
      <c r="T591" s="86">
        <f>tbl_estimated_costs_quantities[[#This Row],[Closure External Openings Walls Windows]]*BOQs!$L$6</f>
        <v>0</v>
      </c>
      <c r="U591" s="76"/>
      <c r="V591" s="37"/>
      <c r="W591" s="86">
        <f>tbl_estimated_costs_quantities[[#This Row],[Plastering Painting]]*BOQs!$L$7</f>
        <v>0</v>
      </c>
      <c r="X591" s="76"/>
      <c r="Y591" s="37"/>
      <c r="Z591" s="86">
        <f>tbl_estimated_costs_quantities[[#This Row],[Floor Repairs]]*BOQs!$L$8</f>
        <v>0</v>
      </c>
      <c r="AA591" s="76"/>
      <c r="AB591" s="37"/>
      <c r="AC591" s="86">
        <f>tbl_estimated_costs_quantities[[#This Row],[Doors Replacement Repair]]*BOQs!$L$9</f>
        <v>0</v>
      </c>
      <c r="AD591" s="76"/>
      <c r="AE591" s="37"/>
      <c r="AF591" s="86">
        <f>tbl_estimated_costs_quantities[[#This Row],[Windows Replacement Repair]]*BOQs!$L$10</f>
        <v>0</v>
      </c>
      <c r="AG591" s="76"/>
      <c r="AH591" s="37"/>
      <c r="AI591" s="86">
        <f>tbl_estimated_costs_quantities[[#This Row],[Bathroom Rehabilitation]]*BOQs!$L$11</f>
        <v>0</v>
      </c>
      <c r="AJ591" s="76"/>
      <c r="AK591" s="37"/>
      <c r="AL591" s="86">
        <f>tbl_estimated_costs_quantities[[#This Row],[Ceramic Tile Works WASH]]*BOQs!$L$12</f>
        <v>0</v>
      </c>
      <c r="AM591" s="76"/>
      <c r="AN591" s="37"/>
      <c r="AO591" s="86">
        <f>tbl_estimated_costs_quantities[[#This Row],[Electrical Repairs Lighting]]*BOQs!$L$13</f>
        <v>0</v>
      </c>
      <c r="AP591" s="76"/>
      <c r="AQ591" s="37"/>
      <c r="AR591" s="86">
        <f>tbl_estimated_costs_quantities[[#This Row],[Roof Insulation Leak Sealing]]*BOQs!$L$14</f>
        <v>0</v>
      </c>
      <c r="AS591" s="76"/>
      <c r="AT591" s="37"/>
      <c r="AU591" s="86">
        <f>tbl_estimated_costs_quantities[[#This Row],[Chimney Duct Cleaning Repair]]*BOQs!$L$15</f>
        <v>0</v>
      </c>
      <c r="AV591" s="76"/>
      <c r="AW591" s="37"/>
      <c r="AX591" s="89">
        <f>tbl_estimated_costs_quantities[[#This Row],[Accessibility Adaptations]]*BOQs!$L$16</f>
        <v>0</v>
      </c>
      <c r="AY591" s="86" t="str">
        <f>IF(tbl_estimated_costs_quantities[[#This Row],[Total cost]]&lt;&gt;0,tbl_estimated_costs_quantities[[#This Row],[Total cost]]/BOQs!$A$1,"")</f>
        <v/>
      </c>
      <c r="AZ591" s="37"/>
      <c r="BA591" s="37"/>
      <c r="BB591" s="37"/>
      <c r="BC591" s="37"/>
      <c r="BD591" s="41"/>
      <c r="BE591" s="37"/>
      <c r="BF591" s="37"/>
      <c r="BG591" s="37"/>
      <c r="BH591" s="41"/>
    </row>
    <row r="592" spans="2:60" ht="25.15" customHeight="1" x14ac:dyDescent="0.25">
      <c r="B592" s="49">
        <v>588</v>
      </c>
      <c r="C592" s="37"/>
      <c r="D592" s="41"/>
      <c r="E592" s="40"/>
      <c r="F592" s="87" t="str">
        <f>IF(tbl_estimated_costs_quantities[[#This Row],[House Code]]&lt;&gt;"",INDEX(tbl_Assessment[],MATCH(tbl_estimated_costs_quantities[[#This Row],[House Code]],tbl_Assessment[House Code],0),3),"")</f>
        <v/>
      </c>
      <c r="G592" s="115" t="str">
        <f>IF(tbl_estimated_costs_quantities[[#This Row],[House Code]]&lt;&gt;"",INDEX(tbl_Assessment[],MATCH(tbl_estimated_costs_quantities[[#This Row],[House Code]],tbl_Assessment[House Code],0),9),"")</f>
        <v/>
      </c>
      <c r="H59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2" s="75"/>
      <c r="J592" s="37"/>
      <c r="K592" s="86">
        <f>tbl_estimated_costs_quantities[[#This Row],[Site Preparation]]*BOQs!$L$3</f>
        <v>0</v>
      </c>
      <c r="L592" s="76"/>
      <c r="M592" s="37"/>
      <c r="N592" s="86">
        <f>tbl_estimated_costs_quantities[[#This Row],[Demolition Removal Unsafe Structures]]*BOQs!$L$4</f>
        <v>0</v>
      </c>
      <c r="O592" s="76"/>
      <c r="P592" s="37"/>
      <c r="Q592" s="86">
        <f>tbl_estimated_costs_quantities[[#This Row],[Concrete Works]]*BOQs!$L$5</f>
        <v>0</v>
      </c>
      <c r="R592" s="76"/>
      <c r="S592" s="37"/>
      <c r="T592" s="86">
        <f>tbl_estimated_costs_quantities[[#This Row],[Closure External Openings Walls Windows]]*BOQs!$L$6</f>
        <v>0</v>
      </c>
      <c r="U592" s="76"/>
      <c r="V592" s="37"/>
      <c r="W592" s="86">
        <f>tbl_estimated_costs_quantities[[#This Row],[Plastering Painting]]*BOQs!$L$7</f>
        <v>0</v>
      </c>
      <c r="X592" s="76"/>
      <c r="Y592" s="37"/>
      <c r="Z592" s="86">
        <f>tbl_estimated_costs_quantities[[#This Row],[Floor Repairs]]*BOQs!$L$8</f>
        <v>0</v>
      </c>
      <c r="AA592" s="76"/>
      <c r="AB592" s="37"/>
      <c r="AC592" s="86">
        <f>tbl_estimated_costs_quantities[[#This Row],[Doors Replacement Repair]]*BOQs!$L$9</f>
        <v>0</v>
      </c>
      <c r="AD592" s="76"/>
      <c r="AE592" s="37"/>
      <c r="AF592" s="86">
        <f>tbl_estimated_costs_quantities[[#This Row],[Windows Replacement Repair]]*BOQs!$L$10</f>
        <v>0</v>
      </c>
      <c r="AG592" s="76"/>
      <c r="AH592" s="37"/>
      <c r="AI592" s="86">
        <f>tbl_estimated_costs_quantities[[#This Row],[Bathroom Rehabilitation]]*BOQs!$L$11</f>
        <v>0</v>
      </c>
      <c r="AJ592" s="76"/>
      <c r="AK592" s="37"/>
      <c r="AL592" s="86">
        <f>tbl_estimated_costs_quantities[[#This Row],[Ceramic Tile Works WASH]]*BOQs!$L$12</f>
        <v>0</v>
      </c>
      <c r="AM592" s="76"/>
      <c r="AN592" s="37"/>
      <c r="AO592" s="86">
        <f>tbl_estimated_costs_quantities[[#This Row],[Electrical Repairs Lighting]]*BOQs!$L$13</f>
        <v>0</v>
      </c>
      <c r="AP592" s="76"/>
      <c r="AQ592" s="37"/>
      <c r="AR592" s="86">
        <f>tbl_estimated_costs_quantities[[#This Row],[Roof Insulation Leak Sealing]]*BOQs!$L$14</f>
        <v>0</v>
      </c>
      <c r="AS592" s="76"/>
      <c r="AT592" s="37"/>
      <c r="AU592" s="86">
        <f>tbl_estimated_costs_quantities[[#This Row],[Chimney Duct Cleaning Repair]]*BOQs!$L$15</f>
        <v>0</v>
      </c>
      <c r="AV592" s="76"/>
      <c r="AW592" s="37"/>
      <c r="AX592" s="89">
        <f>tbl_estimated_costs_quantities[[#This Row],[Accessibility Adaptations]]*BOQs!$L$16</f>
        <v>0</v>
      </c>
      <c r="AY592" s="86" t="str">
        <f>IF(tbl_estimated_costs_quantities[[#This Row],[Total cost]]&lt;&gt;0,tbl_estimated_costs_quantities[[#This Row],[Total cost]]/BOQs!$A$1,"")</f>
        <v/>
      </c>
      <c r="AZ592" s="37"/>
      <c r="BA592" s="37"/>
      <c r="BB592" s="37"/>
      <c r="BC592" s="37"/>
      <c r="BD592" s="41"/>
      <c r="BE592" s="37"/>
      <c r="BF592" s="37"/>
      <c r="BG592" s="37"/>
      <c r="BH592" s="41"/>
    </row>
    <row r="593" spans="2:60" ht="25.15" customHeight="1" x14ac:dyDescent="0.25">
      <c r="B593" s="49">
        <v>589</v>
      </c>
      <c r="C593" s="37"/>
      <c r="D593" s="41"/>
      <c r="E593" s="40"/>
      <c r="F593" s="87" t="str">
        <f>IF(tbl_estimated_costs_quantities[[#This Row],[House Code]]&lt;&gt;"",INDEX(tbl_Assessment[],MATCH(tbl_estimated_costs_quantities[[#This Row],[House Code]],tbl_Assessment[House Code],0),3),"")</f>
        <v/>
      </c>
      <c r="G593" s="115" t="str">
        <f>IF(tbl_estimated_costs_quantities[[#This Row],[House Code]]&lt;&gt;"",INDEX(tbl_Assessment[],MATCH(tbl_estimated_costs_quantities[[#This Row],[House Code]],tbl_Assessment[House Code],0),9),"")</f>
        <v/>
      </c>
      <c r="H59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3" s="75"/>
      <c r="J593" s="37"/>
      <c r="K593" s="86">
        <f>tbl_estimated_costs_quantities[[#This Row],[Site Preparation]]*BOQs!$L$3</f>
        <v>0</v>
      </c>
      <c r="L593" s="76"/>
      <c r="M593" s="37"/>
      <c r="N593" s="86">
        <f>tbl_estimated_costs_quantities[[#This Row],[Demolition Removal Unsafe Structures]]*BOQs!$L$4</f>
        <v>0</v>
      </c>
      <c r="O593" s="76"/>
      <c r="P593" s="37"/>
      <c r="Q593" s="86">
        <f>tbl_estimated_costs_quantities[[#This Row],[Concrete Works]]*BOQs!$L$5</f>
        <v>0</v>
      </c>
      <c r="R593" s="76"/>
      <c r="S593" s="37"/>
      <c r="T593" s="86">
        <f>tbl_estimated_costs_quantities[[#This Row],[Closure External Openings Walls Windows]]*BOQs!$L$6</f>
        <v>0</v>
      </c>
      <c r="U593" s="76"/>
      <c r="V593" s="37"/>
      <c r="W593" s="86">
        <f>tbl_estimated_costs_quantities[[#This Row],[Plastering Painting]]*BOQs!$L$7</f>
        <v>0</v>
      </c>
      <c r="X593" s="76"/>
      <c r="Y593" s="37"/>
      <c r="Z593" s="86">
        <f>tbl_estimated_costs_quantities[[#This Row],[Floor Repairs]]*BOQs!$L$8</f>
        <v>0</v>
      </c>
      <c r="AA593" s="76"/>
      <c r="AB593" s="37"/>
      <c r="AC593" s="86">
        <f>tbl_estimated_costs_quantities[[#This Row],[Doors Replacement Repair]]*BOQs!$L$9</f>
        <v>0</v>
      </c>
      <c r="AD593" s="76"/>
      <c r="AE593" s="37"/>
      <c r="AF593" s="86">
        <f>tbl_estimated_costs_quantities[[#This Row],[Windows Replacement Repair]]*BOQs!$L$10</f>
        <v>0</v>
      </c>
      <c r="AG593" s="76"/>
      <c r="AH593" s="37"/>
      <c r="AI593" s="86">
        <f>tbl_estimated_costs_quantities[[#This Row],[Bathroom Rehabilitation]]*BOQs!$L$11</f>
        <v>0</v>
      </c>
      <c r="AJ593" s="76"/>
      <c r="AK593" s="37"/>
      <c r="AL593" s="86">
        <f>tbl_estimated_costs_quantities[[#This Row],[Ceramic Tile Works WASH]]*BOQs!$L$12</f>
        <v>0</v>
      </c>
      <c r="AM593" s="76"/>
      <c r="AN593" s="37"/>
      <c r="AO593" s="86">
        <f>tbl_estimated_costs_quantities[[#This Row],[Electrical Repairs Lighting]]*BOQs!$L$13</f>
        <v>0</v>
      </c>
      <c r="AP593" s="76"/>
      <c r="AQ593" s="37"/>
      <c r="AR593" s="86">
        <f>tbl_estimated_costs_quantities[[#This Row],[Roof Insulation Leak Sealing]]*BOQs!$L$14</f>
        <v>0</v>
      </c>
      <c r="AS593" s="76"/>
      <c r="AT593" s="37"/>
      <c r="AU593" s="86">
        <f>tbl_estimated_costs_quantities[[#This Row],[Chimney Duct Cleaning Repair]]*BOQs!$L$15</f>
        <v>0</v>
      </c>
      <c r="AV593" s="76"/>
      <c r="AW593" s="37"/>
      <c r="AX593" s="89">
        <f>tbl_estimated_costs_quantities[[#This Row],[Accessibility Adaptations]]*BOQs!$L$16</f>
        <v>0</v>
      </c>
      <c r="AY593" s="86" t="str">
        <f>IF(tbl_estimated_costs_quantities[[#This Row],[Total cost]]&lt;&gt;0,tbl_estimated_costs_quantities[[#This Row],[Total cost]]/BOQs!$A$1,"")</f>
        <v/>
      </c>
      <c r="AZ593" s="37"/>
      <c r="BA593" s="37"/>
      <c r="BB593" s="37"/>
      <c r="BC593" s="37"/>
      <c r="BD593" s="41"/>
      <c r="BE593" s="37"/>
      <c r="BF593" s="37"/>
      <c r="BG593" s="37"/>
      <c r="BH593" s="41"/>
    </row>
    <row r="594" spans="2:60" ht="25.15" customHeight="1" x14ac:dyDescent="0.25">
      <c r="B594" s="49">
        <v>590</v>
      </c>
      <c r="C594" s="37"/>
      <c r="D594" s="41"/>
      <c r="E594" s="40"/>
      <c r="F594" s="87" t="str">
        <f>IF(tbl_estimated_costs_quantities[[#This Row],[House Code]]&lt;&gt;"",INDEX(tbl_Assessment[],MATCH(tbl_estimated_costs_quantities[[#This Row],[House Code]],tbl_Assessment[House Code],0),3),"")</f>
        <v/>
      </c>
      <c r="G594" s="115" t="str">
        <f>IF(tbl_estimated_costs_quantities[[#This Row],[House Code]]&lt;&gt;"",INDEX(tbl_Assessment[],MATCH(tbl_estimated_costs_quantities[[#This Row],[House Code]],tbl_Assessment[House Code],0),9),"")</f>
        <v/>
      </c>
      <c r="H59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4" s="75"/>
      <c r="J594" s="37"/>
      <c r="K594" s="86">
        <f>tbl_estimated_costs_quantities[[#This Row],[Site Preparation]]*BOQs!$L$3</f>
        <v>0</v>
      </c>
      <c r="L594" s="76"/>
      <c r="M594" s="37"/>
      <c r="N594" s="86">
        <f>tbl_estimated_costs_quantities[[#This Row],[Demolition Removal Unsafe Structures]]*BOQs!$L$4</f>
        <v>0</v>
      </c>
      <c r="O594" s="76"/>
      <c r="P594" s="37"/>
      <c r="Q594" s="86">
        <f>tbl_estimated_costs_quantities[[#This Row],[Concrete Works]]*BOQs!$L$5</f>
        <v>0</v>
      </c>
      <c r="R594" s="76"/>
      <c r="S594" s="37"/>
      <c r="T594" s="86">
        <f>tbl_estimated_costs_quantities[[#This Row],[Closure External Openings Walls Windows]]*BOQs!$L$6</f>
        <v>0</v>
      </c>
      <c r="U594" s="76"/>
      <c r="V594" s="37"/>
      <c r="W594" s="86">
        <f>tbl_estimated_costs_quantities[[#This Row],[Plastering Painting]]*BOQs!$L$7</f>
        <v>0</v>
      </c>
      <c r="X594" s="76"/>
      <c r="Y594" s="37"/>
      <c r="Z594" s="86">
        <f>tbl_estimated_costs_quantities[[#This Row],[Floor Repairs]]*BOQs!$L$8</f>
        <v>0</v>
      </c>
      <c r="AA594" s="76"/>
      <c r="AB594" s="37"/>
      <c r="AC594" s="86">
        <f>tbl_estimated_costs_quantities[[#This Row],[Doors Replacement Repair]]*BOQs!$L$9</f>
        <v>0</v>
      </c>
      <c r="AD594" s="76"/>
      <c r="AE594" s="37"/>
      <c r="AF594" s="86">
        <f>tbl_estimated_costs_quantities[[#This Row],[Windows Replacement Repair]]*BOQs!$L$10</f>
        <v>0</v>
      </c>
      <c r="AG594" s="76"/>
      <c r="AH594" s="37"/>
      <c r="AI594" s="86">
        <f>tbl_estimated_costs_quantities[[#This Row],[Bathroom Rehabilitation]]*BOQs!$L$11</f>
        <v>0</v>
      </c>
      <c r="AJ594" s="76"/>
      <c r="AK594" s="37"/>
      <c r="AL594" s="86">
        <f>tbl_estimated_costs_quantities[[#This Row],[Ceramic Tile Works WASH]]*BOQs!$L$12</f>
        <v>0</v>
      </c>
      <c r="AM594" s="76"/>
      <c r="AN594" s="37"/>
      <c r="AO594" s="86">
        <f>tbl_estimated_costs_quantities[[#This Row],[Electrical Repairs Lighting]]*BOQs!$L$13</f>
        <v>0</v>
      </c>
      <c r="AP594" s="76"/>
      <c r="AQ594" s="37"/>
      <c r="AR594" s="86">
        <f>tbl_estimated_costs_quantities[[#This Row],[Roof Insulation Leak Sealing]]*BOQs!$L$14</f>
        <v>0</v>
      </c>
      <c r="AS594" s="76"/>
      <c r="AT594" s="37"/>
      <c r="AU594" s="86">
        <f>tbl_estimated_costs_quantities[[#This Row],[Chimney Duct Cleaning Repair]]*BOQs!$L$15</f>
        <v>0</v>
      </c>
      <c r="AV594" s="76"/>
      <c r="AW594" s="37"/>
      <c r="AX594" s="89">
        <f>tbl_estimated_costs_quantities[[#This Row],[Accessibility Adaptations]]*BOQs!$L$16</f>
        <v>0</v>
      </c>
      <c r="AY594" s="86" t="str">
        <f>IF(tbl_estimated_costs_quantities[[#This Row],[Total cost]]&lt;&gt;0,tbl_estimated_costs_quantities[[#This Row],[Total cost]]/BOQs!$A$1,"")</f>
        <v/>
      </c>
      <c r="AZ594" s="37"/>
      <c r="BA594" s="37"/>
      <c r="BB594" s="37"/>
      <c r="BC594" s="37"/>
      <c r="BD594" s="41"/>
      <c r="BE594" s="37"/>
      <c r="BF594" s="37"/>
      <c r="BG594" s="37"/>
      <c r="BH594" s="41"/>
    </row>
    <row r="595" spans="2:60" ht="25.15" customHeight="1" x14ac:dyDescent="0.25">
      <c r="B595" s="49">
        <v>591</v>
      </c>
      <c r="C595" s="37"/>
      <c r="D595" s="41"/>
      <c r="E595" s="40"/>
      <c r="F595" s="87" t="str">
        <f>IF(tbl_estimated_costs_quantities[[#This Row],[House Code]]&lt;&gt;"",INDEX(tbl_Assessment[],MATCH(tbl_estimated_costs_quantities[[#This Row],[House Code]],tbl_Assessment[House Code],0),3),"")</f>
        <v/>
      </c>
      <c r="G595" s="115" t="str">
        <f>IF(tbl_estimated_costs_quantities[[#This Row],[House Code]]&lt;&gt;"",INDEX(tbl_Assessment[],MATCH(tbl_estimated_costs_quantities[[#This Row],[House Code]],tbl_Assessment[House Code],0),9),"")</f>
        <v/>
      </c>
      <c r="H59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5" s="75"/>
      <c r="J595" s="37"/>
      <c r="K595" s="86">
        <f>tbl_estimated_costs_quantities[[#This Row],[Site Preparation]]*BOQs!$L$3</f>
        <v>0</v>
      </c>
      <c r="L595" s="76"/>
      <c r="M595" s="37"/>
      <c r="N595" s="86">
        <f>tbl_estimated_costs_quantities[[#This Row],[Demolition Removal Unsafe Structures]]*BOQs!$L$4</f>
        <v>0</v>
      </c>
      <c r="O595" s="76"/>
      <c r="P595" s="37"/>
      <c r="Q595" s="86">
        <f>tbl_estimated_costs_quantities[[#This Row],[Concrete Works]]*BOQs!$L$5</f>
        <v>0</v>
      </c>
      <c r="R595" s="76"/>
      <c r="S595" s="37"/>
      <c r="T595" s="86">
        <f>tbl_estimated_costs_quantities[[#This Row],[Closure External Openings Walls Windows]]*BOQs!$L$6</f>
        <v>0</v>
      </c>
      <c r="U595" s="76"/>
      <c r="V595" s="37"/>
      <c r="W595" s="86">
        <f>tbl_estimated_costs_quantities[[#This Row],[Plastering Painting]]*BOQs!$L$7</f>
        <v>0</v>
      </c>
      <c r="X595" s="76"/>
      <c r="Y595" s="37"/>
      <c r="Z595" s="86">
        <f>tbl_estimated_costs_quantities[[#This Row],[Floor Repairs]]*BOQs!$L$8</f>
        <v>0</v>
      </c>
      <c r="AA595" s="76"/>
      <c r="AB595" s="37"/>
      <c r="AC595" s="86">
        <f>tbl_estimated_costs_quantities[[#This Row],[Doors Replacement Repair]]*BOQs!$L$9</f>
        <v>0</v>
      </c>
      <c r="AD595" s="76"/>
      <c r="AE595" s="37"/>
      <c r="AF595" s="86">
        <f>tbl_estimated_costs_quantities[[#This Row],[Windows Replacement Repair]]*BOQs!$L$10</f>
        <v>0</v>
      </c>
      <c r="AG595" s="76"/>
      <c r="AH595" s="37"/>
      <c r="AI595" s="86">
        <f>tbl_estimated_costs_quantities[[#This Row],[Bathroom Rehabilitation]]*BOQs!$L$11</f>
        <v>0</v>
      </c>
      <c r="AJ595" s="76"/>
      <c r="AK595" s="37"/>
      <c r="AL595" s="86">
        <f>tbl_estimated_costs_quantities[[#This Row],[Ceramic Tile Works WASH]]*BOQs!$L$12</f>
        <v>0</v>
      </c>
      <c r="AM595" s="76"/>
      <c r="AN595" s="37"/>
      <c r="AO595" s="86">
        <f>tbl_estimated_costs_quantities[[#This Row],[Electrical Repairs Lighting]]*BOQs!$L$13</f>
        <v>0</v>
      </c>
      <c r="AP595" s="76"/>
      <c r="AQ595" s="37"/>
      <c r="AR595" s="86">
        <f>tbl_estimated_costs_quantities[[#This Row],[Roof Insulation Leak Sealing]]*BOQs!$L$14</f>
        <v>0</v>
      </c>
      <c r="AS595" s="76"/>
      <c r="AT595" s="37"/>
      <c r="AU595" s="86">
        <f>tbl_estimated_costs_quantities[[#This Row],[Chimney Duct Cleaning Repair]]*BOQs!$L$15</f>
        <v>0</v>
      </c>
      <c r="AV595" s="76"/>
      <c r="AW595" s="37"/>
      <c r="AX595" s="89">
        <f>tbl_estimated_costs_quantities[[#This Row],[Accessibility Adaptations]]*BOQs!$L$16</f>
        <v>0</v>
      </c>
      <c r="AY595" s="86" t="str">
        <f>IF(tbl_estimated_costs_quantities[[#This Row],[Total cost]]&lt;&gt;0,tbl_estimated_costs_quantities[[#This Row],[Total cost]]/BOQs!$A$1,"")</f>
        <v/>
      </c>
      <c r="AZ595" s="37"/>
      <c r="BA595" s="37"/>
      <c r="BB595" s="37"/>
      <c r="BC595" s="37"/>
      <c r="BD595" s="41"/>
      <c r="BE595" s="37"/>
      <c r="BF595" s="37"/>
      <c r="BG595" s="37"/>
      <c r="BH595" s="41"/>
    </row>
    <row r="596" spans="2:60" ht="25.15" customHeight="1" x14ac:dyDescent="0.25">
      <c r="B596" s="49">
        <v>592</v>
      </c>
      <c r="C596" s="37"/>
      <c r="D596" s="41"/>
      <c r="E596" s="40"/>
      <c r="F596" s="87" t="str">
        <f>IF(tbl_estimated_costs_quantities[[#This Row],[House Code]]&lt;&gt;"",INDEX(tbl_Assessment[],MATCH(tbl_estimated_costs_quantities[[#This Row],[House Code]],tbl_Assessment[House Code],0),3),"")</f>
        <v/>
      </c>
      <c r="G596" s="115" t="str">
        <f>IF(tbl_estimated_costs_quantities[[#This Row],[House Code]]&lt;&gt;"",INDEX(tbl_Assessment[],MATCH(tbl_estimated_costs_quantities[[#This Row],[House Code]],tbl_Assessment[House Code],0),9),"")</f>
        <v/>
      </c>
      <c r="H59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6" s="75"/>
      <c r="J596" s="37"/>
      <c r="K596" s="86">
        <f>tbl_estimated_costs_quantities[[#This Row],[Site Preparation]]*BOQs!$L$3</f>
        <v>0</v>
      </c>
      <c r="L596" s="76"/>
      <c r="M596" s="37"/>
      <c r="N596" s="86">
        <f>tbl_estimated_costs_quantities[[#This Row],[Demolition Removal Unsafe Structures]]*BOQs!$L$4</f>
        <v>0</v>
      </c>
      <c r="O596" s="76"/>
      <c r="P596" s="37"/>
      <c r="Q596" s="86">
        <f>tbl_estimated_costs_quantities[[#This Row],[Concrete Works]]*BOQs!$L$5</f>
        <v>0</v>
      </c>
      <c r="R596" s="76"/>
      <c r="S596" s="37"/>
      <c r="T596" s="86">
        <f>tbl_estimated_costs_quantities[[#This Row],[Closure External Openings Walls Windows]]*BOQs!$L$6</f>
        <v>0</v>
      </c>
      <c r="U596" s="76"/>
      <c r="V596" s="37"/>
      <c r="W596" s="86">
        <f>tbl_estimated_costs_quantities[[#This Row],[Plastering Painting]]*BOQs!$L$7</f>
        <v>0</v>
      </c>
      <c r="X596" s="76"/>
      <c r="Y596" s="37"/>
      <c r="Z596" s="86">
        <f>tbl_estimated_costs_quantities[[#This Row],[Floor Repairs]]*BOQs!$L$8</f>
        <v>0</v>
      </c>
      <c r="AA596" s="76"/>
      <c r="AB596" s="37"/>
      <c r="AC596" s="86">
        <f>tbl_estimated_costs_quantities[[#This Row],[Doors Replacement Repair]]*BOQs!$L$9</f>
        <v>0</v>
      </c>
      <c r="AD596" s="76"/>
      <c r="AE596" s="37"/>
      <c r="AF596" s="86">
        <f>tbl_estimated_costs_quantities[[#This Row],[Windows Replacement Repair]]*BOQs!$L$10</f>
        <v>0</v>
      </c>
      <c r="AG596" s="76"/>
      <c r="AH596" s="37"/>
      <c r="AI596" s="86">
        <f>tbl_estimated_costs_quantities[[#This Row],[Bathroom Rehabilitation]]*BOQs!$L$11</f>
        <v>0</v>
      </c>
      <c r="AJ596" s="76"/>
      <c r="AK596" s="37"/>
      <c r="AL596" s="86">
        <f>tbl_estimated_costs_quantities[[#This Row],[Ceramic Tile Works WASH]]*BOQs!$L$12</f>
        <v>0</v>
      </c>
      <c r="AM596" s="76"/>
      <c r="AN596" s="37"/>
      <c r="AO596" s="86">
        <f>tbl_estimated_costs_quantities[[#This Row],[Electrical Repairs Lighting]]*BOQs!$L$13</f>
        <v>0</v>
      </c>
      <c r="AP596" s="76"/>
      <c r="AQ596" s="37"/>
      <c r="AR596" s="86">
        <f>tbl_estimated_costs_quantities[[#This Row],[Roof Insulation Leak Sealing]]*BOQs!$L$14</f>
        <v>0</v>
      </c>
      <c r="AS596" s="76"/>
      <c r="AT596" s="37"/>
      <c r="AU596" s="86">
        <f>tbl_estimated_costs_quantities[[#This Row],[Chimney Duct Cleaning Repair]]*BOQs!$L$15</f>
        <v>0</v>
      </c>
      <c r="AV596" s="76"/>
      <c r="AW596" s="37"/>
      <c r="AX596" s="89">
        <f>tbl_estimated_costs_quantities[[#This Row],[Accessibility Adaptations]]*BOQs!$L$16</f>
        <v>0</v>
      </c>
      <c r="AY596" s="86" t="str">
        <f>IF(tbl_estimated_costs_quantities[[#This Row],[Total cost]]&lt;&gt;0,tbl_estimated_costs_quantities[[#This Row],[Total cost]]/BOQs!$A$1,"")</f>
        <v/>
      </c>
      <c r="AZ596" s="37"/>
      <c r="BA596" s="37"/>
      <c r="BB596" s="37"/>
      <c r="BC596" s="37"/>
      <c r="BD596" s="41"/>
      <c r="BE596" s="37"/>
      <c r="BF596" s="37"/>
      <c r="BG596" s="37"/>
      <c r="BH596" s="41"/>
    </row>
    <row r="597" spans="2:60" ht="25.15" customHeight="1" x14ac:dyDescent="0.25">
      <c r="B597" s="49">
        <v>593</v>
      </c>
      <c r="C597" s="37"/>
      <c r="D597" s="41"/>
      <c r="E597" s="40"/>
      <c r="F597" s="87" t="str">
        <f>IF(tbl_estimated_costs_quantities[[#This Row],[House Code]]&lt;&gt;"",INDEX(tbl_Assessment[],MATCH(tbl_estimated_costs_quantities[[#This Row],[House Code]],tbl_Assessment[House Code],0),3),"")</f>
        <v/>
      </c>
      <c r="G597" s="115" t="str">
        <f>IF(tbl_estimated_costs_quantities[[#This Row],[House Code]]&lt;&gt;"",INDEX(tbl_Assessment[],MATCH(tbl_estimated_costs_quantities[[#This Row],[House Code]],tbl_Assessment[House Code],0),9),"")</f>
        <v/>
      </c>
      <c r="H59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7" s="75"/>
      <c r="J597" s="37"/>
      <c r="K597" s="86">
        <f>tbl_estimated_costs_quantities[[#This Row],[Site Preparation]]*BOQs!$L$3</f>
        <v>0</v>
      </c>
      <c r="L597" s="76"/>
      <c r="M597" s="37"/>
      <c r="N597" s="86">
        <f>tbl_estimated_costs_quantities[[#This Row],[Demolition Removal Unsafe Structures]]*BOQs!$L$4</f>
        <v>0</v>
      </c>
      <c r="O597" s="76"/>
      <c r="P597" s="37"/>
      <c r="Q597" s="86">
        <f>tbl_estimated_costs_quantities[[#This Row],[Concrete Works]]*BOQs!$L$5</f>
        <v>0</v>
      </c>
      <c r="R597" s="76"/>
      <c r="S597" s="37"/>
      <c r="T597" s="86">
        <f>tbl_estimated_costs_quantities[[#This Row],[Closure External Openings Walls Windows]]*BOQs!$L$6</f>
        <v>0</v>
      </c>
      <c r="U597" s="76"/>
      <c r="V597" s="37"/>
      <c r="W597" s="86">
        <f>tbl_estimated_costs_quantities[[#This Row],[Plastering Painting]]*BOQs!$L$7</f>
        <v>0</v>
      </c>
      <c r="X597" s="76"/>
      <c r="Y597" s="37"/>
      <c r="Z597" s="86">
        <f>tbl_estimated_costs_quantities[[#This Row],[Floor Repairs]]*BOQs!$L$8</f>
        <v>0</v>
      </c>
      <c r="AA597" s="76"/>
      <c r="AB597" s="37"/>
      <c r="AC597" s="86">
        <f>tbl_estimated_costs_quantities[[#This Row],[Doors Replacement Repair]]*BOQs!$L$9</f>
        <v>0</v>
      </c>
      <c r="AD597" s="76"/>
      <c r="AE597" s="37"/>
      <c r="AF597" s="86">
        <f>tbl_estimated_costs_quantities[[#This Row],[Windows Replacement Repair]]*BOQs!$L$10</f>
        <v>0</v>
      </c>
      <c r="AG597" s="76"/>
      <c r="AH597" s="37"/>
      <c r="AI597" s="86">
        <f>tbl_estimated_costs_quantities[[#This Row],[Bathroom Rehabilitation]]*BOQs!$L$11</f>
        <v>0</v>
      </c>
      <c r="AJ597" s="76"/>
      <c r="AK597" s="37"/>
      <c r="AL597" s="86">
        <f>tbl_estimated_costs_quantities[[#This Row],[Ceramic Tile Works WASH]]*BOQs!$L$12</f>
        <v>0</v>
      </c>
      <c r="AM597" s="76"/>
      <c r="AN597" s="37"/>
      <c r="AO597" s="86">
        <f>tbl_estimated_costs_quantities[[#This Row],[Electrical Repairs Lighting]]*BOQs!$L$13</f>
        <v>0</v>
      </c>
      <c r="AP597" s="76"/>
      <c r="AQ597" s="37"/>
      <c r="AR597" s="86">
        <f>tbl_estimated_costs_quantities[[#This Row],[Roof Insulation Leak Sealing]]*BOQs!$L$14</f>
        <v>0</v>
      </c>
      <c r="AS597" s="76"/>
      <c r="AT597" s="37"/>
      <c r="AU597" s="86">
        <f>tbl_estimated_costs_quantities[[#This Row],[Chimney Duct Cleaning Repair]]*BOQs!$L$15</f>
        <v>0</v>
      </c>
      <c r="AV597" s="76"/>
      <c r="AW597" s="37"/>
      <c r="AX597" s="89">
        <f>tbl_estimated_costs_quantities[[#This Row],[Accessibility Adaptations]]*BOQs!$L$16</f>
        <v>0</v>
      </c>
      <c r="AY597" s="86" t="str">
        <f>IF(tbl_estimated_costs_quantities[[#This Row],[Total cost]]&lt;&gt;0,tbl_estimated_costs_quantities[[#This Row],[Total cost]]/BOQs!$A$1,"")</f>
        <v/>
      </c>
      <c r="AZ597" s="37"/>
      <c r="BA597" s="37"/>
      <c r="BB597" s="37"/>
      <c r="BC597" s="37"/>
      <c r="BD597" s="41"/>
      <c r="BE597" s="37"/>
      <c r="BF597" s="37"/>
      <c r="BG597" s="37"/>
      <c r="BH597" s="41"/>
    </row>
    <row r="598" spans="2:60" ht="25.15" customHeight="1" x14ac:dyDescent="0.25">
      <c r="B598" s="49">
        <v>594</v>
      </c>
      <c r="C598" s="37"/>
      <c r="D598" s="41"/>
      <c r="E598" s="40"/>
      <c r="F598" s="87" t="str">
        <f>IF(tbl_estimated_costs_quantities[[#This Row],[House Code]]&lt;&gt;"",INDEX(tbl_Assessment[],MATCH(tbl_estimated_costs_quantities[[#This Row],[House Code]],tbl_Assessment[House Code],0),3),"")</f>
        <v/>
      </c>
      <c r="G598" s="115" t="str">
        <f>IF(tbl_estimated_costs_quantities[[#This Row],[House Code]]&lt;&gt;"",INDEX(tbl_Assessment[],MATCH(tbl_estimated_costs_quantities[[#This Row],[House Code]],tbl_Assessment[House Code],0),9),"")</f>
        <v/>
      </c>
      <c r="H59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8" s="75"/>
      <c r="J598" s="37"/>
      <c r="K598" s="86">
        <f>tbl_estimated_costs_quantities[[#This Row],[Site Preparation]]*BOQs!$L$3</f>
        <v>0</v>
      </c>
      <c r="L598" s="76"/>
      <c r="M598" s="37"/>
      <c r="N598" s="86">
        <f>tbl_estimated_costs_quantities[[#This Row],[Demolition Removal Unsafe Structures]]*BOQs!$L$4</f>
        <v>0</v>
      </c>
      <c r="O598" s="76"/>
      <c r="P598" s="37"/>
      <c r="Q598" s="86">
        <f>tbl_estimated_costs_quantities[[#This Row],[Concrete Works]]*BOQs!$L$5</f>
        <v>0</v>
      </c>
      <c r="R598" s="76"/>
      <c r="S598" s="37"/>
      <c r="T598" s="86">
        <f>tbl_estimated_costs_quantities[[#This Row],[Closure External Openings Walls Windows]]*BOQs!$L$6</f>
        <v>0</v>
      </c>
      <c r="U598" s="76"/>
      <c r="V598" s="37"/>
      <c r="W598" s="86">
        <f>tbl_estimated_costs_quantities[[#This Row],[Plastering Painting]]*BOQs!$L$7</f>
        <v>0</v>
      </c>
      <c r="X598" s="76"/>
      <c r="Y598" s="37"/>
      <c r="Z598" s="86">
        <f>tbl_estimated_costs_quantities[[#This Row],[Floor Repairs]]*BOQs!$L$8</f>
        <v>0</v>
      </c>
      <c r="AA598" s="76"/>
      <c r="AB598" s="37"/>
      <c r="AC598" s="86">
        <f>tbl_estimated_costs_quantities[[#This Row],[Doors Replacement Repair]]*BOQs!$L$9</f>
        <v>0</v>
      </c>
      <c r="AD598" s="76"/>
      <c r="AE598" s="37"/>
      <c r="AF598" s="86">
        <f>tbl_estimated_costs_quantities[[#This Row],[Windows Replacement Repair]]*BOQs!$L$10</f>
        <v>0</v>
      </c>
      <c r="AG598" s="76"/>
      <c r="AH598" s="37"/>
      <c r="AI598" s="86">
        <f>tbl_estimated_costs_quantities[[#This Row],[Bathroom Rehabilitation]]*BOQs!$L$11</f>
        <v>0</v>
      </c>
      <c r="AJ598" s="76"/>
      <c r="AK598" s="37"/>
      <c r="AL598" s="86">
        <f>tbl_estimated_costs_quantities[[#This Row],[Ceramic Tile Works WASH]]*BOQs!$L$12</f>
        <v>0</v>
      </c>
      <c r="AM598" s="76"/>
      <c r="AN598" s="37"/>
      <c r="AO598" s="86">
        <f>tbl_estimated_costs_quantities[[#This Row],[Electrical Repairs Lighting]]*BOQs!$L$13</f>
        <v>0</v>
      </c>
      <c r="AP598" s="76"/>
      <c r="AQ598" s="37"/>
      <c r="AR598" s="86">
        <f>tbl_estimated_costs_quantities[[#This Row],[Roof Insulation Leak Sealing]]*BOQs!$L$14</f>
        <v>0</v>
      </c>
      <c r="AS598" s="76"/>
      <c r="AT598" s="37"/>
      <c r="AU598" s="86">
        <f>tbl_estimated_costs_quantities[[#This Row],[Chimney Duct Cleaning Repair]]*BOQs!$L$15</f>
        <v>0</v>
      </c>
      <c r="AV598" s="76"/>
      <c r="AW598" s="37"/>
      <c r="AX598" s="89">
        <f>tbl_estimated_costs_quantities[[#This Row],[Accessibility Adaptations]]*BOQs!$L$16</f>
        <v>0</v>
      </c>
      <c r="AY598" s="86" t="str">
        <f>IF(tbl_estimated_costs_quantities[[#This Row],[Total cost]]&lt;&gt;0,tbl_estimated_costs_quantities[[#This Row],[Total cost]]/BOQs!$A$1,"")</f>
        <v/>
      </c>
      <c r="AZ598" s="37"/>
      <c r="BA598" s="37"/>
      <c r="BB598" s="37"/>
      <c r="BC598" s="37"/>
      <c r="BD598" s="41"/>
      <c r="BE598" s="37"/>
      <c r="BF598" s="37"/>
      <c r="BG598" s="37"/>
      <c r="BH598" s="41"/>
    </row>
    <row r="599" spans="2:60" ht="25.15" customHeight="1" x14ac:dyDescent="0.25">
      <c r="B599" s="49">
        <v>595</v>
      </c>
      <c r="C599" s="37"/>
      <c r="D599" s="41"/>
      <c r="E599" s="40"/>
      <c r="F599" s="87" t="str">
        <f>IF(tbl_estimated_costs_quantities[[#This Row],[House Code]]&lt;&gt;"",INDEX(tbl_Assessment[],MATCH(tbl_estimated_costs_quantities[[#This Row],[House Code]],tbl_Assessment[House Code],0),3),"")</f>
        <v/>
      </c>
      <c r="G599" s="115" t="str">
        <f>IF(tbl_estimated_costs_quantities[[#This Row],[House Code]]&lt;&gt;"",INDEX(tbl_Assessment[],MATCH(tbl_estimated_costs_quantities[[#This Row],[House Code]],tbl_Assessment[House Code],0),9),"")</f>
        <v/>
      </c>
      <c r="H59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599" s="75"/>
      <c r="J599" s="37"/>
      <c r="K599" s="86">
        <f>tbl_estimated_costs_quantities[[#This Row],[Site Preparation]]*BOQs!$L$3</f>
        <v>0</v>
      </c>
      <c r="L599" s="76"/>
      <c r="M599" s="37"/>
      <c r="N599" s="86">
        <f>tbl_estimated_costs_quantities[[#This Row],[Demolition Removal Unsafe Structures]]*BOQs!$L$4</f>
        <v>0</v>
      </c>
      <c r="O599" s="76"/>
      <c r="P599" s="37"/>
      <c r="Q599" s="86">
        <f>tbl_estimated_costs_quantities[[#This Row],[Concrete Works]]*BOQs!$L$5</f>
        <v>0</v>
      </c>
      <c r="R599" s="76"/>
      <c r="S599" s="37"/>
      <c r="T599" s="86">
        <f>tbl_estimated_costs_quantities[[#This Row],[Closure External Openings Walls Windows]]*BOQs!$L$6</f>
        <v>0</v>
      </c>
      <c r="U599" s="76"/>
      <c r="V599" s="37"/>
      <c r="W599" s="86">
        <f>tbl_estimated_costs_quantities[[#This Row],[Plastering Painting]]*BOQs!$L$7</f>
        <v>0</v>
      </c>
      <c r="X599" s="76"/>
      <c r="Y599" s="37"/>
      <c r="Z599" s="86">
        <f>tbl_estimated_costs_quantities[[#This Row],[Floor Repairs]]*BOQs!$L$8</f>
        <v>0</v>
      </c>
      <c r="AA599" s="76"/>
      <c r="AB599" s="37"/>
      <c r="AC599" s="86">
        <f>tbl_estimated_costs_quantities[[#This Row],[Doors Replacement Repair]]*BOQs!$L$9</f>
        <v>0</v>
      </c>
      <c r="AD599" s="76"/>
      <c r="AE599" s="37"/>
      <c r="AF599" s="86">
        <f>tbl_estimated_costs_quantities[[#This Row],[Windows Replacement Repair]]*BOQs!$L$10</f>
        <v>0</v>
      </c>
      <c r="AG599" s="76"/>
      <c r="AH599" s="37"/>
      <c r="AI599" s="86">
        <f>tbl_estimated_costs_quantities[[#This Row],[Bathroom Rehabilitation]]*BOQs!$L$11</f>
        <v>0</v>
      </c>
      <c r="AJ599" s="76"/>
      <c r="AK599" s="37"/>
      <c r="AL599" s="86">
        <f>tbl_estimated_costs_quantities[[#This Row],[Ceramic Tile Works WASH]]*BOQs!$L$12</f>
        <v>0</v>
      </c>
      <c r="AM599" s="76"/>
      <c r="AN599" s="37"/>
      <c r="AO599" s="86">
        <f>tbl_estimated_costs_quantities[[#This Row],[Electrical Repairs Lighting]]*BOQs!$L$13</f>
        <v>0</v>
      </c>
      <c r="AP599" s="76"/>
      <c r="AQ599" s="37"/>
      <c r="AR599" s="86">
        <f>tbl_estimated_costs_quantities[[#This Row],[Roof Insulation Leak Sealing]]*BOQs!$L$14</f>
        <v>0</v>
      </c>
      <c r="AS599" s="76"/>
      <c r="AT599" s="37"/>
      <c r="AU599" s="86">
        <f>tbl_estimated_costs_quantities[[#This Row],[Chimney Duct Cleaning Repair]]*BOQs!$L$15</f>
        <v>0</v>
      </c>
      <c r="AV599" s="76"/>
      <c r="AW599" s="37"/>
      <c r="AX599" s="89">
        <f>tbl_estimated_costs_quantities[[#This Row],[Accessibility Adaptations]]*BOQs!$L$16</f>
        <v>0</v>
      </c>
      <c r="AY599" s="86" t="str">
        <f>IF(tbl_estimated_costs_quantities[[#This Row],[Total cost]]&lt;&gt;0,tbl_estimated_costs_quantities[[#This Row],[Total cost]]/BOQs!$A$1,"")</f>
        <v/>
      </c>
      <c r="AZ599" s="37"/>
      <c r="BA599" s="37"/>
      <c r="BB599" s="37"/>
      <c r="BC599" s="37"/>
      <c r="BD599" s="41"/>
      <c r="BE599" s="37"/>
      <c r="BF599" s="37"/>
      <c r="BG599" s="37"/>
      <c r="BH599" s="41"/>
    </row>
    <row r="600" spans="2:60" ht="25.15" customHeight="1" x14ac:dyDescent="0.25">
      <c r="B600" s="49">
        <v>596</v>
      </c>
      <c r="C600" s="37"/>
      <c r="D600" s="41"/>
      <c r="E600" s="40"/>
      <c r="F600" s="87" t="str">
        <f>IF(tbl_estimated_costs_quantities[[#This Row],[House Code]]&lt;&gt;"",INDEX(tbl_Assessment[],MATCH(tbl_estimated_costs_quantities[[#This Row],[House Code]],tbl_Assessment[House Code],0),3),"")</f>
        <v/>
      </c>
      <c r="G600" s="115" t="str">
        <f>IF(tbl_estimated_costs_quantities[[#This Row],[House Code]]&lt;&gt;"",INDEX(tbl_Assessment[],MATCH(tbl_estimated_costs_quantities[[#This Row],[House Code]],tbl_Assessment[House Code],0),9),"")</f>
        <v/>
      </c>
      <c r="H60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0" s="75"/>
      <c r="J600" s="37"/>
      <c r="K600" s="86">
        <f>tbl_estimated_costs_quantities[[#This Row],[Site Preparation]]*BOQs!$L$3</f>
        <v>0</v>
      </c>
      <c r="L600" s="76"/>
      <c r="M600" s="37"/>
      <c r="N600" s="86">
        <f>tbl_estimated_costs_quantities[[#This Row],[Demolition Removal Unsafe Structures]]*BOQs!$L$4</f>
        <v>0</v>
      </c>
      <c r="O600" s="76"/>
      <c r="P600" s="37"/>
      <c r="Q600" s="86">
        <f>tbl_estimated_costs_quantities[[#This Row],[Concrete Works]]*BOQs!$L$5</f>
        <v>0</v>
      </c>
      <c r="R600" s="76"/>
      <c r="S600" s="37"/>
      <c r="T600" s="86">
        <f>tbl_estimated_costs_quantities[[#This Row],[Closure External Openings Walls Windows]]*BOQs!$L$6</f>
        <v>0</v>
      </c>
      <c r="U600" s="76"/>
      <c r="V600" s="37"/>
      <c r="W600" s="86">
        <f>tbl_estimated_costs_quantities[[#This Row],[Plastering Painting]]*BOQs!$L$7</f>
        <v>0</v>
      </c>
      <c r="X600" s="76"/>
      <c r="Y600" s="37"/>
      <c r="Z600" s="86">
        <f>tbl_estimated_costs_quantities[[#This Row],[Floor Repairs]]*BOQs!$L$8</f>
        <v>0</v>
      </c>
      <c r="AA600" s="76"/>
      <c r="AB600" s="37"/>
      <c r="AC600" s="86">
        <f>tbl_estimated_costs_quantities[[#This Row],[Doors Replacement Repair]]*BOQs!$L$9</f>
        <v>0</v>
      </c>
      <c r="AD600" s="76"/>
      <c r="AE600" s="37"/>
      <c r="AF600" s="86">
        <f>tbl_estimated_costs_quantities[[#This Row],[Windows Replacement Repair]]*BOQs!$L$10</f>
        <v>0</v>
      </c>
      <c r="AG600" s="76"/>
      <c r="AH600" s="37"/>
      <c r="AI600" s="86">
        <f>tbl_estimated_costs_quantities[[#This Row],[Bathroom Rehabilitation]]*BOQs!$L$11</f>
        <v>0</v>
      </c>
      <c r="AJ600" s="76"/>
      <c r="AK600" s="37"/>
      <c r="AL600" s="86">
        <f>tbl_estimated_costs_quantities[[#This Row],[Ceramic Tile Works WASH]]*BOQs!$L$12</f>
        <v>0</v>
      </c>
      <c r="AM600" s="76"/>
      <c r="AN600" s="37"/>
      <c r="AO600" s="86">
        <f>tbl_estimated_costs_quantities[[#This Row],[Electrical Repairs Lighting]]*BOQs!$L$13</f>
        <v>0</v>
      </c>
      <c r="AP600" s="76"/>
      <c r="AQ600" s="37"/>
      <c r="AR600" s="86">
        <f>tbl_estimated_costs_quantities[[#This Row],[Roof Insulation Leak Sealing]]*BOQs!$L$14</f>
        <v>0</v>
      </c>
      <c r="AS600" s="76"/>
      <c r="AT600" s="37"/>
      <c r="AU600" s="86">
        <f>tbl_estimated_costs_quantities[[#This Row],[Chimney Duct Cleaning Repair]]*BOQs!$L$15</f>
        <v>0</v>
      </c>
      <c r="AV600" s="76"/>
      <c r="AW600" s="37"/>
      <c r="AX600" s="89">
        <f>tbl_estimated_costs_quantities[[#This Row],[Accessibility Adaptations]]*BOQs!$L$16</f>
        <v>0</v>
      </c>
      <c r="AY600" s="86" t="str">
        <f>IF(tbl_estimated_costs_quantities[[#This Row],[Total cost]]&lt;&gt;0,tbl_estimated_costs_quantities[[#This Row],[Total cost]]/BOQs!$A$1,"")</f>
        <v/>
      </c>
      <c r="AZ600" s="37"/>
      <c r="BA600" s="37"/>
      <c r="BB600" s="37"/>
      <c r="BC600" s="37"/>
      <c r="BD600" s="41"/>
      <c r="BE600" s="37"/>
      <c r="BF600" s="37"/>
      <c r="BG600" s="37"/>
      <c r="BH600" s="41"/>
    </row>
    <row r="601" spans="2:60" ht="25.15" customHeight="1" x14ac:dyDescent="0.25">
      <c r="B601" s="49">
        <v>597</v>
      </c>
      <c r="C601" s="37"/>
      <c r="D601" s="41"/>
      <c r="E601" s="40"/>
      <c r="F601" s="87" t="str">
        <f>IF(tbl_estimated_costs_quantities[[#This Row],[House Code]]&lt;&gt;"",INDEX(tbl_Assessment[],MATCH(tbl_estimated_costs_quantities[[#This Row],[House Code]],tbl_Assessment[House Code],0),3),"")</f>
        <v/>
      </c>
      <c r="G601" s="115" t="str">
        <f>IF(tbl_estimated_costs_quantities[[#This Row],[House Code]]&lt;&gt;"",INDEX(tbl_Assessment[],MATCH(tbl_estimated_costs_quantities[[#This Row],[House Code]],tbl_Assessment[House Code],0),9),"")</f>
        <v/>
      </c>
      <c r="H60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1" s="75"/>
      <c r="J601" s="37"/>
      <c r="K601" s="86">
        <f>tbl_estimated_costs_quantities[[#This Row],[Site Preparation]]*BOQs!$L$3</f>
        <v>0</v>
      </c>
      <c r="L601" s="76"/>
      <c r="M601" s="37"/>
      <c r="N601" s="86">
        <f>tbl_estimated_costs_quantities[[#This Row],[Demolition Removal Unsafe Structures]]*BOQs!$L$4</f>
        <v>0</v>
      </c>
      <c r="O601" s="76"/>
      <c r="P601" s="37"/>
      <c r="Q601" s="86">
        <f>tbl_estimated_costs_quantities[[#This Row],[Concrete Works]]*BOQs!$L$5</f>
        <v>0</v>
      </c>
      <c r="R601" s="76"/>
      <c r="S601" s="37"/>
      <c r="T601" s="86">
        <f>tbl_estimated_costs_quantities[[#This Row],[Closure External Openings Walls Windows]]*BOQs!$L$6</f>
        <v>0</v>
      </c>
      <c r="U601" s="76"/>
      <c r="V601" s="37"/>
      <c r="W601" s="86">
        <f>tbl_estimated_costs_quantities[[#This Row],[Plastering Painting]]*BOQs!$L$7</f>
        <v>0</v>
      </c>
      <c r="X601" s="76"/>
      <c r="Y601" s="37"/>
      <c r="Z601" s="86">
        <f>tbl_estimated_costs_quantities[[#This Row],[Floor Repairs]]*BOQs!$L$8</f>
        <v>0</v>
      </c>
      <c r="AA601" s="76"/>
      <c r="AB601" s="37"/>
      <c r="AC601" s="86">
        <f>tbl_estimated_costs_quantities[[#This Row],[Doors Replacement Repair]]*BOQs!$L$9</f>
        <v>0</v>
      </c>
      <c r="AD601" s="76"/>
      <c r="AE601" s="37"/>
      <c r="AF601" s="86">
        <f>tbl_estimated_costs_quantities[[#This Row],[Windows Replacement Repair]]*BOQs!$L$10</f>
        <v>0</v>
      </c>
      <c r="AG601" s="76"/>
      <c r="AH601" s="37"/>
      <c r="AI601" s="86">
        <f>tbl_estimated_costs_quantities[[#This Row],[Bathroom Rehabilitation]]*BOQs!$L$11</f>
        <v>0</v>
      </c>
      <c r="AJ601" s="76"/>
      <c r="AK601" s="37"/>
      <c r="AL601" s="86">
        <f>tbl_estimated_costs_quantities[[#This Row],[Ceramic Tile Works WASH]]*BOQs!$L$12</f>
        <v>0</v>
      </c>
      <c r="AM601" s="76"/>
      <c r="AN601" s="37"/>
      <c r="AO601" s="86">
        <f>tbl_estimated_costs_quantities[[#This Row],[Electrical Repairs Lighting]]*BOQs!$L$13</f>
        <v>0</v>
      </c>
      <c r="AP601" s="76"/>
      <c r="AQ601" s="37"/>
      <c r="AR601" s="86">
        <f>tbl_estimated_costs_quantities[[#This Row],[Roof Insulation Leak Sealing]]*BOQs!$L$14</f>
        <v>0</v>
      </c>
      <c r="AS601" s="76"/>
      <c r="AT601" s="37"/>
      <c r="AU601" s="86">
        <f>tbl_estimated_costs_quantities[[#This Row],[Chimney Duct Cleaning Repair]]*BOQs!$L$15</f>
        <v>0</v>
      </c>
      <c r="AV601" s="76"/>
      <c r="AW601" s="37"/>
      <c r="AX601" s="89">
        <f>tbl_estimated_costs_quantities[[#This Row],[Accessibility Adaptations]]*BOQs!$L$16</f>
        <v>0</v>
      </c>
      <c r="AY601" s="86" t="str">
        <f>IF(tbl_estimated_costs_quantities[[#This Row],[Total cost]]&lt;&gt;0,tbl_estimated_costs_quantities[[#This Row],[Total cost]]/BOQs!$A$1,"")</f>
        <v/>
      </c>
      <c r="AZ601" s="37"/>
      <c r="BA601" s="37"/>
      <c r="BB601" s="37"/>
      <c r="BC601" s="37"/>
      <c r="BD601" s="41"/>
      <c r="BE601" s="37"/>
      <c r="BF601" s="37"/>
      <c r="BG601" s="37"/>
      <c r="BH601" s="41"/>
    </row>
    <row r="602" spans="2:60" ht="25.15" customHeight="1" x14ac:dyDescent="0.25">
      <c r="B602" s="49">
        <v>598</v>
      </c>
      <c r="C602" s="37"/>
      <c r="D602" s="41"/>
      <c r="E602" s="40"/>
      <c r="F602" s="87" t="str">
        <f>IF(tbl_estimated_costs_quantities[[#This Row],[House Code]]&lt;&gt;"",INDEX(tbl_Assessment[],MATCH(tbl_estimated_costs_quantities[[#This Row],[House Code]],tbl_Assessment[House Code],0),3),"")</f>
        <v/>
      </c>
      <c r="G602" s="115" t="str">
        <f>IF(tbl_estimated_costs_quantities[[#This Row],[House Code]]&lt;&gt;"",INDEX(tbl_Assessment[],MATCH(tbl_estimated_costs_quantities[[#This Row],[House Code]],tbl_Assessment[House Code],0),9),"")</f>
        <v/>
      </c>
      <c r="H60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2" s="75"/>
      <c r="J602" s="37"/>
      <c r="K602" s="86">
        <f>tbl_estimated_costs_quantities[[#This Row],[Site Preparation]]*BOQs!$L$3</f>
        <v>0</v>
      </c>
      <c r="L602" s="76"/>
      <c r="M602" s="37"/>
      <c r="N602" s="86">
        <f>tbl_estimated_costs_quantities[[#This Row],[Demolition Removal Unsafe Structures]]*BOQs!$L$4</f>
        <v>0</v>
      </c>
      <c r="O602" s="76"/>
      <c r="P602" s="37"/>
      <c r="Q602" s="86">
        <f>tbl_estimated_costs_quantities[[#This Row],[Concrete Works]]*BOQs!$L$5</f>
        <v>0</v>
      </c>
      <c r="R602" s="76"/>
      <c r="S602" s="37"/>
      <c r="T602" s="86">
        <f>tbl_estimated_costs_quantities[[#This Row],[Closure External Openings Walls Windows]]*BOQs!$L$6</f>
        <v>0</v>
      </c>
      <c r="U602" s="76"/>
      <c r="V602" s="37"/>
      <c r="W602" s="86">
        <f>tbl_estimated_costs_quantities[[#This Row],[Plastering Painting]]*BOQs!$L$7</f>
        <v>0</v>
      </c>
      <c r="X602" s="76"/>
      <c r="Y602" s="37"/>
      <c r="Z602" s="86">
        <f>tbl_estimated_costs_quantities[[#This Row],[Floor Repairs]]*BOQs!$L$8</f>
        <v>0</v>
      </c>
      <c r="AA602" s="76"/>
      <c r="AB602" s="37"/>
      <c r="AC602" s="86">
        <f>tbl_estimated_costs_quantities[[#This Row],[Doors Replacement Repair]]*BOQs!$L$9</f>
        <v>0</v>
      </c>
      <c r="AD602" s="76"/>
      <c r="AE602" s="37"/>
      <c r="AF602" s="86">
        <f>tbl_estimated_costs_quantities[[#This Row],[Windows Replacement Repair]]*BOQs!$L$10</f>
        <v>0</v>
      </c>
      <c r="AG602" s="76"/>
      <c r="AH602" s="37"/>
      <c r="AI602" s="86">
        <f>tbl_estimated_costs_quantities[[#This Row],[Bathroom Rehabilitation]]*BOQs!$L$11</f>
        <v>0</v>
      </c>
      <c r="AJ602" s="76"/>
      <c r="AK602" s="37"/>
      <c r="AL602" s="86">
        <f>tbl_estimated_costs_quantities[[#This Row],[Ceramic Tile Works WASH]]*BOQs!$L$12</f>
        <v>0</v>
      </c>
      <c r="AM602" s="76"/>
      <c r="AN602" s="37"/>
      <c r="AO602" s="86">
        <f>tbl_estimated_costs_quantities[[#This Row],[Electrical Repairs Lighting]]*BOQs!$L$13</f>
        <v>0</v>
      </c>
      <c r="AP602" s="76"/>
      <c r="AQ602" s="37"/>
      <c r="AR602" s="86">
        <f>tbl_estimated_costs_quantities[[#This Row],[Roof Insulation Leak Sealing]]*BOQs!$L$14</f>
        <v>0</v>
      </c>
      <c r="AS602" s="76"/>
      <c r="AT602" s="37"/>
      <c r="AU602" s="86">
        <f>tbl_estimated_costs_quantities[[#This Row],[Chimney Duct Cleaning Repair]]*BOQs!$L$15</f>
        <v>0</v>
      </c>
      <c r="AV602" s="76"/>
      <c r="AW602" s="37"/>
      <c r="AX602" s="89">
        <f>tbl_estimated_costs_quantities[[#This Row],[Accessibility Adaptations]]*BOQs!$L$16</f>
        <v>0</v>
      </c>
      <c r="AY602" s="86" t="str">
        <f>IF(tbl_estimated_costs_quantities[[#This Row],[Total cost]]&lt;&gt;0,tbl_estimated_costs_quantities[[#This Row],[Total cost]]/BOQs!$A$1,"")</f>
        <v/>
      </c>
      <c r="AZ602" s="37"/>
      <c r="BA602" s="37"/>
      <c r="BB602" s="37"/>
      <c r="BC602" s="37"/>
      <c r="BD602" s="41"/>
      <c r="BE602" s="37"/>
      <c r="BF602" s="37"/>
      <c r="BG602" s="37"/>
      <c r="BH602" s="41"/>
    </row>
    <row r="603" spans="2:60" ht="25.15" customHeight="1" x14ac:dyDescent="0.25">
      <c r="B603" s="49">
        <v>599</v>
      </c>
      <c r="C603" s="37"/>
      <c r="D603" s="41"/>
      <c r="E603" s="40"/>
      <c r="F603" s="87" t="str">
        <f>IF(tbl_estimated_costs_quantities[[#This Row],[House Code]]&lt;&gt;"",INDEX(tbl_Assessment[],MATCH(tbl_estimated_costs_quantities[[#This Row],[House Code]],tbl_Assessment[House Code],0),3),"")</f>
        <v/>
      </c>
      <c r="G603" s="115" t="str">
        <f>IF(tbl_estimated_costs_quantities[[#This Row],[House Code]]&lt;&gt;"",INDEX(tbl_Assessment[],MATCH(tbl_estimated_costs_quantities[[#This Row],[House Code]],tbl_Assessment[House Code],0),9),"")</f>
        <v/>
      </c>
      <c r="H60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3" s="75"/>
      <c r="J603" s="37"/>
      <c r="K603" s="86">
        <f>tbl_estimated_costs_quantities[[#This Row],[Site Preparation]]*BOQs!$L$3</f>
        <v>0</v>
      </c>
      <c r="L603" s="76"/>
      <c r="M603" s="37"/>
      <c r="N603" s="86">
        <f>tbl_estimated_costs_quantities[[#This Row],[Demolition Removal Unsafe Structures]]*BOQs!$L$4</f>
        <v>0</v>
      </c>
      <c r="O603" s="76"/>
      <c r="P603" s="37"/>
      <c r="Q603" s="86">
        <f>tbl_estimated_costs_quantities[[#This Row],[Concrete Works]]*BOQs!$L$5</f>
        <v>0</v>
      </c>
      <c r="R603" s="76"/>
      <c r="S603" s="37"/>
      <c r="T603" s="86">
        <f>tbl_estimated_costs_quantities[[#This Row],[Closure External Openings Walls Windows]]*BOQs!$L$6</f>
        <v>0</v>
      </c>
      <c r="U603" s="76"/>
      <c r="V603" s="37"/>
      <c r="W603" s="86">
        <f>tbl_estimated_costs_quantities[[#This Row],[Plastering Painting]]*BOQs!$L$7</f>
        <v>0</v>
      </c>
      <c r="X603" s="76"/>
      <c r="Y603" s="37"/>
      <c r="Z603" s="86">
        <f>tbl_estimated_costs_quantities[[#This Row],[Floor Repairs]]*BOQs!$L$8</f>
        <v>0</v>
      </c>
      <c r="AA603" s="76"/>
      <c r="AB603" s="37"/>
      <c r="AC603" s="86">
        <f>tbl_estimated_costs_quantities[[#This Row],[Doors Replacement Repair]]*BOQs!$L$9</f>
        <v>0</v>
      </c>
      <c r="AD603" s="76"/>
      <c r="AE603" s="37"/>
      <c r="AF603" s="86">
        <f>tbl_estimated_costs_quantities[[#This Row],[Windows Replacement Repair]]*BOQs!$L$10</f>
        <v>0</v>
      </c>
      <c r="AG603" s="76"/>
      <c r="AH603" s="37"/>
      <c r="AI603" s="86">
        <f>tbl_estimated_costs_quantities[[#This Row],[Bathroom Rehabilitation]]*BOQs!$L$11</f>
        <v>0</v>
      </c>
      <c r="AJ603" s="76"/>
      <c r="AK603" s="37"/>
      <c r="AL603" s="86">
        <f>tbl_estimated_costs_quantities[[#This Row],[Ceramic Tile Works WASH]]*BOQs!$L$12</f>
        <v>0</v>
      </c>
      <c r="AM603" s="76"/>
      <c r="AN603" s="37"/>
      <c r="AO603" s="86">
        <f>tbl_estimated_costs_quantities[[#This Row],[Electrical Repairs Lighting]]*BOQs!$L$13</f>
        <v>0</v>
      </c>
      <c r="AP603" s="76"/>
      <c r="AQ603" s="37"/>
      <c r="AR603" s="86">
        <f>tbl_estimated_costs_quantities[[#This Row],[Roof Insulation Leak Sealing]]*BOQs!$L$14</f>
        <v>0</v>
      </c>
      <c r="AS603" s="76"/>
      <c r="AT603" s="37"/>
      <c r="AU603" s="86">
        <f>tbl_estimated_costs_quantities[[#This Row],[Chimney Duct Cleaning Repair]]*BOQs!$L$15</f>
        <v>0</v>
      </c>
      <c r="AV603" s="76"/>
      <c r="AW603" s="37"/>
      <c r="AX603" s="89">
        <f>tbl_estimated_costs_quantities[[#This Row],[Accessibility Adaptations]]*BOQs!$L$16</f>
        <v>0</v>
      </c>
      <c r="AY603" s="86" t="str">
        <f>IF(tbl_estimated_costs_quantities[[#This Row],[Total cost]]&lt;&gt;0,tbl_estimated_costs_quantities[[#This Row],[Total cost]]/BOQs!$A$1,"")</f>
        <v/>
      </c>
      <c r="AZ603" s="37"/>
      <c r="BA603" s="37"/>
      <c r="BB603" s="37"/>
      <c r="BC603" s="37"/>
      <c r="BD603" s="41"/>
      <c r="BE603" s="37"/>
      <c r="BF603" s="37"/>
      <c r="BG603" s="37"/>
      <c r="BH603" s="41"/>
    </row>
    <row r="604" spans="2:60" ht="25.15" customHeight="1" x14ac:dyDescent="0.25">
      <c r="B604" s="49">
        <v>600</v>
      </c>
      <c r="C604" s="37"/>
      <c r="D604" s="41"/>
      <c r="E604" s="40"/>
      <c r="F604" s="87" t="str">
        <f>IF(tbl_estimated_costs_quantities[[#This Row],[House Code]]&lt;&gt;"",INDEX(tbl_Assessment[],MATCH(tbl_estimated_costs_quantities[[#This Row],[House Code]],tbl_Assessment[House Code],0),3),"")</f>
        <v/>
      </c>
      <c r="G604" s="115" t="str">
        <f>IF(tbl_estimated_costs_quantities[[#This Row],[House Code]]&lt;&gt;"",INDEX(tbl_Assessment[],MATCH(tbl_estimated_costs_quantities[[#This Row],[House Code]],tbl_Assessment[House Code],0),9),"")</f>
        <v/>
      </c>
      <c r="H60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4" s="75"/>
      <c r="J604" s="37"/>
      <c r="K604" s="86">
        <f>tbl_estimated_costs_quantities[[#This Row],[Site Preparation]]*BOQs!$L$3</f>
        <v>0</v>
      </c>
      <c r="L604" s="76"/>
      <c r="M604" s="37"/>
      <c r="N604" s="86">
        <f>tbl_estimated_costs_quantities[[#This Row],[Demolition Removal Unsafe Structures]]*BOQs!$L$4</f>
        <v>0</v>
      </c>
      <c r="O604" s="76"/>
      <c r="P604" s="37"/>
      <c r="Q604" s="86">
        <f>tbl_estimated_costs_quantities[[#This Row],[Concrete Works]]*BOQs!$L$5</f>
        <v>0</v>
      </c>
      <c r="R604" s="76"/>
      <c r="S604" s="37"/>
      <c r="T604" s="86">
        <f>tbl_estimated_costs_quantities[[#This Row],[Closure External Openings Walls Windows]]*BOQs!$L$6</f>
        <v>0</v>
      </c>
      <c r="U604" s="76"/>
      <c r="V604" s="37"/>
      <c r="W604" s="86">
        <f>tbl_estimated_costs_quantities[[#This Row],[Plastering Painting]]*BOQs!$L$7</f>
        <v>0</v>
      </c>
      <c r="X604" s="76"/>
      <c r="Y604" s="37"/>
      <c r="Z604" s="86">
        <f>tbl_estimated_costs_quantities[[#This Row],[Floor Repairs]]*BOQs!$L$8</f>
        <v>0</v>
      </c>
      <c r="AA604" s="76"/>
      <c r="AB604" s="37"/>
      <c r="AC604" s="86">
        <f>tbl_estimated_costs_quantities[[#This Row],[Doors Replacement Repair]]*BOQs!$L$9</f>
        <v>0</v>
      </c>
      <c r="AD604" s="76"/>
      <c r="AE604" s="37"/>
      <c r="AF604" s="86">
        <f>tbl_estimated_costs_quantities[[#This Row],[Windows Replacement Repair]]*BOQs!$L$10</f>
        <v>0</v>
      </c>
      <c r="AG604" s="76"/>
      <c r="AH604" s="37"/>
      <c r="AI604" s="86">
        <f>tbl_estimated_costs_quantities[[#This Row],[Bathroom Rehabilitation]]*BOQs!$L$11</f>
        <v>0</v>
      </c>
      <c r="AJ604" s="76"/>
      <c r="AK604" s="37"/>
      <c r="AL604" s="86">
        <f>tbl_estimated_costs_quantities[[#This Row],[Ceramic Tile Works WASH]]*BOQs!$L$12</f>
        <v>0</v>
      </c>
      <c r="AM604" s="76"/>
      <c r="AN604" s="37"/>
      <c r="AO604" s="86">
        <f>tbl_estimated_costs_quantities[[#This Row],[Electrical Repairs Lighting]]*BOQs!$L$13</f>
        <v>0</v>
      </c>
      <c r="AP604" s="76"/>
      <c r="AQ604" s="37"/>
      <c r="AR604" s="86">
        <f>tbl_estimated_costs_quantities[[#This Row],[Roof Insulation Leak Sealing]]*BOQs!$L$14</f>
        <v>0</v>
      </c>
      <c r="AS604" s="76"/>
      <c r="AT604" s="37"/>
      <c r="AU604" s="86">
        <f>tbl_estimated_costs_quantities[[#This Row],[Chimney Duct Cleaning Repair]]*BOQs!$L$15</f>
        <v>0</v>
      </c>
      <c r="AV604" s="76"/>
      <c r="AW604" s="37"/>
      <c r="AX604" s="89">
        <f>tbl_estimated_costs_quantities[[#This Row],[Accessibility Adaptations]]*BOQs!$L$16</f>
        <v>0</v>
      </c>
      <c r="AY604" s="86" t="str">
        <f>IF(tbl_estimated_costs_quantities[[#This Row],[Total cost]]&lt;&gt;0,tbl_estimated_costs_quantities[[#This Row],[Total cost]]/BOQs!$A$1,"")</f>
        <v/>
      </c>
      <c r="AZ604" s="37"/>
      <c r="BA604" s="37"/>
      <c r="BB604" s="37"/>
      <c r="BC604" s="37"/>
      <c r="BD604" s="41"/>
      <c r="BE604" s="37"/>
      <c r="BF604" s="37"/>
      <c r="BG604" s="37"/>
      <c r="BH604" s="41"/>
    </row>
    <row r="605" spans="2:60" ht="25.15" customHeight="1" x14ac:dyDescent="0.25">
      <c r="B605" s="49">
        <v>601</v>
      </c>
      <c r="C605" s="37"/>
      <c r="D605" s="41"/>
      <c r="E605" s="40"/>
      <c r="F605" s="87" t="str">
        <f>IF(tbl_estimated_costs_quantities[[#This Row],[House Code]]&lt;&gt;"",INDEX(tbl_Assessment[],MATCH(tbl_estimated_costs_quantities[[#This Row],[House Code]],tbl_Assessment[House Code],0),3),"")</f>
        <v/>
      </c>
      <c r="G605" s="115" t="str">
        <f>IF(tbl_estimated_costs_quantities[[#This Row],[House Code]]&lt;&gt;"",INDEX(tbl_Assessment[],MATCH(tbl_estimated_costs_quantities[[#This Row],[House Code]],tbl_Assessment[House Code],0),9),"")</f>
        <v/>
      </c>
      <c r="H60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5" s="75"/>
      <c r="J605" s="37"/>
      <c r="K605" s="86">
        <f>tbl_estimated_costs_quantities[[#This Row],[Site Preparation]]*BOQs!$L$3</f>
        <v>0</v>
      </c>
      <c r="L605" s="76"/>
      <c r="M605" s="37"/>
      <c r="N605" s="86">
        <f>tbl_estimated_costs_quantities[[#This Row],[Demolition Removal Unsafe Structures]]*BOQs!$L$4</f>
        <v>0</v>
      </c>
      <c r="O605" s="76"/>
      <c r="P605" s="37"/>
      <c r="Q605" s="86">
        <f>tbl_estimated_costs_quantities[[#This Row],[Concrete Works]]*BOQs!$L$5</f>
        <v>0</v>
      </c>
      <c r="R605" s="76"/>
      <c r="S605" s="37"/>
      <c r="T605" s="86">
        <f>tbl_estimated_costs_quantities[[#This Row],[Closure External Openings Walls Windows]]*BOQs!$L$6</f>
        <v>0</v>
      </c>
      <c r="U605" s="76"/>
      <c r="V605" s="37"/>
      <c r="W605" s="86">
        <f>tbl_estimated_costs_quantities[[#This Row],[Plastering Painting]]*BOQs!$L$7</f>
        <v>0</v>
      </c>
      <c r="X605" s="76"/>
      <c r="Y605" s="37"/>
      <c r="Z605" s="86">
        <f>tbl_estimated_costs_quantities[[#This Row],[Floor Repairs]]*BOQs!$L$8</f>
        <v>0</v>
      </c>
      <c r="AA605" s="76"/>
      <c r="AB605" s="37"/>
      <c r="AC605" s="86">
        <f>tbl_estimated_costs_quantities[[#This Row],[Doors Replacement Repair]]*BOQs!$L$9</f>
        <v>0</v>
      </c>
      <c r="AD605" s="76"/>
      <c r="AE605" s="37"/>
      <c r="AF605" s="86">
        <f>tbl_estimated_costs_quantities[[#This Row],[Windows Replacement Repair]]*BOQs!$L$10</f>
        <v>0</v>
      </c>
      <c r="AG605" s="76"/>
      <c r="AH605" s="37"/>
      <c r="AI605" s="86">
        <f>tbl_estimated_costs_quantities[[#This Row],[Bathroom Rehabilitation]]*BOQs!$L$11</f>
        <v>0</v>
      </c>
      <c r="AJ605" s="76"/>
      <c r="AK605" s="37"/>
      <c r="AL605" s="86">
        <f>tbl_estimated_costs_quantities[[#This Row],[Ceramic Tile Works WASH]]*BOQs!$L$12</f>
        <v>0</v>
      </c>
      <c r="AM605" s="76"/>
      <c r="AN605" s="37"/>
      <c r="AO605" s="86">
        <f>tbl_estimated_costs_quantities[[#This Row],[Electrical Repairs Lighting]]*BOQs!$L$13</f>
        <v>0</v>
      </c>
      <c r="AP605" s="76"/>
      <c r="AQ605" s="37"/>
      <c r="AR605" s="86">
        <f>tbl_estimated_costs_quantities[[#This Row],[Roof Insulation Leak Sealing]]*BOQs!$L$14</f>
        <v>0</v>
      </c>
      <c r="AS605" s="76"/>
      <c r="AT605" s="37"/>
      <c r="AU605" s="86">
        <f>tbl_estimated_costs_quantities[[#This Row],[Chimney Duct Cleaning Repair]]*BOQs!$L$15</f>
        <v>0</v>
      </c>
      <c r="AV605" s="76"/>
      <c r="AW605" s="37"/>
      <c r="AX605" s="89">
        <f>tbl_estimated_costs_quantities[[#This Row],[Accessibility Adaptations]]*BOQs!$L$16</f>
        <v>0</v>
      </c>
      <c r="AY605" s="86" t="str">
        <f>IF(tbl_estimated_costs_quantities[[#This Row],[Total cost]]&lt;&gt;0,tbl_estimated_costs_quantities[[#This Row],[Total cost]]/BOQs!$A$1,"")</f>
        <v/>
      </c>
      <c r="AZ605" s="37"/>
      <c r="BA605" s="37"/>
      <c r="BB605" s="37"/>
      <c r="BC605" s="37"/>
      <c r="BD605" s="41"/>
      <c r="BE605" s="37"/>
      <c r="BF605" s="37"/>
      <c r="BG605" s="37"/>
      <c r="BH605" s="41"/>
    </row>
    <row r="606" spans="2:60" ht="25.15" customHeight="1" x14ac:dyDescent="0.25">
      <c r="B606" s="49">
        <v>602</v>
      </c>
      <c r="C606" s="37"/>
      <c r="D606" s="41"/>
      <c r="E606" s="40"/>
      <c r="F606" s="87" t="str">
        <f>IF(tbl_estimated_costs_quantities[[#This Row],[House Code]]&lt;&gt;"",INDEX(tbl_Assessment[],MATCH(tbl_estimated_costs_quantities[[#This Row],[House Code]],tbl_Assessment[House Code],0),3),"")</f>
        <v/>
      </c>
      <c r="G606" s="115" t="str">
        <f>IF(tbl_estimated_costs_quantities[[#This Row],[House Code]]&lt;&gt;"",INDEX(tbl_Assessment[],MATCH(tbl_estimated_costs_quantities[[#This Row],[House Code]],tbl_Assessment[House Code],0),9),"")</f>
        <v/>
      </c>
      <c r="H60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6" s="75"/>
      <c r="J606" s="37"/>
      <c r="K606" s="86">
        <f>tbl_estimated_costs_quantities[[#This Row],[Site Preparation]]*BOQs!$L$3</f>
        <v>0</v>
      </c>
      <c r="L606" s="76"/>
      <c r="M606" s="37"/>
      <c r="N606" s="86">
        <f>tbl_estimated_costs_quantities[[#This Row],[Demolition Removal Unsafe Structures]]*BOQs!$L$4</f>
        <v>0</v>
      </c>
      <c r="O606" s="76"/>
      <c r="P606" s="37"/>
      <c r="Q606" s="86">
        <f>tbl_estimated_costs_quantities[[#This Row],[Concrete Works]]*BOQs!$L$5</f>
        <v>0</v>
      </c>
      <c r="R606" s="76"/>
      <c r="S606" s="37"/>
      <c r="T606" s="86">
        <f>tbl_estimated_costs_quantities[[#This Row],[Closure External Openings Walls Windows]]*BOQs!$L$6</f>
        <v>0</v>
      </c>
      <c r="U606" s="76"/>
      <c r="V606" s="37"/>
      <c r="W606" s="86">
        <f>tbl_estimated_costs_quantities[[#This Row],[Plastering Painting]]*BOQs!$L$7</f>
        <v>0</v>
      </c>
      <c r="X606" s="76"/>
      <c r="Y606" s="37"/>
      <c r="Z606" s="86">
        <f>tbl_estimated_costs_quantities[[#This Row],[Floor Repairs]]*BOQs!$L$8</f>
        <v>0</v>
      </c>
      <c r="AA606" s="76"/>
      <c r="AB606" s="37"/>
      <c r="AC606" s="86">
        <f>tbl_estimated_costs_quantities[[#This Row],[Doors Replacement Repair]]*BOQs!$L$9</f>
        <v>0</v>
      </c>
      <c r="AD606" s="76"/>
      <c r="AE606" s="37"/>
      <c r="AF606" s="86">
        <f>tbl_estimated_costs_quantities[[#This Row],[Windows Replacement Repair]]*BOQs!$L$10</f>
        <v>0</v>
      </c>
      <c r="AG606" s="76"/>
      <c r="AH606" s="37"/>
      <c r="AI606" s="86">
        <f>tbl_estimated_costs_quantities[[#This Row],[Bathroom Rehabilitation]]*BOQs!$L$11</f>
        <v>0</v>
      </c>
      <c r="AJ606" s="76"/>
      <c r="AK606" s="37"/>
      <c r="AL606" s="86">
        <f>tbl_estimated_costs_quantities[[#This Row],[Ceramic Tile Works WASH]]*BOQs!$L$12</f>
        <v>0</v>
      </c>
      <c r="AM606" s="76"/>
      <c r="AN606" s="37"/>
      <c r="AO606" s="86">
        <f>tbl_estimated_costs_quantities[[#This Row],[Electrical Repairs Lighting]]*BOQs!$L$13</f>
        <v>0</v>
      </c>
      <c r="AP606" s="76"/>
      <c r="AQ606" s="37"/>
      <c r="AR606" s="86">
        <f>tbl_estimated_costs_quantities[[#This Row],[Roof Insulation Leak Sealing]]*BOQs!$L$14</f>
        <v>0</v>
      </c>
      <c r="AS606" s="76"/>
      <c r="AT606" s="37"/>
      <c r="AU606" s="86">
        <f>tbl_estimated_costs_quantities[[#This Row],[Chimney Duct Cleaning Repair]]*BOQs!$L$15</f>
        <v>0</v>
      </c>
      <c r="AV606" s="76"/>
      <c r="AW606" s="37"/>
      <c r="AX606" s="89">
        <f>tbl_estimated_costs_quantities[[#This Row],[Accessibility Adaptations]]*BOQs!$L$16</f>
        <v>0</v>
      </c>
      <c r="AY606" s="86" t="str">
        <f>IF(tbl_estimated_costs_quantities[[#This Row],[Total cost]]&lt;&gt;0,tbl_estimated_costs_quantities[[#This Row],[Total cost]]/BOQs!$A$1,"")</f>
        <v/>
      </c>
      <c r="AZ606" s="37"/>
      <c r="BA606" s="37"/>
      <c r="BB606" s="37"/>
      <c r="BC606" s="37"/>
      <c r="BD606" s="41"/>
      <c r="BE606" s="37"/>
      <c r="BF606" s="37"/>
      <c r="BG606" s="37"/>
      <c r="BH606" s="41"/>
    </row>
    <row r="607" spans="2:60" ht="25.15" customHeight="1" x14ac:dyDescent="0.25">
      <c r="B607" s="49">
        <v>603</v>
      </c>
      <c r="C607" s="37"/>
      <c r="D607" s="41"/>
      <c r="E607" s="40"/>
      <c r="F607" s="87" t="str">
        <f>IF(tbl_estimated_costs_quantities[[#This Row],[House Code]]&lt;&gt;"",INDEX(tbl_Assessment[],MATCH(tbl_estimated_costs_quantities[[#This Row],[House Code]],tbl_Assessment[House Code],0),3),"")</f>
        <v/>
      </c>
      <c r="G607" s="115" t="str">
        <f>IF(tbl_estimated_costs_quantities[[#This Row],[House Code]]&lt;&gt;"",INDEX(tbl_Assessment[],MATCH(tbl_estimated_costs_quantities[[#This Row],[House Code]],tbl_Assessment[House Code],0),9),"")</f>
        <v/>
      </c>
      <c r="H60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7" s="75"/>
      <c r="J607" s="37"/>
      <c r="K607" s="86">
        <f>tbl_estimated_costs_quantities[[#This Row],[Site Preparation]]*BOQs!$L$3</f>
        <v>0</v>
      </c>
      <c r="L607" s="76"/>
      <c r="M607" s="37"/>
      <c r="N607" s="86">
        <f>tbl_estimated_costs_quantities[[#This Row],[Demolition Removal Unsafe Structures]]*BOQs!$L$4</f>
        <v>0</v>
      </c>
      <c r="O607" s="76"/>
      <c r="P607" s="37"/>
      <c r="Q607" s="86">
        <f>tbl_estimated_costs_quantities[[#This Row],[Concrete Works]]*BOQs!$L$5</f>
        <v>0</v>
      </c>
      <c r="R607" s="76"/>
      <c r="S607" s="37"/>
      <c r="T607" s="86">
        <f>tbl_estimated_costs_quantities[[#This Row],[Closure External Openings Walls Windows]]*BOQs!$L$6</f>
        <v>0</v>
      </c>
      <c r="U607" s="76"/>
      <c r="V607" s="37"/>
      <c r="W607" s="86">
        <f>tbl_estimated_costs_quantities[[#This Row],[Plastering Painting]]*BOQs!$L$7</f>
        <v>0</v>
      </c>
      <c r="X607" s="76"/>
      <c r="Y607" s="37"/>
      <c r="Z607" s="86">
        <f>tbl_estimated_costs_quantities[[#This Row],[Floor Repairs]]*BOQs!$L$8</f>
        <v>0</v>
      </c>
      <c r="AA607" s="76"/>
      <c r="AB607" s="37"/>
      <c r="AC607" s="86">
        <f>tbl_estimated_costs_quantities[[#This Row],[Doors Replacement Repair]]*BOQs!$L$9</f>
        <v>0</v>
      </c>
      <c r="AD607" s="76"/>
      <c r="AE607" s="37"/>
      <c r="AF607" s="86">
        <f>tbl_estimated_costs_quantities[[#This Row],[Windows Replacement Repair]]*BOQs!$L$10</f>
        <v>0</v>
      </c>
      <c r="AG607" s="76"/>
      <c r="AH607" s="37"/>
      <c r="AI607" s="86">
        <f>tbl_estimated_costs_quantities[[#This Row],[Bathroom Rehabilitation]]*BOQs!$L$11</f>
        <v>0</v>
      </c>
      <c r="AJ607" s="76"/>
      <c r="AK607" s="37"/>
      <c r="AL607" s="86">
        <f>tbl_estimated_costs_quantities[[#This Row],[Ceramic Tile Works WASH]]*BOQs!$L$12</f>
        <v>0</v>
      </c>
      <c r="AM607" s="76"/>
      <c r="AN607" s="37"/>
      <c r="AO607" s="86">
        <f>tbl_estimated_costs_quantities[[#This Row],[Electrical Repairs Lighting]]*BOQs!$L$13</f>
        <v>0</v>
      </c>
      <c r="AP607" s="76"/>
      <c r="AQ607" s="37"/>
      <c r="AR607" s="86">
        <f>tbl_estimated_costs_quantities[[#This Row],[Roof Insulation Leak Sealing]]*BOQs!$L$14</f>
        <v>0</v>
      </c>
      <c r="AS607" s="76"/>
      <c r="AT607" s="37"/>
      <c r="AU607" s="86">
        <f>tbl_estimated_costs_quantities[[#This Row],[Chimney Duct Cleaning Repair]]*BOQs!$L$15</f>
        <v>0</v>
      </c>
      <c r="AV607" s="76"/>
      <c r="AW607" s="37"/>
      <c r="AX607" s="89">
        <f>tbl_estimated_costs_quantities[[#This Row],[Accessibility Adaptations]]*BOQs!$L$16</f>
        <v>0</v>
      </c>
      <c r="AY607" s="86" t="str">
        <f>IF(tbl_estimated_costs_quantities[[#This Row],[Total cost]]&lt;&gt;0,tbl_estimated_costs_quantities[[#This Row],[Total cost]]/BOQs!$A$1,"")</f>
        <v/>
      </c>
      <c r="AZ607" s="37"/>
      <c r="BA607" s="37"/>
      <c r="BB607" s="37"/>
      <c r="BC607" s="37"/>
      <c r="BD607" s="41"/>
      <c r="BE607" s="37"/>
      <c r="BF607" s="37"/>
      <c r="BG607" s="37"/>
      <c r="BH607" s="41"/>
    </row>
    <row r="608" spans="2:60" ht="25.15" customHeight="1" x14ac:dyDescent="0.25">
      <c r="B608" s="49">
        <v>604</v>
      </c>
      <c r="C608" s="37"/>
      <c r="D608" s="41"/>
      <c r="E608" s="40"/>
      <c r="F608" s="87" t="str">
        <f>IF(tbl_estimated_costs_quantities[[#This Row],[House Code]]&lt;&gt;"",INDEX(tbl_Assessment[],MATCH(tbl_estimated_costs_quantities[[#This Row],[House Code]],tbl_Assessment[House Code],0),3),"")</f>
        <v/>
      </c>
      <c r="G608" s="115" t="str">
        <f>IF(tbl_estimated_costs_quantities[[#This Row],[House Code]]&lt;&gt;"",INDEX(tbl_Assessment[],MATCH(tbl_estimated_costs_quantities[[#This Row],[House Code]],tbl_Assessment[House Code],0),9),"")</f>
        <v/>
      </c>
      <c r="H60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8" s="75"/>
      <c r="J608" s="37"/>
      <c r="K608" s="86">
        <f>tbl_estimated_costs_quantities[[#This Row],[Site Preparation]]*BOQs!$L$3</f>
        <v>0</v>
      </c>
      <c r="L608" s="76"/>
      <c r="M608" s="37"/>
      <c r="N608" s="86">
        <f>tbl_estimated_costs_quantities[[#This Row],[Demolition Removal Unsafe Structures]]*BOQs!$L$4</f>
        <v>0</v>
      </c>
      <c r="O608" s="76"/>
      <c r="P608" s="37"/>
      <c r="Q608" s="86">
        <f>tbl_estimated_costs_quantities[[#This Row],[Concrete Works]]*BOQs!$L$5</f>
        <v>0</v>
      </c>
      <c r="R608" s="76"/>
      <c r="S608" s="37"/>
      <c r="T608" s="86">
        <f>tbl_estimated_costs_quantities[[#This Row],[Closure External Openings Walls Windows]]*BOQs!$L$6</f>
        <v>0</v>
      </c>
      <c r="U608" s="76"/>
      <c r="V608" s="37"/>
      <c r="W608" s="86">
        <f>tbl_estimated_costs_quantities[[#This Row],[Plastering Painting]]*BOQs!$L$7</f>
        <v>0</v>
      </c>
      <c r="X608" s="76"/>
      <c r="Y608" s="37"/>
      <c r="Z608" s="86">
        <f>tbl_estimated_costs_quantities[[#This Row],[Floor Repairs]]*BOQs!$L$8</f>
        <v>0</v>
      </c>
      <c r="AA608" s="76"/>
      <c r="AB608" s="37"/>
      <c r="AC608" s="86">
        <f>tbl_estimated_costs_quantities[[#This Row],[Doors Replacement Repair]]*BOQs!$L$9</f>
        <v>0</v>
      </c>
      <c r="AD608" s="76"/>
      <c r="AE608" s="37"/>
      <c r="AF608" s="86">
        <f>tbl_estimated_costs_quantities[[#This Row],[Windows Replacement Repair]]*BOQs!$L$10</f>
        <v>0</v>
      </c>
      <c r="AG608" s="76"/>
      <c r="AH608" s="37"/>
      <c r="AI608" s="86">
        <f>tbl_estimated_costs_quantities[[#This Row],[Bathroom Rehabilitation]]*BOQs!$L$11</f>
        <v>0</v>
      </c>
      <c r="AJ608" s="76"/>
      <c r="AK608" s="37"/>
      <c r="AL608" s="86">
        <f>tbl_estimated_costs_quantities[[#This Row],[Ceramic Tile Works WASH]]*BOQs!$L$12</f>
        <v>0</v>
      </c>
      <c r="AM608" s="76"/>
      <c r="AN608" s="37"/>
      <c r="AO608" s="86">
        <f>tbl_estimated_costs_quantities[[#This Row],[Electrical Repairs Lighting]]*BOQs!$L$13</f>
        <v>0</v>
      </c>
      <c r="AP608" s="76"/>
      <c r="AQ608" s="37"/>
      <c r="AR608" s="86">
        <f>tbl_estimated_costs_quantities[[#This Row],[Roof Insulation Leak Sealing]]*BOQs!$L$14</f>
        <v>0</v>
      </c>
      <c r="AS608" s="76"/>
      <c r="AT608" s="37"/>
      <c r="AU608" s="86">
        <f>tbl_estimated_costs_quantities[[#This Row],[Chimney Duct Cleaning Repair]]*BOQs!$L$15</f>
        <v>0</v>
      </c>
      <c r="AV608" s="76"/>
      <c r="AW608" s="37"/>
      <c r="AX608" s="89">
        <f>tbl_estimated_costs_quantities[[#This Row],[Accessibility Adaptations]]*BOQs!$L$16</f>
        <v>0</v>
      </c>
      <c r="AY608" s="86" t="str">
        <f>IF(tbl_estimated_costs_quantities[[#This Row],[Total cost]]&lt;&gt;0,tbl_estimated_costs_quantities[[#This Row],[Total cost]]/BOQs!$A$1,"")</f>
        <v/>
      </c>
      <c r="AZ608" s="37"/>
      <c r="BA608" s="37"/>
      <c r="BB608" s="37"/>
      <c r="BC608" s="37"/>
      <c r="BD608" s="41"/>
      <c r="BE608" s="37"/>
      <c r="BF608" s="37"/>
      <c r="BG608" s="37"/>
      <c r="BH608" s="41"/>
    </row>
    <row r="609" spans="2:60" ht="25.15" customHeight="1" x14ac:dyDescent="0.25">
      <c r="B609" s="49">
        <v>605</v>
      </c>
      <c r="C609" s="37"/>
      <c r="D609" s="41"/>
      <c r="E609" s="40"/>
      <c r="F609" s="87" t="str">
        <f>IF(tbl_estimated_costs_quantities[[#This Row],[House Code]]&lt;&gt;"",INDEX(tbl_Assessment[],MATCH(tbl_estimated_costs_quantities[[#This Row],[House Code]],tbl_Assessment[House Code],0),3),"")</f>
        <v/>
      </c>
      <c r="G609" s="115" t="str">
        <f>IF(tbl_estimated_costs_quantities[[#This Row],[House Code]]&lt;&gt;"",INDEX(tbl_Assessment[],MATCH(tbl_estimated_costs_quantities[[#This Row],[House Code]],tbl_Assessment[House Code],0),9),"")</f>
        <v/>
      </c>
      <c r="H60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09" s="75"/>
      <c r="J609" s="37"/>
      <c r="K609" s="86">
        <f>tbl_estimated_costs_quantities[[#This Row],[Site Preparation]]*BOQs!$L$3</f>
        <v>0</v>
      </c>
      <c r="L609" s="76"/>
      <c r="M609" s="37"/>
      <c r="N609" s="86">
        <f>tbl_estimated_costs_quantities[[#This Row],[Demolition Removal Unsafe Structures]]*BOQs!$L$4</f>
        <v>0</v>
      </c>
      <c r="O609" s="76"/>
      <c r="P609" s="37"/>
      <c r="Q609" s="86">
        <f>tbl_estimated_costs_quantities[[#This Row],[Concrete Works]]*BOQs!$L$5</f>
        <v>0</v>
      </c>
      <c r="R609" s="76"/>
      <c r="S609" s="37"/>
      <c r="T609" s="86">
        <f>tbl_estimated_costs_quantities[[#This Row],[Closure External Openings Walls Windows]]*BOQs!$L$6</f>
        <v>0</v>
      </c>
      <c r="U609" s="76"/>
      <c r="V609" s="37"/>
      <c r="W609" s="86">
        <f>tbl_estimated_costs_quantities[[#This Row],[Plastering Painting]]*BOQs!$L$7</f>
        <v>0</v>
      </c>
      <c r="X609" s="76"/>
      <c r="Y609" s="37"/>
      <c r="Z609" s="86">
        <f>tbl_estimated_costs_quantities[[#This Row],[Floor Repairs]]*BOQs!$L$8</f>
        <v>0</v>
      </c>
      <c r="AA609" s="76"/>
      <c r="AB609" s="37"/>
      <c r="AC609" s="86">
        <f>tbl_estimated_costs_quantities[[#This Row],[Doors Replacement Repair]]*BOQs!$L$9</f>
        <v>0</v>
      </c>
      <c r="AD609" s="76"/>
      <c r="AE609" s="37"/>
      <c r="AF609" s="86">
        <f>tbl_estimated_costs_quantities[[#This Row],[Windows Replacement Repair]]*BOQs!$L$10</f>
        <v>0</v>
      </c>
      <c r="AG609" s="76"/>
      <c r="AH609" s="37"/>
      <c r="AI609" s="86">
        <f>tbl_estimated_costs_quantities[[#This Row],[Bathroom Rehabilitation]]*BOQs!$L$11</f>
        <v>0</v>
      </c>
      <c r="AJ609" s="76"/>
      <c r="AK609" s="37"/>
      <c r="AL609" s="86">
        <f>tbl_estimated_costs_quantities[[#This Row],[Ceramic Tile Works WASH]]*BOQs!$L$12</f>
        <v>0</v>
      </c>
      <c r="AM609" s="76"/>
      <c r="AN609" s="37"/>
      <c r="AO609" s="86">
        <f>tbl_estimated_costs_quantities[[#This Row],[Electrical Repairs Lighting]]*BOQs!$L$13</f>
        <v>0</v>
      </c>
      <c r="AP609" s="76"/>
      <c r="AQ609" s="37"/>
      <c r="AR609" s="86">
        <f>tbl_estimated_costs_quantities[[#This Row],[Roof Insulation Leak Sealing]]*BOQs!$L$14</f>
        <v>0</v>
      </c>
      <c r="AS609" s="76"/>
      <c r="AT609" s="37"/>
      <c r="AU609" s="86">
        <f>tbl_estimated_costs_quantities[[#This Row],[Chimney Duct Cleaning Repair]]*BOQs!$L$15</f>
        <v>0</v>
      </c>
      <c r="AV609" s="76"/>
      <c r="AW609" s="37"/>
      <c r="AX609" s="89">
        <f>tbl_estimated_costs_quantities[[#This Row],[Accessibility Adaptations]]*BOQs!$L$16</f>
        <v>0</v>
      </c>
      <c r="AY609" s="86" t="str">
        <f>IF(tbl_estimated_costs_quantities[[#This Row],[Total cost]]&lt;&gt;0,tbl_estimated_costs_quantities[[#This Row],[Total cost]]/BOQs!$A$1,"")</f>
        <v/>
      </c>
      <c r="AZ609" s="37"/>
      <c r="BA609" s="37"/>
      <c r="BB609" s="37"/>
      <c r="BC609" s="37"/>
      <c r="BD609" s="41"/>
      <c r="BE609" s="37"/>
      <c r="BF609" s="37"/>
      <c r="BG609" s="37"/>
      <c r="BH609" s="41"/>
    </row>
    <row r="610" spans="2:60" ht="25.15" customHeight="1" x14ac:dyDescent="0.25">
      <c r="B610" s="49">
        <v>606</v>
      </c>
      <c r="C610" s="37"/>
      <c r="D610" s="41"/>
      <c r="E610" s="40"/>
      <c r="F610" s="87" t="str">
        <f>IF(tbl_estimated_costs_quantities[[#This Row],[House Code]]&lt;&gt;"",INDEX(tbl_Assessment[],MATCH(tbl_estimated_costs_quantities[[#This Row],[House Code]],tbl_Assessment[House Code],0),3),"")</f>
        <v/>
      </c>
      <c r="G610" s="115" t="str">
        <f>IF(tbl_estimated_costs_quantities[[#This Row],[House Code]]&lt;&gt;"",INDEX(tbl_Assessment[],MATCH(tbl_estimated_costs_quantities[[#This Row],[House Code]],tbl_Assessment[House Code],0),9),"")</f>
        <v/>
      </c>
      <c r="H61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0" s="75"/>
      <c r="J610" s="37"/>
      <c r="K610" s="86">
        <f>tbl_estimated_costs_quantities[[#This Row],[Site Preparation]]*BOQs!$L$3</f>
        <v>0</v>
      </c>
      <c r="L610" s="76"/>
      <c r="M610" s="37"/>
      <c r="N610" s="86">
        <f>tbl_estimated_costs_quantities[[#This Row],[Demolition Removal Unsafe Structures]]*BOQs!$L$4</f>
        <v>0</v>
      </c>
      <c r="O610" s="76"/>
      <c r="P610" s="37"/>
      <c r="Q610" s="86">
        <f>tbl_estimated_costs_quantities[[#This Row],[Concrete Works]]*BOQs!$L$5</f>
        <v>0</v>
      </c>
      <c r="R610" s="76"/>
      <c r="S610" s="37"/>
      <c r="T610" s="86">
        <f>tbl_estimated_costs_quantities[[#This Row],[Closure External Openings Walls Windows]]*BOQs!$L$6</f>
        <v>0</v>
      </c>
      <c r="U610" s="76"/>
      <c r="V610" s="37"/>
      <c r="W610" s="86">
        <f>tbl_estimated_costs_quantities[[#This Row],[Plastering Painting]]*BOQs!$L$7</f>
        <v>0</v>
      </c>
      <c r="X610" s="76"/>
      <c r="Y610" s="37"/>
      <c r="Z610" s="86">
        <f>tbl_estimated_costs_quantities[[#This Row],[Floor Repairs]]*BOQs!$L$8</f>
        <v>0</v>
      </c>
      <c r="AA610" s="76"/>
      <c r="AB610" s="37"/>
      <c r="AC610" s="86">
        <f>tbl_estimated_costs_quantities[[#This Row],[Doors Replacement Repair]]*BOQs!$L$9</f>
        <v>0</v>
      </c>
      <c r="AD610" s="76"/>
      <c r="AE610" s="37"/>
      <c r="AF610" s="86">
        <f>tbl_estimated_costs_quantities[[#This Row],[Windows Replacement Repair]]*BOQs!$L$10</f>
        <v>0</v>
      </c>
      <c r="AG610" s="76"/>
      <c r="AH610" s="37"/>
      <c r="AI610" s="86">
        <f>tbl_estimated_costs_quantities[[#This Row],[Bathroom Rehabilitation]]*BOQs!$L$11</f>
        <v>0</v>
      </c>
      <c r="AJ610" s="76"/>
      <c r="AK610" s="37"/>
      <c r="AL610" s="86">
        <f>tbl_estimated_costs_quantities[[#This Row],[Ceramic Tile Works WASH]]*BOQs!$L$12</f>
        <v>0</v>
      </c>
      <c r="AM610" s="76"/>
      <c r="AN610" s="37"/>
      <c r="AO610" s="86">
        <f>tbl_estimated_costs_quantities[[#This Row],[Electrical Repairs Lighting]]*BOQs!$L$13</f>
        <v>0</v>
      </c>
      <c r="AP610" s="76"/>
      <c r="AQ610" s="37"/>
      <c r="AR610" s="86">
        <f>tbl_estimated_costs_quantities[[#This Row],[Roof Insulation Leak Sealing]]*BOQs!$L$14</f>
        <v>0</v>
      </c>
      <c r="AS610" s="76"/>
      <c r="AT610" s="37"/>
      <c r="AU610" s="86">
        <f>tbl_estimated_costs_quantities[[#This Row],[Chimney Duct Cleaning Repair]]*BOQs!$L$15</f>
        <v>0</v>
      </c>
      <c r="AV610" s="76"/>
      <c r="AW610" s="37"/>
      <c r="AX610" s="89">
        <f>tbl_estimated_costs_quantities[[#This Row],[Accessibility Adaptations]]*BOQs!$L$16</f>
        <v>0</v>
      </c>
      <c r="AY610" s="86" t="str">
        <f>IF(tbl_estimated_costs_quantities[[#This Row],[Total cost]]&lt;&gt;0,tbl_estimated_costs_quantities[[#This Row],[Total cost]]/BOQs!$A$1,"")</f>
        <v/>
      </c>
      <c r="AZ610" s="37"/>
      <c r="BA610" s="37"/>
      <c r="BB610" s="37"/>
      <c r="BC610" s="37"/>
      <c r="BD610" s="41"/>
      <c r="BE610" s="37"/>
      <c r="BF610" s="37"/>
      <c r="BG610" s="37"/>
      <c r="BH610" s="41"/>
    </row>
    <row r="611" spans="2:60" ht="25.15" customHeight="1" x14ac:dyDescent="0.25">
      <c r="B611" s="49">
        <v>607</v>
      </c>
      <c r="C611" s="37"/>
      <c r="D611" s="41"/>
      <c r="E611" s="40"/>
      <c r="F611" s="87" t="str">
        <f>IF(tbl_estimated_costs_quantities[[#This Row],[House Code]]&lt;&gt;"",INDEX(tbl_Assessment[],MATCH(tbl_estimated_costs_quantities[[#This Row],[House Code]],tbl_Assessment[House Code],0),3),"")</f>
        <v/>
      </c>
      <c r="G611" s="115" t="str">
        <f>IF(tbl_estimated_costs_quantities[[#This Row],[House Code]]&lt;&gt;"",INDEX(tbl_Assessment[],MATCH(tbl_estimated_costs_quantities[[#This Row],[House Code]],tbl_Assessment[House Code],0),9),"")</f>
        <v/>
      </c>
      <c r="H61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1" s="75"/>
      <c r="J611" s="37"/>
      <c r="K611" s="86">
        <f>tbl_estimated_costs_quantities[[#This Row],[Site Preparation]]*BOQs!$L$3</f>
        <v>0</v>
      </c>
      <c r="L611" s="76"/>
      <c r="M611" s="37"/>
      <c r="N611" s="86">
        <f>tbl_estimated_costs_quantities[[#This Row],[Demolition Removal Unsafe Structures]]*BOQs!$L$4</f>
        <v>0</v>
      </c>
      <c r="O611" s="76"/>
      <c r="P611" s="37"/>
      <c r="Q611" s="86">
        <f>tbl_estimated_costs_quantities[[#This Row],[Concrete Works]]*BOQs!$L$5</f>
        <v>0</v>
      </c>
      <c r="R611" s="76"/>
      <c r="S611" s="37"/>
      <c r="T611" s="86">
        <f>tbl_estimated_costs_quantities[[#This Row],[Closure External Openings Walls Windows]]*BOQs!$L$6</f>
        <v>0</v>
      </c>
      <c r="U611" s="76"/>
      <c r="V611" s="37"/>
      <c r="W611" s="86">
        <f>tbl_estimated_costs_quantities[[#This Row],[Plastering Painting]]*BOQs!$L$7</f>
        <v>0</v>
      </c>
      <c r="X611" s="76"/>
      <c r="Y611" s="37"/>
      <c r="Z611" s="86">
        <f>tbl_estimated_costs_quantities[[#This Row],[Floor Repairs]]*BOQs!$L$8</f>
        <v>0</v>
      </c>
      <c r="AA611" s="76"/>
      <c r="AB611" s="37"/>
      <c r="AC611" s="86">
        <f>tbl_estimated_costs_quantities[[#This Row],[Doors Replacement Repair]]*BOQs!$L$9</f>
        <v>0</v>
      </c>
      <c r="AD611" s="76"/>
      <c r="AE611" s="37"/>
      <c r="AF611" s="86">
        <f>tbl_estimated_costs_quantities[[#This Row],[Windows Replacement Repair]]*BOQs!$L$10</f>
        <v>0</v>
      </c>
      <c r="AG611" s="76"/>
      <c r="AH611" s="37"/>
      <c r="AI611" s="86">
        <f>tbl_estimated_costs_quantities[[#This Row],[Bathroom Rehabilitation]]*BOQs!$L$11</f>
        <v>0</v>
      </c>
      <c r="AJ611" s="76"/>
      <c r="AK611" s="37"/>
      <c r="AL611" s="86">
        <f>tbl_estimated_costs_quantities[[#This Row],[Ceramic Tile Works WASH]]*BOQs!$L$12</f>
        <v>0</v>
      </c>
      <c r="AM611" s="76"/>
      <c r="AN611" s="37"/>
      <c r="AO611" s="86">
        <f>tbl_estimated_costs_quantities[[#This Row],[Electrical Repairs Lighting]]*BOQs!$L$13</f>
        <v>0</v>
      </c>
      <c r="AP611" s="76"/>
      <c r="AQ611" s="37"/>
      <c r="AR611" s="86">
        <f>tbl_estimated_costs_quantities[[#This Row],[Roof Insulation Leak Sealing]]*BOQs!$L$14</f>
        <v>0</v>
      </c>
      <c r="AS611" s="76"/>
      <c r="AT611" s="37"/>
      <c r="AU611" s="86">
        <f>tbl_estimated_costs_quantities[[#This Row],[Chimney Duct Cleaning Repair]]*BOQs!$L$15</f>
        <v>0</v>
      </c>
      <c r="AV611" s="76"/>
      <c r="AW611" s="37"/>
      <c r="AX611" s="89">
        <f>tbl_estimated_costs_quantities[[#This Row],[Accessibility Adaptations]]*BOQs!$L$16</f>
        <v>0</v>
      </c>
      <c r="AY611" s="86" t="str">
        <f>IF(tbl_estimated_costs_quantities[[#This Row],[Total cost]]&lt;&gt;0,tbl_estimated_costs_quantities[[#This Row],[Total cost]]/BOQs!$A$1,"")</f>
        <v/>
      </c>
      <c r="AZ611" s="37"/>
      <c r="BA611" s="37"/>
      <c r="BB611" s="37"/>
      <c r="BC611" s="37"/>
      <c r="BD611" s="41"/>
      <c r="BE611" s="37"/>
      <c r="BF611" s="37"/>
      <c r="BG611" s="37"/>
      <c r="BH611" s="41"/>
    </row>
    <row r="612" spans="2:60" ht="25.15" customHeight="1" x14ac:dyDescent="0.25">
      <c r="B612" s="49">
        <v>608</v>
      </c>
      <c r="C612" s="37"/>
      <c r="D612" s="41"/>
      <c r="E612" s="40"/>
      <c r="F612" s="87" t="str">
        <f>IF(tbl_estimated_costs_quantities[[#This Row],[House Code]]&lt;&gt;"",INDEX(tbl_Assessment[],MATCH(tbl_estimated_costs_quantities[[#This Row],[House Code]],tbl_Assessment[House Code],0),3),"")</f>
        <v/>
      </c>
      <c r="G612" s="115" t="str">
        <f>IF(tbl_estimated_costs_quantities[[#This Row],[House Code]]&lt;&gt;"",INDEX(tbl_Assessment[],MATCH(tbl_estimated_costs_quantities[[#This Row],[House Code]],tbl_Assessment[House Code],0),9),"")</f>
        <v/>
      </c>
      <c r="H61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2" s="75"/>
      <c r="J612" s="37"/>
      <c r="K612" s="86">
        <f>tbl_estimated_costs_quantities[[#This Row],[Site Preparation]]*BOQs!$L$3</f>
        <v>0</v>
      </c>
      <c r="L612" s="76"/>
      <c r="M612" s="37"/>
      <c r="N612" s="86">
        <f>tbl_estimated_costs_quantities[[#This Row],[Demolition Removal Unsafe Structures]]*BOQs!$L$4</f>
        <v>0</v>
      </c>
      <c r="O612" s="76"/>
      <c r="P612" s="37"/>
      <c r="Q612" s="86">
        <f>tbl_estimated_costs_quantities[[#This Row],[Concrete Works]]*BOQs!$L$5</f>
        <v>0</v>
      </c>
      <c r="R612" s="76"/>
      <c r="S612" s="37"/>
      <c r="T612" s="86">
        <f>tbl_estimated_costs_quantities[[#This Row],[Closure External Openings Walls Windows]]*BOQs!$L$6</f>
        <v>0</v>
      </c>
      <c r="U612" s="76"/>
      <c r="V612" s="37"/>
      <c r="W612" s="86">
        <f>tbl_estimated_costs_quantities[[#This Row],[Plastering Painting]]*BOQs!$L$7</f>
        <v>0</v>
      </c>
      <c r="X612" s="76"/>
      <c r="Y612" s="37"/>
      <c r="Z612" s="86">
        <f>tbl_estimated_costs_quantities[[#This Row],[Floor Repairs]]*BOQs!$L$8</f>
        <v>0</v>
      </c>
      <c r="AA612" s="76"/>
      <c r="AB612" s="37"/>
      <c r="AC612" s="86">
        <f>tbl_estimated_costs_quantities[[#This Row],[Doors Replacement Repair]]*BOQs!$L$9</f>
        <v>0</v>
      </c>
      <c r="AD612" s="76"/>
      <c r="AE612" s="37"/>
      <c r="AF612" s="86">
        <f>tbl_estimated_costs_quantities[[#This Row],[Windows Replacement Repair]]*BOQs!$L$10</f>
        <v>0</v>
      </c>
      <c r="AG612" s="76"/>
      <c r="AH612" s="37"/>
      <c r="AI612" s="86">
        <f>tbl_estimated_costs_quantities[[#This Row],[Bathroom Rehabilitation]]*BOQs!$L$11</f>
        <v>0</v>
      </c>
      <c r="AJ612" s="76"/>
      <c r="AK612" s="37"/>
      <c r="AL612" s="86">
        <f>tbl_estimated_costs_quantities[[#This Row],[Ceramic Tile Works WASH]]*BOQs!$L$12</f>
        <v>0</v>
      </c>
      <c r="AM612" s="76"/>
      <c r="AN612" s="37"/>
      <c r="AO612" s="86">
        <f>tbl_estimated_costs_quantities[[#This Row],[Electrical Repairs Lighting]]*BOQs!$L$13</f>
        <v>0</v>
      </c>
      <c r="AP612" s="76"/>
      <c r="AQ612" s="37"/>
      <c r="AR612" s="86">
        <f>tbl_estimated_costs_quantities[[#This Row],[Roof Insulation Leak Sealing]]*BOQs!$L$14</f>
        <v>0</v>
      </c>
      <c r="AS612" s="76"/>
      <c r="AT612" s="37"/>
      <c r="AU612" s="86">
        <f>tbl_estimated_costs_quantities[[#This Row],[Chimney Duct Cleaning Repair]]*BOQs!$L$15</f>
        <v>0</v>
      </c>
      <c r="AV612" s="76"/>
      <c r="AW612" s="37"/>
      <c r="AX612" s="89">
        <f>tbl_estimated_costs_quantities[[#This Row],[Accessibility Adaptations]]*BOQs!$L$16</f>
        <v>0</v>
      </c>
      <c r="AY612" s="86" t="str">
        <f>IF(tbl_estimated_costs_quantities[[#This Row],[Total cost]]&lt;&gt;0,tbl_estimated_costs_quantities[[#This Row],[Total cost]]/BOQs!$A$1,"")</f>
        <v/>
      </c>
      <c r="AZ612" s="37"/>
      <c r="BA612" s="37"/>
      <c r="BB612" s="37"/>
      <c r="BC612" s="37"/>
      <c r="BD612" s="41"/>
      <c r="BE612" s="37"/>
      <c r="BF612" s="37"/>
      <c r="BG612" s="37"/>
      <c r="BH612" s="41"/>
    </row>
    <row r="613" spans="2:60" ht="25.15" customHeight="1" x14ac:dyDescent="0.25">
      <c r="B613" s="49">
        <v>609</v>
      </c>
      <c r="C613" s="37"/>
      <c r="D613" s="41"/>
      <c r="E613" s="40"/>
      <c r="F613" s="87" t="str">
        <f>IF(tbl_estimated_costs_quantities[[#This Row],[House Code]]&lt;&gt;"",INDEX(tbl_Assessment[],MATCH(tbl_estimated_costs_quantities[[#This Row],[House Code]],tbl_Assessment[House Code],0),3),"")</f>
        <v/>
      </c>
      <c r="G613" s="115" t="str">
        <f>IF(tbl_estimated_costs_quantities[[#This Row],[House Code]]&lt;&gt;"",INDEX(tbl_Assessment[],MATCH(tbl_estimated_costs_quantities[[#This Row],[House Code]],tbl_Assessment[House Code],0),9),"")</f>
        <v/>
      </c>
      <c r="H61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3" s="75"/>
      <c r="J613" s="37"/>
      <c r="K613" s="86">
        <f>tbl_estimated_costs_quantities[[#This Row],[Site Preparation]]*BOQs!$L$3</f>
        <v>0</v>
      </c>
      <c r="L613" s="76"/>
      <c r="M613" s="37"/>
      <c r="N613" s="86">
        <f>tbl_estimated_costs_quantities[[#This Row],[Demolition Removal Unsafe Structures]]*BOQs!$L$4</f>
        <v>0</v>
      </c>
      <c r="O613" s="76"/>
      <c r="P613" s="37"/>
      <c r="Q613" s="86">
        <f>tbl_estimated_costs_quantities[[#This Row],[Concrete Works]]*BOQs!$L$5</f>
        <v>0</v>
      </c>
      <c r="R613" s="76"/>
      <c r="S613" s="37"/>
      <c r="T613" s="86">
        <f>tbl_estimated_costs_quantities[[#This Row],[Closure External Openings Walls Windows]]*BOQs!$L$6</f>
        <v>0</v>
      </c>
      <c r="U613" s="76"/>
      <c r="V613" s="37"/>
      <c r="W613" s="86">
        <f>tbl_estimated_costs_quantities[[#This Row],[Plastering Painting]]*BOQs!$L$7</f>
        <v>0</v>
      </c>
      <c r="X613" s="76"/>
      <c r="Y613" s="37"/>
      <c r="Z613" s="86">
        <f>tbl_estimated_costs_quantities[[#This Row],[Floor Repairs]]*BOQs!$L$8</f>
        <v>0</v>
      </c>
      <c r="AA613" s="76"/>
      <c r="AB613" s="37"/>
      <c r="AC613" s="86">
        <f>tbl_estimated_costs_quantities[[#This Row],[Doors Replacement Repair]]*BOQs!$L$9</f>
        <v>0</v>
      </c>
      <c r="AD613" s="76"/>
      <c r="AE613" s="37"/>
      <c r="AF613" s="86">
        <f>tbl_estimated_costs_quantities[[#This Row],[Windows Replacement Repair]]*BOQs!$L$10</f>
        <v>0</v>
      </c>
      <c r="AG613" s="76"/>
      <c r="AH613" s="37"/>
      <c r="AI613" s="86">
        <f>tbl_estimated_costs_quantities[[#This Row],[Bathroom Rehabilitation]]*BOQs!$L$11</f>
        <v>0</v>
      </c>
      <c r="AJ613" s="76"/>
      <c r="AK613" s="37"/>
      <c r="AL613" s="86">
        <f>tbl_estimated_costs_quantities[[#This Row],[Ceramic Tile Works WASH]]*BOQs!$L$12</f>
        <v>0</v>
      </c>
      <c r="AM613" s="76"/>
      <c r="AN613" s="37"/>
      <c r="AO613" s="86">
        <f>tbl_estimated_costs_quantities[[#This Row],[Electrical Repairs Lighting]]*BOQs!$L$13</f>
        <v>0</v>
      </c>
      <c r="AP613" s="76"/>
      <c r="AQ613" s="37"/>
      <c r="AR613" s="86">
        <f>tbl_estimated_costs_quantities[[#This Row],[Roof Insulation Leak Sealing]]*BOQs!$L$14</f>
        <v>0</v>
      </c>
      <c r="AS613" s="76"/>
      <c r="AT613" s="37"/>
      <c r="AU613" s="86">
        <f>tbl_estimated_costs_quantities[[#This Row],[Chimney Duct Cleaning Repair]]*BOQs!$L$15</f>
        <v>0</v>
      </c>
      <c r="AV613" s="76"/>
      <c r="AW613" s="37"/>
      <c r="AX613" s="89">
        <f>tbl_estimated_costs_quantities[[#This Row],[Accessibility Adaptations]]*BOQs!$L$16</f>
        <v>0</v>
      </c>
      <c r="AY613" s="86" t="str">
        <f>IF(tbl_estimated_costs_quantities[[#This Row],[Total cost]]&lt;&gt;0,tbl_estimated_costs_quantities[[#This Row],[Total cost]]/BOQs!$A$1,"")</f>
        <v/>
      </c>
      <c r="AZ613" s="37"/>
      <c r="BA613" s="37"/>
      <c r="BB613" s="37"/>
      <c r="BC613" s="37"/>
      <c r="BD613" s="41"/>
      <c r="BE613" s="37"/>
      <c r="BF613" s="37"/>
      <c r="BG613" s="37"/>
      <c r="BH613" s="41"/>
    </row>
    <row r="614" spans="2:60" ht="25.15" customHeight="1" x14ac:dyDescent="0.25">
      <c r="B614" s="49">
        <v>610</v>
      </c>
      <c r="C614" s="37"/>
      <c r="D614" s="41"/>
      <c r="E614" s="40"/>
      <c r="F614" s="87" t="str">
        <f>IF(tbl_estimated_costs_quantities[[#This Row],[House Code]]&lt;&gt;"",INDEX(tbl_Assessment[],MATCH(tbl_estimated_costs_quantities[[#This Row],[House Code]],tbl_Assessment[House Code],0),3),"")</f>
        <v/>
      </c>
      <c r="G614" s="115" t="str">
        <f>IF(tbl_estimated_costs_quantities[[#This Row],[House Code]]&lt;&gt;"",INDEX(tbl_Assessment[],MATCH(tbl_estimated_costs_quantities[[#This Row],[House Code]],tbl_Assessment[House Code],0),9),"")</f>
        <v/>
      </c>
      <c r="H61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4" s="75"/>
      <c r="J614" s="37"/>
      <c r="K614" s="86">
        <f>tbl_estimated_costs_quantities[[#This Row],[Site Preparation]]*BOQs!$L$3</f>
        <v>0</v>
      </c>
      <c r="L614" s="76"/>
      <c r="M614" s="37"/>
      <c r="N614" s="86">
        <f>tbl_estimated_costs_quantities[[#This Row],[Demolition Removal Unsafe Structures]]*BOQs!$L$4</f>
        <v>0</v>
      </c>
      <c r="O614" s="76"/>
      <c r="P614" s="37"/>
      <c r="Q614" s="86">
        <f>tbl_estimated_costs_quantities[[#This Row],[Concrete Works]]*BOQs!$L$5</f>
        <v>0</v>
      </c>
      <c r="R614" s="76"/>
      <c r="S614" s="37"/>
      <c r="T614" s="86">
        <f>tbl_estimated_costs_quantities[[#This Row],[Closure External Openings Walls Windows]]*BOQs!$L$6</f>
        <v>0</v>
      </c>
      <c r="U614" s="76"/>
      <c r="V614" s="37"/>
      <c r="W614" s="86">
        <f>tbl_estimated_costs_quantities[[#This Row],[Plastering Painting]]*BOQs!$L$7</f>
        <v>0</v>
      </c>
      <c r="X614" s="76"/>
      <c r="Y614" s="37"/>
      <c r="Z614" s="86">
        <f>tbl_estimated_costs_quantities[[#This Row],[Floor Repairs]]*BOQs!$L$8</f>
        <v>0</v>
      </c>
      <c r="AA614" s="76"/>
      <c r="AB614" s="37"/>
      <c r="AC614" s="86">
        <f>tbl_estimated_costs_quantities[[#This Row],[Doors Replacement Repair]]*BOQs!$L$9</f>
        <v>0</v>
      </c>
      <c r="AD614" s="76"/>
      <c r="AE614" s="37"/>
      <c r="AF614" s="86">
        <f>tbl_estimated_costs_quantities[[#This Row],[Windows Replacement Repair]]*BOQs!$L$10</f>
        <v>0</v>
      </c>
      <c r="AG614" s="76"/>
      <c r="AH614" s="37"/>
      <c r="AI614" s="86">
        <f>tbl_estimated_costs_quantities[[#This Row],[Bathroom Rehabilitation]]*BOQs!$L$11</f>
        <v>0</v>
      </c>
      <c r="AJ614" s="76"/>
      <c r="AK614" s="37"/>
      <c r="AL614" s="86">
        <f>tbl_estimated_costs_quantities[[#This Row],[Ceramic Tile Works WASH]]*BOQs!$L$12</f>
        <v>0</v>
      </c>
      <c r="AM614" s="76"/>
      <c r="AN614" s="37"/>
      <c r="AO614" s="86">
        <f>tbl_estimated_costs_quantities[[#This Row],[Electrical Repairs Lighting]]*BOQs!$L$13</f>
        <v>0</v>
      </c>
      <c r="AP614" s="76"/>
      <c r="AQ614" s="37"/>
      <c r="AR614" s="86">
        <f>tbl_estimated_costs_quantities[[#This Row],[Roof Insulation Leak Sealing]]*BOQs!$L$14</f>
        <v>0</v>
      </c>
      <c r="AS614" s="76"/>
      <c r="AT614" s="37"/>
      <c r="AU614" s="86">
        <f>tbl_estimated_costs_quantities[[#This Row],[Chimney Duct Cleaning Repair]]*BOQs!$L$15</f>
        <v>0</v>
      </c>
      <c r="AV614" s="76"/>
      <c r="AW614" s="37"/>
      <c r="AX614" s="89">
        <f>tbl_estimated_costs_quantities[[#This Row],[Accessibility Adaptations]]*BOQs!$L$16</f>
        <v>0</v>
      </c>
      <c r="AY614" s="86" t="str">
        <f>IF(tbl_estimated_costs_quantities[[#This Row],[Total cost]]&lt;&gt;0,tbl_estimated_costs_quantities[[#This Row],[Total cost]]/BOQs!$A$1,"")</f>
        <v/>
      </c>
      <c r="AZ614" s="37"/>
      <c r="BA614" s="37"/>
      <c r="BB614" s="37"/>
      <c r="BC614" s="37"/>
      <c r="BD614" s="41"/>
      <c r="BE614" s="37"/>
      <c r="BF614" s="37"/>
      <c r="BG614" s="37"/>
      <c r="BH614" s="41"/>
    </row>
    <row r="615" spans="2:60" ht="25.15" customHeight="1" x14ac:dyDescent="0.25">
      <c r="B615" s="49">
        <v>611</v>
      </c>
      <c r="C615" s="37"/>
      <c r="D615" s="41"/>
      <c r="E615" s="40"/>
      <c r="F615" s="87" t="str">
        <f>IF(tbl_estimated_costs_quantities[[#This Row],[House Code]]&lt;&gt;"",INDEX(tbl_Assessment[],MATCH(tbl_estimated_costs_quantities[[#This Row],[House Code]],tbl_Assessment[House Code],0),3),"")</f>
        <v/>
      </c>
      <c r="G615" s="115" t="str">
        <f>IF(tbl_estimated_costs_quantities[[#This Row],[House Code]]&lt;&gt;"",INDEX(tbl_Assessment[],MATCH(tbl_estimated_costs_quantities[[#This Row],[House Code]],tbl_Assessment[House Code],0),9),"")</f>
        <v/>
      </c>
      <c r="H61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5" s="75"/>
      <c r="J615" s="37"/>
      <c r="K615" s="86">
        <f>tbl_estimated_costs_quantities[[#This Row],[Site Preparation]]*BOQs!$L$3</f>
        <v>0</v>
      </c>
      <c r="L615" s="76"/>
      <c r="M615" s="37"/>
      <c r="N615" s="86">
        <f>tbl_estimated_costs_quantities[[#This Row],[Demolition Removal Unsafe Structures]]*BOQs!$L$4</f>
        <v>0</v>
      </c>
      <c r="O615" s="76"/>
      <c r="P615" s="37"/>
      <c r="Q615" s="86">
        <f>tbl_estimated_costs_quantities[[#This Row],[Concrete Works]]*BOQs!$L$5</f>
        <v>0</v>
      </c>
      <c r="R615" s="76"/>
      <c r="S615" s="37"/>
      <c r="T615" s="86">
        <f>tbl_estimated_costs_quantities[[#This Row],[Closure External Openings Walls Windows]]*BOQs!$L$6</f>
        <v>0</v>
      </c>
      <c r="U615" s="76"/>
      <c r="V615" s="37"/>
      <c r="W615" s="86">
        <f>tbl_estimated_costs_quantities[[#This Row],[Plastering Painting]]*BOQs!$L$7</f>
        <v>0</v>
      </c>
      <c r="X615" s="76"/>
      <c r="Y615" s="37"/>
      <c r="Z615" s="86">
        <f>tbl_estimated_costs_quantities[[#This Row],[Floor Repairs]]*BOQs!$L$8</f>
        <v>0</v>
      </c>
      <c r="AA615" s="76"/>
      <c r="AB615" s="37"/>
      <c r="AC615" s="86">
        <f>tbl_estimated_costs_quantities[[#This Row],[Doors Replacement Repair]]*BOQs!$L$9</f>
        <v>0</v>
      </c>
      <c r="AD615" s="76"/>
      <c r="AE615" s="37"/>
      <c r="AF615" s="86">
        <f>tbl_estimated_costs_quantities[[#This Row],[Windows Replacement Repair]]*BOQs!$L$10</f>
        <v>0</v>
      </c>
      <c r="AG615" s="76"/>
      <c r="AH615" s="37"/>
      <c r="AI615" s="86">
        <f>tbl_estimated_costs_quantities[[#This Row],[Bathroom Rehabilitation]]*BOQs!$L$11</f>
        <v>0</v>
      </c>
      <c r="AJ615" s="76"/>
      <c r="AK615" s="37"/>
      <c r="AL615" s="86">
        <f>tbl_estimated_costs_quantities[[#This Row],[Ceramic Tile Works WASH]]*BOQs!$L$12</f>
        <v>0</v>
      </c>
      <c r="AM615" s="76"/>
      <c r="AN615" s="37"/>
      <c r="AO615" s="86">
        <f>tbl_estimated_costs_quantities[[#This Row],[Electrical Repairs Lighting]]*BOQs!$L$13</f>
        <v>0</v>
      </c>
      <c r="AP615" s="76"/>
      <c r="AQ615" s="37"/>
      <c r="AR615" s="86">
        <f>tbl_estimated_costs_quantities[[#This Row],[Roof Insulation Leak Sealing]]*BOQs!$L$14</f>
        <v>0</v>
      </c>
      <c r="AS615" s="76"/>
      <c r="AT615" s="37"/>
      <c r="AU615" s="86">
        <f>tbl_estimated_costs_quantities[[#This Row],[Chimney Duct Cleaning Repair]]*BOQs!$L$15</f>
        <v>0</v>
      </c>
      <c r="AV615" s="76"/>
      <c r="AW615" s="37"/>
      <c r="AX615" s="89">
        <f>tbl_estimated_costs_quantities[[#This Row],[Accessibility Adaptations]]*BOQs!$L$16</f>
        <v>0</v>
      </c>
      <c r="AY615" s="86" t="str">
        <f>IF(tbl_estimated_costs_quantities[[#This Row],[Total cost]]&lt;&gt;0,tbl_estimated_costs_quantities[[#This Row],[Total cost]]/BOQs!$A$1,"")</f>
        <v/>
      </c>
      <c r="AZ615" s="37"/>
      <c r="BA615" s="37"/>
      <c r="BB615" s="37"/>
      <c r="BC615" s="37"/>
      <c r="BD615" s="41"/>
      <c r="BE615" s="37"/>
      <c r="BF615" s="37"/>
      <c r="BG615" s="37"/>
      <c r="BH615" s="41"/>
    </row>
    <row r="616" spans="2:60" ht="25.15" customHeight="1" x14ac:dyDescent="0.25">
      <c r="B616" s="49">
        <v>612</v>
      </c>
      <c r="C616" s="37"/>
      <c r="D616" s="41"/>
      <c r="E616" s="40"/>
      <c r="F616" s="87" t="str">
        <f>IF(tbl_estimated_costs_quantities[[#This Row],[House Code]]&lt;&gt;"",INDEX(tbl_Assessment[],MATCH(tbl_estimated_costs_quantities[[#This Row],[House Code]],tbl_Assessment[House Code],0),3),"")</f>
        <v/>
      </c>
      <c r="G616" s="115" t="str">
        <f>IF(tbl_estimated_costs_quantities[[#This Row],[House Code]]&lt;&gt;"",INDEX(tbl_Assessment[],MATCH(tbl_estimated_costs_quantities[[#This Row],[House Code]],tbl_Assessment[House Code],0),9),"")</f>
        <v/>
      </c>
      <c r="H61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6" s="75"/>
      <c r="J616" s="37"/>
      <c r="K616" s="86">
        <f>tbl_estimated_costs_quantities[[#This Row],[Site Preparation]]*BOQs!$L$3</f>
        <v>0</v>
      </c>
      <c r="L616" s="76"/>
      <c r="M616" s="37"/>
      <c r="N616" s="86">
        <f>tbl_estimated_costs_quantities[[#This Row],[Demolition Removal Unsafe Structures]]*BOQs!$L$4</f>
        <v>0</v>
      </c>
      <c r="O616" s="76"/>
      <c r="P616" s="37"/>
      <c r="Q616" s="86">
        <f>tbl_estimated_costs_quantities[[#This Row],[Concrete Works]]*BOQs!$L$5</f>
        <v>0</v>
      </c>
      <c r="R616" s="76"/>
      <c r="S616" s="37"/>
      <c r="T616" s="86">
        <f>tbl_estimated_costs_quantities[[#This Row],[Closure External Openings Walls Windows]]*BOQs!$L$6</f>
        <v>0</v>
      </c>
      <c r="U616" s="76"/>
      <c r="V616" s="37"/>
      <c r="W616" s="86">
        <f>tbl_estimated_costs_quantities[[#This Row],[Plastering Painting]]*BOQs!$L$7</f>
        <v>0</v>
      </c>
      <c r="X616" s="76"/>
      <c r="Y616" s="37"/>
      <c r="Z616" s="86">
        <f>tbl_estimated_costs_quantities[[#This Row],[Floor Repairs]]*BOQs!$L$8</f>
        <v>0</v>
      </c>
      <c r="AA616" s="76"/>
      <c r="AB616" s="37"/>
      <c r="AC616" s="86">
        <f>tbl_estimated_costs_quantities[[#This Row],[Doors Replacement Repair]]*BOQs!$L$9</f>
        <v>0</v>
      </c>
      <c r="AD616" s="76"/>
      <c r="AE616" s="37"/>
      <c r="AF616" s="86">
        <f>tbl_estimated_costs_quantities[[#This Row],[Windows Replacement Repair]]*BOQs!$L$10</f>
        <v>0</v>
      </c>
      <c r="AG616" s="76"/>
      <c r="AH616" s="37"/>
      <c r="AI616" s="86">
        <f>tbl_estimated_costs_quantities[[#This Row],[Bathroom Rehabilitation]]*BOQs!$L$11</f>
        <v>0</v>
      </c>
      <c r="AJ616" s="76"/>
      <c r="AK616" s="37"/>
      <c r="AL616" s="86">
        <f>tbl_estimated_costs_quantities[[#This Row],[Ceramic Tile Works WASH]]*BOQs!$L$12</f>
        <v>0</v>
      </c>
      <c r="AM616" s="76"/>
      <c r="AN616" s="37"/>
      <c r="AO616" s="86">
        <f>tbl_estimated_costs_quantities[[#This Row],[Electrical Repairs Lighting]]*BOQs!$L$13</f>
        <v>0</v>
      </c>
      <c r="AP616" s="76"/>
      <c r="AQ616" s="37"/>
      <c r="AR616" s="86">
        <f>tbl_estimated_costs_quantities[[#This Row],[Roof Insulation Leak Sealing]]*BOQs!$L$14</f>
        <v>0</v>
      </c>
      <c r="AS616" s="76"/>
      <c r="AT616" s="37"/>
      <c r="AU616" s="86">
        <f>tbl_estimated_costs_quantities[[#This Row],[Chimney Duct Cleaning Repair]]*BOQs!$L$15</f>
        <v>0</v>
      </c>
      <c r="AV616" s="76"/>
      <c r="AW616" s="37"/>
      <c r="AX616" s="89">
        <f>tbl_estimated_costs_quantities[[#This Row],[Accessibility Adaptations]]*BOQs!$L$16</f>
        <v>0</v>
      </c>
      <c r="AY616" s="86" t="str">
        <f>IF(tbl_estimated_costs_quantities[[#This Row],[Total cost]]&lt;&gt;0,tbl_estimated_costs_quantities[[#This Row],[Total cost]]/BOQs!$A$1,"")</f>
        <v/>
      </c>
      <c r="AZ616" s="37"/>
      <c r="BA616" s="37"/>
      <c r="BB616" s="37"/>
      <c r="BC616" s="37"/>
      <c r="BD616" s="41"/>
      <c r="BE616" s="37"/>
      <c r="BF616" s="37"/>
      <c r="BG616" s="37"/>
      <c r="BH616" s="41"/>
    </row>
    <row r="617" spans="2:60" ht="25.15" customHeight="1" x14ac:dyDescent="0.25">
      <c r="B617" s="49">
        <v>613</v>
      </c>
      <c r="C617" s="37"/>
      <c r="D617" s="41"/>
      <c r="E617" s="40"/>
      <c r="F617" s="87" t="str">
        <f>IF(tbl_estimated_costs_quantities[[#This Row],[House Code]]&lt;&gt;"",INDEX(tbl_Assessment[],MATCH(tbl_estimated_costs_quantities[[#This Row],[House Code]],tbl_Assessment[House Code],0),3),"")</f>
        <v/>
      </c>
      <c r="G617" s="115" t="str">
        <f>IF(tbl_estimated_costs_quantities[[#This Row],[House Code]]&lt;&gt;"",INDEX(tbl_Assessment[],MATCH(tbl_estimated_costs_quantities[[#This Row],[House Code]],tbl_Assessment[House Code],0),9),"")</f>
        <v/>
      </c>
      <c r="H61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7" s="75"/>
      <c r="J617" s="37"/>
      <c r="K617" s="86">
        <f>tbl_estimated_costs_quantities[[#This Row],[Site Preparation]]*BOQs!$L$3</f>
        <v>0</v>
      </c>
      <c r="L617" s="76"/>
      <c r="M617" s="37"/>
      <c r="N617" s="86">
        <f>tbl_estimated_costs_quantities[[#This Row],[Demolition Removal Unsafe Structures]]*BOQs!$L$4</f>
        <v>0</v>
      </c>
      <c r="O617" s="76"/>
      <c r="P617" s="37"/>
      <c r="Q617" s="86">
        <f>tbl_estimated_costs_quantities[[#This Row],[Concrete Works]]*BOQs!$L$5</f>
        <v>0</v>
      </c>
      <c r="R617" s="76"/>
      <c r="S617" s="37"/>
      <c r="T617" s="86">
        <f>tbl_estimated_costs_quantities[[#This Row],[Closure External Openings Walls Windows]]*BOQs!$L$6</f>
        <v>0</v>
      </c>
      <c r="U617" s="76"/>
      <c r="V617" s="37"/>
      <c r="W617" s="86">
        <f>tbl_estimated_costs_quantities[[#This Row],[Plastering Painting]]*BOQs!$L$7</f>
        <v>0</v>
      </c>
      <c r="X617" s="76"/>
      <c r="Y617" s="37"/>
      <c r="Z617" s="86">
        <f>tbl_estimated_costs_quantities[[#This Row],[Floor Repairs]]*BOQs!$L$8</f>
        <v>0</v>
      </c>
      <c r="AA617" s="76"/>
      <c r="AB617" s="37"/>
      <c r="AC617" s="86">
        <f>tbl_estimated_costs_quantities[[#This Row],[Doors Replacement Repair]]*BOQs!$L$9</f>
        <v>0</v>
      </c>
      <c r="AD617" s="76"/>
      <c r="AE617" s="37"/>
      <c r="AF617" s="86">
        <f>tbl_estimated_costs_quantities[[#This Row],[Windows Replacement Repair]]*BOQs!$L$10</f>
        <v>0</v>
      </c>
      <c r="AG617" s="76"/>
      <c r="AH617" s="37"/>
      <c r="AI617" s="86">
        <f>tbl_estimated_costs_quantities[[#This Row],[Bathroom Rehabilitation]]*BOQs!$L$11</f>
        <v>0</v>
      </c>
      <c r="AJ617" s="76"/>
      <c r="AK617" s="37"/>
      <c r="AL617" s="86">
        <f>tbl_estimated_costs_quantities[[#This Row],[Ceramic Tile Works WASH]]*BOQs!$L$12</f>
        <v>0</v>
      </c>
      <c r="AM617" s="76"/>
      <c r="AN617" s="37"/>
      <c r="AO617" s="86">
        <f>tbl_estimated_costs_quantities[[#This Row],[Electrical Repairs Lighting]]*BOQs!$L$13</f>
        <v>0</v>
      </c>
      <c r="AP617" s="76"/>
      <c r="AQ617" s="37"/>
      <c r="AR617" s="86">
        <f>tbl_estimated_costs_quantities[[#This Row],[Roof Insulation Leak Sealing]]*BOQs!$L$14</f>
        <v>0</v>
      </c>
      <c r="AS617" s="76"/>
      <c r="AT617" s="37"/>
      <c r="AU617" s="86">
        <f>tbl_estimated_costs_quantities[[#This Row],[Chimney Duct Cleaning Repair]]*BOQs!$L$15</f>
        <v>0</v>
      </c>
      <c r="AV617" s="76"/>
      <c r="AW617" s="37"/>
      <c r="AX617" s="89">
        <f>tbl_estimated_costs_quantities[[#This Row],[Accessibility Adaptations]]*BOQs!$L$16</f>
        <v>0</v>
      </c>
      <c r="AY617" s="86" t="str">
        <f>IF(tbl_estimated_costs_quantities[[#This Row],[Total cost]]&lt;&gt;0,tbl_estimated_costs_quantities[[#This Row],[Total cost]]/BOQs!$A$1,"")</f>
        <v/>
      </c>
      <c r="AZ617" s="37"/>
      <c r="BA617" s="37"/>
      <c r="BB617" s="37"/>
      <c r="BC617" s="37"/>
      <c r="BD617" s="41"/>
      <c r="BE617" s="37"/>
      <c r="BF617" s="37"/>
      <c r="BG617" s="37"/>
      <c r="BH617" s="41"/>
    </row>
    <row r="618" spans="2:60" ht="25.15" customHeight="1" x14ac:dyDescent="0.25">
      <c r="B618" s="49">
        <v>614</v>
      </c>
      <c r="C618" s="37"/>
      <c r="D618" s="41"/>
      <c r="E618" s="40"/>
      <c r="F618" s="87" t="str">
        <f>IF(tbl_estimated_costs_quantities[[#This Row],[House Code]]&lt;&gt;"",INDEX(tbl_Assessment[],MATCH(tbl_estimated_costs_quantities[[#This Row],[House Code]],tbl_Assessment[House Code],0),3),"")</f>
        <v/>
      </c>
      <c r="G618" s="115" t="str">
        <f>IF(tbl_estimated_costs_quantities[[#This Row],[House Code]]&lt;&gt;"",INDEX(tbl_Assessment[],MATCH(tbl_estimated_costs_quantities[[#This Row],[House Code]],tbl_Assessment[House Code],0),9),"")</f>
        <v/>
      </c>
      <c r="H61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8" s="75"/>
      <c r="J618" s="37"/>
      <c r="K618" s="86">
        <f>tbl_estimated_costs_quantities[[#This Row],[Site Preparation]]*BOQs!$L$3</f>
        <v>0</v>
      </c>
      <c r="L618" s="76"/>
      <c r="M618" s="37"/>
      <c r="N618" s="86">
        <f>tbl_estimated_costs_quantities[[#This Row],[Demolition Removal Unsafe Structures]]*BOQs!$L$4</f>
        <v>0</v>
      </c>
      <c r="O618" s="76"/>
      <c r="P618" s="37"/>
      <c r="Q618" s="86">
        <f>tbl_estimated_costs_quantities[[#This Row],[Concrete Works]]*BOQs!$L$5</f>
        <v>0</v>
      </c>
      <c r="R618" s="76"/>
      <c r="S618" s="37"/>
      <c r="T618" s="86">
        <f>tbl_estimated_costs_quantities[[#This Row],[Closure External Openings Walls Windows]]*BOQs!$L$6</f>
        <v>0</v>
      </c>
      <c r="U618" s="76"/>
      <c r="V618" s="37"/>
      <c r="W618" s="86">
        <f>tbl_estimated_costs_quantities[[#This Row],[Plastering Painting]]*BOQs!$L$7</f>
        <v>0</v>
      </c>
      <c r="X618" s="76"/>
      <c r="Y618" s="37"/>
      <c r="Z618" s="86">
        <f>tbl_estimated_costs_quantities[[#This Row],[Floor Repairs]]*BOQs!$L$8</f>
        <v>0</v>
      </c>
      <c r="AA618" s="76"/>
      <c r="AB618" s="37"/>
      <c r="AC618" s="86">
        <f>tbl_estimated_costs_quantities[[#This Row],[Doors Replacement Repair]]*BOQs!$L$9</f>
        <v>0</v>
      </c>
      <c r="AD618" s="76"/>
      <c r="AE618" s="37"/>
      <c r="AF618" s="86">
        <f>tbl_estimated_costs_quantities[[#This Row],[Windows Replacement Repair]]*BOQs!$L$10</f>
        <v>0</v>
      </c>
      <c r="AG618" s="76"/>
      <c r="AH618" s="37"/>
      <c r="AI618" s="86">
        <f>tbl_estimated_costs_quantities[[#This Row],[Bathroom Rehabilitation]]*BOQs!$L$11</f>
        <v>0</v>
      </c>
      <c r="AJ618" s="76"/>
      <c r="AK618" s="37"/>
      <c r="AL618" s="86">
        <f>tbl_estimated_costs_quantities[[#This Row],[Ceramic Tile Works WASH]]*BOQs!$L$12</f>
        <v>0</v>
      </c>
      <c r="AM618" s="76"/>
      <c r="AN618" s="37"/>
      <c r="AO618" s="86">
        <f>tbl_estimated_costs_quantities[[#This Row],[Electrical Repairs Lighting]]*BOQs!$L$13</f>
        <v>0</v>
      </c>
      <c r="AP618" s="76"/>
      <c r="AQ618" s="37"/>
      <c r="AR618" s="86">
        <f>tbl_estimated_costs_quantities[[#This Row],[Roof Insulation Leak Sealing]]*BOQs!$L$14</f>
        <v>0</v>
      </c>
      <c r="AS618" s="76"/>
      <c r="AT618" s="37"/>
      <c r="AU618" s="86">
        <f>tbl_estimated_costs_quantities[[#This Row],[Chimney Duct Cleaning Repair]]*BOQs!$L$15</f>
        <v>0</v>
      </c>
      <c r="AV618" s="76"/>
      <c r="AW618" s="37"/>
      <c r="AX618" s="89">
        <f>tbl_estimated_costs_quantities[[#This Row],[Accessibility Adaptations]]*BOQs!$L$16</f>
        <v>0</v>
      </c>
      <c r="AY618" s="86" t="str">
        <f>IF(tbl_estimated_costs_quantities[[#This Row],[Total cost]]&lt;&gt;0,tbl_estimated_costs_quantities[[#This Row],[Total cost]]/BOQs!$A$1,"")</f>
        <v/>
      </c>
      <c r="AZ618" s="37"/>
      <c r="BA618" s="37"/>
      <c r="BB618" s="37"/>
      <c r="BC618" s="37"/>
      <c r="BD618" s="41"/>
      <c r="BE618" s="37"/>
      <c r="BF618" s="37"/>
      <c r="BG618" s="37"/>
      <c r="BH618" s="41"/>
    </row>
    <row r="619" spans="2:60" ht="25.15" customHeight="1" x14ac:dyDescent="0.25">
      <c r="B619" s="49">
        <v>615</v>
      </c>
      <c r="C619" s="37"/>
      <c r="D619" s="41"/>
      <c r="E619" s="40"/>
      <c r="F619" s="87" t="str">
        <f>IF(tbl_estimated_costs_quantities[[#This Row],[House Code]]&lt;&gt;"",INDEX(tbl_Assessment[],MATCH(tbl_estimated_costs_quantities[[#This Row],[House Code]],tbl_Assessment[House Code],0),3),"")</f>
        <v/>
      </c>
      <c r="G619" s="115" t="str">
        <f>IF(tbl_estimated_costs_quantities[[#This Row],[House Code]]&lt;&gt;"",INDEX(tbl_Assessment[],MATCH(tbl_estimated_costs_quantities[[#This Row],[House Code]],tbl_Assessment[House Code],0),9),"")</f>
        <v/>
      </c>
      <c r="H61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19" s="75"/>
      <c r="J619" s="37"/>
      <c r="K619" s="86">
        <f>tbl_estimated_costs_quantities[[#This Row],[Site Preparation]]*BOQs!$L$3</f>
        <v>0</v>
      </c>
      <c r="L619" s="76"/>
      <c r="M619" s="37"/>
      <c r="N619" s="86">
        <f>tbl_estimated_costs_quantities[[#This Row],[Demolition Removal Unsafe Structures]]*BOQs!$L$4</f>
        <v>0</v>
      </c>
      <c r="O619" s="76"/>
      <c r="P619" s="37"/>
      <c r="Q619" s="86">
        <f>tbl_estimated_costs_quantities[[#This Row],[Concrete Works]]*BOQs!$L$5</f>
        <v>0</v>
      </c>
      <c r="R619" s="76"/>
      <c r="S619" s="37"/>
      <c r="T619" s="86">
        <f>tbl_estimated_costs_quantities[[#This Row],[Closure External Openings Walls Windows]]*BOQs!$L$6</f>
        <v>0</v>
      </c>
      <c r="U619" s="76"/>
      <c r="V619" s="37"/>
      <c r="W619" s="86">
        <f>tbl_estimated_costs_quantities[[#This Row],[Plastering Painting]]*BOQs!$L$7</f>
        <v>0</v>
      </c>
      <c r="X619" s="76"/>
      <c r="Y619" s="37"/>
      <c r="Z619" s="86">
        <f>tbl_estimated_costs_quantities[[#This Row],[Floor Repairs]]*BOQs!$L$8</f>
        <v>0</v>
      </c>
      <c r="AA619" s="76"/>
      <c r="AB619" s="37"/>
      <c r="AC619" s="86">
        <f>tbl_estimated_costs_quantities[[#This Row],[Doors Replacement Repair]]*BOQs!$L$9</f>
        <v>0</v>
      </c>
      <c r="AD619" s="76"/>
      <c r="AE619" s="37"/>
      <c r="AF619" s="86">
        <f>tbl_estimated_costs_quantities[[#This Row],[Windows Replacement Repair]]*BOQs!$L$10</f>
        <v>0</v>
      </c>
      <c r="AG619" s="76"/>
      <c r="AH619" s="37"/>
      <c r="AI619" s="86">
        <f>tbl_estimated_costs_quantities[[#This Row],[Bathroom Rehabilitation]]*BOQs!$L$11</f>
        <v>0</v>
      </c>
      <c r="AJ619" s="76"/>
      <c r="AK619" s="37"/>
      <c r="AL619" s="86">
        <f>tbl_estimated_costs_quantities[[#This Row],[Ceramic Tile Works WASH]]*BOQs!$L$12</f>
        <v>0</v>
      </c>
      <c r="AM619" s="76"/>
      <c r="AN619" s="37"/>
      <c r="AO619" s="86">
        <f>tbl_estimated_costs_quantities[[#This Row],[Electrical Repairs Lighting]]*BOQs!$L$13</f>
        <v>0</v>
      </c>
      <c r="AP619" s="76"/>
      <c r="AQ619" s="37"/>
      <c r="AR619" s="86">
        <f>tbl_estimated_costs_quantities[[#This Row],[Roof Insulation Leak Sealing]]*BOQs!$L$14</f>
        <v>0</v>
      </c>
      <c r="AS619" s="76"/>
      <c r="AT619" s="37"/>
      <c r="AU619" s="86">
        <f>tbl_estimated_costs_quantities[[#This Row],[Chimney Duct Cleaning Repair]]*BOQs!$L$15</f>
        <v>0</v>
      </c>
      <c r="AV619" s="76"/>
      <c r="AW619" s="37"/>
      <c r="AX619" s="89">
        <f>tbl_estimated_costs_quantities[[#This Row],[Accessibility Adaptations]]*BOQs!$L$16</f>
        <v>0</v>
      </c>
      <c r="AY619" s="86" t="str">
        <f>IF(tbl_estimated_costs_quantities[[#This Row],[Total cost]]&lt;&gt;0,tbl_estimated_costs_quantities[[#This Row],[Total cost]]/BOQs!$A$1,"")</f>
        <v/>
      </c>
      <c r="AZ619" s="37"/>
      <c r="BA619" s="37"/>
      <c r="BB619" s="37"/>
      <c r="BC619" s="37"/>
      <c r="BD619" s="41"/>
      <c r="BE619" s="37"/>
      <c r="BF619" s="37"/>
      <c r="BG619" s="37"/>
      <c r="BH619" s="41"/>
    </row>
    <row r="620" spans="2:60" ht="25.15" customHeight="1" x14ac:dyDescent="0.25">
      <c r="B620" s="49">
        <v>616</v>
      </c>
      <c r="C620" s="37"/>
      <c r="D620" s="41"/>
      <c r="E620" s="40"/>
      <c r="F620" s="87" t="str">
        <f>IF(tbl_estimated_costs_quantities[[#This Row],[House Code]]&lt;&gt;"",INDEX(tbl_Assessment[],MATCH(tbl_estimated_costs_quantities[[#This Row],[House Code]],tbl_Assessment[House Code],0),3),"")</f>
        <v/>
      </c>
      <c r="G620" s="115" t="str">
        <f>IF(tbl_estimated_costs_quantities[[#This Row],[House Code]]&lt;&gt;"",INDEX(tbl_Assessment[],MATCH(tbl_estimated_costs_quantities[[#This Row],[House Code]],tbl_Assessment[House Code],0),9),"")</f>
        <v/>
      </c>
      <c r="H62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0" s="75"/>
      <c r="J620" s="37"/>
      <c r="K620" s="86">
        <f>tbl_estimated_costs_quantities[[#This Row],[Site Preparation]]*BOQs!$L$3</f>
        <v>0</v>
      </c>
      <c r="L620" s="76"/>
      <c r="M620" s="37"/>
      <c r="N620" s="86">
        <f>tbl_estimated_costs_quantities[[#This Row],[Demolition Removal Unsafe Structures]]*BOQs!$L$4</f>
        <v>0</v>
      </c>
      <c r="O620" s="76"/>
      <c r="P620" s="37"/>
      <c r="Q620" s="86">
        <f>tbl_estimated_costs_quantities[[#This Row],[Concrete Works]]*BOQs!$L$5</f>
        <v>0</v>
      </c>
      <c r="R620" s="76"/>
      <c r="S620" s="37"/>
      <c r="T620" s="86">
        <f>tbl_estimated_costs_quantities[[#This Row],[Closure External Openings Walls Windows]]*BOQs!$L$6</f>
        <v>0</v>
      </c>
      <c r="U620" s="76"/>
      <c r="V620" s="37"/>
      <c r="W620" s="86">
        <f>tbl_estimated_costs_quantities[[#This Row],[Plastering Painting]]*BOQs!$L$7</f>
        <v>0</v>
      </c>
      <c r="X620" s="76"/>
      <c r="Y620" s="37"/>
      <c r="Z620" s="86">
        <f>tbl_estimated_costs_quantities[[#This Row],[Floor Repairs]]*BOQs!$L$8</f>
        <v>0</v>
      </c>
      <c r="AA620" s="76"/>
      <c r="AB620" s="37"/>
      <c r="AC620" s="86">
        <f>tbl_estimated_costs_quantities[[#This Row],[Doors Replacement Repair]]*BOQs!$L$9</f>
        <v>0</v>
      </c>
      <c r="AD620" s="76"/>
      <c r="AE620" s="37"/>
      <c r="AF620" s="86">
        <f>tbl_estimated_costs_quantities[[#This Row],[Windows Replacement Repair]]*BOQs!$L$10</f>
        <v>0</v>
      </c>
      <c r="AG620" s="76"/>
      <c r="AH620" s="37"/>
      <c r="AI620" s="86">
        <f>tbl_estimated_costs_quantities[[#This Row],[Bathroom Rehabilitation]]*BOQs!$L$11</f>
        <v>0</v>
      </c>
      <c r="AJ620" s="76"/>
      <c r="AK620" s="37"/>
      <c r="AL620" s="86">
        <f>tbl_estimated_costs_quantities[[#This Row],[Ceramic Tile Works WASH]]*BOQs!$L$12</f>
        <v>0</v>
      </c>
      <c r="AM620" s="76"/>
      <c r="AN620" s="37"/>
      <c r="AO620" s="86">
        <f>tbl_estimated_costs_quantities[[#This Row],[Electrical Repairs Lighting]]*BOQs!$L$13</f>
        <v>0</v>
      </c>
      <c r="AP620" s="76"/>
      <c r="AQ620" s="37"/>
      <c r="AR620" s="86">
        <f>tbl_estimated_costs_quantities[[#This Row],[Roof Insulation Leak Sealing]]*BOQs!$L$14</f>
        <v>0</v>
      </c>
      <c r="AS620" s="76"/>
      <c r="AT620" s="37"/>
      <c r="AU620" s="86">
        <f>tbl_estimated_costs_quantities[[#This Row],[Chimney Duct Cleaning Repair]]*BOQs!$L$15</f>
        <v>0</v>
      </c>
      <c r="AV620" s="76"/>
      <c r="AW620" s="37"/>
      <c r="AX620" s="89">
        <f>tbl_estimated_costs_quantities[[#This Row],[Accessibility Adaptations]]*BOQs!$L$16</f>
        <v>0</v>
      </c>
      <c r="AY620" s="86" t="str">
        <f>IF(tbl_estimated_costs_quantities[[#This Row],[Total cost]]&lt;&gt;0,tbl_estimated_costs_quantities[[#This Row],[Total cost]]/BOQs!$A$1,"")</f>
        <v/>
      </c>
      <c r="AZ620" s="37"/>
      <c r="BA620" s="37"/>
      <c r="BB620" s="37"/>
      <c r="BC620" s="37"/>
      <c r="BD620" s="41"/>
      <c r="BE620" s="37"/>
      <c r="BF620" s="37"/>
      <c r="BG620" s="37"/>
      <c r="BH620" s="41"/>
    </row>
    <row r="621" spans="2:60" ht="25.15" customHeight="1" x14ac:dyDescent="0.25">
      <c r="B621" s="49">
        <v>617</v>
      </c>
      <c r="C621" s="37"/>
      <c r="D621" s="41"/>
      <c r="E621" s="40"/>
      <c r="F621" s="87" t="str">
        <f>IF(tbl_estimated_costs_quantities[[#This Row],[House Code]]&lt;&gt;"",INDEX(tbl_Assessment[],MATCH(tbl_estimated_costs_quantities[[#This Row],[House Code]],tbl_Assessment[House Code],0),3),"")</f>
        <v/>
      </c>
      <c r="G621" s="115" t="str">
        <f>IF(tbl_estimated_costs_quantities[[#This Row],[House Code]]&lt;&gt;"",INDEX(tbl_Assessment[],MATCH(tbl_estimated_costs_quantities[[#This Row],[House Code]],tbl_Assessment[House Code],0),9),"")</f>
        <v/>
      </c>
      <c r="H62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1" s="75"/>
      <c r="J621" s="37"/>
      <c r="K621" s="86">
        <f>tbl_estimated_costs_quantities[[#This Row],[Site Preparation]]*BOQs!$L$3</f>
        <v>0</v>
      </c>
      <c r="L621" s="76"/>
      <c r="M621" s="37"/>
      <c r="N621" s="86">
        <f>tbl_estimated_costs_quantities[[#This Row],[Demolition Removal Unsafe Structures]]*BOQs!$L$4</f>
        <v>0</v>
      </c>
      <c r="O621" s="76"/>
      <c r="P621" s="37"/>
      <c r="Q621" s="86">
        <f>tbl_estimated_costs_quantities[[#This Row],[Concrete Works]]*BOQs!$L$5</f>
        <v>0</v>
      </c>
      <c r="R621" s="76"/>
      <c r="S621" s="37"/>
      <c r="T621" s="86">
        <f>tbl_estimated_costs_quantities[[#This Row],[Closure External Openings Walls Windows]]*BOQs!$L$6</f>
        <v>0</v>
      </c>
      <c r="U621" s="76"/>
      <c r="V621" s="37"/>
      <c r="W621" s="86">
        <f>tbl_estimated_costs_quantities[[#This Row],[Plastering Painting]]*BOQs!$L$7</f>
        <v>0</v>
      </c>
      <c r="X621" s="76"/>
      <c r="Y621" s="37"/>
      <c r="Z621" s="86">
        <f>tbl_estimated_costs_quantities[[#This Row],[Floor Repairs]]*BOQs!$L$8</f>
        <v>0</v>
      </c>
      <c r="AA621" s="76"/>
      <c r="AB621" s="37"/>
      <c r="AC621" s="86">
        <f>tbl_estimated_costs_quantities[[#This Row],[Doors Replacement Repair]]*BOQs!$L$9</f>
        <v>0</v>
      </c>
      <c r="AD621" s="76"/>
      <c r="AE621" s="37"/>
      <c r="AF621" s="86">
        <f>tbl_estimated_costs_quantities[[#This Row],[Windows Replacement Repair]]*BOQs!$L$10</f>
        <v>0</v>
      </c>
      <c r="AG621" s="76"/>
      <c r="AH621" s="37"/>
      <c r="AI621" s="86">
        <f>tbl_estimated_costs_quantities[[#This Row],[Bathroom Rehabilitation]]*BOQs!$L$11</f>
        <v>0</v>
      </c>
      <c r="AJ621" s="76"/>
      <c r="AK621" s="37"/>
      <c r="AL621" s="86">
        <f>tbl_estimated_costs_quantities[[#This Row],[Ceramic Tile Works WASH]]*BOQs!$L$12</f>
        <v>0</v>
      </c>
      <c r="AM621" s="76"/>
      <c r="AN621" s="37"/>
      <c r="AO621" s="86">
        <f>tbl_estimated_costs_quantities[[#This Row],[Electrical Repairs Lighting]]*BOQs!$L$13</f>
        <v>0</v>
      </c>
      <c r="AP621" s="76"/>
      <c r="AQ621" s="37"/>
      <c r="AR621" s="86">
        <f>tbl_estimated_costs_quantities[[#This Row],[Roof Insulation Leak Sealing]]*BOQs!$L$14</f>
        <v>0</v>
      </c>
      <c r="AS621" s="76"/>
      <c r="AT621" s="37"/>
      <c r="AU621" s="86">
        <f>tbl_estimated_costs_quantities[[#This Row],[Chimney Duct Cleaning Repair]]*BOQs!$L$15</f>
        <v>0</v>
      </c>
      <c r="AV621" s="76"/>
      <c r="AW621" s="37"/>
      <c r="AX621" s="89">
        <f>tbl_estimated_costs_quantities[[#This Row],[Accessibility Adaptations]]*BOQs!$L$16</f>
        <v>0</v>
      </c>
      <c r="AY621" s="86" t="str">
        <f>IF(tbl_estimated_costs_quantities[[#This Row],[Total cost]]&lt;&gt;0,tbl_estimated_costs_quantities[[#This Row],[Total cost]]/BOQs!$A$1,"")</f>
        <v/>
      </c>
      <c r="AZ621" s="37"/>
      <c r="BA621" s="37"/>
      <c r="BB621" s="37"/>
      <c r="BC621" s="37"/>
      <c r="BD621" s="41"/>
      <c r="BE621" s="37"/>
      <c r="BF621" s="37"/>
      <c r="BG621" s="37"/>
      <c r="BH621" s="41"/>
    </row>
    <row r="622" spans="2:60" ht="25.15" customHeight="1" x14ac:dyDescent="0.25">
      <c r="B622" s="49">
        <v>618</v>
      </c>
      <c r="C622" s="37"/>
      <c r="D622" s="41"/>
      <c r="E622" s="40"/>
      <c r="F622" s="87" t="str">
        <f>IF(tbl_estimated_costs_quantities[[#This Row],[House Code]]&lt;&gt;"",INDEX(tbl_Assessment[],MATCH(tbl_estimated_costs_quantities[[#This Row],[House Code]],tbl_Assessment[House Code],0),3),"")</f>
        <v/>
      </c>
      <c r="G622" s="115" t="str">
        <f>IF(tbl_estimated_costs_quantities[[#This Row],[House Code]]&lt;&gt;"",INDEX(tbl_Assessment[],MATCH(tbl_estimated_costs_quantities[[#This Row],[House Code]],tbl_Assessment[House Code],0),9),"")</f>
        <v/>
      </c>
      <c r="H62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2" s="75"/>
      <c r="J622" s="37"/>
      <c r="K622" s="86">
        <f>tbl_estimated_costs_quantities[[#This Row],[Site Preparation]]*BOQs!$L$3</f>
        <v>0</v>
      </c>
      <c r="L622" s="76"/>
      <c r="M622" s="37"/>
      <c r="N622" s="86">
        <f>tbl_estimated_costs_quantities[[#This Row],[Demolition Removal Unsafe Structures]]*BOQs!$L$4</f>
        <v>0</v>
      </c>
      <c r="O622" s="76"/>
      <c r="P622" s="37"/>
      <c r="Q622" s="86">
        <f>tbl_estimated_costs_quantities[[#This Row],[Concrete Works]]*BOQs!$L$5</f>
        <v>0</v>
      </c>
      <c r="R622" s="76"/>
      <c r="S622" s="37"/>
      <c r="T622" s="86">
        <f>tbl_estimated_costs_quantities[[#This Row],[Closure External Openings Walls Windows]]*BOQs!$L$6</f>
        <v>0</v>
      </c>
      <c r="U622" s="76"/>
      <c r="V622" s="37"/>
      <c r="W622" s="86">
        <f>tbl_estimated_costs_quantities[[#This Row],[Plastering Painting]]*BOQs!$L$7</f>
        <v>0</v>
      </c>
      <c r="X622" s="76"/>
      <c r="Y622" s="37"/>
      <c r="Z622" s="86">
        <f>tbl_estimated_costs_quantities[[#This Row],[Floor Repairs]]*BOQs!$L$8</f>
        <v>0</v>
      </c>
      <c r="AA622" s="76"/>
      <c r="AB622" s="37"/>
      <c r="AC622" s="86">
        <f>tbl_estimated_costs_quantities[[#This Row],[Doors Replacement Repair]]*BOQs!$L$9</f>
        <v>0</v>
      </c>
      <c r="AD622" s="76"/>
      <c r="AE622" s="37"/>
      <c r="AF622" s="86">
        <f>tbl_estimated_costs_quantities[[#This Row],[Windows Replacement Repair]]*BOQs!$L$10</f>
        <v>0</v>
      </c>
      <c r="AG622" s="76"/>
      <c r="AH622" s="37"/>
      <c r="AI622" s="86">
        <f>tbl_estimated_costs_quantities[[#This Row],[Bathroom Rehabilitation]]*BOQs!$L$11</f>
        <v>0</v>
      </c>
      <c r="AJ622" s="76"/>
      <c r="AK622" s="37"/>
      <c r="AL622" s="86">
        <f>tbl_estimated_costs_quantities[[#This Row],[Ceramic Tile Works WASH]]*BOQs!$L$12</f>
        <v>0</v>
      </c>
      <c r="AM622" s="76"/>
      <c r="AN622" s="37"/>
      <c r="AO622" s="86">
        <f>tbl_estimated_costs_quantities[[#This Row],[Electrical Repairs Lighting]]*BOQs!$L$13</f>
        <v>0</v>
      </c>
      <c r="AP622" s="76"/>
      <c r="AQ622" s="37"/>
      <c r="AR622" s="86">
        <f>tbl_estimated_costs_quantities[[#This Row],[Roof Insulation Leak Sealing]]*BOQs!$L$14</f>
        <v>0</v>
      </c>
      <c r="AS622" s="76"/>
      <c r="AT622" s="37"/>
      <c r="AU622" s="86">
        <f>tbl_estimated_costs_quantities[[#This Row],[Chimney Duct Cleaning Repair]]*BOQs!$L$15</f>
        <v>0</v>
      </c>
      <c r="AV622" s="76"/>
      <c r="AW622" s="37"/>
      <c r="AX622" s="89">
        <f>tbl_estimated_costs_quantities[[#This Row],[Accessibility Adaptations]]*BOQs!$L$16</f>
        <v>0</v>
      </c>
      <c r="AY622" s="86" t="str">
        <f>IF(tbl_estimated_costs_quantities[[#This Row],[Total cost]]&lt;&gt;0,tbl_estimated_costs_quantities[[#This Row],[Total cost]]/BOQs!$A$1,"")</f>
        <v/>
      </c>
      <c r="AZ622" s="37"/>
      <c r="BA622" s="37"/>
      <c r="BB622" s="37"/>
      <c r="BC622" s="37"/>
      <c r="BD622" s="41"/>
      <c r="BE622" s="37"/>
      <c r="BF622" s="37"/>
      <c r="BG622" s="37"/>
      <c r="BH622" s="41"/>
    </row>
    <row r="623" spans="2:60" ht="25.15" customHeight="1" x14ac:dyDescent="0.25">
      <c r="B623" s="49">
        <v>619</v>
      </c>
      <c r="C623" s="37"/>
      <c r="D623" s="41"/>
      <c r="E623" s="40"/>
      <c r="F623" s="87" t="str">
        <f>IF(tbl_estimated_costs_quantities[[#This Row],[House Code]]&lt;&gt;"",INDEX(tbl_Assessment[],MATCH(tbl_estimated_costs_quantities[[#This Row],[House Code]],tbl_Assessment[House Code],0),3),"")</f>
        <v/>
      </c>
      <c r="G623" s="115" t="str">
        <f>IF(tbl_estimated_costs_quantities[[#This Row],[House Code]]&lt;&gt;"",INDEX(tbl_Assessment[],MATCH(tbl_estimated_costs_quantities[[#This Row],[House Code]],tbl_Assessment[House Code],0),9),"")</f>
        <v/>
      </c>
      <c r="H62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3" s="75"/>
      <c r="J623" s="37"/>
      <c r="K623" s="86">
        <f>tbl_estimated_costs_quantities[[#This Row],[Site Preparation]]*BOQs!$L$3</f>
        <v>0</v>
      </c>
      <c r="L623" s="76"/>
      <c r="M623" s="37"/>
      <c r="N623" s="86">
        <f>tbl_estimated_costs_quantities[[#This Row],[Demolition Removal Unsafe Structures]]*BOQs!$L$4</f>
        <v>0</v>
      </c>
      <c r="O623" s="76"/>
      <c r="P623" s="37"/>
      <c r="Q623" s="86">
        <f>tbl_estimated_costs_quantities[[#This Row],[Concrete Works]]*BOQs!$L$5</f>
        <v>0</v>
      </c>
      <c r="R623" s="76"/>
      <c r="S623" s="37"/>
      <c r="T623" s="86">
        <f>tbl_estimated_costs_quantities[[#This Row],[Closure External Openings Walls Windows]]*BOQs!$L$6</f>
        <v>0</v>
      </c>
      <c r="U623" s="76"/>
      <c r="V623" s="37"/>
      <c r="W623" s="86">
        <f>tbl_estimated_costs_quantities[[#This Row],[Plastering Painting]]*BOQs!$L$7</f>
        <v>0</v>
      </c>
      <c r="X623" s="76"/>
      <c r="Y623" s="37"/>
      <c r="Z623" s="86">
        <f>tbl_estimated_costs_quantities[[#This Row],[Floor Repairs]]*BOQs!$L$8</f>
        <v>0</v>
      </c>
      <c r="AA623" s="76"/>
      <c r="AB623" s="37"/>
      <c r="AC623" s="86">
        <f>tbl_estimated_costs_quantities[[#This Row],[Doors Replacement Repair]]*BOQs!$L$9</f>
        <v>0</v>
      </c>
      <c r="AD623" s="76"/>
      <c r="AE623" s="37"/>
      <c r="AF623" s="86">
        <f>tbl_estimated_costs_quantities[[#This Row],[Windows Replacement Repair]]*BOQs!$L$10</f>
        <v>0</v>
      </c>
      <c r="AG623" s="76"/>
      <c r="AH623" s="37"/>
      <c r="AI623" s="86">
        <f>tbl_estimated_costs_quantities[[#This Row],[Bathroom Rehabilitation]]*BOQs!$L$11</f>
        <v>0</v>
      </c>
      <c r="AJ623" s="76"/>
      <c r="AK623" s="37"/>
      <c r="AL623" s="86">
        <f>tbl_estimated_costs_quantities[[#This Row],[Ceramic Tile Works WASH]]*BOQs!$L$12</f>
        <v>0</v>
      </c>
      <c r="AM623" s="76"/>
      <c r="AN623" s="37"/>
      <c r="AO623" s="86">
        <f>tbl_estimated_costs_quantities[[#This Row],[Electrical Repairs Lighting]]*BOQs!$L$13</f>
        <v>0</v>
      </c>
      <c r="AP623" s="76"/>
      <c r="AQ623" s="37"/>
      <c r="AR623" s="86">
        <f>tbl_estimated_costs_quantities[[#This Row],[Roof Insulation Leak Sealing]]*BOQs!$L$14</f>
        <v>0</v>
      </c>
      <c r="AS623" s="76"/>
      <c r="AT623" s="37"/>
      <c r="AU623" s="86">
        <f>tbl_estimated_costs_quantities[[#This Row],[Chimney Duct Cleaning Repair]]*BOQs!$L$15</f>
        <v>0</v>
      </c>
      <c r="AV623" s="76"/>
      <c r="AW623" s="37"/>
      <c r="AX623" s="89">
        <f>tbl_estimated_costs_quantities[[#This Row],[Accessibility Adaptations]]*BOQs!$L$16</f>
        <v>0</v>
      </c>
      <c r="AY623" s="86" t="str">
        <f>IF(tbl_estimated_costs_quantities[[#This Row],[Total cost]]&lt;&gt;0,tbl_estimated_costs_quantities[[#This Row],[Total cost]]/BOQs!$A$1,"")</f>
        <v/>
      </c>
      <c r="AZ623" s="37"/>
      <c r="BA623" s="37"/>
      <c r="BB623" s="37"/>
      <c r="BC623" s="37"/>
      <c r="BD623" s="41"/>
      <c r="BE623" s="37"/>
      <c r="BF623" s="37"/>
      <c r="BG623" s="37"/>
      <c r="BH623" s="41"/>
    </row>
    <row r="624" spans="2:60" ht="25.15" customHeight="1" x14ac:dyDescent="0.25">
      <c r="B624" s="49">
        <v>620</v>
      </c>
      <c r="C624" s="37"/>
      <c r="D624" s="41"/>
      <c r="E624" s="40"/>
      <c r="F624" s="87" t="str">
        <f>IF(tbl_estimated_costs_quantities[[#This Row],[House Code]]&lt;&gt;"",INDEX(tbl_Assessment[],MATCH(tbl_estimated_costs_quantities[[#This Row],[House Code]],tbl_Assessment[House Code],0),3),"")</f>
        <v/>
      </c>
      <c r="G624" s="115" t="str">
        <f>IF(tbl_estimated_costs_quantities[[#This Row],[House Code]]&lt;&gt;"",INDEX(tbl_Assessment[],MATCH(tbl_estimated_costs_quantities[[#This Row],[House Code]],tbl_Assessment[House Code],0),9),"")</f>
        <v/>
      </c>
      <c r="H62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4" s="75"/>
      <c r="J624" s="37"/>
      <c r="K624" s="86">
        <f>tbl_estimated_costs_quantities[[#This Row],[Site Preparation]]*BOQs!$L$3</f>
        <v>0</v>
      </c>
      <c r="L624" s="76"/>
      <c r="M624" s="37"/>
      <c r="N624" s="86">
        <f>tbl_estimated_costs_quantities[[#This Row],[Demolition Removal Unsafe Structures]]*BOQs!$L$4</f>
        <v>0</v>
      </c>
      <c r="O624" s="76"/>
      <c r="P624" s="37"/>
      <c r="Q624" s="86">
        <f>tbl_estimated_costs_quantities[[#This Row],[Concrete Works]]*BOQs!$L$5</f>
        <v>0</v>
      </c>
      <c r="R624" s="76"/>
      <c r="S624" s="37"/>
      <c r="T624" s="86">
        <f>tbl_estimated_costs_quantities[[#This Row],[Closure External Openings Walls Windows]]*BOQs!$L$6</f>
        <v>0</v>
      </c>
      <c r="U624" s="76"/>
      <c r="V624" s="37"/>
      <c r="W624" s="86">
        <f>tbl_estimated_costs_quantities[[#This Row],[Plastering Painting]]*BOQs!$L$7</f>
        <v>0</v>
      </c>
      <c r="X624" s="76"/>
      <c r="Y624" s="37"/>
      <c r="Z624" s="86">
        <f>tbl_estimated_costs_quantities[[#This Row],[Floor Repairs]]*BOQs!$L$8</f>
        <v>0</v>
      </c>
      <c r="AA624" s="76"/>
      <c r="AB624" s="37"/>
      <c r="AC624" s="86">
        <f>tbl_estimated_costs_quantities[[#This Row],[Doors Replacement Repair]]*BOQs!$L$9</f>
        <v>0</v>
      </c>
      <c r="AD624" s="76"/>
      <c r="AE624" s="37"/>
      <c r="AF624" s="86">
        <f>tbl_estimated_costs_quantities[[#This Row],[Windows Replacement Repair]]*BOQs!$L$10</f>
        <v>0</v>
      </c>
      <c r="AG624" s="76"/>
      <c r="AH624" s="37"/>
      <c r="AI624" s="86">
        <f>tbl_estimated_costs_quantities[[#This Row],[Bathroom Rehabilitation]]*BOQs!$L$11</f>
        <v>0</v>
      </c>
      <c r="AJ624" s="76"/>
      <c r="AK624" s="37"/>
      <c r="AL624" s="86">
        <f>tbl_estimated_costs_quantities[[#This Row],[Ceramic Tile Works WASH]]*BOQs!$L$12</f>
        <v>0</v>
      </c>
      <c r="AM624" s="76"/>
      <c r="AN624" s="37"/>
      <c r="AO624" s="86">
        <f>tbl_estimated_costs_quantities[[#This Row],[Electrical Repairs Lighting]]*BOQs!$L$13</f>
        <v>0</v>
      </c>
      <c r="AP624" s="76"/>
      <c r="AQ624" s="37"/>
      <c r="AR624" s="86">
        <f>tbl_estimated_costs_quantities[[#This Row],[Roof Insulation Leak Sealing]]*BOQs!$L$14</f>
        <v>0</v>
      </c>
      <c r="AS624" s="76"/>
      <c r="AT624" s="37"/>
      <c r="AU624" s="86">
        <f>tbl_estimated_costs_quantities[[#This Row],[Chimney Duct Cleaning Repair]]*BOQs!$L$15</f>
        <v>0</v>
      </c>
      <c r="AV624" s="76"/>
      <c r="AW624" s="37"/>
      <c r="AX624" s="89">
        <f>tbl_estimated_costs_quantities[[#This Row],[Accessibility Adaptations]]*BOQs!$L$16</f>
        <v>0</v>
      </c>
      <c r="AY624" s="86" t="str">
        <f>IF(tbl_estimated_costs_quantities[[#This Row],[Total cost]]&lt;&gt;0,tbl_estimated_costs_quantities[[#This Row],[Total cost]]/BOQs!$A$1,"")</f>
        <v/>
      </c>
      <c r="AZ624" s="37"/>
      <c r="BA624" s="37"/>
      <c r="BB624" s="37"/>
      <c r="BC624" s="37"/>
      <c r="BD624" s="41"/>
      <c r="BE624" s="37"/>
      <c r="BF624" s="37"/>
      <c r="BG624" s="37"/>
      <c r="BH624" s="41"/>
    </row>
    <row r="625" spans="2:60" ht="25.15" customHeight="1" x14ac:dyDescent="0.25">
      <c r="B625" s="49">
        <v>621</v>
      </c>
      <c r="C625" s="37"/>
      <c r="D625" s="41"/>
      <c r="E625" s="40"/>
      <c r="F625" s="87" t="str">
        <f>IF(tbl_estimated_costs_quantities[[#This Row],[House Code]]&lt;&gt;"",INDEX(tbl_Assessment[],MATCH(tbl_estimated_costs_quantities[[#This Row],[House Code]],tbl_Assessment[House Code],0),3),"")</f>
        <v/>
      </c>
      <c r="G625" s="115" t="str">
        <f>IF(tbl_estimated_costs_quantities[[#This Row],[House Code]]&lt;&gt;"",INDEX(tbl_Assessment[],MATCH(tbl_estimated_costs_quantities[[#This Row],[House Code]],tbl_Assessment[House Code],0),9),"")</f>
        <v/>
      </c>
      <c r="H62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5" s="75"/>
      <c r="J625" s="37"/>
      <c r="K625" s="86">
        <f>tbl_estimated_costs_quantities[[#This Row],[Site Preparation]]*BOQs!$L$3</f>
        <v>0</v>
      </c>
      <c r="L625" s="76"/>
      <c r="M625" s="37"/>
      <c r="N625" s="86">
        <f>tbl_estimated_costs_quantities[[#This Row],[Demolition Removal Unsafe Structures]]*BOQs!$L$4</f>
        <v>0</v>
      </c>
      <c r="O625" s="76"/>
      <c r="P625" s="37"/>
      <c r="Q625" s="86">
        <f>tbl_estimated_costs_quantities[[#This Row],[Concrete Works]]*BOQs!$L$5</f>
        <v>0</v>
      </c>
      <c r="R625" s="76"/>
      <c r="S625" s="37"/>
      <c r="T625" s="86">
        <f>tbl_estimated_costs_quantities[[#This Row],[Closure External Openings Walls Windows]]*BOQs!$L$6</f>
        <v>0</v>
      </c>
      <c r="U625" s="76"/>
      <c r="V625" s="37"/>
      <c r="W625" s="86">
        <f>tbl_estimated_costs_quantities[[#This Row],[Plastering Painting]]*BOQs!$L$7</f>
        <v>0</v>
      </c>
      <c r="X625" s="76"/>
      <c r="Y625" s="37"/>
      <c r="Z625" s="86">
        <f>tbl_estimated_costs_quantities[[#This Row],[Floor Repairs]]*BOQs!$L$8</f>
        <v>0</v>
      </c>
      <c r="AA625" s="76"/>
      <c r="AB625" s="37"/>
      <c r="AC625" s="86">
        <f>tbl_estimated_costs_quantities[[#This Row],[Doors Replacement Repair]]*BOQs!$L$9</f>
        <v>0</v>
      </c>
      <c r="AD625" s="76"/>
      <c r="AE625" s="37"/>
      <c r="AF625" s="86">
        <f>tbl_estimated_costs_quantities[[#This Row],[Windows Replacement Repair]]*BOQs!$L$10</f>
        <v>0</v>
      </c>
      <c r="AG625" s="76"/>
      <c r="AH625" s="37"/>
      <c r="AI625" s="86">
        <f>tbl_estimated_costs_quantities[[#This Row],[Bathroom Rehabilitation]]*BOQs!$L$11</f>
        <v>0</v>
      </c>
      <c r="AJ625" s="76"/>
      <c r="AK625" s="37"/>
      <c r="AL625" s="86">
        <f>tbl_estimated_costs_quantities[[#This Row],[Ceramic Tile Works WASH]]*BOQs!$L$12</f>
        <v>0</v>
      </c>
      <c r="AM625" s="76"/>
      <c r="AN625" s="37"/>
      <c r="AO625" s="86">
        <f>tbl_estimated_costs_quantities[[#This Row],[Electrical Repairs Lighting]]*BOQs!$L$13</f>
        <v>0</v>
      </c>
      <c r="AP625" s="76"/>
      <c r="AQ625" s="37"/>
      <c r="AR625" s="86">
        <f>tbl_estimated_costs_quantities[[#This Row],[Roof Insulation Leak Sealing]]*BOQs!$L$14</f>
        <v>0</v>
      </c>
      <c r="AS625" s="76"/>
      <c r="AT625" s="37"/>
      <c r="AU625" s="86">
        <f>tbl_estimated_costs_quantities[[#This Row],[Chimney Duct Cleaning Repair]]*BOQs!$L$15</f>
        <v>0</v>
      </c>
      <c r="AV625" s="76"/>
      <c r="AW625" s="37"/>
      <c r="AX625" s="89">
        <f>tbl_estimated_costs_quantities[[#This Row],[Accessibility Adaptations]]*BOQs!$L$16</f>
        <v>0</v>
      </c>
      <c r="AY625" s="86" t="str">
        <f>IF(tbl_estimated_costs_quantities[[#This Row],[Total cost]]&lt;&gt;0,tbl_estimated_costs_quantities[[#This Row],[Total cost]]/BOQs!$A$1,"")</f>
        <v/>
      </c>
      <c r="AZ625" s="37"/>
      <c r="BA625" s="37"/>
      <c r="BB625" s="37"/>
      <c r="BC625" s="37"/>
      <c r="BD625" s="41"/>
      <c r="BE625" s="37"/>
      <c r="BF625" s="37"/>
      <c r="BG625" s="37"/>
      <c r="BH625" s="41"/>
    </row>
    <row r="626" spans="2:60" ht="25.15" customHeight="1" x14ac:dyDescent="0.25">
      <c r="B626" s="49">
        <v>622</v>
      </c>
      <c r="C626" s="37"/>
      <c r="D626" s="41"/>
      <c r="E626" s="40"/>
      <c r="F626" s="87" t="str">
        <f>IF(tbl_estimated_costs_quantities[[#This Row],[House Code]]&lt;&gt;"",INDEX(tbl_Assessment[],MATCH(tbl_estimated_costs_quantities[[#This Row],[House Code]],tbl_Assessment[House Code],0),3),"")</f>
        <v/>
      </c>
      <c r="G626" s="115" t="str">
        <f>IF(tbl_estimated_costs_quantities[[#This Row],[House Code]]&lt;&gt;"",INDEX(tbl_Assessment[],MATCH(tbl_estimated_costs_quantities[[#This Row],[House Code]],tbl_Assessment[House Code],0),9),"")</f>
        <v/>
      </c>
      <c r="H62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6" s="75"/>
      <c r="J626" s="37"/>
      <c r="K626" s="86">
        <f>tbl_estimated_costs_quantities[[#This Row],[Site Preparation]]*BOQs!$L$3</f>
        <v>0</v>
      </c>
      <c r="L626" s="76"/>
      <c r="M626" s="37"/>
      <c r="N626" s="86">
        <f>tbl_estimated_costs_quantities[[#This Row],[Demolition Removal Unsafe Structures]]*BOQs!$L$4</f>
        <v>0</v>
      </c>
      <c r="O626" s="76"/>
      <c r="P626" s="37"/>
      <c r="Q626" s="86">
        <f>tbl_estimated_costs_quantities[[#This Row],[Concrete Works]]*BOQs!$L$5</f>
        <v>0</v>
      </c>
      <c r="R626" s="76"/>
      <c r="S626" s="37"/>
      <c r="T626" s="86">
        <f>tbl_estimated_costs_quantities[[#This Row],[Closure External Openings Walls Windows]]*BOQs!$L$6</f>
        <v>0</v>
      </c>
      <c r="U626" s="76"/>
      <c r="V626" s="37"/>
      <c r="W626" s="86">
        <f>tbl_estimated_costs_quantities[[#This Row],[Plastering Painting]]*BOQs!$L$7</f>
        <v>0</v>
      </c>
      <c r="X626" s="76"/>
      <c r="Y626" s="37"/>
      <c r="Z626" s="86">
        <f>tbl_estimated_costs_quantities[[#This Row],[Floor Repairs]]*BOQs!$L$8</f>
        <v>0</v>
      </c>
      <c r="AA626" s="76"/>
      <c r="AB626" s="37"/>
      <c r="AC626" s="86">
        <f>tbl_estimated_costs_quantities[[#This Row],[Doors Replacement Repair]]*BOQs!$L$9</f>
        <v>0</v>
      </c>
      <c r="AD626" s="76"/>
      <c r="AE626" s="37"/>
      <c r="AF626" s="86">
        <f>tbl_estimated_costs_quantities[[#This Row],[Windows Replacement Repair]]*BOQs!$L$10</f>
        <v>0</v>
      </c>
      <c r="AG626" s="76"/>
      <c r="AH626" s="37"/>
      <c r="AI626" s="86">
        <f>tbl_estimated_costs_quantities[[#This Row],[Bathroom Rehabilitation]]*BOQs!$L$11</f>
        <v>0</v>
      </c>
      <c r="AJ626" s="76"/>
      <c r="AK626" s="37"/>
      <c r="AL626" s="86">
        <f>tbl_estimated_costs_quantities[[#This Row],[Ceramic Tile Works WASH]]*BOQs!$L$12</f>
        <v>0</v>
      </c>
      <c r="AM626" s="76"/>
      <c r="AN626" s="37"/>
      <c r="AO626" s="86">
        <f>tbl_estimated_costs_quantities[[#This Row],[Electrical Repairs Lighting]]*BOQs!$L$13</f>
        <v>0</v>
      </c>
      <c r="AP626" s="76"/>
      <c r="AQ626" s="37"/>
      <c r="AR626" s="86">
        <f>tbl_estimated_costs_quantities[[#This Row],[Roof Insulation Leak Sealing]]*BOQs!$L$14</f>
        <v>0</v>
      </c>
      <c r="AS626" s="76"/>
      <c r="AT626" s="37"/>
      <c r="AU626" s="86">
        <f>tbl_estimated_costs_quantities[[#This Row],[Chimney Duct Cleaning Repair]]*BOQs!$L$15</f>
        <v>0</v>
      </c>
      <c r="AV626" s="76"/>
      <c r="AW626" s="37"/>
      <c r="AX626" s="89">
        <f>tbl_estimated_costs_quantities[[#This Row],[Accessibility Adaptations]]*BOQs!$L$16</f>
        <v>0</v>
      </c>
      <c r="AY626" s="86" t="str">
        <f>IF(tbl_estimated_costs_quantities[[#This Row],[Total cost]]&lt;&gt;0,tbl_estimated_costs_quantities[[#This Row],[Total cost]]/BOQs!$A$1,"")</f>
        <v/>
      </c>
      <c r="AZ626" s="37"/>
      <c r="BA626" s="37"/>
      <c r="BB626" s="37"/>
      <c r="BC626" s="37"/>
      <c r="BD626" s="41"/>
      <c r="BE626" s="37"/>
      <c r="BF626" s="37"/>
      <c r="BG626" s="37"/>
      <c r="BH626" s="41"/>
    </row>
    <row r="627" spans="2:60" ht="25.15" customHeight="1" x14ac:dyDescent="0.25">
      <c r="B627" s="49">
        <v>623</v>
      </c>
      <c r="C627" s="37"/>
      <c r="D627" s="41"/>
      <c r="E627" s="40"/>
      <c r="F627" s="87" t="str">
        <f>IF(tbl_estimated_costs_quantities[[#This Row],[House Code]]&lt;&gt;"",INDEX(tbl_Assessment[],MATCH(tbl_estimated_costs_quantities[[#This Row],[House Code]],tbl_Assessment[House Code],0),3),"")</f>
        <v/>
      </c>
      <c r="G627" s="115" t="str">
        <f>IF(tbl_estimated_costs_quantities[[#This Row],[House Code]]&lt;&gt;"",INDEX(tbl_Assessment[],MATCH(tbl_estimated_costs_quantities[[#This Row],[House Code]],tbl_Assessment[House Code],0),9),"")</f>
        <v/>
      </c>
      <c r="H62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7" s="75"/>
      <c r="J627" s="37"/>
      <c r="K627" s="86">
        <f>tbl_estimated_costs_quantities[[#This Row],[Site Preparation]]*BOQs!$L$3</f>
        <v>0</v>
      </c>
      <c r="L627" s="76"/>
      <c r="M627" s="37"/>
      <c r="N627" s="86">
        <f>tbl_estimated_costs_quantities[[#This Row],[Demolition Removal Unsafe Structures]]*BOQs!$L$4</f>
        <v>0</v>
      </c>
      <c r="O627" s="76"/>
      <c r="P627" s="37"/>
      <c r="Q627" s="86">
        <f>tbl_estimated_costs_quantities[[#This Row],[Concrete Works]]*BOQs!$L$5</f>
        <v>0</v>
      </c>
      <c r="R627" s="76"/>
      <c r="S627" s="37"/>
      <c r="T627" s="86">
        <f>tbl_estimated_costs_quantities[[#This Row],[Closure External Openings Walls Windows]]*BOQs!$L$6</f>
        <v>0</v>
      </c>
      <c r="U627" s="76"/>
      <c r="V627" s="37"/>
      <c r="W627" s="86">
        <f>tbl_estimated_costs_quantities[[#This Row],[Plastering Painting]]*BOQs!$L$7</f>
        <v>0</v>
      </c>
      <c r="X627" s="76"/>
      <c r="Y627" s="37"/>
      <c r="Z627" s="86">
        <f>tbl_estimated_costs_quantities[[#This Row],[Floor Repairs]]*BOQs!$L$8</f>
        <v>0</v>
      </c>
      <c r="AA627" s="76"/>
      <c r="AB627" s="37"/>
      <c r="AC627" s="86">
        <f>tbl_estimated_costs_quantities[[#This Row],[Doors Replacement Repair]]*BOQs!$L$9</f>
        <v>0</v>
      </c>
      <c r="AD627" s="76"/>
      <c r="AE627" s="37"/>
      <c r="AF627" s="86">
        <f>tbl_estimated_costs_quantities[[#This Row],[Windows Replacement Repair]]*BOQs!$L$10</f>
        <v>0</v>
      </c>
      <c r="AG627" s="76"/>
      <c r="AH627" s="37"/>
      <c r="AI627" s="86">
        <f>tbl_estimated_costs_quantities[[#This Row],[Bathroom Rehabilitation]]*BOQs!$L$11</f>
        <v>0</v>
      </c>
      <c r="AJ627" s="76"/>
      <c r="AK627" s="37"/>
      <c r="AL627" s="86">
        <f>tbl_estimated_costs_quantities[[#This Row],[Ceramic Tile Works WASH]]*BOQs!$L$12</f>
        <v>0</v>
      </c>
      <c r="AM627" s="76"/>
      <c r="AN627" s="37"/>
      <c r="AO627" s="86">
        <f>tbl_estimated_costs_quantities[[#This Row],[Electrical Repairs Lighting]]*BOQs!$L$13</f>
        <v>0</v>
      </c>
      <c r="AP627" s="76"/>
      <c r="AQ627" s="37"/>
      <c r="AR627" s="86">
        <f>tbl_estimated_costs_quantities[[#This Row],[Roof Insulation Leak Sealing]]*BOQs!$L$14</f>
        <v>0</v>
      </c>
      <c r="AS627" s="76"/>
      <c r="AT627" s="37"/>
      <c r="AU627" s="86">
        <f>tbl_estimated_costs_quantities[[#This Row],[Chimney Duct Cleaning Repair]]*BOQs!$L$15</f>
        <v>0</v>
      </c>
      <c r="AV627" s="76"/>
      <c r="AW627" s="37"/>
      <c r="AX627" s="89">
        <f>tbl_estimated_costs_quantities[[#This Row],[Accessibility Adaptations]]*BOQs!$L$16</f>
        <v>0</v>
      </c>
      <c r="AY627" s="86" t="str">
        <f>IF(tbl_estimated_costs_quantities[[#This Row],[Total cost]]&lt;&gt;0,tbl_estimated_costs_quantities[[#This Row],[Total cost]]/BOQs!$A$1,"")</f>
        <v/>
      </c>
      <c r="AZ627" s="37"/>
      <c r="BA627" s="37"/>
      <c r="BB627" s="37"/>
      <c r="BC627" s="37"/>
      <c r="BD627" s="41"/>
      <c r="BE627" s="37"/>
      <c r="BF627" s="37"/>
      <c r="BG627" s="37"/>
      <c r="BH627" s="41"/>
    </row>
    <row r="628" spans="2:60" ht="25.15" customHeight="1" x14ac:dyDescent="0.25">
      <c r="B628" s="49">
        <v>624</v>
      </c>
      <c r="C628" s="37"/>
      <c r="D628" s="41"/>
      <c r="E628" s="40"/>
      <c r="F628" s="87" t="str">
        <f>IF(tbl_estimated_costs_quantities[[#This Row],[House Code]]&lt;&gt;"",INDEX(tbl_Assessment[],MATCH(tbl_estimated_costs_quantities[[#This Row],[House Code]],tbl_Assessment[House Code],0),3),"")</f>
        <v/>
      </c>
      <c r="G628" s="115" t="str">
        <f>IF(tbl_estimated_costs_quantities[[#This Row],[House Code]]&lt;&gt;"",INDEX(tbl_Assessment[],MATCH(tbl_estimated_costs_quantities[[#This Row],[House Code]],tbl_Assessment[House Code],0),9),"")</f>
        <v/>
      </c>
      <c r="H62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8" s="75"/>
      <c r="J628" s="37"/>
      <c r="K628" s="86">
        <f>tbl_estimated_costs_quantities[[#This Row],[Site Preparation]]*BOQs!$L$3</f>
        <v>0</v>
      </c>
      <c r="L628" s="76"/>
      <c r="M628" s="37"/>
      <c r="N628" s="86">
        <f>tbl_estimated_costs_quantities[[#This Row],[Demolition Removal Unsafe Structures]]*BOQs!$L$4</f>
        <v>0</v>
      </c>
      <c r="O628" s="76"/>
      <c r="P628" s="37"/>
      <c r="Q628" s="86">
        <f>tbl_estimated_costs_quantities[[#This Row],[Concrete Works]]*BOQs!$L$5</f>
        <v>0</v>
      </c>
      <c r="R628" s="76"/>
      <c r="S628" s="37"/>
      <c r="T628" s="86">
        <f>tbl_estimated_costs_quantities[[#This Row],[Closure External Openings Walls Windows]]*BOQs!$L$6</f>
        <v>0</v>
      </c>
      <c r="U628" s="76"/>
      <c r="V628" s="37"/>
      <c r="W628" s="86">
        <f>tbl_estimated_costs_quantities[[#This Row],[Plastering Painting]]*BOQs!$L$7</f>
        <v>0</v>
      </c>
      <c r="X628" s="76"/>
      <c r="Y628" s="37"/>
      <c r="Z628" s="86">
        <f>tbl_estimated_costs_quantities[[#This Row],[Floor Repairs]]*BOQs!$L$8</f>
        <v>0</v>
      </c>
      <c r="AA628" s="76"/>
      <c r="AB628" s="37"/>
      <c r="AC628" s="86">
        <f>tbl_estimated_costs_quantities[[#This Row],[Doors Replacement Repair]]*BOQs!$L$9</f>
        <v>0</v>
      </c>
      <c r="AD628" s="76"/>
      <c r="AE628" s="37"/>
      <c r="AF628" s="86">
        <f>tbl_estimated_costs_quantities[[#This Row],[Windows Replacement Repair]]*BOQs!$L$10</f>
        <v>0</v>
      </c>
      <c r="AG628" s="76"/>
      <c r="AH628" s="37"/>
      <c r="AI628" s="86">
        <f>tbl_estimated_costs_quantities[[#This Row],[Bathroom Rehabilitation]]*BOQs!$L$11</f>
        <v>0</v>
      </c>
      <c r="AJ628" s="76"/>
      <c r="AK628" s="37"/>
      <c r="AL628" s="86">
        <f>tbl_estimated_costs_quantities[[#This Row],[Ceramic Tile Works WASH]]*BOQs!$L$12</f>
        <v>0</v>
      </c>
      <c r="AM628" s="76"/>
      <c r="AN628" s="37"/>
      <c r="AO628" s="86">
        <f>tbl_estimated_costs_quantities[[#This Row],[Electrical Repairs Lighting]]*BOQs!$L$13</f>
        <v>0</v>
      </c>
      <c r="AP628" s="76"/>
      <c r="AQ628" s="37"/>
      <c r="AR628" s="86">
        <f>tbl_estimated_costs_quantities[[#This Row],[Roof Insulation Leak Sealing]]*BOQs!$L$14</f>
        <v>0</v>
      </c>
      <c r="AS628" s="76"/>
      <c r="AT628" s="37"/>
      <c r="AU628" s="86">
        <f>tbl_estimated_costs_quantities[[#This Row],[Chimney Duct Cleaning Repair]]*BOQs!$L$15</f>
        <v>0</v>
      </c>
      <c r="AV628" s="76"/>
      <c r="AW628" s="37"/>
      <c r="AX628" s="89">
        <f>tbl_estimated_costs_quantities[[#This Row],[Accessibility Adaptations]]*BOQs!$L$16</f>
        <v>0</v>
      </c>
      <c r="AY628" s="86" t="str">
        <f>IF(tbl_estimated_costs_quantities[[#This Row],[Total cost]]&lt;&gt;0,tbl_estimated_costs_quantities[[#This Row],[Total cost]]/BOQs!$A$1,"")</f>
        <v/>
      </c>
      <c r="AZ628" s="37"/>
      <c r="BA628" s="37"/>
      <c r="BB628" s="37"/>
      <c r="BC628" s="37"/>
      <c r="BD628" s="41"/>
      <c r="BE628" s="37"/>
      <c r="BF628" s="37"/>
      <c r="BG628" s="37"/>
      <c r="BH628" s="41"/>
    </row>
    <row r="629" spans="2:60" ht="25.15" customHeight="1" x14ac:dyDescent="0.25">
      <c r="B629" s="49">
        <v>625</v>
      </c>
      <c r="C629" s="37"/>
      <c r="D629" s="41"/>
      <c r="E629" s="40"/>
      <c r="F629" s="87" t="str">
        <f>IF(tbl_estimated_costs_quantities[[#This Row],[House Code]]&lt;&gt;"",INDEX(tbl_Assessment[],MATCH(tbl_estimated_costs_quantities[[#This Row],[House Code]],tbl_Assessment[House Code],0),3),"")</f>
        <v/>
      </c>
      <c r="G629" s="115" t="str">
        <f>IF(tbl_estimated_costs_quantities[[#This Row],[House Code]]&lt;&gt;"",INDEX(tbl_Assessment[],MATCH(tbl_estimated_costs_quantities[[#This Row],[House Code]],tbl_Assessment[House Code],0),9),"")</f>
        <v/>
      </c>
      <c r="H62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29" s="75"/>
      <c r="J629" s="37"/>
      <c r="K629" s="86">
        <f>tbl_estimated_costs_quantities[[#This Row],[Site Preparation]]*BOQs!$L$3</f>
        <v>0</v>
      </c>
      <c r="L629" s="76"/>
      <c r="M629" s="37"/>
      <c r="N629" s="86">
        <f>tbl_estimated_costs_quantities[[#This Row],[Demolition Removal Unsafe Structures]]*BOQs!$L$4</f>
        <v>0</v>
      </c>
      <c r="O629" s="76"/>
      <c r="P629" s="37"/>
      <c r="Q629" s="86">
        <f>tbl_estimated_costs_quantities[[#This Row],[Concrete Works]]*BOQs!$L$5</f>
        <v>0</v>
      </c>
      <c r="R629" s="76"/>
      <c r="S629" s="37"/>
      <c r="T629" s="86">
        <f>tbl_estimated_costs_quantities[[#This Row],[Closure External Openings Walls Windows]]*BOQs!$L$6</f>
        <v>0</v>
      </c>
      <c r="U629" s="76"/>
      <c r="V629" s="37"/>
      <c r="W629" s="86">
        <f>tbl_estimated_costs_quantities[[#This Row],[Plastering Painting]]*BOQs!$L$7</f>
        <v>0</v>
      </c>
      <c r="X629" s="76"/>
      <c r="Y629" s="37"/>
      <c r="Z629" s="86">
        <f>tbl_estimated_costs_quantities[[#This Row],[Floor Repairs]]*BOQs!$L$8</f>
        <v>0</v>
      </c>
      <c r="AA629" s="76"/>
      <c r="AB629" s="37"/>
      <c r="AC629" s="86">
        <f>tbl_estimated_costs_quantities[[#This Row],[Doors Replacement Repair]]*BOQs!$L$9</f>
        <v>0</v>
      </c>
      <c r="AD629" s="76"/>
      <c r="AE629" s="37"/>
      <c r="AF629" s="86">
        <f>tbl_estimated_costs_quantities[[#This Row],[Windows Replacement Repair]]*BOQs!$L$10</f>
        <v>0</v>
      </c>
      <c r="AG629" s="76"/>
      <c r="AH629" s="37"/>
      <c r="AI629" s="86">
        <f>tbl_estimated_costs_quantities[[#This Row],[Bathroom Rehabilitation]]*BOQs!$L$11</f>
        <v>0</v>
      </c>
      <c r="AJ629" s="76"/>
      <c r="AK629" s="37"/>
      <c r="AL629" s="86">
        <f>tbl_estimated_costs_quantities[[#This Row],[Ceramic Tile Works WASH]]*BOQs!$L$12</f>
        <v>0</v>
      </c>
      <c r="AM629" s="76"/>
      <c r="AN629" s="37"/>
      <c r="AO629" s="86">
        <f>tbl_estimated_costs_quantities[[#This Row],[Electrical Repairs Lighting]]*BOQs!$L$13</f>
        <v>0</v>
      </c>
      <c r="AP629" s="76"/>
      <c r="AQ629" s="37"/>
      <c r="AR629" s="86">
        <f>tbl_estimated_costs_quantities[[#This Row],[Roof Insulation Leak Sealing]]*BOQs!$L$14</f>
        <v>0</v>
      </c>
      <c r="AS629" s="76"/>
      <c r="AT629" s="37"/>
      <c r="AU629" s="86">
        <f>tbl_estimated_costs_quantities[[#This Row],[Chimney Duct Cleaning Repair]]*BOQs!$L$15</f>
        <v>0</v>
      </c>
      <c r="AV629" s="76"/>
      <c r="AW629" s="37"/>
      <c r="AX629" s="89">
        <f>tbl_estimated_costs_quantities[[#This Row],[Accessibility Adaptations]]*BOQs!$L$16</f>
        <v>0</v>
      </c>
      <c r="AY629" s="86" t="str">
        <f>IF(tbl_estimated_costs_quantities[[#This Row],[Total cost]]&lt;&gt;0,tbl_estimated_costs_quantities[[#This Row],[Total cost]]/BOQs!$A$1,"")</f>
        <v/>
      </c>
      <c r="AZ629" s="37"/>
      <c r="BA629" s="37"/>
      <c r="BB629" s="37"/>
      <c r="BC629" s="37"/>
      <c r="BD629" s="41"/>
      <c r="BE629" s="37"/>
      <c r="BF629" s="37"/>
      <c r="BG629" s="37"/>
      <c r="BH629" s="41"/>
    </row>
    <row r="630" spans="2:60" ht="25.15" customHeight="1" x14ac:dyDescent="0.25">
      <c r="B630" s="49">
        <v>626</v>
      </c>
      <c r="C630" s="37"/>
      <c r="D630" s="41"/>
      <c r="E630" s="40"/>
      <c r="F630" s="87" t="str">
        <f>IF(tbl_estimated_costs_quantities[[#This Row],[House Code]]&lt;&gt;"",INDEX(tbl_Assessment[],MATCH(tbl_estimated_costs_quantities[[#This Row],[House Code]],tbl_Assessment[House Code],0),3),"")</f>
        <v/>
      </c>
      <c r="G630" s="115" t="str">
        <f>IF(tbl_estimated_costs_quantities[[#This Row],[House Code]]&lt;&gt;"",INDEX(tbl_Assessment[],MATCH(tbl_estimated_costs_quantities[[#This Row],[House Code]],tbl_Assessment[House Code],0),9),"")</f>
        <v/>
      </c>
      <c r="H63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0" s="75"/>
      <c r="J630" s="37"/>
      <c r="K630" s="86">
        <f>tbl_estimated_costs_quantities[[#This Row],[Site Preparation]]*BOQs!$L$3</f>
        <v>0</v>
      </c>
      <c r="L630" s="76"/>
      <c r="M630" s="37"/>
      <c r="N630" s="86">
        <f>tbl_estimated_costs_quantities[[#This Row],[Demolition Removal Unsafe Structures]]*BOQs!$L$4</f>
        <v>0</v>
      </c>
      <c r="O630" s="76"/>
      <c r="P630" s="37"/>
      <c r="Q630" s="86">
        <f>tbl_estimated_costs_quantities[[#This Row],[Concrete Works]]*BOQs!$L$5</f>
        <v>0</v>
      </c>
      <c r="R630" s="76"/>
      <c r="S630" s="37"/>
      <c r="T630" s="86">
        <f>tbl_estimated_costs_quantities[[#This Row],[Closure External Openings Walls Windows]]*BOQs!$L$6</f>
        <v>0</v>
      </c>
      <c r="U630" s="76"/>
      <c r="V630" s="37"/>
      <c r="W630" s="86">
        <f>tbl_estimated_costs_quantities[[#This Row],[Plastering Painting]]*BOQs!$L$7</f>
        <v>0</v>
      </c>
      <c r="X630" s="76"/>
      <c r="Y630" s="37"/>
      <c r="Z630" s="86">
        <f>tbl_estimated_costs_quantities[[#This Row],[Floor Repairs]]*BOQs!$L$8</f>
        <v>0</v>
      </c>
      <c r="AA630" s="76"/>
      <c r="AB630" s="37"/>
      <c r="AC630" s="86">
        <f>tbl_estimated_costs_quantities[[#This Row],[Doors Replacement Repair]]*BOQs!$L$9</f>
        <v>0</v>
      </c>
      <c r="AD630" s="76"/>
      <c r="AE630" s="37"/>
      <c r="AF630" s="86">
        <f>tbl_estimated_costs_quantities[[#This Row],[Windows Replacement Repair]]*BOQs!$L$10</f>
        <v>0</v>
      </c>
      <c r="AG630" s="76"/>
      <c r="AH630" s="37"/>
      <c r="AI630" s="86">
        <f>tbl_estimated_costs_quantities[[#This Row],[Bathroom Rehabilitation]]*BOQs!$L$11</f>
        <v>0</v>
      </c>
      <c r="AJ630" s="76"/>
      <c r="AK630" s="37"/>
      <c r="AL630" s="86">
        <f>tbl_estimated_costs_quantities[[#This Row],[Ceramic Tile Works WASH]]*BOQs!$L$12</f>
        <v>0</v>
      </c>
      <c r="AM630" s="76"/>
      <c r="AN630" s="37"/>
      <c r="AO630" s="86">
        <f>tbl_estimated_costs_quantities[[#This Row],[Electrical Repairs Lighting]]*BOQs!$L$13</f>
        <v>0</v>
      </c>
      <c r="AP630" s="76"/>
      <c r="AQ630" s="37"/>
      <c r="AR630" s="86">
        <f>tbl_estimated_costs_quantities[[#This Row],[Roof Insulation Leak Sealing]]*BOQs!$L$14</f>
        <v>0</v>
      </c>
      <c r="AS630" s="76"/>
      <c r="AT630" s="37"/>
      <c r="AU630" s="86">
        <f>tbl_estimated_costs_quantities[[#This Row],[Chimney Duct Cleaning Repair]]*BOQs!$L$15</f>
        <v>0</v>
      </c>
      <c r="AV630" s="76"/>
      <c r="AW630" s="37"/>
      <c r="AX630" s="89">
        <f>tbl_estimated_costs_quantities[[#This Row],[Accessibility Adaptations]]*BOQs!$L$16</f>
        <v>0</v>
      </c>
      <c r="AY630" s="86" t="str">
        <f>IF(tbl_estimated_costs_quantities[[#This Row],[Total cost]]&lt;&gt;0,tbl_estimated_costs_quantities[[#This Row],[Total cost]]/BOQs!$A$1,"")</f>
        <v/>
      </c>
      <c r="AZ630" s="37"/>
      <c r="BA630" s="37"/>
      <c r="BB630" s="37"/>
      <c r="BC630" s="37"/>
      <c r="BD630" s="41"/>
      <c r="BE630" s="37"/>
      <c r="BF630" s="37"/>
      <c r="BG630" s="37"/>
      <c r="BH630" s="41"/>
    </row>
    <row r="631" spans="2:60" ht="25.15" customHeight="1" x14ac:dyDescent="0.25">
      <c r="B631" s="49">
        <v>627</v>
      </c>
      <c r="C631" s="37"/>
      <c r="D631" s="41"/>
      <c r="E631" s="40"/>
      <c r="F631" s="87" t="str">
        <f>IF(tbl_estimated_costs_quantities[[#This Row],[House Code]]&lt;&gt;"",INDEX(tbl_Assessment[],MATCH(tbl_estimated_costs_quantities[[#This Row],[House Code]],tbl_Assessment[House Code],0),3),"")</f>
        <v/>
      </c>
      <c r="G631" s="115" t="str">
        <f>IF(tbl_estimated_costs_quantities[[#This Row],[House Code]]&lt;&gt;"",INDEX(tbl_Assessment[],MATCH(tbl_estimated_costs_quantities[[#This Row],[House Code]],tbl_Assessment[House Code],0),9),"")</f>
        <v/>
      </c>
      <c r="H63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1" s="75"/>
      <c r="J631" s="37"/>
      <c r="K631" s="86">
        <f>tbl_estimated_costs_quantities[[#This Row],[Site Preparation]]*BOQs!$L$3</f>
        <v>0</v>
      </c>
      <c r="L631" s="76"/>
      <c r="M631" s="37"/>
      <c r="N631" s="86">
        <f>tbl_estimated_costs_quantities[[#This Row],[Demolition Removal Unsafe Structures]]*BOQs!$L$4</f>
        <v>0</v>
      </c>
      <c r="O631" s="76"/>
      <c r="P631" s="37"/>
      <c r="Q631" s="86">
        <f>tbl_estimated_costs_quantities[[#This Row],[Concrete Works]]*BOQs!$L$5</f>
        <v>0</v>
      </c>
      <c r="R631" s="76"/>
      <c r="S631" s="37"/>
      <c r="T631" s="86">
        <f>tbl_estimated_costs_quantities[[#This Row],[Closure External Openings Walls Windows]]*BOQs!$L$6</f>
        <v>0</v>
      </c>
      <c r="U631" s="76"/>
      <c r="V631" s="37"/>
      <c r="W631" s="86">
        <f>tbl_estimated_costs_quantities[[#This Row],[Plastering Painting]]*BOQs!$L$7</f>
        <v>0</v>
      </c>
      <c r="X631" s="76"/>
      <c r="Y631" s="37"/>
      <c r="Z631" s="86">
        <f>tbl_estimated_costs_quantities[[#This Row],[Floor Repairs]]*BOQs!$L$8</f>
        <v>0</v>
      </c>
      <c r="AA631" s="76"/>
      <c r="AB631" s="37"/>
      <c r="AC631" s="86">
        <f>tbl_estimated_costs_quantities[[#This Row],[Doors Replacement Repair]]*BOQs!$L$9</f>
        <v>0</v>
      </c>
      <c r="AD631" s="76"/>
      <c r="AE631" s="37"/>
      <c r="AF631" s="86">
        <f>tbl_estimated_costs_quantities[[#This Row],[Windows Replacement Repair]]*BOQs!$L$10</f>
        <v>0</v>
      </c>
      <c r="AG631" s="76"/>
      <c r="AH631" s="37"/>
      <c r="AI631" s="86">
        <f>tbl_estimated_costs_quantities[[#This Row],[Bathroom Rehabilitation]]*BOQs!$L$11</f>
        <v>0</v>
      </c>
      <c r="AJ631" s="76"/>
      <c r="AK631" s="37"/>
      <c r="AL631" s="86">
        <f>tbl_estimated_costs_quantities[[#This Row],[Ceramic Tile Works WASH]]*BOQs!$L$12</f>
        <v>0</v>
      </c>
      <c r="AM631" s="76"/>
      <c r="AN631" s="37"/>
      <c r="AO631" s="86">
        <f>tbl_estimated_costs_quantities[[#This Row],[Electrical Repairs Lighting]]*BOQs!$L$13</f>
        <v>0</v>
      </c>
      <c r="AP631" s="76"/>
      <c r="AQ631" s="37"/>
      <c r="AR631" s="86">
        <f>tbl_estimated_costs_quantities[[#This Row],[Roof Insulation Leak Sealing]]*BOQs!$L$14</f>
        <v>0</v>
      </c>
      <c r="AS631" s="76"/>
      <c r="AT631" s="37"/>
      <c r="AU631" s="86">
        <f>tbl_estimated_costs_quantities[[#This Row],[Chimney Duct Cleaning Repair]]*BOQs!$L$15</f>
        <v>0</v>
      </c>
      <c r="AV631" s="76"/>
      <c r="AW631" s="37"/>
      <c r="AX631" s="89">
        <f>tbl_estimated_costs_quantities[[#This Row],[Accessibility Adaptations]]*BOQs!$L$16</f>
        <v>0</v>
      </c>
      <c r="AY631" s="86" t="str">
        <f>IF(tbl_estimated_costs_quantities[[#This Row],[Total cost]]&lt;&gt;0,tbl_estimated_costs_quantities[[#This Row],[Total cost]]/BOQs!$A$1,"")</f>
        <v/>
      </c>
      <c r="AZ631" s="37"/>
      <c r="BA631" s="37"/>
      <c r="BB631" s="37"/>
      <c r="BC631" s="37"/>
      <c r="BD631" s="41"/>
      <c r="BE631" s="37"/>
      <c r="BF631" s="37"/>
      <c r="BG631" s="37"/>
      <c r="BH631" s="41"/>
    </row>
    <row r="632" spans="2:60" ht="25.15" customHeight="1" x14ac:dyDescent="0.25">
      <c r="B632" s="49">
        <v>628</v>
      </c>
      <c r="C632" s="37"/>
      <c r="D632" s="41"/>
      <c r="E632" s="40"/>
      <c r="F632" s="87" t="str">
        <f>IF(tbl_estimated_costs_quantities[[#This Row],[House Code]]&lt;&gt;"",INDEX(tbl_Assessment[],MATCH(tbl_estimated_costs_quantities[[#This Row],[House Code]],tbl_Assessment[House Code],0),3),"")</f>
        <v/>
      </c>
      <c r="G632" s="115" t="str">
        <f>IF(tbl_estimated_costs_quantities[[#This Row],[House Code]]&lt;&gt;"",INDEX(tbl_Assessment[],MATCH(tbl_estimated_costs_quantities[[#This Row],[House Code]],tbl_Assessment[House Code],0),9),"")</f>
        <v/>
      </c>
      <c r="H63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2" s="75"/>
      <c r="J632" s="37"/>
      <c r="K632" s="86">
        <f>tbl_estimated_costs_quantities[[#This Row],[Site Preparation]]*BOQs!$L$3</f>
        <v>0</v>
      </c>
      <c r="L632" s="76"/>
      <c r="M632" s="37"/>
      <c r="N632" s="86">
        <f>tbl_estimated_costs_quantities[[#This Row],[Demolition Removal Unsafe Structures]]*BOQs!$L$4</f>
        <v>0</v>
      </c>
      <c r="O632" s="76"/>
      <c r="P632" s="37"/>
      <c r="Q632" s="86">
        <f>tbl_estimated_costs_quantities[[#This Row],[Concrete Works]]*BOQs!$L$5</f>
        <v>0</v>
      </c>
      <c r="R632" s="76"/>
      <c r="S632" s="37"/>
      <c r="T632" s="86">
        <f>tbl_estimated_costs_quantities[[#This Row],[Closure External Openings Walls Windows]]*BOQs!$L$6</f>
        <v>0</v>
      </c>
      <c r="U632" s="76"/>
      <c r="V632" s="37"/>
      <c r="W632" s="86">
        <f>tbl_estimated_costs_quantities[[#This Row],[Plastering Painting]]*BOQs!$L$7</f>
        <v>0</v>
      </c>
      <c r="X632" s="76"/>
      <c r="Y632" s="37"/>
      <c r="Z632" s="86">
        <f>tbl_estimated_costs_quantities[[#This Row],[Floor Repairs]]*BOQs!$L$8</f>
        <v>0</v>
      </c>
      <c r="AA632" s="76"/>
      <c r="AB632" s="37"/>
      <c r="AC632" s="86">
        <f>tbl_estimated_costs_quantities[[#This Row],[Doors Replacement Repair]]*BOQs!$L$9</f>
        <v>0</v>
      </c>
      <c r="AD632" s="76"/>
      <c r="AE632" s="37"/>
      <c r="AF632" s="86">
        <f>tbl_estimated_costs_quantities[[#This Row],[Windows Replacement Repair]]*BOQs!$L$10</f>
        <v>0</v>
      </c>
      <c r="AG632" s="76"/>
      <c r="AH632" s="37"/>
      <c r="AI632" s="86">
        <f>tbl_estimated_costs_quantities[[#This Row],[Bathroom Rehabilitation]]*BOQs!$L$11</f>
        <v>0</v>
      </c>
      <c r="AJ632" s="76"/>
      <c r="AK632" s="37"/>
      <c r="AL632" s="86">
        <f>tbl_estimated_costs_quantities[[#This Row],[Ceramic Tile Works WASH]]*BOQs!$L$12</f>
        <v>0</v>
      </c>
      <c r="AM632" s="76"/>
      <c r="AN632" s="37"/>
      <c r="AO632" s="86">
        <f>tbl_estimated_costs_quantities[[#This Row],[Electrical Repairs Lighting]]*BOQs!$L$13</f>
        <v>0</v>
      </c>
      <c r="AP632" s="76"/>
      <c r="AQ632" s="37"/>
      <c r="AR632" s="86">
        <f>tbl_estimated_costs_quantities[[#This Row],[Roof Insulation Leak Sealing]]*BOQs!$L$14</f>
        <v>0</v>
      </c>
      <c r="AS632" s="76"/>
      <c r="AT632" s="37"/>
      <c r="AU632" s="86">
        <f>tbl_estimated_costs_quantities[[#This Row],[Chimney Duct Cleaning Repair]]*BOQs!$L$15</f>
        <v>0</v>
      </c>
      <c r="AV632" s="76"/>
      <c r="AW632" s="37"/>
      <c r="AX632" s="89">
        <f>tbl_estimated_costs_quantities[[#This Row],[Accessibility Adaptations]]*BOQs!$L$16</f>
        <v>0</v>
      </c>
      <c r="AY632" s="86" t="str">
        <f>IF(tbl_estimated_costs_quantities[[#This Row],[Total cost]]&lt;&gt;0,tbl_estimated_costs_quantities[[#This Row],[Total cost]]/BOQs!$A$1,"")</f>
        <v/>
      </c>
      <c r="AZ632" s="37"/>
      <c r="BA632" s="37"/>
      <c r="BB632" s="37"/>
      <c r="BC632" s="37"/>
      <c r="BD632" s="41"/>
      <c r="BE632" s="37"/>
      <c r="BF632" s="37"/>
      <c r="BG632" s="37"/>
      <c r="BH632" s="41"/>
    </row>
    <row r="633" spans="2:60" ht="25.15" customHeight="1" x14ac:dyDescent="0.25">
      <c r="B633" s="49">
        <v>629</v>
      </c>
      <c r="C633" s="37"/>
      <c r="D633" s="41"/>
      <c r="E633" s="40"/>
      <c r="F633" s="87" t="str">
        <f>IF(tbl_estimated_costs_quantities[[#This Row],[House Code]]&lt;&gt;"",INDEX(tbl_Assessment[],MATCH(tbl_estimated_costs_quantities[[#This Row],[House Code]],tbl_Assessment[House Code],0),3),"")</f>
        <v/>
      </c>
      <c r="G633" s="115" t="str">
        <f>IF(tbl_estimated_costs_quantities[[#This Row],[House Code]]&lt;&gt;"",INDEX(tbl_Assessment[],MATCH(tbl_estimated_costs_quantities[[#This Row],[House Code]],tbl_Assessment[House Code],0),9),"")</f>
        <v/>
      </c>
      <c r="H63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3" s="75"/>
      <c r="J633" s="37"/>
      <c r="K633" s="86">
        <f>tbl_estimated_costs_quantities[[#This Row],[Site Preparation]]*BOQs!$L$3</f>
        <v>0</v>
      </c>
      <c r="L633" s="76"/>
      <c r="M633" s="37"/>
      <c r="N633" s="86">
        <f>tbl_estimated_costs_quantities[[#This Row],[Demolition Removal Unsafe Structures]]*BOQs!$L$4</f>
        <v>0</v>
      </c>
      <c r="O633" s="76"/>
      <c r="P633" s="37"/>
      <c r="Q633" s="86">
        <f>tbl_estimated_costs_quantities[[#This Row],[Concrete Works]]*BOQs!$L$5</f>
        <v>0</v>
      </c>
      <c r="R633" s="76"/>
      <c r="S633" s="37"/>
      <c r="T633" s="86">
        <f>tbl_estimated_costs_quantities[[#This Row],[Closure External Openings Walls Windows]]*BOQs!$L$6</f>
        <v>0</v>
      </c>
      <c r="U633" s="76"/>
      <c r="V633" s="37"/>
      <c r="W633" s="86">
        <f>tbl_estimated_costs_quantities[[#This Row],[Plastering Painting]]*BOQs!$L$7</f>
        <v>0</v>
      </c>
      <c r="X633" s="76"/>
      <c r="Y633" s="37"/>
      <c r="Z633" s="86">
        <f>tbl_estimated_costs_quantities[[#This Row],[Floor Repairs]]*BOQs!$L$8</f>
        <v>0</v>
      </c>
      <c r="AA633" s="76"/>
      <c r="AB633" s="37"/>
      <c r="AC633" s="86">
        <f>tbl_estimated_costs_quantities[[#This Row],[Doors Replacement Repair]]*BOQs!$L$9</f>
        <v>0</v>
      </c>
      <c r="AD633" s="76"/>
      <c r="AE633" s="37"/>
      <c r="AF633" s="86">
        <f>tbl_estimated_costs_quantities[[#This Row],[Windows Replacement Repair]]*BOQs!$L$10</f>
        <v>0</v>
      </c>
      <c r="AG633" s="76"/>
      <c r="AH633" s="37"/>
      <c r="AI633" s="86">
        <f>tbl_estimated_costs_quantities[[#This Row],[Bathroom Rehabilitation]]*BOQs!$L$11</f>
        <v>0</v>
      </c>
      <c r="AJ633" s="76"/>
      <c r="AK633" s="37"/>
      <c r="AL633" s="86">
        <f>tbl_estimated_costs_quantities[[#This Row],[Ceramic Tile Works WASH]]*BOQs!$L$12</f>
        <v>0</v>
      </c>
      <c r="AM633" s="76"/>
      <c r="AN633" s="37"/>
      <c r="AO633" s="86">
        <f>tbl_estimated_costs_quantities[[#This Row],[Electrical Repairs Lighting]]*BOQs!$L$13</f>
        <v>0</v>
      </c>
      <c r="AP633" s="76"/>
      <c r="AQ633" s="37"/>
      <c r="AR633" s="86">
        <f>tbl_estimated_costs_quantities[[#This Row],[Roof Insulation Leak Sealing]]*BOQs!$L$14</f>
        <v>0</v>
      </c>
      <c r="AS633" s="76"/>
      <c r="AT633" s="37"/>
      <c r="AU633" s="86">
        <f>tbl_estimated_costs_quantities[[#This Row],[Chimney Duct Cleaning Repair]]*BOQs!$L$15</f>
        <v>0</v>
      </c>
      <c r="AV633" s="76"/>
      <c r="AW633" s="37"/>
      <c r="AX633" s="89">
        <f>tbl_estimated_costs_quantities[[#This Row],[Accessibility Adaptations]]*BOQs!$L$16</f>
        <v>0</v>
      </c>
      <c r="AY633" s="86" t="str">
        <f>IF(tbl_estimated_costs_quantities[[#This Row],[Total cost]]&lt;&gt;0,tbl_estimated_costs_quantities[[#This Row],[Total cost]]/BOQs!$A$1,"")</f>
        <v/>
      </c>
      <c r="AZ633" s="37"/>
      <c r="BA633" s="37"/>
      <c r="BB633" s="37"/>
      <c r="BC633" s="37"/>
      <c r="BD633" s="41"/>
      <c r="BE633" s="37"/>
      <c r="BF633" s="37"/>
      <c r="BG633" s="37"/>
      <c r="BH633" s="41"/>
    </row>
    <row r="634" spans="2:60" ht="25.15" customHeight="1" x14ac:dyDescent="0.25">
      <c r="B634" s="49">
        <v>630</v>
      </c>
      <c r="C634" s="37"/>
      <c r="D634" s="41"/>
      <c r="E634" s="40"/>
      <c r="F634" s="87" t="str">
        <f>IF(tbl_estimated_costs_quantities[[#This Row],[House Code]]&lt;&gt;"",INDEX(tbl_Assessment[],MATCH(tbl_estimated_costs_quantities[[#This Row],[House Code]],tbl_Assessment[House Code],0),3),"")</f>
        <v/>
      </c>
      <c r="G634" s="115" t="str">
        <f>IF(tbl_estimated_costs_quantities[[#This Row],[House Code]]&lt;&gt;"",INDEX(tbl_Assessment[],MATCH(tbl_estimated_costs_quantities[[#This Row],[House Code]],tbl_Assessment[House Code],0),9),"")</f>
        <v/>
      </c>
      <c r="H63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4" s="75"/>
      <c r="J634" s="37"/>
      <c r="K634" s="86">
        <f>tbl_estimated_costs_quantities[[#This Row],[Site Preparation]]*BOQs!$L$3</f>
        <v>0</v>
      </c>
      <c r="L634" s="76"/>
      <c r="M634" s="37"/>
      <c r="N634" s="86">
        <f>tbl_estimated_costs_quantities[[#This Row],[Demolition Removal Unsafe Structures]]*BOQs!$L$4</f>
        <v>0</v>
      </c>
      <c r="O634" s="76"/>
      <c r="P634" s="37"/>
      <c r="Q634" s="86">
        <f>tbl_estimated_costs_quantities[[#This Row],[Concrete Works]]*BOQs!$L$5</f>
        <v>0</v>
      </c>
      <c r="R634" s="76"/>
      <c r="S634" s="37"/>
      <c r="T634" s="86">
        <f>tbl_estimated_costs_quantities[[#This Row],[Closure External Openings Walls Windows]]*BOQs!$L$6</f>
        <v>0</v>
      </c>
      <c r="U634" s="76"/>
      <c r="V634" s="37"/>
      <c r="W634" s="86">
        <f>tbl_estimated_costs_quantities[[#This Row],[Plastering Painting]]*BOQs!$L$7</f>
        <v>0</v>
      </c>
      <c r="X634" s="76"/>
      <c r="Y634" s="37"/>
      <c r="Z634" s="86">
        <f>tbl_estimated_costs_quantities[[#This Row],[Floor Repairs]]*BOQs!$L$8</f>
        <v>0</v>
      </c>
      <c r="AA634" s="76"/>
      <c r="AB634" s="37"/>
      <c r="AC634" s="86">
        <f>tbl_estimated_costs_quantities[[#This Row],[Doors Replacement Repair]]*BOQs!$L$9</f>
        <v>0</v>
      </c>
      <c r="AD634" s="76"/>
      <c r="AE634" s="37"/>
      <c r="AF634" s="86">
        <f>tbl_estimated_costs_quantities[[#This Row],[Windows Replacement Repair]]*BOQs!$L$10</f>
        <v>0</v>
      </c>
      <c r="AG634" s="76"/>
      <c r="AH634" s="37"/>
      <c r="AI634" s="86">
        <f>tbl_estimated_costs_quantities[[#This Row],[Bathroom Rehabilitation]]*BOQs!$L$11</f>
        <v>0</v>
      </c>
      <c r="AJ634" s="76"/>
      <c r="AK634" s="37"/>
      <c r="AL634" s="86">
        <f>tbl_estimated_costs_quantities[[#This Row],[Ceramic Tile Works WASH]]*BOQs!$L$12</f>
        <v>0</v>
      </c>
      <c r="AM634" s="76"/>
      <c r="AN634" s="37"/>
      <c r="AO634" s="86">
        <f>tbl_estimated_costs_quantities[[#This Row],[Electrical Repairs Lighting]]*BOQs!$L$13</f>
        <v>0</v>
      </c>
      <c r="AP634" s="76"/>
      <c r="AQ634" s="37"/>
      <c r="AR634" s="86">
        <f>tbl_estimated_costs_quantities[[#This Row],[Roof Insulation Leak Sealing]]*BOQs!$L$14</f>
        <v>0</v>
      </c>
      <c r="AS634" s="76"/>
      <c r="AT634" s="37"/>
      <c r="AU634" s="86">
        <f>tbl_estimated_costs_quantities[[#This Row],[Chimney Duct Cleaning Repair]]*BOQs!$L$15</f>
        <v>0</v>
      </c>
      <c r="AV634" s="76"/>
      <c r="AW634" s="37"/>
      <c r="AX634" s="89">
        <f>tbl_estimated_costs_quantities[[#This Row],[Accessibility Adaptations]]*BOQs!$L$16</f>
        <v>0</v>
      </c>
      <c r="AY634" s="86" t="str">
        <f>IF(tbl_estimated_costs_quantities[[#This Row],[Total cost]]&lt;&gt;0,tbl_estimated_costs_quantities[[#This Row],[Total cost]]/BOQs!$A$1,"")</f>
        <v/>
      </c>
      <c r="AZ634" s="37"/>
      <c r="BA634" s="37"/>
      <c r="BB634" s="37"/>
      <c r="BC634" s="37"/>
      <c r="BD634" s="41"/>
      <c r="BE634" s="37"/>
      <c r="BF634" s="37"/>
      <c r="BG634" s="37"/>
      <c r="BH634" s="41"/>
    </row>
    <row r="635" spans="2:60" ht="25.15" customHeight="1" x14ac:dyDescent="0.25">
      <c r="B635" s="49">
        <v>631</v>
      </c>
      <c r="C635" s="37"/>
      <c r="D635" s="41"/>
      <c r="E635" s="40"/>
      <c r="F635" s="87" t="str">
        <f>IF(tbl_estimated_costs_quantities[[#This Row],[House Code]]&lt;&gt;"",INDEX(tbl_Assessment[],MATCH(tbl_estimated_costs_quantities[[#This Row],[House Code]],tbl_Assessment[House Code],0),3),"")</f>
        <v/>
      </c>
      <c r="G635" s="115" t="str">
        <f>IF(tbl_estimated_costs_quantities[[#This Row],[House Code]]&lt;&gt;"",INDEX(tbl_Assessment[],MATCH(tbl_estimated_costs_quantities[[#This Row],[House Code]],tbl_Assessment[House Code],0),9),"")</f>
        <v/>
      </c>
      <c r="H63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5" s="75"/>
      <c r="J635" s="37"/>
      <c r="K635" s="86">
        <f>tbl_estimated_costs_quantities[[#This Row],[Site Preparation]]*BOQs!$L$3</f>
        <v>0</v>
      </c>
      <c r="L635" s="76"/>
      <c r="M635" s="37"/>
      <c r="N635" s="86">
        <f>tbl_estimated_costs_quantities[[#This Row],[Demolition Removal Unsafe Structures]]*BOQs!$L$4</f>
        <v>0</v>
      </c>
      <c r="O635" s="76"/>
      <c r="P635" s="37"/>
      <c r="Q635" s="86">
        <f>tbl_estimated_costs_quantities[[#This Row],[Concrete Works]]*BOQs!$L$5</f>
        <v>0</v>
      </c>
      <c r="R635" s="76"/>
      <c r="S635" s="37"/>
      <c r="T635" s="86">
        <f>tbl_estimated_costs_quantities[[#This Row],[Closure External Openings Walls Windows]]*BOQs!$L$6</f>
        <v>0</v>
      </c>
      <c r="U635" s="76"/>
      <c r="V635" s="37"/>
      <c r="W635" s="86">
        <f>tbl_estimated_costs_quantities[[#This Row],[Plastering Painting]]*BOQs!$L$7</f>
        <v>0</v>
      </c>
      <c r="X635" s="76"/>
      <c r="Y635" s="37"/>
      <c r="Z635" s="86">
        <f>tbl_estimated_costs_quantities[[#This Row],[Floor Repairs]]*BOQs!$L$8</f>
        <v>0</v>
      </c>
      <c r="AA635" s="76"/>
      <c r="AB635" s="37"/>
      <c r="AC635" s="86">
        <f>tbl_estimated_costs_quantities[[#This Row],[Doors Replacement Repair]]*BOQs!$L$9</f>
        <v>0</v>
      </c>
      <c r="AD635" s="76"/>
      <c r="AE635" s="37"/>
      <c r="AF635" s="86">
        <f>tbl_estimated_costs_quantities[[#This Row],[Windows Replacement Repair]]*BOQs!$L$10</f>
        <v>0</v>
      </c>
      <c r="AG635" s="76"/>
      <c r="AH635" s="37"/>
      <c r="AI635" s="86">
        <f>tbl_estimated_costs_quantities[[#This Row],[Bathroom Rehabilitation]]*BOQs!$L$11</f>
        <v>0</v>
      </c>
      <c r="AJ635" s="76"/>
      <c r="AK635" s="37"/>
      <c r="AL635" s="86">
        <f>tbl_estimated_costs_quantities[[#This Row],[Ceramic Tile Works WASH]]*BOQs!$L$12</f>
        <v>0</v>
      </c>
      <c r="AM635" s="76"/>
      <c r="AN635" s="37"/>
      <c r="AO635" s="86">
        <f>tbl_estimated_costs_quantities[[#This Row],[Electrical Repairs Lighting]]*BOQs!$L$13</f>
        <v>0</v>
      </c>
      <c r="AP635" s="76"/>
      <c r="AQ635" s="37"/>
      <c r="AR635" s="86">
        <f>tbl_estimated_costs_quantities[[#This Row],[Roof Insulation Leak Sealing]]*BOQs!$L$14</f>
        <v>0</v>
      </c>
      <c r="AS635" s="76"/>
      <c r="AT635" s="37"/>
      <c r="AU635" s="86">
        <f>tbl_estimated_costs_quantities[[#This Row],[Chimney Duct Cleaning Repair]]*BOQs!$L$15</f>
        <v>0</v>
      </c>
      <c r="AV635" s="76"/>
      <c r="AW635" s="37"/>
      <c r="AX635" s="89">
        <f>tbl_estimated_costs_quantities[[#This Row],[Accessibility Adaptations]]*BOQs!$L$16</f>
        <v>0</v>
      </c>
      <c r="AY635" s="86" t="str">
        <f>IF(tbl_estimated_costs_quantities[[#This Row],[Total cost]]&lt;&gt;0,tbl_estimated_costs_quantities[[#This Row],[Total cost]]/BOQs!$A$1,"")</f>
        <v/>
      </c>
      <c r="AZ635" s="37"/>
      <c r="BA635" s="37"/>
      <c r="BB635" s="37"/>
      <c r="BC635" s="37"/>
      <c r="BD635" s="41"/>
      <c r="BE635" s="37"/>
      <c r="BF635" s="37"/>
      <c r="BG635" s="37"/>
      <c r="BH635" s="41"/>
    </row>
    <row r="636" spans="2:60" ht="25.15" customHeight="1" x14ac:dyDescent="0.25">
      <c r="B636" s="49">
        <v>632</v>
      </c>
      <c r="C636" s="37"/>
      <c r="D636" s="41"/>
      <c r="E636" s="40"/>
      <c r="F636" s="87" t="str">
        <f>IF(tbl_estimated_costs_quantities[[#This Row],[House Code]]&lt;&gt;"",INDEX(tbl_Assessment[],MATCH(tbl_estimated_costs_quantities[[#This Row],[House Code]],tbl_Assessment[House Code],0),3),"")</f>
        <v/>
      </c>
      <c r="G636" s="115" t="str">
        <f>IF(tbl_estimated_costs_quantities[[#This Row],[House Code]]&lt;&gt;"",INDEX(tbl_Assessment[],MATCH(tbl_estimated_costs_quantities[[#This Row],[House Code]],tbl_Assessment[House Code],0),9),"")</f>
        <v/>
      </c>
      <c r="H63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6" s="75"/>
      <c r="J636" s="37"/>
      <c r="K636" s="86">
        <f>tbl_estimated_costs_quantities[[#This Row],[Site Preparation]]*BOQs!$L$3</f>
        <v>0</v>
      </c>
      <c r="L636" s="76"/>
      <c r="M636" s="37"/>
      <c r="N636" s="86">
        <f>tbl_estimated_costs_quantities[[#This Row],[Demolition Removal Unsafe Structures]]*BOQs!$L$4</f>
        <v>0</v>
      </c>
      <c r="O636" s="76"/>
      <c r="P636" s="37"/>
      <c r="Q636" s="86">
        <f>tbl_estimated_costs_quantities[[#This Row],[Concrete Works]]*BOQs!$L$5</f>
        <v>0</v>
      </c>
      <c r="R636" s="76"/>
      <c r="S636" s="37"/>
      <c r="T636" s="86">
        <f>tbl_estimated_costs_quantities[[#This Row],[Closure External Openings Walls Windows]]*BOQs!$L$6</f>
        <v>0</v>
      </c>
      <c r="U636" s="76"/>
      <c r="V636" s="37"/>
      <c r="W636" s="86">
        <f>tbl_estimated_costs_quantities[[#This Row],[Plastering Painting]]*BOQs!$L$7</f>
        <v>0</v>
      </c>
      <c r="X636" s="76"/>
      <c r="Y636" s="37"/>
      <c r="Z636" s="86">
        <f>tbl_estimated_costs_quantities[[#This Row],[Floor Repairs]]*BOQs!$L$8</f>
        <v>0</v>
      </c>
      <c r="AA636" s="76"/>
      <c r="AB636" s="37"/>
      <c r="AC636" s="86">
        <f>tbl_estimated_costs_quantities[[#This Row],[Doors Replacement Repair]]*BOQs!$L$9</f>
        <v>0</v>
      </c>
      <c r="AD636" s="76"/>
      <c r="AE636" s="37"/>
      <c r="AF636" s="86">
        <f>tbl_estimated_costs_quantities[[#This Row],[Windows Replacement Repair]]*BOQs!$L$10</f>
        <v>0</v>
      </c>
      <c r="AG636" s="76"/>
      <c r="AH636" s="37"/>
      <c r="AI636" s="86">
        <f>tbl_estimated_costs_quantities[[#This Row],[Bathroom Rehabilitation]]*BOQs!$L$11</f>
        <v>0</v>
      </c>
      <c r="AJ636" s="76"/>
      <c r="AK636" s="37"/>
      <c r="AL636" s="86">
        <f>tbl_estimated_costs_quantities[[#This Row],[Ceramic Tile Works WASH]]*BOQs!$L$12</f>
        <v>0</v>
      </c>
      <c r="AM636" s="76"/>
      <c r="AN636" s="37"/>
      <c r="AO636" s="86">
        <f>tbl_estimated_costs_quantities[[#This Row],[Electrical Repairs Lighting]]*BOQs!$L$13</f>
        <v>0</v>
      </c>
      <c r="AP636" s="76"/>
      <c r="AQ636" s="37"/>
      <c r="AR636" s="86">
        <f>tbl_estimated_costs_quantities[[#This Row],[Roof Insulation Leak Sealing]]*BOQs!$L$14</f>
        <v>0</v>
      </c>
      <c r="AS636" s="76"/>
      <c r="AT636" s="37"/>
      <c r="AU636" s="86">
        <f>tbl_estimated_costs_quantities[[#This Row],[Chimney Duct Cleaning Repair]]*BOQs!$L$15</f>
        <v>0</v>
      </c>
      <c r="AV636" s="76"/>
      <c r="AW636" s="37"/>
      <c r="AX636" s="89">
        <f>tbl_estimated_costs_quantities[[#This Row],[Accessibility Adaptations]]*BOQs!$L$16</f>
        <v>0</v>
      </c>
      <c r="AY636" s="86" t="str">
        <f>IF(tbl_estimated_costs_quantities[[#This Row],[Total cost]]&lt;&gt;0,tbl_estimated_costs_quantities[[#This Row],[Total cost]]/BOQs!$A$1,"")</f>
        <v/>
      </c>
      <c r="AZ636" s="37"/>
      <c r="BA636" s="37"/>
      <c r="BB636" s="37"/>
      <c r="BC636" s="37"/>
      <c r="BD636" s="41"/>
      <c r="BE636" s="37"/>
      <c r="BF636" s="37"/>
      <c r="BG636" s="37"/>
      <c r="BH636" s="41"/>
    </row>
    <row r="637" spans="2:60" ht="25.15" customHeight="1" x14ac:dyDescent="0.25">
      <c r="B637" s="49">
        <v>633</v>
      </c>
      <c r="C637" s="37"/>
      <c r="D637" s="41"/>
      <c r="E637" s="40"/>
      <c r="F637" s="87" t="str">
        <f>IF(tbl_estimated_costs_quantities[[#This Row],[House Code]]&lt;&gt;"",INDEX(tbl_Assessment[],MATCH(tbl_estimated_costs_quantities[[#This Row],[House Code]],tbl_Assessment[House Code],0),3),"")</f>
        <v/>
      </c>
      <c r="G637" s="115" t="str">
        <f>IF(tbl_estimated_costs_quantities[[#This Row],[House Code]]&lt;&gt;"",INDEX(tbl_Assessment[],MATCH(tbl_estimated_costs_quantities[[#This Row],[House Code]],tbl_Assessment[House Code],0),9),"")</f>
        <v/>
      </c>
      <c r="H63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7" s="75"/>
      <c r="J637" s="37"/>
      <c r="K637" s="86">
        <f>tbl_estimated_costs_quantities[[#This Row],[Site Preparation]]*BOQs!$L$3</f>
        <v>0</v>
      </c>
      <c r="L637" s="76"/>
      <c r="M637" s="37"/>
      <c r="N637" s="86">
        <f>tbl_estimated_costs_quantities[[#This Row],[Demolition Removal Unsafe Structures]]*BOQs!$L$4</f>
        <v>0</v>
      </c>
      <c r="O637" s="76"/>
      <c r="P637" s="37"/>
      <c r="Q637" s="86">
        <f>tbl_estimated_costs_quantities[[#This Row],[Concrete Works]]*BOQs!$L$5</f>
        <v>0</v>
      </c>
      <c r="R637" s="76"/>
      <c r="S637" s="37"/>
      <c r="T637" s="86">
        <f>tbl_estimated_costs_quantities[[#This Row],[Closure External Openings Walls Windows]]*BOQs!$L$6</f>
        <v>0</v>
      </c>
      <c r="U637" s="76"/>
      <c r="V637" s="37"/>
      <c r="W637" s="86">
        <f>tbl_estimated_costs_quantities[[#This Row],[Plastering Painting]]*BOQs!$L$7</f>
        <v>0</v>
      </c>
      <c r="X637" s="76"/>
      <c r="Y637" s="37"/>
      <c r="Z637" s="86">
        <f>tbl_estimated_costs_quantities[[#This Row],[Floor Repairs]]*BOQs!$L$8</f>
        <v>0</v>
      </c>
      <c r="AA637" s="76"/>
      <c r="AB637" s="37"/>
      <c r="AC637" s="86">
        <f>tbl_estimated_costs_quantities[[#This Row],[Doors Replacement Repair]]*BOQs!$L$9</f>
        <v>0</v>
      </c>
      <c r="AD637" s="76"/>
      <c r="AE637" s="37"/>
      <c r="AF637" s="86">
        <f>tbl_estimated_costs_quantities[[#This Row],[Windows Replacement Repair]]*BOQs!$L$10</f>
        <v>0</v>
      </c>
      <c r="AG637" s="76"/>
      <c r="AH637" s="37"/>
      <c r="AI637" s="86">
        <f>tbl_estimated_costs_quantities[[#This Row],[Bathroom Rehabilitation]]*BOQs!$L$11</f>
        <v>0</v>
      </c>
      <c r="AJ637" s="76"/>
      <c r="AK637" s="37"/>
      <c r="AL637" s="86">
        <f>tbl_estimated_costs_quantities[[#This Row],[Ceramic Tile Works WASH]]*BOQs!$L$12</f>
        <v>0</v>
      </c>
      <c r="AM637" s="76"/>
      <c r="AN637" s="37"/>
      <c r="AO637" s="86">
        <f>tbl_estimated_costs_quantities[[#This Row],[Electrical Repairs Lighting]]*BOQs!$L$13</f>
        <v>0</v>
      </c>
      <c r="AP637" s="76"/>
      <c r="AQ637" s="37"/>
      <c r="AR637" s="86">
        <f>tbl_estimated_costs_quantities[[#This Row],[Roof Insulation Leak Sealing]]*BOQs!$L$14</f>
        <v>0</v>
      </c>
      <c r="AS637" s="76"/>
      <c r="AT637" s="37"/>
      <c r="AU637" s="86">
        <f>tbl_estimated_costs_quantities[[#This Row],[Chimney Duct Cleaning Repair]]*BOQs!$L$15</f>
        <v>0</v>
      </c>
      <c r="AV637" s="76"/>
      <c r="AW637" s="37"/>
      <c r="AX637" s="89">
        <f>tbl_estimated_costs_quantities[[#This Row],[Accessibility Adaptations]]*BOQs!$L$16</f>
        <v>0</v>
      </c>
      <c r="AY637" s="86" t="str">
        <f>IF(tbl_estimated_costs_quantities[[#This Row],[Total cost]]&lt;&gt;0,tbl_estimated_costs_quantities[[#This Row],[Total cost]]/BOQs!$A$1,"")</f>
        <v/>
      </c>
      <c r="AZ637" s="37"/>
      <c r="BA637" s="37"/>
      <c r="BB637" s="37"/>
      <c r="BC637" s="37"/>
      <c r="BD637" s="41"/>
      <c r="BE637" s="37"/>
      <c r="BF637" s="37"/>
      <c r="BG637" s="37"/>
      <c r="BH637" s="41"/>
    </row>
    <row r="638" spans="2:60" ht="25.15" customHeight="1" x14ac:dyDescent="0.25">
      <c r="B638" s="49">
        <v>634</v>
      </c>
      <c r="C638" s="37"/>
      <c r="D638" s="41"/>
      <c r="E638" s="40"/>
      <c r="F638" s="87" t="str">
        <f>IF(tbl_estimated_costs_quantities[[#This Row],[House Code]]&lt;&gt;"",INDEX(tbl_Assessment[],MATCH(tbl_estimated_costs_quantities[[#This Row],[House Code]],tbl_Assessment[House Code],0),3),"")</f>
        <v/>
      </c>
      <c r="G638" s="115" t="str">
        <f>IF(tbl_estimated_costs_quantities[[#This Row],[House Code]]&lt;&gt;"",INDEX(tbl_Assessment[],MATCH(tbl_estimated_costs_quantities[[#This Row],[House Code]],tbl_Assessment[House Code],0),9),"")</f>
        <v/>
      </c>
      <c r="H63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8" s="75"/>
      <c r="J638" s="37"/>
      <c r="K638" s="86">
        <f>tbl_estimated_costs_quantities[[#This Row],[Site Preparation]]*BOQs!$L$3</f>
        <v>0</v>
      </c>
      <c r="L638" s="76"/>
      <c r="M638" s="37"/>
      <c r="N638" s="86">
        <f>tbl_estimated_costs_quantities[[#This Row],[Demolition Removal Unsafe Structures]]*BOQs!$L$4</f>
        <v>0</v>
      </c>
      <c r="O638" s="76"/>
      <c r="P638" s="37"/>
      <c r="Q638" s="86">
        <f>tbl_estimated_costs_quantities[[#This Row],[Concrete Works]]*BOQs!$L$5</f>
        <v>0</v>
      </c>
      <c r="R638" s="76"/>
      <c r="S638" s="37"/>
      <c r="T638" s="86">
        <f>tbl_estimated_costs_quantities[[#This Row],[Closure External Openings Walls Windows]]*BOQs!$L$6</f>
        <v>0</v>
      </c>
      <c r="U638" s="76"/>
      <c r="V638" s="37"/>
      <c r="W638" s="86">
        <f>tbl_estimated_costs_quantities[[#This Row],[Plastering Painting]]*BOQs!$L$7</f>
        <v>0</v>
      </c>
      <c r="X638" s="76"/>
      <c r="Y638" s="37"/>
      <c r="Z638" s="86">
        <f>tbl_estimated_costs_quantities[[#This Row],[Floor Repairs]]*BOQs!$L$8</f>
        <v>0</v>
      </c>
      <c r="AA638" s="76"/>
      <c r="AB638" s="37"/>
      <c r="AC638" s="86">
        <f>tbl_estimated_costs_quantities[[#This Row],[Doors Replacement Repair]]*BOQs!$L$9</f>
        <v>0</v>
      </c>
      <c r="AD638" s="76"/>
      <c r="AE638" s="37"/>
      <c r="AF638" s="86">
        <f>tbl_estimated_costs_quantities[[#This Row],[Windows Replacement Repair]]*BOQs!$L$10</f>
        <v>0</v>
      </c>
      <c r="AG638" s="76"/>
      <c r="AH638" s="37"/>
      <c r="AI638" s="86">
        <f>tbl_estimated_costs_quantities[[#This Row],[Bathroom Rehabilitation]]*BOQs!$L$11</f>
        <v>0</v>
      </c>
      <c r="AJ638" s="76"/>
      <c r="AK638" s="37"/>
      <c r="AL638" s="86">
        <f>tbl_estimated_costs_quantities[[#This Row],[Ceramic Tile Works WASH]]*BOQs!$L$12</f>
        <v>0</v>
      </c>
      <c r="AM638" s="76"/>
      <c r="AN638" s="37"/>
      <c r="AO638" s="86">
        <f>tbl_estimated_costs_quantities[[#This Row],[Electrical Repairs Lighting]]*BOQs!$L$13</f>
        <v>0</v>
      </c>
      <c r="AP638" s="76"/>
      <c r="AQ638" s="37"/>
      <c r="AR638" s="86">
        <f>tbl_estimated_costs_quantities[[#This Row],[Roof Insulation Leak Sealing]]*BOQs!$L$14</f>
        <v>0</v>
      </c>
      <c r="AS638" s="76"/>
      <c r="AT638" s="37"/>
      <c r="AU638" s="86">
        <f>tbl_estimated_costs_quantities[[#This Row],[Chimney Duct Cleaning Repair]]*BOQs!$L$15</f>
        <v>0</v>
      </c>
      <c r="AV638" s="76"/>
      <c r="AW638" s="37"/>
      <c r="AX638" s="89">
        <f>tbl_estimated_costs_quantities[[#This Row],[Accessibility Adaptations]]*BOQs!$L$16</f>
        <v>0</v>
      </c>
      <c r="AY638" s="86" t="str">
        <f>IF(tbl_estimated_costs_quantities[[#This Row],[Total cost]]&lt;&gt;0,tbl_estimated_costs_quantities[[#This Row],[Total cost]]/BOQs!$A$1,"")</f>
        <v/>
      </c>
      <c r="AZ638" s="37"/>
      <c r="BA638" s="37"/>
      <c r="BB638" s="37"/>
      <c r="BC638" s="37"/>
      <c r="BD638" s="41"/>
      <c r="BE638" s="37"/>
      <c r="BF638" s="37"/>
      <c r="BG638" s="37"/>
      <c r="BH638" s="41"/>
    </row>
    <row r="639" spans="2:60" ht="25.15" customHeight="1" x14ac:dyDescent="0.25">
      <c r="B639" s="49">
        <v>635</v>
      </c>
      <c r="C639" s="37"/>
      <c r="D639" s="41"/>
      <c r="E639" s="40"/>
      <c r="F639" s="87" t="str">
        <f>IF(tbl_estimated_costs_quantities[[#This Row],[House Code]]&lt;&gt;"",INDEX(tbl_Assessment[],MATCH(tbl_estimated_costs_quantities[[#This Row],[House Code]],tbl_Assessment[House Code],0),3),"")</f>
        <v/>
      </c>
      <c r="G639" s="115" t="str">
        <f>IF(tbl_estimated_costs_quantities[[#This Row],[House Code]]&lt;&gt;"",INDEX(tbl_Assessment[],MATCH(tbl_estimated_costs_quantities[[#This Row],[House Code]],tbl_Assessment[House Code],0),9),"")</f>
        <v/>
      </c>
      <c r="H63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39" s="75"/>
      <c r="J639" s="37"/>
      <c r="K639" s="86">
        <f>tbl_estimated_costs_quantities[[#This Row],[Site Preparation]]*BOQs!$L$3</f>
        <v>0</v>
      </c>
      <c r="L639" s="76"/>
      <c r="M639" s="37"/>
      <c r="N639" s="86">
        <f>tbl_estimated_costs_quantities[[#This Row],[Demolition Removal Unsafe Structures]]*BOQs!$L$4</f>
        <v>0</v>
      </c>
      <c r="O639" s="76"/>
      <c r="P639" s="37"/>
      <c r="Q639" s="86">
        <f>tbl_estimated_costs_quantities[[#This Row],[Concrete Works]]*BOQs!$L$5</f>
        <v>0</v>
      </c>
      <c r="R639" s="76"/>
      <c r="S639" s="37"/>
      <c r="T639" s="86">
        <f>tbl_estimated_costs_quantities[[#This Row],[Closure External Openings Walls Windows]]*BOQs!$L$6</f>
        <v>0</v>
      </c>
      <c r="U639" s="76"/>
      <c r="V639" s="37"/>
      <c r="W639" s="86">
        <f>tbl_estimated_costs_quantities[[#This Row],[Plastering Painting]]*BOQs!$L$7</f>
        <v>0</v>
      </c>
      <c r="X639" s="76"/>
      <c r="Y639" s="37"/>
      <c r="Z639" s="86">
        <f>tbl_estimated_costs_quantities[[#This Row],[Floor Repairs]]*BOQs!$L$8</f>
        <v>0</v>
      </c>
      <c r="AA639" s="76"/>
      <c r="AB639" s="37"/>
      <c r="AC639" s="86">
        <f>tbl_estimated_costs_quantities[[#This Row],[Doors Replacement Repair]]*BOQs!$L$9</f>
        <v>0</v>
      </c>
      <c r="AD639" s="76"/>
      <c r="AE639" s="37"/>
      <c r="AF639" s="86">
        <f>tbl_estimated_costs_quantities[[#This Row],[Windows Replacement Repair]]*BOQs!$L$10</f>
        <v>0</v>
      </c>
      <c r="AG639" s="76"/>
      <c r="AH639" s="37"/>
      <c r="AI639" s="86">
        <f>tbl_estimated_costs_quantities[[#This Row],[Bathroom Rehabilitation]]*BOQs!$L$11</f>
        <v>0</v>
      </c>
      <c r="AJ639" s="76"/>
      <c r="AK639" s="37"/>
      <c r="AL639" s="86">
        <f>tbl_estimated_costs_quantities[[#This Row],[Ceramic Tile Works WASH]]*BOQs!$L$12</f>
        <v>0</v>
      </c>
      <c r="AM639" s="76"/>
      <c r="AN639" s="37"/>
      <c r="AO639" s="86">
        <f>tbl_estimated_costs_quantities[[#This Row],[Electrical Repairs Lighting]]*BOQs!$L$13</f>
        <v>0</v>
      </c>
      <c r="AP639" s="76"/>
      <c r="AQ639" s="37"/>
      <c r="AR639" s="86">
        <f>tbl_estimated_costs_quantities[[#This Row],[Roof Insulation Leak Sealing]]*BOQs!$L$14</f>
        <v>0</v>
      </c>
      <c r="AS639" s="76"/>
      <c r="AT639" s="37"/>
      <c r="AU639" s="86">
        <f>tbl_estimated_costs_quantities[[#This Row],[Chimney Duct Cleaning Repair]]*BOQs!$L$15</f>
        <v>0</v>
      </c>
      <c r="AV639" s="76"/>
      <c r="AW639" s="37"/>
      <c r="AX639" s="89">
        <f>tbl_estimated_costs_quantities[[#This Row],[Accessibility Adaptations]]*BOQs!$L$16</f>
        <v>0</v>
      </c>
      <c r="AY639" s="86" t="str">
        <f>IF(tbl_estimated_costs_quantities[[#This Row],[Total cost]]&lt;&gt;0,tbl_estimated_costs_quantities[[#This Row],[Total cost]]/BOQs!$A$1,"")</f>
        <v/>
      </c>
      <c r="AZ639" s="37"/>
      <c r="BA639" s="37"/>
      <c r="BB639" s="37"/>
      <c r="BC639" s="37"/>
      <c r="BD639" s="41"/>
      <c r="BE639" s="37"/>
      <c r="BF639" s="37"/>
      <c r="BG639" s="37"/>
      <c r="BH639" s="41"/>
    </row>
    <row r="640" spans="2:60" ht="25.15" customHeight="1" x14ac:dyDescent="0.25">
      <c r="B640" s="49">
        <v>636</v>
      </c>
      <c r="C640" s="37"/>
      <c r="D640" s="41"/>
      <c r="E640" s="40"/>
      <c r="F640" s="87" t="str">
        <f>IF(tbl_estimated_costs_quantities[[#This Row],[House Code]]&lt;&gt;"",INDEX(tbl_Assessment[],MATCH(tbl_estimated_costs_quantities[[#This Row],[House Code]],tbl_Assessment[House Code],0),3),"")</f>
        <v/>
      </c>
      <c r="G640" s="115" t="str">
        <f>IF(tbl_estimated_costs_quantities[[#This Row],[House Code]]&lt;&gt;"",INDEX(tbl_Assessment[],MATCH(tbl_estimated_costs_quantities[[#This Row],[House Code]],tbl_Assessment[House Code],0),9),"")</f>
        <v/>
      </c>
      <c r="H64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0" s="75"/>
      <c r="J640" s="37"/>
      <c r="K640" s="86">
        <f>tbl_estimated_costs_quantities[[#This Row],[Site Preparation]]*BOQs!$L$3</f>
        <v>0</v>
      </c>
      <c r="L640" s="76"/>
      <c r="M640" s="37"/>
      <c r="N640" s="86">
        <f>tbl_estimated_costs_quantities[[#This Row],[Demolition Removal Unsafe Structures]]*BOQs!$L$4</f>
        <v>0</v>
      </c>
      <c r="O640" s="76"/>
      <c r="P640" s="37"/>
      <c r="Q640" s="86">
        <f>tbl_estimated_costs_quantities[[#This Row],[Concrete Works]]*BOQs!$L$5</f>
        <v>0</v>
      </c>
      <c r="R640" s="76"/>
      <c r="S640" s="37"/>
      <c r="T640" s="86">
        <f>tbl_estimated_costs_quantities[[#This Row],[Closure External Openings Walls Windows]]*BOQs!$L$6</f>
        <v>0</v>
      </c>
      <c r="U640" s="76"/>
      <c r="V640" s="37"/>
      <c r="W640" s="86">
        <f>tbl_estimated_costs_quantities[[#This Row],[Plastering Painting]]*BOQs!$L$7</f>
        <v>0</v>
      </c>
      <c r="X640" s="76"/>
      <c r="Y640" s="37"/>
      <c r="Z640" s="86">
        <f>tbl_estimated_costs_quantities[[#This Row],[Floor Repairs]]*BOQs!$L$8</f>
        <v>0</v>
      </c>
      <c r="AA640" s="76"/>
      <c r="AB640" s="37"/>
      <c r="AC640" s="86">
        <f>tbl_estimated_costs_quantities[[#This Row],[Doors Replacement Repair]]*BOQs!$L$9</f>
        <v>0</v>
      </c>
      <c r="AD640" s="76"/>
      <c r="AE640" s="37"/>
      <c r="AF640" s="86">
        <f>tbl_estimated_costs_quantities[[#This Row],[Windows Replacement Repair]]*BOQs!$L$10</f>
        <v>0</v>
      </c>
      <c r="AG640" s="76"/>
      <c r="AH640" s="37"/>
      <c r="AI640" s="86">
        <f>tbl_estimated_costs_quantities[[#This Row],[Bathroom Rehabilitation]]*BOQs!$L$11</f>
        <v>0</v>
      </c>
      <c r="AJ640" s="76"/>
      <c r="AK640" s="37"/>
      <c r="AL640" s="86">
        <f>tbl_estimated_costs_quantities[[#This Row],[Ceramic Tile Works WASH]]*BOQs!$L$12</f>
        <v>0</v>
      </c>
      <c r="AM640" s="76"/>
      <c r="AN640" s="37"/>
      <c r="AO640" s="86">
        <f>tbl_estimated_costs_quantities[[#This Row],[Electrical Repairs Lighting]]*BOQs!$L$13</f>
        <v>0</v>
      </c>
      <c r="AP640" s="76"/>
      <c r="AQ640" s="37"/>
      <c r="AR640" s="86">
        <f>tbl_estimated_costs_quantities[[#This Row],[Roof Insulation Leak Sealing]]*BOQs!$L$14</f>
        <v>0</v>
      </c>
      <c r="AS640" s="76"/>
      <c r="AT640" s="37"/>
      <c r="AU640" s="86">
        <f>tbl_estimated_costs_quantities[[#This Row],[Chimney Duct Cleaning Repair]]*BOQs!$L$15</f>
        <v>0</v>
      </c>
      <c r="AV640" s="76"/>
      <c r="AW640" s="37"/>
      <c r="AX640" s="89">
        <f>tbl_estimated_costs_quantities[[#This Row],[Accessibility Adaptations]]*BOQs!$L$16</f>
        <v>0</v>
      </c>
      <c r="AY640" s="86" t="str">
        <f>IF(tbl_estimated_costs_quantities[[#This Row],[Total cost]]&lt;&gt;0,tbl_estimated_costs_quantities[[#This Row],[Total cost]]/BOQs!$A$1,"")</f>
        <v/>
      </c>
      <c r="AZ640" s="37"/>
      <c r="BA640" s="37"/>
      <c r="BB640" s="37"/>
      <c r="BC640" s="37"/>
      <c r="BD640" s="41"/>
      <c r="BE640" s="37"/>
      <c r="BF640" s="37"/>
      <c r="BG640" s="37"/>
      <c r="BH640" s="41"/>
    </row>
    <row r="641" spans="2:60" ht="25.15" customHeight="1" x14ac:dyDescent="0.25">
      <c r="B641" s="49">
        <v>637</v>
      </c>
      <c r="C641" s="37"/>
      <c r="D641" s="41"/>
      <c r="E641" s="40"/>
      <c r="F641" s="87" t="str">
        <f>IF(tbl_estimated_costs_quantities[[#This Row],[House Code]]&lt;&gt;"",INDEX(tbl_Assessment[],MATCH(tbl_estimated_costs_quantities[[#This Row],[House Code]],tbl_Assessment[House Code],0),3),"")</f>
        <v/>
      </c>
      <c r="G641" s="115" t="str">
        <f>IF(tbl_estimated_costs_quantities[[#This Row],[House Code]]&lt;&gt;"",INDEX(tbl_Assessment[],MATCH(tbl_estimated_costs_quantities[[#This Row],[House Code]],tbl_Assessment[House Code],0),9),"")</f>
        <v/>
      </c>
      <c r="H64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1" s="75"/>
      <c r="J641" s="37"/>
      <c r="K641" s="86">
        <f>tbl_estimated_costs_quantities[[#This Row],[Site Preparation]]*BOQs!$L$3</f>
        <v>0</v>
      </c>
      <c r="L641" s="76"/>
      <c r="M641" s="37"/>
      <c r="N641" s="86">
        <f>tbl_estimated_costs_quantities[[#This Row],[Demolition Removal Unsafe Structures]]*BOQs!$L$4</f>
        <v>0</v>
      </c>
      <c r="O641" s="76"/>
      <c r="P641" s="37"/>
      <c r="Q641" s="86">
        <f>tbl_estimated_costs_quantities[[#This Row],[Concrete Works]]*BOQs!$L$5</f>
        <v>0</v>
      </c>
      <c r="R641" s="76"/>
      <c r="S641" s="37"/>
      <c r="T641" s="86">
        <f>tbl_estimated_costs_quantities[[#This Row],[Closure External Openings Walls Windows]]*BOQs!$L$6</f>
        <v>0</v>
      </c>
      <c r="U641" s="76"/>
      <c r="V641" s="37"/>
      <c r="W641" s="86">
        <f>tbl_estimated_costs_quantities[[#This Row],[Plastering Painting]]*BOQs!$L$7</f>
        <v>0</v>
      </c>
      <c r="X641" s="76"/>
      <c r="Y641" s="37"/>
      <c r="Z641" s="86">
        <f>tbl_estimated_costs_quantities[[#This Row],[Floor Repairs]]*BOQs!$L$8</f>
        <v>0</v>
      </c>
      <c r="AA641" s="76"/>
      <c r="AB641" s="37"/>
      <c r="AC641" s="86">
        <f>tbl_estimated_costs_quantities[[#This Row],[Doors Replacement Repair]]*BOQs!$L$9</f>
        <v>0</v>
      </c>
      <c r="AD641" s="76"/>
      <c r="AE641" s="37"/>
      <c r="AF641" s="86">
        <f>tbl_estimated_costs_quantities[[#This Row],[Windows Replacement Repair]]*BOQs!$L$10</f>
        <v>0</v>
      </c>
      <c r="AG641" s="76"/>
      <c r="AH641" s="37"/>
      <c r="AI641" s="86">
        <f>tbl_estimated_costs_quantities[[#This Row],[Bathroom Rehabilitation]]*BOQs!$L$11</f>
        <v>0</v>
      </c>
      <c r="AJ641" s="76"/>
      <c r="AK641" s="37"/>
      <c r="AL641" s="86">
        <f>tbl_estimated_costs_quantities[[#This Row],[Ceramic Tile Works WASH]]*BOQs!$L$12</f>
        <v>0</v>
      </c>
      <c r="AM641" s="76"/>
      <c r="AN641" s="37"/>
      <c r="AO641" s="86">
        <f>tbl_estimated_costs_quantities[[#This Row],[Electrical Repairs Lighting]]*BOQs!$L$13</f>
        <v>0</v>
      </c>
      <c r="AP641" s="76"/>
      <c r="AQ641" s="37"/>
      <c r="AR641" s="86">
        <f>tbl_estimated_costs_quantities[[#This Row],[Roof Insulation Leak Sealing]]*BOQs!$L$14</f>
        <v>0</v>
      </c>
      <c r="AS641" s="76"/>
      <c r="AT641" s="37"/>
      <c r="AU641" s="86">
        <f>tbl_estimated_costs_quantities[[#This Row],[Chimney Duct Cleaning Repair]]*BOQs!$L$15</f>
        <v>0</v>
      </c>
      <c r="AV641" s="76"/>
      <c r="AW641" s="37"/>
      <c r="AX641" s="89">
        <f>tbl_estimated_costs_quantities[[#This Row],[Accessibility Adaptations]]*BOQs!$L$16</f>
        <v>0</v>
      </c>
      <c r="AY641" s="86" t="str">
        <f>IF(tbl_estimated_costs_quantities[[#This Row],[Total cost]]&lt;&gt;0,tbl_estimated_costs_quantities[[#This Row],[Total cost]]/BOQs!$A$1,"")</f>
        <v/>
      </c>
      <c r="AZ641" s="37"/>
      <c r="BA641" s="37"/>
      <c r="BB641" s="37"/>
      <c r="BC641" s="37"/>
      <c r="BD641" s="41"/>
      <c r="BE641" s="37"/>
      <c r="BF641" s="37"/>
      <c r="BG641" s="37"/>
      <c r="BH641" s="41"/>
    </row>
    <row r="642" spans="2:60" ht="25.15" customHeight="1" x14ac:dyDescent="0.25">
      <c r="B642" s="49">
        <v>638</v>
      </c>
      <c r="C642" s="37"/>
      <c r="D642" s="41"/>
      <c r="E642" s="40"/>
      <c r="F642" s="87" t="str">
        <f>IF(tbl_estimated_costs_quantities[[#This Row],[House Code]]&lt;&gt;"",INDEX(tbl_Assessment[],MATCH(tbl_estimated_costs_quantities[[#This Row],[House Code]],tbl_Assessment[House Code],0),3),"")</f>
        <v/>
      </c>
      <c r="G642" s="115" t="str">
        <f>IF(tbl_estimated_costs_quantities[[#This Row],[House Code]]&lt;&gt;"",INDEX(tbl_Assessment[],MATCH(tbl_estimated_costs_quantities[[#This Row],[House Code]],tbl_Assessment[House Code],0),9),"")</f>
        <v/>
      </c>
      <c r="H64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2" s="75"/>
      <c r="J642" s="37"/>
      <c r="K642" s="86">
        <f>tbl_estimated_costs_quantities[[#This Row],[Site Preparation]]*BOQs!$L$3</f>
        <v>0</v>
      </c>
      <c r="L642" s="76"/>
      <c r="M642" s="37"/>
      <c r="N642" s="86">
        <f>tbl_estimated_costs_quantities[[#This Row],[Demolition Removal Unsafe Structures]]*BOQs!$L$4</f>
        <v>0</v>
      </c>
      <c r="O642" s="76"/>
      <c r="P642" s="37"/>
      <c r="Q642" s="86">
        <f>tbl_estimated_costs_quantities[[#This Row],[Concrete Works]]*BOQs!$L$5</f>
        <v>0</v>
      </c>
      <c r="R642" s="76"/>
      <c r="S642" s="37"/>
      <c r="T642" s="86">
        <f>tbl_estimated_costs_quantities[[#This Row],[Closure External Openings Walls Windows]]*BOQs!$L$6</f>
        <v>0</v>
      </c>
      <c r="U642" s="76"/>
      <c r="V642" s="37"/>
      <c r="W642" s="86">
        <f>tbl_estimated_costs_quantities[[#This Row],[Plastering Painting]]*BOQs!$L$7</f>
        <v>0</v>
      </c>
      <c r="X642" s="76"/>
      <c r="Y642" s="37"/>
      <c r="Z642" s="86">
        <f>tbl_estimated_costs_quantities[[#This Row],[Floor Repairs]]*BOQs!$L$8</f>
        <v>0</v>
      </c>
      <c r="AA642" s="76"/>
      <c r="AB642" s="37"/>
      <c r="AC642" s="86">
        <f>tbl_estimated_costs_quantities[[#This Row],[Doors Replacement Repair]]*BOQs!$L$9</f>
        <v>0</v>
      </c>
      <c r="AD642" s="76"/>
      <c r="AE642" s="37"/>
      <c r="AF642" s="86">
        <f>tbl_estimated_costs_quantities[[#This Row],[Windows Replacement Repair]]*BOQs!$L$10</f>
        <v>0</v>
      </c>
      <c r="AG642" s="76"/>
      <c r="AH642" s="37"/>
      <c r="AI642" s="86">
        <f>tbl_estimated_costs_quantities[[#This Row],[Bathroom Rehabilitation]]*BOQs!$L$11</f>
        <v>0</v>
      </c>
      <c r="AJ642" s="76"/>
      <c r="AK642" s="37"/>
      <c r="AL642" s="86">
        <f>tbl_estimated_costs_quantities[[#This Row],[Ceramic Tile Works WASH]]*BOQs!$L$12</f>
        <v>0</v>
      </c>
      <c r="AM642" s="76"/>
      <c r="AN642" s="37"/>
      <c r="AO642" s="86">
        <f>tbl_estimated_costs_quantities[[#This Row],[Electrical Repairs Lighting]]*BOQs!$L$13</f>
        <v>0</v>
      </c>
      <c r="AP642" s="76"/>
      <c r="AQ642" s="37"/>
      <c r="AR642" s="86">
        <f>tbl_estimated_costs_quantities[[#This Row],[Roof Insulation Leak Sealing]]*BOQs!$L$14</f>
        <v>0</v>
      </c>
      <c r="AS642" s="76"/>
      <c r="AT642" s="37"/>
      <c r="AU642" s="86">
        <f>tbl_estimated_costs_quantities[[#This Row],[Chimney Duct Cleaning Repair]]*BOQs!$L$15</f>
        <v>0</v>
      </c>
      <c r="AV642" s="76"/>
      <c r="AW642" s="37"/>
      <c r="AX642" s="89">
        <f>tbl_estimated_costs_quantities[[#This Row],[Accessibility Adaptations]]*BOQs!$L$16</f>
        <v>0</v>
      </c>
      <c r="AY642" s="86" t="str">
        <f>IF(tbl_estimated_costs_quantities[[#This Row],[Total cost]]&lt;&gt;0,tbl_estimated_costs_quantities[[#This Row],[Total cost]]/BOQs!$A$1,"")</f>
        <v/>
      </c>
      <c r="AZ642" s="37"/>
      <c r="BA642" s="37"/>
      <c r="BB642" s="37"/>
      <c r="BC642" s="37"/>
      <c r="BD642" s="41"/>
      <c r="BE642" s="37"/>
      <c r="BF642" s="37"/>
      <c r="BG642" s="37"/>
      <c r="BH642" s="41"/>
    </row>
    <row r="643" spans="2:60" ht="25.15" customHeight="1" x14ac:dyDescent="0.25">
      <c r="B643" s="49">
        <v>639</v>
      </c>
      <c r="C643" s="37"/>
      <c r="D643" s="41"/>
      <c r="E643" s="40"/>
      <c r="F643" s="87" t="str">
        <f>IF(tbl_estimated_costs_quantities[[#This Row],[House Code]]&lt;&gt;"",INDEX(tbl_Assessment[],MATCH(tbl_estimated_costs_quantities[[#This Row],[House Code]],tbl_Assessment[House Code],0),3),"")</f>
        <v/>
      </c>
      <c r="G643" s="115" t="str">
        <f>IF(tbl_estimated_costs_quantities[[#This Row],[House Code]]&lt;&gt;"",INDEX(tbl_Assessment[],MATCH(tbl_estimated_costs_quantities[[#This Row],[House Code]],tbl_Assessment[House Code],0),9),"")</f>
        <v/>
      </c>
      <c r="H64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3" s="75"/>
      <c r="J643" s="37"/>
      <c r="K643" s="86">
        <f>tbl_estimated_costs_quantities[[#This Row],[Site Preparation]]*BOQs!$L$3</f>
        <v>0</v>
      </c>
      <c r="L643" s="76"/>
      <c r="M643" s="37"/>
      <c r="N643" s="86">
        <f>tbl_estimated_costs_quantities[[#This Row],[Demolition Removal Unsafe Structures]]*BOQs!$L$4</f>
        <v>0</v>
      </c>
      <c r="O643" s="76"/>
      <c r="P643" s="37"/>
      <c r="Q643" s="86">
        <f>tbl_estimated_costs_quantities[[#This Row],[Concrete Works]]*BOQs!$L$5</f>
        <v>0</v>
      </c>
      <c r="R643" s="76"/>
      <c r="S643" s="37"/>
      <c r="T643" s="86">
        <f>tbl_estimated_costs_quantities[[#This Row],[Closure External Openings Walls Windows]]*BOQs!$L$6</f>
        <v>0</v>
      </c>
      <c r="U643" s="76"/>
      <c r="V643" s="37"/>
      <c r="W643" s="86">
        <f>tbl_estimated_costs_quantities[[#This Row],[Plastering Painting]]*BOQs!$L$7</f>
        <v>0</v>
      </c>
      <c r="X643" s="76"/>
      <c r="Y643" s="37"/>
      <c r="Z643" s="86">
        <f>tbl_estimated_costs_quantities[[#This Row],[Floor Repairs]]*BOQs!$L$8</f>
        <v>0</v>
      </c>
      <c r="AA643" s="76"/>
      <c r="AB643" s="37"/>
      <c r="AC643" s="86">
        <f>tbl_estimated_costs_quantities[[#This Row],[Doors Replacement Repair]]*BOQs!$L$9</f>
        <v>0</v>
      </c>
      <c r="AD643" s="76"/>
      <c r="AE643" s="37"/>
      <c r="AF643" s="86">
        <f>tbl_estimated_costs_quantities[[#This Row],[Windows Replacement Repair]]*BOQs!$L$10</f>
        <v>0</v>
      </c>
      <c r="AG643" s="76"/>
      <c r="AH643" s="37"/>
      <c r="AI643" s="86">
        <f>tbl_estimated_costs_quantities[[#This Row],[Bathroom Rehabilitation]]*BOQs!$L$11</f>
        <v>0</v>
      </c>
      <c r="AJ643" s="76"/>
      <c r="AK643" s="37"/>
      <c r="AL643" s="86">
        <f>tbl_estimated_costs_quantities[[#This Row],[Ceramic Tile Works WASH]]*BOQs!$L$12</f>
        <v>0</v>
      </c>
      <c r="AM643" s="76"/>
      <c r="AN643" s="37"/>
      <c r="AO643" s="86">
        <f>tbl_estimated_costs_quantities[[#This Row],[Electrical Repairs Lighting]]*BOQs!$L$13</f>
        <v>0</v>
      </c>
      <c r="AP643" s="76"/>
      <c r="AQ643" s="37"/>
      <c r="AR643" s="86">
        <f>tbl_estimated_costs_quantities[[#This Row],[Roof Insulation Leak Sealing]]*BOQs!$L$14</f>
        <v>0</v>
      </c>
      <c r="AS643" s="76"/>
      <c r="AT643" s="37"/>
      <c r="AU643" s="86">
        <f>tbl_estimated_costs_quantities[[#This Row],[Chimney Duct Cleaning Repair]]*BOQs!$L$15</f>
        <v>0</v>
      </c>
      <c r="AV643" s="76"/>
      <c r="AW643" s="37"/>
      <c r="AX643" s="89">
        <f>tbl_estimated_costs_quantities[[#This Row],[Accessibility Adaptations]]*BOQs!$L$16</f>
        <v>0</v>
      </c>
      <c r="AY643" s="86" t="str">
        <f>IF(tbl_estimated_costs_quantities[[#This Row],[Total cost]]&lt;&gt;0,tbl_estimated_costs_quantities[[#This Row],[Total cost]]/BOQs!$A$1,"")</f>
        <v/>
      </c>
      <c r="AZ643" s="37"/>
      <c r="BA643" s="37"/>
      <c r="BB643" s="37"/>
      <c r="BC643" s="37"/>
      <c r="BD643" s="41"/>
      <c r="BE643" s="37"/>
      <c r="BF643" s="37"/>
      <c r="BG643" s="37"/>
      <c r="BH643" s="41"/>
    </row>
    <row r="644" spans="2:60" ht="25.15" customHeight="1" x14ac:dyDescent="0.25">
      <c r="B644" s="49">
        <v>640</v>
      </c>
      <c r="C644" s="37"/>
      <c r="D644" s="41"/>
      <c r="E644" s="40"/>
      <c r="F644" s="87" t="str">
        <f>IF(tbl_estimated_costs_quantities[[#This Row],[House Code]]&lt;&gt;"",INDEX(tbl_Assessment[],MATCH(tbl_estimated_costs_quantities[[#This Row],[House Code]],tbl_Assessment[House Code],0),3),"")</f>
        <v/>
      </c>
      <c r="G644" s="115" t="str">
        <f>IF(tbl_estimated_costs_quantities[[#This Row],[House Code]]&lt;&gt;"",INDEX(tbl_Assessment[],MATCH(tbl_estimated_costs_quantities[[#This Row],[House Code]],tbl_Assessment[House Code],0),9),"")</f>
        <v/>
      </c>
      <c r="H64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4" s="75"/>
      <c r="J644" s="37"/>
      <c r="K644" s="86">
        <f>tbl_estimated_costs_quantities[[#This Row],[Site Preparation]]*BOQs!$L$3</f>
        <v>0</v>
      </c>
      <c r="L644" s="76"/>
      <c r="M644" s="37"/>
      <c r="N644" s="86">
        <f>tbl_estimated_costs_quantities[[#This Row],[Demolition Removal Unsafe Structures]]*BOQs!$L$4</f>
        <v>0</v>
      </c>
      <c r="O644" s="76"/>
      <c r="P644" s="37"/>
      <c r="Q644" s="86">
        <f>tbl_estimated_costs_quantities[[#This Row],[Concrete Works]]*BOQs!$L$5</f>
        <v>0</v>
      </c>
      <c r="R644" s="76"/>
      <c r="S644" s="37"/>
      <c r="T644" s="86">
        <f>tbl_estimated_costs_quantities[[#This Row],[Closure External Openings Walls Windows]]*BOQs!$L$6</f>
        <v>0</v>
      </c>
      <c r="U644" s="76"/>
      <c r="V644" s="37"/>
      <c r="W644" s="86">
        <f>tbl_estimated_costs_quantities[[#This Row],[Plastering Painting]]*BOQs!$L$7</f>
        <v>0</v>
      </c>
      <c r="X644" s="76"/>
      <c r="Y644" s="37"/>
      <c r="Z644" s="86">
        <f>tbl_estimated_costs_quantities[[#This Row],[Floor Repairs]]*BOQs!$L$8</f>
        <v>0</v>
      </c>
      <c r="AA644" s="76"/>
      <c r="AB644" s="37"/>
      <c r="AC644" s="86">
        <f>tbl_estimated_costs_quantities[[#This Row],[Doors Replacement Repair]]*BOQs!$L$9</f>
        <v>0</v>
      </c>
      <c r="AD644" s="76"/>
      <c r="AE644" s="37"/>
      <c r="AF644" s="86">
        <f>tbl_estimated_costs_quantities[[#This Row],[Windows Replacement Repair]]*BOQs!$L$10</f>
        <v>0</v>
      </c>
      <c r="AG644" s="76"/>
      <c r="AH644" s="37"/>
      <c r="AI644" s="86">
        <f>tbl_estimated_costs_quantities[[#This Row],[Bathroom Rehabilitation]]*BOQs!$L$11</f>
        <v>0</v>
      </c>
      <c r="AJ644" s="76"/>
      <c r="AK644" s="37"/>
      <c r="AL644" s="86">
        <f>tbl_estimated_costs_quantities[[#This Row],[Ceramic Tile Works WASH]]*BOQs!$L$12</f>
        <v>0</v>
      </c>
      <c r="AM644" s="76"/>
      <c r="AN644" s="37"/>
      <c r="AO644" s="86">
        <f>tbl_estimated_costs_quantities[[#This Row],[Electrical Repairs Lighting]]*BOQs!$L$13</f>
        <v>0</v>
      </c>
      <c r="AP644" s="76"/>
      <c r="AQ644" s="37"/>
      <c r="AR644" s="86">
        <f>tbl_estimated_costs_quantities[[#This Row],[Roof Insulation Leak Sealing]]*BOQs!$L$14</f>
        <v>0</v>
      </c>
      <c r="AS644" s="76"/>
      <c r="AT644" s="37"/>
      <c r="AU644" s="86">
        <f>tbl_estimated_costs_quantities[[#This Row],[Chimney Duct Cleaning Repair]]*BOQs!$L$15</f>
        <v>0</v>
      </c>
      <c r="AV644" s="76"/>
      <c r="AW644" s="37"/>
      <c r="AX644" s="89">
        <f>tbl_estimated_costs_quantities[[#This Row],[Accessibility Adaptations]]*BOQs!$L$16</f>
        <v>0</v>
      </c>
      <c r="AY644" s="86" t="str">
        <f>IF(tbl_estimated_costs_quantities[[#This Row],[Total cost]]&lt;&gt;0,tbl_estimated_costs_quantities[[#This Row],[Total cost]]/BOQs!$A$1,"")</f>
        <v/>
      </c>
      <c r="AZ644" s="37"/>
      <c r="BA644" s="37"/>
      <c r="BB644" s="37"/>
      <c r="BC644" s="37"/>
      <c r="BD644" s="41"/>
      <c r="BE644" s="37"/>
      <c r="BF644" s="37"/>
      <c r="BG644" s="37"/>
      <c r="BH644" s="41"/>
    </row>
    <row r="645" spans="2:60" ht="25.15" customHeight="1" x14ac:dyDescent="0.25">
      <c r="B645" s="49">
        <v>641</v>
      </c>
      <c r="C645" s="37"/>
      <c r="D645" s="41"/>
      <c r="E645" s="40"/>
      <c r="F645" s="87" t="str">
        <f>IF(tbl_estimated_costs_quantities[[#This Row],[House Code]]&lt;&gt;"",INDEX(tbl_Assessment[],MATCH(tbl_estimated_costs_quantities[[#This Row],[House Code]],tbl_Assessment[House Code],0),3),"")</f>
        <v/>
      </c>
      <c r="G645" s="115" t="str">
        <f>IF(tbl_estimated_costs_quantities[[#This Row],[House Code]]&lt;&gt;"",INDEX(tbl_Assessment[],MATCH(tbl_estimated_costs_quantities[[#This Row],[House Code]],tbl_Assessment[House Code],0),9),"")</f>
        <v/>
      </c>
      <c r="H64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5" s="75"/>
      <c r="J645" s="37"/>
      <c r="K645" s="86">
        <f>tbl_estimated_costs_quantities[[#This Row],[Site Preparation]]*BOQs!$L$3</f>
        <v>0</v>
      </c>
      <c r="L645" s="76"/>
      <c r="M645" s="37"/>
      <c r="N645" s="86">
        <f>tbl_estimated_costs_quantities[[#This Row],[Demolition Removal Unsafe Structures]]*BOQs!$L$4</f>
        <v>0</v>
      </c>
      <c r="O645" s="76"/>
      <c r="P645" s="37"/>
      <c r="Q645" s="86">
        <f>tbl_estimated_costs_quantities[[#This Row],[Concrete Works]]*BOQs!$L$5</f>
        <v>0</v>
      </c>
      <c r="R645" s="76"/>
      <c r="S645" s="37"/>
      <c r="T645" s="86">
        <f>tbl_estimated_costs_quantities[[#This Row],[Closure External Openings Walls Windows]]*BOQs!$L$6</f>
        <v>0</v>
      </c>
      <c r="U645" s="76"/>
      <c r="V645" s="37"/>
      <c r="W645" s="86">
        <f>tbl_estimated_costs_quantities[[#This Row],[Plastering Painting]]*BOQs!$L$7</f>
        <v>0</v>
      </c>
      <c r="X645" s="76"/>
      <c r="Y645" s="37"/>
      <c r="Z645" s="86">
        <f>tbl_estimated_costs_quantities[[#This Row],[Floor Repairs]]*BOQs!$L$8</f>
        <v>0</v>
      </c>
      <c r="AA645" s="76"/>
      <c r="AB645" s="37"/>
      <c r="AC645" s="86">
        <f>tbl_estimated_costs_quantities[[#This Row],[Doors Replacement Repair]]*BOQs!$L$9</f>
        <v>0</v>
      </c>
      <c r="AD645" s="76"/>
      <c r="AE645" s="37"/>
      <c r="AF645" s="86">
        <f>tbl_estimated_costs_quantities[[#This Row],[Windows Replacement Repair]]*BOQs!$L$10</f>
        <v>0</v>
      </c>
      <c r="AG645" s="76"/>
      <c r="AH645" s="37"/>
      <c r="AI645" s="86">
        <f>tbl_estimated_costs_quantities[[#This Row],[Bathroom Rehabilitation]]*BOQs!$L$11</f>
        <v>0</v>
      </c>
      <c r="AJ645" s="76"/>
      <c r="AK645" s="37"/>
      <c r="AL645" s="86">
        <f>tbl_estimated_costs_quantities[[#This Row],[Ceramic Tile Works WASH]]*BOQs!$L$12</f>
        <v>0</v>
      </c>
      <c r="AM645" s="76"/>
      <c r="AN645" s="37"/>
      <c r="AO645" s="86">
        <f>tbl_estimated_costs_quantities[[#This Row],[Electrical Repairs Lighting]]*BOQs!$L$13</f>
        <v>0</v>
      </c>
      <c r="AP645" s="76"/>
      <c r="AQ645" s="37"/>
      <c r="AR645" s="86">
        <f>tbl_estimated_costs_quantities[[#This Row],[Roof Insulation Leak Sealing]]*BOQs!$L$14</f>
        <v>0</v>
      </c>
      <c r="AS645" s="76"/>
      <c r="AT645" s="37"/>
      <c r="AU645" s="86">
        <f>tbl_estimated_costs_quantities[[#This Row],[Chimney Duct Cleaning Repair]]*BOQs!$L$15</f>
        <v>0</v>
      </c>
      <c r="AV645" s="76"/>
      <c r="AW645" s="37"/>
      <c r="AX645" s="89">
        <f>tbl_estimated_costs_quantities[[#This Row],[Accessibility Adaptations]]*BOQs!$L$16</f>
        <v>0</v>
      </c>
      <c r="AY645" s="86" t="str">
        <f>IF(tbl_estimated_costs_quantities[[#This Row],[Total cost]]&lt;&gt;0,tbl_estimated_costs_quantities[[#This Row],[Total cost]]/BOQs!$A$1,"")</f>
        <v/>
      </c>
      <c r="AZ645" s="37"/>
      <c r="BA645" s="37"/>
      <c r="BB645" s="37"/>
      <c r="BC645" s="37"/>
      <c r="BD645" s="41"/>
      <c r="BE645" s="37"/>
      <c r="BF645" s="37"/>
      <c r="BG645" s="37"/>
      <c r="BH645" s="41"/>
    </row>
    <row r="646" spans="2:60" ht="25.15" customHeight="1" x14ac:dyDescent="0.25">
      <c r="B646" s="49">
        <v>642</v>
      </c>
      <c r="C646" s="37"/>
      <c r="D646" s="41"/>
      <c r="E646" s="40"/>
      <c r="F646" s="87" t="str">
        <f>IF(tbl_estimated_costs_quantities[[#This Row],[House Code]]&lt;&gt;"",INDEX(tbl_Assessment[],MATCH(tbl_estimated_costs_quantities[[#This Row],[House Code]],tbl_Assessment[House Code],0),3),"")</f>
        <v/>
      </c>
      <c r="G646" s="115" t="str">
        <f>IF(tbl_estimated_costs_quantities[[#This Row],[House Code]]&lt;&gt;"",INDEX(tbl_Assessment[],MATCH(tbl_estimated_costs_quantities[[#This Row],[House Code]],tbl_Assessment[House Code],0),9),"")</f>
        <v/>
      </c>
      <c r="H64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6" s="75"/>
      <c r="J646" s="37"/>
      <c r="K646" s="86">
        <f>tbl_estimated_costs_quantities[[#This Row],[Site Preparation]]*BOQs!$L$3</f>
        <v>0</v>
      </c>
      <c r="L646" s="76"/>
      <c r="M646" s="37"/>
      <c r="N646" s="86">
        <f>tbl_estimated_costs_quantities[[#This Row],[Demolition Removal Unsafe Structures]]*BOQs!$L$4</f>
        <v>0</v>
      </c>
      <c r="O646" s="76"/>
      <c r="P646" s="37"/>
      <c r="Q646" s="86">
        <f>tbl_estimated_costs_quantities[[#This Row],[Concrete Works]]*BOQs!$L$5</f>
        <v>0</v>
      </c>
      <c r="R646" s="76"/>
      <c r="S646" s="37"/>
      <c r="T646" s="86">
        <f>tbl_estimated_costs_quantities[[#This Row],[Closure External Openings Walls Windows]]*BOQs!$L$6</f>
        <v>0</v>
      </c>
      <c r="U646" s="76"/>
      <c r="V646" s="37"/>
      <c r="W646" s="86">
        <f>tbl_estimated_costs_quantities[[#This Row],[Plastering Painting]]*BOQs!$L$7</f>
        <v>0</v>
      </c>
      <c r="X646" s="76"/>
      <c r="Y646" s="37"/>
      <c r="Z646" s="86">
        <f>tbl_estimated_costs_quantities[[#This Row],[Floor Repairs]]*BOQs!$L$8</f>
        <v>0</v>
      </c>
      <c r="AA646" s="76"/>
      <c r="AB646" s="37"/>
      <c r="AC646" s="86">
        <f>tbl_estimated_costs_quantities[[#This Row],[Doors Replacement Repair]]*BOQs!$L$9</f>
        <v>0</v>
      </c>
      <c r="AD646" s="76"/>
      <c r="AE646" s="37"/>
      <c r="AF646" s="86">
        <f>tbl_estimated_costs_quantities[[#This Row],[Windows Replacement Repair]]*BOQs!$L$10</f>
        <v>0</v>
      </c>
      <c r="AG646" s="76"/>
      <c r="AH646" s="37"/>
      <c r="AI646" s="86">
        <f>tbl_estimated_costs_quantities[[#This Row],[Bathroom Rehabilitation]]*BOQs!$L$11</f>
        <v>0</v>
      </c>
      <c r="AJ646" s="76"/>
      <c r="AK646" s="37"/>
      <c r="AL646" s="86">
        <f>tbl_estimated_costs_quantities[[#This Row],[Ceramic Tile Works WASH]]*BOQs!$L$12</f>
        <v>0</v>
      </c>
      <c r="AM646" s="76"/>
      <c r="AN646" s="37"/>
      <c r="AO646" s="86">
        <f>tbl_estimated_costs_quantities[[#This Row],[Electrical Repairs Lighting]]*BOQs!$L$13</f>
        <v>0</v>
      </c>
      <c r="AP646" s="76"/>
      <c r="AQ646" s="37"/>
      <c r="AR646" s="86">
        <f>tbl_estimated_costs_quantities[[#This Row],[Roof Insulation Leak Sealing]]*BOQs!$L$14</f>
        <v>0</v>
      </c>
      <c r="AS646" s="76"/>
      <c r="AT646" s="37"/>
      <c r="AU646" s="86">
        <f>tbl_estimated_costs_quantities[[#This Row],[Chimney Duct Cleaning Repair]]*BOQs!$L$15</f>
        <v>0</v>
      </c>
      <c r="AV646" s="76"/>
      <c r="AW646" s="37"/>
      <c r="AX646" s="89">
        <f>tbl_estimated_costs_quantities[[#This Row],[Accessibility Adaptations]]*BOQs!$L$16</f>
        <v>0</v>
      </c>
      <c r="AY646" s="86" t="str">
        <f>IF(tbl_estimated_costs_quantities[[#This Row],[Total cost]]&lt;&gt;0,tbl_estimated_costs_quantities[[#This Row],[Total cost]]/BOQs!$A$1,"")</f>
        <v/>
      </c>
      <c r="AZ646" s="37"/>
      <c r="BA646" s="37"/>
      <c r="BB646" s="37"/>
      <c r="BC646" s="37"/>
      <c r="BD646" s="41"/>
      <c r="BE646" s="37"/>
      <c r="BF646" s="37"/>
      <c r="BG646" s="37"/>
      <c r="BH646" s="41"/>
    </row>
    <row r="647" spans="2:60" ht="25.15" customHeight="1" x14ac:dyDescent="0.25">
      <c r="B647" s="49">
        <v>643</v>
      </c>
      <c r="C647" s="37"/>
      <c r="D647" s="41"/>
      <c r="E647" s="40"/>
      <c r="F647" s="87" t="str">
        <f>IF(tbl_estimated_costs_quantities[[#This Row],[House Code]]&lt;&gt;"",INDEX(tbl_Assessment[],MATCH(tbl_estimated_costs_quantities[[#This Row],[House Code]],tbl_Assessment[House Code],0),3),"")</f>
        <v/>
      </c>
      <c r="G647" s="115" t="str">
        <f>IF(tbl_estimated_costs_quantities[[#This Row],[House Code]]&lt;&gt;"",INDEX(tbl_Assessment[],MATCH(tbl_estimated_costs_quantities[[#This Row],[House Code]],tbl_Assessment[House Code],0),9),"")</f>
        <v/>
      </c>
      <c r="H64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7" s="75"/>
      <c r="J647" s="37"/>
      <c r="K647" s="86">
        <f>tbl_estimated_costs_quantities[[#This Row],[Site Preparation]]*BOQs!$L$3</f>
        <v>0</v>
      </c>
      <c r="L647" s="76"/>
      <c r="M647" s="37"/>
      <c r="N647" s="86">
        <f>tbl_estimated_costs_quantities[[#This Row],[Demolition Removal Unsafe Structures]]*BOQs!$L$4</f>
        <v>0</v>
      </c>
      <c r="O647" s="76"/>
      <c r="P647" s="37"/>
      <c r="Q647" s="86">
        <f>tbl_estimated_costs_quantities[[#This Row],[Concrete Works]]*BOQs!$L$5</f>
        <v>0</v>
      </c>
      <c r="R647" s="76"/>
      <c r="S647" s="37"/>
      <c r="T647" s="86">
        <f>tbl_estimated_costs_quantities[[#This Row],[Closure External Openings Walls Windows]]*BOQs!$L$6</f>
        <v>0</v>
      </c>
      <c r="U647" s="76"/>
      <c r="V647" s="37"/>
      <c r="W647" s="86">
        <f>tbl_estimated_costs_quantities[[#This Row],[Plastering Painting]]*BOQs!$L$7</f>
        <v>0</v>
      </c>
      <c r="X647" s="76"/>
      <c r="Y647" s="37"/>
      <c r="Z647" s="86">
        <f>tbl_estimated_costs_quantities[[#This Row],[Floor Repairs]]*BOQs!$L$8</f>
        <v>0</v>
      </c>
      <c r="AA647" s="76"/>
      <c r="AB647" s="37"/>
      <c r="AC647" s="86">
        <f>tbl_estimated_costs_quantities[[#This Row],[Doors Replacement Repair]]*BOQs!$L$9</f>
        <v>0</v>
      </c>
      <c r="AD647" s="76"/>
      <c r="AE647" s="37"/>
      <c r="AF647" s="86">
        <f>tbl_estimated_costs_quantities[[#This Row],[Windows Replacement Repair]]*BOQs!$L$10</f>
        <v>0</v>
      </c>
      <c r="AG647" s="76"/>
      <c r="AH647" s="37"/>
      <c r="AI647" s="86">
        <f>tbl_estimated_costs_quantities[[#This Row],[Bathroom Rehabilitation]]*BOQs!$L$11</f>
        <v>0</v>
      </c>
      <c r="AJ647" s="76"/>
      <c r="AK647" s="37"/>
      <c r="AL647" s="86">
        <f>tbl_estimated_costs_quantities[[#This Row],[Ceramic Tile Works WASH]]*BOQs!$L$12</f>
        <v>0</v>
      </c>
      <c r="AM647" s="76"/>
      <c r="AN647" s="37"/>
      <c r="AO647" s="86">
        <f>tbl_estimated_costs_quantities[[#This Row],[Electrical Repairs Lighting]]*BOQs!$L$13</f>
        <v>0</v>
      </c>
      <c r="AP647" s="76"/>
      <c r="AQ647" s="37"/>
      <c r="AR647" s="86">
        <f>tbl_estimated_costs_quantities[[#This Row],[Roof Insulation Leak Sealing]]*BOQs!$L$14</f>
        <v>0</v>
      </c>
      <c r="AS647" s="76"/>
      <c r="AT647" s="37"/>
      <c r="AU647" s="86">
        <f>tbl_estimated_costs_quantities[[#This Row],[Chimney Duct Cleaning Repair]]*BOQs!$L$15</f>
        <v>0</v>
      </c>
      <c r="AV647" s="76"/>
      <c r="AW647" s="37"/>
      <c r="AX647" s="89">
        <f>tbl_estimated_costs_quantities[[#This Row],[Accessibility Adaptations]]*BOQs!$L$16</f>
        <v>0</v>
      </c>
      <c r="AY647" s="86" t="str">
        <f>IF(tbl_estimated_costs_quantities[[#This Row],[Total cost]]&lt;&gt;0,tbl_estimated_costs_quantities[[#This Row],[Total cost]]/BOQs!$A$1,"")</f>
        <v/>
      </c>
      <c r="AZ647" s="37"/>
      <c r="BA647" s="37"/>
      <c r="BB647" s="37"/>
      <c r="BC647" s="37"/>
      <c r="BD647" s="41"/>
      <c r="BE647" s="37"/>
      <c r="BF647" s="37"/>
      <c r="BG647" s="37"/>
      <c r="BH647" s="41"/>
    </row>
    <row r="648" spans="2:60" ht="25.15" customHeight="1" x14ac:dyDescent="0.25">
      <c r="B648" s="49">
        <v>644</v>
      </c>
      <c r="C648" s="37"/>
      <c r="D648" s="41"/>
      <c r="E648" s="40"/>
      <c r="F648" s="87" t="str">
        <f>IF(tbl_estimated_costs_quantities[[#This Row],[House Code]]&lt;&gt;"",INDEX(tbl_Assessment[],MATCH(tbl_estimated_costs_quantities[[#This Row],[House Code]],tbl_Assessment[House Code],0),3),"")</f>
        <v/>
      </c>
      <c r="G648" s="115" t="str">
        <f>IF(tbl_estimated_costs_quantities[[#This Row],[House Code]]&lt;&gt;"",INDEX(tbl_Assessment[],MATCH(tbl_estimated_costs_quantities[[#This Row],[House Code]],tbl_Assessment[House Code],0),9),"")</f>
        <v/>
      </c>
      <c r="H64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8" s="75"/>
      <c r="J648" s="37"/>
      <c r="K648" s="86">
        <f>tbl_estimated_costs_quantities[[#This Row],[Site Preparation]]*BOQs!$L$3</f>
        <v>0</v>
      </c>
      <c r="L648" s="76"/>
      <c r="M648" s="37"/>
      <c r="N648" s="86">
        <f>tbl_estimated_costs_quantities[[#This Row],[Demolition Removal Unsafe Structures]]*BOQs!$L$4</f>
        <v>0</v>
      </c>
      <c r="O648" s="76"/>
      <c r="P648" s="37"/>
      <c r="Q648" s="86">
        <f>tbl_estimated_costs_quantities[[#This Row],[Concrete Works]]*BOQs!$L$5</f>
        <v>0</v>
      </c>
      <c r="R648" s="76"/>
      <c r="S648" s="37"/>
      <c r="T648" s="86">
        <f>tbl_estimated_costs_quantities[[#This Row],[Closure External Openings Walls Windows]]*BOQs!$L$6</f>
        <v>0</v>
      </c>
      <c r="U648" s="76"/>
      <c r="V648" s="37"/>
      <c r="W648" s="86">
        <f>tbl_estimated_costs_quantities[[#This Row],[Plastering Painting]]*BOQs!$L$7</f>
        <v>0</v>
      </c>
      <c r="X648" s="76"/>
      <c r="Y648" s="37"/>
      <c r="Z648" s="86">
        <f>tbl_estimated_costs_quantities[[#This Row],[Floor Repairs]]*BOQs!$L$8</f>
        <v>0</v>
      </c>
      <c r="AA648" s="76"/>
      <c r="AB648" s="37"/>
      <c r="AC648" s="86">
        <f>tbl_estimated_costs_quantities[[#This Row],[Doors Replacement Repair]]*BOQs!$L$9</f>
        <v>0</v>
      </c>
      <c r="AD648" s="76"/>
      <c r="AE648" s="37"/>
      <c r="AF648" s="86">
        <f>tbl_estimated_costs_quantities[[#This Row],[Windows Replacement Repair]]*BOQs!$L$10</f>
        <v>0</v>
      </c>
      <c r="AG648" s="76"/>
      <c r="AH648" s="37"/>
      <c r="AI648" s="86">
        <f>tbl_estimated_costs_quantities[[#This Row],[Bathroom Rehabilitation]]*BOQs!$L$11</f>
        <v>0</v>
      </c>
      <c r="AJ648" s="76"/>
      <c r="AK648" s="37"/>
      <c r="AL648" s="86">
        <f>tbl_estimated_costs_quantities[[#This Row],[Ceramic Tile Works WASH]]*BOQs!$L$12</f>
        <v>0</v>
      </c>
      <c r="AM648" s="76"/>
      <c r="AN648" s="37"/>
      <c r="AO648" s="86">
        <f>tbl_estimated_costs_quantities[[#This Row],[Electrical Repairs Lighting]]*BOQs!$L$13</f>
        <v>0</v>
      </c>
      <c r="AP648" s="76"/>
      <c r="AQ648" s="37"/>
      <c r="AR648" s="86">
        <f>tbl_estimated_costs_quantities[[#This Row],[Roof Insulation Leak Sealing]]*BOQs!$L$14</f>
        <v>0</v>
      </c>
      <c r="AS648" s="76"/>
      <c r="AT648" s="37"/>
      <c r="AU648" s="86">
        <f>tbl_estimated_costs_quantities[[#This Row],[Chimney Duct Cleaning Repair]]*BOQs!$L$15</f>
        <v>0</v>
      </c>
      <c r="AV648" s="76"/>
      <c r="AW648" s="37"/>
      <c r="AX648" s="89">
        <f>tbl_estimated_costs_quantities[[#This Row],[Accessibility Adaptations]]*BOQs!$L$16</f>
        <v>0</v>
      </c>
      <c r="AY648" s="86" t="str">
        <f>IF(tbl_estimated_costs_quantities[[#This Row],[Total cost]]&lt;&gt;0,tbl_estimated_costs_quantities[[#This Row],[Total cost]]/BOQs!$A$1,"")</f>
        <v/>
      </c>
      <c r="AZ648" s="37"/>
      <c r="BA648" s="37"/>
      <c r="BB648" s="37"/>
      <c r="BC648" s="37"/>
      <c r="BD648" s="41"/>
      <c r="BE648" s="37"/>
      <c r="BF648" s="37"/>
      <c r="BG648" s="37"/>
      <c r="BH648" s="41"/>
    </row>
    <row r="649" spans="2:60" ht="25.15" customHeight="1" x14ac:dyDescent="0.25">
      <c r="B649" s="49">
        <v>645</v>
      </c>
      <c r="C649" s="37"/>
      <c r="D649" s="41"/>
      <c r="E649" s="40"/>
      <c r="F649" s="87" t="str">
        <f>IF(tbl_estimated_costs_quantities[[#This Row],[House Code]]&lt;&gt;"",INDEX(tbl_Assessment[],MATCH(tbl_estimated_costs_quantities[[#This Row],[House Code]],tbl_Assessment[House Code],0),3),"")</f>
        <v/>
      </c>
      <c r="G649" s="115" t="str">
        <f>IF(tbl_estimated_costs_quantities[[#This Row],[House Code]]&lt;&gt;"",INDEX(tbl_Assessment[],MATCH(tbl_estimated_costs_quantities[[#This Row],[House Code]],tbl_Assessment[House Code],0),9),"")</f>
        <v/>
      </c>
      <c r="H64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49" s="75"/>
      <c r="J649" s="37"/>
      <c r="K649" s="86">
        <f>tbl_estimated_costs_quantities[[#This Row],[Site Preparation]]*BOQs!$L$3</f>
        <v>0</v>
      </c>
      <c r="L649" s="76"/>
      <c r="M649" s="37"/>
      <c r="N649" s="86">
        <f>tbl_estimated_costs_quantities[[#This Row],[Demolition Removal Unsafe Structures]]*BOQs!$L$4</f>
        <v>0</v>
      </c>
      <c r="O649" s="76"/>
      <c r="P649" s="37"/>
      <c r="Q649" s="86">
        <f>tbl_estimated_costs_quantities[[#This Row],[Concrete Works]]*BOQs!$L$5</f>
        <v>0</v>
      </c>
      <c r="R649" s="76"/>
      <c r="S649" s="37"/>
      <c r="T649" s="86">
        <f>tbl_estimated_costs_quantities[[#This Row],[Closure External Openings Walls Windows]]*BOQs!$L$6</f>
        <v>0</v>
      </c>
      <c r="U649" s="76"/>
      <c r="V649" s="37"/>
      <c r="W649" s="86">
        <f>tbl_estimated_costs_quantities[[#This Row],[Plastering Painting]]*BOQs!$L$7</f>
        <v>0</v>
      </c>
      <c r="X649" s="76"/>
      <c r="Y649" s="37"/>
      <c r="Z649" s="86">
        <f>tbl_estimated_costs_quantities[[#This Row],[Floor Repairs]]*BOQs!$L$8</f>
        <v>0</v>
      </c>
      <c r="AA649" s="76"/>
      <c r="AB649" s="37"/>
      <c r="AC649" s="86">
        <f>tbl_estimated_costs_quantities[[#This Row],[Doors Replacement Repair]]*BOQs!$L$9</f>
        <v>0</v>
      </c>
      <c r="AD649" s="76"/>
      <c r="AE649" s="37"/>
      <c r="AF649" s="86">
        <f>tbl_estimated_costs_quantities[[#This Row],[Windows Replacement Repair]]*BOQs!$L$10</f>
        <v>0</v>
      </c>
      <c r="AG649" s="76"/>
      <c r="AH649" s="37"/>
      <c r="AI649" s="86">
        <f>tbl_estimated_costs_quantities[[#This Row],[Bathroom Rehabilitation]]*BOQs!$L$11</f>
        <v>0</v>
      </c>
      <c r="AJ649" s="76"/>
      <c r="AK649" s="37"/>
      <c r="AL649" s="86">
        <f>tbl_estimated_costs_quantities[[#This Row],[Ceramic Tile Works WASH]]*BOQs!$L$12</f>
        <v>0</v>
      </c>
      <c r="AM649" s="76"/>
      <c r="AN649" s="37"/>
      <c r="AO649" s="86">
        <f>tbl_estimated_costs_quantities[[#This Row],[Electrical Repairs Lighting]]*BOQs!$L$13</f>
        <v>0</v>
      </c>
      <c r="AP649" s="76"/>
      <c r="AQ649" s="37"/>
      <c r="AR649" s="86">
        <f>tbl_estimated_costs_quantities[[#This Row],[Roof Insulation Leak Sealing]]*BOQs!$L$14</f>
        <v>0</v>
      </c>
      <c r="AS649" s="76"/>
      <c r="AT649" s="37"/>
      <c r="AU649" s="86">
        <f>tbl_estimated_costs_quantities[[#This Row],[Chimney Duct Cleaning Repair]]*BOQs!$L$15</f>
        <v>0</v>
      </c>
      <c r="AV649" s="76"/>
      <c r="AW649" s="37"/>
      <c r="AX649" s="89">
        <f>tbl_estimated_costs_quantities[[#This Row],[Accessibility Adaptations]]*BOQs!$L$16</f>
        <v>0</v>
      </c>
      <c r="AY649" s="86" t="str">
        <f>IF(tbl_estimated_costs_quantities[[#This Row],[Total cost]]&lt;&gt;0,tbl_estimated_costs_quantities[[#This Row],[Total cost]]/BOQs!$A$1,"")</f>
        <v/>
      </c>
      <c r="AZ649" s="37"/>
      <c r="BA649" s="37"/>
      <c r="BB649" s="37"/>
      <c r="BC649" s="37"/>
      <c r="BD649" s="41"/>
      <c r="BE649" s="37"/>
      <c r="BF649" s="37"/>
      <c r="BG649" s="37"/>
      <c r="BH649" s="41"/>
    </row>
    <row r="650" spans="2:60" ht="25.15" customHeight="1" x14ac:dyDescent="0.25">
      <c r="B650" s="49">
        <v>646</v>
      </c>
      <c r="C650" s="37"/>
      <c r="D650" s="41"/>
      <c r="E650" s="40"/>
      <c r="F650" s="87" t="str">
        <f>IF(tbl_estimated_costs_quantities[[#This Row],[House Code]]&lt;&gt;"",INDEX(tbl_Assessment[],MATCH(tbl_estimated_costs_quantities[[#This Row],[House Code]],tbl_Assessment[House Code],0),3),"")</f>
        <v/>
      </c>
      <c r="G650" s="115" t="str">
        <f>IF(tbl_estimated_costs_quantities[[#This Row],[House Code]]&lt;&gt;"",INDEX(tbl_Assessment[],MATCH(tbl_estimated_costs_quantities[[#This Row],[House Code]],tbl_Assessment[House Code],0),9),"")</f>
        <v/>
      </c>
      <c r="H65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0" s="75"/>
      <c r="J650" s="37"/>
      <c r="K650" s="86">
        <f>tbl_estimated_costs_quantities[[#This Row],[Site Preparation]]*BOQs!$L$3</f>
        <v>0</v>
      </c>
      <c r="L650" s="76"/>
      <c r="M650" s="37"/>
      <c r="N650" s="86">
        <f>tbl_estimated_costs_quantities[[#This Row],[Demolition Removal Unsafe Structures]]*BOQs!$L$4</f>
        <v>0</v>
      </c>
      <c r="O650" s="76"/>
      <c r="P650" s="37"/>
      <c r="Q650" s="86">
        <f>tbl_estimated_costs_quantities[[#This Row],[Concrete Works]]*BOQs!$L$5</f>
        <v>0</v>
      </c>
      <c r="R650" s="76"/>
      <c r="S650" s="37"/>
      <c r="T650" s="86">
        <f>tbl_estimated_costs_quantities[[#This Row],[Closure External Openings Walls Windows]]*BOQs!$L$6</f>
        <v>0</v>
      </c>
      <c r="U650" s="76"/>
      <c r="V650" s="37"/>
      <c r="W650" s="86">
        <f>tbl_estimated_costs_quantities[[#This Row],[Plastering Painting]]*BOQs!$L$7</f>
        <v>0</v>
      </c>
      <c r="X650" s="76"/>
      <c r="Y650" s="37"/>
      <c r="Z650" s="86">
        <f>tbl_estimated_costs_quantities[[#This Row],[Floor Repairs]]*BOQs!$L$8</f>
        <v>0</v>
      </c>
      <c r="AA650" s="76"/>
      <c r="AB650" s="37"/>
      <c r="AC650" s="86">
        <f>tbl_estimated_costs_quantities[[#This Row],[Doors Replacement Repair]]*BOQs!$L$9</f>
        <v>0</v>
      </c>
      <c r="AD650" s="76"/>
      <c r="AE650" s="37"/>
      <c r="AF650" s="86">
        <f>tbl_estimated_costs_quantities[[#This Row],[Windows Replacement Repair]]*BOQs!$L$10</f>
        <v>0</v>
      </c>
      <c r="AG650" s="76"/>
      <c r="AH650" s="37"/>
      <c r="AI650" s="86">
        <f>tbl_estimated_costs_quantities[[#This Row],[Bathroom Rehabilitation]]*BOQs!$L$11</f>
        <v>0</v>
      </c>
      <c r="AJ650" s="76"/>
      <c r="AK650" s="37"/>
      <c r="AL650" s="86">
        <f>tbl_estimated_costs_quantities[[#This Row],[Ceramic Tile Works WASH]]*BOQs!$L$12</f>
        <v>0</v>
      </c>
      <c r="AM650" s="76"/>
      <c r="AN650" s="37"/>
      <c r="AO650" s="86">
        <f>tbl_estimated_costs_quantities[[#This Row],[Electrical Repairs Lighting]]*BOQs!$L$13</f>
        <v>0</v>
      </c>
      <c r="AP650" s="76"/>
      <c r="AQ650" s="37"/>
      <c r="AR650" s="86">
        <f>tbl_estimated_costs_quantities[[#This Row],[Roof Insulation Leak Sealing]]*BOQs!$L$14</f>
        <v>0</v>
      </c>
      <c r="AS650" s="76"/>
      <c r="AT650" s="37"/>
      <c r="AU650" s="86">
        <f>tbl_estimated_costs_quantities[[#This Row],[Chimney Duct Cleaning Repair]]*BOQs!$L$15</f>
        <v>0</v>
      </c>
      <c r="AV650" s="76"/>
      <c r="AW650" s="37"/>
      <c r="AX650" s="89">
        <f>tbl_estimated_costs_quantities[[#This Row],[Accessibility Adaptations]]*BOQs!$L$16</f>
        <v>0</v>
      </c>
      <c r="AY650" s="86" t="str">
        <f>IF(tbl_estimated_costs_quantities[[#This Row],[Total cost]]&lt;&gt;0,tbl_estimated_costs_quantities[[#This Row],[Total cost]]/BOQs!$A$1,"")</f>
        <v/>
      </c>
      <c r="AZ650" s="37"/>
      <c r="BA650" s="37"/>
      <c r="BB650" s="37"/>
      <c r="BC650" s="37"/>
      <c r="BD650" s="41"/>
      <c r="BE650" s="37"/>
      <c r="BF650" s="37"/>
      <c r="BG650" s="37"/>
      <c r="BH650" s="41"/>
    </row>
    <row r="651" spans="2:60" ht="25.15" customHeight="1" x14ac:dyDescent="0.25">
      <c r="B651" s="49">
        <v>647</v>
      </c>
      <c r="C651" s="37"/>
      <c r="D651" s="41"/>
      <c r="E651" s="40"/>
      <c r="F651" s="87" t="str">
        <f>IF(tbl_estimated_costs_quantities[[#This Row],[House Code]]&lt;&gt;"",INDEX(tbl_Assessment[],MATCH(tbl_estimated_costs_quantities[[#This Row],[House Code]],tbl_Assessment[House Code],0),3),"")</f>
        <v/>
      </c>
      <c r="G651" s="115" t="str">
        <f>IF(tbl_estimated_costs_quantities[[#This Row],[House Code]]&lt;&gt;"",INDEX(tbl_Assessment[],MATCH(tbl_estimated_costs_quantities[[#This Row],[House Code]],tbl_Assessment[House Code],0),9),"")</f>
        <v/>
      </c>
      <c r="H65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1" s="75"/>
      <c r="J651" s="37"/>
      <c r="K651" s="86">
        <f>tbl_estimated_costs_quantities[[#This Row],[Site Preparation]]*BOQs!$L$3</f>
        <v>0</v>
      </c>
      <c r="L651" s="76"/>
      <c r="M651" s="37"/>
      <c r="N651" s="86">
        <f>tbl_estimated_costs_quantities[[#This Row],[Demolition Removal Unsafe Structures]]*BOQs!$L$4</f>
        <v>0</v>
      </c>
      <c r="O651" s="76"/>
      <c r="P651" s="37"/>
      <c r="Q651" s="86">
        <f>tbl_estimated_costs_quantities[[#This Row],[Concrete Works]]*BOQs!$L$5</f>
        <v>0</v>
      </c>
      <c r="R651" s="76"/>
      <c r="S651" s="37"/>
      <c r="T651" s="86">
        <f>tbl_estimated_costs_quantities[[#This Row],[Closure External Openings Walls Windows]]*BOQs!$L$6</f>
        <v>0</v>
      </c>
      <c r="U651" s="76"/>
      <c r="V651" s="37"/>
      <c r="W651" s="86">
        <f>tbl_estimated_costs_quantities[[#This Row],[Plastering Painting]]*BOQs!$L$7</f>
        <v>0</v>
      </c>
      <c r="X651" s="76"/>
      <c r="Y651" s="37"/>
      <c r="Z651" s="86">
        <f>tbl_estimated_costs_quantities[[#This Row],[Floor Repairs]]*BOQs!$L$8</f>
        <v>0</v>
      </c>
      <c r="AA651" s="76"/>
      <c r="AB651" s="37"/>
      <c r="AC651" s="86">
        <f>tbl_estimated_costs_quantities[[#This Row],[Doors Replacement Repair]]*BOQs!$L$9</f>
        <v>0</v>
      </c>
      <c r="AD651" s="76"/>
      <c r="AE651" s="37"/>
      <c r="AF651" s="86">
        <f>tbl_estimated_costs_quantities[[#This Row],[Windows Replacement Repair]]*BOQs!$L$10</f>
        <v>0</v>
      </c>
      <c r="AG651" s="76"/>
      <c r="AH651" s="37"/>
      <c r="AI651" s="86">
        <f>tbl_estimated_costs_quantities[[#This Row],[Bathroom Rehabilitation]]*BOQs!$L$11</f>
        <v>0</v>
      </c>
      <c r="AJ651" s="76"/>
      <c r="AK651" s="37"/>
      <c r="AL651" s="86">
        <f>tbl_estimated_costs_quantities[[#This Row],[Ceramic Tile Works WASH]]*BOQs!$L$12</f>
        <v>0</v>
      </c>
      <c r="AM651" s="76"/>
      <c r="AN651" s="37"/>
      <c r="AO651" s="86">
        <f>tbl_estimated_costs_quantities[[#This Row],[Electrical Repairs Lighting]]*BOQs!$L$13</f>
        <v>0</v>
      </c>
      <c r="AP651" s="76"/>
      <c r="AQ651" s="37"/>
      <c r="AR651" s="86">
        <f>tbl_estimated_costs_quantities[[#This Row],[Roof Insulation Leak Sealing]]*BOQs!$L$14</f>
        <v>0</v>
      </c>
      <c r="AS651" s="76"/>
      <c r="AT651" s="37"/>
      <c r="AU651" s="86">
        <f>tbl_estimated_costs_quantities[[#This Row],[Chimney Duct Cleaning Repair]]*BOQs!$L$15</f>
        <v>0</v>
      </c>
      <c r="AV651" s="76"/>
      <c r="AW651" s="37"/>
      <c r="AX651" s="89">
        <f>tbl_estimated_costs_quantities[[#This Row],[Accessibility Adaptations]]*BOQs!$L$16</f>
        <v>0</v>
      </c>
      <c r="AY651" s="86" t="str">
        <f>IF(tbl_estimated_costs_quantities[[#This Row],[Total cost]]&lt;&gt;0,tbl_estimated_costs_quantities[[#This Row],[Total cost]]/BOQs!$A$1,"")</f>
        <v/>
      </c>
      <c r="AZ651" s="37"/>
      <c r="BA651" s="37"/>
      <c r="BB651" s="37"/>
      <c r="BC651" s="37"/>
      <c r="BD651" s="41"/>
      <c r="BE651" s="37"/>
      <c r="BF651" s="37"/>
      <c r="BG651" s="37"/>
      <c r="BH651" s="41"/>
    </row>
    <row r="652" spans="2:60" ht="25.15" customHeight="1" x14ac:dyDescent="0.25">
      <c r="B652" s="49">
        <v>648</v>
      </c>
      <c r="C652" s="37"/>
      <c r="D652" s="41"/>
      <c r="E652" s="40"/>
      <c r="F652" s="87" t="str">
        <f>IF(tbl_estimated_costs_quantities[[#This Row],[House Code]]&lt;&gt;"",INDEX(tbl_Assessment[],MATCH(tbl_estimated_costs_quantities[[#This Row],[House Code]],tbl_Assessment[House Code],0),3),"")</f>
        <v/>
      </c>
      <c r="G652" s="115" t="str">
        <f>IF(tbl_estimated_costs_quantities[[#This Row],[House Code]]&lt;&gt;"",INDEX(tbl_Assessment[],MATCH(tbl_estimated_costs_quantities[[#This Row],[House Code]],tbl_Assessment[House Code],0),9),"")</f>
        <v/>
      </c>
      <c r="H65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2" s="75"/>
      <c r="J652" s="37"/>
      <c r="K652" s="86">
        <f>tbl_estimated_costs_quantities[[#This Row],[Site Preparation]]*BOQs!$L$3</f>
        <v>0</v>
      </c>
      <c r="L652" s="76"/>
      <c r="M652" s="37"/>
      <c r="N652" s="86">
        <f>tbl_estimated_costs_quantities[[#This Row],[Demolition Removal Unsafe Structures]]*BOQs!$L$4</f>
        <v>0</v>
      </c>
      <c r="O652" s="76"/>
      <c r="P652" s="37"/>
      <c r="Q652" s="86">
        <f>tbl_estimated_costs_quantities[[#This Row],[Concrete Works]]*BOQs!$L$5</f>
        <v>0</v>
      </c>
      <c r="R652" s="76"/>
      <c r="S652" s="37"/>
      <c r="T652" s="86">
        <f>tbl_estimated_costs_quantities[[#This Row],[Closure External Openings Walls Windows]]*BOQs!$L$6</f>
        <v>0</v>
      </c>
      <c r="U652" s="76"/>
      <c r="V652" s="37"/>
      <c r="W652" s="86">
        <f>tbl_estimated_costs_quantities[[#This Row],[Plastering Painting]]*BOQs!$L$7</f>
        <v>0</v>
      </c>
      <c r="X652" s="76"/>
      <c r="Y652" s="37"/>
      <c r="Z652" s="86">
        <f>tbl_estimated_costs_quantities[[#This Row],[Floor Repairs]]*BOQs!$L$8</f>
        <v>0</v>
      </c>
      <c r="AA652" s="76"/>
      <c r="AB652" s="37"/>
      <c r="AC652" s="86">
        <f>tbl_estimated_costs_quantities[[#This Row],[Doors Replacement Repair]]*BOQs!$L$9</f>
        <v>0</v>
      </c>
      <c r="AD652" s="76"/>
      <c r="AE652" s="37"/>
      <c r="AF652" s="86">
        <f>tbl_estimated_costs_quantities[[#This Row],[Windows Replacement Repair]]*BOQs!$L$10</f>
        <v>0</v>
      </c>
      <c r="AG652" s="76"/>
      <c r="AH652" s="37"/>
      <c r="AI652" s="86">
        <f>tbl_estimated_costs_quantities[[#This Row],[Bathroom Rehabilitation]]*BOQs!$L$11</f>
        <v>0</v>
      </c>
      <c r="AJ652" s="76"/>
      <c r="AK652" s="37"/>
      <c r="AL652" s="86">
        <f>tbl_estimated_costs_quantities[[#This Row],[Ceramic Tile Works WASH]]*BOQs!$L$12</f>
        <v>0</v>
      </c>
      <c r="AM652" s="76"/>
      <c r="AN652" s="37"/>
      <c r="AO652" s="86">
        <f>tbl_estimated_costs_quantities[[#This Row],[Electrical Repairs Lighting]]*BOQs!$L$13</f>
        <v>0</v>
      </c>
      <c r="AP652" s="76"/>
      <c r="AQ652" s="37"/>
      <c r="AR652" s="86">
        <f>tbl_estimated_costs_quantities[[#This Row],[Roof Insulation Leak Sealing]]*BOQs!$L$14</f>
        <v>0</v>
      </c>
      <c r="AS652" s="76"/>
      <c r="AT652" s="37"/>
      <c r="AU652" s="86">
        <f>tbl_estimated_costs_quantities[[#This Row],[Chimney Duct Cleaning Repair]]*BOQs!$L$15</f>
        <v>0</v>
      </c>
      <c r="AV652" s="76"/>
      <c r="AW652" s="37"/>
      <c r="AX652" s="89">
        <f>tbl_estimated_costs_quantities[[#This Row],[Accessibility Adaptations]]*BOQs!$L$16</f>
        <v>0</v>
      </c>
      <c r="AY652" s="86" t="str">
        <f>IF(tbl_estimated_costs_quantities[[#This Row],[Total cost]]&lt;&gt;0,tbl_estimated_costs_quantities[[#This Row],[Total cost]]/BOQs!$A$1,"")</f>
        <v/>
      </c>
      <c r="AZ652" s="37"/>
      <c r="BA652" s="37"/>
      <c r="BB652" s="37"/>
      <c r="BC652" s="37"/>
      <c r="BD652" s="41"/>
      <c r="BE652" s="37"/>
      <c r="BF652" s="37"/>
      <c r="BG652" s="37"/>
      <c r="BH652" s="41"/>
    </row>
    <row r="653" spans="2:60" ht="25.15" customHeight="1" x14ac:dyDescent="0.25">
      <c r="B653" s="49">
        <v>649</v>
      </c>
      <c r="C653" s="37"/>
      <c r="D653" s="41"/>
      <c r="E653" s="40"/>
      <c r="F653" s="87" t="str">
        <f>IF(tbl_estimated_costs_quantities[[#This Row],[House Code]]&lt;&gt;"",INDEX(tbl_Assessment[],MATCH(tbl_estimated_costs_quantities[[#This Row],[House Code]],tbl_Assessment[House Code],0),3),"")</f>
        <v/>
      </c>
      <c r="G653" s="115" t="str">
        <f>IF(tbl_estimated_costs_quantities[[#This Row],[House Code]]&lt;&gt;"",INDEX(tbl_Assessment[],MATCH(tbl_estimated_costs_quantities[[#This Row],[House Code]],tbl_Assessment[House Code],0),9),"")</f>
        <v/>
      </c>
      <c r="H65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3" s="75"/>
      <c r="J653" s="37"/>
      <c r="K653" s="86">
        <f>tbl_estimated_costs_quantities[[#This Row],[Site Preparation]]*BOQs!$L$3</f>
        <v>0</v>
      </c>
      <c r="L653" s="76"/>
      <c r="M653" s="37"/>
      <c r="N653" s="86">
        <f>tbl_estimated_costs_quantities[[#This Row],[Demolition Removal Unsafe Structures]]*BOQs!$L$4</f>
        <v>0</v>
      </c>
      <c r="O653" s="76"/>
      <c r="P653" s="37"/>
      <c r="Q653" s="86">
        <f>tbl_estimated_costs_quantities[[#This Row],[Concrete Works]]*BOQs!$L$5</f>
        <v>0</v>
      </c>
      <c r="R653" s="76"/>
      <c r="S653" s="37"/>
      <c r="T653" s="86">
        <f>tbl_estimated_costs_quantities[[#This Row],[Closure External Openings Walls Windows]]*BOQs!$L$6</f>
        <v>0</v>
      </c>
      <c r="U653" s="76"/>
      <c r="V653" s="37"/>
      <c r="W653" s="86">
        <f>tbl_estimated_costs_quantities[[#This Row],[Plastering Painting]]*BOQs!$L$7</f>
        <v>0</v>
      </c>
      <c r="X653" s="76"/>
      <c r="Y653" s="37"/>
      <c r="Z653" s="86">
        <f>tbl_estimated_costs_quantities[[#This Row],[Floor Repairs]]*BOQs!$L$8</f>
        <v>0</v>
      </c>
      <c r="AA653" s="76"/>
      <c r="AB653" s="37"/>
      <c r="AC653" s="86">
        <f>tbl_estimated_costs_quantities[[#This Row],[Doors Replacement Repair]]*BOQs!$L$9</f>
        <v>0</v>
      </c>
      <c r="AD653" s="76"/>
      <c r="AE653" s="37"/>
      <c r="AF653" s="86">
        <f>tbl_estimated_costs_quantities[[#This Row],[Windows Replacement Repair]]*BOQs!$L$10</f>
        <v>0</v>
      </c>
      <c r="AG653" s="76"/>
      <c r="AH653" s="37"/>
      <c r="AI653" s="86">
        <f>tbl_estimated_costs_quantities[[#This Row],[Bathroom Rehabilitation]]*BOQs!$L$11</f>
        <v>0</v>
      </c>
      <c r="AJ653" s="76"/>
      <c r="AK653" s="37"/>
      <c r="AL653" s="86">
        <f>tbl_estimated_costs_quantities[[#This Row],[Ceramic Tile Works WASH]]*BOQs!$L$12</f>
        <v>0</v>
      </c>
      <c r="AM653" s="76"/>
      <c r="AN653" s="37"/>
      <c r="AO653" s="86">
        <f>tbl_estimated_costs_quantities[[#This Row],[Electrical Repairs Lighting]]*BOQs!$L$13</f>
        <v>0</v>
      </c>
      <c r="AP653" s="76"/>
      <c r="AQ653" s="37"/>
      <c r="AR653" s="86">
        <f>tbl_estimated_costs_quantities[[#This Row],[Roof Insulation Leak Sealing]]*BOQs!$L$14</f>
        <v>0</v>
      </c>
      <c r="AS653" s="76"/>
      <c r="AT653" s="37"/>
      <c r="AU653" s="86">
        <f>tbl_estimated_costs_quantities[[#This Row],[Chimney Duct Cleaning Repair]]*BOQs!$L$15</f>
        <v>0</v>
      </c>
      <c r="AV653" s="76"/>
      <c r="AW653" s="37"/>
      <c r="AX653" s="89">
        <f>tbl_estimated_costs_quantities[[#This Row],[Accessibility Adaptations]]*BOQs!$L$16</f>
        <v>0</v>
      </c>
      <c r="AY653" s="86" t="str">
        <f>IF(tbl_estimated_costs_quantities[[#This Row],[Total cost]]&lt;&gt;0,tbl_estimated_costs_quantities[[#This Row],[Total cost]]/BOQs!$A$1,"")</f>
        <v/>
      </c>
      <c r="AZ653" s="37"/>
      <c r="BA653" s="37"/>
      <c r="BB653" s="37"/>
      <c r="BC653" s="37"/>
      <c r="BD653" s="41"/>
      <c r="BE653" s="37"/>
      <c r="BF653" s="37"/>
      <c r="BG653" s="37"/>
      <c r="BH653" s="41"/>
    </row>
    <row r="654" spans="2:60" ht="25.15" customHeight="1" x14ac:dyDescent="0.25">
      <c r="B654" s="49">
        <v>650</v>
      </c>
      <c r="C654" s="37"/>
      <c r="D654" s="41"/>
      <c r="E654" s="40"/>
      <c r="F654" s="87" t="str">
        <f>IF(tbl_estimated_costs_quantities[[#This Row],[House Code]]&lt;&gt;"",INDEX(tbl_Assessment[],MATCH(tbl_estimated_costs_quantities[[#This Row],[House Code]],tbl_Assessment[House Code],0),3),"")</f>
        <v/>
      </c>
      <c r="G654" s="115" t="str">
        <f>IF(tbl_estimated_costs_quantities[[#This Row],[House Code]]&lt;&gt;"",INDEX(tbl_Assessment[],MATCH(tbl_estimated_costs_quantities[[#This Row],[House Code]],tbl_Assessment[House Code],0),9),"")</f>
        <v/>
      </c>
      <c r="H65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4" s="75"/>
      <c r="J654" s="37"/>
      <c r="K654" s="86">
        <f>tbl_estimated_costs_quantities[[#This Row],[Site Preparation]]*BOQs!$L$3</f>
        <v>0</v>
      </c>
      <c r="L654" s="76"/>
      <c r="M654" s="37"/>
      <c r="N654" s="86">
        <f>tbl_estimated_costs_quantities[[#This Row],[Demolition Removal Unsafe Structures]]*BOQs!$L$4</f>
        <v>0</v>
      </c>
      <c r="O654" s="76"/>
      <c r="P654" s="37"/>
      <c r="Q654" s="86">
        <f>tbl_estimated_costs_quantities[[#This Row],[Concrete Works]]*BOQs!$L$5</f>
        <v>0</v>
      </c>
      <c r="R654" s="76"/>
      <c r="S654" s="37"/>
      <c r="T654" s="86">
        <f>tbl_estimated_costs_quantities[[#This Row],[Closure External Openings Walls Windows]]*BOQs!$L$6</f>
        <v>0</v>
      </c>
      <c r="U654" s="76"/>
      <c r="V654" s="37"/>
      <c r="W654" s="86">
        <f>tbl_estimated_costs_quantities[[#This Row],[Plastering Painting]]*BOQs!$L$7</f>
        <v>0</v>
      </c>
      <c r="X654" s="76"/>
      <c r="Y654" s="37"/>
      <c r="Z654" s="86">
        <f>tbl_estimated_costs_quantities[[#This Row],[Floor Repairs]]*BOQs!$L$8</f>
        <v>0</v>
      </c>
      <c r="AA654" s="76"/>
      <c r="AB654" s="37"/>
      <c r="AC654" s="86">
        <f>tbl_estimated_costs_quantities[[#This Row],[Doors Replacement Repair]]*BOQs!$L$9</f>
        <v>0</v>
      </c>
      <c r="AD654" s="76"/>
      <c r="AE654" s="37"/>
      <c r="AF654" s="86">
        <f>tbl_estimated_costs_quantities[[#This Row],[Windows Replacement Repair]]*BOQs!$L$10</f>
        <v>0</v>
      </c>
      <c r="AG654" s="76"/>
      <c r="AH654" s="37"/>
      <c r="AI654" s="86">
        <f>tbl_estimated_costs_quantities[[#This Row],[Bathroom Rehabilitation]]*BOQs!$L$11</f>
        <v>0</v>
      </c>
      <c r="AJ654" s="76"/>
      <c r="AK654" s="37"/>
      <c r="AL654" s="86">
        <f>tbl_estimated_costs_quantities[[#This Row],[Ceramic Tile Works WASH]]*BOQs!$L$12</f>
        <v>0</v>
      </c>
      <c r="AM654" s="76"/>
      <c r="AN654" s="37"/>
      <c r="AO654" s="86">
        <f>tbl_estimated_costs_quantities[[#This Row],[Electrical Repairs Lighting]]*BOQs!$L$13</f>
        <v>0</v>
      </c>
      <c r="AP654" s="76"/>
      <c r="AQ654" s="37"/>
      <c r="AR654" s="86">
        <f>tbl_estimated_costs_quantities[[#This Row],[Roof Insulation Leak Sealing]]*BOQs!$L$14</f>
        <v>0</v>
      </c>
      <c r="AS654" s="76"/>
      <c r="AT654" s="37"/>
      <c r="AU654" s="86">
        <f>tbl_estimated_costs_quantities[[#This Row],[Chimney Duct Cleaning Repair]]*BOQs!$L$15</f>
        <v>0</v>
      </c>
      <c r="AV654" s="76"/>
      <c r="AW654" s="37"/>
      <c r="AX654" s="89">
        <f>tbl_estimated_costs_quantities[[#This Row],[Accessibility Adaptations]]*BOQs!$L$16</f>
        <v>0</v>
      </c>
      <c r="AY654" s="86" t="str">
        <f>IF(tbl_estimated_costs_quantities[[#This Row],[Total cost]]&lt;&gt;0,tbl_estimated_costs_quantities[[#This Row],[Total cost]]/BOQs!$A$1,"")</f>
        <v/>
      </c>
      <c r="AZ654" s="37"/>
      <c r="BA654" s="37"/>
      <c r="BB654" s="37"/>
      <c r="BC654" s="37"/>
      <c r="BD654" s="41"/>
      <c r="BE654" s="37"/>
      <c r="BF654" s="37"/>
      <c r="BG654" s="37"/>
      <c r="BH654" s="41"/>
    </row>
    <row r="655" spans="2:60" ht="25.15" customHeight="1" x14ac:dyDescent="0.25">
      <c r="B655" s="49">
        <v>651</v>
      </c>
      <c r="C655" s="37"/>
      <c r="D655" s="41"/>
      <c r="E655" s="40"/>
      <c r="F655" s="87" t="str">
        <f>IF(tbl_estimated_costs_quantities[[#This Row],[House Code]]&lt;&gt;"",INDEX(tbl_Assessment[],MATCH(tbl_estimated_costs_quantities[[#This Row],[House Code]],tbl_Assessment[House Code],0),3),"")</f>
        <v/>
      </c>
      <c r="G655" s="115" t="str">
        <f>IF(tbl_estimated_costs_quantities[[#This Row],[House Code]]&lt;&gt;"",INDEX(tbl_Assessment[],MATCH(tbl_estimated_costs_quantities[[#This Row],[House Code]],tbl_Assessment[House Code],0),9),"")</f>
        <v/>
      </c>
      <c r="H65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5" s="75"/>
      <c r="J655" s="37"/>
      <c r="K655" s="86">
        <f>tbl_estimated_costs_quantities[[#This Row],[Site Preparation]]*BOQs!$L$3</f>
        <v>0</v>
      </c>
      <c r="L655" s="76"/>
      <c r="M655" s="37"/>
      <c r="N655" s="86">
        <f>tbl_estimated_costs_quantities[[#This Row],[Demolition Removal Unsafe Structures]]*BOQs!$L$4</f>
        <v>0</v>
      </c>
      <c r="O655" s="76"/>
      <c r="P655" s="37"/>
      <c r="Q655" s="86">
        <f>tbl_estimated_costs_quantities[[#This Row],[Concrete Works]]*BOQs!$L$5</f>
        <v>0</v>
      </c>
      <c r="R655" s="76"/>
      <c r="S655" s="37"/>
      <c r="T655" s="86">
        <f>tbl_estimated_costs_quantities[[#This Row],[Closure External Openings Walls Windows]]*BOQs!$L$6</f>
        <v>0</v>
      </c>
      <c r="U655" s="76"/>
      <c r="V655" s="37"/>
      <c r="W655" s="86">
        <f>tbl_estimated_costs_quantities[[#This Row],[Plastering Painting]]*BOQs!$L$7</f>
        <v>0</v>
      </c>
      <c r="X655" s="76"/>
      <c r="Y655" s="37"/>
      <c r="Z655" s="86">
        <f>tbl_estimated_costs_quantities[[#This Row],[Floor Repairs]]*BOQs!$L$8</f>
        <v>0</v>
      </c>
      <c r="AA655" s="76"/>
      <c r="AB655" s="37"/>
      <c r="AC655" s="86">
        <f>tbl_estimated_costs_quantities[[#This Row],[Doors Replacement Repair]]*BOQs!$L$9</f>
        <v>0</v>
      </c>
      <c r="AD655" s="76"/>
      <c r="AE655" s="37"/>
      <c r="AF655" s="86">
        <f>tbl_estimated_costs_quantities[[#This Row],[Windows Replacement Repair]]*BOQs!$L$10</f>
        <v>0</v>
      </c>
      <c r="AG655" s="76"/>
      <c r="AH655" s="37"/>
      <c r="AI655" s="86">
        <f>tbl_estimated_costs_quantities[[#This Row],[Bathroom Rehabilitation]]*BOQs!$L$11</f>
        <v>0</v>
      </c>
      <c r="AJ655" s="76"/>
      <c r="AK655" s="37"/>
      <c r="AL655" s="86">
        <f>tbl_estimated_costs_quantities[[#This Row],[Ceramic Tile Works WASH]]*BOQs!$L$12</f>
        <v>0</v>
      </c>
      <c r="AM655" s="76"/>
      <c r="AN655" s="37"/>
      <c r="AO655" s="86">
        <f>tbl_estimated_costs_quantities[[#This Row],[Electrical Repairs Lighting]]*BOQs!$L$13</f>
        <v>0</v>
      </c>
      <c r="AP655" s="76"/>
      <c r="AQ655" s="37"/>
      <c r="AR655" s="86">
        <f>tbl_estimated_costs_quantities[[#This Row],[Roof Insulation Leak Sealing]]*BOQs!$L$14</f>
        <v>0</v>
      </c>
      <c r="AS655" s="76"/>
      <c r="AT655" s="37"/>
      <c r="AU655" s="86">
        <f>tbl_estimated_costs_quantities[[#This Row],[Chimney Duct Cleaning Repair]]*BOQs!$L$15</f>
        <v>0</v>
      </c>
      <c r="AV655" s="76"/>
      <c r="AW655" s="37"/>
      <c r="AX655" s="89">
        <f>tbl_estimated_costs_quantities[[#This Row],[Accessibility Adaptations]]*BOQs!$L$16</f>
        <v>0</v>
      </c>
      <c r="AY655" s="86" t="str">
        <f>IF(tbl_estimated_costs_quantities[[#This Row],[Total cost]]&lt;&gt;0,tbl_estimated_costs_quantities[[#This Row],[Total cost]]/BOQs!$A$1,"")</f>
        <v/>
      </c>
      <c r="AZ655" s="37"/>
      <c r="BA655" s="37"/>
      <c r="BB655" s="37"/>
      <c r="BC655" s="37"/>
      <c r="BD655" s="41"/>
      <c r="BE655" s="37"/>
      <c r="BF655" s="37"/>
      <c r="BG655" s="37"/>
      <c r="BH655" s="41"/>
    </row>
    <row r="656" spans="2:60" ht="25.15" customHeight="1" x14ac:dyDescent="0.25">
      <c r="B656" s="49">
        <v>652</v>
      </c>
      <c r="C656" s="37"/>
      <c r="D656" s="41"/>
      <c r="E656" s="40"/>
      <c r="F656" s="87" t="str">
        <f>IF(tbl_estimated_costs_quantities[[#This Row],[House Code]]&lt;&gt;"",INDEX(tbl_Assessment[],MATCH(tbl_estimated_costs_quantities[[#This Row],[House Code]],tbl_Assessment[House Code],0),3),"")</f>
        <v/>
      </c>
      <c r="G656" s="115" t="str">
        <f>IF(tbl_estimated_costs_quantities[[#This Row],[House Code]]&lt;&gt;"",INDEX(tbl_Assessment[],MATCH(tbl_estimated_costs_quantities[[#This Row],[House Code]],tbl_Assessment[House Code],0),9),"")</f>
        <v/>
      </c>
      <c r="H65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6" s="75"/>
      <c r="J656" s="37"/>
      <c r="K656" s="86">
        <f>tbl_estimated_costs_quantities[[#This Row],[Site Preparation]]*BOQs!$L$3</f>
        <v>0</v>
      </c>
      <c r="L656" s="76"/>
      <c r="M656" s="37"/>
      <c r="N656" s="86">
        <f>tbl_estimated_costs_quantities[[#This Row],[Demolition Removal Unsafe Structures]]*BOQs!$L$4</f>
        <v>0</v>
      </c>
      <c r="O656" s="76"/>
      <c r="P656" s="37"/>
      <c r="Q656" s="86">
        <f>tbl_estimated_costs_quantities[[#This Row],[Concrete Works]]*BOQs!$L$5</f>
        <v>0</v>
      </c>
      <c r="R656" s="76"/>
      <c r="S656" s="37"/>
      <c r="T656" s="86">
        <f>tbl_estimated_costs_quantities[[#This Row],[Closure External Openings Walls Windows]]*BOQs!$L$6</f>
        <v>0</v>
      </c>
      <c r="U656" s="76"/>
      <c r="V656" s="37"/>
      <c r="W656" s="86">
        <f>tbl_estimated_costs_quantities[[#This Row],[Plastering Painting]]*BOQs!$L$7</f>
        <v>0</v>
      </c>
      <c r="X656" s="76"/>
      <c r="Y656" s="37"/>
      <c r="Z656" s="86">
        <f>tbl_estimated_costs_quantities[[#This Row],[Floor Repairs]]*BOQs!$L$8</f>
        <v>0</v>
      </c>
      <c r="AA656" s="76"/>
      <c r="AB656" s="37"/>
      <c r="AC656" s="86">
        <f>tbl_estimated_costs_quantities[[#This Row],[Doors Replacement Repair]]*BOQs!$L$9</f>
        <v>0</v>
      </c>
      <c r="AD656" s="76"/>
      <c r="AE656" s="37"/>
      <c r="AF656" s="86">
        <f>tbl_estimated_costs_quantities[[#This Row],[Windows Replacement Repair]]*BOQs!$L$10</f>
        <v>0</v>
      </c>
      <c r="AG656" s="76"/>
      <c r="AH656" s="37"/>
      <c r="AI656" s="86">
        <f>tbl_estimated_costs_quantities[[#This Row],[Bathroom Rehabilitation]]*BOQs!$L$11</f>
        <v>0</v>
      </c>
      <c r="AJ656" s="76"/>
      <c r="AK656" s="37"/>
      <c r="AL656" s="86">
        <f>tbl_estimated_costs_quantities[[#This Row],[Ceramic Tile Works WASH]]*BOQs!$L$12</f>
        <v>0</v>
      </c>
      <c r="AM656" s="76"/>
      <c r="AN656" s="37"/>
      <c r="AO656" s="86">
        <f>tbl_estimated_costs_quantities[[#This Row],[Electrical Repairs Lighting]]*BOQs!$L$13</f>
        <v>0</v>
      </c>
      <c r="AP656" s="76"/>
      <c r="AQ656" s="37"/>
      <c r="AR656" s="86">
        <f>tbl_estimated_costs_quantities[[#This Row],[Roof Insulation Leak Sealing]]*BOQs!$L$14</f>
        <v>0</v>
      </c>
      <c r="AS656" s="76"/>
      <c r="AT656" s="37"/>
      <c r="AU656" s="86">
        <f>tbl_estimated_costs_quantities[[#This Row],[Chimney Duct Cleaning Repair]]*BOQs!$L$15</f>
        <v>0</v>
      </c>
      <c r="AV656" s="76"/>
      <c r="AW656" s="37"/>
      <c r="AX656" s="89">
        <f>tbl_estimated_costs_quantities[[#This Row],[Accessibility Adaptations]]*BOQs!$L$16</f>
        <v>0</v>
      </c>
      <c r="AY656" s="86" t="str">
        <f>IF(tbl_estimated_costs_quantities[[#This Row],[Total cost]]&lt;&gt;0,tbl_estimated_costs_quantities[[#This Row],[Total cost]]/BOQs!$A$1,"")</f>
        <v/>
      </c>
      <c r="AZ656" s="37"/>
      <c r="BA656" s="37"/>
      <c r="BB656" s="37"/>
      <c r="BC656" s="37"/>
      <c r="BD656" s="41"/>
      <c r="BE656" s="37"/>
      <c r="BF656" s="37"/>
      <c r="BG656" s="37"/>
      <c r="BH656" s="41"/>
    </row>
    <row r="657" spans="2:60" ht="25.15" customHeight="1" x14ac:dyDescent="0.25">
      <c r="B657" s="49">
        <v>653</v>
      </c>
      <c r="C657" s="37"/>
      <c r="D657" s="41"/>
      <c r="E657" s="40"/>
      <c r="F657" s="87" t="str">
        <f>IF(tbl_estimated_costs_quantities[[#This Row],[House Code]]&lt;&gt;"",INDEX(tbl_Assessment[],MATCH(tbl_estimated_costs_quantities[[#This Row],[House Code]],tbl_Assessment[House Code],0),3),"")</f>
        <v/>
      </c>
      <c r="G657" s="115" t="str">
        <f>IF(tbl_estimated_costs_quantities[[#This Row],[House Code]]&lt;&gt;"",INDEX(tbl_Assessment[],MATCH(tbl_estimated_costs_quantities[[#This Row],[House Code]],tbl_Assessment[House Code],0),9),"")</f>
        <v/>
      </c>
      <c r="H65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7" s="75"/>
      <c r="J657" s="37"/>
      <c r="K657" s="86">
        <f>tbl_estimated_costs_quantities[[#This Row],[Site Preparation]]*BOQs!$L$3</f>
        <v>0</v>
      </c>
      <c r="L657" s="76"/>
      <c r="M657" s="37"/>
      <c r="N657" s="86">
        <f>tbl_estimated_costs_quantities[[#This Row],[Demolition Removal Unsafe Structures]]*BOQs!$L$4</f>
        <v>0</v>
      </c>
      <c r="O657" s="76"/>
      <c r="P657" s="37"/>
      <c r="Q657" s="86">
        <f>tbl_estimated_costs_quantities[[#This Row],[Concrete Works]]*BOQs!$L$5</f>
        <v>0</v>
      </c>
      <c r="R657" s="76"/>
      <c r="S657" s="37"/>
      <c r="T657" s="86">
        <f>tbl_estimated_costs_quantities[[#This Row],[Closure External Openings Walls Windows]]*BOQs!$L$6</f>
        <v>0</v>
      </c>
      <c r="U657" s="76"/>
      <c r="V657" s="37"/>
      <c r="W657" s="86">
        <f>tbl_estimated_costs_quantities[[#This Row],[Plastering Painting]]*BOQs!$L$7</f>
        <v>0</v>
      </c>
      <c r="X657" s="76"/>
      <c r="Y657" s="37"/>
      <c r="Z657" s="86">
        <f>tbl_estimated_costs_quantities[[#This Row],[Floor Repairs]]*BOQs!$L$8</f>
        <v>0</v>
      </c>
      <c r="AA657" s="76"/>
      <c r="AB657" s="37"/>
      <c r="AC657" s="86">
        <f>tbl_estimated_costs_quantities[[#This Row],[Doors Replacement Repair]]*BOQs!$L$9</f>
        <v>0</v>
      </c>
      <c r="AD657" s="76"/>
      <c r="AE657" s="37"/>
      <c r="AF657" s="86">
        <f>tbl_estimated_costs_quantities[[#This Row],[Windows Replacement Repair]]*BOQs!$L$10</f>
        <v>0</v>
      </c>
      <c r="AG657" s="76"/>
      <c r="AH657" s="37"/>
      <c r="AI657" s="86">
        <f>tbl_estimated_costs_quantities[[#This Row],[Bathroom Rehabilitation]]*BOQs!$L$11</f>
        <v>0</v>
      </c>
      <c r="AJ657" s="76"/>
      <c r="AK657" s="37"/>
      <c r="AL657" s="86">
        <f>tbl_estimated_costs_quantities[[#This Row],[Ceramic Tile Works WASH]]*BOQs!$L$12</f>
        <v>0</v>
      </c>
      <c r="AM657" s="76"/>
      <c r="AN657" s="37"/>
      <c r="AO657" s="86">
        <f>tbl_estimated_costs_quantities[[#This Row],[Electrical Repairs Lighting]]*BOQs!$L$13</f>
        <v>0</v>
      </c>
      <c r="AP657" s="76"/>
      <c r="AQ657" s="37"/>
      <c r="AR657" s="86">
        <f>tbl_estimated_costs_quantities[[#This Row],[Roof Insulation Leak Sealing]]*BOQs!$L$14</f>
        <v>0</v>
      </c>
      <c r="AS657" s="76"/>
      <c r="AT657" s="37"/>
      <c r="AU657" s="86">
        <f>tbl_estimated_costs_quantities[[#This Row],[Chimney Duct Cleaning Repair]]*BOQs!$L$15</f>
        <v>0</v>
      </c>
      <c r="AV657" s="76"/>
      <c r="AW657" s="37"/>
      <c r="AX657" s="89">
        <f>tbl_estimated_costs_quantities[[#This Row],[Accessibility Adaptations]]*BOQs!$L$16</f>
        <v>0</v>
      </c>
      <c r="AY657" s="86" t="str">
        <f>IF(tbl_estimated_costs_quantities[[#This Row],[Total cost]]&lt;&gt;0,tbl_estimated_costs_quantities[[#This Row],[Total cost]]/BOQs!$A$1,"")</f>
        <v/>
      </c>
      <c r="AZ657" s="37"/>
      <c r="BA657" s="37"/>
      <c r="BB657" s="37"/>
      <c r="BC657" s="37"/>
      <c r="BD657" s="41"/>
      <c r="BE657" s="37"/>
      <c r="BF657" s="37"/>
      <c r="BG657" s="37"/>
      <c r="BH657" s="41"/>
    </row>
    <row r="658" spans="2:60" ht="25.15" customHeight="1" x14ac:dyDescent="0.25">
      <c r="B658" s="49">
        <v>654</v>
      </c>
      <c r="C658" s="37"/>
      <c r="D658" s="41"/>
      <c r="E658" s="40"/>
      <c r="F658" s="87" t="str">
        <f>IF(tbl_estimated_costs_quantities[[#This Row],[House Code]]&lt;&gt;"",INDEX(tbl_Assessment[],MATCH(tbl_estimated_costs_quantities[[#This Row],[House Code]],tbl_Assessment[House Code],0),3),"")</f>
        <v/>
      </c>
      <c r="G658" s="115" t="str">
        <f>IF(tbl_estimated_costs_quantities[[#This Row],[House Code]]&lt;&gt;"",INDEX(tbl_Assessment[],MATCH(tbl_estimated_costs_quantities[[#This Row],[House Code]],tbl_Assessment[House Code],0),9),"")</f>
        <v/>
      </c>
      <c r="H65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8" s="75"/>
      <c r="J658" s="37"/>
      <c r="K658" s="86">
        <f>tbl_estimated_costs_quantities[[#This Row],[Site Preparation]]*BOQs!$L$3</f>
        <v>0</v>
      </c>
      <c r="L658" s="76"/>
      <c r="M658" s="37"/>
      <c r="N658" s="86">
        <f>tbl_estimated_costs_quantities[[#This Row],[Demolition Removal Unsafe Structures]]*BOQs!$L$4</f>
        <v>0</v>
      </c>
      <c r="O658" s="76"/>
      <c r="P658" s="37"/>
      <c r="Q658" s="86">
        <f>tbl_estimated_costs_quantities[[#This Row],[Concrete Works]]*BOQs!$L$5</f>
        <v>0</v>
      </c>
      <c r="R658" s="76"/>
      <c r="S658" s="37"/>
      <c r="T658" s="86">
        <f>tbl_estimated_costs_quantities[[#This Row],[Closure External Openings Walls Windows]]*BOQs!$L$6</f>
        <v>0</v>
      </c>
      <c r="U658" s="76"/>
      <c r="V658" s="37"/>
      <c r="W658" s="86">
        <f>tbl_estimated_costs_quantities[[#This Row],[Plastering Painting]]*BOQs!$L$7</f>
        <v>0</v>
      </c>
      <c r="X658" s="76"/>
      <c r="Y658" s="37"/>
      <c r="Z658" s="86">
        <f>tbl_estimated_costs_quantities[[#This Row],[Floor Repairs]]*BOQs!$L$8</f>
        <v>0</v>
      </c>
      <c r="AA658" s="76"/>
      <c r="AB658" s="37"/>
      <c r="AC658" s="86">
        <f>tbl_estimated_costs_quantities[[#This Row],[Doors Replacement Repair]]*BOQs!$L$9</f>
        <v>0</v>
      </c>
      <c r="AD658" s="76"/>
      <c r="AE658" s="37"/>
      <c r="AF658" s="86">
        <f>tbl_estimated_costs_quantities[[#This Row],[Windows Replacement Repair]]*BOQs!$L$10</f>
        <v>0</v>
      </c>
      <c r="AG658" s="76"/>
      <c r="AH658" s="37"/>
      <c r="AI658" s="86">
        <f>tbl_estimated_costs_quantities[[#This Row],[Bathroom Rehabilitation]]*BOQs!$L$11</f>
        <v>0</v>
      </c>
      <c r="AJ658" s="76"/>
      <c r="AK658" s="37"/>
      <c r="AL658" s="86">
        <f>tbl_estimated_costs_quantities[[#This Row],[Ceramic Tile Works WASH]]*BOQs!$L$12</f>
        <v>0</v>
      </c>
      <c r="AM658" s="76"/>
      <c r="AN658" s="37"/>
      <c r="AO658" s="86">
        <f>tbl_estimated_costs_quantities[[#This Row],[Electrical Repairs Lighting]]*BOQs!$L$13</f>
        <v>0</v>
      </c>
      <c r="AP658" s="76"/>
      <c r="AQ658" s="37"/>
      <c r="AR658" s="86">
        <f>tbl_estimated_costs_quantities[[#This Row],[Roof Insulation Leak Sealing]]*BOQs!$L$14</f>
        <v>0</v>
      </c>
      <c r="AS658" s="76"/>
      <c r="AT658" s="37"/>
      <c r="AU658" s="86">
        <f>tbl_estimated_costs_quantities[[#This Row],[Chimney Duct Cleaning Repair]]*BOQs!$L$15</f>
        <v>0</v>
      </c>
      <c r="AV658" s="76"/>
      <c r="AW658" s="37"/>
      <c r="AX658" s="89">
        <f>tbl_estimated_costs_quantities[[#This Row],[Accessibility Adaptations]]*BOQs!$L$16</f>
        <v>0</v>
      </c>
      <c r="AY658" s="86" t="str">
        <f>IF(tbl_estimated_costs_quantities[[#This Row],[Total cost]]&lt;&gt;0,tbl_estimated_costs_quantities[[#This Row],[Total cost]]/BOQs!$A$1,"")</f>
        <v/>
      </c>
      <c r="AZ658" s="37"/>
      <c r="BA658" s="37"/>
      <c r="BB658" s="37"/>
      <c r="BC658" s="37"/>
      <c r="BD658" s="41"/>
      <c r="BE658" s="37"/>
      <c r="BF658" s="37"/>
      <c r="BG658" s="37"/>
      <c r="BH658" s="41"/>
    </row>
    <row r="659" spans="2:60" ht="25.15" customHeight="1" x14ac:dyDescent="0.25">
      <c r="B659" s="49">
        <v>655</v>
      </c>
      <c r="C659" s="37"/>
      <c r="D659" s="41"/>
      <c r="E659" s="40"/>
      <c r="F659" s="87" t="str">
        <f>IF(tbl_estimated_costs_quantities[[#This Row],[House Code]]&lt;&gt;"",INDEX(tbl_Assessment[],MATCH(tbl_estimated_costs_quantities[[#This Row],[House Code]],tbl_Assessment[House Code],0),3),"")</f>
        <v/>
      </c>
      <c r="G659" s="115" t="str">
        <f>IF(tbl_estimated_costs_quantities[[#This Row],[House Code]]&lt;&gt;"",INDEX(tbl_Assessment[],MATCH(tbl_estimated_costs_quantities[[#This Row],[House Code]],tbl_Assessment[House Code],0),9),"")</f>
        <v/>
      </c>
      <c r="H65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59" s="75"/>
      <c r="J659" s="37"/>
      <c r="K659" s="86">
        <f>tbl_estimated_costs_quantities[[#This Row],[Site Preparation]]*BOQs!$L$3</f>
        <v>0</v>
      </c>
      <c r="L659" s="76"/>
      <c r="M659" s="37"/>
      <c r="N659" s="86">
        <f>tbl_estimated_costs_quantities[[#This Row],[Demolition Removal Unsafe Structures]]*BOQs!$L$4</f>
        <v>0</v>
      </c>
      <c r="O659" s="76"/>
      <c r="P659" s="37"/>
      <c r="Q659" s="86">
        <f>tbl_estimated_costs_quantities[[#This Row],[Concrete Works]]*BOQs!$L$5</f>
        <v>0</v>
      </c>
      <c r="R659" s="76"/>
      <c r="S659" s="37"/>
      <c r="T659" s="86">
        <f>tbl_estimated_costs_quantities[[#This Row],[Closure External Openings Walls Windows]]*BOQs!$L$6</f>
        <v>0</v>
      </c>
      <c r="U659" s="76"/>
      <c r="V659" s="37"/>
      <c r="W659" s="86">
        <f>tbl_estimated_costs_quantities[[#This Row],[Plastering Painting]]*BOQs!$L$7</f>
        <v>0</v>
      </c>
      <c r="X659" s="76"/>
      <c r="Y659" s="37"/>
      <c r="Z659" s="86">
        <f>tbl_estimated_costs_quantities[[#This Row],[Floor Repairs]]*BOQs!$L$8</f>
        <v>0</v>
      </c>
      <c r="AA659" s="76"/>
      <c r="AB659" s="37"/>
      <c r="AC659" s="86">
        <f>tbl_estimated_costs_quantities[[#This Row],[Doors Replacement Repair]]*BOQs!$L$9</f>
        <v>0</v>
      </c>
      <c r="AD659" s="76"/>
      <c r="AE659" s="37"/>
      <c r="AF659" s="86">
        <f>tbl_estimated_costs_quantities[[#This Row],[Windows Replacement Repair]]*BOQs!$L$10</f>
        <v>0</v>
      </c>
      <c r="AG659" s="76"/>
      <c r="AH659" s="37"/>
      <c r="AI659" s="86">
        <f>tbl_estimated_costs_quantities[[#This Row],[Bathroom Rehabilitation]]*BOQs!$L$11</f>
        <v>0</v>
      </c>
      <c r="AJ659" s="76"/>
      <c r="AK659" s="37"/>
      <c r="AL659" s="86">
        <f>tbl_estimated_costs_quantities[[#This Row],[Ceramic Tile Works WASH]]*BOQs!$L$12</f>
        <v>0</v>
      </c>
      <c r="AM659" s="76"/>
      <c r="AN659" s="37"/>
      <c r="AO659" s="86">
        <f>tbl_estimated_costs_quantities[[#This Row],[Electrical Repairs Lighting]]*BOQs!$L$13</f>
        <v>0</v>
      </c>
      <c r="AP659" s="76"/>
      <c r="AQ659" s="37"/>
      <c r="AR659" s="86">
        <f>tbl_estimated_costs_quantities[[#This Row],[Roof Insulation Leak Sealing]]*BOQs!$L$14</f>
        <v>0</v>
      </c>
      <c r="AS659" s="76"/>
      <c r="AT659" s="37"/>
      <c r="AU659" s="86">
        <f>tbl_estimated_costs_quantities[[#This Row],[Chimney Duct Cleaning Repair]]*BOQs!$L$15</f>
        <v>0</v>
      </c>
      <c r="AV659" s="76"/>
      <c r="AW659" s="37"/>
      <c r="AX659" s="89">
        <f>tbl_estimated_costs_quantities[[#This Row],[Accessibility Adaptations]]*BOQs!$L$16</f>
        <v>0</v>
      </c>
      <c r="AY659" s="86" t="str">
        <f>IF(tbl_estimated_costs_quantities[[#This Row],[Total cost]]&lt;&gt;0,tbl_estimated_costs_quantities[[#This Row],[Total cost]]/BOQs!$A$1,"")</f>
        <v/>
      </c>
      <c r="AZ659" s="37"/>
      <c r="BA659" s="37"/>
      <c r="BB659" s="37"/>
      <c r="BC659" s="37"/>
      <c r="BD659" s="41"/>
      <c r="BE659" s="37"/>
      <c r="BF659" s="37"/>
      <c r="BG659" s="37"/>
      <c r="BH659" s="41"/>
    </row>
    <row r="660" spans="2:60" ht="25.15" customHeight="1" x14ac:dyDescent="0.25">
      <c r="B660" s="49">
        <v>656</v>
      </c>
      <c r="C660" s="37"/>
      <c r="D660" s="41"/>
      <c r="E660" s="40"/>
      <c r="F660" s="87" t="str">
        <f>IF(tbl_estimated_costs_quantities[[#This Row],[House Code]]&lt;&gt;"",INDEX(tbl_Assessment[],MATCH(tbl_estimated_costs_quantities[[#This Row],[House Code]],tbl_Assessment[House Code],0),3),"")</f>
        <v/>
      </c>
      <c r="G660" s="115" t="str">
        <f>IF(tbl_estimated_costs_quantities[[#This Row],[House Code]]&lt;&gt;"",INDEX(tbl_Assessment[],MATCH(tbl_estimated_costs_quantities[[#This Row],[House Code]],tbl_Assessment[House Code],0),9),"")</f>
        <v/>
      </c>
      <c r="H66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0" s="75"/>
      <c r="J660" s="37"/>
      <c r="K660" s="86">
        <f>tbl_estimated_costs_quantities[[#This Row],[Site Preparation]]*BOQs!$L$3</f>
        <v>0</v>
      </c>
      <c r="L660" s="76"/>
      <c r="M660" s="37"/>
      <c r="N660" s="86">
        <f>tbl_estimated_costs_quantities[[#This Row],[Demolition Removal Unsafe Structures]]*BOQs!$L$4</f>
        <v>0</v>
      </c>
      <c r="O660" s="76"/>
      <c r="P660" s="37"/>
      <c r="Q660" s="86">
        <f>tbl_estimated_costs_quantities[[#This Row],[Concrete Works]]*BOQs!$L$5</f>
        <v>0</v>
      </c>
      <c r="R660" s="76"/>
      <c r="S660" s="37"/>
      <c r="T660" s="86">
        <f>tbl_estimated_costs_quantities[[#This Row],[Closure External Openings Walls Windows]]*BOQs!$L$6</f>
        <v>0</v>
      </c>
      <c r="U660" s="76"/>
      <c r="V660" s="37"/>
      <c r="W660" s="86">
        <f>tbl_estimated_costs_quantities[[#This Row],[Plastering Painting]]*BOQs!$L$7</f>
        <v>0</v>
      </c>
      <c r="X660" s="76"/>
      <c r="Y660" s="37"/>
      <c r="Z660" s="86">
        <f>tbl_estimated_costs_quantities[[#This Row],[Floor Repairs]]*BOQs!$L$8</f>
        <v>0</v>
      </c>
      <c r="AA660" s="76"/>
      <c r="AB660" s="37"/>
      <c r="AC660" s="86">
        <f>tbl_estimated_costs_quantities[[#This Row],[Doors Replacement Repair]]*BOQs!$L$9</f>
        <v>0</v>
      </c>
      <c r="AD660" s="76"/>
      <c r="AE660" s="37"/>
      <c r="AF660" s="86">
        <f>tbl_estimated_costs_quantities[[#This Row],[Windows Replacement Repair]]*BOQs!$L$10</f>
        <v>0</v>
      </c>
      <c r="AG660" s="76"/>
      <c r="AH660" s="37"/>
      <c r="AI660" s="86">
        <f>tbl_estimated_costs_quantities[[#This Row],[Bathroom Rehabilitation]]*BOQs!$L$11</f>
        <v>0</v>
      </c>
      <c r="AJ660" s="76"/>
      <c r="AK660" s="37"/>
      <c r="AL660" s="86">
        <f>tbl_estimated_costs_quantities[[#This Row],[Ceramic Tile Works WASH]]*BOQs!$L$12</f>
        <v>0</v>
      </c>
      <c r="AM660" s="76"/>
      <c r="AN660" s="37"/>
      <c r="AO660" s="86">
        <f>tbl_estimated_costs_quantities[[#This Row],[Electrical Repairs Lighting]]*BOQs!$L$13</f>
        <v>0</v>
      </c>
      <c r="AP660" s="76"/>
      <c r="AQ660" s="37"/>
      <c r="AR660" s="86">
        <f>tbl_estimated_costs_quantities[[#This Row],[Roof Insulation Leak Sealing]]*BOQs!$L$14</f>
        <v>0</v>
      </c>
      <c r="AS660" s="76"/>
      <c r="AT660" s="37"/>
      <c r="AU660" s="86">
        <f>tbl_estimated_costs_quantities[[#This Row],[Chimney Duct Cleaning Repair]]*BOQs!$L$15</f>
        <v>0</v>
      </c>
      <c r="AV660" s="76"/>
      <c r="AW660" s="37"/>
      <c r="AX660" s="89">
        <f>tbl_estimated_costs_quantities[[#This Row],[Accessibility Adaptations]]*BOQs!$L$16</f>
        <v>0</v>
      </c>
      <c r="AY660" s="86" t="str">
        <f>IF(tbl_estimated_costs_quantities[[#This Row],[Total cost]]&lt;&gt;0,tbl_estimated_costs_quantities[[#This Row],[Total cost]]/BOQs!$A$1,"")</f>
        <v/>
      </c>
      <c r="AZ660" s="37"/>
      <c r="BA660" s="37"/>
      <c r="BB660" s="37"/>
      <c r="BC660" s="37"/>
      <c r="BD660" s="41"/>
      <c r="BE660" s="37"/>
      <c r="BF660" s="37"/>
      <c r="BG660" s="37"/>
      <c r="BH660" s="41"/>
    </row>
    <row r="661" spans="2:60" ht="25.15" customHeight="1" x14ac:dyDescent="0.25">
      <c r="B661" s="49">
        <v>657</v>
      </c>
      <c r="C661" s="37"/>
      <c r="D661" s="41"/>
      <c r="E661" s="40"/>
      <c r="F661" s="87" t="str">
        <f>IF(tbl_estimated_costs_quantities[[#This Row],[House Code]]&lt;&gt;"",INDEX(tbl_Assessment[],MATCH(tbl_estimated_costs_quantities[[#This Row],[House Code]],tbl_Assessment[House Code],0),3),"")</f>
        <v/>
      </c>
      <c r="G661" s="115" t="str">
        <f>IF(tbl_estimated_costs_quantities[[#This Row],[House Code]]&lt;&gt;"",INDEX(tbl_Assessment[],MATCH(tbl_estimated_costs_quantities[[#This Row],[House Code]],tbl_Assessment[House Code],0),9),"")</f>
        <v/>
      </c>
      <c r="H66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1" s="75"/>
      <c r="J661" s="37"/>
      <c r="K661" s="86">
        <f>tbl_estimated_costs_quantities[[#This Row],[Site Preparation]]*BOQs!$L$3</f>
        <v>0</v>
      </c>
      <c r="L661" s="76"/>
      <c r="M661" s="37"/>
      <c r="N661" s="86">
        <f>tbl_estimated_costs_quantities[[#This Row],[Demolition Removal Unsafe Structures]]*BOQs!$L$4</f>
        <v>0</v>
      </c>
      <c r="O661" s="76"/>
      <c r="P661" s="37"/>
      <c r="Q661" s="86">
        <f>tbl_estimated_costs_quantities[[#This Row],[Concrete Works]]*BOQs!$L$5</f>
        <v>0</v>
      </c>
      <c r="R661" s="76"/>
      <c r="S661" s="37"/>
      <c r="T661" s="86">
        <f>tbl_estimated_costs_quantities[[#This Row],[Closure External Openings Walls Windows]]*BOQs!$L$6</f>
        <v>0</v>
      </c>
      <c r="U661" s="76"/>
      <c r="V661" s="37"/>
      <c r="W661" s="86">
        <f>tbl_estimated_costs_quantities[[#This Row],[Plastering Painting]]*BOQs!$L$7</f>
        <v>0</v>
      </c>
      <c r="X661" s="76"/>
      <c r="Y661" s="37"/>
      <c r="Z661" s="86">
        <f>tbl_estimated_costs_quantities[[#This Row],[Floor Repairs]]*BOQs!$L$8</f>
        <v>0</v>
      </c>
      <c r="AA661" s="76"/>
      <c r="AB661" s="37"/>
      <c r="AC661" s="86">
        <f>tbl_estimated_costs_quantities[[#This Row],[Doors Replacement Repair]]*BOQs!$L$9</f>
        <v>0</v>
      </c>
      <c r="AD661" s="76"/>
      <c r="AE661" s="37"/>
      <c r="AF661" s="86">
        <f>tbl_estimated_costs_quantities[[#This Row],[Windows Replacement Repair]]*BOQs!$L$10</f>
        <v>0</v>
      </c>
      <c r="AG661" s="76"/>
      <c r="AH661" s="37"/>
      <c r="AI661" s="86">
        <f>tbl_estimated_costs_quantities[[#This Row],[Bathroom Rehabilitation]]*BOQs!$L$11</f>
        <v>0</v>
      </c>
      <c r="AJ661" s="76"/>
      <c r="AK661" s="37"/>
      <c r="AL661" s="86">
        <f>tbl_estimated_costs_quantities[[#This Row],[Ceramic Tile Works WASH]]*BOQs!$L$12</f>
        <v>0</v>
      </c>
      <c r="AM661" s="76"/>
      <c r="AN661" s="37"/>
      <c r="AO661" s="86">
        <f>tbl_estimated_costs_quantities[[#This Row],[Electrical Repairs Lighting]]*BOQs!$L$13</f>
        <v>0</v>
      </c>
      <c r="AP661" s="76"/>
      <c r="AQ661" s="37"/>
      <c r="AR661" s="86">
        <f>tbl_estimated_costs_quantities[[#This Row],[Roof Insulation Leak Sealing]]*BOQs!$L$14</f>
        <v>0</v>
      </c>
      <c r="AS661" s="76"/>
      <c r="AT661" s="37"/>
      <c r="AU661" s="86">
        <f>tbl_estimated_costs_quantities[[#This Row],[Chimney Duct Cleaning Repair]]*BOQs!$L$15</f>
        <v>0</v>
      </c>
      <c r="AV661" s="76"/>
      <c r="AW661" s="37"/>
      <c r="AX661" s="89">
        <f>tbl_estimated_costs_quantities[[#This Row],[Accessibility Adaptations]]*BOQs!$L$16</f>
        <v>0</v>
      </c>
      <c r="AY661" s="86" t="str">
        <f>IF(tbl_estimated_costs_quantities[[#This Row],[Total cost]]&lt;&gt;0,tbl_estimated_costs_quantities[[#This Row],[Total cost]]/BOQs!$A$1,"")</f>
        <v/>
      </c>
      <c r="AZ661" s="37"/>
      <c r="BA661" s="37"/>
      <c r="BB661" s="37"/>
      <c r="BC661" s="37"/>
      <c r="BD661" s="41"/>
      <c r="BE661" s="37"/>
      <c r="BF661" s="37"/>
      <c r="BG661" s="37"/>
      <c r="BH661" s="41"/>
    </row>
    <row r="662" spans="2:60" ht="25.15" customHeight="1" x14ac:dyDescent="0.25">
      <c r="B662" s="49">
        <v>658</v>
      </c>
      <c r="C662" s="37"/>
      <c r="D662" s="41"/>
      <c r="E662" s="40"/>
      <c r="F662" s="87" t="str">
        <f>IF(tbl_estimated_costs_quantities[[#This Row],[House Code]]&lt;&gt;"",INDEX(tbl_Assessment[],MATCH(tbl_estimated_costs_quantities[[#This Row],[House Code]],tbl_Assessment[House Code],0),3),"")</f>
        <v/>
      </c>
      <c r="G662" s="115" t="str">
        <f>IF(tbl_estimated_costs_quantities[[#This Row],[House Code]]&lt;&gt;"",INDEX(tbl_Assessment[],MATCH(tbl_estimated_costs_quantities[[#This Row],[House Code]],tbl_Assessment[House Code],0),9),"")</f>
        <v/>
      </c>
      <c r="H66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2" s="75"/>
      <c r="J662" s="37"/>
      <c r="K662" s="86">
        <f>tbl_estimated_costs_quantities[[#This Row],[Site Preparation]]*BOQs!$L$3</f>
        <v>0</v>
      </c>
      <c r="L662" s="76"/>
      <c r="M662" s="37"/>
      <c r="N662" s="86">
        <f>tbl_estimated_costs_quantities[[#This Row],[Demolition Removal Unsafe Structures]]*BOQs!$L$4</f>
        <v>0</v>
      </c>
      <c r="O662" s="76"/>
      <c r="P662" s="37"/>
      <c r="Q662" s="86">
        <f>tbl_estimated_costs_quantities[[#This Row],[Concrete Works]]*BOQs!$L$5</f>
        <v>0</v>
      </c>
      <c r="R662" s="76"/>
      <c r="S662" s="37"/>
      <c r="T662" s="86">
        <f>tbl_estimated_costs_quantities[[#This Row],[Closure External Openings Walls Windows]]*BOQs!$L$6</f>
        <v>0</v>
      </c>
      <c r="U662" s="76"/>
      <c r="V662" s="37"/>
      <c r="W662" s="86">
        <f>tbl_estimated_costs_quantities[[#This Row],[Plastering Painting]]*BOQs!$L$7</f>
        <v>0</v>
      </c>
      <c r="X662" s="76"/>
      <c r="Y662" s="37"/>
      <c r="Z662" s="86">
        <f>tbl_estimated_costs_quantities[[#This Row],[Floor Repairs]]*BOQs!$L$8</f>
        <v>0</v>
      </c>
      <c r="AA662" s="76"/>
      <c r="AB662" s="37"/>
      <c r="AC662" s="86">
        <f>tbl_estimated_costs_quantities[[#This Row],[Doors Replacement Repair]]*BOQs!$L$9</f>
        <v>0</v>
      </c>
      <c r="AD662" s="76"/>
      <c r="AE662" s="37"/>
      <c r="AF662" s="86">
        <f>tbl_estimated_costs_quantities[[#This Row],[Windows Replacement Repair]]*BOQs!$L$10</f>
        <v>0</v>
      </c>
      <c r="AG662" s="76"/>
      <c r="AH662" s="37"/>
      <c r="AI662" s="86">
        <f>tbl_estimated_costs_quantities[[#This Row],[Bathroom Rehabilitation]]*BOQs!$L$11</f>
        <v>0</v>
      </c>
      <c r="AJ662" s="76"/>
      <c r="AK662" s="37"/>
      <c r="AL662" s="86">
        <f>tbl_estimated_costs_quantities[[#This Row],[Ceramic Tile Works WASH]]*BOQs!$L$12</f>
        <v>0</v>
      </c>
      <c r="AM662" s="76"/>
      <c r="AN662" s="37"/>
      <c r="AO662" s="86">
        <f>tbl_estimated_costs_quantities[[#This Row],[Electrical Repairs Lighting]]*BOQs!$L$13</f>
        <v>0</v>
      </c>
      <c r="AP662" s="76"/>
      <c r="AQ662" s="37"/>
      <c r="AR662" s="86">
        <f>tbl_estimated_costs_quantities[[#This Row],[Roof Insulation Leak Sealing]]*BOQs!$L$14</f>
        <v>0</v>
      </c>
      <c r="AS662" s="76"/>
      <c r="AT662" s="37"/>
      <c r="AU662" s="86">
        <f>tbl_estimated_costs_quantities[[#This Row],[Chimney Duct Cleaning Repair]]*BOQs!$L$15</f>
        <v>0</v>
      </c>
      <c r="AV662" s="76"/>
      <c r="AW662" s="37"/>
      <c r="AX662" s="89">
        <f>tbl_estimated_costs_quantities[[#This Row],[Accessibility Adaptations]]*BOQs!$L$16</f>
        <v>0</v>
      </c>
      <c r="AY662" s="86" t="str">
        <f>IF(tbl_estimated_costs_quantities[[#This Row],[Total cost]]&lt;&gt;0,tbl_estimated_costs_quantities[[#This Row],[Total cost]]/BOQs!$A$1,"")</f>
        <v/>
      </c>
      <c r="AZ662" s="37"/>
      <c r="BA662" s="37"/>
      <c r="BB662" s="37"/>
      <c r="BC662" s="37"/>
      <c r="BD662" s="41"/>
      <c r="BE662" s="37"/>
      <c r="BF662" s="37"/>
      <c r="BG662" s="37"/>
      <c r="BH662" s="41"/>
    </row>
    <row r="663" spans="2:60" ht="25.15" customHeight="1" x14ac:dyDescent="0.25">
      <c r="B663" s="49">
        <v>659</v>
      </c>
      <c r="C663" s="37"/>
      <c r="D663" s="41"/>
      <c r="E663" s="40"/>
      <c r="F663" s="87" t="str">
        <f>IF(tbl_estimated_costs_quantities[[#This Row],[House Code]]&lt;&gt;"",INDEX(tbl_Assessment[],MATCH(tbl_estimated_costs_quantities[[#This Row],[House Code]],tbl_Assessment[House Code],0),3),"")</f>
        <v/>
      </c>
      <c r="G663" s="115" t="str">
        <f>IF(tbl_estimated_costs_quantities[[#This Row],[House Code]]&lt;&gt;"",INDEX(tbl_Assessment[],MATCH(tbl_estimated_costs_quantities[[#This Row],[House Code]],tbl_Assessment[House Code],0),9),"")</f>
        <v/>
      </c>
      <c r="H66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3" s="75"/>
      <c r="J663" s="37"/>
      <c r="K663" s="86">
        <f>tbl_estimated_costs_quantities[[#This Row],[Site Preparation]]*BOQs!$L$3</f>
        <v>0</v>
      </c>
      <c r="L663" s="76"/>
      <c r="M663" s="37"/>
      <c r="N663" s="86">
        <f>tbl_estimated_costs_quantities[[#This Row],[Demolition Removal Unsafe Structures]]*BOQs!$L$4</f>
        <v>0</v>
      </c>
      <c r="O663" s="76"/>
      <c r="P663" s="37"/>
      <c r="Q663" s="86">
        <f>tbl_estimated_costs_quantities[[#This Row],[Concrete Works]]*BOQs!$L$5</f>
        <v>0</v>
      </c>
      <c r="R663" s="76"/>
      <c r="S663" s="37"/>
      <c r="T663" s="86">
        <f>tbl_estimated_costs_quantities[[#This Row],[Closure External Openings Walls Windows]]*BOQs!$L$6</f>
        <v>0</v>
      </c>
      <c r="U663" s="76"/>
      <c r="V663" s="37"/>
      <c r="W663" s="86">
        <f>tbl_estimated_costs_quantities[[#This Row],[Plastering Painting]]*BOQs!$L$7</f>
        <v>0</v>
      </c>
      <c r="X663" s="76"/>
      <c r="Y663" s="37"/>
      <c r="Z663" s="86">
        <f>tbl_estimated_costs_quantities[[#This Row],[Floor Repairs]]*BOQs!$L$8</f>
        <v>0</v>
      </c>
      <c r="AA663" s="76"/>
      <c r="AB663" s="37"/>
      <c r="AC663" s="86">
        <f>tbl_estimated_costs_quantities[[#This Row],[Doors Replacement Repair]]*BOQs!$L$9</f>
        <v>0</v>
      </c>
      <c r="AD663" s="76"/>
      <c r="AE663" s="37"/>
      <c r="AF663" s="86">
        <f>tbl_estimated_costs_quantities[[#This Row],[Windows Replacement Repair]]*BOQs!$L$10</f>
        <v>0</v>
      </c>
      <c r="AG663" s="76"/>
      <c r="AH663" s="37"/>
      <c r="AI663" s="86">
        <f>tbl_estimated_costs_quantities[[#This Row],[Bathroom Rehabilitation]]*BOQs!$L$11</f>
        <v>0</v>
      </c>
      <c r="AJ663" s="76"/>
      <c r="AK663" s="37"/>
      <c r="AL663" s="86">
        <f>tbl_estimated_costs_quantities[[#This Row],[Ceramic Tile Works WASH]]*BOQs!$L$12</f>
        <v>0</v>
      </c>
      <c r="AM663" s="76"/>
      <c r="AN663" s="37"/>
      <c r="AO663" s="86">
        <f>tbl_estimated_costs_quantities[[#This Row],[Electrical Repairs Lighting]]*BOQs!$L$13</f>
        <v>0</v>
      </c>
      <c r="AP663" s="76"/>
      <c r="AQ663" s="37"/>
      <c r="AR663" s="86">
        <f>tbl_estimated_costs_quantities[[#This Row],[Roof Insulation Leak Sealing]]*BOQs!$L$14</f>
        <v>0</v>
      </c>
      <c r="AS663" s="76"/>
      <c r="AT663" s="37"/>
      <c r="AU663" s="86">
        <f>tbl_estimated_costs_quantities[[#This Row],[Chimney Duct Cleaning Repair]]*BOQs!$L$15</f>
        <v>0</v>
      </c>
      <c r="AV663" s="76"/>
      <c r="AW663" s="37"/>
      <c r="AX663" s="89">
        <f>tbl_estimated_costs_quantities[[#This Row],[Accessibility Adaptations]]*BOQs!$L$16</f>
        <v>0</v>
      </c>
      <c r="AY663" s="86" t="str">
        <f>IF(tbl_estimated_costs_quantities[[#This Row],[Total cost]]&lt;&gt;0,tbl_estimated_costs_quantities[[#This Row],[Total cost]]/BOQs!$A$1,"")</f>
        <v/>
      </c>
      <c r="AZ663" s="37"/>
      <c r="BA663" s="37"/>
      <c r="BB663" s="37"/>
      <c r="BC663" s="37"/>
      <c r="BD663" s="41"/>
      <c r="BE663" s="37"/>
      <c r="BF663" s="37"/>
      <c r="BG663" s="37"/>
      <c r="BH663" s="41"/>
    </row>
    <row r="664" spans="2:60" ht="25.15" customHeight="1" x14ac:dyDescent="0.25">
      <c r="B664" s="49">
        <v>660</v>
      </c>
      <c r="C664" s="37"/>
      <c r="D664" s="41"/>
      <c r="E664" s="40"/>
      <c r="F664" s="87" t="str">
        <f>IF(tbl_estimated_costs_quantities[[#This Row],[House Code]]&lt;&gt;"",INDEX(tbl_Assessment[],MATCH(tbl_estimated_costs_quantities[[#This Row],[House Code]],tbl_Assessment[House Code],0),3),"")</f>
        <v/>
      </c>
      <c r="G664" s="115" t="str">
        <f>IF(tbl_estimated_costs_quantities[[#This Row],[House Code]]&lt;&gt;"",INDEX(tbl_Assessment[],MATCH(tbl_estimated_costs_quantities[[#This Row],[House Code]],tbl_Assessment[House Code],0),9),"")</f>
        <v/>
      </c>
      <c r="H66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4" s="75"/>
      <c r="J664" s="37"/>
      <c r="K664" s="86">
        <f>tbl_estimated_costs_quantities[[#This Row],[Site Preparation]]*BOQs!$L$3</f>
        <v>0</v>
      </c>
      <c r="L664" s="76"/>
      <c r="M664" s="37"/>
      <c r="N664" s="86">
        <f>tbl_estimated_costs_quantities[[#This Row],[Demolition Removal Unsafe Structures]]*BOQs!$L$4</f>
        <v>0</v>
      </c>
      <c r="O664" s="76"/>
      <c r="P664" s="37"/>
      <c r="Q664" s="86">
        <f>tbl_estimated_costs_quantities[[#This Row],[Concrete Works]]*BOQs!$L$5</f>
        <v>0</v>
      </c>
      <c r="R664" s="76"/>
      <c r="S664" s="37"/>
      <c r="T664" s="86">
        <f>tbl_estimated_costs_quantities[[#This Row],[Closure External Openings Walls Windows]]*BOQs!$L$6</f>
        <v>0</v>
      </c>
      <c r="U664" s="76"/>
      <c r="V664" s="37"/>
      <c r="W664" s="86">
        <f>tbl_estimated_costs_quantities[[#This Row],[Plastering Painting]]*BOQs!$L$7</f>
        <v>0</v>
      </c>
      <c r="X664" s="76"/>
      <c r="Y664" s="37"/>
      <c r="Z664" s="86">
        <f>tbl_estimated_costs_quantities[[#This Row],[Floor Repairs]]*BOQs!$L$8</f>
        <v>0</v>
      </c>
      <c r="AA664" s="76"/>
      <c r="AB664" s="37"/>
      <c r="AC664" s="86">
        <f>tbl_estimated_costs_quantities[[#This Row],[Doors Replacement Repair]]*BOQs!$L$9</f>
        <v>0</v>
      </c>
      <c r="AD664" s="76"/>
      <c r="AE664" s="37"/>
      <c r="AF664" s="86">
        <f>tbl_estimated_costs_quantities[[#This Row],[Windows Replacement Repair]]*BOQs!$L$10</f>
        <v>0</v>
      </c>
      <c r="AG664" s="76"/>
      <c r="AH664" s="37"/>
      <c r="AI664" s="86">
        <f>tbl_estimated_costs_quantities[[#This Row],[Bathroom Rehabilitation]]*BOQs!$L$11</f>
        <v>0</v>
      </c>
      <c r="AJ664" s="76"/>
      <c r="AK664" s="37"/>
      <c r="AL664" s="86">
        <f>tbl_estimated_costs_quantities[[#This Row],[Ceramic Tile Works WASH]]*BOQs!$L$12</f>
        <v>0</v>
      </c>
      <c r="AM664" s="76"/>
      <c r="AN664" s="37"/>
      <c r="AO664" s="86">
        <f>tbl_estimated_costs_quantities[[#This Row],[Electrical Repairs Lighting]]*BOQs!$L$13</f>
        <v>0</v>
      </c>
      <c r="AP664" s="76"/>
      <c r="AQ664" s="37"/>
      <c r="AR664" s="86">
        <f>tbl_estimated_costs_quantities[[#This Row],[Roof Insulation Leak Sealing]]*BOQs!$L$14</f>
        <v>0</v>
      </c>
      <c r="AS664" s="76"/>
      <c r="AT664" s="37"/>
      <c r="AU664" s="86">
        <f>tbl_estimated_costs_quantities[[#This Row],[Chimney Duct Cleaning Repair]]*BOQs!$L$15</f>
        <v>0</v>
      </c>
      <c r="AV664" s="76"/>
      <c r="AW664" s="37"/>
      <c r="AX664" s="89">
        <f>tbl_estimated_costs_quantities[[#This Row],[Accessibility Adaptations]]*BOQs!$L$16</f>
        <v>0</v>
      </c>
      <c r="AY664" s="86" t="str">
        <f>IF(tbl_estimated_costs_quantities[[#This Row],[Total cost]]&lt;&gt;0,tbl_estimated_costs_quantities[[#This Row],[Total cost]]/BOQs!$A$1,"")</f>
        <v/>
      </c>
      <c r="AZ664" s="37"/>
      <c r="BA664" s="37"/>
      <c r="BB664" s="37"/>
      <c r="BC664" s="37"/>
      <c r="BD664" s="41"/>
      <c r="BE664" s="37"/>
      <c r="BF664" s="37"/>
      <c r="BG664" s="37"/>
      <c r="BH664" s="41"/>
    </row>
    <row r="665" spans="2:60" ht="25.15" customHeight="1" x14ac:dyDescent="0.25">
      <c r="B665" s="49">
        <v>661</v>
      </c>
      <c r="C665" s="37"/>
      <c r="D665" s="41"/>
      <c r="E665" s="40"/>
      <c r="F665" s="87" t="str">
        <f>IF(tbl_estimated_costs_quantities[[#This Row],[House Code]]&lt;&gt;"",INDEX(tbl_Assessment[],MATCH(tbl_estimated_costs_quantities[[#This Row],[House Code]],tbl_Assessment[House Code],0),3),"")</f>
        <v/>
      </c>
      <c r="G665" s="115" t="str">
        <f>IF(tbl_estimated_costs_quantities[[#This Row],[House Code]]&lt;&gt;"",INDEX(tbl_Assessment[],MATCH(tbl_estimated_costs_quantities[[#This Row],[House Code]],tbl_Assessment[House Code],0),9),"")</f>
        <v/>
      </c>
      <c r="H66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5" s="75"/>
      <c r="J665" s="37"/>
      <c r="K665" s="86">
        <f>tbl_estimated_costs_quantities[[#This Row],[Site Preparation]]*BOQs!$L$3</f>
        <v>0</v>
      </c>
      <c r="L665" s="76"/>
      <c r="M665" s="37"/>
      <c r="N665" s="86">
        <f>tbl_estimated_costs_quantities[[#This Row],[Demolition Removal Unsafe Structures]]*BOQs!$L$4</f>
        <v>0</v>
      </c>
      <c r="O665" s="76"/>
      <c r="P665" s="37"/>
      <c r="Q665" s="86">
        <f>tbl_estimated_costs_quantities[[#This Row],[Concrete Works]]*BOQs!$L$5</f>
        <v>0</v>
      </c>
      <c r="R665" s="76"/>
      <c r="S665" s="37"/>
      <c r="T665" s="86">
        <f>tbl_estimated_costs_quantities[[#This Row],[Closure External Openings Walls Windows]]*BOQs!$L$6</f>
        <v>0</v>
      </c>
      <c r="U665" s="76"/>
      <c r="V665" s="37"/>
      <c r="W665" s="86">
        <f>tbl_estimated_costs_quantities[[#This Row],[Plastering Painting]]*BOQs!$L$7</f>
        <v>0</v>
      </c>
      <c r="X665" s="76"/>
      <c r="Y665" s="37"/>
      <c r="Z665" s="86">
        <f>tbl_estimated_costs_quantities[[#This Row],[Floor Repairs]]*BOQs!$L$8</f>
        <v>0</v>
      </c>
      <c r="AA665" s="76"/>
      <c r="AB665" s="37"/>
      <c r="AC665" s="86">
        <f>tbl_estimated_costs_quantities[[#This Row],[Doors Replacement Repair]]*BOQs!$L$9</f>
        <v>0</v>
      </c>
      <c r="AD665" s="76"/>
      <c r="AE665" s="37"/>
      <c r="AF665" s="86">
        <f>tbl_estimated_costs_quantities[[#This Row],[Windows Replacement Repair]]*BOQs!$L$10</f>
        <v>0</v>
      </c>
      <c r="AG665" s="76"/>
      <c r="AH665" s="37"/>
      <c r="AI665" s="86">
        <f>tbl_estimated_costs_quantities[[#This Row],[Bathroom Rehabilitation]]*BOQs!$L$11</f>
        <v>0</v>
      </c>
      <c r="AJ665" s="76"/>
      <c r="AK665" s="37"/>
      <c r="AL665" s="86">
        <f>tbl_estimated_costs_quantities[[#This Row],[Ceramic Tile Works WASH]]*BOQs!$L$12</f>
        <v>0</v>
      </c>
      <c r="AM665" s="76"/>
      <c r="AN665" s="37"/>
      <c r="AO665" s="86">
        <f>tbl_estimated_costs_quantities[[#This Row],[Electrical Repairs Lighting]]*BOQs!$L$13</f>
        <v>0</v>
      </c>
      <c r="AP665" s="76"/>
      <c r="AQ665" s="37"/>
      <c r="AR665" s="86">
        <f>tbl_estimated_costs_quantities[[#This Row],[Roof Insulation Leak Sealing]]*BOQs!$L$14</f>
        <v>0</v>
      </c>
      <c r="AS665" s="76"/>
      <c r="AT665" s="37"/>
      <c r="AU665" s="86">
        <f>tbl_estimated_costs_quantities[[#This Row],[Chimney Duct Cleaning Repair]]*BOQs!$L$15</f>
        <v>0</v>
      </c>
      <c r="AV665" s="76"/>
      <c r="AW665" s="37"/>
      <c r="AX665" s="89">
        <f>tbl_estimated_costs_quantities[[#This Row],[Accessibility Adaptations]]*BOQs!$L$16</f>
        <v>0</v>
      </c>
      <c r="AY665" s="86" t="str">
        <f>IF(tbl_estimated_costs_quantities[[#This Row],[Total cost]]&lt;&gt;0,tbl_estimated_costs_quantities[[#This Row],[Total cost]]/BOQs!$A$1,"")</f>
        <v/>
      </c>
      <c r="AZ665" s="37"/>
      <c r="BA665" s="37"/>
      <c r="BB665" s="37"/>
      <c r="BC665" s="37"/>
      <c r="BD665" s="41"/>
      <c r="BE665" s="37"/>
      <c r="BF665" s="37"/>
      <c r="BG665" s="37"/>
      <c r="BH665" s="41"/>
    </row>
    <row r="666" spans="2:60" ht="25.15" customHeight="1" x14ac:dyDescent="0.25">
      <c r="B666" s="49">
        <v>662</v>
      </c>
      <c r="C666" s="37"/>
      <c r="D666" s="41"/>
      <c r="E666" s="40"/>
      <c r="F666" s="87" t="str">
        <f>IF(tbl_estimated_costs_quantities[[#This Row],[House Code]]&lt;&gt;"",INDEX(tbl_Assessment[],MATCH(tbl_estimated_costs_quantities[[#This Row],[House Code]],tbl_Assessment[House Code],0),3),"")</f>
        <v/>
      </c>
      <c r="G666" s="115" t="str">
        <f>IF(tbl_estimated_costs_quantities[[#This Row],[House Code]]&lt;&gt;"",INDEX(tbl_Assessment[],MATCH(tbl_estimated_costs_quantities[[#This Row],[House Code]],tbl_Assessment[House Code],0),9),"")</f>
        <v/>
      </c>
      <c r="H66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6" s="75"/>
      <c r="J666" s="37"/>
      <c r="K666" s="86">
        <f>tbl_estimated_costs_quantities[[#This Row],[Site Preparation]]*BOQs!$L$3</f>
        <v>0</v>
      </c>
      <c r="L666" s="76"/>
      <c r="M666" s="37"/>
      <c r="N666" s="86">
        <f>tbl_estimated_costs_quantities[[#This Row],[Demolition Removal Unsafe Structures]]*BOQs!$L$4</f>
        <v>0</v>
      </c>
      <c r="O666" s="76"/>
      <c r="P666" s="37"/>
      <c r="Q666" s="86">
        <f>tbl_estimated_costs_quantities[[#This Row],[Concrete Works]]*BOQs!$L$5</f>
        <v>0</v>
      </c>
      <c r="R666" s="76"/>
      <c r="S666" s="37"/>
      <c r="T666" s="86">
        <f>tbl_estimated_costs_quantities[[#This Row],[Closure External Openings Walls Windows]]*BOQs!$L$6</f>
        <v>0</v>
      </c>
      <c r="U666" s="76"/>
      <c r="V666" s="37"/>
      <c r="W666" s="86">
        <f>tbl_estimated_costs_quantities[[#This Row],[Plastering Painting]]*BOQs!$L$7</f>
        <v>0</v>
      </c>
      <c r="X666" s="76"/>
      <c r="Y666" s="37"/>
      <c r="Z666" s="86">
        <f>tbl_estimated_costs_quantities[[#This Row],[Floor Repairs]]*BOQs!$L$8</f>
        <v>0</v>
      </c>
      <c r="AA666" s="76"/>
      <c r="AB666" s="37"/>
      <c r="AC666" s="86">
        <f>tbl_estimated_costs_quantities[[#This Row],[Doors Replacement Repair]]*BOQs!$L$9</f>
        <v>0</v>
      </c>
      <c r="AD666" s="76"/>
      <c r="AE666" s="37"/>
      <c r="AF666" s="86">
        <f>tbl_estimated_costs_quantities[[#This Row],[Windows Replacement Repair]]*BOQs!$L$10</f>
        <v>0</v>
      </c>
      <c r="AG666" s="76"/>
      <c r="AH666" s="37"/>
      <c r="AI666" s="86">
        <f>tbl_estimated_costs_quantities[[#This Row],[Bathroom Rehabilitation]]*BOQs!$L$11</f>
        <v>0</v>
      </c>
      <c r="AJ666" s="76"/>
      <c r="AK666" s="37"/>
      <c r="AL666" s="86">
        <f>tbl_estimated_costs_quantities[[#This Row],[Ceramic Tile Works WASH]]*BOQs!$L$12</f>
        <v>0</v>
      </c>
      <c r="AM666" s="76"/>
      <c r="AN666" s="37"/>
      <c r="AO666" s="86">
        <f>tbl_estimated_costs_quantities[[#This Row],[Electrical Repairs Lighting]]*BOQs!$L$13</f>
        <v>0</v>
      </c>
      <c r="AP666" s="76"/>
      <c r="AQ666" s="37"/>
      <c r="AR666" s="86">
        <f>tbl_estimated_costs_quantities[[#This Row],[Roof Insulation Leak Sealing]]*BOQs!$L$14</f>
        <v>0</v>
      </c>
      <c r="AS666" s="76"/>
      <c r="AT666" s="37"/>
      <c r="AU666" s="86">
        <f>tbl_estimated_costs_quantities[[#This Row],[Chimney Duct Cleaning Repair]]*BOQs!$L$15</f>
        <v>0</v>
      </c>
      <c r="AV666" s="76"/>
      <c r="AW666" s="37"/>
      <c r="AX666" s="89">
        <f>tbl_estimated_costs_quantities[[#This Row],[Accessibility Adaptations]]*BOQs!$L$16</f>
        <v>0</v>
      </c>
      <c r="AY666" s="86" t="str">
        <f>IF(tbl_estimated_costs_quantities[[#This Row],[Total cost]]&lt;&gt;0,tbl_estimated_costs_quantities[[#This Row],[Total cost]]/BOQs!$A$1,"")</f>
        <v/>
      </c>
      <c r="AZ666" s="37"/>
      <c r="BA666" s="37"/>
      <c r="BB666" s="37"/>
      <c r="BC666" s="37"/>
      <c r="BD666" s="41"/>
      <c r="BE666" s="37"/>
      <c r="BF666" s="37"/>
      <c r="BG666" s="37"/>
      <c r="BH666" s="41"/>
    </row>
    <row r="667" spans="2:60" ht="25.15" customHeight="1" x14ac:dyDescent="0.25">
      <c r="B667" s="49">
        <v>663</v>
      </c>
      <c r="C667" s="37"/>
      <c r="D667" s="41"/>
      <c r="E667" s="40"/>
      <c r="F667" s="87" t="str">
        <f>IF(tbl_estimated_costs_quantities[[#This Row],[House Code]]&lt;&gt;"",INDEX(tbl_Assessment[],MATCH(tbl_estimated_costs_quantities[[#This Row],[House Code]],tbl_Assessment[House Code],0),3),"")</f>
        <v/>
      </c>
      <c r="G667" s="115" t="str">
        <f>IF(tbl_estimated_costs_quantities[[#This Row],[House Code]]&lt;&gt;"",INDEX(tbl_Assessment[],MATCH(tbl_estimated_costs_quantities[[#This Row],[House Code]],tbl_Assessment[House Code],0),9),"")</f>
        <v/>
      </c>
      <c r="H66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7" s="75"/>
      <c r="J667" s="37"/>
      <c r="K667" s="86">
        <f>tbl_estimated_costs_quantities[[#This Row],[Site Preparation]]*BOQs!$L$3</f>
        <v>0</v>
      </c>
      <c r="L667" s="76"/>
      <c r="M667" s="37"/>
      <c r="N667" s="86">
        <f>tbl_estimated_costs_quantities[[#This Row],[Demolition Removal Unsafe Structures]]*BOQs!$L$4</f>
        <v>0</v>
      </c>
      <c r="O667" s="76"/>
      <c r="P667" s="37"/>
      <c r="Q667" s="86">
        <f>tbl_estimated_costs_quantities[[#This Row],[Concrete Works]]*BOQs!$L$5</f>
        <v>0</v>
      </c>
      <c r="R667" s="76"/>
      <c r="S667" s="37"/>
      <c r="T667" s="86">
        <f>tbl_estimated_costs_quantities[[#This Row],[Closure External Openings Walls Windows]]*BOQs!$L$6</f>
        <v>0</v>
      </c>
      <c r="U667" s="76"/>
      <c r="V667" s="37"/>
      <c r="W667" s="86">
        <f>tbl_estimated_costs_quantities[[#This Row],[Plastering Painting]]*BOQs!$L$7</f>
        <v>0</v>
      </c>
      <c r="X667" s="76"/>
      <c r="Y667" s="37"/>
      <c r="Z667" s="86">
        <f>tbl_estimated_costs_quantities[[#This Row],[Floor Repairs]]*BOQs!$L$8</f>
        <v>0</v>
      </c>
      <c r="AA667" s="76"/>
      <c r="AB667" s="37"/>
      <c r="AC667" s="86">
        <f>tbl_estimated_costs_quantities[[#This Row],[Doors Replacement Repair]]*BOQs!$L$9</f>
        <v>0</v>
      </c>
      <c r="AD667" s="76"/>
      <c r="AE667" s="37"/>
      <c r="AF667" s="86">
        <f>tbl_estimated_costs_quantities[[#This Row],[Windows Replacement Repair]]*BOQs!$L$10</f>
        <v>0</v>
      </c>
      <c r="AG667" s="76"/>
      <c r="AH667" s="37"/>
      <c r="AI667" s="86">
        <f>tbl_estimated_costs_quantities[[#This Row],[Bathroom Rehabilitation]]*BOQs!$L$11</f>
        <v>0</v>
      </c>
      <c r="AJ667" s="76"/>
      <c r="AK667" s="37"/>
      <c r="AL667" s="86">
        <f>tbl_estimated_costs_quantities[[#This Row],[Ceramic Tile Works WASH]]*BOQs!$L$12</f>
        <v>0</v>
      </c>
      <c r="AM667" s="76"/>
      <c r="AN667" s="37"/>
      <c r="AO667" s="86">
        <f>tbl_estimated_costs_quantities[[#This Row],[Electrical Repairs Lighting]]*BOQs!$L$13</f>
        <v>0</v>
      </c>
      <c r="AP667" s="76"/>
      <c r="AQ667" s="37"/>
      <c r="AR667" s="86">
        <f>tbl_estimated_costs_quantities[[#This Row],[Roof Insulation Leak Sealing]]*BOQs!$L$14</f>
        <v>0</v>
      </c>
      <c r="AS667" s="76"/>
      <c r="AT667" s="37"/>
      <c r="AU667" s="86">
        <f>tbl_estimated_costs_quantities[[#This Row],[Chimney Duct Cleaning Repair]]*BOQs!$L$15</f>
        <v>0</v>
      </c>
      <c r="AV667" s="76"/>
      <c r="AW667" s="37"/>
      <c r="AX667" s="89">
        <f>tbl_estimated_costs_quantities[[#This Row],[Accessibility Adaptations]]*BOQs!$L$16</f>
        <v>0</v>
      </c>
      <c r="AY667" s="86" t="str">
        <f>IF(tbl_estimated_costs_quantities[[#This Row],[Total cost]]&lt;&gt;0,tbl_estimated_costs_quantities[[#This Row],[Total cost]]/BOQs!$A$1,"")</f>
        <v/>
      </c>
      <c r="AZ667" s="37"/>
      <c r="BA667" s="37"/>
      <c r="BB667" s="37"/>
      <c r="BC667" s="37"/>
      <c r="BD667" s="41"/>
      <c r="BE667" s="37"/>
      <c r="BF667" s="37"/>
      <c r="BG667" s="37"/>
      <c r="BH667" s="41"/>
    </row>
    <row r="668" spans="2:60" ht="25.15" customHeight="1" x14ac:dyDescent="0.25">
      <c r="B668" s="49">
        <v>664</v>
      </c>
      <c r="C668" s="37"/>
      <c r="D668" s="41"/>
      <c r="E668" s="40"/>
      <c r="F668" s="87" t="str">
        <f>IF(tbl_estimated_costs_quantities[[#This Row],[House Code]]&lt;&gt;"",INDEX(tbl_Assessment[],MATCH(tbl_estimated_costs_quantities[[#This Row],[House Code]],tbl_Assessment[House Code],0),3),"")</f>
        <v/>
      </c>
      <c r="G668" s="115" t="str">
        <f>IF(tbl_estimated_costs_quantities[[#This Row],[House Code]]&lt;&gt;"",INDEX(tbl_Assessment[],MATCH(tbl_estimated_costs_quantities[[#This Row],[House Code]],tbl_Assessment[House Code],0),9),"")</f>
        <v/>
      </c>
      <c r="H66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8" s="75"/>
      <c r="J668" s="37"/>
      <c r="K668" s="86">
        <f>tbl_estimated_costs_quantities[[#This Row],[Site Preparation]]*BOQs!$L$3</f>
        <v>0</v>
      </c>
      <c r="L668" s="76"/>
      <c r="M668" s="37"/>
      <c r="N668" s="86">
        <f>tbl_estimated_costs_quantities[[#This Row],[Demolition Removal Unsafe Structures]]*BOQs!$L$4</f>
        <v>0</v>
      </c>
      <c r="O668" s="76"/>
      <c r="P668" s="37"/>
      <c r="Q668" s="86">
        <f>tbl_estimated_costs_quantities[[#This Row],[Concrete Works]]*BOQs!$L$5</f>
        <v>0</v>
      </c>
      <c r="R668" s="76"/>
      <c r="S668" s="37"/>
      <c r="T668" s="86">
        <f>tbl_estimated_costs_quantities[[#This Row],[Closure External Openings Walls Windows]]*BOQs!$L$6</f>
        <v>0</v>
      </c>
      <c r="U668" s="76"/>
      <c r="V668" s="37"/>
      <c r="W668" s="86">
        <f>tbl_estimated_costs_quantities[[#This Row],[Plastering Painting]]*BOQs!$L$7</f>
        <v>0</v>
      </c>
      <c r="X668" s="76"/>
      <c r="Y668" s="37"/>
      <c r="Z668" s="86">
        <f>tbl_estimated_costs_quantities[[#This Row],[Floor Repairs]]*BOQs!$L$8</f>
        <v>0</v>
      </c>
      <c r="AA668" s="76"/>
      <c r="AB668" s="37"/>
      <c r="AC668" s="86">
        <f>tbl_estimated_costs_quantities[[#This Row],[Doors Replacement Repair]]*BOQs!$L$9</f>
        <v>0</v>
      </c>
      <c r="AD668" s="76"/>
      <c r="AE668" s="37"/>
      <c r="AF668" s="86">
        <f>tbl_estimated_costs_quantities[[#This Row],[Windows Replacement Repair]]*BOQs!$L$10</f>
        <v>0</v>
      </c>
      <c r="AG668" s="76"/>
      <c r="AH668" s="37"/>
      <c r="AI668" s="86">
        <f>tbl_estimated_costs_quantities[[#This Row],[Bathroom Rehabilitation]]*BOQs!$L$11</f>
        <v>0</v>
      </c>
      <c r="AJ668" s="76"/>
      <c r="AK668" s="37"/>
      <c r="AL668" s="86">
        <f>tbl_estimated_costs_quantities[[#This Row],[Ceramic Tile Works WASH]]*BOQs!$L$12</f>
        <v>0</v>
      </c>
      <c r="AM668" s="76"/>
      <c r="AN668" s="37"/>
      <c r="AO668" s="86">
        <f>tbl_estimated_costs_quantities[[#This Row],[Electrical Repairs Lighting]]*BOQs!$L$13</f>
        <v>0</v>
      </c>
      <c r="AP668" s="76"/>
      <c r="AQ668" s="37"/>
      <c r="AR668" s="86">
        <f>tbl_estimated_costs_quantities[[#This Row],[Roof Insulation Leak Sealing]]*BOQs!$L$14</f>
        <v>0</v>
      </c>
      <c r="AS668" s="76"/>
      <c r="AT668" s="37"/>
      <c r="AU668" s="86">
        <f>tbl_estimated_costs_quantities[[#This Row],[Chimney Duct Cleaning Repair]]*BOQs!$L$15</f>
        <v>0</v>
      </c>
      <c r="AV668" s="76"/>
      <c r="AW668" s="37"/>
      <c r="AX668" s="89">
        <f>tbl_estimated_costs_quantities[[#This Row],[Accessibility Adaptations]]*BOQs!$L$16</f>
        <v>0</v>
      </c>
      <c r="AY668" s="86" t="str">
        <f>IF(tbl_estimated_costs_quantities[[#This Row],[Total cost]]&lt;&gt;0,tbl_estimated_costs_quantities[[#This Row],[Total cost]]/BOQs!$A$1,"")</f>
        <v/>
      </c>
      <c r="AZ668" s="37"/>
      <c r="BA668" s="37"/>
      <c r="BB668" s="37"/>
      <c r="BC668" s="37"/>
      <c r="BD668" s="41"/>
      <c r="BE668" s="37"/>
      <c r="BF668" s="37"/>
      <c r="BG668" s="37"/>
      <c r="BH668" s="41"/>
    </row>
    <row r="669" spans="2:60" ht="25.15" customHeight="1" x14ac:dyDescent="0.25">
      <c r="B669" s="49">
        <v>665</v>
      </c>
      <c r="C669" s="37"/>
      <c r="D669" s="41"/>
      <c r="E669" s="40"/>
      <c r="F669" s="87" t="str">
        <f>IF(tbl_estimated_costs_quantities[[#This Row],[House Code]]&lt;&gt;"",INDEX(tbl_Assessment[],MATCH(tbl_estimated_costs_quantities[[#This Row],[House Code]],tbl_Assessment[House Code],0),3),"")</f>
        <v/>
      </c>
      <c r="G669" s="115" t="str">
        <f>IF(tbl_estimated_costs_quantities[[#This Row],[House Code]]&lt;&gt;"",INDEX(tbl_Assessment[],MATCH(tbl_estimated_costs_quantities[[#This Row],[House Code]],tbl_Assessment[House Code],0),9),"")</f>
        <v/>
      </c>
      <c r="H66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69" s="75"/>
      <c r="J669" s="37"/>
      <c r="K669" s="86">
        <f>tbl_estimated_costs_quantities[[#This Row],[Site Preparation]]*BOQs!$L$3</f>
        <v>0</v>
      </c>
      <c r="L669" s="76"/>
      <c r="M669" s="37"/>
      <c r="N669" s="86">
        <f>tbl_estimated_costs_quantities[[#This Row],[Demolition Removal Unsafe Structures]]*BOQs!$L$4</f>
        <v>0</v>
      </c>
      <c r="O669" s="76"/>
      <c r="P669" s="37"/>
      <c r="Q669" s="86">
        <f>tbl_estimated_costs_quantities[[#This Row],[Concrete Works]]*BOQs!$L$5</f>
        <v>0</v>
      </c>
      <c r="R669" s="76"/>
      <c r="S669" s="37"/>
      <c r="T669" s="86">
        <f>tbl_estimated_costs_quantities[[#This Row],[Closure External Openings Walls Windows]]*BOQs!$L$6</f>
        <v>0</v>
      </c>
      <c r="U669" s="76"/>
      <c r="V669" s="37"/>
      <c r="W669" s="86">
        <f>tbl_estimated_costs_quantities[[#This Row],[Plastering Painting]]*BOQs!$L$7</f>
        <v>0</v>
      </c>
      <c r="X669" s="76"/>
      <c r="Y669" s="37"/>
      <c r="Z669" s="86">
        <f>tbl_estimated_costs_quantities[[#This Row],[Floor Repairs]]*BOQs!$L$8</f>
        <v>0</v>
      </c>
      <c r="AA669" s="76"/>
      <c r="AB669" s="37"/>
      <c r="AC669" s="86">
        <f>tbl_estimated_costs_quantities[[#This Row],[Doors Replacement Repair]]*BOQs!$L$9</f>
        <v>0</v>
      </c>
      <c r="AD669" s="76"/>
      <c r="AE669" s="37"/>
      <c r="AF669" s="86">
        <f>tbl_estimated_costs_quantities[[#This Row],[Windows Replacement Repair]]*BOQs!$L$10</f>
        <v>0</v>
      </c>
      <c r="AG669" s="76"/>
      <c r="AH669" s="37"/>
      <c r="AI669" s="86">
        <f>tbl_estimated_costs_quantities[[#This Row],[Bathroom Rehabilitation]]*BOQs!$L$11</f>
        <v>0</v>
      </c>
      <c r="AJ669" s="76"/>
      <c r="AK669" s="37"/>
      <c r="AL669" s="86">
        <f>tbl_estimated_costs_quantities[[#This Row],[Ceramic Tile Works WASH]]*BOQs!$L$12</f>
        <v>0</v>
      </c>
      <c r="AM669" s="76"/>
      <c r="AN669" s="37"/>
      <c r="AO669" s="86">
        <f>tbl_estimated_costs_quantities[[#This Row],[Electrical Repairs Lighting]]*BOQs!$L$13</f>
        <v>0</v>
      </c>
      <c r="AP669" s="76"/>
      <c r="AQ669" s="37"/>
      <c r="AR669" s="86">
        <f>tbl_estimated_costs_quantities[[#This Row],[Roof Insulation Leak Sealing]]*BOQs!$L$14</f>
        <v>0</v>
      </c>
      <c r="AS669" s="76"/>
      <c r="AT669" s="37"/>
      <c r="AU669" s="86">
        <f>tbl_estimated_costs_quantities[[#This Row],[Chimney Duct Cleaning Repair]]*BOQs!$L$15</f>
        <v>0</v>
      </c>
      <c r="AV669" s="76"/>
      <c r="AW669" s="37"/>
      <c r="AX669" s="89">
        <f>tbl_estimated_costs_quantities[[#This Row],[Accessibility Adaptations]]*BOQs!$L$16</f>
        <v>0</v>
      </c>
      <c r="AY669" s="86" t="str">
        <f>IF(tbl_estimated_costs_quantities[[#This Row],[Total cost]]&lt;&gt;0,tbl_estimated_costs_quantities[[#This Row],[Total cost]]/BOQs!$A$1,"")</f>
        <v/>
      </c>
      <c r="AZ669" s="37"/>
      <c r="BA669" s="37"/>
      <c r="BB669" s="37"/>
      <c r="BC669" s="37"/>
      <c r="BD669" s="41"/>
      <c r="BE669" s="37"/>
      <c r="BF669" s="37"/>
      <c r="BG669" s="37"/>
      <c r="BH669" s="41"/>
    </row>
    <row r="670" spans="2:60" ht="25.15" customHeight="1" x14ac:dyDescent="0.25">
      <c r="B670" s="49">
        <v>666</v>
      </c>
      <c r="C670" s="37"/>
      <c r="D670" s="41"/>
      <c r="E670" s="40"/>
      <c r="F670" s="87" t="str">
        <f>IF(tbl_estimated_costs_quantities[[#This Row],[House Code]]&lt;&gt;"",INDEX(tbl_Assessment[],MATCH(tbl_estimated_costs_quantities[[#This Row],[House Code]],tbl_Assessment[House Code],0),3),"")</f>
        <v/>
      </c>
      <c r="G670" s="115" t="str">
        <f>IF(tbl_estimated_costs_quantities[[#This Row],[House Code]]&lt;&gt;"",INDEX(tbl_Assessment[],MATCH(tbl_estimated_costs_quantities[[#This Row],[House Code]],tbl_Assessment[House Code],0),9),"")</f>
        <v/>
      </c>
      <c r="H67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0" s="75"/>
      <c r="J670" s="37"/>
      <c r="K670" s="86">
        <f>tbl_estimated_costs_quantities[[#This Row],[Site Preparation]]*BOQs!$L$3</f>
        <v>0</v>
      </c>
      <c r="L670" s="76"/>
      <c r="M670" s="37"/>
      <c r="N670" s="86">
        <f>tbl_estimated_costs_quantities[[#This Row],[Demolition Removal Unsafe Structures]]*BOQs!$L$4</f>
        <v>0</v>
      </c>
      <c r="O670" s="76"/>
      <c r="P670" s="37"/>
      <c r="Q670" s="86">
        <f>tbl_estimated_costs_quantities[[#This Row],[Concrete Works]]*BOQs!$L$5</f>
        <v>0</v>
      </c>
      <c r="R670" s="76"/>
      <c r="S670" s="37"/>
      <c r="T670" s="86">
        <f>tbl_estimated_costs_quantities[[#This Row],[Closure External Openings Walls Windows]]*BOQs!$L$6</f>
        <v>0</v>
      </c>
      <c r="U670" s="76"/>
      <c r="V670" s="37"/>
      <c r="W670" s="86">
        <f>tbl_estimated_costs_quantities[[#This Row],[Plastering Painting]]*BOQs!$L$7</f>
        <v>0</v>
      </c>
      <c r="X670" s="76"/>
      <c r="Y670" s="37"/>
      <c r="Z670" s="86">
        <f>tbl_estimated_costs_quantities[[#This Row],[Floor Repairs]]*BOQs!$L$8</f>
        <v>0</v>
      </c>
      <c r="AA670" s="76"/>
      <c r="AB670" s="37"/>
      <c r="AC670" s="86">
        <f>tbl_estimated_costs_quantities[[#This Row],[Doors Replacement Repair]]*BOQs!$L$9</f>
        <v>0</v>
      </c>
      <c r="AD670" s="76"/>
      <c r="AE670" s="37"/>
      <c r="AF670" s="86">
        <f>tbl_estimated_costs_quantities[[#This Row],[Windows Replacement Repair]]*BOQs!$L$10</f>
        <v>0</v>
      </c>
      <c r="AG670" s="76"/>
      <c r="AH670" s="37"/>
      <c r="AI670" s="86">
        <f>tbl_estimated_costs_quantities[[#This Row],[Bathroom Rehabilitation]]*BOQs!$L$11</f>
        <v>0</v>
      </c>
      <c r="AJ670" s="76"/>
      <c r="AK670" s="37"/>
      <c r="AL670" s="86">
        <f>tbl_estimated_costs_quantities[[#This Row],[Ceramic Tile Works WASH]]*BOQs!$L$12</f>
        <v>0</v>
      </c>
      <c r="AM670" s="76"/>
      <c r="AN670" s="37"/>
      <c r="AO670" s="86">
        <f>tbl_estimated_costs_quantities[[#This Row],[Electrical Repairs Lighting]]*BOQs!$L$13</f>
        <v>0</v>
      </c>
      <c r="AP670" s="76"/>
      <c r="AQ670" s="37"/>
      <c r="AR670" s="86">
        <f>tbl_estimated_costs_quantities[[#This Row],[Roof Insulation Leak Sealing]]*BOQs!$L$14</f>
        <v>0</v>
      </c>
      <c r="AS670" s="76"/>
      <c r="AT670" s="37"/>
      <c r="AU670" s="86">
        <f>tbl_estimated_costs_quantities[[#This Row],[Chimney Duct Cleaning Repair]]*BOQs!$L$15</f>
        <v>0</v>
      </c>
      <c r="AV670" s="76"/>
      <c r="AW670" s="37"/>
      <c r="AX670" s="89">
        <f>tbl_estimated_costs_quantities[[#This Row],[Accessibility Adaptations]]*BOQs!$L$16</f>
        <v>0</v>
      </c>
      <c r="AY670" s="86" t="str">
        <f>IF(tbl_estimated_costs_quantities[[#This Row],[Total cost]]&lt;&gt;0,tbl_estimated_costs_quantities[[#This Row],[Total cost]]/BOQs!$A$1,"")</f>
        <v/>
      </c>
      <c r="AZ670" s="37"/>
      <c r="BA670" s="37"/>
      <c r="BB670" s="37"/>
      <c r="BC670" s="37"/>
      <c r="BD670" s="41"/>
      <c r="BE670" s="37"/>
      <c r="BF670" s="37"/>
      <c r="BG670" s="37"/>
      <c r="BH670" s="41"/>
    </row>
    <row r="671" spans="2:60" ht="25.15" customHeight="1" x14ac:dyDescent="0.25">
      <c r="B671" s="49">
        <v>667</v>
      </c>
      <c r="C671" s="37"/>
      <c r="D671" s="41"/>
      <c r="E671" s="40"/>
      <c r="F671" s="87" t="str">
        <f>IF(tbl_estimated_costs_quantities[[#This Row],[House Code]]&lt;&gt;"",INDEX(tbl_Assessment[],MATCH(tbl_estimated_costs_quantities[[#This Row],[House Code]],tbl_Assessment[House Code],0),3),"")</f>
        <v/>
      </c>
      <c r="G671" s="115" t="str">
        <f>IF(tbl_estimated_costs_quantities[[#This Row],[House Code]]&lt;&gt;"",INDEX(tbl_Assessment[],MATCH(tbl_estimated_costs_quantities[[#This Row],[House Code]],tbl_Assessment[House Code],0),9),"")</f>
        <v/>
      </c>
      <c r="H67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1" s="75"/>
      <c r="J671" s="37"/>
      <c r="K671" s="86">
        <f>tbl_estimated_costs_quantities[[#This Row],[Site Preparation]]*BOQs!$L$3</f>
        <v>0</v>
      </c>
      <c r="L671" s="76"/>
      <c r="M671" s="37"/>
      <c r="N671" s="86">
        <f>tbl_estimated_costs_quantities[[#This Row],[Demolition Removal Unsafe Structures]]*BOQs!$L$4</f>
        <v>0</v>
      </c>
      <c r="O671" s="76"/>
      <c r="P671" s="37"/>
      <c r="Q671" s="86">
        <f>tbl_estimated_costs_quantities[[#This Row],[Concrete Works]]*BOQs!$L$5</f>
        <v>0</v>
      </c>
      <c r="R671" s="76"/>
      <c r="S671" s="37"/>
      <c r="T671" s="86">
        <f>tbl_estimated_costs_quantities[[#This Row],[Closure External Openings Walls Windows]]*BOQs!$L$6</f>
        <v>0</v>
      </c>
      <c r="U671" s="76"/>
      <c r="V671" s="37"/>
      <c r="W671" s="86">
        <f>tbl_estimated_costs_quantities[[#This Row],[Plastering Painting]]*BOQs!$L$7</f>
        <v>0</v>
      </c>
      <c r="X671" s="76"/>
      <c r="Y671" s="37"/>
      <c r="Z671" s="86">
        <f>tbl_estimated_costs_quantities[[#This Row],[Floor Repairs]]*BOQs!$L$8</f>
        <v>0</v>
      </c>
      <c r="AA671" s="76"/>
      <c r="AB671" s="37"/>
      <c r="AC671" s="86">
        <f>tbl_estimated_costs_quantities[[#This Row],[Doors Replacement Repair]]*BOQs!$L$9</f>
        <v>0</v>
      </c>
      <c r="AD671" s="76"/>
      <c r="AE671" s="37"/>
      <c r="AF671" s="86">
        <f>tbl_estimated_costs_quantities[[#This Row],[Windows Replacement Repair]]*BOQs!$L$10</f>
        <v>0</v>
      </c>
      <c r="AG671" s="76"/>
      <c r="AH671" s="37"/>
      <c r="AI671" s="86">
        <f>tbl_estimated_costs_quantities[[#This Row],[Bathroom Rehabilitation]]*BOQs!$L$11</f>
        <v>0</v>
      </c>
      <c r="AJ671" s="76"/>
      <c r="AK671" s="37"/>
      <c r="AL671" s="86">
        <f>tbl_estimated_costs_quantities[[#This Row],[Ceramic Tile Works WASH]]*BOQs!$L$12</f>
        <v>0</v>
      </c>
      <c r="AM671" s="76"/>
      <c r="AN671" s="37"/>
      <c r="AO671" s="86">
        <f>tbl_estimated_costs_quantities[[#This Row],[Electrical Repairs Lighting]]*BOQs!$L$13</f>
        <v>0</v>
      </c>
      <c r="AP671" s="76"/>
      <c r="AQ671" s="37"/>
      <c r="AR671" s="86">
        <f>tbl_estimated_costs_quantities[[#This Row],[Roof Insulation Leak Sealing]]*BOQs!$L$14</f>
        <v>0</v>
      </c>
      <c r="AS671" s="76"/>
      <c r="AT671" s="37"/>
      <c r="AU671" s="86">
        <f>tbl_estimated_costs_quantities[[#This Row],[Chimney Duct Cleaning Repair]]*BOQs!$L$15</f>
        <v>0</v>
      </c>
      <c r="AV671" s="76"/>
      <c r="AW671" s="37"/>
      <c r="AX671" s="89">
        <f>tbl_estimated_costs_quantities[[#This Row],[Accessibility Adaptations]]*BOQs!$L$16</f>
        <v>0</v>
      </c>
      <c r="AY671" s="86" t="str">
        <f>IF(tbl_estimated_costs_quantities[[#This Row],[Total cost]]&lt;&gt;0,tbl_estimated_costs_quantities[[#This Row],[Total cost]]/BOQs!$A$1,"")</f>
        <v/>
      </c>
      <c r="AZ671" s="37"/>
      <c r="BA671" s="37"/>
      <c r="BB671" s="37"/>
      <c r="BC671" s="37"/>
      <c r="BD671" s="41"/>
      <c r="BE671" s="37"/>
      <c r="BF671" s="37"/>
      <c r="BG671" s="37"/>
      <c r="BH671" s="41"/>
    </row>
    <row r="672" spans="2:60" ht="25.15" customHeight="1" x14ac:dyDescent="0.25">
      <c r="B672" s="49">
        <v>668</v>
      </c>
      <c r="C672" s="37"/>
      <c r="D672" s="41"/>
      <c r="E672" s="40"/>
      <c r="F672" s="87" t="str">
        <f>IF(tbl_estimated_costs_quantities[[#This Row],[House Code]]&lt;&gt;"",INDEX(tbl_Assessment[],MATCH(tbl_estimated_costs_quantities[[#This Row],[House Code]],tbl_Assessment[House Code],0),3),"")</f>
        <v/>
      </c>
      <c r="G672" s="115" t="str">
        <f>IF(tbl_estimated_costs_quantities[[#This Row],[House Code]]&lt;&gt;"",INDEX(tbl_Assessment[],MATCH(tbl_estimated_costs_quantities[[#This Row],[House Code]],tbl_Assessment[House Code],0),9),"")</f>
        <v/>
      </c>
      <c r="H67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2" s="75"/>
      <c r="J672" s="37"/>
      <c r="K672" s="86">
        <f>tbl_estimated_costs_quantities[[#This Row],[Site Preparation]]*BOQs!$L$3</f>
        <v>0</v>
      </c>
      <c r="L672" s="76"/>
      <c r="M672" s="37"/>
      <c r="N672" s="86">
        <f>tbl_estimated_costs_quantities[[#This Row],[Demolition Removal Unsafe Structures]]*BOQs!$L$4</f>
        <v>0</v>
      </c>
      <c r="O672" s="76"/>
      <c r="P672" s="37"/>
      <c r="Q672" s="86">
        <f>tbl_estimated_costs_quantities[[#This Row],[Concrete Works]]*BOQs!$L$5</f>
        <v>0</v>
      </c>
      <c r="R672" s="76"/>
      <c r="S672" s="37"/>
      <c r="T672" s="86">
        <f>tbl_estimated_costs_quantities[[#This Row],[Closure External Openings Walls Windows]]*BOQs!$L$6</f>
        <v>0</v>
      </c>
      <c r="U672" s="76"/>
      <c r="V672" s="37"/>
      <c r="W672" s="86">
        <f>tbl_estimated_costs_quantities[[#This Row],[Plastering Painting]]*BOQs!$L$7</f>
        <v>0</v>
      </c>
      <c r="X672" s="76"/>
      <c r="Y672" s="37"/>
      <c r="Z672" s="86">
        <f>tbl_estimated_costs_quantities[[#This Row],[Floor Repairs]]*BOQs!$L$8</f>
        <v>0</v>
      </c>
      <c r="AA672" s="76"/>
      <c r="AB672" s="37"/>
      <c r="AC672" s="86">
        <f>tbl_estimated_costs_quantities[[#This Row],[Doors Replacement Repair]]*BOQs!$L$9</f>
        <v>0</v>
      </c>
      <c r="AD672" s="76"/>
      <c r="AE672" s="37"/>
      <c r="AF672" s="86">
        <f>tbl_estimated_costs_quantities[[#This Row],[Windows Replacement Repair]]*BOQs!$L$10</f>
        <v>0</v>
      </c>
      <c r="AG672" s="76"/>
      <c r="AH672" s="37"/>
      <c r="AI672" s="86">
        <f>tbl_estimated_costs_quantities[[#This Row],[Bathroom Rehabilitation]]*BOQs!$L$11</f>
        <v>0</v>
      </c>
      <c r="AJ672" s="76"/>
      <c r="AK672" s="37"/>
      <c r="AL672" s="86">
        <f>tbl_estimated_costs_quantities[[#This Row],[Ceramic Tile Works WASH]]*BOQs!$L$12</f>
        <v>0</v>
      </c>
      <c r="AM672" s="76"/>
      <c r="AN672" s="37"/>
      <c r="AO672" s="86">
        <f>tbl_estimated_costs_quantities[[#This Row],[Electrical Repairs Lighting]]*BOQs!$L$13</f>
        <v>0</v>
      </c>
      <c r="AP672" s="76"/>
      <c r="AQ672" s="37"/>
      <c r="AR672" s="86">
        <f>tbl_estimated_costs_quantities[[#This Row],[Roof Insulation Leak Sealing]]*BOQs!$L$14</f>
        <v>0</v>
      </c>
      <c r="AS672" s="76"/>
      <c r="AT672" s="37"/>
      <c r="AU672" s="86">
        <f>tbl_estimated_costs_quantities[[#This Row],[Chimney Duct Cleaning Repair]]*BOQs!$L$15</f>
        <v>0</v>
      </c>
      <c r="AV672" s="76"/>
      <c r="AW672" s="37"/>
      <c r="AX672" s="89">
        <f>tbl_estimated_costs_quantities[[#This Row],[Accessibility Adaptations]]*BOQs!$L$16</f>
        <v>0</v>
      </c>
      <c r="AY672" s="86" t="str">
        <f>IF(tbl_estimated_costs_quantities[[#This Row],[Total cost]]&lt;&gt;0,tbl_estimated_costs_quantities[[#This Row],[Total cost]]/BOQs!$A$1,"")</f>
        <v/>
      </c>
      <c r="AZ672" s="37"/>
      <c r="BA672" s="37"/>
      <c r="BB672" s="37"/>
      <c r="BC672" s="37"/>
      <c r="BD672" s="41"/>
      <c r="BE672" s="37"/>
      <c r="BF672" s="37"/>
      <c r="BG672" s="37"/>
      <c r="BH672" s="41"/>
    </row>
    <row r="673" spans="2:60" ht="25.15" customHeight="1" x14ac:dyDescent="0.25">
      <c r="B673" s="49">
        <v>669</v>
      </c>
      <c r="C673" s="37"/>
      <c r="D673" s="41"/>
      <c r="E673" s="40"/>
      <c r="F673" s="87" t="str">
        <f>IF(tbl_estimated_costs_quantities[[#This Row],[House Code]]&lt;&gt;"",INDEX(tbl_Assessment[],MATCH(tbl_estimated_costs_quantities[[#This Row],[House Code]],tbl_Assessment[House Code],0),3),"")</f>
        <v/>
      </c>
      <c r="G673" s="115" t="str">
        <f>IF(tbl_estimated_costs_quantities[[#This Row],[House Code]]&lt;&gt;"",INDEX(tbl_Assessment[],MATCH(tbl_estimated_costs_quantities[[#This Row],[House Code]],tbl_Assessment[House Code],0),9),"")</f>
        <v/>
      </c>
      <c r="H67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3" s="75"/>
      <c r="J673" s="37"/>
      <c r="K673" s="86">
        <f>tbl_estimated_costs_quantities[[#This Row],[Site Preparation]]*BOQs!$L$3</f>
        <v>0</v>
      </c>
      <c r="L673" s="76"/>
      <c r="M673" s="37"/>
      <c r="N673" s="86">
        <f>tbl_estimated_costs_quantities[[#This Row],[Demolition Removal Unsafe Structures]]*BOQs!$L$4</f>
        <v>0</v>
      </c>
      <c r="O673" s="76"/>
      <c r="P673" s="37"/>
      <c r="Q673" s="86">
        <f>tbl_estimated_costs_quantities[[#This Row],[Concrete Works]]*BOQs!$L$5</f>
        <v>0</v>
      </c>
      <c r="R673" s="76"/>
      <c r="S673" s="37"/>
      <c r="T673" s="86">
        <f>tbl_estimated_costs_quantities[[#This Row],[Closure External Openings Walls Windows]]*BOQs!$L$6</f>
        <v>0</v>
      </c>
      <c r="U673" s="76"/>
      <c r="V673" s="37"/>
      <c r="W673" s="86">
        <f>tbl_estimated_costs_quantities[[#This Row],[Plastering Painting]]*BOQs!$L$7</f>
        <v>0</v>
      </c>
      <c r="X673" s="76"/>
      <c r="Y673" s="37"/>
      <c r="Z673" s="86">
        <f>tbl_estimated_costs_quantities[[#This Row],[Floor Repairs]]*BOQs!$L$8</f>
        <v>0</v>
      </c>
      <c r="AA673" s="76"/>
      <c r="AB673" s="37"/>
      <c r="AC673" s="86">
        <f>tbl_estimated_costs_quantities[[#This Row],[Doors Replacement Repair]]*BOQs!$L$9</f>
        <v>0</v>
      </c>
      <c r="AD673" s="76"/>
      <c r="AE673" s="37"/>
      <c r="AF673" s="86">
        <f>tbl_estimated_costs_quantities[[#This Row],[Windows Replacement Repair]]*BOQs!$L$10</f>
        <v>0</v>
      </c>
      <c r="AG673" s="76"/>
      <c r="AH673" s="37"/>
      <c r="AI673" s="86">
        <f>tbl_estimated_costs_quantities[[#This Row],[Bathroom Rehabilitation]]*BOQs!$L$11</f>
        <v>0</v>
      </c>
      <c r="AJ673" s="76"/>
      <c r="AK673" s="37"/>
      <c r="AL673" s="86">
        <f>tbl_estimated_costs_quantities[[#This Row],[Ceramic Tile Works WASH]]*BOQs!$L$12</f>
        <v>0</v>
      </c>
      <c r="AM673" s="76"/>
      <c r="AN673" s="37"/>
      <c r="AO673" s="86">
        <f>tbl_estimated_costs_quantities[[#This Row],[Electrical Repairs Lighting]]*BOQs!$L$13</f>
        <v>0</v>
      </c>
      <c r="AP673" s="76"/>
      <c r="AQ673" s="37"/>
      <c r="AR673" s="86">
        <f>tbl_estimated_costs_quantities[[#This Row],[Roof Insulation Leak Sealing]]*BOQs!$L$14</f>
        <v>0</v>
      </c>
      <c r="AS673" s="76"/>
      <c r="AT673" s="37"/>
      <c r="AU673" s="86">
        <f>tbl_estimated_costs_quantities[[#This Row],[Chimney Duct Cleaning Repair]]*BOQs!$L$15</f>
        <v>0</v>
      </c>
      <c r="AV673" s="76"/>
      <c r="AW673" s="37"/>
      <c r="AX673" s="89">
        <f>tbl_estimated_costs_quantities[[#This Row],[Accessibility Adaptations]]*BOQs!$L$16</f>
        <v>0</v>
      </c>
      <c r="AY673" s="86" t="str">
        <f>IF(tbl_estimated_costs_quantities[[#This Row],[Total cost]]&lt;&gt;0,tbl_estimated_costs_quantities[[#This Row],[Total cost]]/BOQs!$A$1,"")</f>
        <v/>
      </c>
      <c r="AZ673" s="37"/>
      <c r="BA673" s="37"/>
      <c r="BB673" s="37"/>
      <c r="BC673" s="37"/>
      <c r="BD673" s="41"/>
      <c r="BE673" s="37"/>
      <c r="BF673" s="37"/>
      <c r="BG673" s="37"/>
      <c r="BH673" s="41"/>
    </row>
    <row r="674" spans="2:60" ht="25.15" customHeight="1" x14ac:dyDescent="0.25">
      <c r="B674" s="49">
        <v>670</v>
      </c>
      <c r="C674" s="37"/>
      <c r="D674" s="41"/>
      <c r="E674" s="40"/>
      <c r="F674" s="87" t="str">
        <f>IF(tbl_estimated_costs_quantities[[#This Row],[House Code]]&lt;&gt;"",INDEX(tbl_Assessment[],MATCH(tbl_estimated_costs_quantities[[#This Row],[House Code]],tbl_Assessment[House Code],0),3),"")</f>
        <v/>
      </c>
      <c r="G674" s="115" t="str">
        <f>IF(tbl_estimated_costs_quantities[[#This Row],[House Code]]&lt;&gt;"",INDEX(tbl_Assessment[],MATCH(tbl_estimated_costs_quantities[[#This Row],[House Code]],tbl_Assessment[House Code],0),9),"")</f>
        <v/>
      </c>
      <c r="H67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4" s="75"/>
      <c r="J674" s="37"/>
      <c r="K674" s="86">
        <f>tbl_estimated_costs_quantities[[#This Row],[Site Preparation]]*BOQs!$L$3</f>
        <v>0</v>
      </c>
      <c r="L674" s="76"/>
      <c r="M674" s="37"/>
      <c r="N674" s="86">
        <f>tbl_estimated_costs_quantities[[#This Row],[Demolition Removal Unsafe Structures]]*BOQs!$L$4</f>
        <v>0</v>
      </c>
      <c r="O674" s="76"/>
      <c r="P674" s="37"/>
      <c r="Q674" s="86">
        <f>tbl_estimated_costs_quantities[[#This Row],[Concrete Works]]*BOQs!$L$5</f>
        <v>0</v>
      </c>
      <c r="R674" s="76"/>
      <c r="S674" s="37"/>
      <c r="T674" s="86">
        <f>tbl_estimated_costs_quantities[[#This Row],[Closure External Openings Walls Windows]]*BOQs!$L$6</f>
        <v>0</v>
      </c>
      <c r="U674" s="76"/>
      <c r="V674" s="37"/>
      <c r="W674" s="86">
        <f>tbl_estimated_costs_quantities[[#This Row],[Plastering Painting]]*BOQs!$L$7</f>
        <v>0</v>
      </c>
      <c r="X674" s="76"/>
      <c r="Y674" s="37"/>
      <c r="Z674" s="86">
        <f>tbl_estimated_costs_quantities[[#This Row],[Floor Repairs]]*BOQs!$L$8</f>
        <v>0</v>
      </c>
      <c r="AA674" s="76"/>
      <c r="AB674" s="37"/>
      <c r="AC674" s="86">
        <f>tbl_estimated_costs_quantities[[#This Row],[Doors Replacement Repair]]*BOQs!$L$9</f>
        <v>0</v>
      </c>
      <c r="AD674" s="76"/>
      <c r="AE674" s="37"/>
      <c r="AF674" s="86">
        <f>tbl_estimated_costs_quantities[[#This Row],[Windows Replacement Repair]]*BOQs!$L$10</f>
        <v>0</v>
      </c>
      <c r="AG674" s="76"/>
      <c r="AH674" s="37"/>
      <c r="AI674" s="86">
        <f>tbl_estimated_costs_quantities[[#This Row],[Bathroom Rehabilitation]]*BOQs!$L$11</f>
        <v>0</v>
      </c>
      <c r="AJ674" s="76"/>
      <c r="AK674" s="37"/>
      <c r="AL674" s="86">
        <f>tbl_estimated_costs_quantities[[#This Row],[Ceramic Tile Works WASH]]*BOQs!$L$12</f>
        <v>0</v>
      </c>
      <c r="AM674" s="76"/>
      <c r="AN674" s="37"/>
      <c r="AO674" s="86">
        <f>tbl_estimated_costs_quantities[[#This Row],[Electrical Repairs Lighting]]*BOQs!$L$13</f>
        <v>0</v>
      </c>
      <c r="AP674" s="76"/>
      <c r="AQ674" s="37"/>
      <c r="AR674" s="86">
        <f>tbl_estimated_costs_quantities[[#This Row],[Roof Insulation Leak Sealing]]*BOQs!$L$14</f>
        <v>0</v>
      </c>
      <c r="AS674" s="76"/>
      <c r="AT674" s="37"/>
      <c r="AU674" s="86">
        <f>tbl_estimated_costs_quantities[[#This Row],[Chimney Duct Cleaning Repair]]*BOQs!$L$15</f>
        <v>0</v>
      </c>
      <c r="AV674" s="76"/>
      <c r="AW674" s="37"/>
      <c r="AX674" s="89">
        <f>tbl_estimated_costs_quantities[[#This Row],[Accessibility Adaptations]]*BOQs!$L$16</f>
        <v>0</v>
      </c>
      <c r="AY674" s="86" t="str">
        <f>IF(tbl_estimated_costs_quantities[[#This Row],[Total cost]]&lt;&gt;0,tbl_estimated_costs_quantities[[#This Row],[Total cost]]/BOQs!$A$1,"")</f>
        <v/>
      </c>
      <c r="AZ674" s="37"/>
      <c r="BA674" s="37"/>
      <c r="BB674" s="37"/>
      <c r="BC674" s="37"/>
      <c r="BD674" s="41"/>
      <c r="BE674" s="37"/>
      <c r="BF674" s="37"/>
      <c r="BG674" s="37"/>
      <c r="BH674" s="41"/>
    </row>
    <row r="675" spans="2:60" ht="25.15" customHeight="1" x14ac:dyDescent="0.25">
      <c r="B675" s="49">
        <v>671</v>
      </c>
      <c r="C675" s="37"/>
      <c r="D675" s="41"/>
      <c r="E675" s="40"/>
      <c r="F675" s="87" t="str">
        <f>IF(tbl_estimated_costs_quantities[[#This Row],[House Code]]&lt;&gt;"",INDEX(tbl_Assessment[],MATCH(tbl_estimated_costs_quantities[[#This Row],[House Code]],tbl_Assessment[House Code],0),3),"")</f>
        <v/>
      </c>
      <c r="G675" s="115" t="str">
        <f>IF(tbl_estimated_costs_quantities[[#This Row],[House Code]]&lt;&gt;"",INDEX(tbl_Assessment[],MATCH(tbl_estimated_costs_quantities[[#This Row],[House Code]],tbl_Assessment[House Code],0),9),"")</f>
        <v/>
      </c>
      <c r="H67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5" s="75"/>
      <c r="J675" s="37"/>
      <c r="K675" s="86">
        <f>tbl_estimated_costs_quantities[[#This Row],[Site Preparation]]*BOQs!$L$3</f>
        <v>0</v>
      </c>
      <c r="L675" s="76"/>
      <c r="M675" s="37"/>
      <c r="N675" s="86">
        <f>tbl_estimated_costs_quantities[[#This Row],[Demolition Removal Unsafe Structures]]*BOQs!$L$4</f>
        <v>0</v>
      </c>
      <c r="O675" s="76"/>
      <c r="P675" s="37"/>
      <c r="Q675" s="86">
        <f>tbl_estimated_costs_quantities[[#This Row],[Concrete Works]]*BOQs!$L$5</f>
        <v>0</v>
      </c>
      <c r="R675" s="76"/>
      <c r="S675" s="37"/>
      <c r="T675" s="86">
        <f>tbl_estimated_costs_quantities[[#This Row],[Closure External Openings Walls Windows]]*BOQs!$L$6</f>
        <v>0</v>
      </c>
      <c r="U675" s="76"/>
      <c r="V675" s="37"/>
      <c r="W675" s="86">
        <f>tbl_estimated_costs_quantities[[#This Row],[Plastering Painting]]*BOQs!$L$7</f>
        <v>0</v>
      </c>
      <c r="X675" s="76"/>
      <c r="Y675" s="37"/>
      <c r="Z675" s="86">
        <f>tbl_estimated_costs_quantities[[#This Row],[Floor Repairs]]*BOQs!$L$8</f>
        <v>0</v>
      </c>
      <c r="AA675" s="76"/>
      <c r="AB675" s="37"/>
      <c r="AC675" s="86">
        <f>tbl_estimated_costs_quantities[[#This Row],[Doors Replacement Repair]]*BOQs!$L$9</f>
        <v>0</v>
      </c>
      <c r="AD675" s="76"/>
      <c r="AE675" s="37"/>
      <c r="AF675" s="86">
        <f>tbl_estimated_costs_quantities[[#This Row],[Windows Replacement Repair]]*BOQs!$L$10</f>
        <v>0</v>
      </c>
      <c r="AG675" s="76"/>
      <c r="AH675" s="37"/>
      <c r="AI675" s="86">
        <f>tbl_estimated_costs_quantities[[#This Row],[Bathroom Rehabilitation]]*BOQs!$L$11</f>
        <v>0</v>
      </c>
      <c r="AJ675" s="76"/>
      <c r="AK675" s="37"/>
      <c r="AL675" s="86">
        <f>tbl_estimated_costs_quantities[[#This Row],[Ceramic Tile Works WASH]]*BOQs!$L$12</f>
        <v>0</v>
      </c>
      <c r="AM675" s="76"/>
      <c r="AN675" s="37"/>
      <c r="AO675" s="86">
        <f>tbl_estimated_costs_quantities[[#This Row],[Electrical Repairs Lighting]]*BOQs!$L$13</f>
        <v>0</v>
      </c>
      <c r="AP675" s="76"/>
      <c r="AQ675" s="37"/>
      <c r="AR675" s="86">
        <f>tbl_estimated_costs_quantities[[#This Row],[Roof Insulation Leak Sealing]]*BOQs!$L$14</f>
        <v>0</v>
      </c>
      <c r="AS675" s="76"/>
      <c r="AT675" s="37"/>
      <c r="AU675" s="86">
        <f>tbl_estimated_costs_quantities[[#This Row],[Chimney Duct Cleaning Repair]]*BOQs!$L$15</f>
        <v>0</v>
      </c>
      <c r="AV675" s="76"/>
      <c r="AW675" s="37"/>
      <c r="AX675" s="89">
        <f>tbl_estimated_costs_quantities[[#This Row],[Accessibility Adaptations]]*BOQs!$L$16</f>
        <v>0</v>
      </c>
      <c r="AY675" s="86" t="str">
        <f>IF(tbl_estimated_costs_quantities[[#This Row],[Total cost]]&lt;&gt;0,tbl_estimated_costs_quantities[[#This Row],[Total cost]]/BOQs!$A$1,"")</f>
        <v/>
      </c>
      <c r="AZ675" s="37"/>
      <c r="BA675" s="37"/>
      <c r="BB675" s="37"/>
      <c r="BC675" s="37"/>
      <c r="BD675" s="41"/>
      <c r="BE675" s="37"/>
      <c r="BF675" s="37"/>
      <c r="BG675" s="37"/>
      <c r="BH675" s="41"/>
    </row>
    <row r="676" spans="2:60" ht="25.15" customHeight="1" x14ac:dyDescent="0.25">
      <c r="B676" s="49">
        <v>672</v>
      </c>
      <c r="C676" s="37"/>
      <c r="D676" s="41"/>
      <c r="E676" s="40"/>
      <c r="F676" s="87" t="str">
        <f>IF(tbl_estimated_costs_quantities[[#This Row],[House Code]]&lt;&gt;"",INDEX(tbl_Assessment[],MATCH(tbl_estimated_costs_quantities[[#This Row],[House Code]],tbl_Assessment[House Code],0),3),"")</f>
        <v/>
      </c>
      <c r="G676" s="115" t="str">
        <f>IF(tbl_estimated_costs_quantities[[#This Row],[House Code]]&lt;&gt;"",INDEX(tbl_Assessment[],MATCH(tbl_estimated_costs_quantities[[#This Row],[House Code]],tbl_Assessment[House Code],0),9),"")</f>
        <v/>
      </c>
      <c r="H67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6" s="75"/>
      <c r="J676" s="37"/>
      <c r="K676" s="86">
        <f>tbl_estimated_costs_quantities[[#This Row],[Site Preparation]]*BOQs!$L$3</f>
        <v>0</v>
      </c>
      <c r="L676" s="76"/>
      <c r="M676" s="37"/>
      <c r="N676" s="86">
        <f>tbl_estimated_costs_quantities[[#This Row],[Demolition Removal Unsafe Structures]]*BOQs!$L$4</f>
        <v>0</v>
      </c>
      <c r="O676" s="76"/>
      <c r="P676" s="37"/>
      <c r="Q676" s="86">
        <f>tbl_estimated_costs_quantities[[#This Row],[Concrete Works]]*BOQs!$L$5</f>
        <v>0</v>
      </c>
      <c r="R676" s="76"/>
      <c r="S676" s="37"/>
      <c r="T676" s="86">
        <f>tbl_estimated_costs_quantities[[#This Row],[Closure External Openings Walls Windows]]*BOQs!$L$6</f>
        <v>0</v>
      </c>
      <c r="U676" s="76"/>
      <c r="V676" s="37"/>
      <c r="W676" s="86">
        <f>tbl_estimated_costs_quantities[[#This Row],[Plastering Painting]]*BOQs!$L$7</f>
        <v>0</v>
      </c>
      <c r="X676" s="76"/>
      <c r="Y676" s="37"/>
      <c r="Z676" s="86">
        <f>tbl_estimated_costs_quantities[[#This Row],[Floor Repairs]]*BOQs!$L$8</f>
        <v>0</v>
      </c>
      <c r="AA676" s="76"/>
      <c r="AB676" s="37"/>
      <c r="AC676" s="86">
        <f>tbl_estimated_costs_quantities[[#This Row],[Doors Replacement Repair]]*BOQs!$L$9</f>
        <v>0</v>
      </c>
      <c r="AD676" s="76"/>
      <c r="AE676" s="37"/>
      <c r="AF676" s="86">
        <f>tbl_estimated_costs_quantities[[#This Row],[Windows Replacement Repair]]*BOQs!$L$10</f>
        <v>0</v>
      </c>
      <c r="AG676" s="76"/>
      <c r="AH676" s="37"/>
      <c r="AI676" s="86">
        <f>tbl_estimated_costs_quantities[[#This Row],[Bathroom Rehabilitation]]*BOQs!$L$11</f>
        <v>0</v>
      </c>
      <c r="AJ676" s="76"/>
      <c r="AK676" s="37"/>
      <c r="AL676" s="86">
        <f>tbl_estimated_costs_quantities[[#This Row],[Ceramic Tile Works WASH]]*BOQs!$L$12</f>
        <v>0</v>
      </c>
      <c r="AM676" s="76"/>
      <c r="AN676" s="37"/>
      <c r="AO676" s="86">
        <f>tbl_estimated_costs_quantities[[#This Row],[Electrical Repairs Lighting]]*BOQs!$L$13</f>
        <v>0</v>
      </c>
      <c r="AP676" s="76"/>
      <c r="AQ676" s="37"/>
      <c r="AR676" s="86">
        <f>tbl_estimated_costs_quantities[[#This Row],[Roof Insulation Leak Sealing]]*BOQs!$L$14</f>
        <v>0</v>
      </c>
      <c r="AS676" s="76"/>
      <c r="AT676" s="37"/>
      <c r="AU676" s="86">
        <f>tbl_estimated_costs_quantities[[#This Row],[Chimney Duct Cleaning Repair]]*BOQs!$L$15</f>
        <v>0</v>
      </c>
      <c r="AV676" s="76"/>
      <c r="AW676" s="37"/>
      <c r="AX676" s="89">
        <f>tbl_estimated_costs_quantities[[#This Row],[Accessibility Adaptations]]*BOQs!$L$16</f>
        <v>0</v>
      </c>
      <c r="AY676" s="86" t="str">
        <f>IF(tbl_estimated_costs_quantities[[#This Row],[Total cost]]&lt;&gt;0,tbl_estimated_costs_quantities[[#This Row],[Total cost]]/BOQs!$A$1,"")</f>
        <v/>
      </c>
      <c r="AZ676" s="37"/>
      <c r="BA676" s="37"/>
      <c r="BB676" s="37"/>
      <c r="BC676" s="37"/>
      <c r="BD676" s="41"/>
      <c r="BE676" s="37"/>
      <c r="BF676" s="37"/>
      <c r="BG676" s="37"/>
      <c r="BH676" s="41"/>
    </row>
    <row r="677" spans="2:60" ht="25.15" customHeight="1" x14ac:dyDescent="0.25">
      <c r="B677" s="49">
        <v>673</v>
      </c>
      <c r="C677" s="37"/>
      <c r="D677" s="41"/>
      <c r="E677" s="40"/>
      <c r="F677" s="87" t="str">
        <f>IF(tbl_estimated_costs_quantities[[#This Row],[House Code]]&lt;&gt;"",INDEX(tbl_Assessment[],MATCH(tbl_estimated_costs_quantities[[#This Row],[House Code]],tbl_Assessment[House Code],0),3),"")</f>
        <v/>
      </c>
      <c r="G677" s="115" t="str">
        <f>IF(tbl_estimated_costs_quantities[[#This Row],[House Code]]&lt;&gt;"",INDEX(tbl_Assessment[],MATCH(tbl_estimated_costs_quantities[[#This Row],[House Code]],tbl_Assessment[House Code],0),9),"")</f>
        <v/>
      </c>
      <c r="H67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7" s="75"/>
      <c r="J677" s="37"/>
      <c r="K677" s="86">
        <f>tbl_estimated_costs_quantities[[#This Row],[Site Preparation]]*BOQs!$L$3</f>
        <v>0</v>
      </c>
      <c r="L677" s="76"/>
      <c r="M677" s="37"/>
      <c r="N677" s="86">
        <f>tbl_estimated_costs_quantities[[#This Row],[Demolition Removal Unsafe Structures]]*BOQs!$L$4</f>
        <v>0</v>
      </c>
      <c r="O677" s="76"/>
      <c r="P677" s="37"/>
      <c r="Q677" s="86">
        <f>tbl_estimated_costs_quantities[[#This Row],[Concrete Works]]*BOQs!$L$5</f>
        <v>0</v>
      </c>
      <c r="R677" s="76"/>
      <c r="S677" s="37"/>
      <c r="T677" s="86">
        <f>tbl_estimated_costs_quantities[[#This Row],[Closure External Openings Walls Windows]]*BOQs!$L$6</f>
        <v>0</v>
      </c>
      <c r="U677" s="76"/>
      <c r="V677" s="37"/>
      <c r="W677" s="86">
        <f>tbl_estimated_costs_quantities[[#This Row],[Plastering Painting]]*BOQs!$L$7</f>
        <v>0</v>
      </c>
      <c r="X677" s="76"/>
      <c r="Y677" s="37"/>
      <c r="Z677" s="86">
        <f>tbl_estimated_costs_quantities[[#This Row],[Floor Repairs]]*BOQs!$L$8</f>
        <v>0</v>
      </c>
      <c r="AA677" s="76"/>
      <c r="AB677" s="37"/>
      <c r="AC677" s="86">
        <f>tbl_estimated_costs_quantities[[#This Row],[Doors Replacement Repair]]*BOQs!$L$9</f>
        <v>0</v>
      </c>
      <c r="AD677" s="76"/>
      <c r="AE677" s="37"/>
      <c r="AF677" s="86">
        <f>tbl_estimated_costs_quantities[[#This Row],[Windows Replacement Repair]]*BOQs!$L$10</f>
        <v>0</v>
      </c>
      <c r="AG677" s="76"/>
      <c r="AH677" s="37"/>
      <c r="AI677" s="86">
        <f>tbl_estimated_costs_quantities[[#This Row],[Bathroom Rehabilitation]]*BOQs!$L$11</f>
        <v>0</v>
      </c>
      <c r="AJ677" s="76"/>
      <c r="AK677" s="37"/>
      <c r="AL677" s="86">
        <f>tbl_estimated_costs_quantities[[#This Row],[Ceramic Tile Works WASH]]*BOQs!$L$12</f>
        <v>0</v>
      </c>
      <c r="AM677" s="76"/>
      <c r="AN677" s="37"/>
      <c r="AO677" s="86">
        <f>tbl_estimated_costs_quantities[[#This Row],[Electrical Repairs Lighting]]*BOQs!$L$13</f>
        <v>0</v>
      </c>
      <c r="AP677" s="76"/>
      <c r="AQ677" s="37"/>
      <c r="AR677" s="86">
        <f>tbl_estimated_costs_quantities[[#This Row],[Roof Insulation Leak Sealing]]*BOQs!$L$14</f>
        <v>0</v>
      </c>
      <c r="AS677" s="76"/>
      <c r="AT677" s="37"/>
      <c r="AU677" s="86">
        <f>tbl_estimated_costs_quantities[[#This Row],[Chimney Duct Cleaning Repair]]*BOQs!$L$15</f>
        <v>0</v>
      </c>
      <c r="AV677" s="76"/>
      <c r="AW677" s="37"/>
      <c r="AX677" s="89">
        <f>tbl_estimated_costs_quantities[[#This Row],[Accessibility Adaptations]]*BOQs!$L$16</f>
        <v>0</v>
      </c>
      <c r="AY677" s="86" t="str">
        <f>IF(tbl_estimated_costs_quantities[[#This Row],[Total cost]]&lt;&gt;0,tbl_estimated_costs_quantities[[#This Row],[Total cost]]/BOQs!$A$1,"")</f>
        <v/>
      </c>
      <c r="AZ677" s="37"/>
      <c r="BA677" s="37"/>
      <c r="BB677" s="37"/>
      <c r="BC677" s="37"/>
      <c r="BD677" s="41"/>
      <c r="BE677" s="37"/>
      <c r="BF677" s="37"/>
      <c r="BG677" s="37"/>
      <c r="BH677" s="41"/>
    </row>
    <row r="678" spans="2:60" ht="25.15" customHeight="1" x14ac:dyDescent="0.25">
      <c r="B678" s="49">
        <v>674</v>
      </c>
      <c r="C678" s="37"/>
      <c r="D678" s="41"/>
      <c r="E678" s="40"/>
      <c r="F678" s="87" t="str">
        <f>IF(tbl_estimated_costs_quantities[[#This Row],[House Code]]&lt;&gt;"",INDEX(tbl_Assessment[],MATCH(tbl_estimated_costs_quantities[[#This Row],[House Code]],tbl_Assessment[House Code],0),3),"")</f>
        <v/>
      </c>
      <c r="G678" s="115" t="str">
        <f>IF(tbl_estimated_costs_quantities[[#This Row],[House Code]]&lt;&gt;"",INDEX(tbl_Assessment[],MATCH(tbl_estimated_costs_quantities[[#This Row],[House Code]],tbl_Assessment[House Code],0),9),"")</f>
        <v/>
      </c>
      <c r="H67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8" s="75"/>
      <c r="J678" s="37"/>
      <c r="K678" s="86">
        <f>tbl_estimated_costs_quantities[[#This Row],[Site Preparation]]*BOQs!$L$3</f>
        <v>0</v>
      </c>
      <c r="L678" s="76"/>
      <c r="M678" s="37"/>
      <c r="N678" s="86">
        <f>tbl_estimated_costs_quantities[[#This Row],[Demolition Removal Unsafe Structures]]*BOQs!$L$4</f>
        <v>0</v>
      </c>
      <c r="O678" s="76"/>
      <c r="P678" s="37"/>
      <c r="Q678" s="86">
        <f>tbl_estimated_costs_quantities[[#This Row],[Concrete Works]]*BOQs!$L$5</f>
        <v>0</v>
      </c>
      <c r="R678" s="76"/>
      <c r="S678" s="37"/>
      <c r="T678" s="86">
        <f>tbl_estimated_costs_quantities[[#This Row],[Closure External Openings Walls Windows]]*BOQs!$L$6</f>
        <v>0</v>
      </c>
      <c r="U678" s="76"/>
      <c r="V678" s="37"/>
      <c r="W678" s="86">
        <f>tbl_estimated_costs_quantities[[#This Row],[Plastering Painting]]*BOQs!$L$7</f>
        <v>0</v>
      </c>
      <c r="X678" s="76"/>
      <c r="Y678" s="37"/>
      <c r="Z678" s="86">
        <f>tbl_estimated_costs_quantities[[#This Row],[Floor Repairs]]*BOQs!$L$8</f>
        <v>0</v>
      </c>
      <c r="AA678" s="76"/>
      <c r="AB678" s="37"/>
      <c r="AC678" s="86">
        <f>tbl_estimated_costs_quantities[[#This Row],[Doors Replacement Repair]]*BOQs!$L$9</f>
        <v>0</v>
      </c>
      <c r="AD678" s="76"/>
      <c r="AE678" s="37"/>
      <c r="AF678" s="86">
        <f>tbl_estimated_costs_quantities[[#This Row],[Windows Replacement Repair]]*BOQs!$L$10</f>
        <v>0</v>
      </c>
      <c r="AG678" s="76"/>
      <c r="AH678" s="37"/>
      <c r="AI678" s="86">
        <f>tbl_estimated_costs_quantities[[#This Row],[Bathroom Rehabilitation]]*BOQs!$L$11</f>
        <v>0</v>
      </c>
      <c r="AJ678" s="76"/>
      <c r="AK678" s="37"/>
      <c r="AL678" s="86">
        <f>tbl_estimated_costs_quantities[[#This Row],[Ceramic Tile Works WASH]]*BOQs!$L$12</f>
        <v>0</v>
      </c>
      <c r="AM678" s="76"/>
      <c r="AN678" s="37"/>
      <c r="AO678" s="86">
        <f>tbl_estimated_costs_quantities[[#This Row],[Electrical Repairs Lighting]]*BOQs!$L$13</f>
        <v>0</v>
      </c>
      <c r="AP678" s="76"/>
      <c r="AQ678" s="37"/>
      <c r="AR678" s="86">
        <f>tbl_estimated_costs_quantities[[#This Row],[Roof Insulation Leak Sealing]]*BOQs!$L$14</f>
        <v>0</v>
      </c>
      <c r="AS678" s="76"/>
      <c r="AT678" s="37"/>
      <c r="AU678" s="86">
        <f>tbl_estimated_costs_quantities[[#This Row],[Chimney Duct Cleaning Repair]]*BOQs!$L$15</f>
        <v>0</v>
      </c>
      <c r="AV678" s="76"/>
      <c r="AW678" s="37"/>
      <c r="AX678" s="89">
        <f>tbl_estimated_costs_quantities[[#This Row],[Accessibility Adaptations]]*BOQs!$L$16</f>
        <v>0</v>
      </c>
      <c r="AY678" s="86" t="str">
        <f>IF(tbl_estimated_costs_quantities[[#This Row],[Total cost]]&lt;&gt;0,tbl_estimated_costs_quantities[[#This Row],[Total cost]]/BOQs!$A$1,"")</f>
        <v/>
      </c>
      <c r="AZ678" s="37"/>
      <c r="BA678" s="37"/>
      <c r="BB678" s="37"/>
      <c r="BC678" s="37"/>
      <c r="BD678" s="41"/>
      <c r="BE678" s="37"/>
      <c r="BF678" s="37"/>
      <c r="BG678" s="37"/>
      <c r="BH678" s="41"/>
    </row>
    <row r="679" spans="2:60" ht="25.15" customHeight="1" x14ac:dyDescent="0.25">
      <c r="B679" s="49">
        <v>675</v>
      </c>
      <c r="C679" s="37"/>
      <c r="D679" s="41"/>
      <c r="E679" s="40"/>
      <c r="F679" s="87" t="str">
        <f>IF(tbl_estimated_costs_quantities[[#This Row],[House Code]]&lt;&gt;"",INDEX(tbl_Assessment[],MATCH(tbl_estimated_costs_quantities[[#This Row],[House Code]],tbl_Assessment[House Code],0),3),"")</f>
        <v/>
      </c>
      <c r="G679" s="115" t="str">
        <f>IF(tbl_estimated_costs_quantities[[#This Row],[House Code]]&lt;&gt;"",INDEX(tbl_Assessment[],MATCH(tbl_estimated_costs_quantities[[#This Row],[House Code]],tbl_Assessment[House Code],0),9),"")</f>
        <v/>
      </c>
      <c r="H67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79" s="75"/>
      <c r="J679" s="37"/>
      <c r="K679" s="86">
        <f>tbl_estimated_costs_quantities[[#This Row],[Site Preparation]]*BOQs!$L$3</f>
        <v>0</v>
      </c>
      <c r="L679" s="76"/>
      <c r="M679" s="37"/>
      <c r="N679" s="86">
        <f>tbl_estimated_costs_quantities[[#This Row],[Demolition Removal Unsafe Structures]]*BOQs!$L$4</f>
        <v>0</v>
      </c>
      <c r="O679" s="76"/>
      <c r="P679" s="37"/>
      <c r="Q679" s="86">
        <f>tbl_estimated_costs_quantities[[#This Row],[Concrete Works]]*BOQs!$L$5</f>
        <v>0</v>
      </c>
      <c r="R679" s="76"/>
      <c r="S679" s="37"/>
      <c r="T679" s="86">
        <f>tbl_estimated_costs_quantities[[#This Row],[Closure External Openings Walls Windows]]*BOQs!$L$6</f>
        <v>0</v>
      </c>
      <c r="U679" s="76"/>
      <c r="V679" s="37"/>
      <c r="W679" s="86">
        <f>tbl_estimated_costs_quantities[[#This Row],[Plastering Painting]]*BOQs!$L$7</f>
        <v>0</v>
      </c>
      <c r="X679" s="76"/>
      <c r="Y679" s="37"/>
      <c r="Z679" s="86">
        <f>tbl_estimated_costs_quantities[[#This Row],[Floor Repairs]]*BOQs!$L$8</f>
        <v>0</v>
      </c>
      <c r="AA679" s="76"/>
      <c r="AB679" s="37"/>
      <c r="AC679" s="86">
        <f>tbl_estimated_costs_quantities[[#This Row],[Doors Replacement Repair]]*BOQs!$L$9</f>
        <v>0</v>
      </c>
      <c r="AD679" s="76"/>
      <c r="AE679" s="37"/>
      <c r="AF679" s="86">
        <f>tbl_estimated_costs_quantities[[#This Row],[Windows Replacement Repair]]*BOQs!$L$10</f>
        <v>0</v>
      </c>
      <c r="AG679" s="76"/>
      <c r="AH679" s="37"/>
      <c r="AI679" s="86">
        <f>tbl_estimated_costs_quantities[[#This Row],[Bathroom Rehabilitation]]*BOQs!$L$11</f>
        <v>0</v>
      </c>
      <c r="AJ679" s="76"/>
      <c r="AK679" s="37"/>
      <c r="AL679" s="86">
        <f>tbl_estimated_costs_quantities[[#This Row],[Ceramic Tile Works WASH]]*BOQs!$L$12</f>
        <v>0</v>
      </c>
      <c r="AM679" s="76"/>
      <c r="AN679" s="37"/>
      <c r="AO679" s="86">
        <f>tbl_estimated_costs_quantities[[#This Row],[Electrical Repairs Lighting]]*BOQs!$L$13</f>
        <v>0</v>
      </c>
      <c r="AP679" s="76"/>
      <c r="AQ679" s="37"/>
      <c r="AR679" s="86">
        <f>tbl_estimated_costs_quantities[[#This Row],[Roof Insulation Leak Sealing]]*BOQs!$L$14</f>
        <v>0</v>
      </c>
      <c r="AS679" s="76"/>
      <c r="AT679" s="37"/>
      <c r="AU679" s="86">
        <f>tbl_estimated_costs_quantities[[#This Row],[Chimney Duct Cleaning Repair]]*BOQs!$L$15</f>
        <v>0</v>
      </c>
      <c r="AV679" s="76"/>
      <c r="AW679" s="37"/>
      <c r="AX679" s="89">
        <f>tbl_estimated_costs_quantities[[#This Row],[Accessibility Adaptations]]*BOQs!$L$16</f>
        <v>0</v>
      </c>
      <c r="AY679" s="86" t="str">
        <f>IF(tbl_estimated_costs_quantities[[#This Row],[Total cost]]&lt;&gt;0,tbl_estimated_costs_quantities[[#This Row],[Total cost]]/BOQs!$A$1,"")</f>
        <v/>
      </c>
      <c r="AZ679" s="37"/>
      <c r="BA679" s="37"/>
      <c r="BB679" s="37"/>
      <c r="BC679" s="37"/>
      <c r="BD679" s="41"/>
      <c r="BE679" s="37"/>
      <c r="BF679" s="37"/>
      <c r="BG679" s="37"/>
      <c r="BH679" s="41"/>
    </row>
    <row r="680" spans="2:60" ht="25.15" customHeight="1" x14ac:dyDescent="0.25">
      <c r="B680" s="49">
        <v>676</v>
      </c>
      <c r="C680" s="37"/>
      <c r="D680" s="41"/>
      <c r="E680" s="40"/>
      <c r="F680" s="87" t="str">
        <f>IF(tbl_estimated_costs_quantities[[#This Row],[House Code]]&lt;&gt;"",INDEX(tbl_Assessment[],MATCH(tbl_estimated_costs_quantities[[#This Row],[House Code]],tbl_Assessment[House Code],0),3),"")</f>
        <v/>
      </c>
      <c r="G680" s="115" t="str">
        <f>IF(tbl_estimated_costs_quantities[[#This Row],[House Code]]&lt;&gt;"",INDEX(tbl_Assessment[],MATCH(tbl_estimated_costs_quantities[[#This Row],[House Code]],tbl_Assessment[House Code],0),9),"")</f>
        <v/>
      </c>
      <c r="H68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0" s="75"/>
      <c r="J680" s="37"/>
      <c r="K680" s="86">
        <f>tbl_estimated_costs_quantities[[#This Row],[Site Preparation]]*BOQs!$L$3</f>
        <v>0</v>
      </c>
      <c r="L680" s="76"/>
      <c r="M680" s="37"/>
      <c r="N680" s="86">
        <f>tbl_estimated_costs_quantities[[#This Row],[Demolition Removal Unsafe Structures]]*BOQs!$L$4</f>
        <v>0</v>
      </c>
      <c r="O680" s="76"/>
      <c r="P680" s="37"/>
      <c r="Q680" s="86">
        <f>tbl_estimated_costs_quantities[[#This Row],[Concrete Works]]*BOQs!$L$5</f>
        <v>0</v>
      </c>
      <c r="R680" s="76"/>
      <c r="S680" s="37"/>
      <c r="T680" s="86">
        <f>tbl_estimated_costs_quantities[[#This Row],[Closure External Openings Walls Windows]]*BOQs!$L$6</f>
        <v>0</v>
      </c>
      <c r="U680" s="76"/>
      <c r="V680" s="37"/>
      <c r="W680" s="86">
        <f>tbl_estimated_costs_quantities[[#This Row],[Plastering Painting]]*BOQs!$L$7</f>
        <v>0</v>
      </c>
      <c r="X680" s="76"/>
      <c r="Y680" s="37"/>
      <c r="Z680" s="86">
        <f>tbl_estimated_costs_quantities[[#This Row],[Floor Repairs]]*BOQs!$L$8</f>
        <v>0</v>
      </c>
      <c r="AA680" s="76"/>
      <c r="AB680" s="37"/>
      <c r="AC680" s="86">
        <f>tbl_estimated_costs_quantities[[#This Row],[Doors Replacement Repair]]*BOQs!$L$9</f>
        <v>0</v>
      </c>
      <c r="AD680" s="76"/>
      <c r="AE680" s="37"/>
      <c r="AF680" s="86">
        <f>tbl_estimated_costs_quantities[[#This Row],[Windows Replacement Repair]]*BOQs!$L$10</f>
        <v>0</v>
      </c>
      <c r="AG680" s="76"/>
      <c r="AH680" s="37"/>
      <c r="AI680" s="86">
        <f>tbl_estimated_costs_quantities[[#This Row],[Bathroom Rehabilitation]]*BOQs!$L$11</f>
        <v>0</v>
      </c>
      <c r="AJ680" s="76"/>
      <c r="AK680" s="37"/>
      <c r="AL680" s="86">
        <f>tbl_estimated_costs_quantities[[#This Row],[Ceramic Tile Works WASH]]*BOQs!$L$12</f>
        <v>0</v>
      </c>
      <c r="AM680" s="76"/>
      <c r="AN680" s="37"/>
      <c r="AO680" s="86">
        <f>tbl_estimated_costs_quantities[[#This Row],[Electrical Repairs Lighting]]*BOQs!$L$13</f>
        <v>0</v>
      </c>
      <c r="AP680" s="76"/>
      <c r="AQ680" s="37"/>
      <c r="AR680" s="86">
        <f>tbl_estimated_costs_quantities[[#This Row],[Roof Insulation Leak Sealing]]*BOQs!$L$14</f>
        <v>0</v>
      </c>
      <c r="AS680" s="76"/>
      <c r="AT680" s="37"/>
      <c r="AU680" s="86">
        <f>tbl_estimated_costs_quantities[[#This Row],[Chimney Duct Cleaning Repair]]*BOQs!$L$15</f>
        <v>0</v>
      </c>
      <c r="AV680" s="76"/>
      <c r="AW680" s="37"/>
      <c r="AX680" s="89">
        <f>tbl_estimated_costs_quantities[[#This Row],[Accessibility Adaptations]]*BOQs!$L$16</f>
        <v>0</v>
      </c>
      <c r="AY680" s="86" t="str">
        <f>IF(tbl_estimated_costs_quantities[[#This Row],[Total cost]]&lt;&gt;0,tbl_estimated_costs_quantities[[#This Row],[Total cost]]/BOQs!$A$1,"")</f>
        <v/>
      </c>
      <c r="AZ680" s="37"/>
      <c r="BA680" s="37"/>
      <c r="BB680" s="37"/>
      <c r="BC680" s="37"/>
      <c r="BD680" s="41"/>
      <c r="BE680" s="37"/>
      <c r="BF680" s="37"/>
      <c r="BG680" s="37"/>
      <c r="BH680" s="41"/>
    </row>
    <row r="681" spans="2:60" ht="25.15" customHeight="1" x14ac:dyDescent="0.25">
      <c r="B681" s="49">
        <v>677</v>
      </c>
      <c r="C681" s="37"/>
      <c r="D681" s="41"/>
      <c r="E681" s="40"/>
      <c r="F681" s="87" t="str">
        <f>IF(tbl_estimated_costs_quantities[[#This Row],[House Code]]&lt;&gt;"",INDEX(tbl_Assessment[],MATCH(tbl_estimated_costs_quantities[[#This Row],[House Code]],tbl_Assessment[House Code],0),3),"")</f>
        <v/>
      </c>
      <c r="G681" s="115" t="str">
        <f>IF(tbl_estimated_costs_quantities[[#This Row],[House Code]]&lt;&gt;"",INDEX(tbl_Assessment[],MATCH(tbl_estimated_costs_quantities[[#This Row],[House Code]],tbl_Assessment[House Code],0),9),"")</f>
        <v/>
      </c>
      <c r="H68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1" s="75"/>
      <c r="J681" s="37"/>
      <c r="K681" s="86">
        <f>tbl_estimated_costs_quantities[[#This Row],[Site Preparation]]*BOQs!$L$3</f>
        <v>0</v>
      </c>
      <c r="L681" s="76"/>
      <c r="M681" s="37"/>
      <c r="N681" s="86">
        <f>tbl_estimated_costs_quantities[[#This Row],[Demolition Removal Unsafe Structures]]*BOQs!$L$4</f>
        <v>0</v>
      </c>
      <c r="O681" s="76"/>
      <c r="P681" s="37"/>
      <c r="Q681" s="86">
        <f>tbl_estimated_costs_quantities[[#This Row],[Concrete Works]]*BOQs!$L$5</f>
        <v>0</v>
      </c>
      <c r="R681" s="76"/>
      <c r="S681" s="37"/>
      <c r="T681" s="86">
        <f>tbl_estimated_costs_quantities[[#This Row],[Closure External Openings Walls Windows]]*BOQs!$L$6</f>
        <v>0</v>
      </c>
      <c r="U681" s="76"/>
      <c r="V681" s="37"/>
      <c r="W681" s="86">
        <f>tbl_estimated_costs_quantities[[#This Row],[Plastering Painting]]*BOQs!$L$7</f>
        <v>0</v>
      </c>
      <c r="X681" s="76"/>
      <c r="Y681" s="37"/>
      <c r="Z681" s="86">
        <f>tbl_estimated_costs_quantities[[#This Row],[Floor Repairs]]*BOQs!$L$8</f>
        <v>0</v>
      </c>
      <c r="AA681" s="76"/>
      <c r="AB681" s="37"/>
      <c r="AC681" s="86">
        <f>tbl_estimated_costs_quantities[[#This Row],[Doors Replacement Repair]]*BOQs!$L$9</f>
        <v>0</v>
      </c>
      <c r="AD681" s="76"/>
      <c r="AE681" s="37"/>
      <c r="AF681" s="86">
        <f>tbl_estimated_costs_quantities[[#This Row],[Windows Replacement Repair]]*BOQs!$L$10</f>
        <v>0</v>
      </c>
      <c r="AG681" s="76"/>
      <c r="AH681" s="37"/>
      <c r="AI681" s="86">
        <f>tbl_estimated_costs_quantities[[#This Row],[Bathroom Rehabilitation]]*BOQs!$L$11</f>
        <v>0</v>
      </c>
      <c r="AJ681" s="76"/>
      <c r="AK681" s="37"/>
      <c r="AL681" s="86">
        <f>tbl_estimated_costs_quantities[[#This Row],[Ceramic Tile Works WASH]]*BOQs!$L$12</f>
        <v>0</v>
      </c>
      <c r="AM681" s="76"/>
      <c r="AN681" s="37"/>
      <c r="AO681" s="86">
        <f>tbl_estimated_costs_quantities[[#This Row],[Electrical Repairs Lighting]]*BOQs!$L$13</f>
        <v>0</v>
      </c>
      <c r="AP681" s="76"/>
      <c r="AQ681" s="37"/>
      <c r="AR681" s="86">
        <f>tbl_estimated_costs_quantities[[#This Row],[Roof Insulation Leak Sealing]]*BOQs!$L$14</f>
        <v>0</v>
      </c>
      <c r="AS681" s="76"/>
      <c r="AT681" s="37"/>
      <c r="AU681" s="86">
        <f>tbl_estimated_costs_quantities[[#This Row],[Chimney Duct Cleaning Repair]]*BOQs!$L$15</f>
        <v>0</v>
      </c>
      <c r="AV681" s="76"/>
      <c r="AW681" s="37"/>
      <c r="AX681" s="89">
        <f>tbl_estimated_costs_quantities[[#This Row],[Accessibility Adaptations]]*BOQs!$L$16</f>
        <v>0</v>
      </c>
      <c r="AY681" s="86" t="str">
        <f>IF(tbl_estimated_costs_quantities[[#This Row],[Total cost]]&lt;&gt;0,tbl_estimated_costs_quantities[[#This Row],[Total cost]]/BOQs!$A$1,"")</f>
        <v/>
      </c>
      <c r="AZ681" s="37"/>
      <c r="BA681" s="37"/>
      <c r="BB681" s="37"/>
      <c r="BC681" s="37"/>
      <c r="BD681" s="41"/>
      <c r="BE681" s="37"/>
      <c r="BF681" s="37"/>
      <c r="BG681" s="37"/>
      <c r="BH681" s="41"/>
    </row>
    <row r="682" spans="2:60" ht="25.15" customHeight="1" x14ac:dyDescent="0.25">
      <c r="B682" s="49">
        <v>678</v>
      </c>
      <c r="C682" s="37"/>
      <c r="D682" s="41"/>
      <c r="E682" s="40"/>
      <c r="F682" s="87" t="str">
        <f>IF(tbl_estimated_costs_quantities[[#This Row],[House Code]]&lt;&gt;"",INDEX(tbl_Assessment[],MATCH(tbl_estimated_costs_quantities[[#This Row],[House Code]],tbl_Assessment[House Code],0),3),"")</f>
        <v/>
      </c>
      <c r="G682" s="115" t="str">
        <f>IF(tbl_estimated_costs_quantities[[#This Row],[House Code]]&lt;&gt;"",INDEX(tbl_Assessment[],MATCH(tbl_estimated_costs_quantities[[#This Row],[House Code]],tbl_Assessment[House Code],0),9),"")</f>
        <v/>
      </c>
      <c r="H68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2" s="75"/>
      <c r="J682" s="37"/>
      <c r="K682" s="86">
        <f>tbl_estimated_costs_quantities[[#This Row],[Site Preparation]]*BOQs!$L$3</f>
        <v>0</v>
      </c>
      <c r="L682" s="76"/>
      <c r="M682" s="37"/>
      <c r="N682" s="86">
        <f>tbl_estimated_costs_quantities[[#This Row],[Demolition Removal Unsafe Structures]]*BOQs!$L$4</f>
        <v>0</v>
      </c>
      <c r="O682" s="76"/>
      <c r="P682" s="37"/>
      <c r="Q682" s="86">
        <f>tbl_estimated_costs_quantities[[#This Row],[Concrete Works]]*BOQs!$L$5</f>
        <v>0</v>
      </c>
      <c r="R682" s="76"/>
      <c r="S682" s="37"/>
      <c r="T682" s="86">
        <f>tbl_estimated_costs_quantities[[#This Row],[Closure External Openings Walls Windows]]*BOQs!$L$6</f>
        <v>0</v>
      </c>
      <c r="U682" s="76"/>
      <c r="V682" s="37"/>
      <c r="W682" s="86">
        <f>tbl_estimated_costs_quantities[[#This Row],[Plastering Painting]]*BOQs!$L$7</f>
        <v>0</v>
      </c>
      <c r="X682" s="76"/>
      <c r="Y682" s="37"/>
      <c r="Z682" s="86">
        <f>tbl_estimated_costs_quantities[[#This Row],[Floor Repairs]]*BOQs!$L$8</f>
        <v>0</v>
      </c>
      <c r="AA682" s="76"/>
      <c r="AB682" s="37"/>
      <c r="AC682" s="86">
        <f>tbl_estimated_costs_quantities[[#This Row],[Doors Replacement Repair]]*BOQs!$L$9</f>
        <v>0</v>
      </c>
      <c r="AD682" s="76"/>
      <c r="AE682" s="37"/>
      <c r="AF682" s="86">
        <f>tbl_estimated_costs_quantities[[#This Row],[Windows Replacement Repair]]*BOQs!$L$10</f>
        <v>0</v>
      </c>
      <c r="AG682" s="76"/>
      <c r="AH682" s="37"/>
      <c r="AI682" s="86">
        <f>tbl_estimated_costs_quantities[[#This Row],[Bathroom Rehabilitation]]*BOQs!$L$11</f>
        <v>0</v>
      </c>
      <c r="AJ682" s="76"/>
      <c r="AK682" s="37"/>
      <c r="AL682" s="86">
        <f>tbl_estimated_costs_quantities[[#This Row],[Ceramic Tile Works WASH]]*BOQs!$L$12</f>
        <v>0</v>
      </c>
      <c r="AM682" s="76"/>
      <c r="AN682" s="37"/>
      <c r="AO682" s="86">
        <f>tbl_estimated_costs_quantities[[#This Row],[Electrical Repairs Lighting]]*BOQs!$L$13</f>
        <v>0</v>
      </c>
      <c r="AP682" s="76"/>
      <c r="AQ682" s="37"/>
      <c r="AR682" s="86">
        <f>tbl_estimated_costs_quantities[[#This Row],[Roof Insulation Leak Sealing]]*BOQs!$L$14</f>
        <v>0</v>
      </c>
      <c r="AS682" s="76"/>
      <c r="AT682" s="37"/>
      <c r="AU682" s="86">
        <f>tbl_estimated_costs_quantities[[#This Row],[Chimney Duct Cleaning Repair]]*BOQs!$L$15</f>
        <v>0</v>
      </c>
      <c r="AV682" s="76"/>
      <c r="AW682" s="37"/>
      <c r="AX682" s="89">
        <f>tbl_estimated_costs_quantities[[#This Row],[Accessibility Adaptations]]*BOQs!$L$16</f>
        <v>0</v>
      </c>
      <c r="AY682" s="86" t="str">
        <f>IF(tbl_estimated_costs_quantities[[#This Row],[Total cost]]&lt;&gt;0,tbl_estimated_costs_quantities[[#This Row],[Total cost]]/BOQs!$A$1,"")</f>
        <v/>
      </c>
      <c r="AZ682" s="37"/>
      <c r="BA682" s="37"/>
      <c r="BB682" s="37"/>
      <c r="BC682" s="37"/>
      <c r="BD682" s="41"/>
      <c r="BE682" s="37"/>
      <c r="BF682" s="37"/>
      <c r="BG682" s="37"/>
      <c r="BH682" s="41"/>
    </row>
    <row r="683" spans="2:60" ht="25.15" customHeight="1" x14ac:dyDescent="0.25">
      <c r="B683" s="49">
        <v>679</v>
      </c>
      <c r="C683" s="37"/>
      <c r="D683" s="41"/>
      <c r="E683" s="40"/>
      <c r="F683" s="87" t="str">
        <f>IF(tbl_estimated_costs_quantities[[#This Row],[House Code]]&lt;&gt;"",INDEX(tbl_Assessment[],MATCH(tbl_estimated_costs_quantities[[#This Row],[House Code]],tbl_Assessment[House Code],0),3),"")</f>
        <v/>
      </c>
      <c r="G683" s="115" t="str">
        <f>IF(tbl_estimated_costs_quantities[[#This Row],[House Code]]&lt;&gt;"",INDEX(tbl_Assessment[],MATCH(tbl_estimated_costs_quantities[[#This Row],[House Code]],tbl_Assessment[House Code],0),9),"")</f>
        <v/>
      </c>
      <c r="H68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3" s="75"/>
      <c r="J683" s="37"/>
      <c r="K683" s="86">
        <f>tbl_estimated_costs_quantities[[#This Row],[Site Preparation]]*BOQs!$L$3</f>
        <v>0</v>
      </c>
      <c r="L683" s="76"/>
      <c r="M683" s="37"/>
      <c r="N683" s="86">
        <f>tbl_estimated_costs_quantities[[#This Row],[Demolition Removal Unsafe Structures]]*BOQs!$L$4</f>
        <v>0</v>
      </c>
      <c r="O683" s="76"/>
      <c r="P683" s="37"/>
      <c r="Q683" s="86">
        <f>tbl_estimated_costs_quantities[[#This Row],[Concrete Works]]*BOQs!$L$5</f>
        <v>0</v>
      </c>
      <c r="R683" s="76"/>
      <c r="S683" s="37"/>
      <c r="T683" s="86">
        <f>tbl_estimated_costs_quantities[[#This Row],[Closure External Openings Walls Windows]]*BOQs!$L$6</f>
        <v>0</v>
      </c>
      <c r="U683" s="76"/>
      <c r="V683" s="37"/>
      <c r="W683" s="86">
        <f>tbl_estimated_costs_quantities[[#This Row],[Plastering Painting]]*BOQs!$L$7</f>
        <v>0</v>
      </c>
      <c r="X683" s="76"/>
      <c r="Y683" s="37"/>
      <c r="Z683" s="86">
        <f>tbl_estimated_costs_quantities[[#This Row],[Floor Repairs]]*BOQs!$L$8</f>
        <v>0</v>
      </c>
      <c r="AA683" s="76"/>
      <c r="AB683" s="37"/>
      <c r="AC683" s="86">
        <f>tbl_estimated_costs_quantities[[#This Row],[Doors Replacement Repair]]*BOQs!$L$9</f>
        <v>0</v>
      </c>
      <c r="AD683" s="76"/>
      <c r="AE683" s="37"/>
      <c r="AF683" s="86">
        <f>tbl_estimated_costs_quantities[[#This Row],[Windows Replacement Repair]]*BOQs!$L$10</f>
        <v>0</v>
      </c>
      <c r="AG683" s="76"/>
      <c r="AH683" s="37"/>
      <c r="AI683" s="86">
        <f>tbl_estimated_costs_quantities[[#This Row],[Bathroom Rehabilitation]]*BOQs!$L$11</f>
        <v>0</v>
      </c>
      <c r="AJ683" s="76"/>
      <c r="AK683" s="37"/>
      <c r="AL683" s="86">
        <f>tbl_estimated_costs_quantities[[#This Row],[Ceramic Tile Works WASH]]*BOQs!$L$12</f>
        <v>0</v>
      </c>
      <c r="AM683" s="76"/>
      <c r="AN683" s="37"/>
      <c r="AO683" s="86">
        <f>tbl_estimated_costs_quantities[[#This Row],[Electrical Repairs Lighting]]*BOQs!$L$13</f>
        <v>0</v>
      </c>
      <c r="AP683" s="76"/>
      <c r="AQ683" s="37"/>
      <c r="AR683" s="86">
        <f>tbl_estimated_costs_quantities[[#This Row],[Roof Insulation Leak Sealing]]*BOQs!$L$14</f>
        <v>0</v>
      </c>
      <c r="AS683" s="76"/>
      <c r="AT683" s="37"/>
      <c r="AU683" s="86">
        <f>tbl_estimated_costs_quantities[[#This Row],[Chimney Duct Cleaning Repair]]*BOQs!$L$15</f>
        <v>0</v>
      </c>
      <c r="AV683" s="76"/>
      <c r="AW683" s="37"/>
      <c r="AX683" s="89">
        <f>tbl_estimated_costs_quantities[[#This Row],[Accessibility Adaptations]]*BOQs!$L$16</f>
        <v>0</v>
      </c>
      <c r="AY683" s="86" t="str">
        <f>IF(tbl_estimated_costs_quantities[[#This Row],[Total cost]]&lt;&gt;0,tbl_estimated_costs_quantities[[#This Row],[Total cost]]/BOQs!$A$1,"")</f>
        <v/>
      </c>
      <c r="AZ683" s="37"/>
      <c r="BA683" s="37"/>
      <c r="BB683" s="37"/>
      <c r="BC683" s="37"/>
      <c r="BD683" s="41"/>
      <c r="BE683" s="37"/>
      <c r="BF683" s="37"/>
      <c r="BG683" s="37"/>
      <c r="BH683" s="41"/>
    </row>
    <row r="684" spans="2:60" ht="25.15" customHeight="1" x14ac:dyDescent="0.25">
      <c r="B684" s="49">
        <v>680</v>
      </c>
      <c r="C684" s="37"/>
      <c r="D684" s="41"/>
      <c r="E684" s="40"/>
      <c r="F684" s="87" t="str">
        <f>IF(tbl_estimated_costs_quantities[[#This Row],[House Code]]&lt;&gt;"",INDEX(tbl_Assessment[],MATCH(tbl_estimated_costs_quantities[[#This Row],[House Code]],tbl_Assessment[House Code],0),3),"")</f>
        <v/>
      </c>
      <c r="G684" s="115" t="str">
        <f>IF(tbl_estimated_costs_quantities[[#This Row],[House Code]]&lt;&gt;"",INDEX(tbl_Assessment[],MATCH(tbl_estimated_costs_quantities[[#This Row],[House Code]],tbl_Assessment[House Code],0),9),"")</f>
        <v/>
      </c>
      <c r="H68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4" s="75"/>
      <c r="J684" s="37"/>
      <c r="K684" s="86">
        <f>tbl_estimated_costs_quantities[[#This Row],[Site Preparation]]*BOQs!$L$3</f>
        <v>0</v>
      </c>
      <c r="L684" s="76"/>
      <c r="M684" s="37"/>
      <c r="N684" s="86">
        <f>tbl_estimated_costs_quantities[[#This Row],[Demolition Removal Unsafe Structures]]*BOQs!$L$4</f>
        <v>0</v>
      </c>
      <c r="O684" s="76"/>
      <c r="P684" s="37"/>
      <c r="Q684" s="86">
        <f>tbl_estimated_costs_quantities[[#This Row],[Concrete Works]]*BOQs!$L$5</f>
        <v>0</v>
      </c>
      <c r="R684" s="76"/>
      <c r="S684" s="37"/>
      <c r="T684" s="86">
        <f>tbl_estimated_costs_quantities[[#This Row],[Closure External Openings Walls Windows]]*BOQs!$L$6</f>
        <v>0</v>
      </c>
      <c r="U684" s="76"/>
      <c r="V684" s="37"/>
      <c r="W684" s="86">
        <f>tbl_estimated_costs_quantities[[#This Row],[Plastering Painting]]*BOQs!$L$7</f>
        <v>0</v>
      </c>
      <c r="X684" s="76"/>
      <c r="Y684" s="37"/>
      <c r="Z684" s="86">
        <f>tbl_estimated_costs_quantities[[#This Row],[Floor Repairs]]*BOQs!$L$8</f>
        <v>0</v>
      </c>
      <c r="AA684" s="76"/>
      <c r="AB684" s="37"/>
      <c r="AC684" s="86">
        <f>tbl_estimated_costs_quantities[[#This Row],[Doors Replacement Repair]]*BOQs!$L$9</f>
        <v>0</v>
      </c>
      <c r="AD684" s="76"/>
      <c r="AE684" s="37"/>
      <c r="AF684" s="86">
        <f>tbl_estimated_costs_quantities[[#This Row],[Windows Replacement Repair]]*BOQs!$L$10</f>
        <v>0</v>
      </c>
      <c r="AG684" s="76"/>
      <c r="AH684" s="37"/>
      <c r="AI684" s="86">
        <f>tbl_estimated_costs_quantities[[#This Row],[Bathroom Rehabilitation]]*BOQs!$L$11</f>
        <v>0</v>
      </c>
      <c r="AJ684" s="76"/>
      <c r="AK684" s="37"/>
      <c r="AL684" s="86">
        <f>tbl_estimated_costs_quantities[[#This Row],[Ceramic Tile Works WASH]]*BOQs!$L$12</f>
        <v>0</v>
      </c>
      <c r="AM684" s="76"/>
      <c r="AN684" s="37"/>
      <c r="AO684" s="86">
        <f>tbl_estimated_costs_quantities[[#This Row],[Electrical Repairs Lighting]]*BOQs!$L$13</f>
        <v>0</v>
      </c>
      <c r="AP684" s="76"/>
      <c r="AQ684" s="37"/>
      <c r="AR684" s="86">
        <f>tbl_estimated_costs_quantities[[#This Row],[Roof Insulation Leak Sealing]]*BOQs!$L$14</f>
        <v>0</v>
      </c>
      <c r="AS684" s="76"/>
      <c r="AT684" s="37"/>
      <c r="AU684" s="86">
        <f>tbl_estimated_costs_quantities[[#This Row],[Chimney Duct Cleaning Repair]]*BOQs!$L$15</f>
        <v>0</v>
      </c>
      <c r="AV684" s="76"/>
      <c r="AW684" s="37"/>
      <c r="AX684" s="89">
        <f>tbl_estimated_costs_quantities[[#This Row],[Accessibility Adaptations]]*BOQs!$L$16</f>
        <v>0</v>
      </c>
      <c r="AY684" s="86" t="str">
        <f>IF(tbl_estimated_costs_quantities[[#This Row],[Total cost]]&lt;&gt;0,tbl_estimated_costs_quantities[[#This Row],[Total cost]]/BOQs!$A$1,"")</f>
        <v/>
      </c>
      <c r="AZ684" s="37"/>
      <c r="BA684" s="37"/>
      <c r="BB684" s="37"/>
      <c r="BC684" s="37"/>
      <c r="BD684" s="41"/>
      <c r="BE684" s="37"/>
      <c r="BF684" s="37"/>
      <c r="BG684" s="37"/>
      <c r="BH684" s="41"/>
    </row>
    <row r="685" spans="2:60" ht="25.15" customHeight="1" x14ac:dyDescent="0.25">
      <c r="B685" s="49">
        <v>681</v>
      </c>
      <c r="C685" s="37"/>
      <c r="D685" s="41"/>
      <c r="E685" s="40"/>
      <c r="F685" s="87" t="str">
        <f>IF(tbl_estimated_costs_quantities[[#This Row],[House Code]]&lt;&gt;"",INDEX(tbl_Assessment[],MATCH(tbl_estimated_costs_quantities[[#This Row],[House Code]],tbl_Assessment[House Code],0),3),"")</f>
        <v/>
      </c>
      <c r="G685" s="115" t="str">
        <f>IF(tbl_estimated_costs_quantities[[#This Row],[House Code]]&lt;&gt;"",INDEX(tbl_Assessment[],MATCH(tbl_estimated_costs_quantities[[#This Row],[House Code]],tbl_Assessment[House Code],0),9),"")</f>
        <v/>
      </c>
      <c r="H68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5" s="75"/>
      <c r="J685" s="37"/>
      <c r="K685" s="86">
        <f>tbl_estimated_costs_quantities[[#This Row],[Site Preparation]]*BOQs!$L$3</f>
        <v>0</v>
      </c>
      <c r="L685" s="76"/>
      <c r="M685" s="37"/>
      <c r="N685" s="86">
        <f>tbl_estimated_costs_quantities[[#This Row],[Demolition Removal Unsafe Structures]]*BOQs!$L$4</f>
        <v>0</v>
      </c>
      <c r="O685" s="76"/>
      <c r="P685" s="37"/>
      <c r="Q685" s="86">
        <f>tbl_estimated_costs_quantities[[#This Row],[Concrete Works]]*BOQs!$L$5</f>
        <v>0</v>
      </c>
      <c r="R685" s="76"/>
      <c r="S685" s="37"/>
      <c r="T685" s="86">
        <f>tbl_estimated_costs_quantities[[#This Row],[Closure External Openings Walls Windows]]*BOQs!$L$6</f>
        <v>0</v>
      </c>
      <c r="U685" s="76"/>
      <c r="V685" s="37"/>
      <c r="W685" s="86">
        <f>tbl_estimated_costs_quantities[[#This Row],[Plastering Painting]]*BOQs!$L$7</f>
        <v>0</v>
      </c>
      <c r="X685" s="76"/>
      <c r="Y685" s="37"/>
      <c r="Z685" s="86">
        <f>tbl_estimated_costs_quantities[[#This Row],[Floor Repairs]]*BOQs!$L$8</f>
        <v>0</v>
      </c>
      <c r="AA685" s="76"/>
      <c r="AB685" s="37"/>
      <c r="AC685" s="86">
        <f>tbl_estimated_costs_quantities[[#This Row],[Doors Replacement Repair]]*BOQs!$L$9</f>
        <v>0</v>
      </c>
      <c r="AD685" s="76"/>
      <c r="AE685" s="37"/>
      <c r="AF685" s="86">
        <f>tbl_estimated_costs_quantities[[#This Row],[Windows Replacement Repair]]*BOQs!$L$10</f>
        <v>0</v>
      </c>
      <c r="AG685" s="76"/>
      <c r="AH685" s="37"/>
      <c r="AI685" s="86">
        <f>tbl_estimated_costs_quantities[[#This Row],[Bathroom Rehabilitation]]*BOQs!$L$11</f>
        <v>0</v>
      </c>
      <c r="AJ685" s="76"/>
      <c r="AK685" s="37"/>
      <c r="AL685" s="86">
        <f>tbl_estimated_costs_quantities[[#This Row],[Ceramic Tile Works WASH]]*BOQs!$L$12</f>
        <v>0</v>
      </c>
      <c r="AM685" s="76"/>
      <c r="AN685" s="37"/>
      <c r="AO685" s="86">
        <f>tbl_estimated_costs_quantities[[#This Row],[Electrical Repairs Lighting]]*BOQs!$L$13</f>
        <v>0</v>
      </c>
      <c r="AP685" s="76"/>
      <c r="AQ685" s="37"/>
      <c r="AR685" s="86">
        <f>tbl_estimated_costs_quantities[[#This Row],[Roof Insulation Leak Sealing]]*BOQs!$L$14</f>
        <v>0</v>
      </c>
      <c r="AS685" s="76"/>
      <c r="AT685" s="37"/>
      <c r="AU685" s="86">
        <f>tbl_estimated_costs_quantities[[#This Row],[Chimney Duct Cleaning Repair]]*BOQs!$L$15</f>
        <v>0</v>
      </c>
      <c r="AV685" s="76"/>
      <c r="AW685" s="37"/>
      <c r="AX685" s="89">
        <f>tbl_estimated_costs_quantities[[#This Row],[Accessibility Adaptations]]*BOQs!$L$16</f>
        <v>0</v>
      </c>
      <c r="AY685" s="86" t="str">
        <f>IF(tbl_estimated_costs_quantities[[#This Row],[Total cost]]&lt;&gt;0,tbl_estimated_costs_quantities[[#This Row],[Total cost]]/BOQs!$A$1,"")</f>
        <v/>
      </c>
      <c r="AZ685" s="37"/>
      <c r="BA685" s="37"/>
      <c r="BB685" s="37"/>
      <c r="BC685" s="37"/>
      <c r="BD685" s="41"/>
      <c r="BE685" s="37"/>
      <c r="BF685" s="37"/>
      <c r="BG685" s="37"/>
      <c r="BH685" s="41"/>
    </row>
    <row r="686" spans="2:60" ht="25.15" customHeight="1" x14ac:dyDescent="0.25">
      <c r="B686" s="49">
        <v>682</v>
      </c>
      <c r="C686" s="37"/>
      <c r="D686" s="41"/>
      <c r="E686" s="40"/>
      <c r="F686" s="87" t="str">
        <f>IF(tbl_estimated_costs_quantities[[#This Row],[House Code]]&lt;&gt;"",INDEX(tbl_Assessment[],MATCH(tbl_estimated_costs_quantities[[#This Row],[House Code]],tbl_Assessment[House Code],0),3),"")</f>
        <v/>
      </c>
      <c r="G686" s="115" t="str">
        <f>IF(tbl_estimated_costs_quantities[[#This Row],[House Code]]&lt;&gt;"",INDEX(tbl_Assessment[],MATCH(tbl_estimated_costs_quantities[[#This Row],[House Code]],tbl_Assessment[House Code],0),9),"")</f>
        <v/>
      </c>
      <c r="H68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6" s="75"/>
      <c r="J686" s="37"/>
      <c r="K686" s="86">
        <f>tbl_estimated_costs_quantities[[#This Row],[Site Preparation]]*BOQs!$L$3</f>
        <v>0</v>
      </c>
      <c r="L686" s="76"/>
      <c r="M686" s="37"/>
      <c r="N686" s="86">
        <f>tbl_estimated_costs_quantities[[#This Row],[Demolition Removal Unsafe Structures]]*BOQs!$L$4</f>
        <v>0</v>
      </c>
      <c r="O686" s="76"/>
      <c r="P686" s="37"/>
      <c r="Q686" s="86">
        <f>tbl_estimated_costs_quantities[[#This Row],[Concrete Works]]*BOQs!$L$5</f>
        <v>0</v>
      </c>
      <c r="R686" s="76"/>
      <c r="S686" s="37"/>
      <c r="T686" s="86">
        <f>tbl_estimated_costs_quantities[[#This Row],[Closure External Openings Walls Windows]]*BOQs!$L$6</f>
        <v>0</v>
      </c>
      <c r="U686" s="76"/>
      <c r="V686" s="37"/>
      <c r="W686" s="86">
        <f>tbl_estimated_costs_quantities[[#This Row],[Plastering Painting]]*BOQs!$L$7</f>
        <v>0</v>
      </c>
      <c r="X686" s="76"/>
      <c r="Y686" s="37"/>
      <c r="Z686" s="86">
        <f>tbl_estimated_costs_quantities[[#This Row],[Floor Repairs]]*BOQs!$L$8</f>
        <v>0</v>
      </c>
      <c r="AA686" s="76"/>
      <c r="AB686" s="37"/>
      <c r="AC686" s="86">
        <f>tbl_estimated_costs_quantities[[#This Row],[Doors Replacement Repair]]*BOQs!$L$9</f>
        <v>0</v>
      </c>
      <c r="AD686" s="76"/>
      <c r="AE686" s="37"/>
      <c r="AF686" s="86">
        <f>tbl_estimated_costs_quantities[[#This Row],[Windows Replacement Repair]]*BOQs!$L$10</f>
        <v>0</v>
      </c>
      <c r="AG686" s="76"/>
      <c r="AH686" s="37"/>
      <c r="AI686" s="86">
        <f>tbl_estimated_costs_quantities[[#This Row],[Bathroom Rehabilitation]]*BOQs!$L$11</f>
        <v>0</v>
      </c>
      <c r="AJ686" s="76"/>
      <c r="AK686" s="37"/>
      <c r="AL686" s="86">
        <f>tbl_estimated_costs_quantities[[#This Row],[Ceramic Tile Works WASH]]*BOQs!$L$12</f>
        <v>0</v>
      </c>
      <c r="AM686" s="76"/>
      <c r="AN686" s="37"/>
      <c r="AO686" s="86">
        <f>tbl_estimated_costs_quantities[[#This Row],[Electrical Repairs Lighting]]*BOQs!$L$13</f>
        <v>0</v>
      </c>
      <c r="AP686" s="76"/>
      <c r="AQ686" s="37"/>
      <c r="AR686" s="86">
        <f>tbl_estimated_costs_quantities[[#This Row],[Roof Insulation Leak Sealing]]*BOQs!$L$14</f>
        <v>0</v>
      </c>
      <c r="AS686" s="76"/>
      <c r="AT686" s="37"/>
      <c r="AU686" s="86">
        <f>tbl_estimated_costs_quantities[[#This Row],[Chimney Duct Cleaning Repair]]*BOQs!$L$15</f>
        <v>0</v>
      </c>
      <c r="AV686" s="76"/>
      <c r="AW686" s="37"/>
      <c r="AX686" s="89">
        <f>tbl_estimated_costs_quantities[[#This Row],[Accessibility Adaptations]]*BOQs!$L$16</f>
        <v>0</v>
      </c>
      <c r="AY686" s="86" t="str">
        <f>IF(tbl_estimated_costs_quantities[[#This Row],[Total cost]]&lt;&gt;0,tbl_estimated_costs_quantities[[#This Row],[Total cost]]/BOQs!$A$1,"")</f>
        <v/>
      </c>
      <c r="AZ686" s="37"/>
      <c r="BA686" s="37"/>
      <c r="BB686" s="37"/>
      <c r="BC686" s="37"/>
      <c r="BD686" s="41"/>
      <c r="BE686" s="37"/>
      <c r="BF686" s="37"/>
      <c r="BG686" s="37"/>
      <c r="BH686" s="41"/>
    </row>
    <row r="687" spans="2:60" ht="25.15" customHeight="1" x14ac:dyDescent="0.25">
      <c r="B687" s="49">
        <v>683</v>
      </c>
      <c r="C687" s="37"/>
      <c r="D687" s="41"/>
      <c r="E687" s="40"/>
      <c r="F687" s="87" t="str">
        <f>IF(tbl_estimated_costs_quantities[[#This Row],[House Code]]&lt;&gt;"",INDEX(tbl_Assessment[],MATCH(tbl_estimated_costs_quantities[[#This Row],[House Code]],tbl_Assessment[House Code],0),3),"")</f>
        <v/>
      </c>
      <c r="G687" s="115" t="str">
        <f>IF(tbl_estimated_costs_quantities[[#This Row],[House Code]]&lt;&gt;"",INDEX(tbl_Assessment[],MATCH(tbl_estimated_costs_quantities[[#This Row],[House Code]],tbl_Assessment[House Code],0),9),"")</f>
        <v/>
      </c>
      <c r="H68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7" s="75"/>
      <c r="J687" s="37"/>
      <c r="K687" s="86">
        <f>tbl_estimated_costs_quantities[[#This Row],[Site Preparation]]*BOQs!$L$3</f>
        <v>0</v>
      </c>
      <c r="L687" s="76"/>
      <c r="M687" s="37"/>
      <c r="N687" s="86">
        <f>tbl_estimated_costs_quantities[[#This Row],[Demolition Removal Unsafe Structures]]*BOQs!$L$4</f>
        <v>0</v>
      </c>
      <c r="O687" s="76"/>
      <c r="P687" s="37"/>
      <c r="Q687" s="86">
        <f>tbl_estimated_costs_quantities[[#This Row],[Concrete Works]]*BOQs!$L$5</f>
        <v>0</v>
      </c>
      <c r="R687" s="76"/>
      <c r="S687" s="37"/>
      <c r="T687" s="86">
        <f>tbl_estimated_costs_quantities[[#This Row],[Closure External Openings Walls Windows]]*BOQs!$L$6</f>
        <v>0</v>
      </c>
      <c r="U687" s="76"/>
      <c r="V687" s="37"/>
      <c r="W687" s="86">
        <f>tbl_estimated_costs_quantities[[#This Row],[Plastering Painting]]*BOQs!$L$7</f>
        <v>0</v>
      </c>
      <c r="X687" s="76"/>
      <c r="Y687" s="37"/>
      <c r="Z687" s="86">
        <f>tbl_estimated_costs_quantities[[#This Row],[Floor Repairs]]*BOQs!$L$8</f>
        <v>0</v>
      </c>
      <c r="AA687" s="76"/>
      <c r="AB687" s="37"/>
      <c r="AC687" s="86">
        <f>tbl_estimated_costs_quantities[[#This Row],[Doors Replacement Repair]]*BOQs!$L$9</f>
        <v>0</v>
      </c>
      <c r="AD687" s="76"/>
      <c r="AE687" s="37"/>
      <c r="AF687" s="86">
        <f>tbl_estimated_costs_quantities[[#This Row],[Windows Replacement Repair]]*BOQs!$L$10</f>
        <v>0</v>
      </c>
      <c r="AG687" s="76"/>
      <c r="AH687" s="37"/>
      <c r="AI687" s="86">
        <f>tbl_estimated_costs_quantities[[#This Row],[Bathroom Rehabilitation]]*BOQs!$L$11</f>
        <v>0</v>
      </c>
      <c r="AJ687" s="76"/>
      <c r="AK687" s="37"/>
      <c r="AL687" s="86">
        <f>tbl_estimated_costs_quantities[[#This Row],[Ceramic Tile Works WASH]]*BOQs!$L$12</f>
        <v>0</v>
      </c>
      <c r="AM687" s="76"/>
      <c r="AN687" s="37"/>
      <c r="AO687" s="86">
        <f>tbl_estimated_costs_quantities[[#This Row],[Electrical Repairs Lighting]]*BOQs!$L$13</f>
        <v>0</v>
      </c>
      <c r="AP687" s="76"/>
      <c r="AQ687" s="37"/>
      <c r="AR687" s="86">
        <f>tbl_estimated_costs_quantities[[#This Row],[Roof Insulation Leak Sealing]]*BOQs!$L$14</f>
        <v>0</v>
      </c>
      <c r="AS687" s="76"/>
      <c r="AT687" s="37"/>
      <c r="AU687" s="86">
        <f>tbl_estimated_costs_quantities[[#This Row],[Chimney Duct Cleaning Repair]]*BOQs!$L$15</f>
        <v>0</v>
      </c>
      <c r="AV687" s="76"/>
      <c r="AW687" s="37"/>
      <c r="AX687" s="89">
        <f>tbl_estimated_costs_quantities[[#This Row],[Accessibility Adaptations]]*BOQs!$L$16</f>
        <v>0</v>
      </c>
      <c r="AY687" s="86" t="str">
        <f>IF(tbl_estimated_costs_quantities[[#This Row],[Total cost]]&lt;&gt;0,tbl_estimated_costs_quantities[[#This Row],[Total cost]]/BOQs!$A$1,"")</f>
        <v/>
      </c>
      <c r="AZ687" s="37"/>
      <c r="BA687" s="37"/>
      <c r="BB687" s="37"/>
      <c r="BC687" s="37"/>
      <c r="BD687" s="41"/>
      <c r="BE687" s="37"/>
      <c r="BF687" s="37"/>
      <c r="BG687" s="37"/>
      <c r="BH687" s="41"/>
    </row>
    <row r="688" spans="2:60" ht="25.15" customHeight="1" x14ac:dyDescent="0.25">
      <c r="B688" s="49">
        <v>684</v>
      </c>
      <c r="C688" s="37"/>
      <c r="D688" s="41"/>
      <c r="E688" s="40"/>
      <c r="F688" s="87" t="str">
        <f>IF(tbl_estimated_costs_quantities[[#This Row],[House Code]]&lt;&gt;"",INDEX(tbl_Assessment[],MATCH(tbl_estimated_costs_quantities[[#This Row],[House Code]],tbl_Assessment[House Code],0),3),"")</f>
        <v/>
      </c>
      <c r="G688" s="115" t="str">
        <f>IF(tbl_estimated_costs_quantities[[#This Row],[House Code]]&lt;&gt;"",INDEX(tbl_Assessment[],MATCH(tbl_estimated_costs_quantities[[#This Row],[House Code]],tbl_Assessment[House Code],0),9),"")</f>
        <v/>
      </c>
      <c r="H68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8" s="75"/>
      <c r="J688" s="37"/>
      <c r="K688" s="86">
        <f>tbl_estimated_costs_quantities[[#This Row],[Site Preparation]]*BOQs!$L$3</f>
        <v>0</v>
      </c>
      <c r="L688" s="76"/>
      <c r="M688" s="37"/>
      <c r="N688" s="86">
        <f>tbl_estimated_costs_quantities[[#This Row],[Demolition Removal Unsafe Structures]]*BOQs!$L$4</f>
        <v>0</v>
      </c>
      <c r="O688" s="76"/>
      <c r="P688" s="37"/>
      <c r="Q688" s="86">
        <f>tbl_estimated_costs_quantities[[#This Row],[Concrete Works]]*BOQs!$L$5</f>
        <v>0</v>
      </c>
      <c r="R688" s="76"/>
      <c r="S688" s="37"/>
      <c r="T688" s="86">
        <f>tbl_estimated_costs_quantities[[#This Row],[Closure External Openings Walls Windows]]*BOQs!$L$6</f>
        <v>0</v>
      </c>
      <c r="U688" s="76"/>
      <c r="V688" s="37"/>
      <c r="W688" s="86">
        <f>tbl_estimated_costs_quantities[[#This Row],[Plastering Painting]]*BOQs!$L$7</f>
        <v>0</v>
      </c>
      <c r="X688" s="76"/>
      <c r="Y688" s="37"/>
      <c r="Z688" s="86">
        <f>tbl_estimated_costs_quantities[[#This Row],[Floor Repairs]]*BOQs!$L$8</f>
        <v>0</v>
      </c>
      <c r="AA688" s="76"/>
      <c r="AB688" s="37"/>
      <c r="AC688" s="86">
        <f>tbl_estimated_costs_quantities[[#This Row],[Doors Replacement Repair]]*BOQs!$L$9</f>
        <v>0</v>
      </c>
      <c r="AD688" s="76"/>
      <c r="AE688" s="37"/>
      <c r="AF688" s="86">
        <f>tbl_estimated_costs_quantities[[#This Row],[Windows Replacement Repair]]*BOQs!$L$10</f>
        <v>0</v>
      </c>
      <c r="AG688" s="76"/>
      <c r="AH688" s="37"/>
      <c r="AI688" s="86">
        <f>tbl_estimated_costs_quantities[[#This Row],[Bathroom Rehabilitation]]*BOQs!$L$11</f>
        <v>0</v>
      </c>
      <c r="AJ688" s="76"/>
      <c r="AK688" s="37"/>
      <c r="AL688" s="86">
        <f>tbl_estimated_costs_quantities[[#This Row],[Ceramic Tile Works WASH]]*BOQs!$L$12</f>
        <v>0</v>
      </c>
      <c r="AM688" s="76"/>
      <c r="AN688" s="37"/>
      <c r="AO688" s="86">
        <f>tbl_estimated_costs_quantities[[#This Row],[Electrical Repairs Lighting]]*BOQs!$L$13</f>
        <v>0</v>
      </c>
      <c r="AP688" s="76"/>
      <c r="AQ688" s="37"/>
      <c r="AR688" s="86">
        <f>tbl_estimated_costs_quantities[[#This Row],[Roof Insulation Leak Sealing]]*BOQs!$L$14</f>
        <v>0</v>
      </c>
      <c r="AS688" s="76"/>
      <c r="AT688" s="37"/>
      <c r="AU688" s="86">
        <f>tbl_estimated_costs_quantities[[#This Row],[Chimney Duct Cleaning Repair]]*BOQs!$L$15</f>
        <v>0</v>
      </c>
      <c r="AV688" s="76"/>
      <c r="AW688" s="37"/>
      <c r="AX688" s="89">
        <f>tbl_estimated_costs_quantities[[#This Row],[Accessibility Adaptations]]*BOQs!$L$16</f>
        <v>0</v>
      </c>
      <c r="AY688" s="86" t="str">
        <f>IF(tbl_estimated_costs_quantities[[#This Row],[Total cost]]&lt;&gt;0,tbl_estimated_costs_quantities[[#This Row],[Total cost]]/BOQs!$A$1,"")</f>
        <v/>
      </c>
      <c r="AZ688" s="37"/>
      <c r="BA688" s="37"/>
      <c r="BB688" s="37"/>
      <c r="BC688" s="37"/>
      <c r="BD688" s="41"/>
      <c r="BE688" s="37"/>
      <c r="BF688" s="37"/>
      <c r="BG688" s="37"/>
      <c r="BH688" s="41"/>
    </row>
    <row r="689" spans="2:60" ht="25.15" customHeight="1" x14ac:dyDescent="0.25">
      <c r="B689" s="49">
        <v>685</v>
      </c>
      <c r="C689" s="37"/>
      <c r="D689" s="41"/>
      <c r="E689" s="40"/>
      <c r="F689" s="87" t="str">
        <f>IF(tbl_estimated_costs_quantities[[#This Row],[House Code]]&lt;&gt;"",INDEX(tbl_Assessment[],MATCH(tbl_estimated_costs_quantities[[#This Row],[House Code]],tbl_Assessment[House Code],0),3),"")</f>
        <v/>
      </c>
      <c r="G689" s="115" t="str">
        <f>IF(tbl_estimated_costs_quantities[[#This Row],[House Code]]&lt;&gt;"",INDEX(tbl_Assessment[],MATCH(tbl_estimated_costs_quantities[[#This Row],[House Code]],tbl_Assessment[House Code],0),9),"")</f>
        <v/>
      </c>
      <c r="H68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89" s="75"/>
      <c r="J689" s="37"/>
      <c r="K689" s="86">
        <f>tbl_estimated_costs_quantities[[#This Row],[Site Preparation]]*BOQs!$L$3</f>
        <v>0</v>
      </c>
      <c r="L689" s="76"/>
      <c r="M689" s="37"/>
      <c r="N689" s="86">
        <f>tbl_estimated_costs_quantities[[#This Row],[Demolition Removal Unsafe Structures]]*BOQs!$L$4</f>
        <v>0</v>
      </c>
      <c r="O689" s="76"/>
      <c r="P689" s="37"/>
      <c r="Q689" s="86">
        <f>tbl_estimated_costs_quantities[[#This Row],[Concrete Works]]*BOQs!$L$5</f>
        <v>0</v>
      </c>
      <c r="R689" s="76"/>
      <c r="S689" s="37"/>
      <c r="T689" s="86">
        <f>tbl_estimated_costs_quantities[[#This Row],[Closure External Openings Walls Windows]]*BOQs!$L$6</f>
        <v>0</v>
      </c>
      <c r="U689" s="76"/>
      <c r="V689" s="37"/>
      <c r="W689" s="86">
        <f>tbl_estimated_costs_quantities[[#This Row],[Plastering Painting]]*BOQs!$L$7</f>
        <v>0</v>
      </c>
      <c r="X689" s="76"/>
      <c r="Y689" s="37"/>
      <c r="Z689" s="86">
        <f>tbl_estimated_costs_quantities[[#This Row],[Floor Repairs]]*BOQs!$L$8</f>
        <v>0</v>
      </c>
      <c r="AA689" s="76"/>
      <c r="AB689" s="37"/>
      <c r="AC689" s="86">
        <f>tbl_estimated_costs_quantities[[#This Row],[Doors Replacement Repair]]*BOQs!$L$9</f>
        <v>0</v>
      </c>
      <c r="AD689" s="76"/>
      <c r="AE689" s="37"/>
      <c r="AF689" s="86">
        <f>tbl_estimated_costs_quantities[[#This Row],[Windows Replacement Repair]]*BOQs!$L$10</f>
        <v>0</v>
      </c>
      <c r="AG689" s="76"/>
      <c r="AH689" s="37"/>
      <c r="AI689" s="86">
        <f>tbl_estimated_costs_quantities[[#This Row],[Bathroom Rehabilitation]]*BOQs!$L$11</f>
        <v>0</v>
      </c>
      <c r="AJ689" s="76"/>
      <c r="AK689" s="37"/>
      <c r="AL689" s="86">
        <f>tbl_estimated_costs_quantities[[#This Row],[Ceramic Tile Works WASH]]*BOQs!$L$12</f>
        <v>0</v>
      </c>
      <c r="AM689" s="76"/>
      <c r="AN689" s="37"/>
      <c r="AO689" s="86">
        <f>tbl_estimated_costs_quantities[[#This Row],[Electrical Repairs Lighting]]*BOQs!$L$13</f>
        <v>0</v>
      </c>
      <c r="AP689" s="76"/>
      <c r="AQ689" s="37"/>
      <c r="AR689" s="86">
        <f>tbl_estimated_costs_quantities[[#This Row],[Roof Insulation Leak Sealing]]*BOQs!$L$14</f>
        <v>0</v>
      </c>
      <c r="AS689" s="76"/>
      <c r="AT689" s="37"/>
      <c r="AU689" s="86">
        <f>tbl_estimated_costs_quantities[[#This Row],[Chimney Duct Cleaning Repair]]*BOQs!$L$15</f>
        <v>0</v>
      </c>
      <c r="AV689" s="76"/>
      <c r="AW689" s="37"/>
      <c r="AX689" s="89">
        <f>tbl_estimated_costs_quantities[[#This Row],[Accessibility Adaptations]]*BOQs!$L$16</f>
        <v>0</v>
      </c>
      <c r="AY689" s="86" t="str">
        <f>IF(tbl_estimated_costs_quantities[[#This Row],[Total cost]]&lt;&gt;0,tbl_estimated_costs_quantities[[#This Row],[Total cost]]/BOQs!$A$1,"")</f>
        <v/>
      </c>
      <c r="AZ689" s="37"/>
      <c r="BA689" s="37"/>
      <c r="BB689" s="37"/>
      <c r="BC689" s="37"/>
      <c r="BD689" s="41"/>
      <c r="BE689" s="37"/>
      <c r="BF689" s="37"/>
      <c r="BG689" s="37"/>
      <c r="BH689" s="41"/>
    </row>
    <row r="690" spans="2:60" ht="25.15" customHeight="1" x14ac:dyDescent="0.25">
      <c r="B690" s="49">
        <v>686</v>
      </c>
      <c r="C690" s="37"/>
      <c r="D690" s="41"/>
      <c r="E690" s="40"/>
      <c r="F690" s="87" t="str">
        <f>IF(tbl_estimated_costs_quantities[[#This Row],[House Code]]&lt;&gt;"",INDEX(tbl_Assessment[],MATCH(tbl_estimated_costs_quantities[[#This Row],[House Code]],tbl_Assessment[House Code],0),3),"")</f>
        <v/>
      </c>
      <c r="G690" s="115" t="str">
        <f>IF(tbl_estimated_costs_quantities[[#This Row],[House Code]]&lt;&gt;"",INDEX(tbl_Assessment[],MATCH(tbl_estimated_costs_quantities[[#This Row],[House Code]],tbl_Assessment[House Code],0),9),"")</f>
        <v/>
      </c>
      <c r="H69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0" s="75"/>
      <c r="J690" s="37"/>
      <c r="K690" s="86">
        <f>tbl_estimated_costs_quantities[[#This Row],[Site Preparation]]*BOQs!$L$3</f>
        <v>0</v>
      </c>
      <c r="L690" s="76"/>
      <c r="M690" s="37"/>
      <c r="N690" s="86">
        <f>tbl_estimated_costs_quantities[[#This Row],[Demolition Removal Unsafe Structures]]*BOQs!$L$4</f>
        <v>0</v>
      </c>
      <c r="O690" s="76"/>
      <c r="P690" s="37"/>
      <c r="Q690" s="86">
        <f>tbl_estimated_costs_quantities[[#This Row],[Concrete Works]]*BOQs!$L$5</f>
        <v>0</v>
      </c>
      <c r="R690" s="76"/>
      <c r="S690" s="37"/>
      <c r="T690" s="86">
        <f>tbl_estimated_costs_quantities[[#This Row],[Closure External Openings Walls Windows]]*BOQs!$L$6</f>
        <v>0</v>
      </c>
      <c r="U690" s="76"/>
      <c r="V690" s="37"/>
      <c r="W690" s="86">
        <f>tbl_estimated_costs_quantities[[#This Row],[Plastering Painting]]*BOQs!$L$7</f>
        <v>0</v>
      </c>
      <c r="X690" s="76"/>
      <c r="Y690" s="37"/>
      <c r="Z690" s="86">
        <f>tbl_estimated_costs_quantities[[#This Row],[Floor Repairs]]*BOQs!$L$8</f>
        <v>0</v>
      </c>
      <c r="AA690" s="76"/>
      <c r="AB690" s="37"/>
      <c r="AC690" s="86">
        <f>tbl_estimated_costs_quantities[[#This Row],[Doors Replacement Repair]]*BOQs!$L$9</f>
        <v>0</v>
      </c>
      <c r="AD690" s="76"/>
      <c r="AE690" s="37"/>
      <c r="AF690" s="86">
        <f>tbl_estimated_costs_quantities[[#This Row],[Windows Replacement Repair]]*BOQs!$L$10</f>
        <v>0</v>
      </c>
      <c r="AG690" s="76"/>
      <c r="AH690" s="37"/>
      <c r="AI690" s="86">
        <f>tbl_estimated_costs_quantities[[#This Row],[Bathroom Rehabilitation]]*BOQs!$L$11</f>
        <v>0</v>
      </c>
      <c r="AJ690" s="76"/>
      <c r="AK690" s="37"/>
      <c r="AL690" s="86">
        <f>tbl_estimated_costs_quantities[[#This Row],[Ceramic Tile Works WASH]]*BOQs!$L$12</f>
        <v>0</v>
      </c>
      <c r="AM690" s="76"/>
      <c r="AN690" s="37"/>
      <c r="AO690" s="86">
        <f>tbl_estimated_costs_quantities[[#This Row],[Electrical Repairs Lighting]]*BOQs!$L$13</f>
        <v>0</v>
      </c>
      <c r="AP690" s="76"/>
      <c r="AQ690" s="37"/>
      <c r="AR690" s="86">
        <f>tbl_estimated_costs_quantities[[#This Row],[Roof Insulation Leak Sealing]]*BOQs!$L$14</f>
        <v>0</v>
      </c>
      <c r="AS690" s="76"/>
      <c r="AT690" s="37"/>
      <c r="AU690" s="86">
        <f>tbl_estimated_costs_quantities[[#This Row],[Chimney Duct Cleaning Repair]]*BOQs!$L$15</f>
        <v>0</v>
      </c>
      <c r="AV690" s="76"/>
      <c r="AW690" s="37"/>
      <c r="AX690" s="89">
        <f>tbl_estimated_costs_quantities[[#This Row],[Accessibility Adaptations]]*BOQs!$L$16</f>
        <v>0</v>
      </c>
      <c r="AY690" s="86" t="str">
        <f>IF(tbl_estimated_costs_quantities[[#This Row],[Total cost]]&lt;&gt;0,tbl_estimated_costs_quantities[[#This Row],[Total cost]]/BOQs!$A$1,"")</f>
        <v/>
      </c>
      <c r="AZ690" s="37"/>
      <c r="BA690" s="37"/>
      <c r="BB690" s="37"/>
      <c r="BC690" s="37"/>
      <c r="BD690" s="41"/>
      <c r="BE690" s="37"/>
      <c r="BF690" s="37"/>
      <c r="BG690" s="37"/>
      <c r="BH690" s="41"/>
    </row>
    <row r="691" spans="2:60" ht="25.15" customHeight="1" x14ac:dyDescent="0.25">
      <c r="B691" s="49">
        <v>687</v>
      </c>
      <c r="C691" s="37"/>
      <c r="D691" s="41"/>
      <c r="E691" s="40"/>
      <c r="F691" s="87" t="str">
        <f>IF(tbl_estimated_costs_quantities[[#This Row],[House Code]]&lt;&gt;"",INDEX(tbl_Assessment[],MATCH(tbl_estimated_costs_quantities[[#This Row],[House Code]],tbl_Assessment[House Code],0),3),"")</f>
        <v/>
      </c>
      <c r="G691" s="115" t="str">
        <f>IF(tbl_estimated_costs_quantities[[#This Row],[House Code]]&lt;&gt;"",INDEX(tbl_Assessment[],MATCH(tbl_estimated_costs_quantities[[#This Row],[House Code]],tbl_Assessment[House Code],0),9),"")</f>
        <v/>
      </c>
      <c r="H69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1" s="75"/>
      <c r="J691" s="37"/>
      <c r="K691" s="86">
        <f>tbl_estimated_costs_quantities[[#This Row],[Site Preparation]]*BOQs!$L$3</f>
        <v>0</v>
      </c>
      <c r="L691" s="76"/>
      <c r="M691" s="37"/>
      <c r="N691" s="86">
        <f>tbl_estimated_costs_quantities[[#This Row],[Demolition Removal Unsafe Structures]]*BOQs!$L$4</f>
        <v>0</v>
      </c>
      <c r="O691" s="76"/>
      <c r="P691" s="37"/>
      <c r="Q691" s="86">
        <f>tbl_estimated_costs_quantities[[#This Row],[Concrete Works]]*BOQs!$L$5</f>
        <v>0</v>
      </c>
      <c r="R691" s="76"/>
      <c r="S691" s="37"/>
      <c r="T691" s="86">
        <f>tbl_estimated_costs_quantities[[#This Row],[Closure External Openings Walls Windows]]*BOQs!$L$6</f>
        <v>0</v>
      </c>
      <c r="U691" s="76"/>
      <c r="V691" s="37"/>
      <c r="W691" s="86">
        <f>tbl_estimated_costs_quantities[[#This Row],[Plastering Painting]]*BOQs!$L$7</f>
        <v>0</v>
      </c>
      <c r="X691" s="76"/>
      <c r="Y691" s="37"/>
      <c r="Z691" s="86">
        <f>tbl_estimated_costs_quantities[[#This Row],[Floor Repairs]]*BOQs!$L$8</f>
        <v>0</v>
      </c>
      <c r="AA691" s="76"/>
      <c r="AB691" s="37"/>
      <c r="AC691" s="86">
        <f>tbl_estimated_costs_quantities[[#This Row],[Doors Replacement Repair]]*BOQs!$L$9</f>
        <v>0</v>
      </c>
      <c r="AD691" s="76"/>
      <c r="AE691" s="37"/>
      <c r="AF691" s="86">
        <f>tbl_estimated_costs_quantities[[#This Row],[Windows Replacement Repair]]*BOQs!$L$10</f>
        <v>0</v>
      </c>
      <c r="AG691" s="76"/>
      <c r="AH691" s="37"/>
      <c r="AI691" s="86">
        <f>tbl_estimated_costs_quantities[[#This Row],[Bathroom Rehabilitation]]*BOQs!$L$11</f>
        <v>0</v>
      </c>
      <c r="AJ691" s="76"/>
      <c r="AK691" s="37"/>
      <c r="AL691" s="86">
        <f>tbl_estimated_costs_quantities[[#This Row],[Ceramic Tile Works WASH]]*BOQs!$L$12</f>
        <v>0</v>
      </c>
      <c r="AM691" s="76"/>
      <c r="AN691" s="37"/>
      <c r="AO691" s="86">
        <f>tbl_estimated_costs_quantities[[#This Row],[Electrical Repairs Lighting]]*BOQs!$L$13</f>
        <v>0</v>
      </c>
      <c r="AP691" s="76"/>
      <c r="AQ691" s="37"/>
      <c r="AR691" s="86">
        <f>tbl_estimated_costs_quantities[[#This Row],[Roof Insulation Leak Sealing]]*BOQs!$L$14</f>
        <v>0</v>
      </c>
      <c r="AS691" s="76"/>
      <c r="AT691" s="37"/>
      <c r="AU691" s="86">
        <f>tbl_estimated_costs_quantities[[#This Row],[Chimney Duct Cleaning Repair]]*BOQs!$L$15</f>
        <v>0</v>
      </c>
      <c r="AV691" s="76"/>
      <c r="AW691" s="37"/>
      <c r="AX691" s="89">
        <f>tbl_estimated_costs_quantities[[#This Row],[Accessibility Adaptations]]*BOQs!$L$16</f>
        <v>0</v>
      </c>
      <c r="AY691" s="86" t="str">
        <f>IF(tbl_estimated_costs_quantities[[#This Row],[Total cost]]&lt;&gt;0,tbl_estimated_costs_quantities[[#This Row],[Total cost]]/BOQs!$A$1,"")</f>
        <v/>
      </c>
      <c r="AZ691" s="37"/>
      <c r="BA691" s="37"/>
      <c r="BB691" s="37"/>
      <c r="BC691" s="37"/>
      <c r="BD691" s="41"/>
      <c r="BE691" s="37"/>
      <c r="BF691" s="37"/>
      <c r="BG691" s="37"/>
      <c r="BH691" s="41"/>
    </row>
    <row r="692" spans="2:60" ht="25.15" customHeight="1" x14ac:dyDescent="0.25">
      <c r="B692" s="49">
        <v>688</v>
      </c>
      <c r="C692" s="37"/>
      <c r="D692" s="41"/>
      <c r="E692" s="40"/>
      <c r="F692" s="87" t="str">
        <f>IF(tbl_estimated_costs_quantities[[#This Row],[House Code]]&lt;&gt;"",INDEX(tbl_Assessment[],MATCH(tbl_estimated_costs_quantities[[#This Row],[House Code]],tbl_Assessment[House Code],0),3),"")</f>
        <v/>
      </c>
      <c r="G692" s="115" t="str">
        <f>IF(tbl_estimated_costs_quantities[[#This Row],[House Code]]&lt;&gt;"",INDEX(tbl_Assessment[],MATCH(tbl_estimated_costs_quantities[[#This Row],[House Code]],tbl_Assessment[House Code],0),9),"")</f>
        <v/>
      </c>
      <c r="H69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2" s="75"/>
      <c r="J692" s="37"/>
      <c r="K692" s="86">
        <f>tbl_estimated_costs_quantities[[#This Row],[Site Preparation]]*BOQs!$L$3</f>
        <v>0</v>
      </c>
      <c r="L692" s="76"/>
      <c r="M692" s="37"/>
      <c r="N692" s="86">
        <f>tbl_estimated_costs_quantities[[#This Row],[Demolition Removal Unsafe Structures]]*BOQs!$L$4</f>
        <v>0</v>
      </c>
      <c r="O692" s="76"/>
      <c r="P692" s="37"/>
      <c r="Q692" s="86">
        <f>tbl_estimated_costs_quantities[[#This Row],[Concrete Works]]*BOQs!$L$5</f>
        <v>0</v>
      </c>
      <c r="R692" s="76"/>
      <c r="S692" s="37"/>
      <c r="T692" s="86">
        <f>tbl_estimated_costs_quantities[[#This Row],[Closure External Openings Walls Windows]]*BOQs!$L$6</f>
        <v>0</v>
      </c>
      <c r="U692" s="76"/>
      <c r="V692" s="37"/>
      <c r="W692" s="86">
        <f>tbl_estimated_costs_quantities[[#This Row],[Plastering Painting]]*BOQs!$L$7</f>
        <v>0</v>
      </c>
      <c r="X692" s="76"/>
      <c r="Y692" s="37"/>
      <c r="Z692" s="86">
        <f>tbl_estimated_costs_quantities[[#This Row],[Floor Repairs]]*BOQs!$L$8</f>
        <v>0</v>
      </c>
      <c r="AA692" s="76"/>
      <c r="AB692" s="37"/>
      <c r="AC692" s="86">
        <f>tbl_estimated_costs_quantities[[#This Row],[Doors Replacement Repair]]*BOQs!$L$9</f>
        <v>0</v>
      </c>
      <c r="AD692" s="76"/>
      <c r="AE692" s="37"/>
      <c r="AF692" s="86">
        <f>tbl_estimated_costs_quantities[[#This Row],[Windows Replacement Repair]]*BOQs!$L$10</f>
        <v>0</v>
      </c>
      <c r="AG692" s="76"/>
      <c r="AH692" s="37"/>
      <c r="AI692" s="86">
        <f>tbl_estimated_costs_quantities[[#This Row],[Bathroom Rehabilitation]]*BOQs!$L$11</f>
        <v>0</v>
      </c>
      <c r="AJ692" s="76"/>
      <c r="AK692" s="37"/>
      <c r="AL692" s="86">
        <f>tbl_estimated_costs_quantities[[#This Row],[Ceramic Tile Works WASH]]*BOQs!$L$12</f>
        <v>0</v>
      </c>
      <c r="AM692" s="76"/>
      <c r="AN692" s="37"/>
      <c r="AO692" s="86">
        <f>tbl_estimated_costs_quantities[[#This Row],[Electrical Repairs Lighting]]*BOQs!$L$13</f>
        <v>0</v>
      </c>
      <c r="AP692" s="76"/>
      <c r="AQ692" s="37"/>
      <c r="AR692" s="86">
        <f>tbl_estimated_costs_quantities[[#This Row],[Roof Insulation Leak Sealing]]*BOQs!$L$14</f>
        <v>0</v>
      </c>
      <c r="AS692" s="76"/>
      <c r="AT692" s="37"/>
      <c r="AU692" s="86">
        <f>tbl_estimated_costs_quantities[[#This Row],[Chimney Duct Cleaning Repair]]*BOQs!$L$15</f>
        <v>0</v>
      </c>
      <c r="AV692" s="76"/>
      <c r="AW692" s="37"/>
      <c r="AX692" s="89">
        <f>tbl_estimated_costs_quantities[[#This Row],[Accessibility Adaptations]]*BOQs!$L$16</f>
        <v>0</v>
      </c>
      <c r="AY692" s="86" t="str">
        <f>IF(tbl_estimated_costs_quantities[[#This Row],[Total cost]]&lt;&gt;0,tbl_estimated_costs_quantities[[#This Row],[Total cost]]/BOQs!$A$1,"")</f>
        <v/>
      </c>
      <c r="AZ692" s="37"/>
      <c r="BA692" s="37"/>
      <c r="BB692" s="37"/>
      <c r="BC692" s="37"/>
      <c r="BD692" s="41"/>
      <c r="BE692" s="37"/>
      <c r="BF692" s="37"/>
      <c r="BG692" s="37"/>
      <c r="BH692" s="41"/>
    </row>
    <row r="693" spans="2:60" ht="25.15" customHeight="1" x14ac:dyDescent="0.25">
      <c r="B693" s="49">
        <v>689</v>
      </c>
      <c r="C693" s="37"/>
      <c r="D693" s="41"/>
      <c r="E693" s="40"/>
      <c r="F693" s="87" t="str">
        <f>IF(tbl_estimated_costs_quantities[[#This Row],[House Code]]&lt;&gt;"",INDEX(tbl_Assessment[],MATCH(tbl_estimated_costs_quantities[[#This Row],[House Code]],tbl_Assessment[House Code],0),3),"")</f>
        <v/>
      </c>
      <c r="G693" s="115" t="str">
        <f>IF(tbl_estimated_costs_quantities[[#This Row],[House Code]]&lt;&gt;"",INDEX(tbl_Assessment[],MATCH(tbl_estimated_costs_quantities[[#This Row],[House Code]],tbl_Assessment[House Code],0),9),"")</f>
        <v/>
      </c>
      <c r="H69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3" s="75"/>
      <c r="J693" s="37"/>
      <c r="K693" s="86">
        <f>tbl_estimated_costs_quantities[[#This Row],[Site Preparation]]*BOQs!$L$3</f>
        <v>0</v>
      </c>
      <c r="L693" s="76"/>
      <c r="M693" s="37"/>
      <c r="N693" s="86">
        <f>tbl_estimated_costs_quantities[[#This Row],[Demolition Removal Unsafe Structures]]*BOQs!$L$4</f>
        <v>0</v>
      </c>
      <c r="O693" s="76"/>
      <c r="P693" s="37"/>
      <c r="Q693" s="86">
        <f>tbl_estimated_costs_quantities[[#This Row],[Concrete Works]]*BOQs!$L$5</f>
        <v>0</v>
      </c>
      <c r="R693" s="76"/>
      <c r="S693" s="37"/>
      <c r="T693" s="86">
        <f>tbl_estimated_costs_quantities[[#This Row],[Closure External Openings Walls Windows]]*BOQs!$L$6</f>
        <v>0</v>
      </c>
      <c r="U693" s="76"/>
      <c r="V693" s="37"/>
      <c r="W693" s="86">
        <f>tbl_estimated_costs_quantities[[#This Row],[Plastering Painting]]*BOQs!$L$7</f>
        <v>0</v>
      </c>
      <c r="X693" s="76"/>
      <c r="Y693" s="37"/>
      <c r="Z693" s="86">
        <f>tbl_estimated_costs_quantities[[#This Row],[Floor Repairs]]*BOQs!$L$8</f>
        <v>0</v>
      </c>
      <c r="AA693" s="76"/>
      <c r="AB693" s="37"/>
      <c r="AC693" s="86">
        <f>tbl_estimated_costs_quantities[[#This Row],[Doors Replacement Repair]]*BOQs!$L$9</f>
        <v>0</v>
      </c>
      <c r="AD693" s="76"/>
      <c r="AE693" s="37"/>
      <c r="AF693" s="86">
        <f>tbl_estimated_costs_quantities[[#This Row],[Windows Replacement Repair]]*BOQs!$L$10</f>
        <v>0</v>
      </c>
      <c r="AG693" s="76"/>
      <c r="AH693" s="37"/>
      <c r="AI693" s="86">
        <f>tbl_estimated_costs_quantities[[#This Row],[Bathroom Rehabilitation]]*BOQs!$L$11</f>
        <v>0</v>
      </c>
      <c r="AJ693" s="76"/>
      <c r="AK693" s="37"/>
      <c r="AL693" s="86">
        <f>tbl_estimated_costs_quantities[[#This Row],[Ceramic Tile Works WASH]]*BOQs!$L$12</f>
        <v>0</v>
      </c>
      <c r="AM693" s="76"/>
      <c r="AN693" s="37"/>
      <c r="AO693" s="86">
        <f>tbl_estimated_costs_quantities[[#This Row],[Electrical Repairs Lighting]]*BOQs!$L$13</f>
        <v>0</v>
      </c>
      <c r="AP693" s="76"/>
      <c r="AQ693" s="37"/>
      <c r="AR693" s="86">
        <f>tbl_estimated_costs_quantities[[#This Row],[Roof Insulation Leak Sealing]]*BOQs!$L$14</f>
        <v>0</v>
      </c>
      <c r="AS693" s="76"/>
      <c r="AT693" s="37"/>
      <c r="AU693" s="86">
        <f>tbl_estimated_costs_quantities[[#This Row],[Chimney Duct Cleaning Repair]]*BOQs!$L$15</f>
        <v>0</v>
      </c>
      <c r="AV693" s="76"/>
      <c r="AW693" s="37"/>
      <c r="AX693" s="89">
        <f>tbl_estimated_costs_quantities[[#This Row],[Accessibility Adaptations]]*BOQs!$L$16</f>
        <v>0</v>
      </c>
      <c r="AY693" s="86" t="str">
        <f>IF(tbl_estimated_costs_quantities[[#This Row],[Total cost]]&lt;&gt;0,tbl_estimated_costs_quantities[[#This Row],[Total cost]]/BOQs!$A$1,"")</f>
        <v/>
      </c>
      <c r="AZ693" s="37"/>
      <c r="BA693" s="37"/>
      <c r="BB693" s="37"/>
      <c r="BC693" s="37"/>
      <c r="BD693" s="41"/>
      <c r="BE693" s="37"/>
      <c r="BF693" s="37"/>
      <c r="BG693" s="37"/>
      <c r="BH693" s="41"/>
    </row>
    <row r="694" spans="2:60" ht="25.15" customHeight="1" x14ac:dyDescent="0.25">
      <c r="B694" s="49">
        <v>690</v>
      </c>
      <c r="C694" s="37"/>
      <c r="D694" s="41"/>
      <c r="E694" s="40"/>
      <c r="F694" s="87" t="str">
        <f>IF(tbl_estimated_costs_quantities[[#This Row],[House Code]]&lt;&gt;"",INDEX(tbl_Assessment[],MATCH(tbl_estimated_costs_quantities[[#This Row],[House Code]],tbl_Assessment[House Code],0),3),"")</f>
        <v/>
      </c>
      <c r="G694" s="115" t="str">
        <f>IF(tbl_estimated_costs_quantities[[#This Row],[House Code]]&lt;&gt;"",INDEX(tbl_Assessment[],MATCH(tbl_estimated_costs_quantities[[#This Row],[House Code]],tbl_Assessment[House Code],0),9),"")</f>
        <v/>
      </c>
      <c r="H69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4" s="75"/>
      <c r="J694" s="37"/>
      <c r="K694" s="86">
        <f>tbl_estimated_costs_quantities[[#This Row],[Site Preparation]]*BOQs!$L$3</f>
        <v>0</v>
      </c>
      <c r="L694" s="76"/>
      <c r="M694" s="37"/>
      <c r="N694" s="86">
        <f>tbl_estimated_costs_quantities[[#This Row],[Demolition Removal Unsafe Structures]]*BOQs!$L$4</f>
        <v>0</v>
      </c>
      <c r="O694" s="76"/>
      <c r="P694" s="37"/>
      <c r="Q694" s="86">
        <f>tbl_estimated_costs_quantities[[#This Row],[Concrete Works]]*BOQs!$L$5</f>
        <v>0</v>
      </c>
      <c r="R694" s="76"/>
      <c r="S694" s="37"/>
      <c r="T694" s="86">
        <f>tbl_estimated_costs_quantities[[#This Row],[Closure External Openings Walls Windows]]*BOQs!$L$6</f>
        <v>0</v>
      </c>
      <c r="U694" s="76"/>
      <c r="V694" s="37"/>
      <c r="W694" s="86">
        <f>tbl_estimated_costs_quantities[[#This Row],[Plastering Painting]]*BOQs!$L$7</f>
        <v>0</v>
      </c>
      <c r="X694" s="76"/>
      <c r="Y694" s="37"/>
      <c r="Z694" s="86">
        <f>tbl_estimated_costs_quantities[[#This Row],[Floor Repairs]]*BOQs!$L$8</f>
        <v>0</v>
      </c>
      <c r="AA694" s="76"/>
      <c r="AB694" s="37"/>
      <c r="AC694" s="86">
        <f>tbl_estimated_costs_quantities[[#This Row],[Doors Replacement Repair]]*BOQs!$L$9</f>
        <v>0</v>
      </c>
      <c r="AD694" s="76"/>
      <c r="AE694" s="37"/>
      <c r="AF694" s="86">
        <f>tbl_estimated_costs_quantities[[#This Row],[Windows Replacement Repair]]*BOQs!$L$10</f>
        <v>0</v>
      </c>
      <c r="AG694" s="76"/>
      <c r="AH694" s="37"/>
      <c r="AI694" s="86">
        <f>tbl_estimated_costs_quantities[[#This Row],[Bathroom Rehabilitation]]*BOQs!$L$11</f>
        <v>0</v>
      </c>
      <c r="AJ694" s="76"/>
      <c r="AK694" s="37"/>
      <c r="AL694" s="86">
        <f>tbl_estimated_costs_quantities[[#This Row],[Ceramic Tile Works WASH]]*BOQs!$L$12</f>
        <v>0</v>
      </c>
      <c r="AM694" s="76"/>
      <c r="AN694" s="37"/>
      <c r="AO694" s="86">
        <f>tbl_estimated_costs_quantities[[#This Row],[Electrical Repairs Lighting]]*BOQs!$L$13</f>
        <v>0</v>
      </c>
      <c r="AP694" s="76"/>
      <c r="AQ694" s="37"/>
      <c r="AR694" s="86">
        <f>tbl_estimated_costs_quantities[[#This Row],[Roof Insulation Leak Sealing]]*BOQs!$L$14</f>
        <v>0</v>
      </c>
      <c r="AS694" s="76"/>
      <c r="AT694" s="37"/>
      <c r="AU694" s="86">
        <f>tbl_estimated_costs_quantities[[#This Row],[Chimney Duct Cleaning Repair]]*BOQs!$L$15</f>
        <v>0</v>
      </c>
      <c r="AV694" s="76"/>
      <c r="AW694" s="37"/>
      <c r="AX694" s="89">
        <f>tbl_estimated_costs_quantities[[#This Row],[Accessibility Adaptations]]*BOQs!$L$16</f>
        <v>0</v>
      </c>
      <c r="AY694" s="86" t="str">
        <f>IF(tbl_estimated_costs_quantities[[#This Row],[Total cost]]&lt;&gt;0,tbl_estimated_costs_quantities[[#This Row],[Total cost]]/BOQs!$A$1,"")</f>
        <v/>
      </c>
      <c r="AZ694" s="37"/>
      <c r="BA694" s="37"/>
      <c r="BB694" s="37"/>
      <c r="BC694" s="37"/>
      <c r="BD694" s="41"/>
      <c r="BE694" s="37"/>
      <c r="BF694" s="37"/>
      <c r="BG694" s="37"/>
      <c r="BH694" s="41"/>
    </row>
    <row r="695" spans="2:60" ht="25.15" customHeight="1" x14ac:dyDescent="0.25">
      <c r="B695" s="49">
        <v>691</v>
      </c>
      <c r="C695" s="37"/>
      <c r="D695" s="41"/>
      <c r="E695" s="40"/>
      <c r="F695" s="87" t="str">
        <f>IF(tbl_estimated_costs_quantities[[#This Row],[House Code]]&lt;&gt;"",INDEX(tbl_Assessment[],MATCH(tbl_estimated_costs_quantities[[#This Row],[House Code]],tbl_Assessment[House Code],0),3),"")</f>
        <v/>
      </c>
      <c r="G695" s="115" t="str">
        <f>IF(tbl_estimated_costs_quantities[[#This Row],[House Code]]&lt;&gt;"",INDEX(tbl_Assessment[],MATCH(tbl_estimated_costs_quantities[[#This Row],[House Code]],tbl_Assessment[House Code],0),9),"")</f>
        <v/>
      </c>
      <c r="H695"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5" s="75"/>
      <c r="J695" s="37"/>
      <c r="K695" s="86">
        <f>tbl_estimated_costs_quantities[[#This Row],[Site Preparation]]*BOQs!$L$3</f>
        <v>0</v>
      </c>
      <c r="L695" s="76"/>
      <c r="M695" s="37"/>
      <c r="N695" s="86">
        <f>tbl_estimated_costs_quantities[[#This Row],[Demolition Removal Unsafe Structures]]*BOQs!$L$4</f>
        <v>0</v>
      </c>
      <c r="O695" s="76"/>
      <c r="P695" s="37"/>
      <c r="Q695" s="86">
        <f>tbl_estimated_costs_quantities[[#This Row],[Concrete Works]]*BOQs!$L$5</f>
        <v>0</v>
      </c>
      <c r="R695" s="76"/>
      <c r="S695" s="37"/>
      <c r="T695" s="86">
        <f>tbl_estimated_costs_quantities[[#This Row],[Closure External Openings Walls Windows]]*BOQs!$L$6</f>
        <v>0</v>
      </c>
      <c r="U695" s="76"/>
      <c r="V695" s="37"/>
      <c r="W695" s="86">
        <f>tbl_estimated_costs_quantities[[#This Row],[Plastering Painting]]*BOQs!$L$7</f>
        <v>0</v>
      </c>
      <c r="X695" s="76"/>
      <c r="Y695" s="37"/>
      <c r="Z695" s="86">
        <f>tbl_estimated_costs_quantities[[#This Row],[Floor Repairs]]*BOQs!$L$8</f>
        <v>0</v>
      </c>
      <c r="AA695" s="76"/>
      <c r="AB695" s="37"/>
      <c r="AC695" s="86">
        <f>tbl_estimated_costs_quantities[[#This Row],[Doors Replacement Repair]]*BOQs!$L$9</f>
        <v>0</v>
      </c>
      <c r="AD695" s="76"/>
      <c r="AE695" s="37"/>
      <c r="AF695" s="86">
        <f>tbl_estimated_costs_quantities[[#This Row],[Windows Replacement Repair]]*BOQs!$L$10</f>
        <v>0</v>
      </c>
      <c r="AG695" s="76"/>
      <c r="AH695" s="37"/>
      <c r="AI695" s="86">
        <f>tbl_estimated_costs_quantities[[#This Row],[Bathroom Rehabilitation]]*BOQs!$L$11</f>
        <v>0</v>
      </c>
      <c r="AJ695" s="76"/>
      <c r="AK695" s="37"/>
      <c r="AL695" s="86">
        <f>tbl_estimated_costs_quantities[[#This Row],[Ceramic Tile Works WASH]]*BOQs!$L$12</f>
        <v>0</v>
      </c>
      <c r="AM695" s="76"/>
      <c r="AN695" s="37"/>
      <c r="AO695" s="86">
        <f>tbl_estimated_costs_quantities[[#This Row],[Electrical Repairs Lighting]]*BOQs!$L$13</f>
        <v>0</v>
      </c>
      <c r="AP695" s="76"/>
      <c r="AQ695" s="37"/>
      <c r="AR695" s="86">
        <f>tbl_estimated_costs_quantities[[#This Row],[Roof Insulation Leak Sealing]]*BOQs!$L$14</f>
        <v>0</v>
      </c>
      <c r="AS695" s="76"/>
      <c r="AT695" s="37"/>
      <c r="AU695" s="86">
        <f>tbl_estimated_costs_quantities[[#This Row],[Chimney Duct Cleaning Repair]]*BOQs!$L$15</f>
        <v>0</v>
      </c>
      <c r="AV695" s="76"/>
      <c r="AW695" s="37"/>
      <c r="AX695" s="89">
        <f>tbl_estimated_costs_quantities[[#This Row],[Accessibility Adaptations]]*BOQs!$L$16</f>
        <v>0</v>
      </c>
      <c r="AY695" s="86" t="str">
        <f>IF(tbl_estimated_costs_quantities[[#This Row],[Total cost]]&lt;&gt;0,tbl_estimated_costs_quantities[[#This Row],[Total cost]]/BOQs!$A$1,"")</f>
        <v/>
      </c>
      <c r="AZ695" s="37"/>
      <c r="BA695" s="37"/>
      <c r="BB695" s="37"/>
      <c r="BC695" s="37"/>
      <c r="BD695" s="41"/>
      <c r="BE695" s="37"/>
      <c r="BF695" s="37"/>
      <c r="BG695" s="37"/>
      <c r="BH695" s="41"/>
    </row>
    <row r="696" spans="2:60" ht="25.15" customHeight="1" x14ac:dyDescent="0.25">
      <c r="B696" s="49">
        <v>692</v>
      </c>
      <c r="C696" s="37"/>
      <c r="D696" s="41"/>
      <c r="E696" s="40"/>
      <c r="F696" s="87" t="str">
        <f>IF(tbl_estimated_costs_quantities[[#This Row],[House Code]]&lt;&gt;"",INDEX(tbl_Assessment[],MATCH(tbl_estimated_costs_quantities[[#This Row],[House Code]],tbl_Assessment[House Code],0),3),"")</f>
        <v/>
      </c>
      <c r="G696" s="115" t="str">
        <f>IF(tbl_estimated_costs_quantities[[#This Row],[House Code]]&lt;&gt;"",INDEX(tbl_Assessment[],MATCH(tbl_estimated_costs_quantities[[#This Row],[House Code]],tbl_Assessment[House Code],0),9),"")</f>
        <v/>
      </c>
      <c r="H696"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6" s="75"/>
      <c r="J696" s="37"/>
      <c r="K696" s="86">
        <f>tbl_estimated_costs_quantities[[#This Row],[Site Preparation]]*BOQs!$L$3</f>
        <v>0</v>
      </c>
      <c r="L696" s="76"/>
      <c r="M696" s="37"/>
      <c r="N696" s="86">
        <f>tbl_estimated_costs_quantities[[#This Row],[Demolition Removal Unsafe Structures]]*BOQs!$L$4</f>
        <v>0</v>
      </c>
      <c r="O696" s="76"/>
      <c r="P696" s="37"/>
      <c r="Q696" s="86">
        <f>tbl_estimated_costs_quantities[[#This Row],[Concrete Works]]*BOQs!$L$5</f>
        <v>0</v>
      </c>
      <c r="R696" s="76"/>
      <c r="S696" s="37"/>
      <c r="T696" s="86">
        <f>tbl_estimated_costs_quantities[[#This Row],[Closure External Openings Walls Windows]]*BOQs!$L$6</f>
        <v>0</v>
      </c>
      <c r="U696" s="76"/>
      <c r="V696" s="37"/>
      <c r="W696" s="86">
        <f>tbl_estimated_costs_quantities[[#This Row],[Plastering Painting]]*BOQs!$L$7</f>
        <v>0</v>
      </c>
      <c r="X696" s="76"/>
      <c r="Y696" s="37"/>
      <c r="Z696" s="86">
        <f>tbl_estimated_costs_quantities[[#This Row],[Floor Repairs]]*BOQs!$L$8</f>
        <v>0</v>
      </c>
      <c r="AA696" s="76"/>
      <c r="AB696" s="37"/>
      <c r="AC696" s="86">
        <f>tbl_estimated_costs_quantities[[#This Row],[Doors Replacement Repair]]*BOQs!$L$9</f>
        <v>0</v>
      </c>
      <c r="AD696" s="76"/>
      <c r="AE696" s="37"/>
      <c r="AF696" s="86">
        <f>tbl_estimated_costs_quantities[[#This Row],[Windows Replacement Repair]]*BOQs!$L$10</f>
        <v>0</v>
      </c>
      <c r="AG696" s="76"/>
      <c r="AH696" s="37"/>
      <c r="AI696" s="86">
        <f>tbl_estimated_costs_quantities[[#This Row],[Bathroom Rehabilitation]]*BOQs!$L$11</f>
        <v>0</v>
      </c>
      <c r="AJ696" s="76"/>
      <c r="AK696" s="37"/>
      <c r="AL696" s="86">
        <f>tbl_estimated_costs_quantities[[#This Row],[Ceramic Tile Works WASH]]*BOQs!$L$12</f>
        <v>0</v>
      </c>
      <c r="AM696" s="76"/>
      <c r="AN696" s="37"/>
      <c r="AO696" s="86">
        <f>tbl_estimated_costs_quantities[[#This Row],[Electrical Repairs Lighting]]*BOQs!$L$13</f>
        <v>0</v>
      </c>
      <c r="AP696" s="76"/>
      <c r="AQ696" s="37"/>
      <c r="AR696" s="86">
        <f>tbl_estimated_costs_quantities[[#This Row],[Roof Insulation Leak Sealing]]*BOQs!$L$14</f>
        <v>0</v>
      </c>
      <c r="AS696" s="76"/>
      <c r="AT696" s="37"/>
      <c r="AU696" s="86">
        <f>tbl_estimated_costs_quantities[[#This Row],[Chimney Duct Cleaning Repair]]*BOQs!$L$15</f>
        <v>0</v>
      </c>
      <c r="AV696" s="76"/>
      <c r="AW696" s="37"/>
      <c r="AX696" s="89">
        <f>tbl_estimated_costs_quantities[[#This Row],[Accessibility Adaptations]]*BOQs!$L$16</f>
        <v>0</v>
      </c>
      <c r="AY696" s="86" t="str">
        <f>IF(tbl_estimated_costs_quantities[[#This Row],[Total cost]]&lt;&gt;0,tbl_estimated_costs_quantities[[#This Row],[Total cost]]/BOQs!$A$1,"")</f>
        <v/>
      </c>
      <c r="AZ696" s="37"/>
      <c r="BA696" s="37"/>
      <c r="BB696" s="37"/>
      <c r="BC696" s="37"/>
      <c r="BD696" s="41"/>
      <c r="BE696" s="37"/>
      <c r="BF696" s="37"/>
      <c r="BG696" s="37"/>
      <c r="BH696" s="41"/>
    </row>
    <row r="697" spans="2:60" ht="25.15" customHeight="1" x14ac:dyDescent="0.25">
      <c r="B697" s="49">
        <v>693</v>
      </c>
      <c r="C697" s="37"/>
      <c r="D697" s="41"/>
      <c r="E697" s="40"/>
      <c r="F697" s="87" t="str">
        <f>IF(tbl_estimated_costs_quantities[[#This Row],[House Code]]&lt;&gt;"",INDEX(tbl_Assessment[],MATCH(tbl_estimated_costs_quantities[[#This Row],[House Code]],tbl_Assessment[House Code],0),3),"")</f>
        <v/>
      </c>
      <c r="G697" s="115" t="str">
        <f>IF(tbl_estimated_costs_quantities[[#This Row],[House Code]]&lt;&gt;"",INDEX(tbl_Assessment[],MATCH(tbl_estimated_costs_quantities[[#This Row],[House Code]],tbl_Assessment[House Code],0),9),"")</f>
        <v/>
      </c>
      <c r="H697"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7" s="75"/>
      <c r="J697" s="37"/>
      <c r="K697" s="86">
        <f>tbl_estimated_costs_quantities[[#This Row],[Site Preparation]]*BOQs!$L$3</f>
        <v>0</v>
      </c>
      <c r="L697" s="76"/>
      <c r="M697" s="37"/>
      <c r="N697" s="86">
        <f>tbl_estimated_costs_quantities[[#This Row],[Demolition Removal Unsafe Structures]]*BOQs!$L$4</f>
        <v>0</v>
      </c>
      <c r="O697" s="76"/>
      <c r="P697" s="37"/>
      <c r="Q697" s="86">
        <f>tbl_estimated_costs_quantities[[#This Row],[Concrete Works]]*BOQs!$L$5</f>
        <v>0</v>
      </c>
      <c r="R697" s="76"/>
      <c r="S697" s="37"/>
      <c r="T697" s="86">
        <f>tbl_estimated_costs_quantities[[#This Row],[Closure External Openings Walls Windows]]*BOQs!$L$6</f>
        <v>0</v>
      </c>
      <c r="U697" s="76"/>
      <c r="V697" s="37"/>
      <c r="W697" s="86">
        <f>tbl_estimated_costs_quantities[[#This Row],[Plastering Painting]]*BOQs!$L$7</f>
        <v>0</v>
      </c>
      <c r="X697" s="76"/>
      <c r="Y697" s="37"/>
      <c r="Z697" s="86">
        <f>tbl_estimated_costs_quantities[[#This Row],[Floor Repairs]]*BOQs!$L$8</f>
        <v>0</v>
      </c>
      <c r="AA697" s="76"/>
      <c r="AB697" s="37"/>
      <c r="AC697" s="86">
        <f>tbl_estimated_costs_quantities[[#This Row],[Doors Replacement Repair]]*BOQs!$L$9</f>
        <v>0</v>
      </c>
      <c r="AD697" s="76"/>
      <c r="AE697" s="37"/>
      <c r="AF697" s="86">
        <f>tbl_estimated_costs_quantities[[#This Row],[Windows Replacement Repair]]*BOQs!$L$10</f>
        <v>0</v>
      </c>
      <c r="AG697" s="76"/>
      <c r="AH697" s="37"/>
      <c r="AI697" s="86">
        <f>tbl_estimated_costs_quantities[[#This Row],[Bathroom Rehabilitation]]*BOQs!$L$11</f>
        <v>0</v>
      </c>
      <c r="AJ697" s="76"/>
      <c r="AK697" s="37"/>
      <c r="AL697" s="86">
        <f>tbl_estimated_costs_quantities[[#This Row],[Ceramic Tile Works WASH]]*BOQs!$L$12</f>
        <v>0</v>
      </c>
      <c r="AM697" s="76"/>
      <c r="AN697" s="37"/>
      <c r="AO697" s="86">
        <f>tbl_estimated_costs_quantities[[#This Row],[Electrical Repairs Lighting]]*BOQs!$L$13</f>
        <v>0</v>
      </c>
      <c r="AP697" s="76"/>
      <c r="AQ697" s="37"/>
      <c r="AR697" s="86">
        <f>tbl_estimated_costs_quantities[[#This Row],[Roof Insulation Leak Sealing]]*BOQs!$L$14</f>
        <v>0</v>
      </c>
      <c r="AS697" s="76"/>
      <c r="AT697" s="37"/>
      <c r="AU697" s="86">
        <f>tbl_estimated_costs_quantities[[#This Row],[Chimney Duct Cleaning Repair]]*BOQs!$L$15</f>
        <v>0</v>
      </c>
      <c r="AV697" s="76"/>
      <c r="AW697" s="37"/>
      <c r="AX697" s="89">
        <f>tbl_estimated_costs_quantities[[#This Row],[Accessibility Adaptations]]*BOQs!$L$16</f>
        <v>0</v>
      </c>
      <c r="AY697" s="86" t="str">
        <f>IF(tbl_estimated_costs_quantities[[#This Row],[Total cost]]&lt;&gt;0,tbl_estimated_costs_quantities[[#This Row],[Total cost]]/BOQs!$A$1,"")</f>
        <v/>
      </c>
      <c r="AZ697" s="37"/>
      <c r="BA697" s="37"/>
      <c r="BB697" s="37"/>
      <c r="BC697" s="37"/>
      <c r="BD697" s="41"/>
      <c r="BE697" s="37"/>
      <c r="BF697" s="37"/>
      <c r="BG697" s="37"/>
      <c r="BH697" s="41"/>
    </row>
    <row r="698" spans="2:60" ht="25.15" customHeight="1" x14ac:dyDescent="0.25">
      <c r="B698" s="49">
        <v>694</v>
      </c>
      <c r="C698" s="37"/>
      <c r="D698" s="41"/>
      <c r="E698" s="40"/>
      <c r="F698" s="87" t="str">
        <f>IF(tbl_estimated_costs_quantities[[#This Row],[House Code]]&lt;&gt;"",INDEX(tbl_Assessment[],MATCH(tbl_estimated_costs_quantities[[#This Row],[House Code]],tbl_Assessment[House Code],0),3),"")</f>
        <v/>
      </c>
      <c r="G698" s="115" t="str">
        <f>IF(tbl_estimated_costs_quantities[[#This Row],[House Code]]&lt;&gt;"",INDEX(tbl_Assessment[],MATCH(tbl_estimated_costs_quantities[[#This Row],[House Code]],tbl_Assessment[House Code],0),9),"")</f>
        <v/>
      </c>
      <c r="H698"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8" s="75"/>
      <c r="J698" s="37"/>
      <c r="K698" s="86">
        <f>tbl_estimated_costs_quantities[[#This Row],[Site Preparation]]*BOQs!$L$3</f>
        <v>0</v>
      </c>
      <c r="L698" s="76"/>
      <c r="M698" s="37"/>
      <c r="N698" s="86">
        <f>tbl_estimated_costs_quantities[[#This Row],[Demolition Removal Unsafe Structures]]*BOQs!$L$4</f>
        <v>0</v>
      </c>
      <c r="O698" s="76"/>
      <c r="P698" s="37"/>
      <c r="Q698" s="86">
        <f>tbl_estimated_costs_quantities[[#This Row],[Concrete Works]]*BOQs!$L$5</f>
        <v>0</v>
      </c>
      <c r="R698" s="76"/>
      <c r="S698" s="37"/>
      <c r="T698" s="86">
        <f>tbl_estimated_costs_quantities[[#This Row],[Closure External Openings Walls Windows]]*BOQs!$L$6</f>
        <v>0</v>
      </c>
      <c r="U698" s="76"/>
      <c r="V698" s="37"/>
      <c r="W698" s="86">
        <f>tbl_estimated_costs_quantities[[#This Row],[Plastering Painting]]*BOQs!$L$7</f>
        <v>0</v>
      </c>
      <c r="X698" s="76"/>
      <c r="Y698" s="37"/>
      <c r="Z698" s="86">
        <f>tbl_estimated_costs_quantities[[#This Row],[Floor Repairs]]*BOQs!$L$8</f>
        <v>0</v>
      </c>
      <c r="AA698" s="76"/>
      <c r="AB698" s="37"/>
      <c r="AC698" s="86">
        <f>tbl_estimated_costs_quantities[[#This Row],[Doors Replacement Repair]]*BOQs!$L$9</f>
        <v>0</v>
      </c>
      <c r="AD698" s="76"/>
      <c r="AE698" s="37"/>
      <c r="AF698" s="86">
        <f>tbl_estimated_costs_quantities[[#This Row],[Windows Replacement Repair]]*BOQs!$L$10</f>
        <v>0</v>
      </c>
      <c r="AG698" s="76"/>
      <c r="AH698" s="37"/>
      <c r="AI698" s="86">
        <f>tbl_estimated_costs_quantities[[#This Row],[Bathroom Rehabilitation]]*BOQs!$L$11</f>
        <v>0</v>
      </c>
      <c r="AJ698" s="76"/>
      <c r="AK698" s="37"/>
      <c r="AL698" s="86">
        <f>tbl_estimated_costs_quantities[[#This Row],[Ceramic Tile Works WASH]]*BOQs!$L$12</f>
        <v>0</v>
      </c>
      <c r="AM698" s="76"/>
      <c r="AN698" s="37"/>
      <c r="AO698" s="86">
        <f>tbl_estimated_costs_quantities[[#This Row],[Electrical Repairs Lighting]]*BOQs!$L$13</f>
        <v>0</v>
      </c>
      <c r="AP698" s="76"/>
      <c r="AQ698" s="37"/>
      <c r="AR698" s="86">
        <f>tbl_estimated_costs_quantities[[#This Row],[Roof Insulation Leak Sealing]]*BOQs!$L$14</f>
        <v>0</v>
      </c>
      <c r="AS698" s="76"/>
      <c r="AT698" s="37"/>
      <c r="AU698" s="86">
        <f>tbl_estimated_costs_quantities[[#This Row],[Chimney Duct Cleaning Repair]]*BOQs!$L$15</f>
        <v>0</v>
      </c>
      <c r="AV698" s="76"/>
      <c r="AW698" s="37"/>
      <c r="AX698" s="89">
        <f>tbl_estimated_costs_quantities[[#This Row],[Accessibility Adaptations]]*BOQs!$L$16</f>
        <v>0</v>
      </c>
      <c r="AY698" s="86" t="str">
        <f>IF(tbl_estimated_costs_quantities[[#This Row],[Total cost]]&lt;&gt;0,tbl_estimated_costs_quantities[[#This Row],[Total cost]]/BOQs!$A$1,"")</f>
        <v/>
      </c>
      <c r="AZ698" s="37"/>
      <c r="BA698" s="37"/>
      <c r="BB698" s="37"/>
      <c r="BC698" s="37"/>
      <c r="BD698" s="41"/>
      <c r="BE698" s="37"/>
      <c r="BF698" s="37"/>
      <c r="BG698" s="37"/>
      <c r="BH698" s="41"/>
    </row>
    <row r="699" spans="2:60" ht="25.15" customHeight="1" x14ac:dyDescent="0.25">
      <c r="B699" s="49">
        <v>695</v>
      </c>
      <c r="C699" s="37"/>
      <c r="D699" s="41"/>
      <c r="E699" s="40"/>
      <c r="F699" s="87" t="str">
        <f>IF(tbl_estimated_costs_quantities[[#This Row],[House Code]]&lt;&gt;"",INDEX(tbl_Assessment[],MATCH(tbl_estimated_costs_quantities[[#This Row],[House Code]],tbl_Assessment[House Code],0),3),"")</f>
        <v/>
      </c>
      <c r="G699" s="115" t="str">
        <f>IF(tbl_estimated_costs_quantities[[#This Row],[House Code]]&lt;&gt;"",INDEX(tbl_Assessment[],MATCH(tbl_estimated_costs_quantities[[#This Row],[House Code]],tbl_Assessment[House Code],0),9),"")</f>
        <v/>
      </c>
      <c r="H699"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699" s="75"/>
      <c r="J699" s="37"/>
      <c r="K699" s="86">
        <f>tbl_estimated_costs_quantities[[#This Row],[Site Preparation]]*BOQs!$L$3</f>
        <v>0</v>
      </c>
      <c r="L699" s="76"/>
      <c r="M699" s="37"/>
      <c r="N699" s="86">
        <f>tbl_estimated_costs_quantities[[#This Row],[Demolition Removal Unsafe Structures]]*BOQs!$L$4</f>
        <v>0</v>
      </c>
      <c r="O699" s="76"/>
      <c r="P699" s="37"/>
      <c r="Q699" s="86">
        <f>tbl_estimated_costs_quantities[[#This Row],[Concrete Works]]*BOQs!$L$5</f>
        <v>0</v>
      </c>
      <c r="R699" s="76"/>
      <c r="S699" s="37"/>
      <c r="T699" s="86">
        <f>tbl_estimated_costs_quantities[[#This Row],[Closure External Openings Walls Windows]]*BOQs!$L$6</f>
        <v>0</v>
      </c>
      <c r="U699" s="76"/>
      <c r="V699" s="37"/>
      <c r="W699" s="86">
        <f>tbl_estimated_costs_quantities[[#This Row],[Plastering Painting]]*BOQs!$L$7</f>
        <v>0</v>
      </c>
      <c r="X699" s="76"/>
      <c r="Y699" s="37"/>
      <c r="Z699" s="86">
        <f>tbl_estimated_costs_quantities[[#This Row],[Floor Repairs]]*BOQs!$L$8</f>
        <v>0</v>
      </c>
      <c r="AA699" s="76"/>
      <c r="AB699" s="37"/>
      <c r="AC699" s="86">
        <f>tbl_estimated_costs_quantities[[#This Row],[Doors Replacement Repair]]*BOQs!$L$9</f>
        <v>0</v>
      </c>
      <c r="AD699" s="76"/>
      <c r="AE699" s="37"/>
      <c r="AF699" s="86">
        <f>tbl_estimated_costs_quantities[[#This Row],[Windows Replacement Repair]]*BOQs!$L$10</f>
        <v>0</v>
      </c>
      <c r="AG699" s="76"/>
      <c r="AH699" s="37"/>
      <c r="AI699" s="86">
        <f>tbl_estimated_costs_quantities[[#This Row],[Bathroom Rehabilitation]]*BOQs!$L$11</f>
        <v>0</v>
      </c>
      <c r="AJ699" s="76"/>
      <c r="AK699" s="37"/>
      <c r="AL699" s="86">
        <f>tbl_estimated_costs_quantities[[#This Row],[Ceramic Tile Works WASH]]*BOQs!$L$12</f>
        <v>0</v>
      </c>
      <c r="AM699" s="76"/>
      <c r="AN699" s="37"/>
      <c r="AO699" s="86">
        <f>tbl_estimated_costs_quantities[[#This Row],[Electrical Repairs Lighting]]*BOQs!$L$13</f>
        <v>0</v>
      </c>
      <c r="AP699" s="76"/>
      <c r="AQ699" s="37"/>
      <c r="AR699" s="86">
        <f>tbl_estimated_costs_quantities[[#This Row],[Roof Insulation Leak Sealing]]*BOQs!$L$14</f>
        <v>0</v>
      </c>
      <c r="AS699" s="76"/>
      <c r="AT699" s="37"/>
      <c r="AU699" s="86">
        <f>tbl_estimated_costs_quantities[[#This Row],[Chimney Duct Cleaning Repair]]*BOQs!$L$15</f>
        <v>0</v>
      </c>
      <c r="AV699" s="76"/>
      <c r="AW699" s="37"/>
      <c r="AX699" s="89">
        <f>tbl_estimated_costs_quantities[[#This Row],[Accessibility Adaptations]]*BOQs!$L$16</f>
        <v>0</v>
      </c>
      <c r="AY699" s="86" t="str">
        <f>IF(tbl_estimated_costs_quantities[[#This Row],[Total cost]]&lt;&gt;0,tbl_estimated_costs_quantities[[#This Row],[Total cost]]/BOQs!$A$1,"")</f>
        <v/>
      </c>
      <c r="AZ699" s="37"/>
      <c r="BA699" s="37"/>
      <c r="BB699" s="37"/>
      <c r="BC699" s="37"/>
      <c r="BD699" s="41"/>
      <c r="BE699" s="37"/>
      <c r="BF699" s="37"/>
      <c r="BG699" s="37"/>
      <c r="BH699" s="41"/>
    </row>
    <row r="700" spans="2:60" ht="25.15" customHeight="1" x14ac:dyDescent="0.25">
      <c r="B700" s="49">
        <v>696</v>
      </c>
      <c r="C700" s="37"/>
      <c r="D700" s="41"/>
      <c r="E700" s="40"/>
      <c r="F700" s="87" t="str">
        <f>IF(tbl_estimated_costs_quantities[[#This Row],[House Code]]&lt;&gt;"",INDEX(tbl_Assessment[],MATCH(tbl_estimated_costs_quantities[[#This Row],[House Code]],tbl_Assessment[House Code],0),3),"")</f>
        <v/>
      </c>
      <c r="G700" s="115" t="str">
        <f>IF(tbl_estimated_costs_quantities[[#This Row],[House Code]]&lt;&gt;"",INDEX(tbl_Assessment[],MATCH(tbl_estimated_costs_quantities[[#This Row],[House Code]],tbl_Assessment[House Code],0),9),"")</f>
        <v/>
      </c>
      <c r="H700"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00" s="75"/>
      <c r="J700" s="37"/>
      <c r="K700" s="86">
        <f>tbl_estimated_costs_quantities[[#This Row],[Site Preparation]]*BOQs!$L$3</f>
        <v>0</v>
      </c>
      <c r="L700" s="76"/>
      <c r="M700" s="37"/>
      <c r="N700" s="86">
        <f>tbl_estimated_costs_quantities[[#This Row],[Demolition Removal Unsafe Structures]]*BOQs!$L$4</f>
        <v>0</v>
      </c>
      <c r="O700" s="76"/>
      <c r="P700" s="37"/>
      <c r="Q700" s="86">
        <f>tbl_estimated_costs_quantities[[#This Row],[Concrete Works]]*BOQs!$L$5</f>
        <v>0</v>
      </c>
      <c r="R700" s="76"/>
      <c r="S700" s="37"/>
      <c r="T700" s="86">
        <f>tbl_estimated_costs_quantities[[#This Row],[Closure External Openings Walls Windows]]*BOQs!$L$6</f>
        <v>0</v>
      </c>
      <c r="U700" s="76"/>
      <c r="V700" s="37"/>
      <c r="W700" s="86">
        <f>tbl_estimated_costs_quantities[[#This Row],[Plastering Painting]]*BOQs!$L$7</f>
        <v>0</v>
      </c>
      <c r="X700" s="76"/>
      <c r="Y700" s="37"/>
      <c r="Z700" s="86">
        <f>tbl_estimated_costs_quantities[[#This Row],[Floor Repairs]]*BOQs!$L$8</f>
        <v>0</v>
      </c>
      <c r="AA700" s="76"/>
      <c r="AB700" s="37"/>
      <c r="AC700" s="86">
        <f>tbl_estimated_costs_quantities[[#This Row],[Doors Replacement Repair]]*BOQs!$L$9</f>
        <v>0</v>
      </c>
      <c r="AD700" s="76"/>
      <c r="AE700" s="37"/>
      <c r="AF700" s="86">
        <f>tbl_estimated_costs_quantities[[#This Row],[Windows Replacement Repair]]*BOQs!$L$10</f>
        <v>0</v>
      </c>
      <c r="AG700" s="76"/>
      <c r="AH700" s="37"/>
      <c r="AI700" s="86">
        <f>tbl_estimated_costs_quantities[[#This Row],[Bathroom Rehabilitation]]*BOQs!$L$11</f>
        <v>0</v>
      </c>
      <c r="AJ700" s="76"/>
      <c r="AK700" s="37"/>
      <c r="AL700" s="86">
        <f>tbl_estimated_costs_quantities[[#This Row],[Ceramic Tile Works WASH]]*BOQs!$L$12</f>
        <v>0</v>
      </c>
      <c r="AM700" s="76"/>
      <c r="AN700" s="37"/>
      <c r="AO700" s="86">
        <f>tbl_estimated_costs_quantities[[#This Row],[Electrical Repairs Lighting]]*BOQs!$L$13</f>
        <v>0</v>
      </c>
      <c r="AP700" s="76"/>
      <c r="AQ700" s="37"/>
      <c r="AR700" s="86">
        <f>tbl_estimated_costs_quantities[[#This Row],[Roof Insulation Leak Sealing]]*BOQs!$L$14</f>
        <v>0</v>
      </c>
      <c r="AS700" s="76"/>
      <c r="AT700" s="37"/>
      <c r="AU700" s="86">
        <f>tbl_estimated_costs_quantities[[#This Row],[Chimney Duct Cleaning Repair]]*BOQs!$L$15</f>
        <v>0</v>
      </c>
      <c r="AV700" s="76"/>
      <c r="AW700" s="37"/>
      <c r="AX700" s="89">
        <f>tbl_estimated_costs_quantities[[#This Row],[Accessibility Adaptations]]*BOQs!$L$16</f>
        <v>0</v>
      </c>
      <c r="AY700" s="86" t="str">
        <f>IF(tbl_estimated_costs_quantities[[#This Row],[Total cost]]&lt;&gt;0,tbl_estimated_costs_quantities[[#This Row],[Total cost]]/BOQs!$A$1,"")</f>
        <v/>
      </c>
      <c r="AZ700" s="37"/>
      <c r="BA700" s="37"/>
      <c r="BB700" s="37"/>
      <c r="BC700" s="37"/>
      <c r="BD700" s="41"/>
      <c r="BE700" s="37"/>
      <c r="BF700" s="37"/>
      <c r="BG700" s="37"/>
      <c r="BH700" s="41"/>
    </row>
    <row r="701" spans="2:60" ht="25.15" customHeight="1" x14ac:dyDescent="0.25">
      <c r="B701" s="49">
        <v>697</v>
      </c>
      <c r="C701" s="37"/>
      <c r="D701" s="41"/>
      <c r="E701" s="40"/>
      <c r="F701" s="87" t="str">
        <f>IF(tbl_estimated_costs_quantities[[#This Row],[House Code]]&lt;&gt;"",INDEX(tbl_Assessment[],MATCH(tbl_estimated_costs_quantities[[#This Row],[House Code]],tbl_Assessment[House Code],0),3),"")</f>
        <v/>
      </c>
      <c r="G701" s="115" t="str">
        <f>IF(tbl_estimated_costs_quantities[[#This Row],[House Code]]&lt;&gt;"",INDEX(tbl_Assessment[],MATCH(tbl_estimated_costs_quantities[[#This Row],[House Code]],tbl_Assessment[House Code],0),9),"")</f>
        <v/>
      </c>
      <c r="H701"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01" s="75"/>
      <c r="J701" s="37"/>
      <c r="K701" s="86">
        <f>tbl_estimated_costs_quantities[[#This Row],[Site Preparation]]*BOQs!$L$3</f>
        <v>0</v>
      </c>
      <c r="L701" s="76"/>
      <c r="M701" s="37"/>
      <c r="N701" s="86">
        <f>tbl_estimated_costs_quantities[[#This Row],[Demolition Removal Unsafe Structures]]*BOQs!$L$4</f>
        <v>0</v>
      </c>
      <c r="O701" s="76"/>
      <c r="P701" s="37"/>
      <c r="Q701" s="86">
        <f>tbl_estimated_costs_quantities[[#This Row],[Concrete Works]]*BOQs!$L$5</f>
        <v>0</v>
      </c>
      <c r="R701" s="76"/>
      <c r="S701" s="37"/>
      <c r="T701" s="86">
        <f>tbl_estimated_costs_quantities[[#This Row],[Closure External Openings Walls Windows]]*BOQs!$L$6</f>
        <v>0</v>
      </c>
      <c r="U701" s="76"/>
      <c r="V701" s="37"/>
      <c r="W701" s="86">
        <f>tbl_estimated_costs_quantities[[#This Row],[Plastering Painting]]*BOQs!$L$7</f>
        <v>0</v>
      </c>
      <c r="X701" s="76"/>
      <c r="Y701" s="37"/>
      <c r="Z701" s="86">
        <f>tbl_estimated_costs_quantities[[#This Row],[Floor Repairs]]*BOQs!$L$8</f>
        <v>0</v>
      </c>
      <c r="AA701" s="76"/>
      <c r="AB701" s="37"/>
      <c r="AC701" s="86">
        <f>tbl_estimated_costs_quantities[[#This Row],[Doors Replacement Repair]]*BOQs!$L$9</f>
        <v>0</v>
      </c>
      <c r="AD701" s="76"/>
      <c r="AE701" s="37"/>
      <c r="AF701" s="86">
        <f>tbl_estimated_costs_quantities[[#This Row],[Windows Replacement Repair]]*BOQs!$L$10</f>
        <v>0</v>
      </c>
      <c r="AG701" s="76"/>
      <c r="AH701" s="37"/>
      <c r="AI701" s="86">
        <f>tbl_estimated_costs_quantities[[#This Row],[Bathroom Rehabilitation]]*BOQs!$L$11</f>
        <v>0</v>
      </c>
      <c r="AJ701" s="76"/>
      <c r="AK701" s="37"/>
      <c r="AL701" s="86">
        <f>tbl_estimated_costs_quantities[[#This Row],[Ceramic Tile Works WASH]]*BOQs!$L$12</f>
        <v>0</v>
      </c>
      <c r="AM701" s="76"/>
      <c r="AN701" s="37"/>
      <c r="AO701" s="86">
        <f>tbl_estimated_costs_quantities[[#This Row],[Electrical Repairs Lighting]]*BOQs!$L$13</f>
        <v>0</v>
      </c>
      <c r="AP701" s="76"/>
      <c r="AQ701" s="37"/>
      <c r="AR701" s="86">
        <f>tbl_estimated_costs_quantities[[#This Row],[Roof Insulation Leak Sealing]]*BOQs!$L$14</f>
        <v>0</v>
      </c>
      <c r="AS701" s="76"/>
      <c r="AT701" s="37"/>
      <c r="AU701" s="86">
        <f>tbl_estimated_costs_quantities[[#This Row],[Chimney Duct Cleaning Repair]]*BOQs!$L$15</f>
        <v>0</v>
      </c>
      <c r="AV701" s="76"/>
      <c r="AW701" s="37"/>
      <c r="AX701" s="89">
        <f>tbl_estimated_costs_quantities[[#This Row],[Accessibility Adaptations]]*BOQs!$L$16</f>
        <v>0</v>
      </c>
      <c r="AY701" s="86" t="str">
        <f>IF(tbl_estimated_costs_quantities[[#This Row],[Total cost]]&lt;&gt;0,tbl_estimated_costs_quantities[[#This Row],[Total cost]]/BOQs!$A$1,"")</f>
        <v/>
      </c>
      <c r="AZ701" s="37"/>
      <c r="BA701" s="37"/>
      <c r="BB701" s="37"/>
      <c r="BC701" s="37"/>
      <c r="BD701" s="41"/>
      <c r="BE701" s="37"/>
      <c r="BF701" s="37"/>
      <c r="BG701" s="37"/>
      <c r="BH701" s="41"/>
    </row>
    <row r="702" spans="2:60" ht="25.15" customHeight="1" x14ac:dyDescent="0.25">
      <c r="B702" s="49">
        <v>698</v>
      </c>
      <c r="C702" s="37"/>
      <c r="D702" s="41"/>
      <c r="E702" s="40"/>
      <c r="F702" s="87" t="str">
        <f>IF(tbl_estimated_costs_quantities[[#This Row],[House Code]]&lt;&gt;"",INDEX(tbl_Assessment[],MATCH(tbl_estimated_costs_quantities[[#This Row],[House Code]],tbl_Assessment[House Code],0),3),"")</f>
        <v/>
      </c>
      <c r="G702" s="115" t="str">
        <f>IF(tbl_estimated_costs_quantities[[#This Row],[House Code]]&lt;&gt;"",INDEX(tbl_Assessment[],MATCH(tbl_estimated_costs_quantities[[#This Row],[House Code]],tbl_Assessment[House Code],0),9),"")</f>
        <v/>
      </c>
      <c r="H702"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02" s="75"/>
      <c r="J702" s="37"/>
      <c r="K702" s="86">
        <f>tbl_estimated_costs_quantities[[#This Row],[Site Preparation]]*BOQs!$L$3</f>
        <v>0</v>
      </c>
      <c r="L702" s="76"/>
      <c r="M702" s="37"/>
      <c r="N702" s="86">
        <f>tbl_estimated_costs_quantities[[#This Row],[Demolition Removal Unsafe Structures]]*BOQs!$L$4</f>
        <v>0</v>
      </c>
      <c r="O702" s="76"/>
      <c r="P702" s="37"/>
      <c r="Q702" s="86">
        <f>tbl_estimated_costs_quantities[[#This Row],[Concrete Works]]*BOQs!$L$5</f>
        <v>0</v>
      </c>
      <c r="R702" s="76"/>
      <c r="S702" s="37"/>
      <c r="T702" s="86">
        <f>tbl_estimated_costs_quantities[[#This Row],[Closure External Openings Walls Windows]]*BOQs!$L$6</f>
        <v>0</v>
      </c>
      <c r="U702" s="76"/>
      <c r="V702" s="37"/>
      <c r="W702" s="86">
        <f>tbl_estimated_costs_quantities[[#This Row],[Plastering Painting]]*BOQs!$L$7</f>
        <v>0</v>
      </c>
      <c r="X702" s="76"/>
      <c r="Y702" s="37"/>
      <c r="Z702" s="86">
        <f>tbl_estimated_costs_quantities[[#This Row],[Floor Repairs]]*BOQs!$L$8</f>
        <v>0</v>
      </c>
      <c r="AA702" s="76"/>
      <c r="AB702" s="37"/>
      <c r="AC702" s="86">
        <f>tbl_estimated_costs_quantities[[#This Row],[Doors Replacement Repair]]*BOQs!$L$9</f>
        <v>0</v>
      </c>
      <c r="AD702" s="76"/>
      <c r="AE702" s="37"/>
      <c r="AF702" s="86">
        <f>tbl_estimated_costs_quantities[[#This Row],[Windows Replacement Repair]]*BOQs!$L$10</f>
        <v>0</v>
      </c>
      <c r="AG702" s="76"/>
      <c r="AH702" s="37"/>
      <c r="AI702" s="86">
        <f>tbl_estimated_costs_quantities[[#This Row],[Bathroom Rehabilitation]]*BOQs!$L$11</f>
        <v>0</v>
      </c>
      <c r="AJ702" s="76"/>
      <c r="AK702" s="37"/>
      <c r="AL702" s="86">
        <f>tbl_estimated_costs_quantities[[#This Row],[Ceramic Tile Works WASH]]*BOQs!$L$12</f>
        <v>0</v>
      </c>
      <c r="AM702" s="76"/>
      <c r="AN702" s="37"/>
      <c r="AO702" s="86">
        <f>tbl_estimated_costs_quantities[[#This Row],[Electrical Repairs Lighting]]*BOQs!$L$13</f>
        <v>0</v>
      </c>
      <c r="AP702" s="76"/>
      <c r="AQ702" s="37"/>
      <c r="AR702" s="86">
        <f>tbl_estimated_costs_quantities[[#This Row],[Roof Insulation Leak Sealing]]*BOQs!$L$14</f>
        <v>0</v>
      </c>
      <c r="AS702" s="76"/>
      <c r="AT702" s="37"/>
      <c r="AU702" s="86">
        <f>tbl_estimated_costs_quantities[[#This Row],[Chimney Duct Cleaning Repair]]*BOQs!$L$15</f>
        <v>0</v>
      </c>
      <c r="AV702" s="76"/>
      <c r="AW702" s="37"/>
      <c r="AX702" s="89">
        <f>tbl_estimated_costs_quantities[[#This Row],[Accessibility Adaptations]]*BOQs!$L$16</f>
        <v>0</v>
      </c>
      <c r="AY702" s="86" t="str">
        <f>IF(tbl_estimated_costs_quantities[[#This Row],[Total cost]]&lt;&gt;0,tbl_estimated_costs_quantities[[#This Row],[Total cost]]/BOQs!$A$1,"")</f>
        <v/>
      </c>
      <c r="AZ702" s="37"/>
      <c r="BA702" s="37"/>
      <c r="BB702" s="37"/>
      <c r="BC702" s="37"/>
      <c r="BD702" s="41"/>
      <c r="BE702" s="37"/>
      <c r="BF702" s="37"/>
      <c r="BG702" s="37"/>
      <c r="BH702" s="41"/>
    </row>
    <row r="703" spans="2:60" ht="25.15" customHeight="1" x14ac:dyDescent="0.25">
      <c r="B703" s="49">
        <v>699</v>
      </c>
      <c r="C703" s="37"/>
      <c r="D703" s="41"/>
      <c r="E703" s="40"/>
      <c r="F703" s="87" t="str">
        <f>IF(tbl_estimated_costs_quantities[[#This Row],[House Code]]&lt;&gt;"",INDEX(tbl_Assessment[],MATCH(tbl_estimated_costs_quantities[[#This Row],[House Code]],tbl_Assessment[House Code],0),3),"")</f>
        <v/>
      </c>
      <c r="G703" s="115" t="str">
        <f>IF(tbl_estimated_costs_quantities[[#This Row],[House Code]]&lt;&gt;"",INDEX(tbl_Assessment[],MATCH(tbl_estimated_costs_quantities[[#This Row],[House Code]],tbl_Assessment[House Code],0),9),"")</f>
        <v/>
      </c>
      <c r="H703"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03" s="75"/>
      <c r="J703" s="37"/>
      <c r="K703" s="86">
        <f>tbl_estimated_costs_quantities[[#This Row],[Site Preparation]]*BOQs!$L$3</f>
        <v>0</v>
      </c>
      <c r="L703" s="76"/>
      <c r="M703" s="37"/>
      <c r="N703" s="86">
        <f>tbl_estimated_costs_quantities[[#This Row],[Demolition Removal Unsafe Structures]]*BOQs!$L$4</f>
        <v>0</v>
      </c>
      <c r="O703" s="76"/>
      <c r="P703" s="37"/>
      <c r="Q703" s="86">
        <f>tbl_estimated_costs_quantities[[#This Row],[Concrete Works]]*BOQs!$L$5</f>
        <v>0</v>
      </c>
      <c r="R703" s="76"/>
      <c r="S703" s="37"/>
      <c r="T703" s="86">
        <f>tbl_estimated_costs_quantities[[#This Row],[Closure External Openings Walls Windows]]*BOQs!$L$6</f>
        <v>0</v>
      </c>
      <c r="U703" s="76"/>
      <c r="V703" s="37"/>
      <c r="W703" s="86">
        <f>tbl_estimated_costs_quantities[[#This Row],[Plastering Painting]]*BOQs!$L$7</f>
        <v>0</v>
      </c>
      <c r="X703" s="76"/>
      <c r="Y703" s="37"/>
      <c r="Z703" s="86">
        <f>tbl_estimated_costs_quantities[[#This Row],[Floor Repairs]]*BOQs!$L$8</f>
        <v>0</v>
      </c>
      <c r="AA703" s="76"/>
      <c r="AB703" s="37"/>
      <c r="AC703" s="86">
        <f>tbl_estimated_costs_quantities[[#This Row],[Doors Replacement Repair]]*BOQs!$L$9</f>
        <v>0</v>
      </c>
      <c r="AD703" s="76"/>
      <c r="AE703" s="37"/>
      <c r="AF703" s="86">
        <f>tbl_estimated_costs_quantities[[#This Row],[Windows Replacement Repair]]*BOQs!$L$10</f>
        <v>0</v>
      </c>
      <c r="AG703" s="76"/>
      <c r="AH703" s="37"/>
      <c r="AI703" s="86">
        <f>tbl_estimated_costs_quantities[[#This Row],[Bathroom Rehabilitation]]*BOQs!$L$11</f>
        <v>0</v>
      </c>
      <c r="AJ703" s="76"/>
      <c r="AK703" s="37"/>
      <c r="AL703" s="86">
        <f>tbl_estimated_costs_quantities[[#This Row],[Ceramic Tile Works WASH]]*BOQs!$L$12</f>
        <v>0</v>
      </c>
      <c r="AM703" s="76"/>
      <c r="AN703" s="37"/>
      <c r="AO703" s="86">
        <f>tbl_estimated_costs_quantities[[#This Row],[Electrical Repairs Lighting]]*BOQs!$L$13</f>
        <v>0</v>
      </c>
      <c r="AP703" s="76"/>
      <c r="AQ703" s="37"/>
      <c r="AR703" s="86">
        <f>tbl_estimated_costs_quantities[[#This Row],[Roof Insulation Leak Sealing]]*BOQs!$L$14</f>
        <v>0</v>
      </c>
      <c r="AS703" s="76"/>
      <c r="AT703" s="37"/>
      <c r="AU703" s="86">
        <f>tbl_estimated_costs_quantities[[#This Row],[Chimney Duct Cleaning Repair]]*BOQs!$L$15</f>
        <v>0</v>
      </c>
      <c r="AV703" s="76"/>
      <c r="AW703" s="37"/>
      <c r="AX703" s="89">
        <f>tbl_estimated_costs_quantities[[#This Row],[Accessibility Adaptations]]*BOQs!$L$16</f>
        <v>0</v>
      </c>
      <c r="AY703" s="86" t="str">
        <f>IF(tbl_estimated_costs_quantities[[#This Row],[Total cost]]&lt;&gt;0,tbl_estimated_costs_quantities[[#This Row],[Total cost]]/BOQs!$A$1,"")</f>
        <v/>
      </c>
      <c r="AZ703" s="37"/>
      <c r="BA703" s="37"/>
      <c r="BB703" s="37"/>
      <c r="BC703" s="37"/>
      <c r="BD703" s="41"/>
      <c r="BE703" s="37"/>
      <c r="BF703" s="37"/>
      <c r="BG703" s="37"/>
      <c r="BH703" s="41"/>
    </row>
    <row r="704" spans="2:60" ht="25.35" customHeight="1" x14ac:dyDescent="0.25">
      <c r="B704" s="49">
        <v>700</v>
      </c>
      <c r="C704" s="37"/>
      <c r="D704" s="41"/>
      <c r="E704" s="40"/>
      <c r="F704" s="87" t="str">
        <f>IF(tbl_estimated_costs_quantities[[#This Row],[House Code]]&lt;&gt;"",INDEX(tbl_Assessment[],MATCH(tbl_estimated_costs_quantities[[#This Row],[House Code]],tbl_Assessment[House Code],0),3),"")</f>
        <v/>
      </c>
      <c r="G704" s="115" t="str">
        <f>IF(tbl_estimated_costs_quantities[[#This Row],[House Code]]&lt;&gt;"",INDEX(tbl_Assessment[],MATCH(tbl_estimated_costs_quantities[[#This Row],[House Code]],tbl_Assessment[House Code],0),9),"")</f>
        <v/>
      </c>
      <c r="H704" s="69">
        <f>tbl_estimated_costs_quantities[[#This Row],[Site Preparation Cost]]+tbl_estimated_costs_quantities[[#This Row],[Demolition Removal Unsafe Structures Cost]]+tbl_estimated_costs_quantities[[#This Row],[Concrete Works Cost]]+tbl_estimated_costs_quantities[[#This Row],[Closure External Openings Walls Windows Cost]]+tbl_estimated_costs_quantities[[#This Row],[Plastering Painting Cost]]+tbl_estimated_costs_quantities[[#This Row],[Floor Repairs Cost]]+tbl_estimated_costs_quantities[[#This Row],[Doors Replacement Repair Cost]]+tbl_estimated_costs_quantities[[#This Row],[Windows Replacement Repair Cost]]+tbl_estimated_costs_quantities[[#This Row],[Bathroom Rehabilitation Cost]]+tbl_estimated_costs_quantities[[#This Row],[Ceramic Tile Works WASH Cost]]+tbl_estimated_costs_quantities[[#This Row],[Electrical Repairs Lighting Cost]]+tbl_estimated_costs_quantities[[#This Row],[Roof Insulation Leak Sealing Cost]]+tbl_estimated_costs_quantities[[#This Row],[Chimney Duct Cleaning Repair Cost]]+tbl_estimated_costs_quantities[[#This Row],[Accessibility Adaptations Cost]]</f>
        <v>0</v>
      </c>
      <c r="I704" s="75"/>
      <c r="J704" s="37"/>
      <c r="K704" s="86">
        <f>tbl_estimated_costs_quantities[[#This Row],[Site Preparation]]*BOQs!$L$3</f>
        <v>0</v>
      </c>
      <c r="L704" s="76"/>
      <c r="M704" s="37"/>
      <c r="N704" s="86">
        <f>tbl_estimated_costs_quantities[[#This Row],[Demolition Removal Unsafe Structures]]*BOQs!$L$4</f>
        <v>0</v>
      </c>
      <c r="O704" s="76"/>
      <c r="P704" s="37"/>
      <c r="Q704" s="86">
        <f>tbl_estimated_costs_quantities[[#This Row],[Concrete Works]]*BOQs!$L$5</f>
        <v>0</v>
      </c>
      <c r="R704" s="76"/>
      <c r="S704" s="37"/>
      <c r="T704" s="86">
        <f>tbl_estimated_costs_quantities[[#This Row],[Closure External Openings Walls Windows]]*BOQs!$L$6</f>
        <v>0</v>
      </c>
      <c r="U704" s="76"/>
      <c r="V704" s="37"/>
      <c r="W704" s="86">
        <f>tbl_estimated_costs_quantities[[#This Row],[Plastering Painting]]*BOQs!$L$7</f>
        <v>0</v>
      </c>
      <c r="X704" s="76"/>
      <c r="Y704" s="37"/>
      <c r="Z704" s="86">
        <f>tbl_estimated_costs_quantities[[#This Row],[Floor Repairs]]*BOQs!$L$8</f>
        <v>0</v>
      </c>
      <c r="AA704" s="76"/>
      <c r="AB704" s="37"/>
      <c r="AC704" s="86">
        <f>tbl_estimated_costs_quantities[[#This Row],[Doors Replacement Repair]]*BOQs!$L$9</f>
        <v>0</v>
      </c>
      <c r="AD704" s="76"/>
      <c r="AE704" s="37"/>
      <c r="AF704" s="86">
        <f>tbl_estimated_costs_quantities[[#This Row],[Windows Replacement Repair]]*BOQs!$L$10</f>
        <v>0</v>
      </c>
      <c r="AG704" s="76"/>
      <c r="AH704" s="37"/>
      <c r="AI704" s="86">
        <f>tbl_estimated_costs_quantities[[#This Row],[Bathroom Rehabilitation]]*BOQs!$L$11</f>
        <v>0</v>
      </c>
      <c r="AJ704" s="76"/>
      <c r="AK704" s="37"/>
      <c r="AL704" s="86">
        <f>tbl_estimated_costs_quantities[[#This Row],[Ceramic Tile Works WASH]]*BOQs!$L$12</f>
        <v>0</v>
      </c>
      <c r="AM704" s="76"/>
      <c r="AN704" s="37"/>
      <c r="AO704" s="86">
        <f>tbl_estimated_costs_quantities[[#This Row],[Electrical Repairs Lighting]]*BOQs!$L$13</f>
        <v>0</v>
      </c>
      <c r="AP704" s="76"/>
      <c r="AQ704" s="37"/>
      <c r="AR704" s="86">
        <f>tbl_estimated_costs_quantities[[#This Row],[Roof Insulation Leak Sealing]]*BOQs!$L$14</f>
        <v>0</v>
      </c>
      <c r="AS704" s="76"/>
      <c r="AT704" s="37"/>
      <c r="AU704" s="86">
        <f>tbl_estimated_costs_quantities[[#This Row],[Chimney Duct Cleaning Repair]]*BOQs!$L$15</f>
        <v>0</v>
      </c>
      <c r="AV704" s="76"/>
      <c r="AW704" s="37"/>
      <c r="AX704" s="89">
        <f>tbl_estimated_costs_quantities[[#This Row],[Accessibility Adaptations]]*BOQs!$L$16</f>
        <v>0</v>
      </c>
      <c r="AY704" s="86" t="str">
        <f>IF(tbl_estimated_costs_quantities[[#This Row],[Total cost]]&lt;&gt;0,tbl_estimated_costs_quantities[[#This Row],[Total cost]]/BOQs!$A$1,"")</f>
        <v/>
      </c>
      <c r="AZ704" s="37"/>
      <c r="BA704" s="37"/>
      <c r="BB704" s="37"/>
      <c r="BC704" s="37"/>
      <c r="BD704" s="41"/>
      <c r="BE704" s="37"/>
      <c r="BF704" s="37"/>
      <c r="BG704" s="37"/>
      <c r="BH704" s="41"/>
    </row>
    <row r="705" s="21" customFormat="1" ht="15" customHeight="1" x14ac:dyDescent="0.25"/>
    <row r="706" s="21" customFormat="1" ht="15" customHeight="1" x14ac:dyDescent="0.25"/>
    <row r="707" s="21" customFormat="1" ht="15" customHeight="1" x14ac:dyDescent="0.25"/>
    <row r="708" s="21" customFormat="1" ht="15" customHeight="1" x14ac:dyDescent="0.25"/>
    <row r="709" s="21" customFormat="1" ht="15" customHeight="1" x14ac:dyDescent="0.25"/>
    <row r="710" s="21" customFormat="1" ht="15" customHeight="1" x14ac:dyDescent="0.25"/>
    <row r="711" s="21" customFormat="1" ht="15" customHeight="1" x14ac:dyDescent="0.25"/>
    <row r="712" s="21" customFormat="1" ht="15" customHeight="1" x14ac:dyDescent="0.25"/>
    <row r="713" s="21" customFormat="1" ht="15" customHeight="1" x14ac:dyDescent="0.25"/>
    <row r="714" s="21" customFormat="1" ht="15" customHeight="1" x14ac:dyDescent="0.25"/>
    <row r="715" s="21" customFormat="1" ht="15" customHeight="1" x14ac:dyDescent="0.25"/>
    <row r="716" s="21" customFormat="1" ht="15" customHeight="1" x14ac:dyDescent="0.25"/>
    <row r="717" s="21" customFormat="1" ht="15" customHeight="1" x14ac:dyDescent="0.25"/>
    <row r="718" s="21" customFormat="1" ht="15" customHeight="1" x14ac:dyDescent="0.25"/>
    <row r="719" s="21" customFormat="1" ht="15" customHeight="1" x14ac:dyDescent="0.25"/>
    <row r="720" s="21" customFormat="1" ht="15" customHeight="1" x14ac:dyDescent="0.25"/>
    <row r="721" s="21" customFormat="1" ht="15" customHeight="1" x14ac:dyDescent="0.25"/>
    <row r="722" s="21" customFormat="1" ht="15" customHeight="1" x14ac:dyDescent="0.25"/>
    <row r="723" s="21" customFormat="1" ht="15" customHeight="1" x14ac:dyDescent="0.25"/>
    <row r="724" s="21" customFormat="1" ht="15" customHeight="1" x14ac:dyDescent="0.25"/>
    <row r="725" s="21" customFormat="1" ht="15" customHeight="1" x14ac:dyDescent="0.25"/>
    <row r="726" s="21" customFormat="1" ht="15" customHeight="1" x14ac:dyDescent="0.25"/>
    <row r="727" s="21" customFormat="1" ht="15" customHeight="1" x14ac:dyDescent="0.25"/>
    <row r="728" s="21" customFormat="1" ht="15" customHeight="1" x14ac:dyDescent="0.25"/>
    <row r="729" s="21" customFormat="1" ht="15" customHeight="1" x14ac:dyDescent="0.25"/>
    <row r="730" s="21" customFormat="1" ht="15" customHeight="1" x14ac:dyDescent="0.25"/>
    <row r="731" s="21" customFormat="1" ht="15" customHeight="1" x14ac:dyDescent="0.25"/>
    <row r="732" s="21" customFormat="1" ht="15" customHeight="1" x14ac:dyDescent="0.25"/>
    <row r="733" s="21" customFormat="1" ht="15" customHeight="1" x14ac:dyDescent="0.25"/>
    <row r="734" s="21" customFormat="1" ht="15" customHeight="1" x14ac:dyDescent="0.25"/>
    <row r="735" s="21" customFormat="1" ht="15" customHeight="1" x14ac:dyDescent="0.25"/>
    <row r="736" s="21" customFormat="1" ht="15" customHeight="1" x14ac:dyDescent="0.25"/>
    <row r="737" s="21" customFormat="1" ht="15" customHeight="1" x14ac:dyDescent="0.25"/>
    <row r="738" s="21" customFormat="1" ht="15" customHeight="1" x14ac:dyDescent="0.25"/>
    <row r="739" s="21" customFormat="1" ht="15" customHeight="1" x14ac:dyDescent="0.25"/>
    <row r="740" s="21" customFormat="1" ht="15" customHeight="1" x14ac:dyDescent="0.25"/>
    <row r="741" s="21" customFormat="1" ht="15" customHeight="1" x14ac:dyDescent="0.25"/>
    <row r="742" s="21" customFormat="1" ht="15" customHeight="1" x14ac:dyDescent="0.25"/>
    <row r="743" s="21" customFormat="1" ht="15" customHeight="1" x14ac:dyDescent="0.25"/>
    <row r="744" s="21" customFormat="1" ht="15" customHeight="1" x14ac:dyDescent="0.25"/>
    <row r="745" s="21" customFormat="1" ht="15" customHeight="1" x14ac:dyDescent="0.25"/>
    <row r="746" s="21" customFormat="1" ht="15" customHeight="1" x14ac:dyDescent="0.25"/>
    <row r="747" s="21" customFormat="1" ht="15" customHeight="1" x14ac:dyDescent="0.25"/>
    <row r="748" s="21" customFormat="1" ht="15" customHeight="1" x14ac:dyDescent="0.25"/>
    <row r="749" s="21" customFormat="1" ht="15" customHeight="1" x14ac:dyDescent="0.25"/>
    <row r="750" s="21" customFormat="1" ht="15" customHeight="1" x14ac:dyDescent="0.25"/>
    <row r="751" s="21" customFormat="1" ht="15" customHeight="1" x14ac:dyDescent="0.25"/>
    <row r="752" s="21" customFormat="1" ht="15" customHeight="1" x14ac:dyDescent="0.25"/>
    <row r="753" s="21" customFormat="1" ht="15" customHeight="1" x14ac:dyDescent="0.25"/>
    <row r="754" s="21" customFormat="1" ht="15" customHeight="1" x14ac:dyDescent="0.25"/>
    <row r="755" s="21" customFormat="1" ht="15" customHeight="1" x14ac:dyDescent="0.25"/>
    <row r="756" s="21" customFormat="1" ht="15" customHeight="1" x14ac:dyDescent="0.25"/>
    <row r="757" s="21" customFormat="1" ht="15" customHeight="1" x14ac:dyDescent="0.25"/>
    <row r="758" s="21" customFormat="1" ht="15" customHeight="1" x14ac:dyDescent="0.25"/>
    <row r="759" s="21" customFormat="1" ht="15" customHeight="1" x14ac:dyDescent="0.25"/>
    <row r="760" s="21" customFormat="1" ht="15" customHeight="1" x14ac:dyDescent="0.25"/>
    <row r="761" s="21" customFormat="1" ht="15" customHeight="1" x14ac:dyDescent="0.25"/>
    <row r="762" s="21" customFormat="1" ht="15" customHeight="1" x14ac:dyDescent="0.25"/>
    <row r="763" s="21" customFormat="1" ht="15" customHeight="1" x14ac:dyDescent="0.25"/>
    <row r="764" s="21" customFormat="1" ht="15" customHeight="1" x14ac:dyDescent="0.25"/>
    <row r="765" s="21" customFormat="1" ht="15" customHeight="1" x14ac:dyDescent="0.25"/>
    <row r="766" s="21" customFormat="1" ht="15" customHeight="1" x14ac:dyDescent="0.25"/>
    <row r="767" s="21" customFormat="1" ht="15" customHeight="1" x14ac:dyDescent="0.25"/>
    <row r="768" s="21" customFormat="1" ht="15" customHeight="1" x14ac:dyDescent="0.25"/>
    <row r="769" s="21" customFormat="1" ht="15" customHeight="1" x14ac:dyDescent="0.25"/>
    <row r="770" s="21" customFormat="1" ht="15" customHeight="1" x14ac:dyDescent="0.25"/>
    <row r="771" s="21" customFormat="1" ht="15" customHeight="1" x14ac:dyDescent="0.25"/>
    <row r="772" s="21" customFormat="1" ht="15" customHeight="1" x14ac:dyDescent="0.25"/>
    <row r="773" s="21" customFormat="1" ht="15" customHeight="1" x14ac:dyDescent="0.25"/>
    <row r="774" s="21" customFormat="1" ht="15" customHeight="1" x14ac:dyDescent="0.25"/>
    <row r="775" s="21" customFormat="1" ht="15" customHeight="1" x14ac:dyDescent="0.25"/>
    <row r="776" s="21" customFormat="1" ht="15" customHeight="1" x14ac:dyDescent="0.25"/>
    <row r="777" s="21" customFormat="1" ht="15" customHeight="1" x14ac:dyDescent="0.25"/>
    <row r="778" s="21" customFormat="1" ht="15" customHeight="1" x14ac:dyDescent="0.25"/>
    <row r="779" s="21" customFormat="1" ht="15" customHeight="1" x14ac:dyDescent="0.25"/>
    <row r="780" s="21" customFormat="1" ht="15" customHeight="1" x14ac:dyDescent="0.25"/>
    <row r="781" s="21" customFormat="1" ht="15" customHeight="1" x14ac:dyDescent="0.25"/>
    <row r="782" s="21" customFormat="1" ht="15" customHeight="1" x14ac:dyDescent="0.25"/>
    <row r="783" s="21" customFormat="1" ht="15" customHeight="1" x14ac:dyDescent="0.25"/>
    <row r="784" s="21" customFormat="1" ht="15" customHeight="1" x14ac:dyDescent="0.25"/>
    <row r="785" s="21" customFormat="1" ht="15" customHeight="1" x14ac:dyDescent="0.25"/>
    <row r="786" s="21" customFormat="1" ht="15" customHeight="1" x14ac:dyDescent="0.25"/>
    <row r="787" s="21" customFormat="1" ht="15" customHeight="1" x14ac:dyDescent="0.25"/>
    <row r="788" s="21" customFormat="1" ht="15" customHeight="1" x14ac:dyDescent="0.25"/>
    <row r="789" s="21" customFormat="1" ht="15" customHeight="1" x14ac:dyDescent="0.25"/>
    <row r="790" s="21" customFormat="1" ht="15" customHeight="1" x14ac:dyDescent="0.25"/>
    <row r="791" s="21" customFormat="1" ht="15" customHeight="1" x14ac:dyDescent="0.25"/>
    <row r="792" s="21" customFormat="1" ht="15" customHeight="1" x14ac:dyDescent="0.25"/>
    <row r="793" s="21" customFormat="1" ht="15" customHeight="1" x14ac:dyDescent="0.25"/>
    <row r="794" s="21" customFormat="1" ht="15" customHeight="1" x14ac:dyDescent="0.25"/>
    <row r="795" s="21" customFormat="1" ht="15" customHeight="1" x14ac:dyDescent="0.25"/>
    <row r="796" s="21" customFormat="1" ht="15" customHeight="1" x14ac:dyDescent="0.25"/>
    <row r="797" s="21" customFormat="1" ht="15" customHeight="1" x14ac:dyDescent="0.25"/>
    <row r="798" s="21" customFormat="1" ht="15" customHeight="1" x14ac:dyDescent="0.25"/>
    <row r="799" s="21" customFormat="1" ht="15" customHeight="1" x14ac:dyDescent="0.25"/>
    <row r="800" s="21" customFormat="1" ht="15" customHeight="1" x14ac:dyDescent="0.25"/>
    <row r="801" s="21" customFormat="1" ht="15" customHeight="1" x14ac:dyDescent="0.25"/>
    <row r="802" s="21" customFormat="1" ht="15" customHeight="1" x14ac:dyDescent="0.25"/>
    <row r="803" s="21" customFormat="1" ht="15" customHeight="1" x14ac:dyDescent="0.25"/>
    <row r="804" s="21" customFormat="1" ht="15" customHeight="1" x14ac:dyDescent="0.25"/>
    <row r="805" s="21" customFormat="1" ht="15" customHeight="1" x14ac:dyDescent="0.25"/>
    <row r="806" s="21" customFormat="1" ht="15" customHeight="1" x14ac:dyDescent="0.25"/>
    <row r="807" s="21" customFormat="1" ht="15" customHeight="1" x14ac:dyDescent="0.25"/>
    <row r="808" s="21" customFormat="1" ht="15" customHeight="1" x14ac:dyDescent="0.25"/>
    <row r="809" s="21" customFormat="1" ht="15" customHeight="1" x14ac:dyDescent="0.25"/>
    <row r="810" s="21" customFormat="1" ht="15" customHeight="1" x14ac:dyDescent="0.25"/>
    <row r="811" s="21" customFormat="1" ht="15" customHeight="1" x14ac:dyDescent="0.25"/>
    <row r="812" s="21" customFormat="1" ht="15" customHeight="1" x14ac:dyDescent="0.25"/>
    <row r="813" s="21" customFormat="1" ht="15" customHeight="1" x14ac:dyDescent="0.25"/>
    <row r="814" s="21" customFormat="1" ht="15" customHeight="1" x14ac:dyDescent="0.25"/>
    <row r="815" s="21" customFormat="1" ht="15" customHeight="1" x14ac:dyDescent="0.25"/>
    <row r="816" s="21" customFormat="1" ht="15" customHeight="1" x14ac:dyDescent="0.25"/>
    <row r="817" s="21" customFormat="1" ht="15" customHeight="1" x14ac:dyDescent="0.25"/>
    <row r="818" s="21" customFormat="1" ht="15" customHeight="1" x14ac:dyDescent="0.25"/>
    <row r="819" s="21" customFormat="1" ht="15" customHeight="1" x14ac:dyDescent="0.25"/>
    <row r="820" s="21" customFormat="1" ht="15" customHeight="1" x14ac:dyDescent="0.25"/>
    <row r="821" s="21" customFormat="1" ht="15" customHeight="1" x14ac:dyDescent="0.25"/>
    <row r="822" s="21" customFormat="1" ht="15" customHeight="1" x14ac:dyDescent="0.25"/>
    <row r="823" s="21" customFormat="1" ht="15" customHeight="1" x14ac:dyDescent="0.25"/>
    <row r="824" s="21" customFormat="1" ht="15" customHeight="1" x14ac:dyDescent="0.25"/>
    <row r="825" s="21" customFormat="1" ht="15" customHeight="1" x14ac:dyDescent="0.25"/>
    <row r="826" s="21" customFormat="1" ht="15" customHeight="1" x14ac:dyDescent="0.25"/>
    <row r="827" s="21" customFormat="1" ht="15" customHeight="1" x14ac:dyDescent="0.25"/>
    <row r="828" s="21" customFormat="1" ht="15" customHeight="1" x14ac:dyDescent="0.25"/>
    <row r="829" s="21" customFormat="1" ht="15" customHeight="1" x14ac:dyDescent="0.25"/>
    <row r="830" s="21" customFormat="1" ht="15" customHeight="1" x14ac:dyDescent="0.25"/>
    <row r="831" s="21" customFormat="1" ht="15" customHeight="1" x14ac:dyDescent="0.25"/>
    <row r="832" s="21" customFormat="1" ht="15" customHeight="1" x14ac:dyDescent="0.25"/>
    <row r="833" s="21" customFormat="1" ht="15" customHeight="1" x14ac:dyDescent="0.25"/>
    <row r="834" s="21" customFormat="1" ht="15" customHeight="1" x14ac:dyDescent="0.25"/>
    <row r="835" s="21" customFormat="1" ht="15" customHeight="1" x14ac:dyDescent="0.25"/>
    <row r="836" s="21" customFormat="1" ht="15" customHeight="1" x14ac:dyDescent="0.25"/>
    <row r="837" s="21" customFormat="1" ht="15" customHeight="1" x14ac:dyDescent="0.25"/>
    <row r="838" s="21" customFormat="1" ht="15" customHeight="1" x14ac:dyDescent="0.25"/>
    <row r="839" s="21" customFormat="1" ht="15" customHeight="1" x14ac:dyDescent="0.25"/>
    <row r="840" s="21" customFormat="1" ht="15" customHeight="1" x14ac:dyDescent="0.25"/>
    <row r="841" s="21" customFormat="1" ht="15" customHeight="1" x14ac:dyDescent="0.25"/>
    <row r="842" s="21" customFormat="1" ht="15" customHeight="1" x14ac:dyDescent="0.25"/>
    <row r="843" s="21" customFormat="1" ht="15" customHeight="1" x14ac:dyDescent="0.25"/>
    <row r="844" s="21" customFormat="1" ht="15" customHeight="1" x14ac:dyDescent="0.25"/>
    <row r="845" s="21" customFormat="1" ht="15" customHeight="1" x14ac:dyDescent="0.25"/>
    <row r="846" s="21" customFormat="1" ht="15" customHeight="1" x14ac:dyDescent="0.25"/>
    <row r="847" s="21" customFormat="1" ht="15" customHeight="1" x14ac:dyDescent="0.25"/>
    <row r="848" s="21" customFormat="1" ht="15" customHeight="1" x14ac:dyDescent="0.25"/>
    <row r="849" s="21" customFormat="1" ht="15" customHeight="1" x14ac:dyDescent="0.25"/>
    <row r="850" s="21" customFormat="1" ht="15" customHeight="1" x14ac:dyDescent="0.25"/>
    <row r="851" s="21" customFormat="1" ht="15" customHeight="1" x14ac:dyDescent="0.25"/>
    <row r="852" s="21" customFormat="1" ht="15" customHeight="1" x14ac:dyDescent="0.25"/>
    <row r="853" s="21" customFormat="1" ht="15" customHeight="1" x14ac:dyDescent="0.25"/>
    <row r="854" s="21" customFormat="1" ht="15" customHeight="1" x14ac:dyDescent="0.25"/>
    <row r="855" s="21" customFormat="1" ht="15" customHeight="1" x14ac:dyDescent="0.25"/>
    <row r="856" s="21" customFormat="1" ht="15" customHeight="1" x14ac:dyDescent="0.25"/>
    <row r="857" s="21" customFormat="1" ht="15" customHeight="1" x14ac:dyDescent="0.25"/>
    <row r="858" s="21" customFormat="1" ht="15" customHeight="1" x14ac:dyDescent="0.25"/>
    <row r="859" s="21" customFormat="1" ht="15" customHeight="1" x14ac:dyDescent="0.25"/>
    <row r="860" s="21" customFormat="1" ht="15" customHeight="1" x14ac:dyDescent="0.25"/>
    <row r="861" s="21" customFormat="1" ht="15" customHeight="1" x14ac:dyDescent="0.25"/>
    <row r="862" s="21" customFormat="1" ht="15" customHeight="1" x14ac:dyDescent="0.25"/>
    <row r="863" s="21" customFormat="1" ht="15" customHeight="1" x14ac:dyDescent="0.25"/>
    <row r="864" s="21" customFormat="1" ht="15" customHeight="1" x14ac:dyDescent="0.25"/>
    <row r="865" s="21" customFormat="1" ht="15" customHeight="1" x14ac:dyDescent="0.25"/>
    <row r="866" s="21" customFormat="1" ht="15" customHeight="1" x14ac:dyDescent="0.25"/>
    <row r="867" s="21" customFormat="1" ht="15" customHeight="1" x14ac:dyDescent="0.25"/>
    <row r="868" s="21" customFormat="1" ht="15" customHeight="1" x14ac:dyDescent="0.25"/>
    <row r="869" s="21" customFormat="1" ht="15" customHeight="1" x14ac:dyDescent="0.25"/>
    <row r="870" s="21" customFormat="1" ht="15" customHeight="1" x14ac:dyDescent="0.25"/>
    <row r="871" s="21" customFormat="1" ht="15" customHeight="1" x14ac:dyDescent="0.25"/>
    <row r="872" s="21" customFormat="1" ht="15" customHeight="1" x14ac:dyDescent="0.25"/>
    <row r="873" s="21" customFormat="1" ht="15" customHeight="1" x14ac:dyDescent="0.25"/>
    <row r="874" s="21" customFormat="1" ht="15" customHeight="1" x14ac:dyDescent="0.25"/>
    <row r="875" s="21" customFormat="1" ht="15" customHeight="1" x14ac:dyDescent="0.25"/>
    <row r="876" s="21" customFormat="1" ht="15" customHeight="1" x14ac:dyDescent="0.25"/>
    <row r="877" s="21" customFormat="1" ht="15" customHeight="1" x14ac:dyDescent="0.25"/>
    <row r="878" s="21" customFormat="1" ht="15" customHeight="1" x14ac:dyDescent="0.25"/>
    <row r="879" s="21" customFormat="1" ht="15" customHeight="1" x14ac:dyDescent="0.25"/>
    <row r="880" s="21" customFormat="1" ht="15" customHeight="1" x14ac:dyDescent="0.25"/>
    <row r="881" s="21" customFormat="1" ht="15" customHeight="1" x14ac:dyDescent="0.25"/>
    <row r="882" s="21" customFormat="1" ht="15" customHeight="1" x14ac:dyDescent="0.25"/>
    <row r="883" s="21" customFormat="1" ht="15" customHeight="1" x14ac:dyDescent="0.25"/>
    <row r="884" s="21" customFormat="1" ht="15" customHeight="1" x14ac:dyDescent="0.25"/>
    <row r="885" s="21" customFormat="1" ht="15" customHeight="1" x14ac:dyDescent="0.25"/>
    <row r="886" s="21" customFormat="1" ht="15" customHeight="1" x14ac:dyDescent="0.25"/>
    <row r="887" s="21" customFormat="1" ht="15" customHeight="1" x14ac:dyDescent="0.25"/>
    <row r="888" s="21" customFormat="1" ht="15" customHeight="1" x14ac:dyDescent="0.25"/>
    <row r="889" s="21" customFormat="1" ht="15" customHeight="1" x14ac:dyDescent="0.25"/>
    <row r="890" s="21" customFormat="1" ht="15" customHeight="1" x14ac:dyDescent="0.25"/>
    <row r="891" s="21" customFormat="1" ht="15" customHeight="1" x14ac:dyDescent="0.25"/>
    <row r="892" s="21" customFormat="1" ht="15" customHeight="1" x14ac:dyDescent="0.25"/>
    <row r="893" s="21" customFormat="1" ht="15" customHeight="1" x14ac:dyDescent="0.25"/>
    <row r="894" s="21" customFormat="1" ht="15" customHeight="1" x14ac:dyDescent="0.25"/>
    <row r="895" s="21" customFormat="1" ht="15" customHeight="1" x14ac:dyDescent="0.25"/>
    <row r="896" s="21" customFormat="1" ht="15" customHeight="1" x14ac:dyDescent="0.25"/>
    <row r="897" s="21" customFormat="1" ht="15" customHeight="1" x14ac:dyDescent="0.25"/>
    <row r="898" s="21" customFormat="1" ht="15" customHeight="1" x14ac:dyDescent="0.25"/>
    <row r="899" s="21" customFormat="1" ht="15" customHeight="1" x14ac:dyDescent="0.25"/>
    <row r="900" s="21" customFormat="1" ht="15" customHeight="1" x14ac:dyDescent="0.25"/>
    <row r="901" s="21" customFormat="1" ht="15" customHeight="1" x14ac:dyDescent="0.25"/>
    <row r="902" s="21" customFormat="1" ht="15" customHeight="1" x14ac:dyDescent="0.25"/>
    <row r="903" s="21" customFormat="1" ht="15" customHeight="1" x14ac:dyDescent="0.25"/>
    <row r="904" s="21" customFormat="1" ht="15" customHeight="1" x14ac:dyDescent="0.25"/>
    <row r="905" s="21" customFormat="1" ht="15" customHeight="1" x14ac:dyDescent="0.25"/>
    <row r="906" s="21" customFormat="1" ht="15" customHeight="1" x14ac:dyDescent="0.25"/>
    <row r="907" s="21" customFormat="1" ht="15" customHeight="1" x14ac:dyDescent="0.25"/>
    <row r="908" s="21" customFormat="1" ht="15" customHeight="1" x14ac:dyDescent="0.25"/>
    <row r="909" s="21" customFormat="1" ht="15" customHeight="1" x14ac:dyDescent="0.25"/>
    <row r="910" s="21" customFormat="1" ht="15" customHeight="1" x14ac:dyDescent="0.25"/>
    <row r="911" s="21" customFormat="1" ht="15" customHeight="1" x14ac:dyDescent="0.25"/>
    <row r="912" s="21" customFormat="1" ht="15" customHeight="1" x14ac:dyDescent="0.25"/>
    <row r="913" s="21" customFormat="1" ht="15" customHeight="1" x14ac:dyDescent="0.25"/>
    <row r="914" s="21" customFormat="1" ht="15" customHeight="1" x14ac:dyDescent="0.25"/>
    <row r="915" s="21" customFormat="1" ht="15" customHeight="1" x14ac:dyDescent="0.25"/>
    <row r="916" s="21" customFormat="1" ht="15" customHeight="1" x14ac:dyDescent="0.25"/>
    <row r="917" s="21" customFormat="1" ht="15" customHeight="1" x14ac:dyDescent="0.25"/>
    <row r="918" s="21" customFormat="1" ht="15" customHeight="1" x14ac:dyDescent="0.25"/>
    <row r="919" s="21" customFormat="1" ht="15" customHeight="1" x14ac:dyDescent="0.25"/>
    <row r="920" s="21" customFormat="1" ht="15" customHeight="1" x14ac:dyDescent="0.25"/>
    <row r="921" s="21" customFormat="1" ht="15" customHeight="1" x14ac:dyDescent="0.25"/>
    <row r="922" s="21" customFormat="1" ht="15" customHeight="1" x14ac:dyDescent="0.25"/>
    <row r="923" s="21" customFormat="1" ht="15" customHeight="1" x14ac:dyDescent="0.25"/>
    <row r="924" s="21" customFormat="1" ht="15" customHeight="1" x14ac:dyDescent="0.25"/>
    <row r="925" s="21" customFormat="1" ht="15" customHeight="1" x14ac:dyDescent="0.25"/>
    <row r="926" s="21" customFormat="1" ht="15" customHeight="1" x14ac:dyDescent="0.25"/>
    <row r="927" s="21" customFormat="1" ht="15" customHeight="1" x14ac:dyDescent="0.25"/>
    <row r="928" s="21" customFormat="1" ht="15" customHeight="1" x14ac:dyDescent="0.25"/>
    <row r="929" s="21" customFormat="1" ht="15" customHeight="1" x14ac:dyDescent="0.25"/>
    <row r="930" s="21" customFormat="1" ht="15" customHeight="1" x14ac:dyDescent="0.25"/>
    <row r="931" s="21" customFormat="1" ht="15" customHeight="1" x14ac:dyDescent="0.25"/>
    <row r="932" s="21" customFormat="1" ht="15" customHeight="1" x14ac:dyDescent="0.25"/>
    <row r="933" s="21" customFormat="1" ht="15" customHeight="1" x14ac:dyDescent="0.25"/>
    <row r="934" s="21" customFormat="1" ht="15" customHeight="1" x14ac:dyDescent="0.25"/>
    <row r="935" s="21" customFormat="1" ht="15" customHeight="1" x14ac:dyDescent="0.25"/>
    <row r="936" s="21" customFormat="1" ht="15" customHeight="1" x14ac:dyDescent="0.25"/>
    <row r="937" s="21" customFormat="1" ht="15" customHeight="1" x14ac:dyDescent="0.25"/>
    <row r="938" s="21" customFormat="1" ht="15" customHeight="1" x14ac:dyDescent="0.25"/>
    <row r="939" s="21" customFormat="1" ht="15" customHeight="1" x14ac:dyDescent="0.25"/>
    <row r="940" s="21" customFormat="1" ht="15" customHeight="1" x14ac:dyDescent="0.25"/>
    <row r="941" s="21" customFormat="1" ht="15" customHeight="1" x14ac:dyDescent="0.25"/>
    <row r="942" s="21" customFormat="1" ht="15" customHeight="1" x14ac:dyDescent="0.25"/>
    <row r="943" s="21" customFormat="1" ht="15" customHeight="1" x14ac:dyDescent="0.25"/>
    <row r="944" s="21" customFormat="1" ht="15" customHeight="1" x14ac:dyDescent="0.25"/>
    <row r="945" s="21" customFormat="1" ht="15" customHeight="1" x14ac:dyDescent="0.25"/>
    <row r="946" s="21" customFormat="1" ht="15" customHeight="1" x14ac:dyDescent="0.25"/>
    <row r="947" s="21" customFormat="1" ht="15" customHeight="1" x14ac:dyDescent="0.25"/>
    <row r="948" s="21" customFormat="1" ht="15" customHeight="1" x14ac:dyDescent="0.25"/>
    <row r="949" s="21" customFormat="1" ht="15" customHeight="1" x14ac:dyDescent="0.25"/>
    <row r="950" s="21" customFormat="1" ht="15" customHeight="1" x14ac:dyDescent="0.25"/>
    <row r="951" s="21" customFormat="1" ht="15" customHeight="1" x14ac:dyDescent="0.25"/>
    <row r="952" s="21" customFormat="1" ht="15" customHeight="1" x14ac:dyDescent="0.25"/>
    <row r="953" s="21" customFormat="1" ht="15" customHeight="1" x14ac:dyDescent="0.25"/>
    <row r="954" s="21" customFormat="1" ht="15" customHeight="1" x14ac:dyDescent="0.25"/>
    <row r="955" s="21" customFormat="1" ht="15" customHeight="1" x14ac:dyDescent="0.25"/>
    <row r="956" s="21" customFormat="1" ht="15" customHeight="1" x14ac:dyDescent="0.25"/>
    <row r="957" s="21" customFormat="1" ht="15" customHeight="1" x14ac:dyDescent="0.25"/>
    <row r="958" s="21" customFormat="1" ht="15" customHeight="1" x14ac:dyDescent="0.25"/>
    <row r="959" s="21" customFormat="1" ht="15" customHeight="1" x14ac:dyDescent="0.25"/>
    <row r="960" s="21" customFormat="1" ht="15" customHeight="1" x14ac:dyDescent="0.25"/>
    <row r="961" s="21" customFormat="1" ht="15" customHeight="1" x14ac:dyDescent="0.25"/>
    <row r="962" s="21" customFormat="1" ht="15" customHeight="1" x14ac:dyDescent="0.25"/>
    <row r="963" s="21" customFormat="1" ht="15" customHeight="1" x14ac:dyDescent="0.25"/>
    <row r="964" s="21" customFormat="1" ht="15" customHeight="1" x14ac:dyDescent="0.25"/>
    <row r="965" s="21" customFormat="1" ht="15" customHeight="1" x14ac:dyDescent="0.25"/>
    <row r="966" s="21" customFormat="1" ht="15" customHeight="1" x14ac:dyDescent="0.25"/>
    <row r="967" s="21" customFormat="1" ht="15" customHeight="1" x14ac:dyDescent="0.25"/>
    <row r="968" s="21" customFormat="1" ht="15" customHeight="1" x14ac:dyDescent="0.25"/>
    <row r="969" s="21" customFormat="1" ht="15" customHeight="1" x14ac:dyDescent="0.25"/>
    <row r="970" s="21" customFormat="1" ht="15" customHeight="1" x14ac:dyDescent="0.25"/>
    <row r="971" s="21" customFormat="1" ht="15" customHeight="1" x14ac:dyDescent="0.25"/>
    <row r="972" s="21" customFormat="1" ht="15" customHeight="1" x14ac:dyDescent="0.25"/>
    <row r="973" s="21" customFormat="1" ht="15" customHeight="1" x14ac:dyDescent="0.25"/>
    <row r="974" s="21" customFormat="1" ht="15" customHeight="1" x14ac:dyDescent="0.25"/>
    <row r="975" s="21" customFormat="1" ht="15" customHeight="1" x14ac:dyDescent="0.25"/>
    <row r="976" s="21" customFormat="1" ht="15" customHeight="1" x14ac:dyDescent="0.25"/>
    <row r="977" s="21" customFormat="1" ht="15" customHeight="1" x14ac:dyDescent="0.25"/>
    <row r="978" s="21" customFormat="1" ht="15" customHeight="1" x14ac:dyDescent="0.25"/>
    <row r="979" s="21" customFormat="1" ht="15" customHeight="1" x14ac:dyDescent="0.25"/>
    <row r="980" s="21" customFormat="1" ht="15" customHeight="1" x14ac:dyDescent="0.25"/>
    <row r="981" s="21" customFormat="1" ht="15" customHeight="1" x14ac:dyDescent="0.25"/>
    <row r="982" s="21" customFormat="1" ht="15" customHeight="1" x14ac:dyDescent="0.25"/>
    <row r="983" s="21" customFormat="1" ht="15" customHeight="1" x14ac:dyDescent="0.25"/>
    <row r="984" s="21" customFormat="1" ht="15" customHeight="1" x14ac:dyDescent="0.25"/>
    <row r="985" s="21" customFormat="1" ht="15" customHeight="1" x14ac:dyDescent="0.25"/>
    <row r="986" s="21" customFormat="1" ht="15" customHeight="1" x14ac:dyDescent="0.25"/>
    <row r="987" s="21" customFormat="1" ht="15" customHeight="1" x14ac:dyDescent="0.25"/>
    <row r="988" s="21" customFormat="1" ht="15" customHeight="1" x14ac:dyDescent="0.25"/>
    <row r="989" s="21" customFormat="1" ht="15" customHeight="1" x14ac:dyDescent="0.25"/>
    <row r="990" s="21" customFormat="1" ht="15" customHeight="1" x14ac:dyDescent="0.25"/>
    <row r="991" s="21" customFormat="1" ht="15" customHeight="1" x14ac:dyDescent="0.25"/>
    <row r="992" s="21" customFormat="1" ht="15" customHeight="1" x14ac:dyDescent="0.25"/>
    <row r="993" s="21" customFormat="1" ht="15" customHeight="1" x14ac:dyDescent="0.25"/>
    <row r="994" s="21" customFormat="1" ht="15" customHeight="1" x14ac:dyDescent="0.25"/>
    <row r="995" s="21" customFormat="1" ht="15" customHeight="1" x14ac:dyDescent="0.25"/>
    <row r="996" s="21" customFormat="1" ht="15" customHeight="1" x14ac:dyDescent="0.25"/>
    <row r="997" s="21" customFormat="1" ht="15" customHeight="1" x14ac:dyDescent="0.25"/>
    <row r="998" s="21" customFormat="1" ht="15" customHeight="1" x14ac:dyDescent="0.25"/>
    <row r="999" s="21" customFormat="1" ht="15" customHeight="1" x14ac:dyDescent="0.25"/>
    <row r="1000" s="21" customFormat="1" ht="15" customHeight="1" x14ac:dyDescent="0.25"/>
    <row r="1001" s="21" customFormat="1" ht="15" customHeight="1" x14ac:dyDescent="0.25"/>
    <row r="1002" s="21" customFormat="1" ht="15" customHeight="1" x14ac:dyDescent="0.25"/>
    <row r="1003" s="21" customFormat="1" ht="15" customHeight="1" x14ac:dyDescent="0.25"/>
    <row r="1004" s="21" customFormat="1" ht="15" customHeight="1" x14ac:dyDescent="0.25"/>
    <row r="1005" s="21" customFormat="1" ht="15" customHeight="1" x14ac:dyDescent="0.25"/>
    <row r="1006" s="21" customFormat="1" ht="15" customHeight="1" x14ac:dyDescent="0.25"/>
    <row r="1007" s="21" customFormat="1" ht="15" customHeight="1" x14ac:dyDescent="0.25"/>
    <row r="1008" s="21" customFormat="1" ht="15" customHeight="1" x14ac:dyDescent="0.25"/>
    <row r="1009" s="21" customFormat="1" ht="15" customHeight="1" x14ac:dyDescent="0.25"/>
    <row r="1010" s="21" customFormat="1" ht="15" customHeight="1" x14ac:dyDescent="0.25"/>
    <row r="1011" s="21" customFormat="1" ht="15" customHeight="1" x14ac:dyDescent="0.25"/>
    <row r="1012" s="21" customFormat="1" ht="15" customHeight="1" x14ac:dyDescent="0.25"/>
    <row r="1013" s="21" customFormat="1" ht="15" customHeight="1" x14ac:dyDescent="0.25"/>
    <row r="1014" s="21" customFormat="1" ht="15" customHeight="1" x14ac:dyDescent="0.25"/>
    <row r="1015" s="21" customFormat="1" ht="15" customHeight="1" x14ac:dyDescent="0.25"/>
    <row r="1016" s="21" customFormat="1" ht="15" customHeight="1" x14ac:dyDescent="0.25"/>
    <row r="1017" s="21" customFormat="1" ht="15" customHeight="1" x14ac:dyDescent="0.25"/>
    <row r="1018" s="21" customFormat="1" ht="15" customHeight="1" x14ac:dyDescent="0.25"/>
    <row r="1019" s="21" customFormat="1" ht="15" customHeight="1" x14ac:dyDescent="0.25"/>
    <row r="1020" s="21" customFormat="1" ht="15" customHeight="1" x14ac:dyDescent="0.25"/>
    <row r="1021" s="21" customFormat="1" ht="15" customHeight="1" x14ac:dyDescent="0.25"/>
    <row r="1022" s="21" customFormat="1" ht="15" customHeight="1" x14ac:dyDescent="0.25"/>
    <row r="1023" s="21" customFormat="1" ht="15" customHeight="1" x14ac:dyDescent="0.25"/>
    <row r="1024" s="21" customFormat="1" ht="15" customHeight="1" x14ac:dyDescent="0.25"/>
    <row r="1025" s="21" customFormat="1" ht="15" customHeight="1" x14ac:dyDescent="0.25"/>
    <row r="1026" s="21" customFormat="1" ht="15" customHeight="1" x14ac:dyDescent="0.25"/>
    <row r="1027" s="21" customFormat="1" ht="15" customHeight="1" x14ac:dyDescent="0.25"/>
    <row r="1028" s="21" customFormat="1" ht="15" customHeight="1" x14ac:dyDescent="0.25"/>
    <row r="1029" s="21" customFormat="1" ht="15" customHeight="1" x14ac:dyDescent="0.25"/>
    <row r="1030" s="21" customFormat="1" ht="15" customHeight="1" x14ac:dyDescent="0.25"/>
    <row r="1031" s="21" customFormat="1" ht="15" customHeight="1" x14ac:dyDescent="0.25"/>
    <row r="1032" s="21" customFormat="1" ht="15" customHeight="1" x14ac:dyDescent="0.25"/>
    <row r="1033" s="21" customFormat="1" ht="15" customHeight="1" x14ac:dyDescent="0.25"/>
    <row r="1034" s="21" customFormat="1" ht="15" customHeight="1" x14ac:dyDescent="0.25"/>
    <row r="1035" s="21" customFormat="1" ht="15" customHeight="1" x14ac:dyDescent="0.25"/>
    <row r="1036" s="21" customFormat="1" ht="15" customHeight="1" x14ac:dyDescent="0.25"/>
    <row r="1037" s="21" customFormat="1" ht="15" customHeight="1" x14ac:dyDescent="0.25"/>
    <row r="1038" s="21" customFormat="1" ht="15" customHeight="1" x14ac:dyDescent="0.25"/>
    <row r="1039" s="21" customFormat="1" ht="15" customHeight="1" x14ac:dyDescent="0.25"/>
    <row r="1040" s="21" customFormat="1" ht="15" customHeight="1" x14ac:dyDescent="0.25"/>
    <row r="1041" s="21" customFormat="1" ht="15" customHeight="1" x14ac:dyDescent="0.25"/>
    <row r="1042" s="21" customFormat="1" ht="15" customHeight="1" x14ac:dyDescent="0.25"/>
    <row r="1043" s="21" customFormat="1" ht="15" customHeight="1" x14ac:dyDescent="0.25"/>
    <row r="1044" s="21" customFormat="1" ht="15" customHeight="1" x14ac:dyDescent="0.25"/>
    <row r="1045" s="21" customFormat="1" ht="15" customHeight="1" x14ac:dyDescent="0.25"/>
    <row r="1046" s="21" customFormat="1" ht="15" customHeight="1" x14ac:dyDescent="0.25"/>
    <row r="1047" s="21" customFormat="1" ht="15" customHeight="1" x14ac:dyDescent="0.25"/>
    <row r="1048" s="21" customFormat="1" ht="15" customHeight="1" x14ac:dyDescent="0.25"/>
    <row r="1049" s="21" customFormat="1" ht="15" customHeight="1" x14ac:dyDescent="0.25"/>
    <row r="1050" s="21" customFormat="1" ht="15" customHeight="1" x14ac:dyDescent="0.25"/>
    <row r="1051" s="21" customFormat="1" ht="15" customHeight="1" x14ac:dyDescent="0.25"/>
    <row r="1052" s="21" customFormat="1" ht="15" customHeight="1" x14ac:dyDescent="0.25"/>
    <row r="1053" s="21" customFormat="1" ht="15" customHeight="1" x14ac:dyDescent="0.25"/>
    <row r="1054" s="21" customFormat="1" ht="15" customHeight="1" x14ac:dyDescent="0.25"/>
    <row r="1055" s="21" customFormat="1" ht="15" customHeight="1" x14ac:dyDescent="0.25"/>
    <row r="1056" s="21" customFormat="1" ht="15" customHeight="1" x14ac:dyDescent="0.25"/>
    <row r="1057" s="21" customFormat="1" ht="15" customHeight="1" x14ac:dyDescent="0.25"/>
    <row r="1058" s="21" customFormat="1" ht="15" customHeight="1" x14ac:dyDescent="0.25"/>
    <row r="1059" s="21" customFormat="1" ht="15" customHeight="1" x14ac:dyDescent="0.25"/>
    <row r="1060" s="21" customFormat="1" ht="15" customHeight="1" x14ac:dyDescent="0.25"/>
    <row r="1061" s="21" customFormat="1" ht="15" customHeight="1" x14ac:dyDescent="0.25"/>
    <row r="1062" s="21" customFormat="1" ht="15" customHeight="1" x14ac:dyDescent="0.25"/>
    <row r="1063" s="21" customFormat="1" ht="15" customHeight="1" x14ac:dyDescent="0.25"/>
    <row r="1064" s="21" customFormat="1" ht="15" customHeight="1" x14ac:dyDescent="0.25"/>
    <row r="1065" s="21" customFormat="1" ht="15" customHeight="1" x14ac:dyDescent="0.25"/>
    <row r="1066" s="21" customFormat="1" ht="15" customHeight="1" x14ac:dyDescent="0.25"/>
    <row r="1067" s="21" customFormat="1" ht="15" customHeight="1" x14ac:dyDescent="0.25"/>
    <row r="1068" s="21" customFormat="1" ht="15" customHeight="1" x14ac:dyDescent="0.25"/>
    <row r="1069" s="21" customFormat="1" ht="15" customHeight="1" x14ac:dyDescent="0.25"/>
    <row r="1070" s="21" customFormat="1" ht="15" customHeight="1" x14ac:dyDescent="0.25"/>
    <row r="1071" s="21" customFormat="1" ht="15" customHeight="1" x14ac:dyDescent="0.25"/>
    <row r="1072" s="21" customFormat="1" ht="15" customHeight="1" x14ac:dyDescent="0.25"/>
    <row r="1073" s="21" customFormat="1" ht="15" customHeight="1" x14ac:dyDescent="0.25"/>
    <row r="1074" s="21" customFormat="1" ht="15" customHeight="1" x14ac:dyDescent="0.25"/>
    <row r="1075" s="21" customFormat="1" ht="15" customHeight="1" x14ac:dyDescent="0.25"/>
    <row r="1076" s="21" customFormat="1" ht="15" customHeight="1" x14ac:dyDescent="0.25"/>
    <row r="1077" s="21" customFormat="1" ht="15" customHeight="1" x14ac:dyDescent="0.25"/>
    <row r="1078" s="21" customFormat="1" ht="15" customHeight="1" x14ac:dyDescent="0.25"/>
    <row r="1079" s="21" customFormat="1" ht="15" customHeight="1" x14ac:dyDescent="0.25"/>
    <row r="1080" s="21" customFormat="1" ht="15" customHeight="1" x14ac:dyDescent="0.25"/>
    <row r="1081" s="21" customFormat="1" ht="15" customHeight="1" x14ac:dyDescent="0.25"/>
    <row r="1082" s="21" customFormat="1" ht="15" customHeight="1" x14ac:dyDescent="0.25"/>
    <row r="1083" s="21" customFormat="1" ht="15" customHeight="1" x14ac:dyDescent="0.25"/>
    <row r="1084" s="21" customFormat="1" ht="15" customHeight="1" x14ac:dyDescent="0.25"/>
    <row r="1085" s="21" customFormat="1" ht="15" customHeight="1" x14ac:dyDescent="0.25"/>
    <row r="1086" s="21" customFormat="1" ht="15" customHeight="1" x14ac:dyDescent="0.25"/>
    <row r="1087" s="21" customFormat="1" ht="15" customHeight="1" x14ac:dyDescent="0.25"/>
    <row r="1088" s="21" customFormat="1" ht="15" customHeight="1" x14ac:dyDescent="0.25"/>
    <row r="1089" s="21" customFormat="1" ht="15" customHeight="1" x14ac:dyDescent="0.25"/>
    <row r="1090" s="21" customFormat="1" ht="15" customHeight="1" x14ac:dyDescent="0.25"/>
    <row r="1091" s="21" customFormat="1" ht="15" customHeight="1" x14ac:dyDescent="0.25"/>
    <row r="1092" s="21" customFormat="1" ht="15" customHeight="1" x14ac:dyDescent="0.25"/>
    <row r="1093" s="21" customFormat="1" ht="15" customHeight="1" x14ac:dyDescent="0.25"/>
    <row r="1094" s="21" customFormat="1" ht="15" customHeight="1" x14ac:dyDescent="0.25"/>
    <row r="1095" s="21" customFormat="1" ht="15" customHeight="1" x14ac:dyDescent="0.25"/>
    <row r="1096" s="21" customFormat="1" ht="15" customHeight="1" x14ac:dyDescent="0.25"/>
    <row r="1097" s="21" customFormat="1" ht="15" customHeight="1" x14ac:dyDescent="0.25"/>
    <row r="1098" s="21" customFormat="1" ht="15" customHeight="1" x14ac:dyDescent="0.25"/>
    <row r="1099" s="21" customFormat="1" ht="15" customHeight="1" x14ac:dyDescent="0.25"/>
    <row r="1100" s="21" customFormat="1" ht="15" customHeight="1" x14ac:dyDescent="0.25"/>
    <row r="1101" s="21" customFormat="1" ht="15" customHeight="1" x14ac:dyDescent="0.25"/>
    <row r="1102" s="21" customFormat="1" ht="15" customHeight="1" x14ac:dyDescent="0.25"/>
    <row r="1103" s="21" customFormat="1" ht="15" customHeight="1" x14ac:dyDescent="0.25"/>
    <row r="1104" s="21" customFormat="1" ht="15" customHeight="1" x14ac:dyDescent="0.25"/>
    <row r="1105" s="21" customFormat="1" ht="15" customHeight="1" x14ac:dyDescent="0.25"/>
    <row r="1106" s="21" customFormat="1" ht="15" customHeight="1" x14ac:dyDescent="0.25"/>
    <row r="1107" s="21" customFormat="1" ht="15" customHeight="1" x14ac:dyDescent="0.25"/>
    <row r="1108" s="21" customFormat="1" ht="15" customHeight="1" x14ac:dyDescent="0.25"/>
    <row r="1109" s="21" customFormat="1" ht="15" customHeight="1" x14ac:dyDescent="0.25"/>
    <row r="1110" s="21" customFormat="1" ht="15" customHeight="1" x14ac:dyDescent="0.25"/>
    <row r="1111" s="21" customFormat="1" ht="15" customHeight="1" x14ac:dyDescent="0.25"/>
    <row r="1112" s="21" customFormat="1" ht="15" customHeight="1" x14ac:dyDescent="0.25"/>
    <row r="1113" s="21" customFormat="1" ht="15" customHeight="1" x14ac:dyDescent="0.25"/>
    <row r="1114" s="21" customFormat="1" ht="15" customHeight="1" x14ac:dyDescent="0.25"/>
    <row r="1115" s="21" customFormat="1" ht="15" customHeight="1" x14ac:dyDescent="0.25"/>
    <row r="1116" s="21" customFormat="1" ht="15" customHeight="1" x14ac:dyDescent="0.25"/>
    <row r="1117" s="21" customFormat="1" ht="15" customHeight="1" x14ac:dyDescent="0.25"/>
    <row r="1118" s="21" customFormat="1" ht="15" customHeight="1" x14ac:dyDescent="0.25"/>
    <row r="1119" s="21" customFormat="1" ht="15" customHeight="1" x14ac:dyDescent="0.25"/>
    <row r="1120" s="21" customFormat="1" ht="15" customHeight="1" x14ac:dyDescent="0.25"/>
    <row r="1121" s="21" customFormat="1" ht="15" customHeight="1" x14ac:dyDescent="0.25"/>
    <row r="1122" s="21" customFormat="1" ht="15" customHeight="1" x14ac:dyDescent="0.25"/>
    <row r="1123" s="21" customFormat="1" ht="15" customHeight="1" x14ac:dyDescent="0.25"/>
    <row r="1124" s="21" customFormat="1" ht="15" customHeight="1" x14ac:dyDescent="0.25"/>
    <row r="1125" s="21" customFormat="1" ht="15" customHeight="1" x14ac:dyDescent="0.25"/>
    <row r="1126" s="21" customFormat="1" ht="15" customHeight="1" x14ac:dyDescent="0.25"/>
    <row r="1127" s="21" customFormat="1" ht="15" customHeight="1" x14ac:dyDescent="0.25"/>
    <row r="1128" s="21" customFormat="1" ht="15" customHeight="1" x14ac:dyDescent="0.25"/>
    <row r="1129" s="21" customFormat="1" ht="15" customHeight="1" x14ac:dyDescent="0.25"/>
    <row r="1130" s="21" customFormat="1" ht="15" customHeight="1" x14ac:dyDescent="0.25"/>
    <row r="1131" s="21" customFormat="1" ht="15" customHeight="1" x14ac:dyDescent="0.25"/>
    <row r="1132" s="21" customFormat="1" ht="15" customHeight="1" x14ac:dyDescent="0.25"/>
    <row r="1133" s="21" customFormat="1" ht="15" customHeight="1" x14ac:dyDescent="0.25"/>
    <row r="1134" s="21" customFormat="1" ht="15" customHeight="1" x14ac:dyDescent="0.25"/>
    <row r="1135" s="21" customFormat="1" ht="15" customHeight="1" x14ac:dyDescent="0.25"/>
    <row r="1136" s="21" customFormat="1" ht="15" customHeight="1" x14ac:dyDescent="0.25"/>
    <row r="1137" s="21" customFormat="1" ht="15" customHeight="1" x14ac:dyDescent="0.25"/>
    <row r="1138" s="21" customFormat="1" ht="15" customHeight="1" x14ac:dyDescent="0.25"/>
    <row r="1139" s="21" customFormat="1" ht="15" customHeight="1" x14ac:dyDescent="0.25"/>
    <row r="1140" s="21" customFormat="1" ht="15" customHeight="1" x14ac:dyDescent="0.25"/>
    <row r="1141" s="21" customFormat="1" ht="15" customHeight="1" x14ac:dyDescent="0.25"/>
    <row r="1142" s="21" customFormat="1" ht="15" customHeight="1" x14ac:dyDescent="0.25"/>
    <row r="1143" s="21" customFormat="1" ht="15" customHeight="1" x14ac:dyDescent="0.25"/>
    <row r="1144" s="21" customFormat="1" ht="15" customHeight="1" x14ac:dyDescent="0.25"/>
    <row r="1145" s="21" customFormat="1" ht="15" customHeight="1" x14ac:dyDescent="0.25"/>
    <row r="1146" s="21" customFormat="1" ht="15" customHeight="1" x14ac:dyDescent="0.25"/>
    <row r="1147" s="21" customFormat="1" ht="15" customHeight="1" x14ac:dyDescent="0.25"/>
    <row r="1148" s="21" customFormat="1" ht="15" customHeight="1" x14ac:dyDescent="0.25"/>
    <row r="1149" s="21" customFormat="1" ht="15" customHeight="1" x14ac:dyDescent="0.25"/>
    <row r="1150" s="21" customFormat="1" ht="15" customHeight="1" x14ac:dyDescent="0.25"/>
    <row r="1151" s="21" customFormat="1" ht="15" customHeight="1" x14ac:dyDescent="0.25"/>
    <row r="1152" s="21" customFormat="1" ht="15" customHeight="1" x14ac:dyDescent="0.25"/>
    <row r="1153" s="21" customFormat="1" ht="15" customHeight="1" x14ac:dyDescent="0.25"/>
    <row r="1154" s="21" customFormat="1" ht="15" customHeight="1" x14ac:dyDescent="0.25"/>
    <row r="1155" s="21" customFormat="1" ht="15" customHeight="1" x14ac:dyDescent="0.25"/>
    <row r="1156" s="21" customFormat="1" ht="15" customHeight="1" x14ac:dyDescent="0.25"/>
    <row r="1157" s="21" customFormat="1" ht="15" customHeight="1" x14ac:dyDescent="0.25"/>
    <row r="1158" s="21" customFormat="1" ht="15" customHeight="1" x14ac:dyDescent="0.25"/>
    <row r="1159" s="21" customFormat="1" ht="15" customHeight="1" x14ac:dyDescent="0.25"/>
    <row r="1160" s="21" customFormat="1" ht="15" customHeight="1" x14ac:dyDescent="0.25"/>
    <row r="1161" s="21" customFormat="1" ht="15" customHeight="1" x14ac:dyDescent="0.25"/>
    <row r="1162" s="21" customFormat="1" ht="15" customHeight="1" x14ac:dyDescent="0.25"/>
    <row r="1163" s="21" customFormat="1" ht="15" customHeight="1" x14ac:dyDescent="0.25"/>
    <row r="1164" s="21" customFormat="1" ht="15" customHeight="1" x14ac:dyDescent="0.25"/>
    <row r="1165" s="21" customFormat="1" ht="15" customHeight="1" x14ac:dyDescent="0.25"/>
    <row r="1166" s="21" customFormat="1" ht="15" customHeight="1" x14ac:dyDescent="0.25"/>
    <row r="1167" s="21" customFormat="1" ht="15" customHeight="1" x14ac:dyDescent="0.25"/>
    <row r="1168" s="21" customFormat="1" ht="15" customHeight="1" x14ac:dyDescent="0.25"/>
    <row r="1169" s="21" customFormat="1" ht="15" customHeight="1" x14ac:dyDescent="0.25"/>
    <row r="1170" s="21" customFormat="1" ht="15" customHeight="1" x14ac:dyDescent="0.25"/>
    <row r="1171" s="21" customFormat="1" ht="15" customHeight="1" x14ac:dyDescent="0.25"/>
    <row r="1172" s="21" customFormat="1" ht="15" customHeight="1" x14ac:dyDescent="0.25"/>
    <row r="1173" s="21" customFormat="1" ht="15" customHeight="1" x14ac:dyDescent="0.25"/>
    <row r="1174" s="21" customFormat="1" ht="15" customHeight="1" x14ac:dyDescent="0.25"/>
    <row r="1175" s="21" customFormat="1" ht="15" customHeight="1" x14ac:dyDescent="0.25"/>
    <row r="1176" s="21" customFormat="1" ht="15" customHeight="1" x14ac:dyDescent="0.25"/>
    <row r="1177" s="21" customFormat="1" ht="15" customHeight="1" x14ac:dyDescent="0.25"/>
    <row r="1178" s="21" customFormat="1" ht="15" customHeight="1" x14ac:dyDescent="0.25"/>
    <row r="1179" s="21" customFormat="1" ht="15" customHeight="1" x14ac:dyDescent="0.25"/>
    <row r="1180" s="21" customFormat="1" ht="15" customHeight="1" x14ac:dyDescent="0.25"/>
    <row r="1181" s="21" customFormat="1" ht="15" customHeight="1" x14ac:dyDescent="0.25"/>
    <row r="1182" s="21" customFormat="1" ht="15" customHeight="1" x14ac:dyDescent="0.25"/>
    <row r="1183" s="21" customFormat="1" ht="15" customHeight="1" x14ac:dyDescent="0.25"/>
    <row r="1184" s="21" customFormat="1" ht="15" customHeight="1" x14ac:dyDescent="0.25"/>
    <row r="1185" s="21" customFormat="1" ht="15" customHeight="1" x14ac:dyDescent="0.25"/>
    <row r="1186" s="21" customFormat="1" ht="15" customHeight="1" x14ac:dyDescent="0.25"/>
    <row r="1187" s="21" customFormat="1" ht="15" customHeight="1" x14ac:dyDescent="0.25"/>
    <row r="1188" s="21" customFormat="1" ht="15" customHeight="1" x14ac:dyDescent="0.25"/>
    <row r="1189" s="21" customFormat="1" ht="15" customHeight="1" x14ac:dyDescent="0.25"/>
    <row r="1190" s="21" customFormat="1" ht="15" customHeight="1" x14ac:dyDescent="0.25"/>
    <row r="1191" s="21" customFormat="1" ht="15" customHeight="1" x14ac:dyDescent="0.25"/>
    <row r="1192" s="21" customFormat="1" ht="15" customHeight="1" x14ac:dyDescent="0.25"/>
    <row r="1193" s="21" customFormat="1" ht="15" customHeight="1" x14ac:dyDescent="0.25"/>
    <row r="1194" s="21" customFormat="1" ht="15" customHeight="1" x14ac:dyDescent="0.25"/>
    <row r="1195" s="21" customFormat="1" ht="15" customHeight="1" x14ac:dyDescent="0.25"/>
    <row r="1196" s="21" customFormat="1" ht="15" customHeight="1" x14ac:dyDescent="0.25"/>
    <row r="1197" s="21" customFormat="1" ht="15" customHeight="1" x14ac:dyDescent="0.25"/>
    <row r="1198" s="21" customFormat="1" ht="15" customHeight="1" x14ac:dyDescent="0.25"/>
    <row r="1199" s="21" customFormat="1" ht="15" customHeight="1" x14ac:dyDescent="0.25"/>
    <row r="1200" s="21" customFormat="1" ht="15" customHeight="1" x14ac:dyDescent="0.25"/>
    <row r="1201" s="21" customFormat="1" ht="15" customHeight="1" x14ac:dyDescent="0.25"/>
    <row r="1202" s="21" customFormat="1" ht="15" customHeight="1" x14ac:dyDescent="0.25"/>
    <row r="1203" s="21" customFormat="1" ht="15" customHeight="1" x14ac:dyDescent="0.25"/>
    <row r="1204" s="21" customFormat="1" ht="15" customHeight="1" x14ac:dyDescent="0.25"/>
    <row r="1205" s="21" customFormat="1" ht="15" customHeight="1" x14ac:dyDescent="0.25"/>
    <row r="1206" s="21" customFormat="1" ht="15" customHeight="1" x14ac:dyDescent="0.25"/>
    <row r="1207" s="21" customFormat="1" ht="15" customHeight="1" x14ac:dyDescent="0.25"/>
    <row r="1208" s="21" customFormat="1" ht="15" customHeight="1" x14ac:dyDescent="0.25"/>
    <row r="1209" s="21" customFormat="1" ht="15" customHeight="1" x14ac:dyDescent="0.25"/>
    <row r="1210" s="21" customFormat="1" ht="15" customHeight="1" x14ac:dyDescent="0.25"/>
    <row r="1211" s="21" customFormat="1" ht="15" customHeight="1" x14ac:dyDescent="0.25"/>
    <row r="1212" s="21" customFormat="1" ht="15" customHeight="1" x14ac:dyDescent="0.25"/>
    <row r="1213" s="21" customFormat="1" ht="15" customHeight="1" x14ac:dyDescent="0.25"/>
    <row r="1214" s="21" customFormat="1" ht="15" customHeight="1" x14ac:dyDescent="0.25"/>
    <row r="1215" s="21" customFormat="1" ht="15" customHeight="1" x14ac:dyDescent="0.25"/>
    <row r="1216" s="21" customFormat="1" ht="15" customHeight="1" x14ac:dyDescent="0.25"/>
    <row r="1217" s="21" customFormat="1" ht="15" customHeight="1" x14ac:dyDescent="0.25"/>
    <row r="1218" s="21" customFormat="1" ht="15" customHeight="1" x14ac:dyDescent="0.25"/>
    <row r="1219" s="21" customFormat="1" ht="15" customHeight="1" x14ac:dyDescent="0.25"/>
    <row r="1220" s="21" customFormat="1" ht="15" customHeight="1" x14ac:dyDescent="0.25"/>
    <row r="1221" s="21" customFormat="1" ht="15" customHeight="1" x14ac:dyDescent="0.25"/>
    <row r="1222" s="21" customFormat="1" ht="15" customHeight="1" x14ac:dyDescent="0.25"/>
    <row r="1223" s="21" customFormat="1" ht="15" customHeight="1" x14ac:dyDescent="0.25"/>
    <row r="1224" s="21" customFormat="1" ht="15" customHeight="1" x14ac:dyDescent="0.25"/>
    <row r="1225" s="21" customFormat="1" ht="15" customHeight="1" x14ac:dyDescent="0.25"/>
    <row r="1226" s="21" customFormat="1" ht="15" customHeight="1" x14ac:dyDescent="0.25"/>
    <row r="1227" s="21" customFormat="1" ht="15" customHeight="1" x14ac:dyDescent="0.25"/>
    <row r="1228" s="21" customFormat="1" ht="15" customHeight="1" x14ac:dyDescent="0.25"/>
    <row r="1229" s="21" customFormat="1" ht="15" customHeight="1" x14ac:dyDescent="0.25"/>
    <row r="1230" s="21" customFormat="1" ht="15" customHeight="1" x14ac:dyDescent="0.25"/>
    <row r="1231" s="21" customFormat="1" ht="15" customHeight="1" x14ac:dyDescent="0.25"/>
    <row r="1232" s="21" customFormat="1" ht="15" customHeight="1" x14ac:dyDescent="0.25"/>
    <row r="1233" s="21" customFormat="1" ht="15" customHeight="1" x14ac:dyDescent="0.25"/>
    <row r="1234" s="21" customFormat="1" ht="15" customHeight="1" x14ac:dyDescent="0.25"/>
    <row r="1235" s="21" customFormat="1" ht="15" customHeight="1" x14ac:dyDescent="0.25"/>
    <row r="1236" s="21" customFormat="1" ht="15" customHeight="1" x14ac:dyDescent="0.25"/>
    <row r="1237" s="21" customFormat="1" ht="15" customHeight="1" x14ac:dyDescent="0.25"/>
    <row r="1238" s="21" customFormat="1" ht="15" customHeight="1" x14ac:dyDescent="0.25"/>
    <row r="1239" s="21" customFormat="1" ht="15" customHeight="1" x14ac:dyDescent="0.25"/>
    <row r="1240" s="21" customFormat="1" ht="15" customHeight="1" x14ac:dyDescent="0.25"/>
    <row r="1241" s="21" customFormat="1" ht="15" customHeight="1" x14ac:dyDescent="0.25"/>
    <row r="1242" s="21" customFormat="1" ht="15" customHeight="1" x14ac:dyDescent="0.25"/>
  </sheetData>
  <sheetProtection sort="0" autoFilter="0"/>
  <mergeCells count="3">
    <mergeCell ref="D1:G2"/>
    <mergeCell ref="I1:AX1"/>
    <mergeCell ref="AY1:BH2"/>
  </mergeCells>
  <phoneticPr fontId="1" type="noConversion"/>
  <dataValidations count="7">
    <dataValidation type="list" allowBlank="1" showInputMessage="1" showErrorMessage="1" sqref="C5:C704" xr:uid="{652BA30B-961B-4394-9393-CC22B5C2FC49}">
      <formula1>INDIRECT("tbl_DataEntry[Data Entry]")</formula1>
    </dataValidation>
    <dataValidation type="date" operator="greaterThan" allowBlank="1" showInputMessage="1" showErrorMessage="1" errorTitle="خطأ في إدخال التاريخ" error="من فضلك أدخل التاريخ بالشكل الصحيح ، mm/dd/yyyy" sqref="D5:D704 BH5:BH704" xr:uid="{DE840D8D-CE31-4D02-8E45-A670DC217FF9}">
      <formula1>45962</formula1>
    </dataValidation>
    <dataValidation type="decimal" allowBlank="1" showInputMessage="1" showErrorMessage="1" sqref="I5:I704 L5:L704" xr:uid="{EF75DA47-3189-4A31-9042-4B28F06E85DB}">
      <formula1>0</formula1>
      <formula2>100</formula2>
    </dataValidation>
    <dataValidation type="list" operator="greaterThan" allowBlank="1" showInputMessage="1" showErrorMessage="1" errorTitle="خطأ في إدخال التاريخ" error="من فضلك أدخل التاريخ بالشكل الصحيح ، mm/dd/yyyy" sqref="E5:E704" xr:uid="{F6C010D6-2965-4B55-ABD6-0B483622504A}">
      <formula1>INDIRECT("tbl_Assessment[House Code]")</formula1>
    </dataValidation>
    <dataValidation operator="greaterThan" allowBlank="1" showInputMessage="1" showErrorMessage="1" errorTitle="خطأ في إدخال التاريخ" error="من فضلك أدخل التاريخ بالشكل الصحيح ، mm/dd/yyyy" sqref="F5:G704" xr:uid="{054F74EB-E6A1-44B2-A445-6975E1FF0CB3}"/>
    <dataValidation type="date" operator="greaterThan" allowBlank="1" showErrorMessage="1" errorTitle="خطأ في إدخال التاريخ" error="من فضلك أدخل التاريخ بالشكل الصحيح ، mm/dd/yyyy" sqref="BD5:BD704" xr:uid="{17472BCB-65E9-43C5-A6DF-D303BA3D7E24}">
      <formula1>45962</formula1>
    </dataValidation>
    <dataValidation type="list" allowBlank="1" showInputMessage="1" showErrorMessage="1" sqref="BB5:BB704 BF5:BF704" xr:uid="{AE08C815-51A0-499E-B951-826B6980C8CC}">
      <formula1>INDIRECT("tbl_Assessment_Status[Assessment_Status]")</formula1>
    </dataValidation>
  </dataValidations>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9" operator="equal" id="{E2C2F5B5-BF77-4ECB-97C7-38C7D7B5A974}">
            <xm:f>List!$H$16</xm:f>
            <x14:dxf>
              <fill>
                <patternFill>
                  <bgColor rgb="FFFA8697"/>
                </patternFill>
              </fill>
            </x14:dxf>
          </x14:cfRule>
          <x14:cfRule type="cellIs" priority="10" operator="equal" id="{1267D522-026E-4B45-A39C-58182943EF98}">
            <xm:f>List!$H$15</xm:f>
            <x14:dxf>
              <fill>
                <patternFill>
                  <bgColor rgb="FFFFD966"/>
                </patternFill>
              </fill>
            </x14:dxf>
          </x14:cfRule>
          <x14:cfRule type="cellIs" priority="11" operator="equal" id="{4BB0ADFB-8DFD-4AC4-ADDA-B92A05265861}">
            <xm:f>List!$H$14</xm:f>
            <x14:dxf>
              <fill>
                <patternFill>
                  <bgColor rgb="FF00B050"/>
                </patternFill>
              </fill>
            </x14:dxf>
          </x14:cfRule>
          <xm:sqref>BB5:BB704</xm:sqref>
        </x14:conditionalFormatting>
        <x14:conditionalFormatting xmlns:xm="http://schemas.microsoft.com/office/excel/2006/main">
          <x14:cfRule type="cellIs" priority="6" operator="equal" id="{88DA227E-F346-4B5E-8D2C-537ECAA71FA0}">
            <xm:f>List!$H$16</xm:f>
            <x14:dxf>
              <fill>
                <patternFill>
                  <bgColor rgb="FFFA8697"/>
                </patternFill>
              </fill>
            </x14:dxf>
          </x14:cfRule>
          <x14:cfRule type="cellIs" priority="7" operator="equal" id="{E21ED752-00BE-4490-A653-74AD4F8479E5}">
            <xm:f>List!$H$15</xm:f>
            <x14:dxf>
              <fill>
                <patternFill>
                  <bgColor rgb="FFFFD966"/>
                </patternFill>
              </fill>
            </x14:dxf>
          </x14:cfRule>
          <x14:cfRule type="cellIs" priority="8" operator="equal" id="{8B272FC6-0165-4BC9-8259-B625094956FE}">
            <xm:f>List!$H$14</xm:f>
            <x14:dxf>
              <fill>
                <patternFill>
                  <bgColor rgb="FF00B050"/>
                </patternFill>
              </fill>
            </x14:dxf>
          </x14:cfRule>
          <xm:sqref>BF5:BF704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710E9-7CC5-467A-A1F6-2CACE3A84477}">
  <sheetPr>
    <tabColor rgb="FF00B0F0"/>
  </sheetPr>
  <dimension ref="B1:BF1242"/>
  <sheetViews>
    <sheetView showGridLines="0" topLeftCell="B1" zoomScale="80" zoomScaleNormal="80" workbookViewId="0">
      <selection activeCell="K5" sqref="K5"/>
    </sheetView>
  </sheetViews>
  <sheetFormatPr defaultColWidth="8.7109375" defaultRowHeight="15" customHeight="1" x14ac:dyDescent="0.25"/>
  <cols>
    <col min="1" max="1" width="5.7109375" style="21" customWidth="1"/>
    <col min="2" max="2" width="10.28515625" style="27" customWidth="1"/>
    <col min="3" max="3" width="23.5703125" style="27" customWidth="1"/>
    <col min="4" max="4" width="10.85546875" style="38" customWidth="1"/>
    <col min="5" max="5" width="14.140625" style="38" customWidth="1"/>
    <col min="6" max="6" width="21.28515625" style="38" customWidth="1"/>
    <col min="7" max="7" width="13.140625" style="38" customWidth="1"/>
    <col min="8" max="8" width="13.7109375" style="38" customWidth="1"/>
    <col min="9" max="9" width="15.140625" style="38" customWidth="1"/>
    <col min="10" max="10" width="13.7109375" style="38" customWidth="1"/>
    <col min="11" max="11" width="32.140625" style="38" customWidth="1"/>
    <col min="12" max="12" width="12.28515625" style="38" customWidth="1"/>
    <col min="13" max="13" width="16.42578125" style="38" customWidth="1"/>
    <col min="14" max="17" width="18" style="27" customWidth="1"/>
    <col min="18" max="18" width="20" style="27" customWidth="1"/>
    <col min="19" max="28" width="18" style="27" customWidth="1"/>
    <col min="29" max="41" width="18" style="21" customWidth="1"/>
    <col min="42" max="55" width="15.42578125" style="21" customWidth="1"/>
    <col min="56" max="56" width="30" style="21" customWidth="1"/>
    <col min="57" max="57" width="29.140625" style="21" customWidth="1"/>
    <col min="58" max="58" width="22.140625" style="21" customWidth="1"/>
    <col min="59" max="16384" width="8.7109375" style="21"/>
  </cols>
  <sheetData>
    <row r="1" spans="2:58" s="39" customFormat="1" ht="33" customHeight="1" thickTop="1" thickBot="1" x14ac:dyDescent="0.3">
      <c r="B1" s="79"/>
      <c r="C1" s="80"/>
      <c r="D1" s="216" t="s">
        <v>312</v>
      </c>
      <c r="E1" s="216"/>
      <c r="F1" s="216"/>
      <c r="G1" s="216"/>
      <c r="H1" s="100"/>
      <c r="I1" s="100"/>
      <c r="J1" s="100"/>
      <c r="K1" s="100"/>
      <c r="L1" s="100"/>
      <c r="M1" s="101" t="s">
        <v>313</v>
      </c>
      <c r="N1" s="218" t="s">
        <v>408</v>
      </c>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22" t="s">
        <v>409</v>
      </c>
      <c r="BE1" s="223"/>
      <c r="BF1" s="223"/>
    </row>
    <row r="2" spans="2:58" s="39" customFormat="1" ht="33" customHeight="1" thickTop="1" thickBot="1" x14ac:dyDescent="0.3">
      <c r="B2" s="81"/>
      <c r="C2" s="2"/>
      <c r="D2" s="217"/>
      <c r="E2" s="217"/>
      <c r="F2" s="217"/>
      <c r="G2" s="217"/>
      <c r="H2" s="100"/>
      <c r="I2" s="100"/>
      <c r="J2" s="100"/>
      <c r="K2" s="100"/>
      <c r="L2" s="100"/>
      <c r="M2" s="93">
        <f xml:space="preserve"> SUBTOTAL(9,tbl_Actual_costs_quantities34[Total cost])</f>
        <v>0</v>
      </c>
      <c r="N2" s="94">
        <f xml:space="preserve"> SUBTOTAL(9,tbl_Actual_costs_quantities34[Site Preparation])</f>
        <v>0</v>
      </c>
      <c r="O2" s="92">
        <f xml:space="preserve"> SUBTOTAL(3,tbl_Actual_costs_quantities34[Current Situation Photo Site Preparation])</f>
        <v>0</v>
      </c>
      <c r="P2" s="91">
        <f xml:space="preserve"> SUBTOTAL(9,tbl_Actual_costs_quantities34[Site Preparation Cost])</f>
        <v>0</v>
      </c>
      <c r="Q2" s="92">
        <f xml:space="preserve"> SUBTOTAL(9,tbl_Actual_costs_quantities34[Demolition Removal Unsafe Structures])</f>
        <v>0</v>
      </c>
      <c r="R2" s="92">
        <f xml:space="preserve"> SUBTOTAL(3,tbl_Actual_costs_quantities34[Current Situation Photo Demolition Removal Unsafe Structures])</f>
        <v>0</v>
      </c>
      <c r="S2" s="91">
        <f xml:space="preserve"> SUBTOTAL(9,tbl_Actual_costs_quantities34[Demolition Removal Unsafe Structures Cost])</f>
        <v>0</v>
      </c>
      <c r="T2" s="92">
        <f xml:space="preserve"> SUBTOTAL(9,tbl_Actual_costs_quantities34[Concrete Works])</f>
        <v>0</v>
      </c>
      <c r="U2" s="92">
        <f xml:space="preserve"> SUBTOTAL(3,tbl_Actual_costs_quantities34[Current Situation Photo Concrete Works])</f>
        <v>0</v>
      </c>
      <c r="V2" s="91">
        <f xml:space="preserve"> SUBTOTAL(9,tbl_Actual_costs_quantities34[Concrete Works Cost])</f>
        <v>0</v>
      </c>
      <c r="W2" s="92">
        <f xml:space="preserve"> SUBTOTAL(9,tbl_Actual_costs_quantities34[Closure External Openings Walls Windows])</f>
        <v>0</v>
      </c>
      <c r="X2" s="92">
        <f xml:space="preserve"> SUBTOTAL(3,tbl_Actual_costs_quantities34[Current Situation Photo Closure External Openings Walls Windows])</f>
        <v>0</v>
      </c>
      <c r="Y2" s="91">
        <f xml:space="preserve"> SUBTOTAL(9,tbl_Actual_costs_quantities34[Closure External Openings Walls Windows Cost])</f>
        <v>0</v>
      </c>
      <c r="Z2" s="92">
        <f xml:space="preserve"> SUBTOTAL(9,tbl_Actual_costs_quantities34[Plastering Painting])</f>
        <v>0</v>
      </c>
      <c r="AA2" s="92">
        <f xml:space="preserve"> SUBTOTAL(3,tbl_Actual_costs_quantities34[Current Situation Photo Plastering Painting])</f>
        <v>0</v>
      </c>
      <c r="AB2" s="91">
        <f xml:space="preserve"> SUBTOTAL(9,tbl_Actual_costs_quantities34[Plastering Painting Cost])</f>
        <v>0</v>
      </c>
      <c r="AC2" s="92">
        <f xml:space="preserve"> SUBTOTAL(9,tbl_Actual_costs_quantities34[Floor Repairs])</f>
        <v>0</v>
      </c>
      <c r="AD2" s="92">
        <f xml:space="preserve"> SUBTOTAL(3,tbl_Actual_costs_quantities34[Current Situation Photo Floor Repairs])</f>
        <v>0</v>
      </c>
      <c r="AE2" s="91">
        <f xml:space="preserve"> SUBTOTAL(9,tbl_Actual_costs_quantities34[Floor Repairs Cost])</f>
        <v>0</v>
      </c>
      <c r="AF2" s="92">
        <f xml:space="preserve"> SUBTOTAL(9,tbl_Actual_costs_quantities34[Doors Replacement Repair])</f>
        <v>0</v>
      </c>
      <c r="AG2" s="92">
        <f xml:space="preserve"> SUBTOTAL(3,tbl_Actual_costs_quantities34[Current Situation Photo Doors Replacement Repair])</f>
        <v>0</v>
      </c>
      <c r="AH2" s="91">
        <f xml:space="preserve"> SUBTOTAL(9,tbl_Actual_costs_quantities34[Doors Replacement Repair Cost])</f>
        <v>0</v>
      </c>
      <c r="AI2" s="92">
        <f xml:space="preserve"> SUBTOTAL(9,tbl_Actual_costs_quantities34[Windows Replacement Repair])</f>
        <v>0</v>
      </c>
      <c r="AJ2" s="92">
        <f xml:space="preserve"> SUBTOTAL(3,tbl_Actual_costs_quantities34[Current Situation Photo Windows Replacement Repair])</f>
        <v>0</v>
      </c>
      <c r="AK2" s="91">
        <f xml:space="preserve"> SUBTOTAL(9,tbl_Actual_costs_quantities34[Windows Replacement Repair Cost])</f>
        <v>0</v>
      </c>
      <c r="AL2" s="92">
        <f xml:space="preserve"> SUBTOTAL(9,tbl_Actual_costs_quantities34[Bathroom Rehabilitation])</f>
        <v>0</v>
      </c>
      <c r="AM2" s="92">
        <f xml:space="preserve"> SUBTOTAL(3,tbl_Actual_costs_quantities34[Current Situation Photo Bathroom Rehabilitation])</f>
        <v>0</v>
      </c>
      <c r="AN2" s="91">
        <f xml:space="preserve"> SUBTOTAL(9,tbl_Actual_costs_quantities34[Bathroom Rehabilitation Cost])</f>
        <v>0</v>
      </c>
      <c r="AO2" s="92">
        <f xml:space="preserve"> SUBTOTAL(9,tbl_Actual_costs_quantities34[Ceramic Tile Works WASH])</f>
        <v>0</v>
      </c>
      <c r="AP2" s="92">
        <f xml:space="preserve"> SUBTOTAL(3,tbl_Actual_costs_quantities34[Current Situation Photo Ceramic Tile Works WASH])</f>
        <v>0</v>
      </c>
      <c r="AQ2" s="91">
        <f xml:space="preserve"> SUBTOTAL(9,tbl_Actual_costs_quantities34[Ceramic Tile Works WASH Cost])</f>
        <v>0</v>
      </c>
      <c r="AR2" s="92">
        <f xml:space="preserve"> SUBTOTAL(9,tbl_Actual_costs_quantities34[Electrical Repairs Lighting])</f>
        <v>0</v>
      </c>
      <c r="AS2" s="92">
        <f xml:space="preserve"> SUBTOTAL(3,tbl_Actual_costs_quantities34[Current Situation Photo Electrical Repairs Lighting])</f>
        <v>0</v>
      </c>
      <c r="AT2" s="91">
        <f xml:space="preserve"> SUBTOTAL(9,tbl_Actual_costs_quantities34[Electrical Repairs Lighting Cost])</f>
        <v>0</v>
      </c>
      <c r="AU2" s="92">
        <f xml:space="preserve"> SUBTOTAL(9,tbl_Actual_costs_quantities34[Roof Insulation Leak Sealing])</f>
        <v>0</v>
      </c>
      <c r="AV2" s="92">
        <f xml:space="preserve"> SUBTOTAL(3,tbl_Actual_costs_quantities34[Current Situation Photo Roof Insulation Leak Sealing])</f>
        <v>0</v>
      </c>
      <c r="AW2" s="91">
        <f xml:space="preserve"> SUBTOTAL(9,tbl_Actual_costs_quantities34[Roof Insulation Leak Sealing Cost])</f>
        <v>0</v>
      </c>
      <c r="AX2" s="92">
        <f xml:space="preserve"> SUBTOTAL(9,tbl_Actual_costs_quantities34[Chimney Duct Cleaning Repair])</f>
        <v>0</v>
      </c>
      <c r="AY2" s="92">
        <f xml:space="preserve"> SUBTOTAL(3,tbl_Actual_costs_quantities34[Current Situation Photo Chimney Duct Cleaning Repair])</f>
        <v>0</v>
      </c>
      <c r="AZ2" s="91">
        <f xml:space="preserve"> SUBTOTAL(9,tbl_Actual_costs_quantities34[Chimney Duct Cleaning Repair Cost])</f>
        <v>0</v>
      </c>
      <c r="BA2" s="92">
        <f xml:space="preserve"> SUBTOTAL(9,tbl_Actual_costs_quantities34[Accessibility Adaptations])</f>
        <v>0</v>
      </c>
      <c r="BB2" s="92">
        <f xml:space="preserve"> SUBTOTAL(3,tbl_Actual_costs_quantities34[Current Situation Photo Accessibility Adaptations])</f>
        <v>0</v>
      </c>
      <c r="BC2" s="93">
        <f xml:space="preserve"> SUBTOTAL(9,tbl_Actual_costs_quantities34[Accessibility Adaptations Cost])</f>
        <v>0</v>
      </c>
      <c r="BD2" s="224"/>
      <c r="BE2" s="225"/>
      <c r="BF2" s="225"/>
    </row>
    <row r="3" spans="2:58" s="39" customFormat="1" ht="54" customHeight="1" thickTop="1" x14ac:dyDescent="0.25">
      <c r="B3" s="78" t="s">
        <v>99</v>
      </c>
      <c r="C3" s="28" t="s">
        <v>316</v>
      </c>
      <c r="D3" s="28" t="s">
        <v>317</v>
      </c>
      <c r="E3" s="28" t="s">
        <v>216</v>
      </c>
      <c r="F3" s="28" t="s">
        <v>146</v>
      </c>
      <c r="G3" s="28" t="s">
        <v>203</v>
      </c>
      <c r="H3" s="28" t="s">
        <v>410</v>
      </c>
      <c r="I3" s="28" t="s">
        <v>411</v>
      </c>
      <c r="J3" s="28" t="s">
        <v>412</v>
      </c>
      <c r="K3" s="28" t="s">
        <v>413</v>
      </c>
      <c r="L3" s="28" t="s">
        <v>414</v>
      </c>
      <c r="M3" s="77" t="s">
        <v>415</v>
      </c>
      <c r="N3" s="70" t="s">
        <v>18</v>
      </c>
      <c r="O3" s="22" t="s">
        <v>319</v>
      </c>
      <c r="P3" s="22" t="s">
        <v>320</v>
      </c>
      <c r="Q3" s="22" t="s">
        <v>321</v>
      </c>
      <c r="R3" s="22" t="s">
        <v>322</v>
      </c>
      <c r="S3" s="22" t="s">
        <v>323</v>
      </c>
      <c r="T3" s="22" t="s">
        <v>20</v>
      </c>
      <c r="U3" s="22" t="s">
        <v>324</v>
      </c>
      <c r="V3" s="23" t="s">
        <v>325</v>
      </c>
      <c r="W3" s="29" t="s">
        <v>326</v>
      </c>
      <c r="X3" s="29" t="s">
        <v>327</v>
      </c>
      <c r="Y3" s="29" t="s">
        <v>328</v>
      </c>
      <c r="Z3" s="29" t="s">
        <v>22</v>
      </c>
      <c r="AA3" s="28" t="s">
        <v>329</v>
      </c>
      <c r="AB3" s="28" t="s">
        <v>330</v>
      </c>
      <c r="AC3" s="28" t="s">
        <v>24</v>
      </c>
      <c r="AD3" s="28" t="s">
        <v>331</v>
      </c>
      <c r="AE3" s="28" t="s">
        <v>332</v>
      </c>
      <c r="AF3" s="28" t="s">
        <v>25</v>
      </c>
      <c r="AG3" s="28" t="s">
        <v>333</v>
      </c>
      <c r="AH3" s="28" t="s">
        <v>334</v>
      </c>
      <c r="AI3" s="28" t="s">
        <v>26</v>
      </c>
      <c r="AJ3" s="28" t="s">
        <v>335</v>
      </c>
      <c r="AK3" s="28" t="s">
        <v>336</v>
      </c>
      <c r="AL3" s="28" t="s">
        <v>337</v>
      </c>
      <c r="AM3" s="28" t="s">
        <v>338</v>
      </c>
      <c r="AN3" s="28" t="s">
        <v>339</v>
      </c>
      <c r="AO3" s="28" t="s">
        <v>340</v>
      </c>
      <c r="AP3" s="28" t="s">
        <v>341</v>
      </c>
      <c r="AQ3" s="28" t="s">
        <v>342</v>
      </c>
      <c r="AR3" s="28" t="s">
        <v>343</v>
      </c>
      <c r="AS3" s="28" t="s">
        <v>344</v>
      </c>
      <c r="AT3" s="28" t="s">
        <v>345</v>
      </c>
      <c r="AU3" s="28" t="s">
        <v>346</v>
      </c>
      <c r="AV3" s="28" t="s">
        <v>347</v>
      </c>
      <c r="AW3" s="28" t="s">
        <v>348</v>
      </c>
      <c r="AX3" s="28" t="s">
        <v>27</v>
      </c>
      <c r="AY3" s="28" t="s">
        <v>349</v>
      </c>
      <c r="AZ3" s="28" t="s">
        <v>350</v>
      </c>
      <c r="BA3" s="28" t="s">
        <v>351</v>
      </c>
      <c r="BB3" s="28" t="s">
        <v>352</v>
      </c>
      <c r="BC3" s="71" t="s">
        <v>353</v>
      </c>
      <c r="BD3" s="102" t="s">
        <v>416</v>
      </c>
      <c r="BE3" s="103" t="s">
        <v>417</v>
      </c>
      <c r="BF3" s="103" t="s">
        <v>418</v>
      </c>
    </row>
    <row r="4" spans="2:58" s="39" customFormat="1" ht="49.5" customHeight="1" x14ac:dyDescent="0.25">
      <c r="B4" s="47" t="s">
        <v>147</v>
      </c>
      <c r="C4" s="18" t="s">
        <v>359</v>
      </c>
      <c r="D4" s="73" t="s">
        <v>360</v>
      </c>
      <c r="E4" s="73" t="s">
        <v>272</v>
      </c>
      <c r="F4" s="73" t="s">
        <v>194</v>
      </c>
      <c r="G4" s="73" t="s">
        <v>259</v>
      </c>
      <c r="H4" s="73" t="s">
        <v>419</v>
      </c>
      <c r="I4" s="73" t="s">
        <v>420</v>
      </c>
      <c r="J4" s="73" t="s">
        <v>421</v>
      </c>
      <c r="K4" s="73" t="s">
        <v>86</v>
      </c>
      <c r="L4" s="73" t="s">
        <v>422</v>
      </c>
      <c r="M4" s="68" t="s">
        <v>361</v>
      </c>
      <c r="N4" s="72" t="s">
        <v>17</v>
      </c>
      <c r="O4" s="73" t="s">
        <v>362</v>
      </c>
      <c r="P4" s="73" t="s">
        <v>363</v>
      </c>
      <c r="Q4" s="73" t="s">
        <v>364</v>
      </c>
      <c r="R4" s="73" t="s">
        <v>365</v>
      </c>
      <c r="S4" s="73" t="s">
        <v>366</v>
      </c>
      <c r="T4" s="73" t="s">
        <v>21</v>
      </c>
      <c r="U4" s="73" t="s">
        <v>367</v>
      </c>
      <c r="V4" s="73" t="s">
        <v>368</v>
      </c>
      <c r="W4" s="73" t="s">
        <v>369</v>
      </c>
      <c r="X4" s="73" t="s">
        <v>370</v>
      </c>
      <c r="Y4" s="73" t="s">
        <v>371</v>
      </c>
      <c r="Z4" s="73" t="s">
        <v>372</v>
      </c>
      <c r="AA4" s="73" t="s">
        <v>373</v>
      </c>
      <c r="AB4" s="73" t="s">
        <v>374</v>
      </c>
      <c r="AC4" s="73" t="s">
        <v>23</v>
      </c>
      <c r="AD4" s="73" t="s">
        <v>375</v>
      </c>
      <c r="AE4" s="73" t="s">
        <v>376</v>
      </c>
      <c r="AF4" s="73" t="s">
        <v>377</v>
      </c>
      <c r="AG4" s="73" t="s">
        <v>378</v>
      </c>
      <c r="AH4" s="73" t="s">
        <v>379</v>
      </c>
      <c r="AI4" s="73" t="s">
        <v>380</v>
      </c>
      <c r="AJ4" s="73" t="s">
        <v>381</v>
      </c>
      <c r="AK4" s="73" t="s">
        <v>382</v>
      </c>
      <c r="AL4" s="73" t="s">
        <v>383</v>
      </c>
      <c r="AM4" s="73" t="s">
        <v>384</v>
      </c>
      <c r="AN4" s="73" t="s">
        <v>385</v>
      </c>
      <c r="AO4" s="73" t="s">
        <v>386</v>
      </c>
      <c r="AP4" s="73" t="s">
        <v>387</v>
      </c>
      <c r="AQ4" s="73" t="s">
        <v>388</v>
      </c>
      <c r="AR4" s="73" t="s">
        <v>389</v>
      </c>
      <c r="AS4" s="73" t="s">
        <v>390</v>
      </c>
      <c r="AT4" s="73" t="s">
        <v>391</v>
      </c>
      <c r="AU4" s="73" t="s">
        <v>392</v>
      </c>
      <c r="AV4" s="73" t="s">
        <v>393</v>
      </c>
      <c r="AW4" s="73" t="s">
        <v>394</v>
      </c>
      <c r="AX4" s="73" t="s">
        <v>395</v>
      </c>
      <c r="AY4" s="73" t="s">
        <v>396</v>
      </c>
      <c r="AZ4" s="73" t="s">
        <v>397</v>
      </c>
      <c r="BA4" s="73" t="s">
        <v>398</v>
      </c>
      <c r="BB4" s="73" t="s">
        <v>399</v>
      </c>
      <c r="BC4" s="74" t="s">
        <v>400</v>
      </c>
      <c r="BD4" s="90" t="s">
        <v>401</v>
      </c>
      <c r="BE4" s="90" t="s">
        <v>402</v>
      </c>
      <c r="BF4" s="90" t="s">
        <v>423</v>
      </c>
    </row>
    <row r="5" spans="2:58" ht="25.15" customHeight="1" x14ac:dyDescent="0.25">
      <c r="B5" s="49">
        <v>1</v>
      </c>
      <c r="C5" s="37"/>
      <c r="D5" s="41"/>
      <c r="E5" s="40"/>
      <c r="F5" s="87" t="str">
        <f>IF(tbl_Actual_costs_quantities34[[#This Row],[House Code]]&lt;&gt;"",INDEX(tbl_Assessment[],MATCH(tbl_Actual_costs_quantities34[[#This Row],[House Code]],tbl_Assessment[House Code],0),3),"")</f>
        <v/>
      </c>
      <c r="G5" s="116" t="str">
        <f>IF(tbl_Actual_costs_quantities34[[#This Row],[House Code]]&lt;&gt;"",INDEX(tbl_Assessment[],MATCH(tbl_Actual_costs_quantities34[[#This Row],[House Code]],tbl_Assessment[House Code],0),9),"")</f>
        <v/>
      </c>
      <c r="H5" s="41"/>
      <c r="I5" s="41"/>
      <c r="J5" s="41"/>
      <c r="K5" s="116"/>
      <c r="L5" s="117" t="str">
        <f>IF(tbl_Actual_costs_quantities34[[#This Row],[House Code]]&lt;&gt;"",tbl_Actual_costs_quantities34[[#This Row],[Total cost]]/INDEX(tbl_estimated_costs_quantities[],MATCH(tbl_Actual_costs_quantities34[[#This Row],[House Code]],tbl_estimated_costs_quantities[House Code],0),7),"")</f>
        <v/>
      </c>
      <c r="M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 s="75"/>
      <c r="O5" s="37"/>
      <c r="P5" s="86">
        <f>tbl_Actual_costs_quantities34[[#This Row],[Site Preparation]]*BOQs!$L$3</f>
        <v>0</v>
      </c>
      <c r="Q5" s="76"/>
      <c r="R5" s="37"/>
      <c r="S5" s="86">
        <f>tbl_Actual_costs_quantities34[[#This Row],[Demolition Removal Unsafe Structures]]*BOQs!$L$4</f>
        <v>0</v>
      </c>
      <c r="T5" s="76"/>
      <c r="U5" s="37"/>
      <c r="V5" s="86">
        <f>tbl_Actual_costs_quantities34[[#This Row],[Concrete Works]]*BOQs!$L$5</f>
        <v>0</v>
      </c>
      <c r="W5" s="76"/>
      <c r="X5" s="37"/>
      <c r="Y5" s="86">
        <f>tbl_Actual_costs_quantities34[[#This Row],[Closure External Openings Walls Windows]]*BOQs!$L$6</f>
        <v>0</v>
      </c>
      <c r="Z5" s="76"/>
      <c r="AA5" s="37"/>
      <c r="AB5" s="86">
        <f>tbl_Actual_costs_quantities34[[#This Row],[Plastering Painting]]*BOQs!$L$7</f>
        <v>0</v>
      </c>
      <c r="AC5" s="76"/>
      <c r="AD5" s="37"/>
      <c r="AE5" s="86">
        <f>tbl_Actual_costs_quantities34[[#This Row],[Floor Repairs]]*BOQs!$L$8</f>
        <v>0</v>
      </c>
      <c r="AF5" s="76"/>
      <c r="AG5" s="37"/>
      <c r="AH5" s="86">
        <f>tbl_Actual_costs_quantities34[[#This Row],[Doors Replacement Repair]]*BOQs!$L$9</f>
        <v>0</v>
      </c>
      <c r="AI5" s="76"/>
      <c r="AJ5" s="37"/>
      <c r="AK5" s="86">
        <f>tbl_Actual_costs_quantities34[[#This Row],[Windows Replacement Repair]]*BOQs!$L$10</f>
        <v>0</v>
      </c>
      <c r="AL5" s="76"/>
      <c r="AM5" s="37"/>
      <c r="AN5" s="86">
        <f>tbl_Actual_costs_quantities34[[#This Row],[Bathroom Rehabilitation]]*BOQs!$L$11</f>
        <v>0</v>
      </c>
      <c r="AO5" s="76"/>
      <c r="AP5" s="37"/>
      <c r="AQ5" s="86">
        <f>tbl_Actual_costs_quantities34[[#This Row],[Ceramic Tile Works WASH]]*BOQs!$L$12</f>
        <v>0</v>
      </c>
      <c r="AR5" s="76"/>
      <c r="AS5" s="37"/>
      <c r="AT5" s="86">
        <f>tbl_Actual_costs_quantities34[[#This Row],[Electrical Repairs Lighting]]*BOQs!$L$13</f>
        <v>0</v>
      </c>
      <c r="AU5" s="76"/>
      <c r="AV5" s="37"/>
      <c r="AW5" s="86">
        <f>tbl_Actual_costs_quantities34[[#This Row],[Roof Insulation Leak Sealing]]*BOQs!$L$14</f>
        <v>0</v>
      </c>
      <c r="AX5" s="76"/>
      <c r="AY5" s="37"/>
      <c r="AZ5" s="86">
        <f>tbl_Actual_costs_quantities34[[#This Row],[Chimney Duct Cleaning Repair]]*BOQs!$L$15</f>
        <v>0</v>
      </c>
      <c r="BA5" s="76"/>
      <c r="BB5" s="37"/>
      <c r="BC5" s="89">
        <f>tbl_Actual_costs_quantities34[[#This Row],[Accessibility Adaptations]]*BOQs!$L$16</f>
        <v>0</v>
      </c>
      <c r="BD5" s="41"/>
      <c r="BE5" s="37"/>
      <c r="BF5" s="37"/>
    </row>
    <row r="6" spans="2:58" ht="25.15" customHeight="1" x14ac:dyDescent="0.25">
      <c r="B6" s="49">
        <v>2</v>
      </c>
      <c r="C6" s="37"/>
      <c r="D6" s="41"/>
      <c r="E6" s="40"/>
      <c r="F6" s="87" t="str">
        <f>IF(tbl_Actual_costs_quantities34[[#This Row],[House Code]]&lt;&gt;"",INDEX(tbl_Assessment[],MATCH(tbl_Actual_costs_quantities34[[#This Row],[House Code]],tbl_Assessment[House Code],0),3),"")</f>
        <v/>
      </c>
      <c r="G6" s="116" t="str">
        <f>IF(tbl_Actual_costs_quantities34[[#This Row],[House Code]]&lt;&gt;"",INDEX(tbl_Assessment[],MATCH(tbl_Actual_costs_quantities34[[#This Row],[House Code]],tbl_Assessment[House Code],0),9),"")</f>
        <v/>
      </c>
      <c r="H6" s="41"/>
      <c r="I6" s="41"/>
      <c r="J6" s="41"/>
      <c r="K6" s="116"/>
      <c r="L6" s="117" t="str">
        <f>IF(tbl_Actual_costs_quantities34[[#This Row],[House Code]]&lt;&gt;"",tbl_Actual_costs_quantities34[[#This Row],[Total cost]]/INDEX(tbl_estimated_costs_quantities[],MATCH(tbl_Actual_costs_quantities34[[#This Row],[House Code]],tbl_estimated_costs_quantities[House Code],0),7),"")</f>
        <v/>
      </c>
      <c r="M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 s="75"/>
      <c r="O6" s="37"/>
      <c r="P6" s="86">
        <f>tbl_Actual_costs_quantities34[[#This Row],[Site Preparation]]*BOQs!$L$3</f>
        <v>0</v>
      </c>
      <c r="Q6" s="76"/>
      <c r="R6" s="37"/>
      <c r="S6" s="86">
        <f>tbl_Actual_costs_quantities34[[#This Row],[Demolition Removal Unsafe Structures]]*BOQs!$L$4</f>
        <v>0</v>
      </c>
      <c r="T6" s="76"/>
      <c r="U6" s="37"/>
      <c r="V6" s="86">
        <f>tbl_Actual_costs_quantities34[[#This Row],[Concrete Works]]*BOQs!$L$5</f>
        <v>0</v>
      </c>
      <c r="W6" s="76"/>
      <c r="X6" s="37"/>
      <c r="Y6" s="86">
        <f>tbl_Actual_costs_quantities34[[#This Row],[Closure External Openings Walls Windows]]*BOQs!$L$6</f>
        <v>0</v>
      </c>
      <c r="Z6" s="76"/>
      <c r="AA6" s="37"/>
      <c r="AB6" s="86">
        <f>tbl_Actual_costs_quantities34[[#This Row],[Plastering Painting]]*BOQs!$L$7</f>
        <v>0</v>
      </c>
      <c r="AC6" s="76"/>
      <c r="AD6" s="37"/>
      <c r="AE6" s="86">
        <f>tbl_Actual_costs_quantities34[[#This Row],[Floor Repairs]]*BOQs!$L$8</f>
        <v>0</v>
      </c>
      <c r="AF6" s="76"/>
      <c r="AG6" s="37"/>
      <c r="AH6" s="86">
        <f>tbl_Actual_costs_quantities34[[#This Row],[Doors Replacement Repair]]*BOQs!$L$9</f>
        <v>0</v>
      </c>
      <c r="AI6" s="76"/>
      <c r="AJ6" s="37"/>
      <c r="AK6" s="86">
        <f>tbl_Actual_costs_quantities34[[#This Row],[Windows Replacement Repair]]*BOQs!$L$10</f>
        <v>0</v>
      </c>
      <c r="AL6" s="76"/>
      <c r="AM6" s="37"/>
      <c r="AN6" s="86">
        <f>tbl_Actual_costs_quantities34[[#This Row],[Bathroom Rehabilitation]]*BOQs!$L$11</f>
        <v>0</v>
      </c>
      <c r="AO6" s="76"/>
      <c r="AP6" s="37"/>
      <c r="AQ6" s="86">
        <f>tbl_Actual_costs_quantities34[[#This Row],[Ceramic Tile Works WASH]]*BOQs!$L$12</f>
        <v>0</v>
      </c>
      <c r="AR6" s="76"/>
      <c r="AS6" s="37"/>
      <c r="AT6" s="86">
        <f>tbl_Actual_costs_quantities34[[#This Row],[Electrical Repairs Lighting]]*BOQs!$L$13</f>
        <v>0</v>
      </c>
      <c r="AU6" s="76"/>
      <c r="AV6" s="37"/>
      <c r="AW6" s="86">
        <f>tbl_Actual_costs_quantities34[[#This Row],[Roof Insulation Leak Sealing]]*BOQs!$L$14</f>
        <v>0</v>
      </c>
      <c r="AX6" s="76"/>
      <c r="AY6" s="37"/>
      <c r="AZ6" s="86">
        <f>tbl_Actual_costs_quantities34[[#This Row],[Chimney Duct Cleaning Repair]]*BOQs!$L$15</f>
        <v>0</v>
      </c>
      <c r="BA6" s="76"/>
      <c r="BB6" s="37"/>
      <c r="BC6" s="89">
        <f>tbl_Actual_costs_quantities34[[#This Row],[Accessibility Adaptations]]*BOQs!$L$16</f>
        <v>0</v>
      </c>
      <c r="BD6" s="41"/>
      <c r="BE6" s="37"/>
      <c r="BF6" s="37"/>
    </row>
    <row r="7" spans="2:58" ht="25.15" customHeight="1" x14ac:dyDescent="0.25">
      <c r="B7" s="49">
        <v>3</v>
      </c>
      <c r="C7" s="37"/>
      <c r="D7" s="41"/>
      <c r="E7" s="40"/>
      <c r="F7" s="87" t="str">
        <f>IF(tbl_Actual_costs_quantities34[[#This Row],[House Code]]&lt;&gt;"",INDEX(tbl_Assessment[],MATCH(tbl_Actual_costs_quantities34[[#This Row],[House Code]],tbl_Assessment[House Code],0),3),"")</f>
        <v/>
      </c>
      <c r="G7" s="116" t="str">
        <f>IF(tbl_Actual_costs_quantities34[[#This Row],[House Code]]&lt;&gt;"",INDEX(tbl_Assessment[],MATCH(tbl_Actual_costs_quantities34[[#This Row],[House Code]],tbl_Assessment[House Code],0),9),"")</f>
        <v/>
      </c>
      <c r="H7" s="41"/>
      <c r="I7" s="41"/>
      <c r="J7" s="41"/>
      <c r="K7" s="116"/>
      <c r="L7" s="117" t="str">
        <f>IF(tbl_Actual_costs_quantities34[[#This Row],[House Code]]&lt;&gt;"",tbl_Actual_costs_quantities34[[#This Row],[Total cost]]/INDEX(tbl_estimated_costs_quantities[],MATCH(tbl_Actual_costs_quantities34[[#This Row],[House Code]],tbl_estimated_costs_quantities[House Code],0),7),"")</f>
        <v/>
      </c>
      <c r="M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 s="75"/>
      <c r="O7" s="37"/>
      <c r="P7" s="86">
        <f>tbl_Actual_costs_quantities34[[#This Row],[Site Preparation]]*BOQs!$L$3</f>
        <v>0</v>
      </c>
      <c r="Q7" s="76"/>
      <c r="R7" s="37"/>
      <c r="S7" s="86">
        <f>tbl_Actual_costs_quantities34[[#This Row],[Demolition Removal Unsafe Structures]]*BOQs!$L$4</f>
        <v>0</v>
      </c>
      <c r="T7" s="76"/>
      <c r="U7" s="37"/>
      <c r="V7" s="86">
        <f>tbl_Actual_costs_quantities34[[#This Row],[Concrete Works]]*BOQs!$L$5</f>
        <v>0</v>
      </c>
      <c r="W7" s="76"/>
      <c r="X7" s="37"/>
      <c r="Y7" s="86">
        <f>tbl_Actual_costs_quantities34[[#This Row],[Closure External Openings Walls Windows]]*BOQs!$L$6</f>
        <v>0</v>
      </c>
      <c r="Z7" s="76"/>
      <c r="AA7" s="37"/>
      <c r="AB7" s="86">
        <f>tbl_Actual_costs_quantities34[[#This Row],[Plastering Painting]]*BOQs!$L$7</f>
        <v>0</v>
      </c>
      <c r="AC7" s="76"/>
      <c r="AD7" s="37"/>
      <c r="AE7" s="86">
        <f>tbl_Actual_costs_quantities34[[#This Row],[Floor Repairs]]*BOQs!$L$8</f>
        <v>0</v>
      </c>
      <c r="AF7" s="76"/>
      <c r="AG7" s="37"/>
      <c r="AH7" s="86">
        <f>tbl_Actual_costs_quantities34[[#This Row],[Doors Replacement Repair]]*BOQs!$L$9</f>
        <v>0</v>
      </c>
      <c r="AI7" s="76"/>
      <c r="AJ7" s="37"/>
      <c r="AK7" s="86">
        <f>tbl_Actual_costs_quantities34[[#This Row],[Windows Replacement Repair]]*BOQs!$L$10</f>
        <v>0</v>
      </c>
      <c r="AL7" s="76"/>
      <c r="AM7" s="37"/>
      <c r="AN7" s="86">
        <f>tbl_Actual_costs_quantities34[[#This Row],[Bathroom Rehabilitation]]*BOQs!$L$11</f>
        <v>0</v>
      </c>
      <c r="AO7" s="76"/>
      <c r="AP7" s="37"/>
      <c r="AQ7" s="86">
        <f>tbl_Actual_costs_quantities34[[#This Row],[Ceramic Tile Works WASH]]*BOQs!$L$12</f>
        <v>0</v>
      </c>
      <c r="AR7" s="76"/>
      <c r="AS7" s="37"/>
      <c r="AT7" s="86">
        <f>tbl_Actual_costs_quantities34[[#This Row],[Electrical Repairs Lighting]]*BOQs!$L$13</f>
        <v>0</v>
      </c>
      <c r="AU7" s="76"/>
      <c r="AV7" s="37"/>
      <c r="AW7" s="86">
        <f>tbl_Actual_costs_quantities34[[#This Row],[Roof Insulation Leak Sealing]]*BOQs!$L$14</f>
        <v>0</v>
      </c>
      <c r="AX7" s="76"/>
      <c r="AY7" s="37"/>
      <c r="AZ7" s="86">
        <f>tbl_Actual_costs_quantities34[[#This Row],[Chimney Duct Cleaning Repair]]*BOQs!$L$15</f>
        <v>0</v>
      </c>
      <c r="BA7" s="76"/>
      <c r="BB7" s="37"/>
      <c r="BC7" s="89">
        <f>tbl_Actual_costs_quantities34[[#This Row],[Accessibility Adaptations]]*BOQs!$L$16</f>
        <v>0</v>
      </c>
      <c r="BD7" s="41"/>
      <c r="BE7" s="37"/>
      <c r="BF7" s="37"/>
    </row>
    <row r="8" spans="2:58" ht="25.15" customHeight="1" x14ac:dyDescent="0.25">
      <c r="B8" s="49">
        <v>4</v>
      </c>
      <c r="C8" s="37"/>
      <c r="D8" s="41"/>
      <c r="E8" s="40"/>
      <c r="F8" s="87" t="str">
        <f>IF(tbl_Actual_costs_quantities34[[#This Row],[House Code]]&lt;&gt;"",INDEX(tbl_Assessment[],MATCH(tbl_Actual_costs_quantities34[[#This Row],[House Code]],tbl_Assessment[House Code],0),3),"")</f>
        <v/>
      </c>
      <c r="G8" s="116" t="str">
        <f>IF(tbl_Actual_costs_quantities34[[#This Row],[House Code]]&lt;&gt;"",INDEX(tbl_Assessment[],MATCH(tbl_Actual_costs_quantities34[[#This Row],[House Code]],tbl_Assessment[House Code],0),9),"")</f>
        <v/>
      </c>
      <c r="H8" s="41"/>
      <c r="I8" s="41"/>
      <c r="J8" s="41"/>
      <c r="K8" s="116"/>
      <c r="L8" s="117" t="str">
        <f>IF(tbl_Actual_costs_quantities34[[#This Row],[House Code]]&lt;&gt;"",tbl_Actual_costs_quantities34[[#This Row],[Total cost]]/INDEX(tbl_estimated_costs_quantities[],MATCH(tbl_Actual_costs_quantities34[[#This Row],[House Code]],tbl_estimated_costs_quantities[House Code],0),7),"")</f>
        <v/>
      </c>
      <c r="M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 s="75"/>
      <c r="O8" s="37"/>
      <c r="P8" s="86">
        <f>tbl_Actual_costs_quantities34[[#This Row],[Site Preparation]]*BOQs!$L$3</f>
        <v>0</v>
      </c>
      <c r="Q8" s="76"/>
      <c r="R8" s="37"/>
      <c r="S8" s="86">
        <f>tbl_Actual_costs_quantities34[[#This Row],[Demolition Removal Unsafe Structures]]*BOQs!$L$4</f>
        <v>0</v>
      </c>
      <c r="T8" s="76"/>
      <c r="U8" s="37"/>
      <c r="V8" s="86">
        <f>tbl_Actual_costs_quantities34[[#This Row],[Concrete Works]]*BOQs!$L$5</f>
        <v>0</v>
      </c>
      <c r="W8" s="76"/>
      <c r="X8" s="37"/>
      <c r="Y8" s="86">
        <f>tbl_Actual_costs_quantities34[[#This Row],[Closure External Openings Walls Windows]]*BOQs!$L$6</f>
        <v>0</v>
      </c>
      <c r="Z8" s="76"/>
      <c r="AA8" s="37"/>
      <c r="AB8" s="86">
        <f>tbl_Actual_costs_quantities34[[#This Row],[Plastering Painting]]*BOQs!$L$7</f>
        <v>0</v>
      </c>
      <c r="AC8" s="76"/>
      <c r="AD8" s="37"/>
      <c r="AE8" s="86">
        <f>tbl_Actual_costs_quantities34[[#This Row],[Floor Repairs]]*BOQs!$L$8</f>
        <v>0</v>
      </c>
      <c r="AF8" s="76"/>
      <c r="AG8" s="37"/>
      <c r="AH8" s="86">
        <f>tbl_Actual_costs_quantities34[[#This Row],[Doors Replacement Repair]]*BOQs!$L$9</f>
        <v>0</v>
      </c>
      <c r="AI8" s="76"/>
      <c r="AJ8" s="37"/>
      <c r="AK8" s="86">
        <f>tbl_Actual_costs_quantities34[[#This Row],[Windows Replacement Repair]]*BOQs!$L$10</f>
        <v>0</v>
      </c>
      <c r="AL8" s="76"/>
      <c r="AM8" s="37"/>
      <c r="AN8" s="86">
        <f>tbl_Actual_costs_quantities34[[#This Row],[Bathroom Rehabilitation]]*BOQs!$L$11</f>
        <v>0</v>
      </c>
      <c r="AO8" s="76"/>
      <c r="AP8" s="37"/>
      <c r="AQ8" s="86">
        <f>tbl_Actual_costs_quantities34[[#This Row],[Ceramic Tile Works WASH]]*BOQs!$L$12</f>
        <v>0</v>
      </c>
      <c r="AR8" s="76"/>
      <c r="AS8" s="37"/>
      <c r="AT8" s="86">
        <f>tbl_Actual_costs_quantities34[[#This Row],[Electrical Repairs Lighting]]*BOQs!$L$13</f>
        <v>0</v>
      </c>
      <c r="AU8" s="76"/>
      <c r="AV8" s="37"/>
      <c r="AW8" s="86">
        <f>tbl_Actual_costs_quantities34[[#This Row],[Roof Insulation Leak Sealing]]*BOQs!$L$14</f>
        <v>0</v>
      </c>
      <c r="AX8" s="76"/>
      <c r="AY8" s="37"/>
      <c r="AZ8" s="86">
        <f>tbl_Actual_costs_quantities34[[#This Row],[Chimney Duct Cleaning Repair]]*BOQs!$L$15</f>
        <v>0</v>
      </c>
      <c r="BA8" s="76"/>
      <c r="BB8" s="37"/>
      <c r="BC8" s="89">
        <f>tbl_Actual_costs_quantities34[[#This Row],[Accessibility Adaptations]]*BOQs!$L$16</f>
        <v>0</v>
      </c>
      <c r="BD8" s="41"/>
      <c r="BE8" s="37"/>
      <c r="BF8" s="37"/>
    </row>
    <row r="9" spans="2:58" ht="25.15" customHeight="1" x14ac:dyDescent="0.25">
      <c r="B9" s="49">
        <v>5</v>
      </c>
      <c r="C9" s="37"/>
      <c r="D9" s="41"/>
      <c r="E9" s="40"/>
      <c r="F9" s="87" t="str">
        <f>IF(tbl_Actual_costs_quantities34[[#This Row],[House Code]]&lt;&gt;"",INDEX(tbl_Assessment[],MATCH(tbl_Actual_costs_quantities34[[#This Row],[House Code]],tbl_Assessment[House Code],0),3),"")</f>
        <v/>
      </c>
      <c r="G9" s="116" t="str">
        <f>IF(tbl_Actual_costs_quantities34[[#This Row],[House Code]]&lt;&gt;"",INDEX(tbl_Assessment[],MATCH(tbl_Actual_costs_quantities34[[#This Row],[House Code]],tbl_Assessment[House Code],0),9),"")</f>
        <v/>
      </c>
      <c r="H9" s="41"/>
      <c r="I9" s="41"/>
      <c r="J9" s="41"/>
      <c r="K9" s="116"/>
      <c r="L9" s="117" t="str">
        <f>IF(tbl_Actual_costs_quantities34[[#This Row],[House Code]]&lt;&gt;"",tbl_Actual_costs_quantities34[[#This Row],[Total cost]]/INDEX(tbl_estimated_costs_quantities[],MATCH(tbl_Actual_costs_quantities34[[#This Row],[House Code]],tbl_estimated_costs_quantities[House Code],0),7),"")</f>
        <v/>
      </c>
      <c r="M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 s="75"/>
      <c r="O9" s="37"/>
      <c r="P9" s="86">
        <f>tbl_Actual_costs_quantities34[[#This Row],[Site Preparation]]*BOQs!$L$3</f>
        <v>0</v>
      </c>
      <c r="Q9" s="76"/>
      <c r="R9" s="37"/>
      <c r="S9" s="86">
        <f>tbl_Actual_costs_quantities34[[#This Row],[Demolition Removal Unsafe Structures]]*BOQs!$L$4</f>
        <v>0</v>
      </c>
      <c r="T9" s="76"/>
      <c r="U9" s="37"/>
      <c r="V9" s="86">
        <f>tbl_Actual_costs_quantities34[[#This Row],[Concrete Works]]*BOQs!$L$5</f>
        <v>0</v>
      </c>
      <c r="W9" s="76"/>
      <c r="X9" s="37"/>
      <c r="Y9" s="86">
        <f>tbl_Actual_costs_quantities34[[#This Row],[Closure External Openings Walls Windows]]*BOQs!$L$6</f>
        <v>0</v>
      </c>
      <c r="Z9" s="76"/>
      <c r="AA9" s="37"/>
      <c r="AB9" s="86">
        <f>tbl_Actual_costs_quantities34[[#This Row],[Plastering Painting]]*BOQs!$L$7</f>
        <v>0</v>
      </c>
      <c r="AC9" s="76"/>
      <c r="AD9" s="37"/>
      <c r="AE9" s="86">
        <f>tbl_Actual_costs_quantities34[[#This Row],[Floor Repairs]]*BOQs!$L$8</f>
        <v>0</v>
      </c>
      <c r="AF9" s="76"/>
      <c r="AG9" s="37"/>
      <c r="AH9" s="86">
        <f>tbl_Actual_costs_quantities34[[#This Row],[Doors Replacement Repair]]*BOQs!$L$9</f>
        <v>0</v>
      </c>
      <c r="AI9" s="76"/>
      <c r="AJ9" s="37"/>
      <c r="AK9" s="86">
        <f>tbl_Actual_costs_quantities34[[#This Row],[Windows Replacement Repair]]*BOQs!$L$10</f>
        <v>0</v>
      </c>
      <c r="AL9" s="76"/>
      <c r="AM9" s="37"/>
      <c r="AN9" s="86">
        <f>tbl_Actual_costs_quantities34[[#This Row],[Bathroom Rehabilitation]]*BOQs!$L$11</f>
        <v>0</v>
      </c>
      <c r="AO9" s="76"/>
      <c r="AP9" s="37"/>
      <c r="AQ9" s="86">
        <f>tbl_Actual_costs_quantities34[[#This Row],[Ceramic Tile Works WASH]]*BOQs!$L$12</f>
        <v>0</v>
      </c>
      <c r="AR9" s="76"/>
      <c r="AS9" s="37"/>
      <c r="AT9" s="86">
        <f>tbl_Actual_costs_quantities34[[#This Row],[Electrical Repairs Lighting]]*BOQs!$L$13</f>
        <v>0</v>
      </c>
      <c r="AU9" s="76"/>
      <c r="AV9" s="37"/>
      <c r="AW9" s="86">
        <f>tbl_Actual_costs_quantities34[[#This Row],[Roof Insulation Leak Sealing]]*BOQs!$L$14</f>
        <v>0</v>
      </c>
      <c r="AX9" s="76"/>
      <c r="AY9" s="37"/>
      <c r="AZ9" s="86">
        <f>tbl_Actual_costs_quantities34[[#This Row],[Chimney Duct Cleaning Repair]]*BOQs!$L$15</f>
        <v>0</v>
      </c>
      <c r="BA9" s="76"/>
      <c r="BB9" s="37"/>
      <c r="BC9" s="89">
        <f>tbl_Actual_costs_quantities34[[#This Row],[Accessibility Adaptations]]*BOQs!$L$16</f>
        <v>0</v>
      </c>
      <c r="BD9" s="41"/>
      <c r="BE9" s="37"/>
      <c r="BF9" s="37"/>
    </row>
    <row r="10" spans="2:58" ht="25.15" customHeight="1" x14ac:dyDescent="0.25">
      <c r="B10" s="49">
        <v>6</v>
      </c>
      <c r="C10" s="37"/>
      <c r="D10" s="41"/>
      <c r="E10" s="40"/>
      <c r="F10" s="87" t="str">
        <f>IF(tbl_Actual_costs_quantities34[[#This Row],[House Code]]&lt;&gt;"",INDEX(tbl_Assessment[],MATCH(tbl_Actual_costs_quantities34[[#This Row],[House Code]],tbl_Assessment[House Code],0),3),"")</f>
        <v/>
      </c>
      <c r="G10" s="116" t="str">
        <f>IF(tbl_Actual_costs_quantities34[[#This Row],[House Code]]&lt;&gt;"",INDEX(tbl_Assessment[],MATCH(tbl_Actual_costs_quantities34[[#This Row],[House Code]],tbl_Assessment[House Code],0),9),"")</f>
        <v/>
      </c>
      <c r="H10" s="41"/>
      <c r="I10" s="41"/>
      <c r="J10" s="41"/>
      <c r="K10" s="116"/>
      <c r="L10" s="117" t="str">
        <f>IF(tbl_Actual_costs_quantities34[[#This Row],[House Code]]&lt;&gt;"",tbl_Actual_costs_quantities34[[#This Row],[Total cost]]/INDEX(tbl_estimated_costs_quantities[],MATCH(tbl_Actual_costs_quantities34[[#This Row],[House Code]],tbl_estimated_costs_quantities[House Code],0),7),"")</f>
        <v/>
      </c>
      <c r="M1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 s="75"/>
      <c r="O10" s="37"/>
      <c r="P10" s="86">
        <f>tbl_Actual_costs_quantities34[[#This Row],[Site Preparation]]*BOQs!$L$3</f>
        <v>0</v>
      </c>
      <c r="Q10" s="76"/>
      <c r="R10" s="37"/>
      <c r="S10" s="86">
        <f>tbl_Actual_costs_quantities34[[#This Row],[Demolition Removal Unsafe Structures]]*BOQs!$L$4</f>
        <v>0</v>
      </c>
      <c r="T10" s="76"/>
      <c r="U10" s="37"/>
      <c r="V10" s="86">
        <f>tbl_Actual_costs_quantities34[[#This Row],[Concrete Works]]*BOQs!$L$5</f>
        <v>0</v>
      </c>
      <c r="W10" s="76"/>
      <c r="X10" s="37"/>
      <c r="Y10" s="86">
        <f>tbl_Actual_costs_quantities34[[#This Row],[Closure External Openings Walls Windows]]*BOQs!$L$6</f>
        <v>0</v>
      </c>
      <c r="Z10" s="76"/>
      <c r="AA10" s="37"/>
      <c r="AB10" s="86">
        <f>tbl_Actual_costs_quantities34[[#This Row],[Plastering Painting]]*BOQs!$L$7</f>
        <v>0</v>
      </c>
      <c r="AC10" s="76"/>
      <c r="AD10" s="37"/>
      <c r="AE10" s="86">
        <f>tbl_Actual_costs_quantities34[[#This Row],[Floor Repairs]]*BOQs!$L$8</f>
        <v>0</v>
      </c>
      <c r="AF10" s="76"/>
      <c r="AG10" s="37"/>
      <c r="AH10" s="86">
        <f>tbl_Actual_costs_quantities34[[#This Row],[Doors Replacement Repair]]*BOQs!$L$9</f>
        <v>0</v>
      </c>
      <c r="AI10" s="76"/>
      <c r="AJ10" s="37"/>
      <c r="AK10" s="86">
        <f>tbl_Actual_costs_quantities34[[#This Row],[Windows Replacement Repair]]*BOQs!$L$10</f>
        <v>0</v>
      </c>
      <c r="AL10" s="76"/>
      <c r="AM10" s="37"/>
      <c r="AN10" s="86">
        <f>tbl_Actual_costs_quantities34[[#This Row],[Bathroom Rehabilitation]]*BOQs!$L$11</f>
        <v>0</v>
      </c>
      <c r="AO10" s="76"/>
      <c r="AP10" s="37"/>
      <c r="AQ10" s="86">
        <f>tbl_Actual_costs_quantities34[[#This Row],[Ceramic Tile Works WASH]]*BOQs!$L$12</f>
        <v>0</v>
      </c>
      <c r="AR10" s="76"/>
      <c r="AS10" s="37"/>
      <c r="AT10" s="86">
        <f>tbl_Actual_costs_quantities34[[#This Row],[Electrical Repairs Lighting]]*BOQs!$L$13</f>
        <v>0</v>
      </c>
      <c r="AU10" s="76"/>
      <c r="AV10" s="37"/>
      <c r="AW10" s="86">
        <f>tbl_Actual_costs_quantities34[[#This Row],[Roof Insulation Leak Sealing]]*BOQs!$L$14</f>
        <v>0</v>
      </c>
      <c r="AX10" s="76"/>
      <c r="AY10" s="37"/>
      <c r="AZ10" s="86">
        <f>tbl_Actual_costs_quantities34[[#This Row],[Chimney Duct Cleaning Repair]]*BOQs!$L$15</f>
        <v>0</v>
      </c>
      <c r="BA10" s="76"/>
      <c r="BB10" s="37"/>
      <c r="BC10" s="89">
        <f>tbl_Actual_costs_quantities34[[#This Row],[Accessibility Adaptations]]*BOQs!$L$16</f>
        <v>0</v>
      </c>
      <c r="BD10" s="41"/>
      <c r="BE10" s="37"/>
      <c r="BF10" s="37"/>
    </row>
    <row r="11" spans="2:58" ht="25.15" customHeight="1" x14ac:dyDescent="0.25">
      <c r="B11" s="49">
        <v>7</v>
      </c>
      <c r="C11" s="37"/>
      <c r="D11" s="41"/>
      <c r="E11" s="40"/>
      <c r="F11" s="87" t="str">
        <f>IF(tbl_Actual_costs_quantities34[[#This Row],[House Code]]&lt;&gt;"",INDEX(tbl_Assessment[],MATCH(tbl_Actual_costs_quantities34[[#This Row],[House Code]],tbl_Assessment[House Code],0),3),"")</f>
        <v/>
      </c>
      <c r="G11" s="116" t="str">
        <f>IF(tbl_Actual_costs_quantities34[[#This Row],[House Code]]&lt;&gt;"",INDEX(tbl_Assessment[],MATCH(tbl_Actual_costs_quantities34[[#This Row],[House Code]],tbl_Assessment[House Code],0),9),"")</f>
        <v/>
      </c>
      <c r="H11" s="41"/>
      <c r="I11" s="41"/>
      <c r="J11" s="41"/>
      <c r="K11" s="116"/>
      <c r="L11" s="117" t="str">
        <f>IF(tbl_Actual_costs_quantities34[[#This Row],[House Code]]&lt;&gt;"",tbl_Actual_costs_quantities34[[#This Row],[Total cost]]/INDEX(tbl_estimated_costs_quantities[],MATCH(tbl_Actual_costs_quantities34[[#This Row],[House Code]],tbl_estimated_costs_quantities[House Code],0),7),"")</f>
        <v/>
      </c>
      <c r="M1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 s="75"/>
      <c r="O11" s="37"/>
      <c r="P11" s="86">
        <f>tbl_Actual_costs_quantities34[[#This Row],[Site Preparation]]*BOQs!$L$3</f>
        <v>0</v>
      </c>
      <c r="Q11" s="76"/>
      <c r="R11" s="37"/>
      <c r="S11" s="86">
        <f>tbl_Actual_costs_quantities34[[#This Row],[Demolition Removal Unsafe Structures]]*BOQs!$L$4</f>
        <v>0</v>
      </c>
      <c r="T11" s="76"/>
      <c r="U11" s="37"/>
      <c r="V11" s="86">
        <f>tbl_Actual_costs_quantities34[[#This Row],[Concrete Works]]*BOQs!$L$5</f>
        <v>0</v>
      </c>
      <c r="W11" s="76"/>
      <c r="X11" s="37"/>
      <c r="Y11" s="86">
        <f>tbl_Actual_costs_quantities34[[#This Row],[Closure External Openings Walls Windows]]*BOQs!$L$6</f>
        <v>0</v>
      </c>
      <c r="Z11" s="76"/>
      <c r="AA11" s="37"/>
      <c r="AB11" s="86">
        <f>tbl_Actual_costs_quantities34[[#This Row],[Plastering Painting]]*BOQs!$L$7</f>
        <v>0</v>
      </c>
      <c r="AC11" s="76"/>
      <c r="AD11" s="37"/>
      <c r="AE11" s="86">
        <f>tbl_Actual_costs_quantities34[[#This Row],[Floor Repairs]]*BOQs!$L$8</f>
        <v>0</v>
      </c>
      <c r="AF11" s="76"/>
      <c r="AG11" s="37"/>
      <c r="AH11" s="86">
        <f>tbl_Actual_costs_quantities34[[#This Row],[Doors Replacement Repair]]*BOQs!$L$9</f>
        <v>0</v>
      </c>
      <c r="AI11" s="76"/>
      <c r="AJ11" s="37"/>
      <c r="AK11" s="86">
        <f>tbl_Actual_costs_quantities34[[#This Row],[Windows Replacement Repair]]*BOQs!$L$10</f>
        <v>0</v>
      </c>
      <c r="AL11" s="76"/>
      <c r="AM11" s="37"/>
      <c r="AN11" s="86">
        <f>tbl_Actual_costs_quantities34[[#This Row],[Bathroom Rehabilitation]]*BOQs!$L$11</f>
        <v>0</v>
      </c>
      <c r="AO11" s="76"/>
      <c r="AP11" s="37"/>
      <c r="AQ11" s="86">
        <f>tbl_Actual_costs_quantities34[[#This Row],[Ceramic Tile Works WASH]]*BOQs!$L$12</f>
        <v>0</v>
      </c>
      <c r="AR11" s="76"/>
      <c r="AS11" s="37"/>
      <c r="AT11" s="86">
        <f>tbl_Actual_costs_quantities34[[#This Row],[Electrical Repairs Lighting]]*BOQs!$L$13</f>
        <v>0</v>
      </c>
      <c r="AU11" s="76"/>
      <c r="AV11" s="37"/>
      <c r="AW11" s="86">
        <f>tbl_Actual_costs_quantities34[[#This Row],[Roof Insulation Leak Sealing]]*BOQs!$L$14</f>
        <v>0</v>
      </c>
      <c r="AX11" s="76"/>
      <c r="AY11" s="37"/>
      <c r="AZ11" s="86">
        <f>tbl_Actual_costs_quantities34[[#This Row],[Chimney Duct Cleaning Repair]]*BOQs!$L$15</f>
        <v>0</v>
      </c>
      <c r="BA11" s="76"/>
      <c r="BB11" s="37"/>
      <c r="BC11" s="89">
        <f>tbl_Actual_costs_quantities34[[#This Row],[Accessibility Adaptations]]*BOQs!$L$16</f>
        <v>0</v>
      </c>
      <c r="BD11" s="41"/>
      <c r="BE11" s="37"/>
      <c r="BF11" s="37"/>
    </row>
    <row r="12" spans="2:58" ht="25.15" customHeight="1" x14ac:dyDescent="0.25">
      <c r="B12" s="49">
        <v>8</v>
      </c>
      <c r="C12" s="37"/>
      <c r="D12" s="41"/>
      <c r="E12" s="40"/>
      <c r="F12" s="87" t="str">
        <f>IF(tbl_Actual_costs_quantities34[[#This Row],[House Code]]&lt;&gt;"",INDEX(tbl_Assessment[],MATCH(tbl_Actual_costs_quantities34[[#This Row],[House Code]],tbl_Assessment[House Code],0),3),"")</f>
        <v/>
      </c>
      <c r="G12" s="116" t="str">
        <f>IF(tbl_Actual_costs_quantities34[[#This Row],[House Code]]&lt;&gt;"",INDEX(tbl_Assessment[],MATCH(tbl_Actual_costs_quantities34[[#This Row],[House Code]],tbl_Assessment[House Code],0),9),"")</f>
        <v/>
      </c>
      <c r="H12" s="41"/>
      <c r="I12" s="41"/>
      <c r="J12" s="41"/>
      <c r="K12" s="116"/>
      <c r="L12" s="117" t="str">
        <f>IF(tbl_Actual_costs_quantities34[[#This Row],[House Code]]&lt;&gt;"",tbl_Actual_costs_quantities34[[#This Row],[Total cost]]/INDEX(tbl_estimated_costs_quantities[],MATCH(tbl_Actual_costs_quantities34[[#This Row],[House Code]],tbl_estimated_costs_quantities[House Code],0),7),"")</f>
        <v/>
      </c>
      <c r="M1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 s="75"/>
      <c r="O12" s="37"/>
      <c r="P12" s="86">
        <f>tbl_Actual_costs_quantities34[[#This Row],[Site Preparation]]*BOQs!$L$3</f>
        <v>0</v>
      </c>
      <c r="Q12" s="76"/>
      <c r="R12" s="37"/>
      <c r="S12" s="86">
        <f>tbl_Actual_costs_quantities34[[#This Row],[Demolition Removal Unsafe Structures]]*BOQs!$L$4</f>
        <v>0</v>
      </c>
      <c r="T12" s="76"/>
      <c r="U12" s="37"/>
      <c r="V12" s="86">
        <f>tbl_Actual_costs_quantities34[[#This Row],[Concrete Works]]*BOQs!$L$5</f>
        <v>0</v>
      </c>
      <c r="W12" s="76"/>
      <c r="X12" s="37"/>
      <c r="Y12" s="86">
        <f>tbl_Actual_costs_quantities34[[#This Row],[Closure External Openings Walls Windows]]*BOQs!$L$6</f>
        <v>0</v>
      </c>
      <c r="Z12" s="76"/>
      <c r="AA12" s="37"/>
      <c r="AB12" s="86">
        <f>tbl_Actual_costs_quantities34[[#This Row],[Plastering Painting]]*BOQs!$L$7</f>
        <v>0</v>
      </c>
      <c r="AC12" s="76"/>
      <c r="AD12" s="37"/>
      <c r="AE12" s="86">
        <f>tbl_Actual_costs_quantities34[[#This Row],[Floor Repairs]]*BOQs!$L$8</f>
        <v>0</v>
      </c>
      <c r="AF12" s="76"/>
      <c r="AG12" s="37"/>
      <c r="AH12" s="86">
        <f>tbl_Actual_costs_quantities34[[#This Row],[Doors Replacement Repair]]*BOQs!$L$9</f>
        <v>0</v>
      </c>
      <c r="AI12" s="76"/>
      <c r="AJ12" s="37"/>
      <c r="AK12" s="86">
        <f>tbl_Actual_costs_quantities34[[#This Row],[Windows Replacement Repair]]*BOQs!$L$10</f>
        <v>0</v>
      </c>
      <c r="AL12" s="76"/>
      <c r="AM12" s="37"/>
      <c r="AN12" s="86">
        <f>tbl_Actual_costs_quantities34[[#This Row],[Bathroom Rehabilitation]]*BOQs!$L$11</f>
        <v>0</v>
      </c>
      <c r="AO12" s="76"/>
      <c r="AP12" s="37"/>
      <c r="AQ12" s="86">
        <f>tbl_Actual_costs_quantities34[[#This Row],[Ceramic Tile Works WASH]]*BOQs!$L$12</f>
        <v>0</v>
      </c>
      <c r="AR12" s="76"/>
      <c r="AS12" s="37"/>
      <c r="AT12" s="86">
        <f>tbl_Actual_costs_quantities34[[#This Row],[Electrical Repairs Lighting]]*BOQs!$L$13</f>
        <v>0</v>
      </c>
      <c r="AU12" s="76"/>
      <c r="AV12" s="37"/>
      <c r="AW12" s="86">
        <f>tbl_Actual_costs_quantities34[[#This Row],[Roof Insulation Leak Sealing]]*BOQs!$L$14</f>
        <v>0</v>
      </c>
      <c r="AX12" s="76"/>
      <c r="AY12" s="37"/>
      <c r="AZ12" s="86">
        <f>tbl_Actual_costs_quantities34[[#This Row],[Chimney Duct Cleaning Repair]]*BOQs!$L$15</f>
        <v>0</v>
      </c>
      <c r="BA12" s="76"/>
      <c r="BB12" s="37"/>
      <c r="BC12" s="89">
        <f>tbl_Actual_costs_quantities34[[#This Row],[Accessibility Adaptations]]*BOQs!$L$16</f>
        <v>0</v>
      </c>
      <c r="BD12" s="41"/>
      <c r="BE12" s="37"/>
      <c r="BF12" s="37"/>
    </row>
    <row r="13" spans="2:58" ht="25.15" customHeight="1" x14ac:dyDescent="0.25">
      <c r="B13" s="49">
        <v>9</v>
      </c>
      <c r="C13" s="37"/>
      <c r="D13" s="41"/>
      <c r="E13" s="40"/>
      <c r="F13" s="87" t="str">
        <f>IF(tbl_Actual_costs_quantities34[[#This Row],[House Code]]&lt;&gt;"",INDEX(tbl_Assessment[],MATCH(tbl_Actual_costs_quantities34[[#This Row],[House Code]],tbl_Assessment[House Code],0),3),"")</f>
        <v/>
      </c>
      <c r="G13" s="116" t="str">
        <f>IF(tbl_Actual_costs_quantities34[[#This Row],[House Code]]&lt;&gt;"",INDEX(tbl_Assessment[],MATCH(tbl_Actual_costs_quantities34[[#This Row],[House Code]],tbl_Assessment[House Code],0),9),"")</f>
        <v/>
      </c>
      <c r="H13" s="41"/>
      <c r="I13" s="41"/>
      <c r="J13" s="41"/>
      <c r="K13" s="116"/>
      <c r="L13" s="117" t="str">
        <f>IF(tbl_Actual_costs_quantities34[[#This Row],[House Code]]&lt;&gt;"",tbl_Actual_costs_quantities34[[#This Row],[Total cost]]/INDEX(tbl_estimated_costs_quantities[],MATCH(tbl_Actual_costs_quantities34[[#This Row],[House Code]],tbl_estimated_costs_quantities[House Code],0),7),"")</f>
        <v/>
      </c>
      <c r="M1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 s="75"/>
      <c r="O13" s="37"/>
      <c r="P13" s="86">
        <f>tbl_Actual_costs_quantities34[[#This Row],[Site Preparation]]*BOQs!$L$3</f>
        <v>0</v>
      </c>
      <c r="Q13" s="76"/>
      <c r="R13" s="37"/>
      <c r="S13" s="86">
        <f>tbl_Actual_costs_quantities34[[#This Row],[Demolition Removal Unsafe Structures]]*BOQs!$L$4</f>
        <v>0</v>
      </c>
      <c r="T13" s="76"/>
      <c r="U13" s="37"/>
      <c r="V13" s="86">
        <f>tbl_Actual_costs_quantities34[[#This Row],[Concrete Works]]*BOQs!$L$5</f>
        <v>0</v>
      </c>
      <c r="W13" s="76"/>
      <c r="X13" s="37"/>
      <c r="Y13" s="86">
        <f>tbl_Actual_costs_quantities34[[#This Row],[Closure External Openings Walls Windows]]*BOQs!$L$6</f>
        <v>0</v>
      </c>
      <c r="Z13" s="76"/>
      <c r="AA13" s="37"/>
      <c r="AB13" s="86">
        <f>tbl_Actual_costs_quantities34[[#This Row],[Plastering Painting]]*BOQs!$L$7</f>
        <v>0</v>
      </c>
      <c r="AC13" s="76"/>
      <c r="AD13" s="37"/>
      <c r="AE13" s="86">
        <f>tbl_Actual_costs_quantities34[[#This Row],[Floor Repairs]]*BOQs!$L$8</f>
        <v>0</v>
      </c>
      <c r="AF13" s="76"/>
      <c r="AG13" s="37"/>
      <c r="AH13" s="86">
        <f>tbl_Actual_costs_quantities34[[#This Row],[Doors Replacement Repair]]*BOQs!$L$9</f>
        <v>0</v>
      </c>
      <c r="AI13" s="76"/>
      <c r="AJ13" s="37"/>
      <c r="AK13" s="86">
        <f>tbl_Actual_costs_quantities34[[#This Row],[Windows Replacement Repair]]*BOQs!$L$10</f>
        <v>0</v>
      </c>
      <c r="AL13" s="76"/>
      <c r="AM13" s="37"/>
      <c r="AN13" s="86">
        <f>tbl_Actual_costs_quantities34[[#This Row],[Bathroom Rehabilitation]]*BOQs!$L$11</f>
        <v>0</v>
      </c>
      <c r="AO13" s="76"/>
      <c r="AP13" s="37"/>
      <c r="AQ13" s="86">
        <f>tbl_Actual_costs_quantities34[[#This Row],[Ceramic Tile Works WASH]]*BOQs!$L$12</f>
        <v>0</v>
      </c>
      <c r="AR13" s="76"/>
      <c r="AS13" s="37"/>
      <c r="AT13" s="86">
        <f>tbl_Actual_costs_quantities34[[#This Row],[Electrical Repairs Lighting]]*BOQs!$L$13</f>
        <v>0</v>
      </c>
      <c r="AU13" s="76"/>
      <c r="AV13" s="37"/>
      <c r="AW13" s="86">
        <f>tbl_Actual_costs_quantities34[[#This Row],[Roof Insulation Leak Sealing]]*BOQs!$L$14</f>
        <v>0</v>
      </c>
      <c r="AX13" s="76"/>
      <c r="AY13" s="37"/>
      <c r="AZ13" s="86">
        <f>tbl_Actual_costs_quantities34[[#This Row],[Chimney Duct Cleaning Repair]]*BOQs!$L$15</f>
        <v>0</v>
      </c>
      <c r="BA13" s="76"/>
      <c r="BB13" s="37"/>
      <c r="BC13" s="89">
        <f>tbl_Actual_costs_quantities34[[#This Row],[Accessibility Adaptations]]*BOQs!$L$16</f>
        <v>0</v>
      </c>
      <c r="BD13" s="41"/>
      <c r="BE13" s="37"/>
      <c r="BF13" s="37"/>
    </row>
    <row r="14" spans="2:58" ht="25.15" customHeight="1" x14ac:dyDescent="0.25">
      <c r="B14" s="49">
        <v>10</v>
      </c>
      <c r="C14" s="37"/>
      <c r="D14" s="41"/>
      <c r="E14" s="40"/>
      <c r="F14" s="87" t="str">
        <f>IF(tbl_Actual_costs_quantities34[[#This Row],[House Code]]&lt;&gt;"",INDEX(tbl_Assessment[],MATCH(tbl_Actual_costs_quantities34[[#This Row],[House Code]],tbl_Assessment[House Code],0),3),"")</f>
        <v/>
      </c>
      <c r="G14" s="116" t="str">
        <f>IF(tbl_Actual_costs_quantities34[[#This Row],[House Code]]&lt;&gt;"",INDEX(tbl_Assessment[],MATCH(tbl_Actual_costs_quantities34[[#This Row],[House Code]],tbl_Assessment[House Code],0),9),"")</f>
        <v/>
      </c>
      <c r="H14" s="41"/>
      <c r="I14" s="41"/>
      <c r="J14" s="41"/>
      <c r="K14" s="116"/>
      <c r="L14" s="117" t="str">
        <f>IF(tbl_Actual_costs_quantities34[[#This Row],[House Code]]&lt;&gt;"",tbl_Actual_costs_quantities34[[#This Row],[Total cost]]/INDEX(tbl_estimated_costs_quantities[],MATCH(tbl_Actual_costs_quantities34[[#This Row],[House Code]],tbl_estimated_costs_quantities[House Code],0),7),"")</f>
        <v/>
      </c>
      <c r="M1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 s="75"/>
      <c r="O14" s="37"/>
      <c r="P14" s="86">
        <f>tbl_Actual_costs_quantities34[[#This Row],[Site Preparation]]*BOQs!$L$3</f>
        <v>0</v>
      </c>
      <c r="Q14" s="76"/>
      <c r="R14" s="37"/>
      <c r="S14" s="86">
        <f>tbl_Actual_costs_quantities34[[#This Row],[Demolition Removal Unsafe Structures]]*BOQs!$L$4</f>
        <v>0</v>
      </c>
      <c r="T14" s="76"/>
      <c r="U14" s="37"/>
      <c r="V14" s="86">
        <f>tbl_Actual_costs_quantities34[[#This Row],[Concrete Works]]*BOQs!$L$5</f>
        <v>0</v>
      </c>
      <c r="W14" s="76"/>
      <c r="X14" s="37"/>
      <c r="Y14" s="86">
        <f>tbl_Actual_costs_quantities34[[#This Row],[Closure External Openings Walls Windows]]*BOQs!$L$6</f>
        <v>0</v>
      </c>
      <c r="Z14" s="76"/>
      <c r="AA14" s="37"/>
      <c r="AB14" s="86">
        <f>tbl_Actual_costs_quantities34[[#This Row],[Plastering Painting]]*BOQs!$L$7</f>
        <v>0</v>
      </c>
      <c r="AC14" s="76"/>
      <c r="AD14" s="37"/>
      <c r="AE14" s="86">
        <f>tbl_Actual_costs_quantities34[[#This Row],[Floor Repairs]]*BOQs!$L$8</f>
        <v>0</v>
      </c>
      <c r="AF14" s="76"/>
      <c r="AG14" s="37"/>
      <c r="AH14" s="86">
        <f>tbl_Actual_costs_quantities34[[#This Row],[Doors Replacement Repair]]*BOQs!$L$9</f>
        <v>0</v>
      </c>
      <c r="AI14" s="76"/>
      <c r="AJ14" s="37"/>
      <c r="AK14" s="86">
        <f>tbl_Actual_costs_quantities34[[#This Row],[Windows Replacement Repair]]*BOQs!$L$10</f>
        <v>0</v>
      </c>
      <c r="AL14" s="76"/>
      <c r="AM14" s="37"/>
      <c r="AN14" s="86">
        <f>tbl_Actual_costs_quantities34[[#This Row],[Bathroom Rehabilitation]]*BOQs!$L$11</f>
        <v>0</v>
      </c>
      <c r="AO14" s="76"/>
      <c r="AP14" s="37"/>
      <c r="AQ14" s="86">
        <f>tbl_Actual_costs_quantities34[[#This Row],[Ceramic Tile Works WASH]]*BOQs!$L$12</f>
        <v>0</v>
      </c>
      <c r="AR14" s="76"/>
      <c r="AS14" s="37"/>
      <c r="AT14" s="86">
        <f>tbl_Actual_costs_quantities34[[#This Row],[Electrical Repairs Lighting]]*BOQs!$L$13</f>
        <v>0</v>
      </c>
      <c r="AU14" s="76"/>
      <c r="AV14" s="37"/>
      <c r="AW14" s="86">
        <f>tbl_Actual_costs_quantities34[[#This Row],[Roof Insulation Leak Sealing]]*BOQs!$L$14</f>
        <v>0</v>
      </c>
      <c r="AX14" s="76"/>
      <c r="AY14" s="37"/>
      <c r="AZ14" s="86">
        <f>tbl_Actual_costs_quantities34[[#This Row],[Chimney Duct Cleaning Repair]]*BOQs!$L$15</f>
        <v>0</v>
      </c>
      <c r="BA14" s="76"/>
      <c r="BB14" s="37"/>
      <c r="BC14" s="89">
        <f>tbl_Actual_costs_quantities34[[#This Row],[Accessibility Adaptations]]*BOQs!$L$16</f>
        <v>0</v>
      </c>
      <c r="BD14" s="41"/>
      <c r="BE14" s="37"/>
      <c r="BF14" s="37"/>
    </row>
    <row r="15" spans="2:58" ht="25.15" customHeight="1" x14ac:dyDescent="0.25">
      <c r="B15" s="49">
        <v>11</v>
      </c>
      <c r="C15" s="37"/>
      <c r="D15" s="41"/>
      <c r="E15" s="40"/>
      <c r="F15" s="87" t="str">
        <f>IF(tbl_Actual_costs_quantities34[[#This Row],[House Code]]&lt;&gt;"",INDEX(tbl_Assessment[],MATCH(tbl_Actual_costs_quantities34[[#This Row],[House Code]],tbl_Assessment[House Code],0),3),"")</f>
        <v/>
      </c>
      <c r="G15" s="116" t="str">
        <f>IF(tbl_Actual_costs_quantities34[[#This Row],[House Code]]&lt;&gt;"",INDEX(tbl_Assessment[],MATCH(tbl_Actual_costs_quantities34[[#This Row],[House Code]],tbl_Assessment[House Code],0),9),"")</f>
        <v/>
      </c>
      <c r="H15" s="41"/>
      <c r="I15" s="41"/>
      <c r="J15" s="41"/>
      <c r="K15" s="116"/>
      <c r="L15" s="117" t="str">
        <f>IF(tbl_Actual_costs_quantities34[[#This Row],[House Code]]&lt;&gt;"",tbl_Actual_costs_quantities34[[#This Row],[Total cost]]/INDEX(tbl_estimated_costs_quantities[],MATCH(tbl_Actual_costs_quantities34[[#This Row],[House Code]],tbl_estimated_costs_quantities[House Code],0),7),"")</f>
        <v/>
      </c>
      <c r="M1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 s="75"/>
      <c r="O15" s="37"/>
      <c r="P15" s="86">
        <f>tbl_Actual_costs_quantities34[[#This Row],[Site Preparation]]*BOQs!$L$3</f>
        <v>0</v>
      </c>
      <c r="Q15" s="76"/>
      <c r="R15" s="37"/>
      <c r="S15" s="86">
        <f>tbl_Actual_costs_quantities34[[#This Row],[Demolition Removal Unsafe Structures]]*BOQs!$L$4</f>
        <v>0</v>
      </c>
      <c r="T15" s="76"/>
      <c r="U15" s="37"/>
      <c r="V15" s="86">
        <f>tbl_Actual_costs_quantities34[[#This Row],[Concrete Works]]*BOQs!$L$5</f>
        <v>0</v>
      </c>
      <c r="W15" s="76"/>
      <c r="X15" s="37"/>
      <c r="Y15" s="86">
        <f>tbl_Actual_costs_quantities34[[#This Row],[Closure External Openings Walls Windows]]*BOQs!$L$6</f>
        <v>0</v>
      </c>
      <c r="Z15" s="76"/>
      <c r="AA15" s="37"/>
      <c r="AB15" s="86">
        <f>tbl_Actual_costs_quantities34[[#This Row],[Plastering Painting]]*BOQs!$L$7</f>
        <v>0</v>
      </c>
      <c r="AC15" s="76"/>
      <c r="AD15" s="37"/>
      <c r="AE15" s="86">
        <f>tbl_Actual_costs_quantities34[[#This Row],[Floor Repairs]]*BOQs!$L$8</f>
        <v>0</v>
      </c>
      <c r="AF15" s="76"/>
      <c r="AG15" s="37"/>
      <c r="AH15" s="86">
        <f>tbl_Actual_costs_quantities34[[#This Row],[Doors Replacement Repair]]*BOQs!$L$9</f>
        <v>0</v>
      </c>
      <c r="AI15" s="76"/>
      <c r="AJ15" s="37"/>
      <c r="AK15" s="86">
        <f>tbl_Actual_costs_quantities34[[#This Row],[Windows Replacement Repair]]*BOQs!$L$10</f>
        <v>0</v>
      </c>
      <c r="AL15" s="76"/>
      <c r="AM15" s="37"/>
      <c r="AN15" s="86">
        <f>tbl_Actual_costs_quantities34[[#This Row],[Bathroom Rehabilitation]]*BOQs!$L$11</f>
        <v>0</v>
      </c>
      <c r="AO15" s="76"/>
      <c r="AP15" s="37"/>
      <c r="AQ15" s="86">
        <f>tbl_Actual_costs_quantities34[[#This Row],[Ceramic Tile Works WASH]]*BOQs!$L$12</f>
        <v>0</v>
      </c>
      <c r="AR15" s="76"/>
      <c r="AS15" s="37"/>
      <c r="AT15" s="86">
        <f>tbl_Actual_costs_quantities34[[#This Row],[Electrical Repairs Lighting]]*BOQs!$L$13</f>
        <v>0</v>
      </c>
      <c r="AU15" s="76"/>
      <c r="AV15" s="37"/>
      <c r="AW15" s="86">
        <f>tbl_Actual_costs_quantities34[[#This Row],[Roof Insulation Leak Sealing]]*BOQs!$L$14</f>
        <v>0</v>
      </c>
      <c r="AX15" s="76"/>
      <c r="AY15" s="37"/>
      <c r="AZ15" s="86">
        <f>tbl_Actual_costs_quantities34[[#This Row],[Chimney Duct Cleaning Repair]]*BOQs!$L$15</f>
        <v>0</v>
      </c>
      <c r="BA15" s="76"/>
      <c r="BB15" s="37"/>
      <c r="BC15" s="89">
        <f>tbl_Actual_costs_quantities34[[#This Row],[Accessibility Adaptations]]*BOQs!$L$16</f>
        <v>0</v>
      </c>
      <c r="BD15" s="41"/>
      <c r="BE15" s="37"/>
      <c r="BF15" s="37"/>
    </row>
    <row r="16" spans="2:58" ht="25.15" customHeight="1" x14ac:dyDescent="0.25">
      <c r="B16" s="49">
        <v>12</v>
      </c>
      <c r="C16" s="37"/>
      <c r="D16" s="41"/>
      <c r="E16" s="40"/>
      <c r="F16" s="87" t="str">
        <f>IF(tbl_Actual_costs_quantities34[[#This Row],[House Code]]&lt;&gt;"",INDEX(tbl_Assessment[],MATCH(tbl_Actual_costs_quantities34[[#This Row],[House Code]],tbl_Assessment[House Code],0),3),"")</f>
        <v/>
      </c>
      <c r="G16" s="116" t="str">
        <f>IF(tbl_Actual_costs_quantities34[[#This Row],[House Code]]&lt;&gt;"",INDEX(tbl_Assessment[],MATCH(tbl_Actual_costs_quantities34[[#This Row],[House Code]],tbl_Assessment[House Code],0),9),"")</f>
        <v/>
      </c>
      <c r="H16" s="41"/>
      <c r="I16" s="41"/>
      <c r="J16" s="41"/>
      <c r="K16" s="116"/>
      <c r="L16" s="117" t="str">
        <f>IF(tbl_Actual_costs_quantities34[[#This Row],[House Code]]&lt;&gt;"",tbl_Actual_costs_quantities34[[#This Row],[Total cost]]/INDEX(tbl_estimated_costs_quantities[],MATCH(tbl_Actual_costs_quantities34[[#This Row],[House Code]],tbl_estimated_costs_quantities[House Code],0),7),"")</f>
        <v/>
      </c>
      <c r="M1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 s="75"/>
      <c r="O16" s="37"/>
      <c r="P16" s="86">
        <f>tbl_Actual_costs_quantities34[[#This Row],[Site Preparation]]*BOQs!$L$3</f>
        <v>0</v>
      </c>
      <c r="Q16" s="76"/>
      <c r="R16" s="37"/>
      <c r="S16" s="86">
        <f>tbl_Actual_costs_quantities34[[#This Row],[Demolition Removal Unsafe Structures]]*BOQs!$L$4</f>
        <v>0</v>
      </c>
      <c r="T16" s="76"/>
      <c r="U16" s="37"/>
      <c r="V16" s="86">
        <f>tbl_Actual_costs_quantities34[[#This Row],[Concrete Works]]*BOQs!$L$5</f>
        <v>0</v>
      </c>
      <c r="W16" s="76"/>
      <c r="X16" s="37"/>
      <c r="Y16" s="86">
        <f>tbl_Actual_costs_quantities34[[#This Row],[Closure External Openings Walls Windows]]*BOQs!$L$6</f>
        <v>0</v>
      </c>
      <c r="Z16" s="76"/>
      <c r="AA16" s="37"/>
      <c r="AB16" s="86">
        <f>tbl_Actual_costs_quantities34[[#This Row],[Plastering Painting]]*BOQs!$L$7</f>
        <v>0</v>
      </c>
      <c r="AC16" s="76"/>
      <c r="AD16" s="37"/>
      <c r="AE16" s="86">
        <f>tbl_Actual_costs_quantities34[[#This Row],[Floor Repairs]]*BOQs!$L$8</f>
        <v>0</v>
      </c>
      <c r="AF16" s="76"/>
      <c r="AG16" s="37"/>
      <c r="AH16" s="86">
        <f>tbl_Actual_costs_quantities34[[#This Row],[Doors Replacement Repair]]*BOQs!$L$9</f>
        <v>0</v>
      </c>
      <c r="AI16" s="76"/>
      <c r="AJ16" s="37"/>
      <c r="AK16" s="86">
        <f>tbl_Actual_costs_quantities34[[#This Row],[Windows Replacement Repair]]*BOQs!$L$10</f>
        <v>0</v>
      </c>
      <c r="AL16" s="76"/>
      <c r="AM16" s="37"/>
      <c r="AN16" s="86">
        <f>tbl_Actual_costs_quantities34[[#This Row],[Bathroom Rehabilitation]]*BOQs!$L$11</f>
        <v>0</v>
      </c>
      <c r="AO16" s="76"/>
      <c r="AP16" s="37"/>
      <c r="AQ16" s="86">
        <f>tbl_Actual_costs_quantities34[[#This Row],[Ceramic Tile Works WASH]]*BOQs!$L$12</f>
        <v>0</v>
      </c>
      <c r="AR16" s="76"/>
      <c r="AS16" s="37"/>
      <c r="AT16" s="86">
        <f>tbl_Actual_costs_quantities34[[#This Row],[Electrical Repairs Lighting]]*BOQs!$L$13</f>
        <v>0</v>
      </c>
      <c r="AU16" s="76"/>
      <c r="AV16" s="37"/>
      <c r="AW16" s="86">
        <f>tbl_Actual_costs_quantities34[[#This Row],[Roof Insulation Leak Sealing]]*BOQs!$L$14</f>
        <v>0</v>
      </c>
      <c r="AX16" s="76"/>
      <c r="AY16" s="37"/>
      <c r="AZ16" s="86">
        <f>tbl_Actual_costs_quantities34[[#This Row],[Chimney Duct Cleaning Repair]]*BOQs!$L$15</f>
        <v>0</v>
      </c>
      <c r="BA16" s="76"/>
      <c r="BB16" s="37"/>
      <c r="BC16" s="89">
        <f>tbl_Actual_costs_quantities34[[#This Row],[Accessibility Adaptations]]*BOQs!$L$16</f>
        <v>0</v>
      </c>
      <c r="BD16" s="41"/>
      <c r="BE16" s="37"/>
      <c r="BF16" s="37"/>
    </row>
    <row r="17" spans="2:58" ht="25.15" customHeight="1" x14ac:dyDescent="0.25">
      <c r="B17" s="49">
        <v>13</v>
      </c>
      <c r="C17" s="37"/>
      <c r="D17" s="41"/>
      <c r="E17" s="40"/>
      <c r="F17" s="87" t="str">
        <f>IF(tbl_Actual_costs_quantities34[[#This Row],[House Code]]&lt;&gt;"",INDEX(tbl_Assessment[],MATCH(tbl_Actual_costs_quantities34[[#This Row],[House Code]],tbl_Assessment[House Code],0),3),"")</f>
        <v/>
      </c>
      <c r="G17" s="116" t="str">
        <f>IF(tbl_Actual_costs_quantities34[[#This Row],[House Code]]&lt;&gt;"",INDEX(tbl_Assessment[],MATCH(tbl_Actual_costs_quantities34[[#This Row],[House Code]],tbl_Assessment[House Code],0),9),"")</f>
        <v/>
      </c>
      <c r="H17" s="41"/>
      <c r="I17" s="41"/>
      <c r="J17" s="41"/>
      <c r="K17" s="116"/>
      <c r="L17" s="117" t="str">
        <f>IF(tbl_Actual_costs_quantities34[[#This Row],[House Code]]&lt;&gt;"",tbl_Actual_costs_quantities34[[#This Row],[Total cost]]/INDEX(tbl_estimated_costs_quantities[],MATCH(tbl_Actual_costs_quantities34[[#This Row],[House Code]],tbl_estimated_costs_quantities[House Code],0),7),"")</f>
        <v/>
      </c>
      <c r="M1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 s="75"/>
      <c r="O17" s="37"/>
      <c r="P17" s="86">
        <f>tbl_Actual_costs_quantities34[[#This Row],[Site Preparation]]*BOQs!$L$3</f>
        <v>0</v>
      </c>
      <c r="Q17" s="76"/>
      <c r="R17" s="37"/>
      <c r="S17" s="86">
        <f>tbl_Actual_costs_quantities34[[#This Row],[Demolition Removal Unsafe Structures]]*BOQs!$L$4</f>
        <v>0</v>
      </c>
      <c r="T17" s="76"/>
      <c r="U17" s="37"/>
      <c r="V17" s="86">
        <f>tbl_Actual_costs_quantities34[[#This Row],[Concrete Works]]*BOQs!$L$5</f>
        <v>0</v>
      </c>
      <c r="W17" s="76"/>
      <c r="X17" s="37"/>
      <c r="Y17" s="86">
        <f>tbl_Actual_costs_quantities34[[#This Row],[Closure External Openings Walls Windows]]*BOQs!$L$6</f>
        <v>0</v>
      </c>
      <c r="Z17" s="76"/>
      <c r="AA17" s="37"/>
      <c r="AB17" s="86">
        <f>tbl_Actual_costs_quantities34[[#This Row],[Plastering Painting]]*BOQs!$L$7</f>
        <v>0</v>
      </c>
      <c r="AC17" s="76"/>
      <c r="AD17" s="37"/>
      <c r="AE17" s="86">
        <f>tbl_Actual_costs_quantities34[[#This Row],[Floor Repairs]]*BOQs!$L$8</f>
        <v>0</v>
      </c>
      <c r="AF17" s="76"/>
      <c r="AG17" s="37"/>
      <c r="AH17" s="86">
        <f>tbl_Actual_costs_quantities34[[#This Row],[Doors Replacement Repair]]*BOQs!$L$9</f>
        <v>0</v>
      </c>
      <c r="AI17" s="76"/>
      <c r="AJ17" s="37"/>
      <c r="AK17" s="86">
        <f>tbl_Actual_costs_quantities34[[#This Row],[Windows Replacement Repair]]*BOQs!$L$10</f>
        <v>0</v>
      </c>
      <c r="AL17" s="76"/>
      <c r="AM17" s="37"/>
      <c r="AN17" s="86">
        <f>tbl_Actual_costs_quantities34[[#This Row],[Bathroom Rehabilitation]]*BOQs!$L$11</f>
        <v>0</v>
      </c>
      <c r="AO17" s="76"/>
      <c r="AP17" s="37"/>
      <c r="AQ17" s="86">
        <f>tbl_Actual_costs_quantities34[[#This Row],[Ceramic Tile Works WASH]]*BOQs!$L$12</f>
        <v>0</v>
      </c>
      <c r="AR17" s="76"/>
      <c r="AS17" s="37"/>
      <c r="AT17" s="86">
        <f>tbl_Actual_costs_quantities34[[#This Row],[Electrical Repairs Lighting]]*BOQs!$L$13</f>
        <v>0</v>
      </c>
      <c r="AU17" s="76"/>
      <c r="AV17" s="37"/>
      <c r="AW17" s="86">
        <f>tbl_Actual_costs_quantities34[[#This Row],[Roof Insulation Leak Sealing]]*BOQs!$L$14</f>
        <v>0</v>
      </c>
      <c r="AX17" s="76"/>
      <c r="AY17" s="37"/>
      <c r="AZ17" s="86">
        <f>tbl_Actual_costs_quantities34[[#This Row],[Chimney Duct Cleaning Repair]]*BOQs!$L$15</f>
        <v>0</v>
      </c>
      <c r="BA17" s="76"/>
      <c r="BB17" s="37"/>
      <c r="BC17" s="89">
        <f>tbl_Actual_costs_quantities34[[#This Row],[Accessibility Adaptations]]*BOQs!$L$16</f>
        <v>0</v>
      </c>
      <c r="BD17" s="41"/>
      <c r="BE17" s="37"/>
      <c r="BF17" s="37"/>
    </row>
    <row r="18" spans="2:58" ht="25.15" customHeight="1" x14ac:dyDescent="0.25">
      <c r="B18" s="49">
        <v>14</v>
      </c>
      <c r="C18" s="37"/>
      <c r="D18" s="41"/>
      <c r="E18" s="40"/>
      <c r="F18" s="87" t="str">
        <f>IF(tbl_Actual_costs_quantities34[[#This Row],[House Code]]&lt;&gt;"",INDEX(tbl_Assessment[],MATCH(tbl_Actual_costs_quantities34[[#This Row],[House Code]],tbl_Assessment[House Code],0),3),"")</f>
        <v/>
      </c>
      <c r="G18" s="116" t="str">
        <f>IF(tbl_Actual_costs_quantities34[[#This Row],[House Code]]&lt;&gt;"",INDEX(tbl_Assessment[],MATCH(tbl_Actual_costs_quantities34[[#This Row],[House Code]],tbl_Assessment[House Code],0),9),"")</f>
        <v/>
      </c>
      <c r="H18" s="41"/>
      <c r="I18" s="41"/>
      <c r="J18" s="41"/>
      <c r="K18" s="116"/>
      <c r="L18" s="117" t="str">
        <f>IF(tbl_Actual_costs_quantities34[[#This Row],[House Code]]&lt;&gt;"",tbl_Actual_costs_quantities34[[#This Row],[Total cost]]/INDEX(tbl_estimated_costs_quantities[],MATCH(tbl_Actual_costs_quantities34[[#This Row],[House Code]],tbl_estimated_costs_quantities[House Code],0),7),"")</f>
        <v/>
      </c>
      <c r="M1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 s="75"/>
      <c r="O18" s="37"/>
      <c r="P18" s="86">
        <f>tbl_Actual_costs_quantities34[[#This Row],[Site Preparation]]*BOQs!$L$3</f>
        <v>0</v>
      </c>
      <c r="Q18" s="76"/>
      <c r="R18" s="37"/>
      <c r="S18" s="86">
        <f>tbl_Actual_costs_quantities34[[#This Row],[Demolition Removal Unsafe Structures]]*BOQs!$L$4</f>
        <v>0</v>
      </c>
      <c r="T18" s="76"/>
      <c r="U18" s="37"/>
      <c r="V18" s="86">
        <f>tbl_Actual_costs_quantities34[[#This Row],[Concrete Works]]*BOQs!$L$5</f>
        <v>0</v>
      </c>
      <c r="W18" s="76"/>
      <c r="X18" s="37"/>
      <c r="Y18" s="86">
        <f>tbl_Actual_costs_quantities34[[#This Row],[Closure External Openings Walls Windows]]*BOQs!$L$6</f>
        <v>0</v>
      </c>
      <c r="Z18" s="76"/>
      <c r="AA18" s="37"/>
      <c r="AB18" s="86">
        <f>tbl_Actual_costs_quantities34[[#This Row],[Plastering Painting]]*BOQs!$L$7</f>
        <v>0</v>
      </c>
      <c r="AC18" s="76"/>
      <c r="AD18" s="37"/>
      <c r="AE18" s="86">
        <f>tbl_Actual_costs_quantities34[[#This Row],[Floor Repairs]]*BOQs!$L$8</f>
        <v>0</v>
      </c>
      <c r="AF18" s="76"/>
      <c r="AG18" s="37"/>
      <c r="AH18" s="86">
        <f>tbl_Actual_costs_quantities34[[#This Row],[Doors Replacement Repair]]*BOQs!$L$9</f>
        <v>0</v>
      </c>
      <c r="AI18" s="76"/>
      <c r="AJ18" s="37"/>
      <c r="AK18" s="86">
        <f>tbl_Actual_costs_quantities34[[#This Row],[Windows Replacement Repair]]*BOQs!$L$10</f>
        <v>0</v>
      </c>
      <c r="AL18" s="76"/>
      <c r="AM18" s="37"/>
      <c r="AN18" s="86">
        <f>tbl_Actual_costs_quantities34[[#This Row],[Bathroom Rehabilitation]]*BOQs!$L$11</f>
        <v>0</v>
      </c>
      <c r="AO18" s="76"/>
      <c r="AP18" s="37"/>
      <c r="AQ18" s="86">
        <f>tbl_Actual_costs_quantities34[[#This Row],[Ceramic Tile Works WASH]]*BOQs!$L$12</f>
        <v>0</v>
      </c>
      <c r="AR18" s="76"/>
      <c r="AS18" s="37"/>
      <c r="AT18" s="86">
        <f>tbl_Actual_costs_quantities34[[#This Row],[Electrical Repairs Lighting]]*BOQs!$L$13</f>
        <v>0</v>
      </c>
      <c r="AU18" s="76"/>
      <c r="AV18" s="37"/>
      <c r="AW18" s="86">
        <f>tbl_Actual_costs_quantities34[[#This Row],[Roof Insulation Leak Sealing]]*BOQs!$L$14</f>
        <v>0</v>
      </c>
      <c r="AX18" s="76"/>
      <c r="AY18" s="37"/>
      <c r="AZ18" s="86">
        <f>tbl_Actual_costs_quantities34[[#This Row],[Chimney Duct Cleaning Repair]]*BOQs!$L$15</f>
        <v>0</v>
      </c>
      <c r="BA18" s="76"/>
      <c r="BB18" s="37"/>
      <c r="BC18" s="89">
        <f>tbl_Actual_costs_quantities34[[#This Row],[Accessibility Adaptations]]*BOQs!$L$16</f>
        <v>0</v>
      </c>
      <c r="BD18" s="41"/>
      <c r="BE18" s="37"/>
      <c r="BF18" s="37"/>
    </row>
    <row r="19" spans="2:58" ht="25.15" customHeight="1" x14ac:dyDescent="0.25">
      <c r="B19" s="49">
        <v>15</v>
      </c>
      <c r="C19" s="37"/>
      <c r="D19" s="41"/>
      <c r="E19" s="40"/>
      <c r="F19" s="87" t="str">
        <f>IF(tbl_Actual_costs_quantities34[[#This Row],[House Code]]&lt;&gt;"",INDEX(tbl_Assessment[],MATCH(tbl_Actual_costs_quantities34[[#This Row],[House Code]],tbl_Assessment[House Code],0),3),"")</f>
        <v/>
      </c>
      <c r="G19" s="116" t="str">
        <f>IF(tbl_Actual_costs_quantities34[[#This Row],[House Code]]&lt;&gt;"",INDEX(tbl_Assessment[],MATCH(tbl_Actual_costs_quantities34[[#This Row],[House Code]],tbl_Assessment[House Code],0),9),"")</f>
        <v/>
      </c>
      <c r="H19" s="41"/>
      <c r="I19" s="41"/>
      <c r="J19" s="41"/>
      <c r="K19" s="116"/>
      <c r="L19" s="117" t="str">
        <f>IF(tbl_Actual_costs_quantities34[[#This Row],[House Code]]&lt;&gt;"",tbl_Actual_costs_quantities34[[#This Row],[Total cost]]/INDEX(tbl_estimated_costs_quantities[],MATCH(tbl_Actual_costs_quantities34[[#This Row],[House Code]],tbl_estimated_costs_quantities[House Code],0),7),"")</f>
        <v/>
      </c>
      <c r="M1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 s="75"/>
      <c r="O19" s="37"/>
      <c r="P19" s="86">
        <f>tbl_Actual_costs_quantities34[[#This Row],[Site Preparation]]*BOQs!$L$3</f>
        <v>0</v>
      </c>
      <c r="Q19" s="76"/>
      <c r="R19" s="37"/>
      <c r="S19" s="86">
        <f>tbl_Actual_costs_quantities34[[#This Row],[Demolition Removal Unsafe Structures]]*BOQs!$L$4</f>
        <v>0</v>
      </c>
      <c r="T19" s="76"/>
      <c r="U19" s="37"/>
      <c r="V19" s="86">
        <f>tbl_Actual_costs_quantities34[[#This Row],[Concrete Works]]*BOQs!$L$5</f>
        <v>0</v>
      </c>
      <c r="W19" s="76"/>
      <c r="X19" s="37"/>
      <c r="Y19" s="86">
        <f>tbl_Actual_costs_quantities34[[#This Row],[Closure External Openings Walls Windows]]*BOQs!$L$6</f>
        <v>0</v>
      </c>
      <c r="Z19" s="76"/>
      <c r="AA19" s="37"/>
      <c r="AB19" s="86">
        <f>tbl_Actual_costs_quantities34[[#This Row],[Plastering Painting]]*BOQs!$L$7</f>
        <v>0</v>
      </c>
      <c r="AC19" s="76"/>
      <c r="AD19" s="37"/>
      <c r="AE19" s="86">
        <f>tbl_Actual_costs_quantities34[[#This Row],[Floor Repairs]]*BOQs!$L$8</f>
        <v>0</v>
      </c>
      <c r="AF19" s="76"/>
      <c r="AG19" s="37"/>
      <c r="AH19" s="86">
        <f>tbl_Actual_costs_quantities34[[#This Row],[Doors Replacement Repair]]*BOQs!$L$9</f>
        <v>0</v>
      </c>
      <c r="AI19" s="76"/>
      <c r="AJ19" s="37"/>
      <c r="AK19" s="86">
        <f>tbl_Actual_costs_quantities34[[#This Row],[Windows Replacement Repair]]*BOQs!$L$10</f>
        <v>0</v>
      </c>
      <c r="AL19" s="76"/>
      <c r="AM19" s="37"/>
      <c r="AN19" s="86">
        <f>tbl_Actual_costs_quantities34[[#This Row],[Bathroom Rehabilitation]]*BOQs!$L$11</f>
        <v>0</v>
      </c>
      <c r="AO19" s="76"/>
      <c r="AP19" s="37"/>
      <c r="AQ19" s="86">
        <f>tbl_Actual_costs_quantities34[[#This Row],[Ceramic Tile Works WASH]]*BOQs!$L$12</f>
        <v>0</v>
      </c>
      <c r="AR19" s="76"/>
      <c r="AS19" s="37"/>
      <c r="AT19" s="86">
        <f>tbl_Actual_costs_quantities34[[#This Row],[Electrical Repairs Lighting]]*BOQs!$L$13</f>
        <v>0</v>
      </c>
      <c r="AU19" s="76"/>
      <c r="AV19" s="37"/>
      <c r="AW19" s="86">
        <f>tbl_Actual_costs_quantities34[[#This Row],[Roof Insulation Leak Sealing]]*BOQs!$L$14</f>
        <v>0</v>
      </c>
      <c r="AX19" s="76"/>
      <c r="AY19" s="37"/>
      <c r="AZ19" s="86">
        <f>tbl_Actual_costs_quantities34[[#This Row],[Chimney Duct Cleaning Repair]]*BOQs!$L$15</f>
        <v>0</v>
      </c>
      <c r="BA19" s="76"/>
      <c r="BB19" s="37"/>
      <c r="BC19" s="89">
        <f>tbl_Actual_costs_quantities34[[#This Row],[Accessibility Adaptations]]*BOQs!$L$16</f>
        <v>0</v>
      </c>
      <c r="BD19" s="41"/>
      <c r="BE19" s="37"/>
      <c r="BF19" s="37"/>
    </row>
    <row r="20" spans="2:58" ht="25.15" customHeight="1" x14ac:dyDescent="0.25">
      <c r="B20" s="49">
        <v>16</v>
      </c>
      <c r="C20" s="37"/>
      <c r="D20" s="41"/>
      <c r="E20" s="40"/>
      <c r="F20" s="87" t="str">
        <f>IF(tbl_Actual_costs_quantities34[[#This Row],[House Code]]&lt;&gt;"",INDEX(tbl_Assessment[],MATCH(tbl_Actual_costs_quantities34[[#This Row],[House Code]],tbl_Assessment[House Code],0),3),"")</f>
        <v/>
      </c>
      <c r="G20" s="116" t="str">
        <f>IF(tbl_Actual_costs_quantities34[[#This Row],[House Code]]&lt;&gt;"",INDEX(tbl_Assessment[],MATCH(tbl_Actual_costs_quantities34[[#This Row],[House Code]],tbl_Assessment[House Code],0),9),"")</f>
        <v/>
      </c>
      <c r="H20" s="41"/>
      <c r="I20" s="41"/>
      <c r="J20" s="41"/>
      <c r="K20" s="116"/>
      <c r="L20" s="117" t="str">
        <f>IF(tbl_Actual_costs_quantities34[[#This Row],[House Code]]&lt;&gt;"",tbl_Actual_costs_quantities34[[#This Row],[Total cost]]/INDEX(tbl_estimated_costs_quantities[],MATCH(tbl_Actual_costs_quantities34[[#This Row],[House Code]],tbl_estimated_costs_quantities[House Code],0),7),"")</f>
        <v/>
      </c>
      <c r="M2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 s="75"/>
      <c r="O20" s="37"/>
      <c r="P20" s="86">
        <f>tbl_Actual_costs_quantities34[[#This Row],[Site Preparation]]*BOQs!$L$3</f>
        <v>0</v>
      </c>
      <c r="Q20" s="76"/>
      <c r="R20" s="37"/>
      <c r="S20" s="86">
        <f>tbl_Actual_costs_quantities34[[#This Row],[Demolition Removal Unsafe Structures]]*BOQs!$L$4</f>
        <v>0</v>
      </c>
      <c r="T20" s="76"/>
      <c r="U20" s="37"/>
      <c r="V20" s="86">
        <f>tbl_Actual_costs_quantities34[[#This Row],[Concrete Works]]*BOQs!$L$5</f>
        <v>0</v>
      </c>
      <c r="W20" s="76"/>
      <c r="X20" s="37"/>
      <c r="Y20" s="86">
        <f>tbl_Actual_costs_quantities34[[#This Row],[Closure External Openings Walls Windows]]*BOQs!$L$6</f>
        <v>0</v>
      </c>
      <c r="Z20" s="76"/>
      <c r="AA20" s="37"/>
      <c r="AB20" s="86">
        <f>tbl_Actual_costs_quantities34[[#This Row],[Plastering Painting]]*BOQs!$L$7</f>
        <v>0</v>
      </c>
      <c r="AC20" s="76"/>
      <c r="AD20" s="37"/>
      <c r="AE20" s="86">
        <f>tbl_Actual_costs_quantities34[[#This Row],[Floor Repairs]]*BOQs!$L$8</f>
        <v>0</v>
      </c>
      <c r="AF20" s="76"/>
      <c r="AG20" s="37"/>
      <c r="AH20" s="86">
        <f>tbl_Actual_costs_quantities34[[#This Row],[Doors Replacement Repair]]*BOQs!$L$9</f>
        <v>0</v>
      </c>
      <c r="AI20" s="76"/>
      <c r="AJ20" s="37"/>
      <c r="AK20" s="86">
        <f>tbl_Actual_costs_quantities34[[#This Row],[Windows Replacement Repair]]*BOQs!$L$10</f>
        <v>0</v>
      </c>
      <c r="AL20" s="76"/>
      <c r="AM20" s="37"/>
      <c r="AN20" s="86">
        <f>tbl_Actual_costs_quantities34[[#This Row],[Bathroom Rehabilitation]]*BOQs!$L$11</f>
        <v>0</v>
      </c>
      <c r="AO20" s="76"/>
      <c r="AP20" s="37"/>
      <c r="AQ20" s="86">
        <f>tbl_Actual_costs_quantities34[[#This Row],[Ceramic Tile Works WASH]]*BOQs!$L$12</f>
        <v>0</v>
      </c>
      <c r="AR20" s="76"/>
      <c r="AS20" s="37"/>
      <c r="AT20" s="86">
        <f>tbl_Actual_costs_quantities34[[#This Row],[Electrical Repairs Lighting]]*BOQs!$L$13</f>
        <v>0</v>
      </c>
      <c r="AU20" s="76"/>
      <c r="AV20" s="37"/>
      <c r="AW20" s="86">
        <f>tbl_Actual_costs_quantities34[[#This Row],[Roof Insulation Leak Sealing]]*BOQs!$L$14</f>
        <v>0</v>
      </c>
      <c r="AX20" s="76"/>
      <c r="AY20" s="37"/>
      <c r="AZ20" s="86">
        <f>tbl_Actual_costs_quantities34[[#This Row],[Chimney Duct Cleaning Repair]]*BOQs!$L$15</f>
        <v>0</v>
      </c>
      <c r="BA20" s="76"/>
      <c r="BB20" s="37"/>
      <c r="BC20" s="89">
        <f>tbl_Actual_costs_quantities34[[#This Row],[Accessibility Adaptations]]*BOQs!$L$16</f>
        <v>0</v>
      </c>
      <c r="BD20" s="41"/>
      <c r="BE20" s="37"/>
      <c r="BF20" s="37"/>
    </row>
    <row r="21" spans="2:58" ht="25.15" customHeight="1" x14ac:dyDescent="0.25">
      <c r="B21" s="49">
        <v>17</v>
      </c>
      <c r="C21" s="37"/>
      <c r="D21" s="41"/>
      <c r="E21" s="40"/>
      <c r="F21" s="87" t="str">
        <f>IF(tbl_Actual_costs_quantities34[[#This Row],[House Code]]&lt;&gt;"",INDEX(tbl_Assessment[],MATCH(tbl_Actual_costs_quantities34[[#This Row],[House Code]],tbl_Assessment[House Code],0),3),"")</f>
        <v/>
      </c>
      <c r="G21" s="116" t="str">
        <f>IF(tbl_Actual_costs_quantities34[[#This Row],[House Code]]&lt;&gt;"",INDEX(tbl_Assessment[],MATCH(tbl_Actual_costs_quantities34[[#This Row],[House Code]],tbl_Assessment[House Code],0),9),"")</f>
        <v/>
      </c>
      <c r="H21" s="41"/>
      <c r="I21" s="41"/>
      <c r="J21" s="41"/>
      <c r="K21" s="116"/>
      <c r="L21" s="117" t="str">
        <f>IF(tbl_Actual_costs_quantities34[[#This Row],[House Code]]&lt;&gt;"",tbl_Actual_costs_quantities34[[#This Row],[Total cost]]/INDEX(tbl_estimated_costs_quantities[],MATCH(tbl_Actual_costs_quantities34[[#This Row],[House Code]],tbl_estimated_costs_quantities[House Code],0),7),"")</f>
        <v/>
      </c>
      <c r="M2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 s="75"/>
      <c r="O21" s="37"/>
      <c r="P21" s="86">
        <f>tbl_Actual_costs_quantities34[[#This Row],[Site Preparation]]*BOQs!$L$3</f>
        <v>0</v>
      </c>
      <c r="Q21" s="76"/>
      <c r="R21" s="37"/>
      <c r="S21" s="86">
        <f>tbl_Actual_costs_quantities34[[#This Row],[Demolition Removal Unsafe Structures]]*BOQs!$L$4</f>
        <v>0</v>
      </c>
      <c r="T21" s="76"/>
      <c r="U21" s="37"/>
      <c r="V21" s="86">
        <f>tbl_Actual_costs_quantities34[[#This Row],[Concrete Works]]*BOQs!$L$5</f>
        <v>0</v>
      </c>
      <c r="W21" s="76"/>
      <c r="X21" s="37"/>
      <c r="Y21" s="86">
        <f>tbl_Actual_costs_quantities34[[#This Row],[Closure External Openings Walls Windows]]*BOQs!$L$6</f>
        <v>0</v>
      </c>
      <c r="Z21" s="76"/>
      <c r="AA21" s="37"/>
      <c r="AB21" s="86">
        <f>tbl_Actual_costs_quantities34[[#This Row],[Plastering Painting]]*BOQs!$L$7</f>
        <v>0</v>
      </c>
      <c r="AC21" s="76"/>
      <c r="AD21" s="37"/>
      <c r="AE21" s="86">
        <f>tbl_Actual_costs_quantities34[[#This Row],[Floor Repairs]]*BOQs!$L$8</f>
        <v>0</v>
      </c>
      <c r="AF21" s="76"/>
      <c r="AG21" s="37"/>
      <c r="AH21" s="86">
        <f>tbl_Actual_costs_quantities34[[#This Row],[Doors Replacement Repair]]*BOQs!$L$9</f>
        <v>0</v>
      </c>
      <c r="AI21" s="76"/>
      <c r="AJ21" s="37"/>
      <c r="AK21" s="86">
        <f>tbl_Actual_costs_quantities34[[#This Row],[Windows Replacement Repair]]*BOQs!$L$10</f>
        <v>0</v>
      </c>
      <c r="AL21" s="76"/>
      <c r="AM21" s="37"/>
      <c r="AN21" s="86">
        <f>tbl_Actual_costs_quantities34[[#This Row],[Bathroom Rehabilitation]]*BOQs!$L$11</f>
        <v>0</v>
      </c>
      <c r="AO21" s="76"/>
      <c r="AP21" s="37"/>
      <c r="AQ21" s="86">
        <f>tbl_Actual_costs_quantities34[[#This Row],[Ceramic Tile Works WASH]]*BOQs!$L$12</f>
        <v>0</v>
      </c>
      <c r="AR21" s="76"/>
      <c r="AS21" s="37"/>
      <c r="AT21" s="86">
        <f>tbl_Actual_costs_quantities34[[#This Row],[Electrical Repairs Lighting]]*BOQs!$L$13</f>
        <v>0</v>
      </c>
      <c r="AU21" s="76"/>
      <c r="AV21" s="37"/>
      <c r="AW21" s="86">
        <f>tbl_Actual_costs_quantities34[[#This Row],[Roof Insulation Leak Sealing]]*BOQs!$L$14</f>
        <v>0</v>
      </c>
      <c r="AX21" s="76"/>
      <c r="AY21" s="37"/>
      <c r="AZ21" s="86">
        <f>tbl_Actual_costs_quantities34[[#This Row],[Chimney Duct Cleaning Repair]]*BOQs!$L$15</f>
        <v>0</v>
      </c>
      <c r="BA21" s="76"/>
      <c r="BB21" s="37"/>
      <c r="BC21" s="89">
        <f>tbl_Actual_costs_quantities34[[#This Row],[Accessibility Adaptations]]*BOQs!$L$16</f>
        <v>0</v>
      </c>
      <c r="BD21" s="41"/>
      <c r="BE21" s="37"/>
      <c r="BF21" s="37"/>
    </row>
    <row r="22" spans="2:58" ht="25.15" customHeight="1" x14ac:dyDescent="0.25">
      <c r="B22" s="49">
        <v>18</v>
      </c>
      <c r="C22" s="37"/>
      <c r="D22" s="41"/>
      <c r="E22" s="40"/>
      <c r="F22" s="87" t="str">
        <f>IF(tbl_Actual_costs_quantities34[[#This Row],[House Code]]&lt;&gt;"",INDEX(tbl_Assessment[],MATCH(tbl_Actual_costs_quantities34[[#This Row],[House Code]],tbl_Assessment[House Code],0),3),"")</f>
        <v/>
      </c>
      <c r="G22" s="116" t="str">
        <f>IF(tbl_Actual_costs_quantities34[[#This Row],[House Code]]&lt;&gt;"",INDEX(tbl_Assessment[],MATCH(tbl_Actual_costs_quantities34[[#This Row],[House Code]],tbl_Assessment[House Code],0),9),"")</f>
        <v/>
      </c>
      <c r="H22" s="41"/>
      <c r="I22" s="41"/>
      <c r="J22" s="41"/>
      <c r="K22" s="116"/>
      <c r="L22" s="117" t="str">
        <f>IF(tbl_Actual_costs_quantities34[[#This Row],[House Code]]&lt;&gt;"",tbl_Actual_costs_quantities34[[#This Row],[Total cost]]/INDEX(tbl_estimated_costs_quantities[],MATCH(tbl_Actual_costs_quantities34[[#This Row],[House Code]],tbl_estimated_costs_quantities[House Code],0),7),"")</f>
        <v/>
      </c>
      <c r="M2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 s="75"/>
      <c r="O22" s="37"/>
      <c r="P22" s="86">
        <f>tbl_Actual_costs_quantities34[[#This Row],[Site Preparation]]*BOQs!$L$3</f>
        <v>0</v>
      </c>
      <c r="Q22" s="76"/>
      <c r="R22" s="37"/>
      <c r="S22" s="86">
        <f>tbl_Actual_costs_quantities34[[#This Row],[Demolition Removal Unsafe Structures]]*BOQs!$L$4</f>
        <v>0</v>
      </c>
      <c r="T22" s="76"/>
      <c r="U22" s="37"/>
      <c r="V22" s="86">
        <f>tbl_Actual_costs_quantities34[[#This Row],[Concrete Works]]*BOQs!$L$5</f>
        <v>0</v>
      </c>
      <c r="W22" s="76"/>
      <c r="X22" s="37"/>
      <c r="Y22" s="86">
        <f>tbl_Actual_costs_quantities34[[#This Row],[Closure External Openings Walls Windows]]*BOQs!$L$6</f>
        <v>0</v>
      </c>
      <c r="Z22" s="76"/>
      <c r="AA22" s="37"/>
      <c r="AB22" s="86">
        <f>tbl_Actual_costs_quantities34[[#This Row],[Plastering Painting]]*BOQs!$L$7</f>
        <v>0</v>
      </c>
      <c r="AC22" s="76"/>
      <c r="AD22" s="37"/>
      <c r="AE22" s="86">
        <f>tbl_Actual_costs_quantities34[[#This Row],[Floor Repairs]]*BOQs!$L$8</f>
        <v>0</v>
      </c>
      <c r="AF22" s="76"/>
      <c r="AG22" s="37"/>
      <c r="AH22" s="86">
        <f>tbl_Actual_costs_quantities34[[#This Row],[Doors Replacement Repair]]*BOQs!$L$9</f>
        <v>0</v>
      </c>
      <c r="AI22" s="76"/>
      <c r="AJ22" s="37"/>
      <c r="AK22" s="86">
        <f>tbl_Actual_costs_quantities34[[#This Row],[Windows Replacement Repair]]*BOQs!$L$10</f>
        <v>0</v>
      </c>
      <c r="AL22" s="76"/>
      <c r="AM22" s="37"/>
      <c r="AN22" s="86">
        <f>tbl_Actual_costs_quantities34[[#This Row],[Bathroom Rehabilitation]]*BOQs!$L$11</f>
        <v>0</v>
      </c>
      <c r="AO22" s="76"/>
      <c r="AP22" s="37"/>
      <c r="AQ22" s="86">
        <f>tbl_Actual_costs_quantities34[[#This Row],[Ceramic Tile Works WASH]]*BOQs!$L$12</f>
        <v>0</v>
      </c>
      <c r="AR22" s="76"/>
      <c r="AS22" s="37"/>
      <c r="AT22" s="86">
        <f>tbl_Actual_costs_quantities34[[#This Row],[Electrical Repairs Lighting]]*BOQs!$L$13</f>
        <v>0</v>
      </c>
      <c r="AU22" s="76"/>
      <c r="AV22" s="37"/>
      <c r="AW22" s="86">
        <f>tbl_Actual_costs_quantities34[[#This Row],[Roof Insulation Leak Sealing]]*BOQs!$L$14</f>
        <v>0</v>
      </c>
      <c r="AX22" s="76"/>
      <c r="AY22" s="37"/>
      <c r="AZ22" s="86">
        <f>tbl_Actual_costs_quantities34[[#This Row],[Chimney Duct Cleaning Repair]]*BOQs!$L$15</f>
        <v>0</v>
      </c>
      <c r="BA22" s="76"/>
      <c r="BB22" s="37"/>
      <c r="BC22" s="89">
        <f>tbl_Actual_costs_quantities34[[#This Row],[Accessibility Adaptations]]*BOQs!$L$16</f>
        <v>0</v>
      </c>
      <c r="BD22" s="41"/>
      <c r="BE22" s="37"/>
      <c r="BF22" s="37"/>
    </row>
    <row r="23" spans="2:58" ht="25.15" customHeight="1" x14ac:dyDescent="0.25">
      <c r="B23" s="49">
        <v>19</v>
      </c>
      <c r="C23" s="37"/>
      <c r="D23" s="41"/>
      <c r="E23" s="40"/>
      <c r="F23" s="87" t="str">
        <f>IF(tbl_Actual_costs_quantities34[[#This Row],[House Code]]&lt;&gt;"",INDEX(tbl_Assessment[],MATCH(tbl_Actual_costs_quantities34[[#This Row],[House Code]],tbl_Assessment[House Code],0),3),"")</f>
        <v/>
      </c>
      <c r="G23" s="116" t="str">
        <f>IF(tbl_Actual_costs_quantities34[[#This Row],[House Code]]&lt;&gt;"",INDEX(tbl_Assessment[],MATCH(tbl_Actual_costs_quantities34[[#This Row],[House Code]],tbl_Assessment[House Code],0),9),"")</f>
        <v/>
      </c>
      <c r="H23" s="41"/>
      <c r="I23" s="41"/>
      <c r="J23" s="41"/>
      <c r="K23" s="116"/>
      <c r="L23" s="117" t="str">
        <f>IF(tbl_Actual_costs_quantities34[[#This Row],[House Code]]&lt;&gt;"",tbl_Actual_costs_quantities34[[#This Row],[Total cost]]/INDEX(tbl_estimated_costs_quantities[],MATCH(tbl_Actual_costs_quantities34[[#This Row],[House Code]],tbl_estimated_costs_quantities[House Code],0),7),"")</f>
        <v/>
      </c>
      <c r="M2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 s="75"/>
      <c r="O23" s="37"/>
      <c r="P23" s="86">
        <f>tbl_Actual_costs_quantities34[[#This Row],[Site Preparation]]*BOQs!$L$3</f>
        <v>0</v>
      </c>
      <c r="Q23" s="76"/>
      <c r="R23" s="37"/>
      <c r="S23" s="86">
        <f>tbl_Actual_costs_quantities34[[#This Row],[Demolition Removal Unsafe Structures]]*BOQs!$L$4</f>
        <v>0</v>
      </c>
      <c r="T23" s="76"/>
      <c r="U23" s="37"/>
      <c r="V23" s="86">
        <f>tbl_Actual_costs_quantities34[[#This Row],[Concrete Works]]*BOQs!$L$5</f>
        <v>0</v>
      </c>
      <c r="W23" s="76"/>
      <c r="X23" s="37"/>
      <c r="Y23" s="86">
        <f>tbl_Actual_costs_quantities34[[#This Row],[Closure External Openings Walls Windows]]*BOQs!$L$6</f>
        <v>0</v>
      </c>
      <c r="Z23" s="76"/>
      <c r="AA23" s="37"/>
      <c r="AB23" s="86">
        <f>tbl_Actual_costs_quantities34[[#This Row],[Plastering Painting]]*BOQs!$L$7</f>
        <v>0</v>
      </c>
      <c r="AC23" s="76"/>
      <c r="AD23" s="37"/>
      <c r="AE23" s="86">
        <f>tbl_Actual_costs_quantities34[[#This Row],[Floor Repairs]]*BOQs!$L$8</f>
        <v>0</v>
      </c>
      <c r="AF23" s="76"/>
      <c r="AG23" s="37"/>
      <c r="AH23" s="86">
        <f>tbl_Actual_costs_quantities34[[#This Row],[Doors Replacement Repair]]*BOQs!$L$9</f>
        <v>0</v>
      </c>
      <c r="AI23" s="76"/>
      <c r="AJ23" s="37"/>
      <c r="AK23" s="86">
        <f>tbl_Actual_costs_quantities34[[#This Row],[Windows Replacement Repair]]*BOQs!$L$10</f>
        <v>0</v>
      </c>
      <c r="AL23" s="76"/>
      <c r="AM23" s="37"/>
      <c r="AN23" s="86">
        <f>tbl_Actual_costs_quantities34[[#This Row],[Bathroom Rehabilitation]]*BOQs!$L$11</f>
        <v>0</v>
      </c>
      <c r="AO23" s="76"/>
      <c r="AP23" s="37"/>
      <c r="AQ23" s="86">
        <f>tbl_Actual_costs_quantities34[[#This Row],[Ceramic Tile Works WASH]]*BOQs!$L$12</f>
        <v>0</v>
      </c>
      <c r="AR23" s="76"/>
      <c r="AS23" s="37"/>
      <c r="AT23" s="86">
        <f>tbl_Actual_costs_quantities34[[#This Row],[Electrical Repairs Lighting]]*BOQs!$L$13</f>
        <v>0</v>
      </c>
      <c r="AU23" s="76"/>
      <c r="AV23" s="37"/>
      <c r="AW23" s="86">
        <f>tbl_Actual_costs_quantities34[[#This Row],[Roof Insulation Leak Sealing]]*BOQs!$L$14</f>
        <v>0</v>
      </c>
      <c r="AX23" s="76"/>
      <c r="AY23" s="37"/>
      <c r="AZ23" s="86">
        <f>tbl_Actual_costs_quantities34[[#This Row],[Chimney Duct Cleaning Repair]]*BOQs!$L$15</f>
        <v>0</v>
      </c>
      <c r="BA23" s="76"/>
      <c r="BB23" s="37"/>
      <c r="BC23" s="89">
        <f>tbl_Actual_costs_quantities34[[#This Row],[Accessibility Adaptations]]*BOQs!$L$16</f>
        <v>0</v>
      </c>
      <c r="BD23" s="41"/>
      <c r="BE23" s="37"/>
      <c r="BF23" s="37"/>
    </row>
    <row r="24" spans="2:58" ht="25.15" customHeight="1" x14ac:dyDescent="0.25">
      <c r="B24" s="49">
        <v>20</v>
      </c>
      <c r="C24" s="37"/>
      <c r="D24" s="41"/>
      <c r="E24" s="40"/>
      <c r="F24" s="87" t="str">
        <f>IF(tbl_Actual_costs_quantities34[[#This Row],[House Code]]&lt;&gt;"",INDEX(tbl_Assessment[],MATCH(tbl_Actual_costs_quantities34[[#This Row],[House Code]],tbl_Assessment[House Code],0),3),"")</f>
        <v/>
      </c>
      <c r="G24" s="116" t="str">
        <f>IF(tbl_Actual_costs_quantities34[[#This Row],[House Code]]&lt;&gt;"",INDEX(tbl_Assessment[],MATCH(tbl_Actual_costs_quantities34[[#This Row],[House Code]],tbl_Assessment[House Code],0),9),"")</f>
        <v/>
      </c>
      <c r="H24" s="41"/>
      <c r="I24" s="41"/>
      <c r="J24" s="41"/>
      <c r="K24" s="116"/>
      <c r="L24" s="117" t="str">
        <f>IF(tbl_Actual_costs_quantities34[[#This Row],[House Code]]&lt;&gt;"",tbl_Actual_costs_quantities34[[#This Row],[Total cost]]/INDEX(tbl_estimated_costs_quantities[],MATCH(tbl_Actual_costs_quantities34[[#This Row],[House Code]],tbl_estimated_costs_quantities[House Code],0),7),"")</f>
        <v/>
      </c>
      <c r="M2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 s="75"/>
      <c r="O24" s="37"/>
      <c r="P24" s="86">
        <f>tbl_Actual_costs_quantities34[[#This Row],[Site Preparation]]*BOQs!$L$3</f>
        <v>0</v>
      </c>
      <c r="Q24" s="76"/>
      <c r="R24" s="37"/>
      <c r="S24" s="86">
        <f>tbl_Actual_costs_quantities34[[#This Row],[Demolition Removal Unsafe Structures]]*BOQs!$L$4</f>
        <v>0</v>
      </c>
      <c r="T24" s="76"/>
      <c r="U24" s="37"/>
      <c r="V24" s="86">
        <f>tbl_Actual_costs_quantities34[[#This Row],[Concrete Works]]*BOQs!$L$5</f>
        <v>0</v>
      </c>
      <c r="W24" s="76"/>
      <c r="X24" s="37"/>
      <c r="Y24" s="86">
        <f>tbl_Actual_costs_quantities34[[#This Row],[Closure External Openings Walls Windows]]*BOQs!$L$6</f>
        <v>0</v>
      </c>
      <c r="Z24" s="76"/>
      <c r="AA24" s="37"/>
      <c r="AB24" s="86">
        <f>tbl_Actual_costs_quantities34[[#This Row],[Plastering Painting]]*BOQs!$L$7</f>
        <v>0</v>
      </c>
      <c r="AC24" s="76"/>
      <c r="AD24" s="37"/>
      <c r="AE24" s="86">
        <f>tbl_Actual_costs_quantities34[[#This Row],[Floor Repairs]]*BOQs!$L$8</f>
        <v>0</v>
      </c>
      <c r="AF24" s="76"/>
      <c r="AG24" s="37"/>
      <c r="AH24" s="86">
        <f>tbl_Actual_costs_quantities34[[#This Row],[Doors Replacement Repair]]*BOQs!$L$9</f>
        <v>0</v>
      </c>
      <c r="AI24" s="76"/>
      <c r="AJ24" s="37"/>
      <c r="AK24" s="86">
        <f>tbl_Actual_costs_quantities34[[#This Row],[Windows Replacement Repair]]*BOQs!$L$10</f>
        <v>0</v>
      </c>
      <c r="AL24" s="76"/>
      <c r="AM24" s="37"/>
      <c r="AN24" s="86">
        <f>tbl_Actual_costs_quantities34[[#This Row],[Bathroom Rehabilitation]]*BOQs!$L$11</f>
        <v>0</v>
      </c>
      <c r="AO24" s="76"/>
      <c r="AP24" s="37"/>
      <c r="AQ24" s="86">
        <f>tbl_Actual_costs_quantities34[[#This Row],[Ceramic Tile Works WASH]]*BOQs!$L$12</f>
        <v>0</v>
      </c>
      <c r="AR24" s="76"/>
      <c r="AS24" s="37"/>
      <c r="AT24" s="86">
        <f>tbl_Actual_costs_quantities34[[#This Row],[Electrical Repairs Lighting]]*BOQs!$L$13</f>
        <v>0</v>
      </c>
      <c r="AU24" s="76"/>
      <c r="AV24" s="37"/>
      <c r="AW24" s="86">
        <f>tbl_Actual_costs_quantities34[[#This Row],[Roof Insulation Leak Sealing]]*BOQs!$L$14</f>
        <v>0</v>
      </c>
      <c r="AX24" s="76"/>
      <c r="AY24" s="37"/>
      <c r="AZ24" s="86">
        <f>tbl_Actual_costs_quantities34[[#This Row],[Chimney Duct Cleaning Repair]]*BOQs!$L$15</f>
        <v>0</v>
      </c>
      <c r="BA24" s="76"/>
      <c r="BB24" s="37"/>
      <c r="BC24" s="89">
        <f>tbl_Actual_costs_quantities34[[#This Row],[Accessibility Adaptations]]*BOQs!$L$16</f>
        <v>0</v>
      </c>
      <c r="BD24" s="41"/>
      <c r="BE24" s="37"/>
      <c r="BF24" s="37"/>
    </row>
    <row r="25" spans="2:58" ht="25.15" customHeight="1" x14ac:dyDescent="0.25">
      <c r="B25" s="49">
        <v>21</v>
      </c>
      <c r="C25" s="37"/>
      <c r="D25" s="41"/>
      <c r="E25" s="40"/>
      <c r="F25" s="87" t="str">
        <f>IF(tbl_Actual_costs_quantities34[[#This Row],[House Code]]&lt;&gt;"",INDEX(tbl_Assessment[],MATCH(tbl_Actual_costs_quantities34[[#This Row],[House Code]],tbl_Assessment[House Code],0),3),"")</f>
        <v/>
      </c>
      <c r="G25" s="116" t="str">
        <f>IF(tbl_Actual_costs_quantities34[[#This Row],[House Code]]&lt;&gt;"",INDEX(tbl_Assessment[],MATCH(tbl_Actual_costs_quantities34[[#This Row],[House Code]],tbl_Assessment[House Code],0),9),"")</f>
        <v/>
      </c>
      <c r="H25" s="41"/>
      <c r="I25" s="41"/>
      <c r="J25" s="41"/>
      <c r="K25" s="116"/>
      <c r="L25" s="117" t="str">
        <f>IF(tbl_Actual_costs_quantities34[[#This Row],[House Code]]&lt;&gt;"",tbl_Actual_costs_quantities34[[#This Row],[Total cost]]/INDEX(tbl_estimated_costs_quantities[],MATCH(tbl_Actual_costs_quantities34[[#This Row],[House Code]],tbl_estimated_costs_quantities[House Code],0),7),"")</f>
        <v/>
      </c>
      <c r="M2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 s="75"/>
      <c r="O25" s="37"/>
      <c r="P25" s="86">
        <f>tbl_Actual_costs_quantities34[[#This Row],[Site Preparation]]*BOQs!$L$3</f>
        <v>0</v>
      </c>
      <c r="Q25" s="76"/>
      <c r="R25" s="37"/>
      <c r="S25" s="86">
        <f>tbl_Actual_costs_quantities34[[#This Row],[Demolition Removal Unsafe Structures]]*BOQs!$L$4</f>
        <v>0</v>
      </c>
      <c r="T25" s="76"/>
      <c r="U25" s="37"/>
      <c r="V25" s="86">
        <f>tbl_Actual_costs_quantities34[[#This Row],[Concrete Works]]*BOQs!$L$5</f>
        <v>0</v>
      </c>
      <c r="W25" s="76"/>
      <c r="X25" s="37"/>
      <c r="Y25" s="86">
        <f>tbl_Actual_costs_quantities34[[#This Row],[Closure External Openings Walls Windows]]*BOQs!$L$6</f>
        <v>0</v>
      </c>
      <c r="Z25" s="76"/>
      <c r="AA25" s="37"/>
      <c r="AB25" s="86">
        <f>tbl_Actual_costs_quantities34[[#This Row],[Plastering Painting]]*BOQs!$L$7</f>
        <v>0</v>
      </c>
      <c r="AC25" s="76"/>
      <c r="AD25" s="37"/>
      <c r="AE25" s="86">
        <f>tbl_Actual_costs_quantities34[[#This Row],[Floor Repairs]]*BOQs!$L$8</f>
        <v>0</v>
      </c>
      <c r="AF25" s="76"/>
      <c r="AG25" s="37"/>
      <c r="AH25" s="86">
        <f>tbl_Actual_costs_quantities34[[#This Row],[Doors Replacement Repair]]*BOQs!$L$9</f>
        <v>0</v>
      </c>
      <c r="AI25" s="76"/>
      <c r="AJ25" s="37"/>
      <c r="AK25" s="86">
        <f>tbl_Actual_costs_quantities34[[#This Row],[Windows Replacement Repair]]*BOQs!$L$10</f>
        <v>0</v>
      </c>
      <c r="AL25" s="76"/>
      <c r="AM25" s="37"/>
      <c r="AN25" s="86">
        <f>tbl_Actual_costs_quantities34[[#This Row],[Bathroom Rehabilitation]]*BOQs!$L$11</f>
        <v>0</v>
      </c>
      <c r="AO25" s="76"/>
      <c r="AP25" s="37"/>
      <c r="AQ25" s="86">
        <f>tbl_Actual_costs_quantities34[[#This Row],[Ceramic Tile Works WASH]]*BOQs!$L$12</f>
        <v>0</v>
      </c>
      <c r="AR25" s="76"/>
      <c r="AS25" s="37"/>
      <c r="AT25" s="86">
        <f>tbl_Actual_costs_quantities34[[#This Row],[Electrical Repairs Lighting]]*BOQs!$L$13</f>
        <v>0</v>
      </c>
      <c r="AU25" s="76"/>
      <c r="AV25" s="37"/>
      <c r="AW25" s="86">
        <f>tbl_Actual_costs_quantities34[[#This Row],[Roof Insulation Leak Sealing]]*BOQs!$L$14</f>
        <v>0</v>
      </c>
      <c r="AX25" s="76"/>
      <c r="AY25" s="37"/>
      <c r="AZ25" s="86">
        <f>tbl_Actual_costs_quantities34[[#This Row],[Chimney Duct Cleaning Repair]]*BOQs!$L$15</f>
        <v>0</v>
      </c>
      <c r="BA25" s="76"/>
      <c r="BB25" s="37"/>
      <c r="BC25" s="89">
        <f>tbl_Actual_costs_quantities34[[#This Row],[Accessibility Adaptations]]*BOQs!$L$16</f>
        <v>0</v>
      </c>
      <c r="BD25" s="41"/>
      <c r="BE25" s="37"/>
      <c r="BF25" s="37"/>
    </row>
    <row r="26" spans="2:58" ht="25.15" customHeight="1" x14ac:dyDescent="0.25">
      <c r="B26" s="49">
        <v>22</v>
      </c>
      <c r="C26" s="37"/>
      <c r="D26" s="41"/>
      <c r="E26" s="40"/>
      <c r="F26" s="87" t="str">
        <f>IF(tbl_Actual_costs_quantities34[[#This Row],[House Code]]&lt;&gt;"",INDEX(tbl_Assessment[],MATCH(tbl_Actual_costs_quantities34[[#This Row],[House Code]],tbl_Assessment[House Code],0),3),"")</f>
        <v/>
      </c>
      <c r="G26" s="116" t="str">
        <f>IF(tbl_Actual_costs_quantities34[[#This Row],[House Code]]&lt;&gt;"",INDEX(tbl_Assessment[],MATCH(tbl_Actual_costs_quantities34[[#This Row],[House Code]],tbl_Assessment[House Code],0),9),"")</f>
        <v/>
      </c>
      <c r="H26" s="41"/>
      <c r="I26" s="41"/>
      <c r="J26" s="41"/>
      <c r="K26" s="116"/>
      <c r="L26" s="117" t="str">
        <f>IF(tbl_Actual_costs_quantities34[[#This Row],[House Code]]&lt;&gt;"",tbl_Actual_costs_quantities34[[#This Row],[Total cost]]/INDEX(tbl_estimated_costs_quantities[],MATCH(tbl_Actual_costs_quantities34[[#This Row],[House Code]],tbl_estimated_costs_quantities[House Code],0),7),"")</f>
        <v/>
      </c>
      <c r="M2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 s="75"/>
      <c r="O26" s="37"/>
      <c r="P26" s="86">
        <f>tbl_Actual_costs_quantities34[[#This Row],[Site Preparation]]*BOQs!$L$3</f>
        <v>0</v>
      </c>
      <c r="Q26" s="76"/>
      <c r="R26" s="37"/>
      <c r="S26" s="86">
        <f>tbl_Actual_costs_quantities34[[#This Row],[Demolition Removal Unsafe Structures]]*BOQs!$L$4</f>
        <v>0</v>
      </c>
      <c r="T26" s="76"/>
      <c r="U26" s="37"/>
      <c r="V26" s="86">
        <f>tbl_Actual_costs_quantities34[[#This Row],[Concrete Works]]*BOQs!$L$5</f>
        <v>0</v>
      </c>
      <c r="W26" s="76"/>
      <c r="X26" s="37"/>
      <c r="Y26" s="86">
        <f>tbl_Actual_costs_quantities34[[#This Row],[Closure External Openings Walls Windows]]*BOQs!$L$6</f>
        <v>0</v>
      </c>
      <c r="Z26" s="76"/>
      <c r="AA26" s="37"/>
      <c r="AB26" s="86">
        <f>tbl_Actual_costs_quantities34[[#This Row],[Plastering Painting]]*BOQs!$L$7</f>
        <v>0</v>
      </c>
      <c r="AC26" s="76"/>
      <c r="AD26" s="37"/>
      <c r="AE26" s="86">
        <f>tbl_Actual_costs_quantities34[[#This Row],[Floor Repairs]]*BOQs!$L$8</f>
        <v>0</v>
      </c>
      <c r="AF26" s="76"/>
      <c r="AG26" s="37"/>
      <c r="AH26" s="86">
        <f>tbl_Actual_costs_quantities34[[#This Row],[Doors Replacement Repair]]*BOQs!$L$9</f>
        <v>0</v>
      </c>
      <c r="AI26" s="76"/>
      <c r="AJ26" s="37"/>
      <c r="AK26" s="86">
        <f>tbl_Actual_costs_quantities34[[#This Row],[Windows Replacement Repair]]*BOQs!$L$10</f>
        <v>0</v>
      </c>
      <c r="AL26" s="76"/>
      <c r="AM26" s="37"/>
      <c r="AN26" s="86">
        <f>tbl_Actual_costs_quantities34[[#This Row],[Bathroom Rehabilitation]]*BOQs!$L$11</f>
        <v>0</v>
      </c>
      <c r="AO26" s="76"/>
      <c r="AP26" s="37"/>
      <c r="AQ26" s="86">
        <f>tbl_Actual_costs_quantities34[[#This Row],[Ceramic Tile Works WASH]]*BOQs!$L$12</f>
        <v>0</v>
      </c>
      <c r="AR26" s="76"/>
      <c r="AS26" s="37"/>
      <c r="AT26" s="86">
        <f>tbl_Actual_costs_quantities34[[#This Row],[Electrical Repairs Lighting]]*BOQs!$L$13</f>
        <v>0</v>
      </c>
      <c r="AU26" s="76"/>
      <c r="AV26" s="37"/>
      <c r="AW26" s="86">
        <f>tbl_Actual_costs_quantities34[[#This Row],[Roof Insulation Leak Sealing]]*BOQs!$L$14</f>
        <v>0</v>
      </c>
      <c r="AX26" s="76"/>
      <c r="AY26" s="37"/>
      <c r="AZ26" s="86">
        <f>tbl_Actual_costs_quantities34[[#This Row],[Chimney Duct Cleaning Repair]]*BOQs!$L$15</f>
        <v>0</v>
      </c>
      <c r="BA26" s="76"/>
      <c r="BB26" s="37"/>
      <c r="BC26" s="89">
        <f>tbl_Actual_costs_quantities34[[#This Row],[Accessibility Adaptations]]*BOQs!$L$16</f>
        <v>0</v>
      </c>
      <c r="BD26" s="41"/>
      <c r="BE26" s="37"/>
      <c r="BF26" s="37"/>
    </row>
    <row r="27" spans="2:58" ht="25.15" customHeight="1" x14ac:dyDescent="0.25">
      <c r="B27" s="49">
        <v>23</v>
      </c>
      <c r="C27" s="37"/>
      <c r="D27" s="41"/>
      <c r="E27" s="40"/>
      <c r="F27" s="87" t="str">
        <f>IF(tbl_Actual_costs_quantities34[[#This Row],[House Code]]&lt;&gt;"",INDEX(tbl_Assessment[],MATCH(tbl_Actual_costs_quantities34[[#This Row],[House Code]],tbl_Assessment[House Code],0),3),"")</f>
        <v/>
      </c>
      <c r="G27" s="116" t="str">
        <f>IF(tbl_Actual_costs_quantities34[[#This Row],[House Code]]&lt;&gt;"",INDEX(tbl_Assessment[],MATCH(tbl_Actual_costs_quantities34[[#This Row],[House Code]],tbl_Assessment[House Code],0),9),"")</f>
        <v/>
      </c>
      <c r="H27" s="41"/>
      <c r="I27" s="41"/>
      <c r="J27" s="41"/>
      <c r="K27" s="116"/>
      <c r="L27" s="117" t="str">
        <f>IF(tbl_Actual_costs_quantities34[[#This Row],[House Code]]&lt;&gt;"",tbl_Actual_costs_quantities34[[#This Row],[Total cost]]/INDEX(tbl_estimated_costs_quantities[],MATCH(tbl_Actual_costs_quantities34[[#This Row],[House Code]],tbl_estimated_costs_quantities[House Code],0),7),"")</f>
        <v/>
      </c>
      <c r="M2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 s="75"/>
      <c r="O27" s="37"/>
      <c r="P27" s="86">
        <f>tbl_Actual_costs_quantities34[[#This Row],[Site Preparation]]*BOQs!$L$3</f>
        <v>0</v>
      </c>
      <c r="Q27" s="76"/>
      <c r="R27" s="37"/>
      <c r="S27" s="86">
        <f>tbl_Actual_costs_quantities34[[#This Row],[Demolition Removal Unsafe Structures]]*BOQs!$L$4</f>
        <v>0</v>
      </c>
      <c r="T27" s="76"/>
      <c r="U27" s="37"/>
      <c r="V27" s="86">
        <f>tbl_Actual_costs_quantities34[[#This Row],[Concrete Works]]*BOQs!$L$5</f>
        <v>0</v>
      </c>
      <c r="W27" s="76"/>
      <c r="X27" s="37"/>
      <c r="Y27" s="86">
        <f>tbl_Actual_costs_quantities34[[#This Row],[Closure External Openings Walls Windows]]*BOQs!$L$6</f>
        <v>0</v>
      </c>
      <c r="Z27" s="76"/>
      <c r="AA27" s="37"/>
      <c r="AB27" s="86">
        <f>tbl_Actual_costs_quantities34[[#This Row],[Plastering Painting]]*BOQs!$L$7</f>
        <v>0</v>
      </c>
      <c r="AC27" s="76"/>
      <c r="AD27" s="37"/>
      <c r="AE27" s="86">
        <f>tbl_Actual_costs_quantities34[[#This Row],[Floor Repairs]]*BOQs!$L$8</f>
        <v>0</v>
      </c>
      <c r="AF27" s="76"/>
      <c r="AG27" s="37"/>
      <c r="AH27" s="86">
        <f>tbl_Actual_costs_quantities34[[#This Row],[Doors Replacement Repair]]*BOQs!$L$9</f>
        <v>0</v>
      </c>
      <c r="AI27" s="76"/>
      <c r="AJ27" s="37"/>
      <c r="AK27" s="86">
        <f>tbl_Actual_costs_quantities34[[#This Row],[Windows Replacement Repair]]*BOQs!$L$10</f>
        <v>0</v>
      </c>
      <c r="AL27" s="76"/>
      <c r="AM27" s="37"/>
      <c r="AN27" s="86">
        <f>tbl_Actual_costs_quantities34[[#This Row],[Bathroom Rehabilitation]]*BOQs!$L$11</f>
        <v>0</v>
      </c>
      <c r="AO27" s="76"/>
      <c r="AP27" s="37"/>
      <c r="AQ27" s="86">
        <f>tbl_Actual_costs_quantities34[[#This Row],[Ceramic Tile Works WASH]]*BOQs!$L$12</f>
        <v>0</v>
      </c>
      <c r="AR27" s="76"/>
      <c r="AS27" s="37"/>
      <c r="AT27" s="86">
        <f>tbl_Actual_costs_quantities34[[#This Row],[Electrical Repairs Lighting]]*BOQs!$L$13</f>
        <v>0</v>
      </c>
      <c r="AU27" s="76"/>
      <c r="AV27" s="37"/>
      <c r="AW27" s="86">
        <f>tbl_Actual_costs_quantities34[[#This Row],[Roof Insulation Leak Sealing]]*BOQs!$L$14</f>
        <v>0</v>
      </c>
      <c r="AX27" s="76"/>
      <c r="AY27" s="37"/>
      <c r="AZ27" s="86">
        <f>tbl_Actual_costs_quantities34[[#This Row],[Chimney Duct Cleaning Repair]]*BOQs!$L$15</f>
        <v>0</v>
      </c>
      <c r="BA27" s="76"/>
      <c r="BB27" s="37"/>
      <c r="BC27" s="89">
        <f>tbl_Actual_costs_quantities34[[#This Row],[Accessibility Adaptations]]*BOQs!$L$16</f>
        <v>0</v>
      </c>
      <c r="BD27" s="41"/>
      <c r="BE27" s="37"/>
      <c r="BF27" s="37"/>
    </row>
    <row r="28" spans="2:58" ht="25.15" customHeight="1" x14ac:dyDescent="0.25">
      <c r="B28" s="49">
        <v>24</v>
      </c>
      <c r="C28" s="37"/>
      <c r="D28" s="41"/>
      <c r="E28" s="40"/>
      <c r="F28" s="87" t="str">
        <f>IF(tbl_Actual_costs_quantities34[[#This Row],[House Code]]&lt;&gt;"",INDEX(tbl_Assessment[],MATCH(tbl_Actual_costs_quantities34[[#This Row],[House Code]],tbl_Assessment[House Code],0),3),"")</f>
        <v/>
      </c>
      <c r="G28" s="116" t="str">
        <f>IF(tbl_Actual_costs_quantities34[[#This Row],[House Code]]&lt;&gt;"",INDEX(tbl_Assessment[],MATCH(tbl_Actual_costs_quantities34[[#This Row],[House Code]],tbl_Assessment[House Code],0),9),"")</f>
        <v/>
      </c>
      <c r="H28" s="41"/>
      <c r="I28" s="41"/>
      <c r="J28" s="41"/>
      <c r="K28" s="116"/>
      <c r="L28" s="117" t="str">
        <f>IF(tbl_Actual_costs_quantities34[[#This Row],[House Code]]&lt;&gt;"",tbl_Actual_costs_quantities34[[#This Row],[Total cost]]/INDEX(tbl_estimated_costs_quantities[],MATCH(tbl_Actual_costs_quantities34[[#This Row],[House Code]],tbl_estimated_costs_quantities[House Code],0),7),"")</f>
        <v/>
      </c>
      <c r="M2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 s="75"/>
      <c r="O28" s="37"/>
      <c r="P28" s="86">
        <f>tbl_Actual_costs_quantities34[[#This Row],[Site Preparation]]*BOQs!$L$3</f>
        <v>0</v>
      </c>
      <c r="Q28" s="76"/>
      <c r="R28" s="37"/>
      <c r="S28" s="86">
        <f>tbl_Actual_costs_quantities34[[#This Row],[Demolition Removal Unsafe Structures]]*BOQs!$L$4</f>
        <v>0</v>
      </c>
      <c r="T28" s="76"/>
      <c r="U28" s="37"/>
      <c r="V28" s="86">
        <f>tbl_Actual_costs_quantities34[[#This Row],[Concrete Works]]*BOQs!$L$5</f>
        <v>0</v>
      </c>
      <c r="W28" s="76"/>
      <c r="X28" s="37"/>
      <c r="Y28" s="86">
        <f>tbl_Actual_costs_quantities34[[#This Row],[Closure External Openings Walls Windows]]*BOQs!$L$6</f>
        <v>0</v>
      </c>
      <c r="Z28" s="76"/>
      <c r="AA28" s="37"/>
      <c r="AB28" s="86">
        <f>tbl_Actual_costs_quantities34[[#This Row],[Plastering Painting]]*BOQs!$L$7</f>
        <v>0</v>
      </c>
      <c r="AC28" s="76"/>
      <c r="AD28" s="37"/>
      <c r="AE28" s="86">
        <f>tbl_Actual_costs_quantities34[[#This Row],[Floor Repairs]]*BOQs!$L$8</f>
        <v>0</v>
      </c>
      <c r="AF28" s="76"/>
      <c r="AG28" s="37"/>
      <c r="AH28" s="86">
        <f>tbl_Actual_costs_quantities34[[#This Row],[Doors Replacement Repair]]*BOQs!$L$9</f>
        <v>0</v>
      </c>
      <c r="AI28" s="76"/>
      <c r="AJ28" s="37"/>
      <c r="AK28" s="86">
        <f>tbl_Actual_costs_quantities34[[#This Row],[Windows Replacement Repair]]*BOQs!$L$10</f>
        <v>0</v>
      </c>
      <c r="AL28" s="76"/>
      <c r="AM28" s="37"/>
      <c r="AN28" s="86">
        <f>tbl_Actual_costs_quantities34[[#This Row],[Bathroom Rehabilitation]]*BOQs!$L$11</f>
        <v>0</v>
      </c>
      <c r="AO28" s="76"/>
      <c r="AP28" s="37"/>
      <c r="AQ28" s="86">
        <f>tbl_Actual_costs_quantities34[[#This Row],[Ceramic Tile Works WASH]]*BOQs!$L$12</f>
        <v>0</v>
      </c>
      <c r="AR28" s="76"/>
      <c r="AS28" s="37"/>
      <c r="AT28" s="86">
        <f>tbl_Actual_costs_quantities34[[#This Row],[Electrical Repairs Lighting]]*BOQs!$L$13</f>
        <v>0</v>
      </c>
      <c r="AU28" s="76"/>
      <c r="AV28" s="37"/>
      <c r="AW28" s="86">
        <f>tbl_Actual_costs_quantities34[[#This Row],[Roof Insulation Leak Sealing]]*BOQs!$L$14</f>
        <v>0</v>
      </c>
      <c r="AX28" s="76"/>
      <c r="AY28" s="37"/>
      <c r="AZ28" s="86">
        <f>tbl_Actual_costs_quantities34[[#This Row],[Chimney Duct Cleaning Repair]]*BOQs!$L$15</f>
        <v>0</v>
      </c>
      <c r="BA28" s="76"/>
      <c r="BB28" s="37"/>
      <c r="BC28" s="89">
        <f>tbl_Actual_costs_quantities34[[#This Row],[Accessibility Adaptations]]*BOQs!$L$16</f>
        <v>0</v>
      </c>
      <c r="BD28" s="41"/>
      <c r="BE28" s="37"/>
      <c r="BF28" s="37"/>
    </row>
    <row r="29" spans="2:58" ht="25.15" customHeight="1" x14ac:dyDescent="0.25">
      <c r="B29" s="49">
        <v>25</v>
      </c>
      <c r="C29" s="37"/>
      <c r="D29" s="41"/>
      <c r="E29" s="40"/>
      <c r="F29" s="87" t="str">
        <f>IF(tbl_Actual_costs_quantities34[[#This Row],[House Code]]&lt;&gt;"",INDEX(tbl_Assessment[],MATCH(tbl_Actual_costs_quantities34[[#This Row],[House Code]],tbl_Assessment[House Code],0),3),"")</f>
        <v/>
      </c>
      <c r="G29" s="116" t="str">
        <f>IF(tbl_Actual_costs_quantities34[[#This Row],[House Code]]&lt;&gt;"",INDEX(tbl_Assessment[],MATCH(tbl_Actual_costs_quantities34[[#This Row],[House Code]],tbl_Assessment[House Code],0),9),"")</f>
        <v/>
      </c>
      <c r="H29" s="41"/>
      <c r="I29" s="41"/>
      <c r="J29" s="41"/>
      <c r="K29" s="116"/>
      <c r="L29" s="117" t="str">
        <f>IF(tbl_Actual_costs_quantities34[[#This Row],[House Code]]&lt;&gt;"",tbl_Actual_costs_quantities34[[#This Row],[Total cost]]/INDEX(tbl_estimated_costs_quantities[],MATCH(tbl_Actual_costs_quantities34[[#This Row],[House Code]],tbl_estimated_costs_quantities[House Code],0),7),"")</f>
        <v/>
      </c>
      <c r="M2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 s="75"/>
      <c r="O29" s="37"/>
      <c r="P29" s="86">
        <f>tbl_Actual_costs_quantities34[[#This Row],[Site Preparation]]*BOQs!$L$3</f>
        <v>0</v>
      </c>
      <c r="Q29" s="76"/>
      <c r="R29" s="37"/>
      <c r="S29" s="86">
        <f>tbl_Actual_costs_quantities34[[#This Row],[Demolition Removal Unsafe Structures]]*BOQs!$L$4</f>
        <v>0</v>
      </c>
      <c r="T29" s="76"/>
      <c r="U29" s="37"/>
      <c r="V29" s="86">
        <f>tbl_Actual_costs_quantities34[[#This Row],[Concrete Works]]*BOQs!$L$5</f>
        <v>0</v>
      </c>
      <c r="W29" s="76"/>
      <c r="X29" s="37"/>
      <c r="Y29" s="86">
        <f>tbl_Actual_costs_quantities34[[#This Row],[Closure External Openings Walls Windows]]*BOQs!$L$6</f>
        <v>0</v>
      </c>
      <c r="Z29" s="76"/>
      <c r="AA29" s="37"/>
      <c r="AB29" s="86">
        <f>tbl_Actual_costs_quantities34[[#This Row],[Plastering Painting]]*BOQs!$L$7</f>
        <v>0</v>
      </c>
      <c r="AC29" s="76"/>
      <c r="AD29" s="37"/>
      <c r="AE29" s="86">
        <f>tbl_Actual_costs_quantities34[[#This Row],[Floor Repairs]]*BOQs!$L$8</f>
        <v>0</v>
      </c>
      <c r="AF29" s="76"/>
      <c r="AG29" s="37"/>
      <c r="AH29" s="86">
        <f>tbl_Actual_costs_quantities34[[#This Row],[Doors Replacement Repair]]*BOQs!$L$9</f>
        <v>0</v>
      </c>
      <c r="AI29" s="76"/>
      <c r="AJ29" s="37"/>
      <c r="AK29" s="86">
        <f>tbl_Actual_costs_quantities34[[#This Row],[Windows Replacement Repair]]*BOQs!$L$10</f>
        <v>0</v>
      </c>
      <c r="AL29" s="76"/>
      <c r="AM29" s="37"/>
      <c r="AN29" s="86">
        <f>tbl_Actual_costs_quantities34[[#This Row],[Bathroom Rehabilitation]]*BOQs!$L$11</f>
        <v>0</v>
      </c>
      <c r="AO29" s="76"/>
      <c r="AP29" s="37"/>
      <c r="AQ29" s="86">
        <f>tbl_Actual_costs_quantities34[[#This Row],[Ceramic Tile Works WASH]]*BOQs!$L$12</f>
        <v>0</v>
      </c>
      <c r="AR29" s="76"/>
      <c r="AS29" s="37"/>
      <c r="AT29" s="86">
        <f>tbl_Actual_costs_quantities34[[#This Row],[Electrical Repairs Lighting]]*BOQs!$L$13</f>
        <v>0</v>
      </c>
      <c r="AU29" s="76"/>
      <c r="AV29" s="37"/>
      <c r="AW29" s="86">
        <f>tbl_Actual_costs_quantities34[[#This Row],[Roof Insulation Leak Sealing]]*BOQs!$L$14</f>
        <v>0</v>
      </c>
      <c r="AX29" s="76"/>
      <c r="AY29" s="37"/>
      <c r="AZ29" s="86">
        <f>tbl_Actual_costs_quantities34[[#This Row],[Chimney Duct Cleaning Repair]]*BOQs!$L$15</f>
        <v>0</v>
      </c>
      <c r="BA29" s="76"/>
      <c r="BB29" s="37"/>
      <c r="BC29" s="89">
        <f>tbl_Actual_costs_quantities34[[#This Row],[Accessibility Adaptations]]*BOQs!$L$16</f>
        <v>0</v>
      </c>
      <c r="BD29" s="41"/>
      <c r="BE29" s="37"/>
      <c r="BF29" s="37"/>
    </row>
    <row r="30" spans="2:58" ht="25.15" customHeight="1" x14ac:dyDescent="0.25">
      <c r="B30" s="49">
        <v>26</v>
      </c>
      <c r="C30" s="37"/>
      <c r="D30" s="41"/>
      <c r="E30" s="40"/>
      <c r="F30" s="87" t="str">
        <f>IF(tbl_Actual_costs_quantities34[[#This Row],[House Code]]&lt;&gt;"",INDEX(tbl_Assessment[],MATCH(tbl_Actual_costs_quantities34[[#This Row],[House Code]],tbl_Assessment[House Code],0),3),"")</f>
        <v/>
      </c>
      <c r="G30" s="116" t="str">
        <f>IF(tbl_Actual_costs_quantities34[[#This Row],[House Code]]&lt;&gt;"",INDEX(tbl_Assessment[],MATCH(tbl_Actual_costs_quantities34[[#This Row],[House Code]],tbl_Assessment[House Code],0),9),"")</f>
        <v/>
      </c>
      <c r="H30" s="41"/>
      <c r="I30" s="41"/>
      <c r="J30" s="41"/>
      <c r="K30" s="116"/>
      <c r="L30" s="117" t="str">
        <f>IF(tbl_Actual_costs_quantities34[[#This Row],[House Code]]&lt;&gt;"",tbl_Actual_costs_quantities34[[#This Row],[Total cost]]/INDEX(tbl_estimated_costs_quantities[],MATCH(tbl_Actual_costs_quantities34[[#This Row],[House Code]],tbl_estimated_costs_quantities[House Code],0),7),"")</f>
        <v/>
      </c>
      <c r="M3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 s="75"/>
      <c r="O30" s="37"/>
      <c r="P30" s="86">
        <f>tbl_Actual_costs_quantities34[[#This Row],[Site Preparation]]*BOQs!$L$3</f>
        <v>0</v>
      </c>
      <c r="Q30" s="76"/>
      <c r="R30" s="37"/>
      <c r="S30" s="86">
        <f>tbl_Actual_costs_quantities34[[#This Row],[Demolition Removal Unsafe Structures]]*BOQs!$L$4</f>
        <v>0</v>
      </c>
      <c r="T30" s="76"/>
      <c r="U30" s="37"/>
      <c r="V30" s="86">
        <f>tbl_Actual_costs_quantities34[[#This Row],[Concrete Works]]*BOQs!$L$5</f>
        <v>0</v>
      </c>
      <c r="W30" s="76"/>
      <c r="X30" s="37"/>
      <c r="Y30" s="86">
        <f>tbl_Actual_costs_quantities34[[#This Row],[Closure External Openings Walls Windows]]*BOQs!$L$6</f>
        <v>0</v>
      </c>
      <c r="Z30" s="76"/>
      <c r="AA30" s="37"/>
      <c r="AB30" s="86">
        <f>tbl_Actual_costs_quantities34[[#This Row],[Plastering Painting]]*BOQs!$L$7</f>
        <v>0</v>
      </c>
      <c r="AC30" s="76"/>
      <c r="AD30" s="37"/>
      <c r="AE30" s="86">
        <f>tbl_Actual_costs_quantities34[[#This Row],[Floor Repairs]]*BOQs!$L$8</f>
        <v>0</v>
      </c>
      <c r="AF30" s="76"/>
      <c r="AG30" s="37"/>
      <c r="AH30" s="86">
        <f>tbl_Actual_costs_quantities34[[#This Row],[Doors Replacement Repair]]*BOQs!$L$9</f>
        <v>0</v>
      </c>
      <c r="AI30" s="76"/>
      <c r="AJ30" s="37"/>
      <c r="AK30" s="86">
        <f>tbl_Actual_costs_quantities34[[#This Row],[Windows Replacement Repair]]*BOQs!$L$10</f>
        <v>0</v>
      </c>
      <c r="AL30" s="76"/>
      <c r="AM30" s="37"/>
      <c r="AN30" s="86">
        <f>tbl_Actual_costs_quantities34[[#This Row],[Bathroom Rehabilitation]]*BOQs!$L$11</f>
        <v>0</v>
      </c>
      <c r="AO30" s="76"/>
      <c r="AP30" s="37"/>
      <c r="AQ30" s="86">
        <f>tbl_Actual_costs_quantities34[[#This Row],[Ceramic Tile Works WASH]]*BOQs!$L$12</f>
        <v>0</v>
      </c>
      <c r="AR30" s="76"/>
      <c r="AS30" s="37"/>
      <c r="AT30" s="86">
        <f>tbl_Actual_costs_quantities34[[#This Row],[Electrical Repairs Lighting]]*BOQs!$L$13</f>
        <v>0</v>
      </c>
      <c r="AU30" s="76"/>
      <c r="AV30" s="37"/>
      <c r="AW30" s="86">
        <f>tbl_Actual_costs_quantities34[[#This Row],[Roof Insulation Leak Sealing]]*BOQs!$L$14</f>
        <v>0</v>
      </c>
      <c r="AX30" s="76"/>
      <c r="AY30" s="37"/>
      <c r="AZ30" s="86">
        <f>tbl_Actual_costs_quantities34[[#This Row],[Chimney Duct Cleaning Repair]]*BOQs!$L$15</f>
        <v>0</v>
      </c>
      <c r="BA30" s="76"/>
      <c r="BB30" s="37"/>
      <c r="BC30" s="89">
        <f>tbl_Actual_costs_quantities34[[#This Row],[Accessibility Adaptations]]*BOQs!$L$16</f>
        <v>0</v>
      </c>
      <c r="BD30" s="41"/>
      <c r="BE30" s="37"/>
      <c r="BF30" s="37"/>
    </row>
    <row r="31" spans="2:58" ht="25.15" customHeight="1" x14ac:dyDescent="0.25">
      <c r="B31" s="49">
        <v>27</v>
      </c>
      <c r="C31" s="37"/>
      <c r="D31" s="41"/>
      <c r="E31" s="40"/>
      <c r="F31" s="87" t="str">
        <f>IF(tbl_Actual_costs_quantities34[[#This Row],[House Code]]&lt;&gt;"",INDEX(tbl_Assessment[],MATCH(tbl_Actual_costs_quantities34[[#This Row],[House Code]],tbl_Assessment[House Code],0),3),"")</f>
        <v/>
      </c>
      <c r="G31" s="116" t="str">
        <f>IF(tbl_Actual_costs_quantities34[[#This Row],[House Code]]&lt;&gt;"",INDEX(tbl_Assessment[],MATCH(tbl_Actual_costs_quantities34[[#This Row],[House Code]],tbl_Assessment[House Code],0),9),"")</f>
        <v/>
      </c>
      <c r="H31" s="41"/>
      <c r="I31" s="41"/>
      <c r="J31" s="41"/>
      <c r="K31" s="116"/>
      <c r="L31" s="117" t="str">
        <f>IF(tbl_Actual_costs_quantities34[[#This Row],[House Code]]&lt;&gt;"",tbl_Actual_costs_quantities34[[#This Row],[Total cost]]/INDEX(tbl_estimated_costs_quantities[],MATCH(tbl_Actual_costs_quantities34[[#This Row],[House Code]],tbl_estimated_costs_quantities[House Code],0),7),"")</f>
        <v/>
      </c>
      <c r="M3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 s="75"/>
      <c r="O31" s="37"/>
      <c r="P31" s="86">
        <f>tbl_Actual_costs_quantities34[[#This Row],[Site Preparation]]*BOQs!$L$3</f>
        <v>0</v>
      </c>
      <c r="Q31" s="76"/>
      <c r="R31" s="37"/>
      <c r="S31" s="86">
        <f>tbl_Actual_costs_quantities34[[#This Row],[Demolition Removal Unsafe Structures]]*BOQs!$L$4</f>
        <v>0</v>
      </c>
      <c r="T31" s="76"/>
      <c r="U31" s="37"/>
      <c r="V31" s="86">
        <f>tbl_Actual_costs_quantities34[[#This Row],[Concrete Works]]*BOQs!$L$5</f>
        <v>0</v>
      </c>
      <c r="W31" s="76"/>
      <c r="X31" s="37"/>
      <c r="Y31" s="86">
        <f>tbl_Actual_costs_quantities34[[#This Row],[Closure External Openings Walls Windows]]*BOQs!$L$6</f>
        <v>0</v>
      </c>
      <c r="Z31" s="76"/>
      <c r="AA31" s="37"/>
      <c r="AB31" s="86">
        <f>tbl_Actual_costs_quantities34[[#This Row],[Plastering Painting]]*BOQs!$L$7</f>
        <v>0</v>
      </c>
      <c r="AC31" s="76"/>
      <c r="AD31" s="37"/>
      <c r="AE31" s="86">
        <f>tbl_Actual_costs_quantities34[[#This Row],[Floor Repairs]]*BOQs!$L$8</f>
        <v>0</v>
      </c>
      <c r="AF31" s="76"/>
      <c r="AG31" s="37"/>
      <c r="AH31" s="86">
        <f>tbl_Actual_costs_quantities34[[#This Row],[Doors Replacement Repair]]*BOQs!$L$9</f>
        <v>0</v>
      </c>
      <c r="AI31" s="76"/>
      <c r="AJ31" s="37"/>
      <c r="AK31" s="86">
        <f>tbl_Actual_costs_quantities34[[#This Row],[Windows Replacement Repair]]*BOQs!$L$10</f>
        <v>0</v>
      </c>
      <c r="AL31" s="76"/>
      <c r="AM31" s="37"/>
      <c r="AN31" s="86">
        <f>tbl_Actual_costs_quantities34[[#This Row],[Bathroom Rehabilitation]]*BOQs!$L$11</f>
        <v>0</v>
      </c>
      <c r="AO31" s="76"/>
      <c r="AP31" s="37"/>
      <c r="AQ31" s="86">
        <f>tbl_Actual_costs_quantities34[[#This Row],[Ceramic Tile Works WASH]]*BOQs!$L$12</f>
        <v>0</v>
      </c>
      <c r="AR31" s="76"/>
      <c r="AS31" s="37"/>
      <c r="AT31" s="86">
        <f>tbl_Actual_costs_quantities34[[#This Row],[Electrical Repairs Lighting]]*BOQs!$L$13</f>
        <v>0</v>
      </c>
      <c r="AU31" s="76"/>
      <c r="AV31" s="37"/>
      <c r="AW31" s="86">
        <f>tbl_Actual_costs_quantities34[[#This Row],[Roof Insulation Leak Sealing]]*BOQs!$L$14</f>
        <v>0</v>
      </c>
      <c r="AX31" s="76"/>
      <c r="AY31" s="37"/>
      <c r="AZ31" s="86">
        <f>tbl_Actual_costs_quantities34[[#This Row],[Chimney Duct Cleaning Repair]]*BOQs!$L$15</f>
        <v>0</v>
      </c>
      <c r="BA31" s="76"/>
      <c r="BB31" s="37"/>
      <c r="BC31" s="89">
        <f>tbl_Actual_costs_quantities34[[#This Row],[Accessibility Adaptations]]*BOQs!$L$16</f>
        <v>0</v>
      </c>
      <c r="BD31" s="41"/>
      <c r="BE31" s="37"/>
      <c r="BF31" s="37"/>
    </row>
    <row r="32" spans="2:58" ht="25.15" customHeight="1" x14ac:dyDescent="0.25">
      <c r="B32" s="49">
        <v>28</v>
      </c>
      <c r="C32" s="37"/>
      <c r="D32" s="41"/>
      <c r="E32" s="40"/>
      <c r="F32" s="87" t="str">
        <f>IF(tbl_Actual_costs_quantities34[[#This Row],[House Code]]&lt;&gt;"",INDEX(tbl_Assessment[],MATCH(tbl_Actual_costs_quantities34[[#This Row],[House Code]],tbl_Assessment[House Code],0),3),"")</f>
        <v/>
      </c>
      <c r="G32" s="116" t="str">
        <f>IF(tbl_Actual_costs_quantities34[[#This Row],[House Code]]&lt;&gt;"",INDEX(tbl_Assessment[],MATCH(tbl_Actual_costs_quantities34[[#This Row],[House Code]],tbl_Assessment[House Code],0),9),"")</f>
        <v/>
      </c>
      <c r="H32" s="41"/>
      <c r="I32" s="41"/>
      <c r="J32" s="41"/>
      <c r="K32" s="116"/>
      <c r="L32" s="117" t="str">
        <f>IF(tbl_Actual_costs_quantities34[[#This Row],[House Code]]&lt;&gt;"",tbl_Actual_costs_quantities34[[#This Row],[Total cost]]/INDEX(tbl_estimated_costs_quantities[],MATCH(tbl_Actual_costs_quantities34[[#This Row],[House Code]],tbl_estimated_costs_quantities[House Code],0),7),"")</f>
        <v/>
      </c>
      <c r="M3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 s="75"/>
      <c r="O32" s="37"/>
      <c r="P32" s="86">
        <f>tbl_Actual_costs_quantities34[[#This Row],[Site Preparation]]*BOQs!$L$3</f>
        <v>0</v>
      </c>
      <c r="Q32" s="76"/>
      <c r="R32" s="37"/>
      <c r="S32" s="86">
        <f>tbl_Actual_costs_quantities34[[#This Row],[Demolition Removal Unsafe Structures]]*BOQs!$L$4</f>
        <v>0</v>
      </c>
      <c r="T32" s="76"/>
      <c r="U32" s="37"/>
      <c r="V32" s="86">
        <f>tbl_Actual_costs_quantities34[[#This Row],[Concrete Works]]*BOQs!$L$5</f>
        <v>0</v>
      </c>
      <c r="W32" s="76"/>
      <c r="X32" s="37"/>
      <c r="Y32" s="86">
        <f>tbl_Actual_costs_quantities34[[#This Row],[Closure External Openings Walls Windows]]*BOQs!$L$6</f>
        <v>0</v>
      </c>
      <c r="Z32" s="76"/>
      <c r="AA32" s="37"/>
      <c r="AB32" s="86">
        <f>tbl_Actual_costs_quantities34[[#This Row],[Plastering Painting]]*BOQs!$L$7</f>
        <v>0</v>
      </c>
      <c r="AC32" s="76"/>
      <c r="AD32" s="37"/>
      <c r="AE32" s="86">
        <f>tbl_Actual_costs_quantities34[[#This Row],[Floor Repairs]]*BOQs!$L$8</f>
        <v>0</v>
      </c>
      <c r="AF32" s="76"/>
      <c r="AG32" s="37"/>
      <c r="AH32" s="86">
        <f>tbl_Actual_costs_quantities34[[#This Row],[Doors Replacement Repair]]*BOQs!$L$9</f>
        <v>0</v>
      </c>
      <c r="AI32" s="76"/>
      <c r="AJ32" s="37"/>
      <c r="AK32" s="86">
        <f>tbl_Actual_costs_quantities34[[#This Row],[Windows Replacement Repair]]*BOQs!$L$10</f>
        <v>0</v>
      </c>
      <c r="AL32" s="76"/>
      <c r="AM32" s="37"/>
      <c r="AN32" s="86">
        <f>tbl_Actual_costs_quantities34[[#This Row],[Bathroom Rehabilitation]]*BOQs!$L$11</f>
        <v>0</v>
      </c>
      <c r="AO32" s="76"/>
      <c r="AP32" s="37"/>
      <c r="AQ32" s="86">
        <f>tbl_Actual_costs_quantities34[[#This Row],[Ceramic Tile Works WASH]]*BOQs!$L$12</f>
        <v>0</v>
      </c>
      <c r="AR32" s="76"/>
      <c r="AS32" s="37"/>
      <c r="AT32" s="86">
        <f>tbl_Actual_costs_quantities34[[#This Row],[Electrical Repairs Lighting]]*BOQs!$L$13</f>
        <v>0</v>
      </c>
      <c r="AU32" s="76"/>
      <c r="AV32" s="37"/>
      <c r="AW32" s="86">
        <f>tbl_Actual_costs_quantities34[[#This Row],[Roof Insulation Leak Sealing]]*BOQs!$L$14</f>
        <v>0</v>
      </c>
      <c r="AX32" s="76"/>
      <c r="AY32" s="37"/>
      <c r="AZ32" s="86">
        <f>tbl_Actual_costs_quantities34[[#This Row],[Chimney Duct Cleaning Repair]]*BOQs!$L$15</f>
        <v>0</v>
      </c>
      <c r="BA32" s="76"/>
      <c r="BB32" s="37"/>
      <c r="BC32" s="89">
        <f>tbl_Actual_costs_quantities34[[#This Row],[Accessibility Adaptations]]*BOQs!$L$16</f>
        <v>0</v>
      </c>
      <c r="BD32" s="41"/>
      <c r="BE32" s="37"/>
      <c r="BF32" s="37"/>
    </row>
    <row r="33" spans="2:58" ht="25.15" customHeight="1" x14ac:dyDescent="0.25">
      <c r="B33" s="49">
        <v>29</v>
      </c>
      <c r="C33" s="37"/>
      <c r="D33" s="41"/>
      <c r="E33" s="40"/>
      <c r="F33" s="87" t="str">
        <f>IF(tbl_Actual_costs_quantities34[[#This Row],[House Code]]&lt;&gt;"",INDEX(tbl_Assessment[],MATCH(tbl_Actual_costs_quantities34[[#This Row],[House Code]],tbl_Assessment[House Code],0),3),"")</f>
        <v/>
      </c>
      <c r="G33" s="116" t="str">
        <f>IF(tbl_Actual_costs_quantities34[[#This Row],[House Code]]&lt;&gt;"",INDEX(tbl_Assessment[],MATCH(tbl_Actual_costs_quantities34[[#This Row],[House Code]],tbl_Assessment[House Code],0),9),"")</f>
        <v/>
      </c>
      <c r="H33" s="41"/>
      <c r="I33" s="41"/>
      <c r="J33" s="41"/>
      <c r="K33" s="116"/>
      <c r="L33" s="117" t="str">
        <f>IF(tbl_Actual_costs_quantities34[[#This Row],[House Code]]&lt;&gt;"",tbl_Actual_costs_quantities34[[#This Row],[Total cost]]/INDEX(tbl_estimated_costs_quantities[],MATCH(tbl_Actual_costs_quantities34[[#This Row],[House Code]],tbl_estimated_costs_quantities[House Code],0),7),"")</f>
        <v/>
      </c>
      <c r="M3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 s="75"/>
      <c r="O33" s="37"/>
      <c r="P33" s="86">
        <f>tbl_Actual_costs_quantities34[[#This Row],[Site Preparation]]*BOQs!$L$3</f>
        <v>0</v>
      </c>
      <c r="Q33" s="76"/>
      <c r="R33" s="37"/>
      <c r="S33" s="86">
        <f>tbl_Actual_costs_quantities34[[#This Row],[Demolition Removal Unsafe Structures]]*BOQs!$L$4</f>
        <v>0</v>
      </c>
      <c r="T33" s="76"/>
      <c r="U33" s="37"/>
      <c r="V33" s="86">
        <f>tbl_Actual_costs_quantities34[[#This Row],[Concrete Works]]*BOQs!$L$5</f>
        <v>0</v>
      </c>
      <c r="W33" s="76"/>
      <c r="X33" s="37"/>
      <c r="Y33" s="86">
        <f>tbl_Actual_costs_quantities34[[#This Row],[Closure External Openings Walls Windows]]*BOQs!$L$6</f>
        <v>0</v>
      </c>
      <c r="Z33" s="76"/>
      <c r="AA33" s="37"/>
      <c r="AB33" s="86">
        <f>tbl_Actual_costs_quantities34[[#This Row],[Plastering Painting]]*BOQs!$L$7</f>
        <v>0</v>
      </c>
      <c r="AC33" s="76"/>
      <c r="AD33" s="37"/>
      <c r="AE33" s="86">
        <f>tbl_Actual_costs_quantities34[[#This Row],[Floor Repairs]]*BOQs!$L$8</f>
        <v>0</v>
      </c>
      <c r="AF33" s="76"/>
      <c r="AG33" s="37"/>
      <c r="AH33" s="86">
        <f>tbl_Actual_costs_quantities34[[#This Row],[Doors Replacement Repair]]*BOQs!$L$9</f>
        <v>0</v>
      </c>
      <c r="AI33" s="76"/>
      <c r="AJ33" s="37"/>
      <c r="AK33" s="86">
        <f>tbl_Actual_costs_quantities34[[#This Row],[Windows Replacement Repair]]*BOQs!$L$10</f>
        <v>0</v>
      </c>
      <c r="AL33" s="76"/>
      <c r="AM33" s="37"/>
      <c r="AN33" s="86">
        <f>tbl_Actual_costs_quantities34[[#This Row],[Bathroom Rehabilitation]]*BOQs!$L$11</f>
        <v>0</v>
      </c>
      <c r="AO33" s="76"/>
      <c r="AP33" s="37"/>
      <c r="AQ33" s="86">
        <f>tbl_Actual_costs_quantities34[[#This Row],[Ceramic Tile Works WASH]]*BOQs!$L$12</f>
        <v>0</v>
      </c>
      <c r="AR33" s="76"/>
      <c r="AS33" s="37"/>
      <c r="AT33" s="86">
        <f>tbl_Actual_costs_quantities34[[#This Row],[Electrical Repairs Lighting]]*BOQs!$L$13</f>
        <v>0</v>
      </c>
      <c r="AU33" s="76"/>
      <c r="AV33" s="37"/>
      <c r="AW33" s="86">
        <f>tbl_Actual_costs_quantities34[[#This Row],[Roof Insulation Leak Sealing]]*BOQs!$L$14</f>
        <v>0</v>
      </c>
      <c r="AX33" s="76"/>
      <c r="AY33" s="37"/>
      <c r="AZ33" s="86">
        <f>tbl_Actual_costs_quantities34[[#This Row],[Chimney Duct Cleaning Repair]]*BOQs!$L$15</f>
        <v>0</v>
      </c>
      <c r="BA33" s="76"/>
      <c r="BB33" s="37"/>
      <c r="BC33" s="89">
        <f>tbl_Actual_costs_quantities34[[#This Row],[Accessibility Adaptations]]*BOQs!$L$16</f>
        <v>0</v>
      </c>
      <c r="BD33" s="41"/>
      <c r="BE33" s="37"/>
      <c r="BF33" s="37"/>
    </row>
    <row r="34" spans="2:58" ht="25.15" customHeight="1" x14ac:dyDescent="0.25">
      <c r="B34" s="49">
        <v>30</v>
      </c>
      <c r="C34" s="37"/>
      <c r="D34" s="41"/>
      <c r="E34" s="40"/>
      <c r="F34" s="87" t="str">
        <f>IF(tbl_Actual_costs_quantities34[[#This Row],[House Code]]&lt;&gt;"",INDEX(tbl_Assessment[],MATCH(tbl_Actual_costs_quantities34[[#This Row],[House Code]],tbl_Assessment[House Code],0),3),"")</f>
        <v/>
      </c>
      <c r="G34" s="116" t="str">
        <f>IF(tbl_Actual_costs_quantities34[[#This Row],[House Code]]&lt;&gt;"",INDEX(tbl_Assessment[],MATCH(tbl_Actual_costs_quantities34[[#This Row],[House Code]],tbl_Assessment[House Code],0),9),"")</f>
        <v/>
      </c>
      <c r="H34" s="41"/>
      <c r="I34" s="41"/>
      <c r="J34" s="41"/>
      <c r="K34" s="116"/>
      <c r="L34" s="117" t="str">
        <f>IF(tbl_Actual_costs_quantities34[[#This Row],[House Code]]&lt;&gt;"",tbl_Actual_costs_quantities34[[#This Row],[Total cost]]/INDEX(tbl_estimated_costs_quantities[],MATCH(tbl_Actual_costs_quantities34[[#This Row],[House Code]],tbl_estimated_costs_quantities[House Code],0),7),"")</f>
        <v/>
      </c>
      <c r="M3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 s="75"/>
      <c r="O34" s="37"/>
      <c r="P34" s="86">
        <f>tbl_Actual_costs_quantities34[[#This Row],[Site Preparation]]*BOQs!$L$3</f>
        <v>0</v>
      </c>
      <c r="Q34" s="76"/>
      <c r="R34" s="37"/>
      <c r="S34" s="86">
        <f>tbl_Actual_costs_quantities34[[#This Row],[Demolition Removal Unsafe Structures]]*BOQs!$L$4</f>
        <v>0</v>
      </c>
      <c r="T34" s="76"/>
      <c r="U34" s="37"/>
      <c r="V34" s="86">
        <f>tbl_Actual_costs_quantities34[[#This Row],[Concrete Works]]*BOQs!$L$5</f>
        <v>0</v>
      </c>
      <c r="W34" s="76"/>
      <c r="X34" s="37"/>
      <c r="Y34" s="86">
        <f>tbl_Actual_costs_quantities34[[#This Row],[Closure External Openings Walls Windows]]*BOQs!$L$6</f>
        <v>0</v>
      </c>
      <c r="Z34" s="76"/>
      <c r="AA34" s="37"/>
      <c r="AB34" s="86">
        <f>tbl_Actual_costs_quantities34[[#This Row],[Plastering Painting]]*BOQs!$L$7</f>
        <v>0</v>
      </c>
      <c r="AC34" s="76"/>
      <c r="AD34" s="37"/>
      <c r="AE34" s="86">
        <f>tbl_Actual_costs_quantities34[[#This Row],[Floor Repairs]]*BOQs!$L$8</f>
        <v>0</v>
      </c>
      <c r="AF34" s="76"/>
      <c r="AG34" s="37"/>
      <c r="AH34" s="86">
        <f>tbl_Actual_costs_quantities34[[#This Row],[Doors Replacement Repair]]*BOQs!$L$9</f>
        <v>0</v>
      </c>
      <c r="AI34" s="76"/>
      <c r="AJ34" s="37"/>
      <c r="AK34" s="86">
        <f>tbl_Actual_costs_quantities34[[#This Row],[Windows Replacement Repair]]*BOQs!$L$10</f>
        <v>0</v>
      </c>
      <c r="AL34" s="76"/>
      <c r="AM34" s="37"/>
      <c r="AN34" s="86">
        <f>tbl_Actual_costs_quantities34[[#This Row],[Bathroom Rehabilitation]]*BOQs!$L$11</f>
        <v>0</v>
      </c>
      <c r="AO34" s="76"/>
      <c r="AP34" s="37"/>
      <c r="AQ34" s="86">
        <f>tbl_Actual_costs_quantities34[[#This Row],[Ceramic Tile Works WASH]]*BOQs!$L$12</f>
        <v>0</v>
      </c>
      <c r="AR34" s="76"/>
      <c r="AS34" s="37"/>
      <c r="AT34" s="86">
        <f>tbl_Actual_costs_quantities34[[#This Row],[Electrical Repairs Lighting]]*BOQs!$L$13</f>
        <v>0</v>
      </c>
      <c r="AU34" s="76"/>
      <c r="AV34" s="37"/>
      <c r="AW34" s="86">
        <f>tbl_Actual_costs_quantities34[[#This Row],[Roof Insulation Leak Sealing]]*BOQs!$L$14</f>
        <v>0</v>
      </c>
      <c r="AX34" s="76"/>
      <c r="AY34" s="37"/>
      <c r="AZ34" s="86">
        <f>tbl_Actual_costs_quantities34[[#This Row],[Chimney Duct Cleaning Repair]]*BOQs!$L$15</f>
        <v>0</v>
      </c>
      <c r="BA34" s="76"/>
      <c r="BB34" s="37"/>
      <c r="BC34" s="89">
        <f>tbl_Actual_costs_quantities34[[#This Row],[Accessibility Adaptations]]*BOQs!$L$16</f>
        <v>0</v>
      </c>
      <c r="BD34" s="41"/>
      <c r="BE34" s="37"/>
      <c r="BF34" s="37"/>
    </row>
    <row r="35" spans="2:58" ht="25.15" customHeight="1" x14ac:dyDescent="0.25">
      <c r="B35" s="49">
        <v>31</v>
      </c>
      <c r="C35" s="37"/>
      <c r="D35" s="41"/>
      <c r="E35" s="40"/>
      <c r="F35" s="87" t="str">
        <f>IF(tbl_Actual_costs_quantities34[[#This Row],[House Code]]&lt;&gt;"",INDEX(tbl_Assessment[],MATCH(tbl_Actual_costs_quantities34[[#This Row],[House Code]],tbl_Assessment[House Code],0),3),"")</f>
        <v/>
      </c>
      <c r="G35" s="116" t="str">
        <f>IF(tbl_Actual_costs_quantities34[[#This Row],[House Code]]&lt;&gt;"",INDEX(tbl_Assessment[],MATCH(tbl_Actual_costs_quantities34[[#This Row],[House Code]],tbl_Assessment[House Code],0),9),"")</f>
        <v/>
      </c>
      <c r="H35" s="41"/>
      <c r="I35" s="41"/>
      <c r="J35" s="41"/>
      <c r="K35" s="116"/>
      <c r="L35" s="117" t="str">
        <f>IF(tbl_Actual_costs_quantities34[[#This Row],[House Code]]&lt;&gt;"",tbl_Actual_costs_quantities34[[#This Row],[Total cost]]/INDEX(tbl_estimated_costs_quantities[],MATCH(tbl_Actual_costs_quantities34[[#This Row],[House Code]],tbl_estimated_costs_quantities[House Code],0),7),"")</f>
        <v/>
      </c>
      <c r="M3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 s="75"/>
      <c r="O35" s="37"/>
      <c r="P35" s="86">
        <f>tbl_Actual_costs_quantities34[[#This Row],[Site Preparation]]*BOQs!$L$3</f>
        <v>0</v>
      </c>
      <c r="Q35" s="76"/>
      <c r="R35" s="37"/>
      <c r="S35" s="86">
        <f>tbl_Actual_costs_quantities34[[#This Row],[Demolition Removal Unsafe Structures]]*BOQs!$L$4</f>
        <v>0</v>
      </c>
      <c r="T35" s="76"/>
      <c r="U35" s="37"/>
      <c r="V35" s="86">
        <f>tbl_Actual_costs_quantities34[[#This Row],[Concrete Works]]*BOQs!$L$5</f>
        <v>0</v>
      </c>
      <c r="W35" s="76"/>
      <c r="X35" s="37"/>
      <c r="Y35" s="86">
        <f>tbl_Actual_costs_quantities34[[#This Row],[Closure External Openings Walls Windows]]*BOQs!$L$6</f>
        <v>0</v>
      </c>
      <c r="Z35" s="76"/>
      <c r="AA35" s="37"/>
      <c r="AB35" s="86">
        <f>tbl_Actual_costs_quantities34[[#This Row],[Plastering Painting]]*BOQs!$L$7</f>
        <v>0</v>
      </c>
      <c r="AC35" s="76"/>
      <c r="AD35" s="37"/>
      <c r="AE35" s="86">
        <f>tbl_Actual_costs_quantities34[[#This Row],[Floor Repairs]]*BOQs!$L$8</f>
        <v>0</v>
      </c>
      <c r="AF35" s="76"/>
      <c r="AG35" s="37"/>
      <c r="AH35" s="86">
        <f>tbl_Actual_costs_quantities34[[#This Row],[Doors Replacement Repair]]*BOQs!$L$9</f>
        <v>0</v>
      </c>
      <c r="AI35" s="76"/>
      <c r="AJ35" s="37"/>
      <c r="AK35" s="86">
        <f>tbl_Actual_costs_quantities34[[#This Row],[Windows Replacement Repair]]*BOQs!$L$10</f>
        <v>0</v>
      </c>
      <c r="AL35" s="76"/>
      <c r="AM35" s="37"/>
      <c r="AN35" s="86">
        <f>tbl_Actual_costs_quantities34[[#This Row],[Bathroom Rehabilitation]]*BOQs!$L$11</f>
        <v>0</v>
      </c>
      <c r="AO35" s="76"/>
      <c r="AP35" s="37"/>
      <c r="AQ35" s="86">
        <f>tbl_Actual_costs_quantities34[[#This Row],[Ceramic Tile Works WASH]]*BOQs!$L$12</f>
        <v>0</v>
      </c>
      <c r="AR35" s="76"/>
      <c r="AS35" s="37"/>
      <c r="AT35" s="86">
        <f>tbl_Actual_costs_quantities34[[#This Row],[Electrical Repairs Lighting]]*BOQs!$L$13</f>
        <v>0</v>
      </c>
      <c r="AU35" s="76"/>
      <c r="AV35" s="37"/>
      <c r="AW35" s="86">
        <f>tbl_Actual_costs_quantities34[[#This Row],[Roof Insulation Leak Sealing]]*BOQs!$L$14</f>
        <v>0</v>
      </c>
      <c r="AX35" s="76"/>
      <c r="AY35" s="37"/>
      <c r="AZ35" s="86">
        <f>tbl_Actual_costs_quantities34[[#This Row],[Chimney Duct Cleaning Repair]]*BOQs!$L$15</f>
        <v>0</v>
      </c>
      <c r="BA35" s="76"/>
      <c r="BB35" s="37"/>
      <c r="BC35" s="89">
        <f>tbl_Actual_costs_quantities34[[#This Row],[Accessibility Adaptations]]*BOQs!$L$16</f>
        <v>0</v>
      </c>
      <c r="BD35" s="41"/>
      <c r="BE35" s="37"/>
      <c r="BF35" s="37"/>
    </row>
    <row r="36" spans="2:58" ht="25.15" customHeight="1" x14ac:dyDescent="0.25">
      <c r="B36" s="49">
        <v>32</v>
      </c>
      <c r="C36" s="37"/>
      <c r="D36" s="41"/>
      <c r="E36" s="40"/>
      <c r="F36" s="87" t="str">
        <f>IF(tbl_Actual_costs_quantities34[[#This Row],[House Code]]&lt;&gt;"",INDEX(tbl_Assessment[],MATCH(tbl_Actual_costs_quantities34[[#This Row],[House Code]],tbl_Assessment[House Code],0),3),"")</f>
        <v/>
      </c>
      <c r="G36" s="116" t="str">
        <f>IF(tbl_Actual_costs_quantities34[[#This Row],[House Code]]&lt;&gt;"",INDEX(tbl_Assessment[],MATCH(tbl_Actual_costs_quantities34[[#This Row],[House Code]],tbl_Assessment[House Code],0),9),"")</f>
        <v/>
      </c>
      <c r="H36" s="41"/>
      <c r="I36" s="41"/>
      <c r="J36" s="41"/>
      <c r="K36" s="116"/>
      <c r="L36" s="117" t="str">
        <f>IF(tbl_Actual_costs_quantities34[[#This Row],[House Code]]&lt;&gt;"",tbl_Actual_costs_quantities34[[#This Row],[Total cost]]/INDEX(tbl_estimated_costs_quantities[],MATCH(tbl_Actual_costs_quantities34[[#This Row],[House Code]],tbl_estimated_costs_quantities[House Code],0),7),"")</f>
        <v/>
      </c>
      <c r="M3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 s="75"/>
      <c r="O36" s="37"/>
      <c r="P36" s="86">
        <f>tbl_Actual_costs_quantities34[[#This Row],[Site Preparation]]*BOQs!$L$3</f>
        <v>0</v>
      </c>
      <c r="Q36" s="76"/>
      <c r="R36" s="37"/>
      <c r="S36" s="86">
        <f>tbl_Actual_costs_quantities34[[#This Row],[Demolition Removal Unsafe Structures]]*BOQs!$L$4</f>
        <v>0</v>
      </c>
      <c r="T36" s="76"/>
      <c r="U36" s="37"/>
      <c r="V36" s="86">
        <f>tbl_Actual_costs_quantities34[[#This Row],[Concrete Works]]*BOQs!$L$5</f>
        <v>0</v>
      </c>
      <c r="W36" s="76"/>
      <c r="X36" s="37"/>
      <c r="Y36" s="86">
        <f>tbl_Actual_costs_quantities34[[#This Row],[Closure External Openings Walls Windows]]*BOQs!$L$6</f>
        <v>0</v>
      </c>
      <c r="Z36" s="76"/>
      <c r="AA36" s="37"/>
      <c r="AB36" s="86">
        <f>tbl_Actual_costs_quantities34[[#This Row],[Plastering Painting]]*BOQs!$L$7</f>
        <v>0</v>
      </c>
      <c r="AC36" s="76"/>
      <c r="AD36" s="37"/>
      <c r="AE36" s="86">
        <f>tbl_Actual_costs_quantities34[[#This Row],[Floor Repairs]]*BOQs!$L$8</f>
        <v>0</v>
      </c>
      <c r="AF36" s="76"/>
      <c r="AG36" s="37"/>
      <c r="AH36" s="86">
        <f>tbl_Actual_costs_quantities34[[#This Row],[Doors Replacement Repair]]*BOQs!$L$9</f>
        <v>0</v>
      </c>
      <c r="AI36" s="76"/>
      <c r="AJ36" s="37"/>
      <c r="AK36" s="86">
        <f>tbl_Actual_costs_quantities34[[#This Row],[Windows Replacement Repair]]*BOQs!$L$10</f>
        <v>0</v>
      </c>
      <c r="AL36" s="76"/>
      <c r="AM36" s="37"/>
      <c r="AN36" s="86">
        <f>tbl_Actual_costs_quantities34[[#This Row],[Bathroom Rehabilitation]]*BOQs!$L$11</f>
        <v>0</v>
      </c>
      <c r="AO36" s="76"/>
      <c r="AP36" s="37"/>
      <c r="AQ36" s="86">
        <f>tbl_Actual_costs_quantities34[[#This Row],[Ceramic Tile Works WASH]]*BOQs!$L$12</f>
        <v>0</v>
      </c>
      <c r="AR36" s="76"/>
      <c r="AS36" s="37"/>
      <c r="AT36" s="86">
        <f>tbl_Actual_costs_quantities34[[#This Row],[Electrical Repairs Lighting]]*BOQs!$L$13</f>
        <v>0</v>
      </c>
      <c r="AU36" s="76"/>
      <c r="AV36" s="37"/>
      <c r="AW36" s="86">
        <f>tbl_Actual_costs_quantities34[[#This Row],[Roof Insulation Leak Sealing]]*BOQs!$L$14</f>
        <v>0</v>
      </c>
      <c r="AX36" s="76"/>
      <c r="AY36" s="37"/>
      <c r="AZ36" s="86">
        <f>tbl_Actual_costs_quantities34[[#This Row],[Chimney Duct Cleaning Repair]]*BOQs!$L$15</f>
        <v>0</v>
      </c>
      <c r="BA36" s="76"/>
      <c r="BB36" s="37"/>
      <c r="BC36" s="89">
        <f>tbl_Actual_costs_quantities34[[#This Row],[Accessibility Adaptations]]*BOQs!$L$16</f>
        <v>0</v>
      </c>
      <c r="BD36" s="41"/>
      <c r="BE36" s="37"/>
      <c r="BF36" s="37"/>
    </row>
    <row r="37" spans="2:58" ht="25.15" customHeight="1" x14ac:dyDescent="0.25">
      <c r="B37" s="49">
        <v>33</v>
      </c>
      <c r="C37" s="37"/>
      <c r="D37" s="41"/>
      <c r="E37" s="40"/>
      <c r="F37" s="87" t="str">
        <f>IF(tbl_Actual_costs_quantities34[[#This Row],[House Code]]&lt;&gt;"",INDEX(tbl_Assessment[],MATCH(tbl_Actual_costs_quantities34[[#This Row],[House Code]],tbl_Assessment[House Code],0),3),"")</f>
        <v/>
      </c>
      <c r="G37" s="116" t="str">
        <f>IF(tbl_Actual_costs_quantities34[[#This Row],[House Code]]&lt;&gt;"",INDEX(tbl_Assessment[],MATCH(tbl_Actual_costs_quantities34[[#This Row],[House Code]],tbl_Assessment[House Code],0),9),"")</f>
        <v/>
      </c>
      <c r="H37" s="41"/>
      <c r="I37" s="41"/>
      <c r="J37" s="41"/>
      <c r="K37" s="116"/>
      <c r="L37" s="117" t="str">
        <f>IF(tbl_Actual_costs_quantities34[[#This Row],[House Code]]&lt;&gt;"",tbl_Actual_costs_quantities34[[#This Row],[Total cost]]/INDEX(tbl_estimated_costs_quantities[],MATCH(tbl_Actual_costs_quantities34[[#This Row],[House Code]],tbl_estimated_costs_quantities[House Code],0),7),"")</f>
        <v/>
      </c>
      <c r="M3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 s="75"/>
      <c r="O37" s="37"/>
      <c r="P37" s="86">
        <f>tbl_Actual_costs_quantities34[[#This Row],[Site Preparation]]*BOQs!$L$3</f>
        <v>0</v>
      </c>
      <c r="Q37" s="76"/>
      <c r="R37" s="37"/>
      <c r="S37" s="86">
        <f>tbl_Actual_costs_quantities34[[#This Row],[Demolition Removal Unsafe Structures]]*BOQs!$L$4</f>
        <v>0</v>
      </c>
      <c r="T37" s="76"/>
      <c r="U37" s="37"/>
      <c r="V37" s="86">
        <f>tbl_Actual_costs_quantities34[[#This Row],[Concrete Works]]*BOQs!$L$5</f>
        <v>0</v>
      </c>
      <c r="W37" s="76"/>
      <c r="X37" s="37"/>
      <c r="Y37" s="86">
        <f>tbl_Actual_costs_quantities34[[#This Row],[Closure External Openings Walls Windows]]*BOQs!$L$6</f>
        <v>0</v>
      </c>
      <c r="Z37" s="76"/>
      <c r="AA37" s="37"/>
      <c r="AB37" s="86">
        <f>tbl_Actual_costs_quantities34[[#This Row],[Plastering Painting]]*BOQs!$L$7</f>
        <v>0</v>
      </c>
      <c r="AC37" s="76"/>
      <c r="AD37" s="37"/>
      <c r="AE37" s="86">
        <f>tbl_Actual_costs_quantities34[[#This Row],[Floor Repairs]]*BOQs!$L$8</f>
        <v>0</v>
      </c>
      <c r="AF37" s="76"/>
      <c r="AG37" s="37"/>
      <c r="AH37" s="86">
        <f>tbl_Actual_costs_quantities34[[#This Row],[Doors Replacement Repair]]*BOQs!$L$9</f>
        <v>0</v>
      </c>
      <c r="AI37" s="76"/>
      <c r="AJ37" s="37"/>
      <c r="AK37" s="86">
        <f>tbl_Actual_costs_quantities34[[#This Row],[Windows Replacement Repair]]*BOQs!$L$10</f>
        <v>0</v>
      </c>
      <c r="AL37" s="76"/>
      <c r="AM37" s="37"/>
      <c r="AN37" s="86">
        <f>tbl_Actual_costs_quantities34[[#This Row],[Bathroom Rehabilitation]]*BOQs!$L$11</f>
        <v>0</v>
      </c>
      <c r="AO37" s="76"/>
      <c r="AP37" s="37"/>
      <c r="AQ37" s="86">
        <f>tbl_Actual_costs_quantities34[[#This Row],[Ceramic Tile Works WASH]]*BOQs!$L$12</f>
        <v>0</v>
      </c>
      <c r="AR37" s="76"/>
      <c r="AS37" s="37"/>
      <c r="AT37" s="86">
        <f>tbl_Actual_costs_quantities34[[#This Row],[Electrical Repairs Lighting]]*BOQs!$L$13</f>
        <v>0</v>
      </c>
      <c r="AU37" s="76"/>
      <c r="AV37" s="37"/>
      <c r="AW37" s="86">
        <f>tbl_Actual_costs_quantities34[[#This Row],[Roof Insulation Leak Sealing]]*BOQs!$L$14</f>
        <v>0</v>
      </c>
      <c r="AX37" s="76"/>
      <c r="AY37" s="37"/>
      <c r="AZ37" s="86">
        <f>tbl_Actual_costs_quantities34[[#This Row],[Chimney Duct Cleaning Repair]]*BOQs!$L$15</f>
        <v>0</v>
      </c>
      <c r="BA37" s="76"/>
      <c r="BB37" s="37"/>
      <c r="BC37" s="89">
        <f>tbl_Actual_costs_quantities34[[#This Row],[Accessibility Adaptations]]*BOQs!$L$16</f>
        <v>0</v>
      </c>
      <c r="BD37" s="41"/>
      <c r="BE37" s="37"/>
      <c r="BF37" s="37"/>
    </row>
    <row r="38" spans="2:58" ht="25.15" customHeight="1" x14ac:dyDescent="0.25">
      <c r="B38" s="49">
        <v>34</v>
      </c>
      <c r="C38" s="37"/>
      <c r="D38" s="41"/>
      <c r="E38" s="40"/>
      <c r="F38" s="87" t="str">
        <f>IF(tbl_Actual_costs_quantities34[[#This Row],[House Code]]&lt;&gt;"",INDEX(tbl_Assessment[],MATCH(tbl_Actual_costs_quantities34[[#This Row],[House Code]],tbl_Assessment[House Code],0),3),"")</f>
        <v/>
      </c>
      <c r="G38" s="116" t="str">
        <f>IF(tbl_Actual_costs_quantities34[[#This Row],[House Code]]&lt;&gt;"",INDEX(tbl_Assessment[],MATCH(tbl_Actual_costs_quantities34[[#This Row],[House Code]],tbl_Assessment[House Code],0),9),"")</f>
        <v/>
      </c>
      <c r="H38" s="41"/>
      <c r="I38" s="41"/>
      <c r="J38" s="41"/>
      <c r="K38" s="116"/>
      <c r="L38" s="117" t="str">
        <f>IF(tbl_Actual_costs_quantities34[[#This Row],[House Code]]&lt;&gt;"",tbl_Actual_costs_quantities34[[#This Row],[Total cost]]/INDEX(tbl_estimated_costs_quantities[],MATCH(tbl_Actual_costs_quantities34[[#This Row],[House Code]],tbl_estimated_costs_quantities[House Code],0),7),"")</f>
        <v/>
      </c>
      <c r="M3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 s="75"/>
      <c r="O38" s="37"/>
      <c r="P38" s="86">
        <f>tbl_Actual_costs_quantities34[[#This Row],[Site Preparation]]*BOQs!$L$3</f>
        <v>0</v>
      </c>
      <c r="Q38" s="76"/>
      <c r="R38" s="37"/>
      <c r="S38" s="86">
        <f>tbl_Actual_costs_quantities34[[#This Row],[Demolition Removal Unsafe Structures]]*BOQs!$L$4</f>
        <v>0</v>
      </c>
      <c r="T38" s="76"/>
      <c r="U38" s="37"/>
      <c r="V38" s="86">
        <f>tbl_Actual_costs_quantities34[[#This Row],[Concrete Works]]*BOQs!$L$5</f>
        <v>0</v>
      </c>
      <c r="W38" s="76"/>
      <c r="X38" s="37"/>
      <c r="Y38" s="86">
        <f>tbl_Actual_costs_quantities34[[#This Row],[Closure External Openings Walls Windows]]*BOQs!$L$6</f>
        <v>0</v>
      </c>
      <c r="Z38" s="76"/>
      <c r="AA38" s="37"/>
      <c r="AB38" s="86">
        <f>tbl_Actual_costs_quantities34[[#This Row],[Plastering Painting]]*BOQs!$L$7</f>
        <v>0</v>
      </c>
      <c r="AC38" s="76"/>
      <c r="AD38" s="37"/>
      <c r="AE38" s="86">
        <f>tbl_Actual_costs_quantities34[[#This Row],[Floor Repairs]]*BOQs!$L$8</f>
        <v>0</v>
      </c>
      <c r="AF38" s="76"/>
      <c r="AG38" s="37"/>
      <c r="AH38" s="86">
        <f>tbl_Actual_costs_quantities34[[#This Row],[Doors Replacement Repair]]*BOQs!$L$9</f>
        <v>0</v>
      </c>
      <c r="AI38" s="76"/>
      <c r="AJ38" s="37"/>
      <c r="AK38" s="86">
        <f>tbl_Actual_costs_quantities34[[#This Row],[Windows Replacement Repair]]*BOQs!$L$10</f>
        <v>0</v>
      </c>
      <c r="AL38" s="76"/>
      <c r="AM38" s="37"/>
      <c r="AN38" s="86">
        <f>tbl_Actual_costs_quantities34[[#This Row],[Bathroom Rehabilitation]]*BOQs!$L$11</f>
        <v>0</v>
      </c>
      <c r="AO38" s="76"/>
      <c r="AP38" s="37"/>
      <c r="AQ38" s="86">
        <f>tbl_Actual_costs_quantities34[[#This Row],[Ceramic Tile Works WASH]]*BOQs!$L$12</f>
        <v>0</v>
      </c>
      <c r="AR38" s="76"/>
      <c r="AS38" s="37"/>
      <c r="AT38" s="86">
        <f>tbl_Actual_costs_quantities34[[#This Row],[Electrical Repairs Lighting]]*BOQs!$L$13</f>
        <v>0</v>
      </c>
      <c r="AU38" s="76"/>
      <c r="AV38" s="37"/>
      <c r="AW38" s="86">
        <f>tbl_Actual_costs_quantities34[[#This Row],[Roof Insulation Leak Sealing]]*BOQs!$L$14</f>
        <v>0</v>
      </c>
      <c r="AX38" s="76"/>
      <c r="AY38" s="37"/>
      <c r="AZ38" s="86">
        <f>tbl_Actual_costs_quantities34[[#This Row],[Chimney Duct Cleaning Repair]]*BOQs!$L$15</f>
        <v>0</v>
      </c>
      <c r="BA38" s="76"/>
      <c r="BB38" s="37"/>
      <c r="BC38" s="89">
        <f>tbl_Actual_costs_quantities34[[#This Row],[Accessibility Adaptations]]*BOQs!$L$16</f>
        <v>0</v>
      </c>
      <c r="BD38" s="41"/>
      <c r="BE38" s="37"/>
      <c r="BF38" s="37"/>
    </row>
    <row r="39" spans="2:58" ht="25.15" customHeight="1" x14ac:dyDescent="0.25">
      <c r="B39" s="49">
        <v>35</v>
      </c>
      <c r="C39" s="37"/>
      <c r="D39" s="41"/>
      <c r="E39" s="40"/>
      <c r="F39" s="87" t="str">
        <f>IF(tbl_Actual_costs_quantities34[[#This Row],[House Code]]&lt;&gt;"",INDEX(tbl_Assessment[],MATCH(tbl_Actual_costs_quantities34[[#This Row],[House Code]],tbl_Assessment[House Code],0),3),"")</f>
        <v/>
      </c>
      <c r="G39" s="116" t="str">
        <f>IF(tbl_Actual_costs_quantities34[[#This Row],[House Code]]&lt;&gt;"",INDEX(tbl_Assessment[],MATCH(tbl_Actual_costs_quantities34[[#This Row],[House Code]],tbl_Assessment[House Code],0),9),"")</f>
        <v/>
      </c>
      <c r="H39" s="41"/>
      <c r="I39" s="41"/>
      <c r="J39" s="41"/>
      <c r="K39" s="116"/>
      <c r="L39" s="117" t="str">
        <f>IF(tbl_Actual_costs_quantities34[[#This Row],[House Code]]&lt;&gt;"",tbl_Actual_costs_quantities34[[#This Row],[Total cost]]/INDEX(tbl_estimated_costs_quantities[],MATCH(tbl_Actual_costs_quantities34[[#This Row],[House Code]],tbl_estimated_costs_quantities[House Code],0),7),"")</f>
        <v/>
      </c>
      <c r="M3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 s="75"/>
      <c r="O39" s="37"/>
      <c r="P39" s="86">
        <f>tbl_Actual_costs_quantities34[[#This Row],[Site Preparation]]*BOQs!$L$3</f>
        <v>0</v>
      </c>
      <c r="Q39" s="76"/>
      <c r="R39" s="37"/>
      <c r="S39" s="86">
        <f>tbl_Actual_costs_quantities34[[#This Row],[Demolition Removal Unsafe Structures]]*BOQs!$L$4</f>
        <v>0</v>
      </c>
      <c r="T39" s="76"/>
      <c r="U39" s="37"/>
      <c r="V39" s="86">
        <f>tbl_Actual_costs_quantities34[[#This Row],[Concrete Works]]*BOQs!$L$5</f>
        <v>0</v>
      </c>
      <c r="W39" s="76"/>
      <c r="X39" s="37"/>
      <c r="Y39" s="86">
        <f>tbl_Actual_costs_quantities34[[#This Row],[Closure External Openings Walls Windows]]*BOQs!$L$6</f>
        <v>0</v>
      </c>
      <c r="Z39" s="76"/>
      <c r="AA39" s="37"/>
      <c r="AB39" s="86">
        <f>tbl_Actual_costs_quantities34[[#This Row],[Plastering Painting]]*BOQs!$L$7</f>
        <v>0</v>
      </c>
      <c r="AC39" s="76"/>
      <c r="AD39" s="37"/>
      <c r="AE39" s="86">
        <f>tbl_Actual_costs_quantities34[[#This Row],[Floor Repairs]]*BOQs!$L$8</f>
        <v>0</v>
      </c>
      <c r="AF39" s="76"/>
      <c r="AG39" s="37"/>
      <c r="AH39" s="86">
        <f>tbl_Actual_costs_quantities34[[#This Row],[Doors Replacement Repair]]*BOQs!$L$9</f>
        <v>0</v>
      </c>
      <c r="AI39" s="76"/>
      <c r="AJ39" s="37"/>
      <c r="AK39" s="86">
        <f>tbl_Actual_costs_quantities34[[#This Row],[Windows Replacement Repair]]*BOQs!$L$10</f>
        <v>0</v>
      </c>
      <c r="AL39" s="76"/>
      <c r="AM39" s="37"/>
      <c r="AN39" s="86">
        <f>tbl_Actual_costs_quantities34[[#This Row],[Bathroom Rehabilitation]]*BOQs!$L$11</f>
        <v>0</v>
      </c>
      <c r="AO39" s="76"/>
      <c r="AP39" s="37"/>
      <c r="AQ39" s="86">
        <f>tbl_Actual_costs_quantities34[[#This Row],[Ceramic Tile Works WASH]]*BOQs!$L$12</f>
        <v>0</v>
      </c>
      <c r="AR39" s="76"/>
      <c r="AS39" s="37"/>
      <c r="AT39" s="86">
        <f>tbl_Actual_costs_quantities34[[#This Row],[Electrical Repairs Lighting]]*BOQs!$L$13</f>
        <v>0</v>
      </c>
      <c r="AU39" s="76"/>
      <c r="AV39" s="37"/>
      <c r="AW39" s="86">
        <f>tbl_Actual_costs_quantities34[[#This Row],[Roof Insulation Leak Sealing]]*BOQs!$L$14</f>
        <v>0</v>
      </c>
      <c r="AX39" s="76"/>
      <c r="AY39" s="37"/>
      <c r="AZ39" s="86">
        <f>tbl_Actual_costs_quantities34[[#This Row],[Chimney Duct Cleaning Repair]]*BOQs!$L$15</f>
        <v>0</v>
      </c>
      <c r="BA39" s="76"/>
      <c r="BB39" s="37"/>
      <c r="BC39" s="89">
        <f>tbl_Actual_costs_quantities34[[#This Row],[Accessibility Adaptations]]*BOQs!$L$16</f>
        <v>0</v>
      </c>
      <c r="BD39" s="41"/>
      <c r="BE39" s="37"/>
      <c r="BF39" s="37"/>
    </row>
    <row r="40" spans="2:58" ht="25.15" customHeight="1" x14ac:dyDescent="0.25">
      <c r="B40" s="49">
        <v>36</v>
      </c>
      <c r="C40" s="37"/>
      <c r="D40" s="41"/>
      <c r="E40" s="40"/>
      <c r="F40" s="87" t="str">
        <f>IF(tbl_Actual_costs_quantities34[[#This Row],[House Code]]&lt;&gt;"",INDEX(tbl_Assessment[],MATCH(tbl_Actual_costs_quantities34[[#This Row],[House Code]],tbl_Assessment[House Code],0),3),"")</f>
        <v/>
      </c>
      <c r="G40" s="116" t="str">
        <f>IF(tbl_Actual_costs_quantities34[[#This Row],[House Code]]&lt;&gt;"",INDEX(tbl_Assessment[],MATCH(tbl_Actual_costs_quantities34[[#This Row],[House Code]],tbl_Assessment[House Code],0),9),"")</f>
        <v/>
      </c>
      <c r="H40" s="41"/>
      <c r="I40" s="41"/>
      <c r="J40" s="41"/>
      <c r="K40" s="116"/>
      <c r="L40" s="117" t="str">
        <f>IF(tbl_Actual_costs_quantities34[[#This Row],[House Code]]&lt;&gt;"",tbl_Actual_costs_quantities34[[#This Row],[Total cost]]/INDEX(tbl_estimated_costs_quantities[],MATCH(tbl_Actual_costs_quantities34[[#This Row],[House Code]],tbl_estimated_costs_quantities[House Code],0),7),"")</f>
        <v/>
      </c>
      <c r="M4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 s="75"/>
      <c r="O40" s="37"/>
      <c r="P40" s="86">
        <f>tbl_Actual_costs_quantities34[[#This Row],[Site Preparation]]*BOQs!$L$3</f>
        <v>0</v>
      </c>
      <c r="Q40" s="76"/>
      <c r="R40" s="37"/>
      <c r="S40" s="86">
        <f>tbl_Actual_costs_quantities34[[#This Row],[Demolition Removal Unsafe Structures]]*BOQs!$L$4</f>
        <v>0</v>
      </c>
      <c r="T40" s="76"/>
      <c r="U40" s="37"/>
      <c r="V40" s="86">
        <f>tbl_Actual_costs_quantities34[[#This Row],[Concrete Works]]*BOQs!$L$5</f>
        <v>0</v>
      </c>
      <c r="W40" s="76"/>
      <c r="X40" s="37"/>
      <c r="Y40" s="86">
        <f>tbl_Actual_costs_quantities34[[#This Row],[Closure External Openings Walls Windows]]*BOQs!$L$6</f>
        <v>0</v>
      </c>
      <c r="Z40" s="76"/>
      <c r="AA40" s="37"/>
      <c r="AB40" s="86">
        <f>tbl_Actual_costs_quantities34[[#This Row],[Plastering Painting]]*BOQs!$L$7</f>
        <v>0</v>
      </c>
      <c r="AC40" s="76"/>
      <c r="AD40" s="37"/>
      <c r="AE40" s="86">
        <f>tbl_Actual_costs_quantities34[[#This Row],[Floor Repairs]]*BOQs!$L$8</f>
        <v>0</v>
      </c>
      <c r="AF40" s="76"/>
      <c r="AG40" s="37"/>
      <c r="AH40" s="86">
        <f>tbl_Actual_costs_quantities34[[#This Row],[Doors Replacement Repair]]*BOQs!$L$9</f>
        <v>0</v>
      </c>
      <c r="AI40" s="76"/>
      <c r="AJ40" s="37"/>
      <c r="AK40" s="86">
        <f>tbl_Actual_costs_quantities34[[#This Row],[Windows Replacement Repair]]*BOQs!$L$10</f>
        <v>0</v>
      </c>
      <c r="AL40" s="76"/>
      <c r="AM40" s="37"/>
      <c r="AN40" s="86">
        <f>tbl_Actual_costs_quantities34[[#This Row],[Bathroom Rehabilitation]]*BOQs!$L$11</f>
        <v>0</v>
      </c>
      <c r="AO40" s="76"/>
      <c r="AP40" s="37"/>
      <c r="AQ40" s="86">
        <f>tbl_Actual_costs_quantities34[[#This Row],[Ceramic Tile Works WASH]]*BOQs!$L$12</f>
        <v>0</v>
      </c>
      <c r="AR40" s="76"/>
      <c r="AS40" s="37"/>
      <c r="AT40" s="86">
        <f>tbl_Actual_costs_quantities34[[#This Row],[Electrical Repairs Lighting]]*BOQs!$L$13</f>
        <v>0</v>
      </c>
      <c r="AU40" s="76"/>
      <c r="AV40" s="37"/>
      <c r="AW40" s="86">
        <f>tbl_Actual_costs_quantities34[[#This Row],[Roof Insulation Leak Sealing]]*BOQs!$L$14</f>
        <v>0</v>
      </c>
      <c r="AX40" s="76"/>
      <c r="AY40" s="37"/>
      <c r="AZ40" s="86">
        <f>tbl_Actual_costs_quantities34[[#This Row],[Chimney Duct Cleaning Repair]]*BOQs!$L$15</f>
        <v>0</v>
      </c>
      <c r="BA40" s="76"/>
      <c r="BB40" s="37"/>
      <c r="BC40" s="89">
        <f>tbl_Actual_costs_quantities34[[#This Row],[Accessibility Adaptations]]*BOQs!$L$16</f>
        <v>0</v>
      </c>
      <c r="BD40" s="41"/>
      <c r="BE40" s="37"/>
      <c r="BF40" s="37"/>
    </row>
    <row r="41" spans="2:58" ht="25.15" customHeight="1" x14ac:dyDescent="0.25">
      <c r="B41" s="49">
        <v>37</v>
      </c>
      <c r="C41" s="37"/>
      <c r="D41" s="41"/>
      <c r="E41" s="40"/>
      <c r="F41" s="87" t="str">
        <f>IF(tbl_Actual_costs_quantities34[[#This Row],[House Code]]&lt;&gt;"",INDEX(tbl_Assessment[],MATCH(tbl_Actual_costs_quantities34[[#This Row],[House Code]],tbl_Assessment[House Code],0),3),"")</f>
        <v/>
      </c>
      <c r="G41" s="116" t="str">
        <f>IF(tbl_Actual_costs_quantities34[[#This Row],[House Code]]&lt;&gt;"",INDEX(tbl_Assessment[],MATCH(tbl_Actual_costs_quantities34[[#This Row],[House Code]],tbl_Assessment[House Code],0),9),"")</f>
        <v/>
      </c>
      <c r="H41" s="41"/>
      <c r="I41" s="41"/>
      <c r="J41" s="41"/>
      <c r="K41" s="116"/>
      <c r="L41" s="117" t="str">
        <f>IF(tbl_Actual_costs_quantities34[[#This Row],[House Code]]&lt;&gt;"",tbl_Actual_costs_quantities34[[#This Row],[Total cost]]/INDEX(tbl_estimated_costs_quantities[],MATCH(tbl_Actual_costs_quantities34[[#This Row],[House Code]],tbl_estimated_costs_quantities[House Code],0),7),"")</f>
        <v/>
      </c>
      <c r="M4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 s="75"/>
      <c r="O41" s="37"/>
      <c r="P41" s="86">
        <f>tbl_Actual_costs_quantities34[[#This Row],[Site Preparation]]*BOQs!$L$3</f>
        <v>0</v>
      </c>
      <c r="Q41" s="76"/>
      <c r="R41" s="37"/>
      <c r="S41" s="86">
        <f>tbl_Actual_costs_quantities34[[#This Row],[Demolition Removal Unsafe Structures]]*BOQs!$L$4</f>
        <v>0</v>
      </c>
      <c r="T41" s="76"/>
      <c r="U41" s="37"/>
      <c r="V41" s="86">
        <f>tbl_Actual_costs_quantities34[[#This Row],[Concrete Works]]*BOQs!$L$5</f>
        <v>0</v>
      </c>
      <c r="W41" s="76"/>
      <c r="X41" s="37"/>
      <c r="Y41" s="86">
        <f>tbl_Actual_costs_quantities34[[#This Row],[Closure External Openings Walls Windows]]*BOQs!$L$6</f>
        <v>0</v>
      </c>
      <c r="Z41" s="76"/>
      <c r="AA41" s="37"/>
      <c r="AB41" s="86">
        <f>tbl_Actual_costs_quantities34[[#This Row],[Plastering Painting]]*BOQs!$L$7</f>
        <v>0</v>
      </c>
      <c r="AC41" s="76"/>
      <c r="AD41" s="37"/>
      <c r="AE41" s="86">
        <f>tbl_Actual_costs_quantities34[[#This Row],[Floor Repairs]]*BOQs!$L$8</f>
        <v>0</v>
      </c>
      <c r="AF41" s="76"/>
      <c r="AG41" s="37"/>
      <c r="AH41" s="86">
        <f>tbl_Actual_costs_quantities34[[#This Row],[Doors Replacement Repair]]*BOQs!$L$9</f>
        <v>0</v>
      </c>
      <c r="AI41" s="76"/>
      <c r="AJ41" s="37"/>
      <c r="AK41" s="86">
        <f>tbl_Actual_costs_quantities34[[#This Row],[Windows Replacement Repair]]*BOQs!$L$10</f>
        <v>0</v>
      </c>
      <c r="AL41" s="76"/>
      <c r="AM41" s="37"/>
      <c r="AN41" s="86">
        <f>tbl_Actual_costs_quantities34[[#This Row],[Bathroom Rehabilitation]]*BOQs!$L$11</f>
        <v>0</v>
      </c>
      <c r="AO41" s="76"/>
      <c r="AP41" s="37"/>
      <c r="AQ41" s="86">
        <f>tbl_Actual_costs_quantities34[[#This Row],[Ceramic Tile Works WASH]]*BOQs!$L$12</f>
        <v>0</v>
      </c>
      <c r="AR41" s="76"/>
      <c r="AS41" s="37"/>
      <c r="AT41" s="86">
        <f>tbl_Actual_costs_quantities34[[#This Row],[Electrical Repairs Lighting]]*BOQs!$L$13</f>
        <v>0</v>
      </c>
      <c r="AU41" s="76"/>
      <c r="AV41" s="37"/>
      <c r="AW41" s="86">
        <f>tbl_Actual_costs_quantities34[[#This Row],[Roof Insulation Leak Sealing]]*BOQs!$L$14</f>
        <v>0</v>
      </c>
      <c r="AX41" s="76"/>
      <c r="AY41" s="37"/>
      <c r="AZ41" s="86">
        <f>tbl_Actual_costs_quantities34[[#This Row],[Chimney Duct Cleaning Repair]]*BOQs!$L$15</f>
        <v>0</v>
      </c>
      <c r="BA41" s="76"/>
      <c r="BB41" s="37"/>
      <c r="BC41" s="89">
        <f>tbl_Actual_costs_quantities34[[#This Row],[Accessibility Adaptations]]*BOQs!$L$16</f>
        <v>0</v>
      </c>
      <c r="BD41" s="41"/>
      <c r="BE41" s="37"/>
      <c r="BF41" s="37"/>
    </row>
    <row r="42" spans="2:58" ht="25.15" customHeight="1" x14ac:dyDescent="0.25">
      <c r="B42" s="49">
        <v>38</v>
      </c>
      <c r="C42" s="37"/>
      <c r="D42" s="41"/>
      <c r="E42" s="40"/>
      <c r="F42" s="87" t="str">
        <f>IF(tbl_Actual_costs_quantities34[[#This Row],[House Code]]&lt;&gt;"",INDEX(tbl_Assessment[],MATCH(tbl_Actual_costs_quantities34[[#This Row],[House Code]],tbl_Assessment[House Code],0),3),"")</f>
        <v/>
      </c>
      <c r="G42" s="116" t="str">
        <f>IF(tbl_Actual_costs_quantities34[[#This Row],[House Code]]&lt;&gt;"",INDEX(tbl_Assessment[],MATCH(tbl_Actual_costs_quantities34[[#This Row],[House Code]],tbl_Assessment[House Code],0),9),"")</f>
        <v/>
      </c>
      <c r="H42" s="41"/>
      <c r="I42" s="41"/>
      <c r="J42" s="41"/>
      <c r="K42" s="116"/>
      <c r="L42" s="117" t="str">
        <f>IF(tbl_Actual_costs_quantities34[[#This Row],[House Code]]&lt;&gt;"",tbl_Actual_costs_quantities34[[#This Row],[Total cost]]/INDEX(tbl_estimated_costs_quantities[],MATCH(tbl_Actual_costs_quantities34[[#This Row],[House Code]],tbl_estimated_costs_quantities[House Code],0),7),"")</f>
        <v/>
      </c>
      <c r="M4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 s="75"/>
      <c r="O42" s="37"/>
      <c r="P42" s="86">
        <f>tbl_Actual_costs_quantities34[[#This Row],[Site Preparation]]*BOQs!$L$3</f>
        <v>0</v>
      </c>
      <c r="Q42" s="76"/>
      <c r="R42" s="37"/>
      <c r="S42" s="86">
        <f>tbl_Actual_costs_quantities34[[#This Row],[Demolition Removal Unsafe Structures]]*BOQs!$L$4</f>
        <v>0</v>
      </c>
      <c r="T42" s="76"/>
      <c r="U42" s="37"/>
      <c r="V42" s="86">
        <f>tbl_Actual_costs_quantities34[[#This Row],[Concrete Works]]*BOQs!$L$5</f>
        <v>0</v>
      </c>
      <c r="W42" s="76"/>
      <c r="X42" s="37"/>
      <c r="Y42" s="86">
        <f>tbl_Actual_costs_quantities34[[#This Row],[Closure External Openings Walls Windows]]*BOQs!$L$6</f>
        <v>0</v>
      </c>
      <c r="Z42" s="76"/>
      <c r="AA42" s="37"/>
      <c r="AB42" s="86">
        <f>tbl_Actual_costs_quantities34[[#This Row],[Plastering Painting]]*BOQs!$L$7</f>
        <v>0</v>
      </c>
      <c r="AC42" s="76"/>
      <c r="AD42" s="37"/>
      <c r="AE42" s="86">
        <f>tbl_Actual_costs_quantities34[[#This Row],[Floor Repairs]]*BOQs!$L$8</f>
        <v>0</v>
      </c>
      <c r="AF42" s="76"/>
      <c r="AG42" s="37"/>
      <c r="AH42" s="86">
        <f>tbl_Actual_costs_quantities34[[#This Row],[Doors Replacement Repair]]*BOQs!$L$9</f>
        <v>0</v>
      </c>
      <c r="AI42" s="76"/>
      <c r="AJ42" s="37"/>
      <c r="AK42" s="86">
        <f>tbl_Actual_costs_quantities34[[#This Row],[Windows Replacement Repair]]*BOQs!$L$10</f>
        <v>0</v>
      </c>
      <c r="AL42" s="76"/>
      <c r="AM42" s="37"/>
      <c r="AN42" s="86">
        <f>tbl_Actual_costs_quantities34[[#This Row],[Bathroom Rehabilitation]]*BOQs!$L$11</f>
        <v>0</v>
      </c>
      <c r="AO42" s="76"/>
      <c r="AP42" s="37"/>
      <c r="AQ42" s="86">
        <f>tbl_Actual_costs_quantities34[[#This Row],[Ceramic Tile Works WASH]]*BOQs!$L$12</f>
        <v>0</v>
      </c>
      <c r="AR42" s="76"/>
      <c r="AS42" s="37"/>
      <c r="AT42" s="86">
        <f>tbl_Actual_costs_quantities34[[#This Row],[Electrical Repairs Lighting]]*BOQs!$L$13</f>
        <v>0</v>
      </c>
      <c r="AU42" s="76"/>
      <c r="AV42" s="37"/>
      <c r="AW42" s="86">
        <f>tbl_Actual_costs_quantities34[[#This Row],[Roof Insulation Leak Sealing]]*BOQs!$L$14</f>
        <v>0</v>
      </c>
      <c r="AX42" s="76"/>
      <c r="AY42" s="37"/>
      <c r="AZ42" s="86">
        <f>tbl_Actual_costs_quantities34[[#This Row],[Chimney Duct Cleaning Repair]]*BOQs!$L$15</f>
        <v>0</v>
      </c>
      <c r="BA42" s="76"/>
      <c r="BB42" s="37"/>
      <c r="BC42" s="89">
        <f>tbl_Actual_costs_quantities34[[#This Row],[Accessibility Adaptations]]*BOQs!$L$16</f>
        <v>0</v>
      </c>
      <c r="BD42" s="41"/>
      <c r="BE42" s="37"/>
      <c r="BF42" s="37"/>
    </row>
    <row r="43" spans="2:58" ht="25.15" customHeight="1" x14ac:dyDescent="0.25">
      <c r="B43" s="49">
        <v>39</v>
      </c>
      <c r="C43" s="37"/>
      <c r="D43" s="41"/>
      <c r="E43" s="40"/>
      <c r="F43" s="87" t="str">
        <f>IF(tbl_Actual_costs_quantities34[[#This Row],[House Code]]&lt;&gt;"",INDEX(tbl_Assessment[],MATCH(tbl_Actual_costs_quantities34[[#This Row],[House Code]],tbl_Assessment[House Code],0),3),"")</f>
        <v/>
      </c>
      <c r="G43" s="116" t="str">
        <f>IF(tbl_Actual_costs_quantities34[[#This Row],[House Code]]&lt;&gt;"",INDEX(tbl_Assessment[],MATCH(tbl_Actual_costs_quantities34[[#This Row],[House Code]],tbl_Assessment[House Code],0),9),"")</f>
        <v/>
      </c>
      <c r="H43" s="41"/>
      <c r="I43" s="41"/>
      <c r="J43" s="41"/>
      <c r="K43" s="116"/>
      <c r="L43" s="117" t="str">
        <f>IF(tbl_Actual_costs_quantities34[[#This Row],[House Code]]&lt;&gt;"",tbl_Actual_costs_quantities34[[#This Row],[Total cost]]/INDEX(tbl_estimated_costs_quantities[],MATCH(tbl_Actual_costs_quantities34[[#This Row],[House Code]],tbl_estimated_costs_quantities[House Code],0),7),"")</f>
        <v/>
      </c>
      <c r="M4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 s="75"/>
      <c r="O43" s="37"/>
      <c r="P43" s="86">
        <f>tbl_Actual_costs_quantities34[[#This Row],[Site Preparation]]*BOQs!$L$3</f>
        <v>0</v>
      </c>
      <c r="Q43" s="76"/>
      <c r="R43" s="37"/>
      <c r="S43" s="86">
        <f>tbl_Actual_costs_quantities34[[#This Row],[Demolition Removal Unsafe Structures]]*BOQs!$L$4</f>
        <v>0</v>
      </c>
      <c r="T43" s="76"/>
      <c r="U43" s="37"/>
      <c r="V43" s="86">
        <f>tbl_Actual_costs_quantities34[[#This Row],[Concrete Works]]*BOQs!$L$5</f>
        <v>0</v>
      </c>
      <c r="W43" s="76"/>
      <c r="X43" s="37"/>
      <c r="Y43" s="86">
        <f>tbl_Actual_costs_quantities34[[#This Row],[Closure External Openings Walls Windows]]*BOQs!$L$6</f>
        <v>0</v>
      </c>
      <c r="Z43" s="76"/>
      <c r="AA43" s="37"/>
      <c r="AB43" s="86">
        <f>tbl_Actual_costs_quantities34[[#This Row],[Plastering Painting]]*BOQs!$L$7</f>
        <v>0</v>
      </c>
      <c r="AC43" s="76"/>
      <c r="AD43" s="37"/>
      <c r="AE43" s="86">
        <f>tbl_Actual_costs_quantities34[[#This Row],[Floor Repairs]]*BOQs!$L$8</f>
        <v>0</v>
      </c>
      <c r="AF43" s="76"/>
      <c r="AG43" s="37"/>
      <c r="AH43" s="86">
        <f>tbl_Actual_costs_quantities34[[#This Row],[Doors Replacement Repair]]*BOQs!$L$9</f>
        <v>0</v>
      </c>
      <c r="AI43" s="76"/>
      <c r="AJ43" s="37"/>
      <c r="AK43" s="86">
        <f>tbl_Actual_costs_quantities34[[#This Row],[Windows Replacement Repair]]*BOQs!$L$10</f>
        <v>0</v>
      </c>
      <c r="AL43" s="76"/>
      <c r="AM43" s="37"/>
      <c r="AN43" s="86">
        <f>tbl_Actual_costs_quantities34[[#This Row],[Bathroom Rehabilitation]]*BOQs!$L$11</f>
        <v>0</v>
      </c>
      <c r="AO43" s="76"/>
      <c r="AP43" s="37"/>
      <c r="AQ43" s="86">
        <f>tbl_Actual_costs_quantities34[[#This Row],[Ceramic Tile Works WASH]]*BOQs!$L$12</f>
        <v>0</v>
      </c>
      <c r="AR43" s="76"/>
      <c r="AS43" s="37"/>
      <c r="AT43" s="86">
        <f>tbl_Actual_costs_quantities34[[#This Row],[Electrical Repairs Lighting]]*BOQs!$L$13</f>
        <v>0</v>
      </c>
      <c r="AU43" s="76"/>
      <c r="AV43" s="37"/>
      <c r="AW43" s="86">
        <f>tbl_Actual_costs_quantities34[[#This Row],[Roof Insulation Leak Sealing]]*BOQs!$L$14</f>
        <v>0</v>
      </c>
      <c r="AX43" s="76"/>
      <c r="AY43" s="37"/>
      <c r="AZ43" s="86">
        <f>tbl_Actual_costs_quantities34[[#This Row],[Chimney Duct Cleaning Repair]]*BOQs!$L$15</f>
        <v>0</v>
      </c>
      <c r="BA43" s="76"/>
      <c r="BB43" s="37"/>
      <c r="BC43" s="89">
        <f>tbl_Actual_costs_quantities34[[#This Row],[Accessibility Adaptations]]*BOQs!$L$16</f>
        <v>0</v>
      </c>
      <c r="BD43" s="41"/>
      <c r="BE43" s="37"/>
      <c r="BF43" s="37"/>
    </row>
    <row r="44" spans="2:58" ht="25.15" customHeight="1" x14ac:dyDescent="0.25">
      <c r="B44" s="49">
        <v>40</v>
      </c>
      <c r="C44" s="37"/>
      <c r="D44" s="41"/>
      <c r="E44" s="40"/>
      <c r="F44" s="87" t="str">
        <f>IF(tbl_Actual_costs_quantities34[[#This Row],[House Code]]&lt;&gt;"",INDEX(tbl_Assessment[],MATCH(tbl_Actual_costs_quantities34[[#This Row],[House Code]],tbl_Assessment[House Code],0),3),"")</f>
        <v/>
      </c>
      <c r="G44" s="116" t="str">
        <f>IF(tbl_Actual_costs_quantities34[[#This Row],[House Code]]&lt;&gt;"",INDEX(tbl_Assessment[],MATCH(tbl_Actual_costs_quantities34[[#This Row],[House Code]],tbl_Assessment[House Code],0),9),"")</f>
        <v/>
      </c>
      <c r="H44" s="41"/>
      <c r="I44" s="41"/>
      <c r="J44" s="41"/>
      <c r="K44" s="116"/>
      <c r="L44" s="117" t="str">
        <f>IF(tbl_Actual_costs_quantities34[[#This Row],[House Code]]&lt;&gt;"",tbl_Actual_costs_quantities34[[#This Row],[Total cost]]/INDEX(tbl_estimated_costs_quantities[],MATCH(tbl_Actual_costs_quantities34[[#This Row],[House Code]],tbl_estimated_costs_quantities[House Code],0),7),"")</f>
        <v/>
      </c>
      <c r="M4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 s="75"/>
      <c r="O44" s="37"/>
      <c r="P44" s="86">
        <f>tbl_Actual_costs_quantities34[[#This Row],[Site Preparation]]*BOQs!$L$3</f>
        <v>0</v>
      </c>
      <c r="Q44" s="76"/>
      <c r="R44" s="37"/>
      <c r="S44" s="86">
        <f>tbl_Actual_costs_quantities34[[#This Row],[Demolition Removal Unsafe Structures]]*BOQs!$L$4</f>
        <v>0</v>
      </c>
      <c r="T44" s="76"/>
      <c r="U44" s="37"/>
      <c r="V44" s="86">
        <f>tbl_Actual_costs_quantities34[[#This Row],[Concrete Works]]*BOQs!$L$5</f>
        <v>0</v>
      </c>
      <c r="W44" s="76"/>
      <c r="X44" s="37"/>
      <c r="Y44" s="86">
        <f>tbl_Actual_costs_quantities34[[#This Row],[Closure External Openings Walls Windows]]*BOQs!$L$6</f>
        <v>0</v>
      </c>
      <c r="Z44" s="76"/>
      <c r="AA44" s="37"/>
      <c r="AB44" s="86">
        <f>tbl_Actual_costs_quantities34[[#This Row],[Plastering Painting]]*BOQs!$L$7</f>
        <v>0</v>
      </c>
      <c r="AC44" s="76"/>
      <c r="AD44" s="37"/>
      <c r="AE44" s="86">
        <f>tbl_Actual_costs_quantities34[[#This Row],[Floor Repairs]]*BOQs!$L$8</f>
        <v>0</v>
      </c>
      <c r="AF44" s="76"/>
      <c r="AG44" s="37"/>
      <c r="AH44" s="86">
        <f>tbl_Actual_costs_quantities34[[#This Row],[Doors Replacement Repair]]*BOQs!$L$9</f>
        <v>0</v>
      </c>
      <c r="AI44" s="76"/>
      <c r="AJ44" s="37"/>
      <c r="AK44" s="86">
        <f>tbl_Actual_costs_quantities34[[#This Row],[Windows Replacement Repair]]*BOQs!$L$10</f>
        <v>0</v>
      </c>
      <c r="AL44" s="76"/>
      <c r="AM44" s="37"/>
      <c r="AN44" s="86">
        <f>tbl_Actual_costs_quantities34[[#This Row],[Bathroom Rehabilitation]]*BOQs!$L$11</f>
        <v>0</v>
      </c>
      <c r="AO44" s="76"/>
      <c r="AP44" s="37"/>
      <c r="AQ44" s="86">
        <f>tbl_Actual_costs_quantities34[[#This Row],[Ceramic Tile Works WASH]]*BOQs!$L$12</f>
        <v>0</v>
      </c>
      <c r="AR44" s="76"/>
      <c r="AS44" s="37"/>
      <c r="AT44" s="86">
        <f>tbl_Actual_costs_quantities34[[#This Row],[Electrical Repairs Lighting]]*BOQs!$L$13</f>
        <v>0</v>
      </c>
      <c r="AU44" s="76"/>
      <c r="AV44" s="37"/>
      <c r="AW44" s="86">
        <f>tbl_Actual_costs_quantities34[[#This Row],[Roof Insulation Leak Sealing]]*BOQs!$L$14</f>
        <v>0</v>
      </c>
      <c r="AX44" s="76"/>
      <c r="AY44" s="37"/>
      <c r="AZ44" s="86">
        <f>tbl_Actual_costs_quantities34[[#This Row],[Chimney Duct Cleaning Repair]]*BOQs!$L$15</f>
        <v>0</v>
      </c>
      <c r="BA44" s="76"/>
      <c r="BB44" s="37"/>
      <c r="BC44" s="89">
        <f>tbl_Actual_costs_quantities34[[#This Row],[Accessibility Adaptations]]*BOQs!$L$16</f>
        <v>0</v>
      </c>
      <c r="BD44" s="41"/>
      <c r="BE44" s="37"/>
      <c r="BF44" s="37"/>
    </row>
    <row r="45" spans="2:58" ht="25.15" customHeight="1" x14ac:dyDescent="0.25">
      <c r="B45" s="49">
        <v>41</v>
      </c>
      <c r="C45" s="37"/>
      <c r="D45" s="41"/>
      <c r="E45" s="40"/>
      <c r="F45" s="87" t="str">
        <f>IF(tbl_Actual_costs_quantities34[[#This Row],[House Code]]&lt;&gt;"",INDEX(tbl_Assessment[],MATCH(tbl_Actual_costs_quantities34[[#This Row],[House Code]],tbl_Assessment[House Code],0),3),"")</f>
        <v/>
      </c>
      <c r="G45" s="116" t="str">
        <f>IF(tbl_Actual_costs_quantities34[[#This Row],[House Code]]&lt;&gt;"",INDEX(tbl_Assessment[],MATCH(tbl_Actual_costs_quantities34[[#This Row],[House Code]],tbl_Assessment[House Code],0),9),"")</f>
        <v/>
      </c>
      <c r="H45" s="41"/>
      <c r="I45" s="41"/>
      <c r="J45" s="41"/>
      <c r="K45" s="116"/>
      <c r="L45" s="117" t="str">
        <f>IF(tbl_Actual_costs_quantities34[[#This Row],[House Code]]&lt;&gt;"",tbl_Actual_costs_quantities34[[#This Row],[Total cost]]/INDEX(tbl_estimated_costs_quantities[],MATCH(tbl_Actual_costs_quantities34[[#This Row],[House Code]],tbl_estimated_costs_quantities[House Code],0),7),"")</f>
        <v/>
      </c>
      <c r="M4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 s="75"/>
      <c r="O45" s="37"/>
      <c r="P45" s="86">
        <f>tbl_Actual_costs_quantities34[[#This Row],[Site Preparation]]*BOQs!$L$3</f>
        <v>0</v>
      </c>
      <c r="Q45" s="76"/>
      <c r="R45" s="37"/>
      <c r="S45" s="86">
        <f>tbl_Actual_costs_quantities34[[#This Row],[Demolition Removal Unsafe Structures]]*BOQs!$L$4</f>
        <v>0</v>
      </c>
      <c r="T45" s="76"/>
      <c r="U45" s="37"/>
      <c r="V45" s="86">
        <f>tbl_Actual_costs_quantities34[[#This Row],[Concrete Works]]*BOQs!$L$5</f>
        <v>0</v>
      </c>
      <c r="W45" s="76"/>
      <c r="X45" s="37"/>
      <c r="Y45" s="86">
        <f>tbl_Actual_costs_quantities34[[#This Row],[Closure External Openings Walls Windows]]*BOQs!$L$6</f>
        <v>0</v>
      </c>
      <c r="Z45" s="76"/>
      <c r="AA45" s="37"/>
      <c r="AB45" s="86">
        <f>tbl_Actual_costs_quantities34[[#This Row],[Plastering Painting]]*BOQs!$L$7</f>
        <v>0</v>
      </c>
      <c r="AC45" s="76"/>
      <c r="AD45" s="37"/>
      <c r="AE45" s="86">
        <f>tbl_Actual_costs_quantities34[[#This Row],[Floor Repairs]]*BOQs!$L$8</f>
        <v>0</v>
      </c>
      <c r="AF45" s="76"/>
      <c r="AG45" s="37"/>
      <c r="AH45" s="86">
        <f>tbl_Actual_costs_quantities34[[#This Row],[Doors Replacement Repair]]*BOQs!$L$9</f>
        <v>0</v>
      </c>
      <c r="AI45" s="76"/>
      <c r="AJ45" s="37"/>
      <c r="AK45" s="86">
        <f>tbl_Actual_costs_quantities34[[#This Row],[Windows Replacement Repair]]*BOQs!$L$10</f>
        <v>0</v>
      </c>
      <c r="AL45" s="76"/>
      <c r="AM45" s="37"/>
      <c r="AN45" s="86">
        <f>tbl_Actual_costs_quantities34[[#This Row],[Bathroom Rehabilitation]]*BOQs!$L$11</f>
        <v>0</v>
      </c>
      <c r="AO45" s="76"/>
      <c r="AP45" s="37"/>
      <c r="AQ45" s="86">
        <f>tbl_Actual_costs_quantities34[[#This Row],[Ceramic Tile Works WASH]]*BOQs!$L$12</f>
        <v>0</v>
      </c>
      <c r="AR45" s="76"/>
      <c r="AS45" s="37"/>
      <c r="AT45" s="86">
        <f>tbl_Actual_costs_quantities34[[#This Row],[Electrical Repairs Lighting]]*BOQs!$L$13</f>
        <v>0</v>
      </c>
      <c r="AU45" s="76"/>
      <c r="AV45" s="37"/>
      <c r="AW45" s="86">
        <f>tbl_Actual_costs_quantities34[[#This Row],[Roof Insulation Leak Sealing]]*BOQs!$L$14</f>
        <v>0</v>
      </c>
      <c r="AX45" s="76"/>
      <c r="AY45" s="37"/>
      <c r="AZ45" s="86">
        <f>tbl_Actual_costs_quantities34[[#This Row],[Chimney Duct Cleaning Repair]]*BOQs!$L$15</f>
        <v>0</v>
      </c>
      <c r="BA45" s="76"/>
      <c r="BB45" s="37"/>
      <c r="BC45" s="89">
        <f>tbl_Actual_costs_quantities34[[#This Row],[Accessibility Adaptations]]*BOQs!$L$16</f>
        <v>0</v>
      </c>
      <c r="BD45" s="41"/>
      <c r="BE45" s="37"/>
      <c r="BF45" s="37"/>
    </row>
    <row r="46" spans="2:58" ht="25.15" customHeight="1" x14ac:dyDescent="0.25">
      <c r="B46" s="49">
        <v>42</v>
      </c>
      <c r="C46" s="37"/>
      <c r="D46" s="41"/>
      <c r="E46" s="40"/>
      <c r="F46" s="87" t="str">
        <f>IF(tbl_Actual_costs_quantities34[[#This Row],[House Code]]&lt;&gt;"",INDEX(tbl_Assessment[],MATCH(tbl_Actual_costs_quantities34[[#This Row],[House Code]],tbl_Assessment[House Code],0),3),"")</f>
        <v/>
      </c>
      <c r="G46" s="116" t="str">
        <f>IF(tbl_Actual_costs_quantities34[[#This Row],[House Code]]&lt;&gt;"",INDEX(tbl_Assessment[],MATCH(tbl_Actual_costs_quantities34[[#This Row],[House Code]],tbl_Assessment[House Code],0),9),"")</f>
        <v/>
      </c>
      <c r="H46" s="41"/>
      <c r="I46" s="41"/>
      <c r="J46" s="41"/>
      <c r="K46" s="116"/>
      <c r="L46" s="117" t="str">
        <f>IF(tbl_Actual_costs_quantities34[[#This Row],[House Code]]&lt;&gt;"",tbl_Actual_costs_quantities34[[#This Row],[Total cost]]/INDEX(tbl_estimated_costs_quantities[],MATCH(tbl_Actual_costs_quantities34[[#This Row],[House Code]],tbl_estimated_costs_quantities[House Code],0),7),"")</f>
        <v/>
      </c>
      <c r="M4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 s="75"/>
      <c r="O46" s="37"/>
      <c r="P46" s="86">
        <f>tbl_Actual_costs_quantities34[[#This Row],[Site Preparation]]*BOQs!$L$3</f>
        <v>0</v>
      </c>
      <c r="Q46" s="76"/>
      <c r="R46" s="37"/>
      <c r="S46" s="86">
        <f>tbl_Actual_costs_quantities34[[#This Row],[Demolition Removal Unsafe Structures]]*BOQs!$L$4</f>
        <v>0</v>
      </c>
      <c r="T46" s="76"/>
      <c r="U46" s="37"/>
      <c r="V46" s="86">
        <f>tbl_Actual_costs_quantities34[[#This Row],[Concrete Works]]*BOQs!$L$5</f>
        <v>0</v>
      </c>
      <c r="W46" s="76"/>
      <c r="X46" s="37"/>
      <c r="Y46" s="86">
        <f>tbl_Actual_costs_quantities34[[#This Row],[Closure External Openings Walls Windows]]*BOQs!$L$6</f>
        <v>0</v>
      </c>
      <c r="Z46" s="76"/>
      <c r="AA46" s="37"/>
      <c r="AB46" s="86">
        <f>tbl_Actual_costs_quantities34[[#This Row],[Plastering Painting]]*BOQs!$L$7</f>
        <v>0</v>
      </c>
      <c r="AC46" s="76"/>
      <c r="AD46" s="37"/>
      <c r="AE46" s="86">
        <f>tbl_Actual_costs_quantities34[[#This Row],[Floor Repairs]]*BOQs!$L$8</f>
        <v>0</v>
      </c>
      <c r="AF46" s="76"/>
      <c r="AG46" s="37"/>
      <c r="AH46" s="86">
        <f>tbl_Actual_costs_quantities34[[#This Row],[Doors Replacement Repair]]*BOQs!$L$9</f>
        <v>0</v>
      </c>
      <c r="AI46" s="76"/>
      <c r="AJ46" s="37"/>
      <c r="AK46" s="86">
        <f>tbl_Actual_costs_quantities34[[#This Row],[Windows Replacement Repair]]*BOQs!$L$10</f>
        <v>0</v>
      </c>
      <c r="AL46" s="76"/>
      <c r="AM46" s="37"/>
      <c r="AN46" s="86">
        <f>tbl_Actual_costs_quantities34[[#This Row],[Bathroom Rehabilitation]]*BOQs!$L$11</f>
        <v>0</v>
      </c>
      <c r="AO46" s="76"/>
      <c r="AP46" s="37"/>
      <c r="AQ46" s="86">
        <f>tbl_Actual_costs_quantities34[[#This Row],[Ceramic Tile Works WASH]]*BOQs!$L$12</f>
        <v>0</v>
      </c>
      <c r="AR46" s="76"/>
      <c r="AS46" s="37"/>
      <c r="AT46" s="86">
        <f>tbl_Actual_costs_quantities34[[#This Row],[Electrical Repairs Lighting]]*BOQs!$L$13</f>
        <v>0</v>
      </c>
      <c r="AU46" s="76"/>
      <c r="AV46" s="37"/>
      <c r="AW46" s="86">
        <f>tbl_Actual_costs_quantities34[[#This Row],[Roof Insulation Leak Sealing]]*BOQs!$L$14</f>
        <v>0</v>
      </c>
      <c r="AX46" s="76"/>
      <c r="AY46" s="37"/>
      <c r="AZ46" s="86">
        <f>tbl_Actual_costs_quantities34[[#This Row],[Chimney Duct Cleaning Repair]]*BOQs!$L$15</f>
        <v>0</v>
      </c>
      <c r="BA46" s="76"/>
      <c r="BB46" s="37"/>
      <c r="BC46" s="89">
        <f>tbl_Actual_costs_quantities34[[#This Row],[Accessibility Adaptations]]*BOQs!$L$16</f>
        <v>0</v>
      </c>
      <c r="BD46" s="41"/>
      <c r="BE46" s="37"/>
      <c r="BF46" s="37"/>
    </row>
    <row r="47" spans="2:58" ht="25.15" customHeight="1" x14ac:dyDescent="0.25">
      <c r="B47" s="49">
        <v>43</v>
      </c>
      <c r="C47" s="37"/>
      <c r="D47" s="41"/>
      <c r="E47" s="40"/>
      <c r="F47" s="87" t="str">
        <f>IF(tbl_Actual_costs_quantities34[[#This Row],[House Code]]&lt;&gt;"",INDEX(tbl_Assessment[],MATCH(tbl_Actual_costs_quantities34[[#This Row],[House Code]],tbl_Assessment[House Code],0),3),"")</f>
        <v/>
      </c>
      <c r="G47" s="116" t="str">
        <f>IF(tbl_Actual_costs_quantities34[[#This Row],[House Code]]&lt;&gt;"",INDEX(tbl_Assessment[],MATCH(tbl_Actual_costs_quantities34[[#This Row],[House Code]],tbl_Assessment[House Code],0),9),"")</f>
        <v/>
      </c>
      <c r="H47" s="41"/>
      <c r="I47" s="41"/>
      <c r="J47" s="41"/>
      <c r="K47" s="116"/>
      <c r="L47" s="117" t="str">
        <f>IF(tbl_Actual_costs_quantities34[[#This Row],[House Code]]&lt;&gt;"",tbl_Actual_costs_quantities34[[#This Row],[Total cost]]/INDEX(tbl_estimated_costs_quantities[],MATCH(tbl_Actual_costs_quantities34[[#This Row],[House Code]],tbl_estimated_costs_quantities[House Code],0),7),"")</f>
        <v/>
      </c>
      <c r="M4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 s="75"/>
      <c r="O47" s="37"/>
      <c r="P47" s="86">
        <f>tbl_Actual_costs_quantities34[[#This Row],[Site Preparation]]*BOQs!$L$3</f>
        <v>0</v>
      </c>
      <c r="Q47" s="76"/>
      <c r="R47" s="37"/>
      <c r="S47" s="86">
        <f>tbl_Actual_costs_quantities34[[#This Row],[Demolition Removal Unsafe Structures]]*BOQs!$L$4</f>
        <v>0</v>
      </c>
      <c r="T47" s="76"/>
      <c r="U47" s="37"/>
      <c r="V47" s="86">
        <f>tbl_Actual_costs_quantities34[[#This Row],[Concrete Works]]*BOQs!$L$5</f>
        <v>0</v>
      </c>
      <c r="W47" s="76"/>
      <c r="X47" s="37"/>
      <c r="Y47" s="86">
        <f>tbl_Actual_costs_quantities34[[#This Row],[Closure External Openings Walls Windows]]*BOQs!$L$6</f>
        <v>0</v>
      </c>
      <c r="Z47" s="76"/>
      <c r="AA47" s="37"/>
      <c r="AB47" s="86">
        <f>tbl_Actual_costs_quantities34[[#This Row],[Plastering Painting]]*BOQs!$L$7</f>
        <v>0</v>
      </c>
      <c r="AC47" s="76"/>
      <c r="AD47" s="37"/>
      <c r="AE47" s="86">
        <f>tbl_Actual_costs_quantities34[[#This Row],[Floor Repairs]]*BOQs!$L$8</f>
        <v>0</v>
      </c>
      <c r="AF47" s="76"/>
      <c r="AG47" s="37"/>
      <c r="AH47" s="86">
        <f>tbl_Actual_costs_quantities34[[#This Row],[Doors Replacement Repair]]*BOQs!$L$9</f>
        <v>0</v>
      </c>
      <c r="AI47" s="76"/>
      <c r="AJ47" s="37"/>
      <c r="AK47" s="86">
        <f>tbl_Actual_costs_quantities34[[#This Row],[Windows Replacement Repair]]*BOQs!$L$10</f>
        <v>0</v>
      </c>
      <c r="AL47" s="76"/>
      <c r="AM47" s="37"/>
      <c r="AN47" s="86">
        <f>tbl_Actual_costs_quantities34[[#This Row],[Bathroom Rehabilitation]]*BOQs!$L$11</f>
        <v>0</v>
      </c>
      <c r="AO47" s="76"/>
      <c r="AP47" s="37"/>
      <c r="AQ47" s="86">
        <f>tbl_Actual_costs_quantities34[[#This Row],[Ceramic Tile Works WASH]]*BOQs!$L$12</f>
        <v>0</v>
      </c>
      <c r="AR47" s="76"/>
      <c r="AS47" s="37"/>
      <c r="AT47" s="86">
        <f>tbl_Actual_costs_quantities34[[#This Row],[Electrical Repairs Lighting]]*BOQs!$L$13</f>
        <v>0</v>
      </c>
      <c r="AU47" s="76"/>
      <c r="AV47" s="37"/>
      <c r="AW47" s="86">
        <f>tbl_Actual_costs_quantities34[[#This Row],[Roof Insulation Leak Sealing]]*BOQs!$L$14</f>
        <v>0</v>
      </c>
      <c r="AX47" s="76"/>
      <c r="AY47" s="37"/>
      <c r="AZ47" s="86">
        <f>tbl_Actual_costs_quantities34[[#This Row],[Chimney Duct Cleaning Repair]]*BOQs!$L$15</f>
        <v>0</v>
      </c>
      <c r="BA47" s="76"/>
      <c r="BB47" s="37"/>
      <c r="BC47" s="89">
        <f>tbl_Actual_costs_quantities34[[#This Row],[Accessibility Adaptations]]*BOQs!$L$16</f>
        <v>0</v>
      </c>
      <c r="BD47" s="41"/>
      <c r="BE47" s="37"/>
      <c r="BF47" s="37"/>
    </row>
    <row r="48" spans="2:58" ht="25.15" customHeight="1" x14ac:dyDescent="0.25">
      <c r="B48" s="49">
        <v>44</v>
      </c>
      <c r="C48" s="37"/>
      <c r="D48" s="41"/>
      <c r="E48" s="40"/>
      <c r="F48" s="87" t="str">
        <f>IF(tbl_Actual_costs_quantities34[[#This Row],[House Code]]&lt;&gt;"",INDEX(tbl_Assessment[],MATCH(tbl_Actual_costs_quantities34[[#This Row],[House Code]],tbl_Assessment[House Code],0),3),"")</f>
        <v/>
      </c>
      <c r="G48" s="116" t="str">
        <f>IF(tbl_Actual_costs_quantities34[[#This Row],[House Code]]&lt;&gt;"",INDEX(tbl_Assessment[],MATCH(tbl_Actual_costs_quantities34[[#This Row],[House Code]],tbl_Assessment[House Code],0),9),"")</f>
        <v/>
      </c>
      <c r="H48" s="41"/>
      <c r="I48" s="41"/>
      <c r="J48" s="41"/>
      <c r="K48" s="116"/>
      <c r="L48" s="117" t="str">
        <f>IF(tbl_Actual_costs_quantities34[[#This Row],[House Code]]&lt;&gt;"",tbl_Actual_costs_quantities34[[#This Row],[Total cost]]/INDEX(tbl_estimated_costs_quantities[],MATCH(tbl_Actual_costs_quantities34[[#This Row],[House Code]],tbl_estimated_costs_quantities[House Code],0),7),"")</f>
        <v/>
      </c>
      <c r="M4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 s="75"/>
      <c r="O48" s="37"/>
      <c r="P48" s="86">
        <f>tbl_Actual_costs_quantities34[[#This Row],[Site Preparation]]*BOQs!$L$3</f>
        <v>0</v>
      </c>
      <c r="Q48" s="76"/>
      <c r="R48" s="37"/>
      <c r="S48" s="86">
        <f>tbl_Actual_costs_quantities34[[#This Row],[Demolition Removal Unsafe Structures]]*BOQs!$L$4</f>
        <v>0</v>
      </c>
      <c r="T48" s="76"/>
      <c r="U48" s="37"/>
      <c r="V48" s="86">
        <f>tbl_Actual_costs_quantities34[[#This Row],[Concrete Works]]*BOQs!$L$5</f>
        <v>0</v>
      </c>
      <c r="W48" s="76"/>
      <c r="X48" s="37"/>
      <c r="Y48" s="86">
        <f>tbl_Actual_costs_quantities34[[#This Row],[Closure External Openings Walls Windows]]*BOQs!$L$6</f>
        <v>0</v>
      </c>
      <c r="Z48" s="76"/>
      <c r="AA48" s="37"/>
      <c r="AB48" s="86">
        <f>tbl_Actual_costs_quantities34[[#This Row],[Plastering Painting]]*BOQs!$L$7</f>
        <v>0</v>
      </c>
      <c r="AC48" s="76"/>
      <c r="AD48" s="37"/>
      <c r="AE48" s="86">
        <f>tbl_Actual_costs_quantities34[[#This Row],[Floor Repairs]]*BOQs!$L$8</f>
        <v>0</v>
      </c>
      <c r="AF48" s="76"/>
      <c r="AG48" s="37"/>
      <c r="AH48" s="86">
        <f>tbl_Actual_costs_quantities34[[#This Row],[Doors Replacement Repair]]*BOQs!$L$9</f>
        <v>0</v>
      </c>
      <c r="AI48" s="76"/>
      <c r="AJ48" s="37"/>
      <c r="AK48" s="86">
        <f>tbl_Actual_costs_quantities34[[#This Row],[Windows Replacement Repair]]*BOQs!$L$10</f>
        <v>0</v>
      </c>
      <c r="AL48" s="76"/>
      <c r="AM48" s="37"/>
      <c r="AN48" s="86">
        <f>tbl_Actual_costs_quantities34[[#This Row],[Bathroom Rehabilitation]]*BOQs!$L$11</f>
        <v>0</v>
      </c>
      <c r="AO48" s="76"/>
      <c r="AP48" s="37"/>
      <c r="AQ48" s="86">
        <f>tbl_Actual_costs_quantities34[[#This Row],[Ceramic Tile Works WASH]]*BOQs!$L$12</f>
        <v>0</v>
      </c>
      <c r="AR48" s="76"/>
      <c r="AS48" s="37"/>
      <c r="AT48" s="86">
        <f>tbl_Actual_costs_quantities34[[#This Row],[Electrical Repairs Lighting]]*BOQs!$L$13</f>
        <v>0</v>
      </c>
      <c r="AU48" s="76"/>
      <c r="AV48" s="37"/>
      <c r="AW48" s="86">
        <f>tbl_Actual_costs_quantities34[[#This Row],[Roof Insulation Leak Sealing]]*BOQs!$L$14</f>
        <v>0</v>
      </c>
      <c r="AX48" s="76"/>
      <c r="AY48" s="37"/>
      <c r="AZ48" s="86">
        <f>tbl_Actual_costs_quantities34[[#This Row],[Chimney Duct Cleaning Repair]]*BOQs!$L$15</f>
        <v>0</v>
      </c>
      <c r="BA48" s="76"/>
      <c r="BB48" s="37"/>
      <c r="BC48" s="89">
        <f>tbl_Actual_costs_quantities34[[#This Row],[Accessibility Adaptations]]*BOQs!$L$16</f>
        <v>0</v>
      </c>
      <c r="BD48" s="41"/>
      <c r="BE48" s="37"/>
      <c r="BF48" s="37"/>
    </row>
    <row r="49" spans="2:58" ht="25.15" customHeight="1" x14ac:dyDescent="0.25">
      <c r="B49" s="49">
        <v>45</v>
      </c>
      <c r="C49" s="37"/>
      <c r="D49" s="41"/>
      <c r="E49" s="40"/>
      <c r="F49" s="87" t="str">
        <f>IF(tbl_Actual_costs_quantities34[[#This Row],[House Code]]&lt;&gt;"",INDEX(tbl_Assessment[],MATCH(tbl_Actual_costs_quantities34[[#This Row],[House Code]],tbl_Assessment[House Code],0),3),"")</f>
        <v/>
      </c>
      <c r="G49" s="116" t="str">
        <f>IF(tbl_Actual_costs_quantities34[[#This Row],[House Code]]&lt;&gt;"",INDEX(tbl_Assessment[],MATCH(tbl_Actual_costs_quantities34[[#This Row],[House Code]],tbl_Assessment[House Code],0),9),"")</f>
        <v/>
      </c>
      <c r="H49" s="41"/>
      <c r="I49" s="41"/>
      <c r="J49" s="41"/>
      <c r="K49" s="116"/>
      <c r="L49" s="117" t="str">
        <f>IF(tbl_Actual_costs_quantities34[[#This Row],[House Code]]&lt;&gt;"",tbl_Actual_costs_quantities34[[#This Row],[Total cost]]/INDEX(tbl_estimated_costs_quantities[],MATCH(tbl_Actual_costs_quantities34[[#This Row],[House Code]],tbl_estimated_costs_quantities[House Code],0),7),"")</f>
        <v/>
      </c>
      <c r="M4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 s="75"/>
      <c r="O49" s="37"/>
      <c r="P49" s="86">
        <f>tbl_Actual_costs_quantities34[[#This Row],[Site Preparation]]*BOQs!$L$3</f>
        <v>0</v>
      </c>
      <c r="Q49" s="76"/>
      <c r="R49" s="37"/>
      <c r="S49" s="86">
        <f>tbl_Actual_costs_quantities34[[#This Row],[Demolition Removal Unsafe Structures]]*BOQs!$L$4</f>
        <v>0</v>
      </c>
      <c r="T49" s="76"/>
      <c r="U49" s="37"/>
      <c r="V49" s="86">
        <f>tbl_Actual_costs_quantities34[[#This Row],[Concrete Works]]*BOQs!$L$5</f>
        <v>0</v>
      </c>
      <c r="W49" s="76"/>
      <c r="X49" s="37"/>
      <c r="Y49" s="86">
        <f>tbl_Actual_costs_quantities34[[#This Row],[Closure External Openings Walls Windows]]*BOQs!$L$6</f>
        <v>0</v>
      </c>
      <c r="Z49" s="76"/>
      <c r="AA49" s="37"/>
      <c r="AB49" s="86">
        <f>tbl_Actual_costs_quantities34[[#This Row],[Plastering Painting]]*BOQs!$L$7</f>
        <v>0</v>
      </c>
      <c r="AC49" s="76"/>
      <c r="AD49" s="37"/>
      <c r="AE49" s="86">
        <f>tbl_Actual_costs_quantities34[[#This Row],[Floor Repairs]]*BOQs!$L$8</f>
        <v>0</v>
      </c>
      <c r="AF49" s="76"/>
      <c r="AG49" s="37"/>
      <c r="AH49" s="86">
        <f>tbl_Actual_costs_quantities34[[#This Row],[Doors Replacement Repair]]*BOQs!$L$9</f>
        <v>0</v>
      </c>
      <c r="AI49" s="76"/>
      <c r="AJ49" s="37"/>
      <c r="AK49" s="86">
        <f>tbl_Actual_costs_quantities34[[#This Row],[Windows Replacement Repair]]*BOQs!$L$10</f>
        <v>0</v>
      </c>
      <c r="AL49" s="76"/>
      <c r="AM49" s="37"/>
      <c r="AN49" s="86">
        <f>tbl_Actual_costs_quantities34[[#This Row],[Bathroom Rehabilitation]]*BOQs!$L$11</f>
        <v>0</v>
      </c>
      <c r="AO49" s="76"/>
      <c r="AP49" s="37"/>
      <c r="AQ49" s="86">
        <f>tbl_Actual_costs_quantities34[[#This Row],[Ceramic Tile Works WASH]]*BOQs!$L$12</f>
        <v>0</v>
      </c>
      <c r="AR49" s="76"/>
      <c r="AS49" s="37"/>
      <c r="AT49" s="86">
        <f>tbl_Actual_costs_quantities34[[#This Row],[Electrical Repairs Lighting]]*BOQs!$L$13</f>
        <v>0</v>
      </c>
      <c r="AU49" s="76"/>
      <c r="AV49" s="37"/>
      <c r="AW49" s="86">
        <f>tbl_Actual_costs_quantities34[[#This Row],[Roof Insulation Leak Sealing]]*BOQs!$L$14</f>
        <v>0</v>
      </c>
      <c r="AX49" s="76"/>
      <c r="AY49" s="37"/>
      <c r="AZ49" s="86">
        <f>tbl_Actual_costs_quantities34[[#This Row],[Chimney Duct Cleaning Repair]]*BOQs!$L$15</f>
        <v>0</v>
      </c>
      <c r="BA49" s="76"/>
      <c r="BB49" s="37"/>
      <c r="BC49" s="89">
        <f>tbl_Actual_costs_quantities34[[#This Row],[Accessibility Adaptations]]*BOQs!$L$16</f>
        <v>0</v>
      </c>
      <c r="BD49" s="41"/>
      <c r="BE49" s="37"/>
      <c r="BF49" s="37"/>
    </row>
    <row r="50" spans="2:58" ht="25.15" customHeight="1" x14ac:dyDescent="0.25">
      <c r="B50" s="49">
        <v>46</v>
      </c>
      <c r="C50" s="37"/>
      <c r="D50" s="41"/>
      <c r="E50" s="40"/>
      <c r="F50" s="87" t="str">
        <f>IF(tbl_Actual_costs_quantities34[[#This Row],[House Code]]&lt;&gt;"",INDEX(tbl_Assessment[],MATCH(tbl_Actual_costs_quantities34[[#This Row],[House Code]],tbl_Assessment[House Code],0),3),"")</f>
        <v/>
      </c>
      <c r="G50" s="116" t="str">
        <f>IF(tbl_Actual_costs_quantities34[[#This Row],[House Code]]&lt;&gt;"",INDEX(tbl_Assessment[],MATCH(tbl_Actual_costs_quantities34[[#This Row],[House Code]],tbl_Assessment[House Code],0),9),"")</f>
        <v/>
      </c>
      <c r="H50" s="41"/>
      <c r="I50" s="41"/>
      <c r="J50" s="41"/>
      <c r="K50" s="116"/>
      <c r="L50" s="117" t="str">
        <f>IF(tbl_Actual_costs_quantities34[[#This Row],[House Code]]&lt;&gt;"",tbl_Actual_costs_quantities34[[#This Row],[Total cost]]/INDEX(tbl_estimated_costs_quantities[],MATCH(tbl_Actual_costs_quantities34[[#This Row],[House Code]],tbl_estimated_costs_quantities[House Code],0),7),"")</f>
        <v/>
      </c>
      <c r="M5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 s="75"/>
      <c r="O50" s="37"/>
      <c r="P50" s="86">
        <f>tbl_Actual_costs_quantities34[[#This Row],[Site Preparation]]*BOQs!$L$3</f>
        <v>0</v>
      </c>
      <c r="Q50" s="76"/>
      <c r="R50" s="37"/>
      <c r="S50" s="86">
        <f>tbl_Actual_costs_quantities34[[#This Row],[Demolition Removal Unsafe Structures]]*BOQs!$L$4</f>
        <v>0</v>
      </c>
      <c r="T50" s="76"/>
      <c r="U50" s="37"/>
      <c r="V50" s="86">
        <f>tbl_Actual_costs_quantities34[[#This Row],[Concrete Works]]*BOQs!$L$5</f>
        <v>0</v>
      </c>
      <c r="W50" s="76"/>
      <c r="X50" s="37"/>
      <c r="Y50" s="86">
        <f>tbl_Actual_costs_quantities34[[#This Row],[Closure External Openings Walls Windows]]*BOQs!$L$6</f>
        <v>0</v>
      </c>
      <c r="Z50" s="76"/>
      <c r="AA50" s="37"/>
      <c r="AB50" s="86">
        <f>tbl_Actual_costs_quantities34[[#This Row],[Plastering Painting]]*BOQs!$L$7</f>
        <v>0</v>
      </c>
      <c r="AC50" s="76"/>
      <c r="AD50" s="37"/>
      <c r="AE50" s="86">
        <f>tbl_Actual_costs_quantities34[[#This Row],[Floor Repairs]]*BOQs!$L$8</f>
        <v>0</v>
      </c>
      <c r="AF50" s="76"/>
      <c r="AG50" s="37"/>
      <c r="AH50" s="86">
        <f>tbl_Actual_costs_quantities34[[#This Row],[Doors Replacement Repair]]*BOQs!$L$9</f>
        <v>0</v>
      </c>
      <c r="AI50" s="76"/>
      <c r="AJ50" s="37"/>
      <c r="AK50" s="86">
        <f>tbl_Actual_costs_quantities34[[#This Row],[Windows Replacement Repair]]*BOQs!$L$10</f>
        <v>0</v>
      </c>
      <c r="AL50" s="76"/>
      <c r="AM50" s="37"/>
      <c r="AN50" s="86">
        <f>tbl_Actual_costs_quantities34[[#This Row],[Bathroom Rehabilitation]]*BOQs!$L$11</f>
        <v>0</v>
      </c>
      <c r="AO50" s="76"/>
      <c r="AP50" s="37"/>
      <c r="AQ50" s="86">
        <f>tbl_Actual_costs_quantities34[[#This Row],[Ceramic Tile Works WASH]]*BOQs!$L$12</f>
        <v>0</v>
      </c>
      <c r="AR50" s="76"/>
      <c r="AS50" s="37"/>
      <c r="AT50" s="86">
        <f>tbl_Actual_costs_quantities34[[#This Row],[Electrical Repairs Lighting]]*BOQs!$L$13</f>
        <v>0</v>
      </c>
      <c r="AU50" s="76"/>
      <c r="AV50" s="37"/>
      <c r="AW50" s="86">
        <f>tbl_Actual_costs_quantities34[[#This Row],[Roof Insulation Leak Sealing]]*BOQs!$L$14</f>
        <v>0</v>
      </c>
      <c r="AX50" s="76"/>
      <c r="AY50" s="37"/>
      <c r="AZ50" s="86">
        <f>tbl_Actual_costs_quantities34[[#This Row],[Chimney Duct Cleaning Repair]]*BOQs!$L$15</f>
        <v>0</v>
      </c>
      <c r="BA50" s="76"/>
      <c r="BB50" s="37"/>
      <c r="BC50" s="89">
        <f>tbl_Actual_costs_quantities34[[#This Row],[Accessibility Adaptations]]*BOQs!$L$16</f>
        <v>0</v>
      </c>
      <c r="BD50" s="41"/>
      <c r="BE50" s="37"/>
      <c r="BF50" s="37"/>
    </row>
    <row r="51" spans="2:58" ht="25.15" customHeight="1" x14ac:dyDescent="0.25">
      <c r="B51" s="49">
        <v>47</v>
      </c>
      <c r="C51" s="37"/>
      <c r="D51" s="41"/>
      <c r="E51" s="40"/>
      <c r="F51" s="87" t="str">
        <f>IF(tbl_Actual_costs_quantities34[[#This Row],[House Code]]&lt;&gt;"",INDEX(tbl_Assessment[],MATCH(tbl_Actual_costs_quantities34[[#This Row],[House Code]],tbl_Assessment[House Code],0),3),"")</f>
        <v/>
      </c>
      <c r="G51" s="116" t="str">
        <f>IF(tbl_Actual_costs_quantities34[[#This Row],[House Code]]&lt;&gt;"",INDEX(tbl_Assessment[],MATCH(tbl_Actual_costs_quantities34[[#This Row],[House Code]],tbl_Assessment[House Code],0),9),"")</f>
        <v/>
      </c>
      <c r="H51" s="41"/>
      <c r="I51" s="41"/>
      <c r="J51" s="41"/>
      <c r="K51" s="116"/>
      <c r="L51" s="117" t="str">
        <f>IF(tbl_Actual_costs_quantities34[[#This Row],[House Code]]&lt;&gt;"",tbl_Actual_costs_quantities34[[#This Row],[Total cost]]/INDEX(tbl_estimated_costs_quantities[],MATCH(tbl_Actual_costs_quantities34[[#This Row],[House Code]],tbl_estimated_costs_quantities[House Code],0),7),"")</f>
        <v/>
      </c>
      <c r="M5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 s="75"/>
      <c r="O51" s="37"/>
      <c r="P51" s="86">
        <f>tbl_Actual_costs_quantities34[[#This Row],[Site Preparation]]*BOQs!$L$3</f>
        <v>0</v>
      </c>
      <c r="Q51" s="76"/>
      <c r="R51" s="37"/>
      <c r="S51" s="86">
        <f>tbl_Actual_costs_quantities34[[#This Row],[Demolition Removal Unsafe Structures]]*BOQs!$L$4</f>
        <v>0</v>
      </c>
      <c r="T51" s="76"/>
      <c r="U51" s="37"/>
      <c r="V51" s="86">
        <f>tbl_Actual_costs_quantities34[[#This Row],[Concrete Works]]*BOQs!$L$5</f>
        <v>0</v>
      </c>
      <c r="W51" s="76"/>
      <c r="X51" s="37"/>
      <c r="Y51" s="86">
        <f>tbl_Actual_costs_quantities34[[#This Row],[Closure External Openings Walls Windows]]*BOQs!$L$6</f>
        <v>0</v>
      </c>
      <c r="Z51" s="76"/>
      <c r="AA51" s="37"/>
      <c r="AB51" s="86">
        <f>tbl_Actual_costs_quantities34[[#This Row],[Plastering Painting]]*BOQs!$L$7</f>
        <v>0</v>
      </c>
      <c r="AC51" s="76"/>
      <c r="AD51" s="37"/>
      <c r="AE51" s="86">
        <f>tbl_Actual_costs_quantities34[[#This Row],[Floor Repairs]]*BOQs!$L$8</f>
        <v>0</v>
      </c>
      <c r="AF51" s="76"/>
      <c r="AG51" s="37"/>
      <c r="AH51" s="86">
        <f>tbl_Actual_costs_quantities34[[#This Row],[Doors Replacement Repair]]*BOQs!$L$9</f>
        <v>0</v>
      </c>
      <c r="AI51" s="76"/>
      <c r="AJ51" s="37"/>
      <c r="AK51" s="86">
        <f>tbl_Actual_costs_quantities34[[#This Row],[Windows Replacement Repair]]*BOQs!$L$10</f>
        <v>0</v>
      </c>
      <c r="AL51" s="76"/>
      <c r="AM51" s="37"/>
      <c r="AN51" s="86">
        <f>tbl_Actual_costs_quantities34[[#This Row],[Bathroom Rehabilitation]]*BOQs!$L$11</f>
        <v>0</v>
      </c>
      <c r="AO51" s="76"/>
      <c r="AP51" s="37"/>
      <c r="AQ51" s="86">
        <f>tbl_Actual_costs_quantities34[[#This Row],[Ceramic Tile Works WASH]]*BOQs!$L$12</f>
        <v>0</v>
      </c>
      <c r="AR51" s="76"/>
      <c r="AS51" s="37"/>
      <c r="AT51" s="86">
        <f>tbl_Actual_costs_quantities34[[#This Row],[Electrical Repairs Lighting]]*BOQs!$L$13</f>
        <v>0</v>
      </c>
      <c r="AU51" s="76"/>
      <c r="AV51" s="37"/>
      <c r="AW51" s="86">
        <f>tbl_Actual_costs_quantities34[[#This Row],[Roof Insulation Leak Sealing]]*BOQs!$L$14</f>
        <v>0</v>
      </c>
      <c r="AX51" s="76"/>
      <c r="AY51" s="37"/>
      <c r="AZ51" s="86">
        <f>tbl_Actual_costs_quantities34[[#This Row],[Chimney Duct Cleaning Repair]]*BOQs!$L$15</f>
        <v>0</v>
      </c>
      <c r="BA51" s="76"/>
      <c r="BB51" s="37"/>
      <c r="BC51" s="89">
        <f>tbl_Actual_costs_quantities34[[#This Row],[Accessibility Adaptations]]*BOQs!$L$16</f>
        <v>0</v>
      </c>
      <c r="BD51" s="41"/>
      <c r="BE51" s="37"/>
      <c r="BF51" s="37"/>
    </row>
    <row r="52" spans="2:58" ht="25.15" customHeight="1" x14ac:dyDescent="0.25">
      <c r="B52" s="49">
        <v>48</v>
      </c>
      <c r="C52" s="37"/>
      <c r="D52" s="41"/>
      <c r="E52" s="40"/>
      <c r="F52" s="87" t="str">
        <f>IF(tbl_Actual_costs_quantities34[[#This Row],[House Code]]&lt;&gt;"",INDEX(tbl_Assessment[],MATCH(tbl_Actual_costs_quantities34[[#This Row],[House Code]],tbl_Assessment[House Code],0),3),"")</f>
        <v/>
      </c>
      <c r="G52" s="116" t="str">
        <f>IF(tbl_Actual_costs_quantities34[[#This Row],[House Code]]&lt;&gt;"",INDEX(tbl_Assessment[],MATCH(tbl_Actual_costs_quantities34[[#This Row],[House Code]],tbl_Assessment[House Code],0),9),"")</f>
        <v/>
      </c>
      <c r="H52" s="41"/>
      <c r="I52" s="41"/>
      <c r="J52" s="41"/>
      <c r="K52" s="116"/>
      <c r="L52" s="117" t="str">
        <f>IF(tbl_Actual_costs_quantities34[[#This Row],[House Code]]&lt;&gt;"",tbl_Actual_costs_quantities34[[#This Row],[Total cost]]/INDEX(tbl_estimated_costs_quantities[],MATCH(tbl_Actual_costs_quantities34[[#This Row],[House Code]],tbl_estimated_costs_quantities[House Code],0),7),"")</f>
        <v/>
      </c>
      <c r="M5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 s="75"/>
      <c r="O52" s="37"/>
      <c r="P52" s="86">
        <f>tbl_Actual_costs_quantities34[[#This Row],[Site Preparation]]*BOQs!$L$3</f>
        <v>0</v>
      </c>
      <c r="Q52" s="76"/>
      <c r="R52" s="37"/>
      <c r="S52" s="86">
        <f>tbl_Actual_costs_quantities34[[#This Row],[Demolition Removal Unsafe Structures]]*BOQs!$L$4</f>
        <v>0</v>
      </c>
      <c r="T52" s="76"/>
      <c r="U52" s="37"/>
      <c r="V52" s="86">
        <f>tbl_Actual_costs_quantities34[[#This Row],[Concrete Works]]*BOQs!$L$5</f>
        <v>0</v>
      </c>
      <c r="W52" s="76"/>
      <c r="X52" s="37"/>
      <c r="Y52" s="86">
        <f>tbl_Actual_costs_quantities34[[#This Row],[Closure External Openings Walls Windows]]*BOQs!$L$6</f>
        <v>0</v>
      </c>
      <c r="Z52" s="76"/>
      <c r="AA52" s="37"/>
      <c r="AB52" s="86">
        <f>tbl_Actual_costs_quantities34[[#This Row],[Plastering Painting]]*BOQs!$L$7</f>
        <v>0</v>
      </c>
      <c r="AC52" s="76"/>
      <c r="AD52" s="37"/>
      <c r="AE52" s="86">
        <f>tbl_Actual_costs_quantities34[[#This Row],[Floor Repairs]]*BOQs!$L$8</f>
        <v>0</v>
      </c>
      <c r="AF52" s="76"/>
      <c r="AG52" s="37"/>
      <c r="AH52" s="86">
        <f>tbl_Actual_costs_quantities34[[#This Row],[Doors Replacement Repair]]*BOQs!$L$9</f>
        <v>0</v>
      </c>
      <c r="AI52" s="76"/>
      <c r="AJ52" s="37"/>
      <c r="AK52" s="86">
        <f>tbl_Actual_costs_quantities34[[#This Row],[Windows Replacement Repair]]*BOQs!$L$10</f>
        <v>0</v>
      </c>
      <c r="AL52" s="76"/>
      <c r="AM52" s="37"/>
      <c r="AN52" s="86">
        <f>tbl_Actual_costs_quantities34[[#This Row],[Bathroom Rehabilitation]]*BOQs!$L$11</f>
        <v>0</v>
      </c>
      <c r="AO52" s="76"/>
      <c r="AP52" s="37"/>
      <c r="AQ52" s="86">
        <f>tbl_Actual_costs_quantities34[[#This Row],[Ceramic Tile Works WASH]]*BOQs!$L$12</f>
        <v>0</v>
      </c>
      <c r="AR52" s="76"/>
      <c r="AS52" s="37"/>
      <c r="AT52" s="86">
        <f>tbl_Actual_costs_quantities34[[#This Row],[Electrical Repairs Lighting]]*BOQs!$L$13</f>
        <v>0</v>
      </c>
      <c r="AU52" s="76"/>
      <c r="AV52" s="37"/>
      <c r="AW52" s="86">
        <f>tbl_Actual_costs_quantities34[[#This Row],[Roof Insulation Leak Sealing]]*BOQs!$L$14</f>
        <v>0</v>
      </c>
      <c r="AX52" s="76"/>
      <c r="AY52" s="37"/>
      <c r="AZ52" s="86">
        <f>tbl_Actual_costs_quantities34[[#This Row],[Chimney Duct Cleaning Repair]]*BOQs!$L$15</f>
        <v>0</v>
      </c>
      <c r="BA52" s="76"/>
      <c r="BB52" s="37"/>
      <c r="BC52" s="89">
        <f>tbl_Actual_costs_quantities34[[#This Row],[Accessibility Adaptations]]*BOQs!$L$16</f>
        <v>0</v>
      </c>
      <c r="BD52" s="41"/>
      <c r="BE52" s="37"/>
      <c r="BF52" s="37"/>
    </row>
    <row r="53" spans="2:58" ht="25.15" customHeight="1" x14ac:dyDescent="0.25">
      <c r="B53" s="49">
        <v>49</v>
      </c>
      <c r="C53" s="37"/>
      <c r="D53" s="41"/>
      <c r="E53" s="40"/>
      <c r="F53" s="87" t="str">
        <f>IF(tbl_Actual_costs_quantities34[[#This Row],[House Code]]&lt;&gt;"",INDEX(tbl_Assessment[],MATCH(tbl_Actual_costs_quantities34[[#This Row],[House Code]],tbl_Assessment[House Code],0),3),"")</f>
        <v/>
      </c>
      <c r="G53" s="116" t="str">
        <f>IF(tbl_Actual_costs_quantities34[[#This Row],[House Code]]&lt;&gt;"",INDEX(tbl_Assessment[],MATCH(tbl_Actual_costs_quantities34[[#This Row],[House Code]],tbl_Assessment[House Code],0),9),"")</f>
        <v/>
      </c>
      <c r="H53" s="41"/>
      <c r="I53" s="41"/>
      <c r="J53" s="41"/>
      <c r="K53" s="116"/>
      <c r="L53" s="117" t="str">
        <f>IF(tbl_Actual_costs_quantities34[[#This Row],[House Code]]&lt;&gt;"",tbl_Actual_costs_quantities34[[#This Row],[Total cost]]/INDEX(tbl_estimated_costs_quantities[],MATCH(tbl_Actual_costs_quantities34[[#This Row],[House Code]],tbl_estimated_costs_quantities[House Code],0),7),"")</f>
        <v/>
      </c>
      <c r="M5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 s="75"/>
      <c r="O53" s="37"/>
      <c r="P53" s="86">
        <f>tbl_Actual_costs_quantities34[[#This Row],[Site Preparation]]*BOQs!$L$3</f>
        <v>0</v>
      </c>
      <c r="Q53" s="76"/>
      <c r="R53" s="37"/>
      <c r="S53" s="86">
        <f>tbl_Actual_costs_quantities34[[#This Row],[Demolition Removal Unsafe Structures]]*BOQs!$L$4</f>
        <v>0</v>
      </c>
      <c r="T53" s="76"/>
      <c r="U53" s="37"/>
      <c r="V53" s="86">
        <f>tbl_Actual_costs_quantities34[[#This Row],[Concrete Works]]*BOQs!$L$5</f>
        <v>0</v>
      </c>
      <c r="W53" s="76"/>
      <c r="X53" s="37"/>
      <c r="Y53" s="86">
        <f>tbl_Actual_costs_quantities34[[#This Row],[Closure External Openings Walls Windows]]*BOQs!$L$6</f>
        <v>0</v>
      </c>
      <c r="Z53" s="76"/>
      <c r="AA53" s="37"/>
      <c r="AB53" s="86">
        <f>tbl_Actual_costs_quantities34[[#This Row],[Plastering Painting]]*BOQs!$L$7</f>
        <v>0</v>
      </c>
      <c r="AC53" s="76"/>
      <c r="AD53" s="37"/>
      <c r="AE53" s="86">
        <f>tbl_Actual_costs_quantities34[[#This Row],[Floor Repairs]]*BOQs!$L$8</f>
        <v>0</v>
      </c>
      <c r="AF53" s="76"/>
      <c r="AG53" s="37"/>
      <c r="AH53" s="86">
        <f>tbl_Actual_costs_quantities34[[#This Row],[Doors Replacement Repair]]*BOQs!$L$9</f>
        <v>0</v>
      </c>
      <c r="AI53" s="76"/>
      <c r="AJ53" s="37"/>
      <c r="AK53" s="86">
        <f>tbl_Actual_costs_quantities34[[#This Row],[Windows Replacement Repair]]*BOQs!$L$10</f>
        <v>0</v>
      </c>
      <c r="AL53" s="76"/>
      <c r="AM53" s="37"/>
      <c r="AN53" s="86">
        <f>tbl_Actual_costs_quantities34[[#This Row],[Bathroom Rehabilitation]]*BOQs!$L$11</f>
        <v>0</v>
      </c>
      <c r="AO53" s="76"/>
      <c r="AP53" s="37"/>
      <c r="AQ53" s="86">
        <f>tbl_Actual_costs_quantities34[[#This Row],[Ceramic Tile Works WASH]]*BOQs!$L$12</f>
        <v>0</v>
      </c>
      <c r="AR53" s="76"/>
      <c r="AS53" s="37"/>
      <c r="AT53" s="86">
        <f>tbl_Actual_costs_quantities34[[#This Row],[Electrical Repairs Lighting]]*BOQs!$L$13</f>
        <v>0</v>
      </c>
      <c r="AU53" s="76"/>
      <c r="AV53" s="37"/>
      <c r="AW53" s="86">
        <f>tbl_Actual_costs_quantities34[[#This Row],[Roof Insulation Leak Sealing]]*BOQs!$L$14</f>
        <v>0</v>
      </c>
      <c r="AX53" s="76"/>
      <c r="AY53" s="37"/>
      <c r="AZ53" s="86">
        <f>tbl_Actual_costs_quantities34[[#This Row],[Chimney Duct Cleaning Repair]]*BOQs!$L$15</f>
        <v>0</v>
      </c>
      <c r="BA53" s="76"/>
      <c r="BB53" s="37"/>
      <c r="BC53" s="89">
        <f>tbl_Actual_costs_quantities34[[#This Row],[Accessibility Adaptations]]*BOQs!$L$16</f>
        <v>0</v>
      </c>
      <c r="BD53" s="41"/>
      <c r="BE53" s="37"/>
      <c r="BF53" s="37"/>
    </row>
    <row r="54" spans="2:58" ht="25.15" customHeight="1" x14ac:dyDescent="0.25">
      <c r="B54" s="49">
        <v>50</v>
      </c>
      <c r="C54" s="37"/>
      <c r="D54" s="41"/>
      <c r="E54" s="40"/>
      <c r="F54" s="87" t="str">
        <f>IF(tbl_Actual_costs_quantities34[[#This Row],[House Code]]&lt;&gt;"",INDEX(tbl_Assessment[],MATCH(tbl_Actual_costs_quantities34[[#This Row],[House Code]],tbl_Assessment[House Code],0),3),"")</f>
        <v/>
      </c>
      <c r="G54" s="116" t="str">
        <f>IF(tbl_Actual_costs_quantities34[[#This Row],[House Code]]&lt;&gt;"",INDEX(tbl_Assessment[],MATCH(tbl_Actual_costs_quantities34[[#This Row],[House Code]],tbl_Assessment[House Code],0),9),"")</f>
        <v/>
      </c>
      <c r="H54" s="41"/>
      <c r="I54" s="41"/>
      <c r="J54" s="41"/>
      <c r="K54" s="116"/>
      <c r="L54" s="117" t="str">
        <f>IF(tbl_Actual_costs_quantities34[[#This Row],[House Code]]&lt;&gt;"",tbl_Actual_costs_quantities34[[#This Row],[Total cost]]/INDEX(tbl_estimated_costs_quantities[],MATCH(tbl_Actual_costs_quantities34[[#This Row],[House Code]],tbl_estimated_costs_quantities[House Code],0),7),"")</f>
        <v/>
      </c>
      <c r="M5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 s="75"/>
      <c r="O54" s="37"/>
      <c r="P54" s="86">
        <f>tbl_Actual_costs_quantities34[[#This Row],[Site Preparation]]*BOQs!$L$3</f>
        <v>0</v>
      </c>
      <c r="Q54" s="76"/>
      <c r="R54" s="37"/>
      <c r="S54" s="86">
        <f>tbl_Actual_costs_quantities34[[#This Row],[Demolition Removal Unsafe Structures]]*BOQs!$L$4</f>
        <v>0</v>
      </c>
      <c r="T54" s="76"/>
      <c r="U54" s="37"/>
      <c r="V54" s="86">
        <f>tbl_Actual_costs_quantities34[[#This Row],[Concrete Works]]*BOQs!$L$5</f>
        <v>0</v>
      </c>
      <c r="W54" s="76"/>
      <c r="X54" s="37"/>
      <c r="Y54" s="86">
        <f>tbl_Actual_costs_quantities34[[#This Row],[Closure External Openings Walls Windows]]*BOQs!$L$6</f>
        <v>0</v>
      </c>
      <c r="Z54" s="76"/>
      <c r="AA54" s="37"/>
      <c r="AB54" s="86">
        <f>tbl_Actual_costs_quantities34[[#This Row],[Plastering Painting]]*BOQs!$L$7</f>
        <v>0</v>
      </c>
      <c r="AC54" s="76"/>
      <c r="AD54" s="37"/>
      <c r="AE54" s="86">
        <f>tbl_Actual_costs_quantities34[[#This Row],[Floor Repairs]]*BOQs!$L$8</f>
        <v>0</v>
      </c>
      <c r="AF54" s="76"/>
      <c r="AG54" s="37"/>
      <c r="AH54" s="86">
        <f>tbl_Actual_costs_quantities34[[#This Row],[Doors Replacement Repair]]*BOQs!$L$9</f>
        <v>0</v>
      </c>
      <c r="AI54" s="76"/>
      <c r="AJ54" s="37"/>
      <c r="AK54" s="86">
        <f>tbl_Actual_costs_quantities34[[#This Row],[Windows Replacement Repair]]*BOQs!$L$10</f>
        <v>0</v>
      </c>
      <c r="AL54" s="76"/>
      <c r="AM54" s="37"/>
      <c r="AN54" s="86">
        <f>tbl_Actual_costs_quantities34[[#This Row],[Bathroom Rehabilitation]]*BOQs!$L$11</f>
        <v>0</v>
      </c>
      <c r="AO54" s="76"/>
      <c r="AP54" s="37"/>
      <c r="AQ54" s="86">
        <f>tbl_Actual_costs_quantities34[[#This Row],[Ceramic Tile Works WASH]]*BOQs!$L$12</f>
        <v>0</v>
      </c>
      <c r="AR54" s="76"/>
      <c r="AS54" s="37"/>
      <c r="AT54" s="86">
        <f>tbl_Actual_costs_quantities34[[#This Row],[Electrical Repairs Lighting]]*BOQs!$L$13</f>
        <v>0</v>
      </c>
      <c r="AU54" s="76"/>
      <c r="AV54" s="37"/>
      <c r="AW54" s="86">
        <f>tbl_Actual_costs_quantities34[[#This Row],[Roof Insulation Leak Sealing]]*BOQs!$L$14</f>
        <v>0</v>
      </c>
      <c r="AX54" s="76"/>
      <c r="AY54" s="37"/>
      <c r="AZ54" s="86">
        <f>tbl_Actual_costs_quantities34[[#This Row],[Chimney Duct Cleaning Repair]]*BOQs!$L$15</f>
        <v>0</v>
      </c>
      <c r="BA54" s="76"/>
      <c r="BB54" s="37"/>
      <c r="BC54" s="89">
        <f>tbl_Actual_costs_quantities34[[#This Row],[Accessibility Adaptations]]*BOQs!$L$16</f>
        <v>0</v>
      </c>
      <c r="BD54" s="41"/>
      <c r="BE54" s="37"/>
      <c r="BF54" s="37"/>
    </row>
    <row r="55" spans="2:58" ht="25.15" customHeight="1" x14ac:dyDescent="0.25">
      <c r="B55" s="49">
        <v>51</v>
      </c>
      <c r="C55" s="37"/>
      <c r="D55" s="41"/>
      <c r="E55" s="40"/>
      <c r="F55" s="87" t="str">
        <f>IF(tbl_Actual_costs_quantities34[[#This Row],[House Code]]&lt;&gt;"",INDEX(tbl_Assessment[],MATCH(tbl_Actual_costs_quantities34[[#This Row],[House Code]],tbl_Assessment[House Code],0),3),"")</f>
        <v/>
      </c>
      <c r="G55" s="116" t="str">
        <f>IF(tbl_Actual_costs_quantities34[[#This Row],[House Code]]&lt;&gt;"",INDEX(tbl_Assessment[],MATCH(tbl_Actual_costs_quantities34[[#This Row],[House Code]],tbl_Assessment[House Code],0),9),"")</f>
        <v/>
      </c>
      <c r="H55" s="41"/>
      <c r="I55" s="41"/>
      <c r="J55" s="41"/>
      <c r="K55" s="116"/>
      <c r="L55" s="117" t="str">
        <f>IF(tbl_Actual_costs_quantities34[[#This Row],[House Code]]&lt;&gt;"",tbl_Actual_costs_quantities34[[#This Row],[Total cost]]/INDEX(tbl_estimated_costs_quantities[],MATCH(tbl_Actual_costs_quantities34[[#This Row],[House Code]],tbl_estimated_costs_quantities[House Code],0),7),"")</f>
        <v/>
      </c>
      <c r="M5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 s="75"/>
      <c r="O55" s="37"/>
      <c r="P55" s="86">
        <f>tbl_Actual_costs_quantities34[[#This Row],[Site Preparation]]*BOQs!$L$3</f>
        <v>0</v>
      </c>
      <c r="Q55" s="76"/>
      <c r="R55" s="37"/>
      <c r="S55" s="86">
        <f>tbl_Actual_costs_quantities34[[#This Row],[Demolition Removal Unsafe Structures]]*BOQs!$L$4</f>
        <v>0</v>
      </c>
      <c r="T55" s="76"/>
      <c r="U55" s="37"/>
      <c r="V55" s="86">
        <f>tbl_Actual_costs_quantities34[[#This Row],[Concrete Works]]*BOQs!$L$5</f>
        <v>0</v>
      </c>
      <c r="W55" s="76"/>
      <c r="X55" s="37"/>
      <c r="Y55" s="86">
        <f>tbl_Actual_costs_quantities34[[#This Row],[Closure External Openings Walls Windows]]*BOQs!$L$6</f>
        <v>0</v>
      </c>
      <c r="Z55" s="76"/>
      <c r="AA55" s="37"/>
      <c r="AB55" s="86">
        <f>tbl_Actual_costs_quantities34[[#This Row],[Plastering Painting]]*BOQs!$L$7</f>
        <v>0</v>
      </c>
      <c r="AC55" s="76"/>
      <c r="AD55" s="37"/>
      <c r="AE55" s="86">
        <f>tbl_Actual_costs_quantities34[[#This Row],[Floor Repairs]]*BOQs!$L$8</f>
        <v>0</v>
      </c>
      <c r="AF55" s="76"/>
      <c r="AG55" s="37"/>
      <c r="AH55" s="86">
        <f>tbl_Actual_costs_quantities34[[#This Row],[Doors Replacement Repair]]*BOQs!$L$9</f>
        <v>0</v>
      </c>
      <c r="AI55" s="76"/>
      <c r="AJ55" s="37"/>
      <c r="AK55" s="86">
        <f>tbl_Actual_costs_quantities34[[#This Row],[Windows Replacement Repair]]*BOQs!$L$10</f>
        <v>0</v>
      </c>
      <c r="AL55" s="76"/>
      <c r="AM55" s="37"/>
      <c r="AN55" s="86">
        <f>tbl_Actual_costs_quantities34[[#This Row],[Bathroom Rehabilitation]]*BOQs!$L$11</f>
        <v>0</v>
      </c>
      <c r="AO55" s="76"/>
      <c r="AP55" s="37"/>
      <c r="AQ55" s="86">
        <f>tbl_Actual_costs_quantities34[[#This Row],[Ceramic Tile Works WASH]]*BOQs!$L$12</f>
        <v>0</v>
      </c>
      <c r="AR55" s="76"/>
      <c r="AS55" s="37"/>
      <c r="AT55" s="86">
        <f>tbl_Actual_costs_quantities34[[#This Row],[Electrical Repairs Lighting]]*BOQs!$L$13</f>
        <v>0</v>
      </c>
      <c r="AU55" s="76"/>
      <c r="AV55" s="37"/>
      <c r="AW55" s="86">
        <f>tbl_Actual_costs_quantities34[[#This Row],[Roof Insulation Leak Sealing]]*BOQs!$L$14</f>
        <v>0</v>
      </c>
      <c r="AX55" s="76"/>
      <c r="AY55" s="37"/>
      <c r="AZ55" s="86">
        <f>tbl_Actual_costs_quantities34[[#This Row],[Chimney Duct Cleaning Repair]]*BOQs!$L$15</f>
        <v>0</v>
      </c>
      <c r="BA55" s="76"/>
      <c r="BB55" s="37"/>
      <c r="BC55" s="89">
        <f>tbl_Actual_costs_quantities34[[#This Row],[Accessibility Adaptations]]*BOQs!$L$16</f>
        <v>0</v>
      </c>
      <c r="BD55" s="41"/>
      <c r="BE55" s="37"/>
      <c r="BF55" s="37"/>
    </row>
    <row r="56" spans="2:58" ht="25.15" customHeight="1" x14ac:dyDescent="0.25">
      <c r="B56" s="49">
        <v>52</v>
      </c>
      <c r="C56" s="37"/>
      <c r="D56" s="41"/>
      <c r="E56" s="40"/>
      <c r="F56" s="87" t="str">
        <f>IF(tbl_Actual_costs_quantities34[[#This Row],[House Code]]&lt;&gt;"",INDEX(tbl_Assessment[],MATCH(tbl_Actual_costs_quantities34[[#This Row],[House Code]],tbl_Assessment[House Code],0),3),"")</f>
        <v/>
      </c>
      <c r="G56" s="116" t="str">
        <f>IF(tbl_Actual_costs_quantities34[[#This Row],[House Code]]&lt;&gt;"",INDEX(tbl_Assessment[],MATCH(tbl_Actual_costs_quantities34[[#This Row],[House Code]],tbl_Assessment[House Code],0),9),"")</f>
        <v/>
      </c>
      <c r="H56" s="41"/>
      <c r="I56" s="41"/>
      <c r="J56" s="41"/>
      <c r="K56" s="116"/>
      <c r="L56" s="117" t="str">
        <f>IF(tbl_Actual_costs_quantities34[[#This Row],[House Code]]&lt;&gt;"",tbl_Actual_costs_quantities34[[#This Row],[Total cost]]/INDEX(tbl_estimated_costs_quantities[],MATCH(tbl_Actual_costs_quantities34[[#This Row],[House Code]],tbl_estimated_costs_quantities[House Code],0),7),"")</f>
        <v/>
      </c>
      <c r="M5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 s="75"/>
      <c r="O56" s="37"/>
      <c r="P56" s="86">
        <f>tbl_Actual_costs_quantities34[[#This Row],[Site Preparation]]*BOQs!$L$3</f>
        <v>0</v>
      </c>
      <c r="Q56" s="76"/>
      <c r="R56" s="37"/>
      <c r="S56" s="86">
        <f>tbl_Actual_costs_quantities34[[#This Row],[Demolition Removal Unsafe Structures]]*BOQs!$L$4</f>
        <v>0</v>
      </c>
      <c r="T56" s="76"/>
      <c r="U56" s="37"/>
      <c r="V56" s="86">
        <f>tbl_Actual_costs_quantities34[[#This Row],[Concrete Works]]*BOQs!$L$5</f>
        <v>0</v>
      </c>
      <c r="W56" s="76"/>
      <c r="X56" s="37"/>
      <c r="Y56" s="86">
        <f>tbl_Actual_costs_quantities34[[#This Row],[Closure External Openings Walls Windows]]*BOQs!$L$6</f>
        <v>0</v>
      </c>
      <c r="Z56" s="76"/>
      <c r="AA56" s="37"/>
      <c r="AB56" s="86">
        <f>tbl_Actual_costs_quantities34[[#This Row],[Plastering Painting]]*BOQs!$L$7</f>
        <v>0</v>
      </c>
      <c r="AC56" s="76"/>
      <c r="AD56" s="37"/>
      <c r="AE56" s="86">
        <f>tbl_Actual_costs_quantities34[[#This Row],[Floor Repairs]]*BOQs!$L$8</f>
        <v>0</v>
      </c>
      <c r="AF56" s="76"/>
      <c r="AG56" s="37"/>
      <c r="AH56" s="86">
        <f>tbl_Actual_costs_quantities34[[#This Row],[Doors Replacement Repair]]*BOQs!$L$9</f>
        <v>0</v>
      </c>
      <c r="AI56" s="76"/>
      <c r="AJ56" s="37"/>
      <c r="AK56" s="86">
        <f>tbl_Actual_costs_quantities34[[#This Row],[Windows Replacement Repair]]*BOQs!$L$10</f>
        <v>0</v>
      </c>
      <c r="AL56" s="76"/>
      <c r="AM56" s="37"/>
      <c r="AN56" s="86">
        <f>tbl_Actual_costs_quantities34[[#This Row],[Bathroom Rehabilitation]]*BOQs!$L$11</f>
        <v>0</v>
      </c>
      <c r="AO56" s="76"/>
      <c r="AP56" s="37"/>
      <c r="AQ56" s="86">
        <f>tbl_Actual_costs_quantities34[[#This Row],[Ceramic Tile Works WASH]]*BOQs!$L$12</f>
        <v>0</v>
      </c>
      <c r="AR56" s="76"/>
      <c r="AS56" s="37"/>
      <c r="AT56" s="86">
        <f>tbl_Actual_costs_quantities34[[#This Row],[Electrical Repairs Lighting]]*BOQs!$L$13</f>
        <v>0</v>
      </c>
      <c r="AU56" s="76"/>
      <c r="AV56" s="37"/>
      <c r="AW56" s="86">
        <f>tbl_Actual_costs_quantities34[[#This Row],[Roof Insulation Leak Sealing]]*BOQs!$L$14</f>
        <v>0</v>
      </c>
      <c r="AX56" s="76"/>
      <c r="AY56" s="37"/>
      <c r="AZ56" s="86">
        <f>tbl_Actual_costs_quantities34[[#This Row],[Chimney Duct Cleaning Repair]]*BOQs!$L$15</f>
        <v>0</v>
      </c>
      <c r="BA56" s="76"/>
      <c r="BB56" s="37"/>
      <c r="BC56" s="89">
        <f>tbl_Actual_costs_quantities34[[#This Row],[Accessibility Adaptations]]*BOQs!$L$16</f>
        <v>0</v>
      </c>
      <c r="BD56" s="41"/>
      <c r="BE56" s="37"/>
      <c r="BF56" s="37"/>
    </row>
    <row r="57" spans="2:58" ht="25.15" customHeight="1" x14ac:dyDescent="0.25">
      <c r="B57" s="49">
        <v>53</v>
      </c>
      <c r="C57" s="37"/>
      <c r="D57" s="41"/>
      <c r="E57" s="40"/>
      <c r="F57" s="87" t="str">
        <f>IF(tbl_Actual_costs_quantities34[[#This Row],[House Code]]&lt;&gt;"",INDEX(tbl_Assessment[],MATCH(tbl_Actual_costs_quantities34[[#This Row],[House Code]],tbl_Assessment[House Code],0),3),"")</f>
        <v/>
      </c>
      <c r="G57" s="116" t="str">
        <f>IF(tbl_Actual_costs_quantities34[[#This Row],[House Code]]&lt;&gt;"",INDEX(tbl_Assessment[],MATCH(tbl_Actual_costs_quantities34[[#This Row],[House Code]],tbl_Assessment[House Code],0),9),"")</f>
        <v/>
      </c>
      <c r="H57" s="41"/>
      <c r="I57" s="41"/>
      <c r="J57" s="41"/>
      <c r="K57" s="116"/>
      <c r="L57" s="117" t="str">
        <f>IF(tbl_Actual_costs_quantities34[[#This Row],[House Code]]&lt;&gt;"",tbl_Actual_costs_quantities34[[#This Row],[Total cost]]/INDEX(tbl_estimated_costs_quantities[],MATCH(tbl_Actual_costs_quantities34[[#This Row],[House Code]],tbl_estimated_costs_quantities[House Code],0),7),"")</f>
        <v/>
      </c>
      <c r="M5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 s="75"/>
      <c r="O57" s="37"/>
      <c r="P57" s="86">
        <f>tbl_Actual_costs_quantities34[[#This Row],[Site Preparation]]*BOQs!$L$3</f>
        <v>0</v>
      </c>
      <c r="Q57" s="76"/>
      <c r="R57" s="37"/>
      <c r="S57" s="86">
        <f>tbl_Actual_costs_quantities34[[#This Row],[Demolition Removal Unsafe Structures]]*BOQs!$L$4</f>
        <v>0</v>
      </c>
      <c r="T57" s="76"/>
      <c r="U57" s="37"/>
      <c r="V57" s="86">
        <f>tbl_Actual_costs_quantities34[[#This Row],[Concrete Works]]*BOQs!$L$5</f>
        <v>0</v>
      </c>
      <c r="W57" s="76"/>
      <c r="X57" s="37"/>
      <c r="Y57" s="86">
        <f>tbl_Actual_costs_quantities34[[#This Row],[Closure External Openings Walls Windows]]*BOQs!$L$6</f>
        <v>0</v>
      </c>
      <c r="Z57" s="76"/>
      <c r="AA57" s="37"/>
      <c r="AB57" s="86">
        <f>tbl_Actual_costs_quantities34[[#This Row],[Plastering Painting]]*BOQs!$L$7</f>
        <v>0</v>
      </c>
      <c r="AC57" s="76"/>
      <c r="AD57" s="37"/>
      <c r="AE57" s="86">
        <f>tbl_Actual_costs_quantities34[[#This Row],[Floor Repairs]]*BOQs!$L$8</f>
        <v>0</v>
      </c>
      <c r="AF57" s="76"/>
      <c r="AG57" s="37"/>
      <c r="AH57" s="86">
        <f>tbl_Actual_costs_quantities34[[#This Row],[Doors Replacement Repair]]*BOQs!$L$9</f>
        <v>0</v>
      </c>
      <c r="AI57" s="76"/>
      <c r="AJ57" s="37"/>
      <c r="AK57" s="86">
        <f>tbl_Actual_costs_quantities34[[#This Row],[Windows Replacement Repair]]*BOQs!$L$10</f>
        <v>0</v>
      </c>
      <c r="AL57" s="76"/>
      <c r="AM57" s="37"/>
      <c r="AN57" s="86">
        <f>tbl_Actual_costs_quantities34[[#This Row],[Bathroom Rehabilitation]]*BOQs!$L$11</f>
        <v>0</v>
      </c>
      <c r="AO57" s="76"/>
      <c r="AP57" s="37"/>
      <c r="AQ57" s="86">
        <f>tbl_Actual_costs_quantities34[[#This Row],[Ceramic Tile Works WASH]]*BOQs!$L$12</f>
        <v>0</v>
      </c>
      <c r="AR57" s="76"/>
      <c r="AS57" s="37"/>
      <c r="AT57" s="86">
        <f>tbl_Actual_costs_quantities34[[#This Row],[Electrical Repairs Lighting]]*BOQs!$L$13</f>
        <v>0</v>
      </c>
      <c r="AU57" s="76"/>
      <c r="AV57" s="37"/>
      <c r="AW57" s="86">
        <f>tbl_Actual_costs_quantities34[[#This Row],[Roof Insulation Leak Sealing]]*BOQs!$L$14</f>
        <v>0</v>
      </c>
      <c r="AX57" s="76"/>
      <c r="AY57" s="37"/>
      <c r="AZ57" s="86">
        <f>tbl_Actual_costs_quantities34[[#This Row],[Chimney Duct Cleaning Repair]]*BOQs!$L$15</f>
        <v>0</v>
      </c>
      <c r="BA57" s="76"/>
      <c r="BB57" s="37"/>
      <c r="BC57" s="89">
        <f>tbl_Actual_costs_quantities34[[#This Row],[Accessibility Adaptations]]*BOQs!$L$16</f>
        <v>0</v>
      </c>
      <c r="BD57" s="41"/>
      <c r="BE57" s="37"/>
      <c r="BF57" s="37"/>
    </row>
    <row r="58" spans="2:58" ht="25.15" customHeight="1" x14ac:dyDescent="0.25">
      <c r="B58" s="49">
        <v>54</v>
      </c>
      <c r="C58" s="37"/>
      <c r="D58" s="41"/>
      <c r="E58" s="40"/>
      <c r="F58" s="87" t="str">
        <f>IF(tbl_Actual_costs_quantities34[[#This Row],[House Code]]&lt;&gt;"",INDEX(tbl_Assessment[],MATCH(tbl_Actual_costs_quantities34[[#This Row],[House Code]],tbl_Assessment[House Code],0),3),"")</f>
        <v/>
      </c>
      <c r="G58" s="116" t="str">
        <f>IF(tbl_Actual_costs_quantities34[[#This Row],[House Code]]&lt;&gt;"",INDEX(tbl_Assessment[],MATCH(tbl_Actual_costs_quantities34[[#This Row],[House Code]],tbl_Assessment[House Code],0),9),"")</f>
        <v/>
      </c>
      <c r="H58" s="41"/>
      <c r="I58" s="41"/>
      <c r="J58" s="41"/>
      <c r="K58" s="116"/>
      <c r="L58" s="117" t="str">
        <f>IF(tbl_Actual_costs_quantities34[[#This Row],[House Code]]&lt;&gt;"",tbl_Actual_costs_quantities34[[#This Row],[Total cost]]/INDEX(tbl_estimated_costs_quantities[],MATCH(tbl_Actual_costs_quantities34[[#This Row],[House Code]],tbl_estimated_costs_quantities[House Code],0),7),"")</f>
        <v/>
      </c>
      <c r="M5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 s="75"/>
      <c r="O58" s="37"/>
      <c r="P58" s="86">
        <f>tbl_Actual_costs_quantities34[[#This Row],[Site Preparation]]*BOQs!$L$3</f>
        <v>0</v>
      </c>
      <c r="Q58" s="76"/>
      <c r="R58" s="37"/>
      <c r="S58" s="86">
        <f>tbl_Actual_costs_quantities34[[#This Row],[Demolition Removal Unsafe Structures]]*BOQs!$L$4</f>
        <v>0</v>
      </c>
      <c r="T58" s="76"/>
      <c r="U58" s="37"/>
      <c r="V58" s="86">
        <f>tbl_Actual_costs_quantities34[[#This Row],[Concrete Works]]*BOQs!$L$5</f>
        <v>0</v>
      </c>
      <c r="W58" s="76"/>
      <c r="X58" s="37"/>
      <c r="Y58" s="86">
        <f>tbl_Actual_costs_quantities34[[#This Row],[Closure External Openings Walls Windows]]*BOQs!$L$6</f>
        <v>0</v>
      </c>
      <c r="Z58" s="76"/>
      <c r="AA58" s="37"/>
      <c r="AB58" s="86">
        <f>tbl_Actual_costs_quantities34[[#This Row],[Plastering Painting]]*BOQs!$L$7</f>
        <v>0</v>
      </c>
      <c r="AC58" s="76"/>
      <c r="AD58" s="37"/>
      <c r="AE58" s="86">
        <f>tbl_Actual_costs_quantities34[[#This Row],[Floor Repairs]]*BOQs!$L$8</f>
        <v>0</v>
      </c>
      <c r="AF58" s="76"/>
      <c r="AG58" s="37"/>
      <c r="AH58" s="86">
        <f>tbl_Actual_costs_quantities34[[#This Row],[Doors Replacement Repair]]*BOQs!$L$9</f>
        <v>0</v>
      </c>
      <c r="AI58" s="76"/>
      <c r="AJ58" s="37"/>
      <c r="AK58" s="86">
        <f>tbl_Actual_costs_quantities34[[#This Row],[Windows Replacement Repair]]*BOQs!$L$10</f>
        <v>0</v>
      </c>
      <c r="AL58" s="76"/>
      <c r="AM58" s="37"/>
      <c r="AN58" s="86">
        <f>tbl_Actual_costs_quantities34[[#This Row],[Bathroom Rehabilitation]]*BOQs!$L$11</f>
        <v>0</v>
      </c>
      <c r="AO58" s="76"/>
      <c r="AP58" s="37"/>
      <c r="AQ58" s="86">
        <f>tbl_Actual_costs_quantities34[[#This Row],[Ceramic Tile Works WASH]]*BOQs!$L$12</f>
        <v>0</v>
      </c>
      <c r="AR58" s="76"/>
      <c r="AS58" s="37"/>
      <c r="AT58" s="86">
        <f>tbl_Actual_costs_quantities34[[#This Row],[Electrical Repairs Lighting]]*BOQs!$L$13</f>
        <v>0</v>
      </c>
      <c r="AU58" s="76"/>
      <c r="AV58" s="37"/>
      <c r="AW58" s="86">
        <f>tbl_Actual_costs_quantities34[[#This Row],[Roof Insulation Leak Sealing]]*BOQs!$L$14</f>
        <v>0</v>
      </c>
      <c r="AX58" s="76"/>
      <c r="AY58" s="37"/>
      <c r="AZ58" s="86">
        <f>tbl_Actual_costs_quantities34[[#This Row],[Chimney Duct Cleaning Repair]]*BOQs!$L$15</f>
        <v>0</v>
      </c>
      <c r="BA58" s="76"/>
      <c r="BB58" s="37"/>
      <c r="BC58" s="89">
        <f>tbl_Actual_costs_quantities34[[#This Row],[Accessibility Adaptations]]*BOQs!$L$16</f>
        <v>0</v>
      </c>
      <c r="BD58" s="41"/>
      <c r="BE58" s="37"/>
      <c r="BF58" s="37"/>
    </row>
    <row r="59" spans="2:58" ht="25.15" customHeight="1" x14ac:dyDescent="0.25">
      <c r="B59" s="49">
        <v>55</v>
      </c>
      <c r="C59" s="37"/>
      <c r="D59" s="41"/>
      <c r="E59" s="40"/>
      <c r="F59" s="87" t="str">
        <f>IF(tbl_Actual_costs_quantities34[[#This Row],[House Code]]&lt;&gt;"",INDEX(tbl_Assessment[],MATCH(tbl_Actual_costs_quantities34[[#This Row],[House Code]],tbl_Assessment[House Code],0),3),"")</f>
        <v/>
      </c>
      <c r="G59" s="116" t="str">
        <f>IF(tbl_Actual_costs_quantities34[[#This Row],[House Code]]&lt;&gt;"",INDEX(tbl_Assessment[],MATCH(tbl_Actual_costs_quantities34[[#This Row],[House Code]],tbl_Assessment[House Code],0),9),"")</f>
        <v/>
      </c>
      <c r="H59" s="41"/>
      <c r="I59" s="41"/>
      <c r="J59" s="41"/>
      <c r="K59" s="116"/>
      <c r="L59" s="117" t="str">
        <f>IF(tbl_Actual_costs_quantities34[[#This Row],[House Code]]&lt;&gt;"",tbl_Actual_costs_quantities34[[#This Row],[Total cost]]/INDEX(tbl_estimated_costs_quantities[],MATCH(tbl_Actual_costs_quantities34[[#This Row],[House Code]],tbl_estimated_costs_quantities[House Code],0),7),"")</f>
        <v/>
      </c>
      <c r="M5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 s="75"/>
      <c r="O59" s="37"/>
      <c r="P59" s="86">
        <f>tbl_Actual_costs_quantities34[[#This Row],[Site Preparation]]*BOQs!$L$3</f>
        <v>0</v>
      </c>
      <c r="Q59" s="76"/>
      <c r="R59" s="37"/>
      <c r="S59" s="86">
        <f>tbl_Actual_costs_quantities34[[#This Row],[Demolition Removal Unsafe Structures]]*BOQs!$L$4</f>
        <v>0</v>
      </c>
      <c r="T59" s="76"/>
      <c r="U59" s="37"/>
      <c r="V59" s="86">
        <f>tbl_Actual_costs_quantities34[[#This Row],[Concrete Works]]*BOQs!$L$5</f>
        <v>0</v>
      </c>
      <c r="W59" s="76"/>
      <c r="X59" s="37"/>
      <c r="Y59" s="86">
        <f>tbl_Actual_costs_quantities34[[#This Row],[Closure External Openings Walls Windows]]*BOQs!$L$6</f>
        <v>0</v>
      </c>
      <c r="Z59" s="76"/>
      <c r="AA59" s="37"/>
      <c r="AB59" s="86">
        <f>tbl_Actual_costs_quantities34[[#This Row],[Plastering Painting]]*BOQs!$L$7</f>
        <v>0</v>
      </c>
      <c r="AC59" s="76"/>
      <c r="AD59" s="37"/>
      <c r="AE59" s="86">
        <f>tbl_Actual_costs_quantities34[[#This Row],[Floor Repairs]]*BOQs!$L$8</f>
        <v>0</v>
      </c>
      <c r="AF59" s="76"/>
      <c r="AG59" s="37"/>
      <c r="AH59" s="86">
        <f>tbl_Actual_costs_quantities34[[#This Row],[Doors Replacement Repair]]*BOQs!$L$9</f>
        <v>0</v>
      </c>
      <c r="AI59" s="76"/>
      <c r="AJ59" s="37"/>
      <c r="AK59" s="86">
        <f>tbl_Actual_costs_quantities34[[#This Row],[Windows Replacement Repair]]*BOQs!$L$10</f>
        <v>0</v>
      </c>
      <c r="AL59" s="76"/>
      <c r="AM59" s="37"/>
      <c r="AN59" s="86">
        <f>tbl_Actual_costs_quantities34[[#This Row],[Bathroom Rehabilitation]]*BOQs!$L$11</f>
        <v>0</v>
      </c>
      <c r="AO59" s="76"/>
      <c r="AP59" s="37"/>
      <c r="AQ59" s="86">
        <f>tbl_Actual_costs_quantities34[[#This Row],[Ceramic Tile Works WASH]]*BOQs!$L$12</f>
        <v>0</v>
      </c>
      <c r="AR59" s="76"/>
      <c r="AS59" s="37"/>
      <c r="AT59" s="86">
        <f>tbl_Actual_costs_quantities34[[#This Row],[Electrical Repairs Lighting]]*BOQs!$L$13</f>
        <v>0</v>
      </c>
      <c r="AU59" s="76"/>
      <c r="AV59" s="37"/>
      <c r="AW59" s="86">
        <f>tbl_Actual_costs_quantities34[[#This Row],[Roof Insulation Leak Sealing]]*BOQs!$L$14</f>
        <v>0</v>
      </c>
      <c r="AX59" s="76"/>
      <c r="AY59" s="37"/>
      <c r="AZ59" s="86">
        <f>tbl_Actual_costs_quantities34[[#This Row],[Chimney Duct Cleaning Repair]]*BOQs!$L$15</f>
        <v>0</v>
      </c>
      <c r="BA59" s="76"/>
      <c r="BB59" s="37"/>
      <c r="BC59" s="89">
        <f>tbl_Actual_costs_quantities34[[#This Row],[Accessibility Adaptations]]*BOQs!$L$16</f>
        <v>0</v>
      </c>
      <c r="BD59" s="41"/>
      <c r="BE59" s="37"/>
      <c r="BF59" s="37"/>
    </row>
    <row r="60" spans="2:58" ht="25.15" customHeight="1" x14ac:dyDescent="0.25">
      <c r="B60" s="49">
        <v>56</v>
      </c>
      <c r="C60" s="37"/>
      <c r="D60" s="41"/>
      <c r="E60" s="40"/>
      <c r="F60" s="87" t="str">
        <f>IF(tbl_Actual_costs_quantities34[[#This Row],[House Code]]&lt;&gt;"",INDEX(tbl_Assessment[],MATCH(tbl_Actual_costs_quantities34[[#This Row],[House Code]],tbl_Assessment[House Code],0),3),"")</f>
        <v/>
      </c>
      <c r="G60" s="116" t="str">
        <f>IF(tbl_Actual_costs_quantities34[[#This Row],[House Code]]&lt;&gt;"",INDEX(tbl_Assessment[],MATCH(tbl_Actual_costs_quantities34[[#This Row],[House Code]],tbl_Assessment[House Code],0),9),"")</f>
        <v/>
      </c>
      <c r="H60" s="41"/>
      <c r="I60" s="41"/>
      <c r="J60" s="41"/>
      <c r="K60" s="116"/>
      <c r="L60" s="117" t="str">
        <f>IF(tbl_Actual_costs_quantities34[[#This Row],[House Code]]&lt;&gt;"",tbl_Actual_costs_quantities34[[#This Row],[Total cost]]/INDEX(tbl_estimated_costs_quantities[],MATCH(tbl_Actual_costs_quantities34[[#This Row],[House Code]],tbl_estimated_costs_quantities[House Code],0),7),"")</f>
        <v/>
      </c>
      <c r="M6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 s="75"/>
      <c r="O60" s="37"/>
      <c r="P60" s="86">
        <f>tbl_Actual_costs_quantities34[[#This Row],[Site Preparation]]*BOQs!$L$3</f>
        <v>0</v>
      </c>
      <c r="Q60" s="76"/>
      <c r="R60" s="37"/>
      <c r="S60" s="86">
        <f>tbl_Actual_costs_quantities34[[#This Row],[Demolition Removal Unsafe Structures]]*BOQs!$L$4</f>
        <v>0</v>
      </c>
      <c r="T60" s="76"/>
      <c r="U60" s="37"/>
      <c r="V60" s="86">
        <f>tbl_Actual_costs_quantities34[[#This Row],[Concrete Works]]*BOQs!$L$5</f>
        <v>0</v>
      </c>
      <c r="W60" s="76"/>
      <c r="X60" s="37"/>
      <c r="Y60" s="86">
        <f>tbl_Actual_costs_quantities34[[#This Row],[Closure External Openings Walls Windows]]*BOQs!$L$6</f>
        <v>0</v>
      </c>
      <c r="Z60" s="76"/>
      <c r="AA60" s="37"/>
      <c r="AB60" s="86">
        <f>tbl_Actual_costs_quantities34[[#This Row],[Plastering Painting]]*BOQs!$L$7</f>
        <v>0</v>
      </c>
      <c r="AC60" s="76"/>
      <c r="AD60" s="37"/>
      <c r="AE60" s="86">
        <f>tbl_Actual_costs_quantities34[[#This Row],[Floor Repairs]]*BOQs!$L$8</f>
        <v>0</v>
      </c>
      <c r="AF60" s="76"/>
      <c r="AG60" s="37"/>
      <c r="AH60" s="86">
        <f>tbl_Actual_costs_quantities34[[#This Row],[Doors Replacement Repair]]*BOQs!$L$9</f>
        <v>0</v>
      </c>
      <c r="AI60" s="76"/>
      <c r="AJ60" s="37"/>
      <c r="AK60" s="86">
        <f>tbl_Actual_costs_quantities34[[#This Row],[Windows Replacement Repair]]*BOQs!$L$10</f>
        <v>0</v>
      </c>
      <c r="AL60" s="76"/>
      <c r="AM60" s="37"/>
      <c r="AN60" s="86">
        <f>tbl_Actual_costs_quantities34[[#This Row],[Bathroom Rehabilitation]]*BOQs!$L$11</f>
        <v>0</v>
      </c>
      <c r="AO60" s="76"/>
      <c r="AP60" s="37"/>
      <c r="AQ60" s="86">
        <f>tbl_Actual_costs_quantities34[[#This Row],[Ceramic Tile Works WASH]]*BOQs!$L$12</f>
        <v>0</v>
      </c>
      <c r="AR60" s="76"/>
      <c r="AS60" s="37"/>
      <c r="AT60" s="86">
        <f>tbl_Actual_costs_quantities34[[#This Row],[Electrical Repairs Lighting]]*BOQs!$L$13</f>
        <v>0</v>
      </c>
      <c r="AU60" s="76"/>
      <c r="AV60" s="37"/>
      <c r="AW60" s="86">
        <f>tbl_Actual_costs_quantities34[[#This Row],[Roof Insulation Leak Sealing]]*BOQs!$L$14</f>
        <v>0</v>
      </c>
      <c r="AX60" s="76"/>
      <c r="AY60" s="37"/>
      <c r="AZ60" s="86">
        <f>tbl_Actual_costs_quantities34[[#This Row],[Chimney Duct Cleaning Repair]]*BOQs!$L$15</f>
        <v>0</v>
      </c>
      <c r="BA60" s="76"/>
      <c r="BB60" s="37"/>
      <c r="BC60" s="89">
        <f>tbl_Actual_costs_quantities34[[#This Row],[Accessibility Adaptations]]*BOQs!$L$16</f>
        <v>0</v>
      </c>
      <c r="BD60" s="41"/>
      <c r="BE60" s="37"/>
      <c r="BF60" s="37"/>
    </row>
    <row r="61" spans="2:58" ht="25.15" customHeight="1" x14ac:dyDescent="0.25">
      <c r="B61" s="49">
        <v>57</v>
      </c>
      <c r="C61" s="37"/>
      <c r="D61" s="41"/>
      <c r="E61" s="40"/>
      <c r="F61" s="87" t="str">
        <f>IF(tbl_Actual_costs_quantities34[[#This Row],[House Code]]&lt;&gt;"",INDEX(tbl_Assessment[],MATCH(tbl_Actual_costs_quantities34[[#This Row],[House Code]],tbl_Assessment[House Code],0),3),"")</f>
        <v/>
      </c>
      <c r="G61" s="116" t="str">
        <f>IF(tbl_Actual_costs_quantities34[[#This Row],[House Code]]&lt;&gt;"",INDEX(tbl_Assessment[],MATCH(tbl_Actual_costs_quantities34[[#This Row],[House Code]],tbl_Assessment[House Code],0),9),"")</f>
        <v/>
      </c>
      <c r="H61" s="41"/>
      <c r="I61" s="41"/>
      <c r="J61" s="41"/>
      <c r="K61" s="116"/>
      <c r="L61" s="117" t="str">
        <f>IF(tbl_Actual_costs_quantities34[[#This Row],[House Code]]&lt;&gt;"",tbl_Actual_costs_quantities34[[#This Row],[Total cost]]/INDEX(tbl_estimated_costs_quantities[],MATCH(tbl_Actual_costs_quantities34[[#This Row],[House Code]],tbl_estimated_costs_quantities[House Code],0),7),"")</f>
        <v/>
      </c>
      <c r="M6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 s="75"/>
      <c r="O61" s="37"/>
      <c r="P61" s="86">
        <f>tbl_Actual_costs_quantities34[[#This Row],[Site Preparation]]*BOQs!$L$3</f>
        <v>0</v>
      </c>
      <c r="Q61" s="76"/>
      <c r="R61" s="37"/>
      <c r="S61" s="86">
        <f>tbl_Actual_costs_quantities34[[#This Row],[Demolition Removal Unsafe Structures]]*BOQs!$L$4</f>
        <v>0</v>
      </c>
      <c r="T61" s="76"/>
      <c r="U61" s="37"/>
      <c r="V61" s="86">
        <f>tbl_Actual_costs_quantities34[[#This Row],[Concrete Works]]*BOQs!$L$5</f>
        <v>0</v>
      </c>
      <c r="W61" s="76"/>
      <c r="X61" s="37"/>
      <c r="Y61" s="86">
        <f>tbl_Actual_costs_quantities34[[#This Row],[Closure External Openings Walls Windows]]*BOQs!$L$6</f>
        <v>0</v>
      </c>
      <c r="Z61" s="76"/>
      <c r="AA61" s="37"/>
      <c r="AB61" s="86">
        <f>tbl_Actual_costs_quantities34[[#This Row],[Plastering Painting]]*BOQs!$L$7</f>
        <v>0</v>
      </c>
      <c r="AC61" s="76"/>
      <c r="AD61" s="37"/>
      <c r="AE61" s="86">
        <f>tbl_Actual_costs_quantities34[[#This Row],[Floor Repairs]]*BOQs!$L$8</f>
        <v>0</v>
      </c>
      <c r="AF61" s="76"/>
      <c r="AG61" s="37"/>
      <c r="AH61" s="86">
        <f>tbl_Actual_costs_quantities34[[#This Row],[Doors Replacement Repair]]*BOQs!$L$9</f>
        <v>0</v>
      </c>
      <c r="AI61" s="76"/>
      <c r="AJ61" s="37"/>
      <c r="AK61" s="86">
        <f>tbl_Actual_costs_quantities34[[#This Row],[Windows Replacement Repair]]*BOQs!$L$10</f>
        <v>0</v>
      </c>
      <c r="AL61" s="76"/>
      <c r="AM61" s="37"/>
      <c r="AN61" s="86">
        <f>tbl_Actual_costs_quantities34[[#This Row],[Bathroom Rehabilitation]]*BOQs!$L$11</f>
        <v>0</v>
      </c>
      <c r="AO61" s="76"/>
      <c r="AP61" s="37"/>
      <c r="AQ61" s="86">
        <f>tbl_Actual_costs_quantities34[[#This Row],[Ceramic Tile Works WASH]]*BOQs!$L$12</f>
        <v>0</v>
      </c>
      <c r="AR61" s="76"/>
      <c r="AS61" s="37"/>
      <c r="AT61" s="86">
        <f>tbl_Actual_costs_quantities34[[#This Row],[Electrical Repairs Lighting]]*BOQs!$L$13</f>
        <v>0</v>
      </c>
      <c r="AU61" s="76"/>
      <c r="AV61" s="37"/>
      <c r="AW61" s="86">
        <f>tbl_Actual_costs_quantities34[[#This Row],[Roof Insulation Leak Sealing]]*BOQs!$L$14</f>
        <v>0</v>
      </c>
      <c r="AX61" s="76"/>
      <c r="AY61" s="37"/>
      <c r="AZ61" s="86">
        <f>tbl_Actual_costs_quantities34[[#This Row],[Chimney Duct Cleaning Repair]]*BOQs!$L$15</f>
        <v>0</v>
      </c>
      <c r="BA61" s="76"/>
      <c r="BB61" s="37"/>
      <c r="BC61" s="89">
        <f>tbl_Actual_costs_quantities34[[#This Row],[Accessibility Adaptations]]*BOQs!$L$16</f>
        <v>0</v>
      </c>
      <c r="BD61" s="41"/>
      <c r="BE61" s="37"/>
      <c r="BF61" s="37"/>
    </row>
    <row r="62" spans="2:58" ht="25.15" customHeight="1" x14ac:dyDescent="0.25">
      <c r="B62" s="49">
        <v>58</v>
      </c>
      <c r="C62" s="37"/>
      <c r="D62" s="41"/>
      <c r="E62" s="40"/>
      <c r="F62" s="87" t="str">
        <f>IF(tbl_Actual_costs_quantities34[[#This Row],[House Code]]&lt;&gt;"",INDEX(tbl_Assessment[],MATCH(tbl_Actual_costs_quantities34[[#This Row],[House Code]],tbl_Assessment[House Code],0),3),"")</f>
        <v/>
      </c>
      <c r="G62" s="116" t="str">
        <f>IF(tbl_Actual_costs_quantities34[[#This Row],[House Code]]&lt;&gt;"",INDEX(tbl_Assessment[],MATCH(tbl_Actual_costs_quantities34[[#This Row],[House Code]],tbl_Assessment[House Code],0),9),"")</f>
        <v/>
      </c>
      <c r="H62" s="41"/>
      <c r="I62" s="41"/>
      <c r="J62" s="41"/>
      <c r="K62" s="116"/>
      <c r="L62" s="117" t="str">
        <f>IF(tbl_Actual_costs_quantities34[[#This Row],[House Code]]&lt;&gt;"",tbl_Actual_costs_quantities34[[#This Row],[Total cost]]/INDEX(tbl_estimated_costs_quantities[],MATCH(tbl_Actual_costs_quantities34[[#This Row],[House Code]],tbl_estimated_costs_quantities[House Code],0),7),"")</f>
        <v/>
      </c>
      <c r="M6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 s="75"/>
      <c r="O62" s="37"/>
      <c r="P62" s="86">
        <f>tbl_Actual_costs_quantities34[[#This Row],[Site Preparation]]*BOQs!$L$3</f>
        <v>0</v>
      </c>
      <c r="Q62" s="76"/>
      <c r="R62" s="37"/>
      <c r="S62" s="86">
        <f>tbl_Actual_costs_quantities34[[#This Row],[Demolition Removal Unsafe Structures]]*BOQs!$L$4</f>
        <v>0</v>
      </c>
      <c r="T62" s="76"/>
      <c r="U62" s="37"/>
      <c r="V62" s="86">
        <f>tbl_Actual_costs_quantities34[[#This Row],[Concrete Works]]*BOQs!$L$5</f>
        <v>0</v>
      </c>
      <c r="W62" s="76"/>
      <c r="X62" s="37"/>
      <c r="Y62" s="86">
        <f>tbl_Actual_costs_quantities34[[#This Row],[Closure External Openings Walls Windows]]*BOQs!$L$6</f>
        <v>0</v>
      </c>
      <c r="Z62" s="76"/>
      <c r="AA62" s="37"/>
      <c r="AB62" s="86">
        <f>tbl_Actual_costs_quantities34[[#This Row],[Plastering Painting]]*BOQs!$L$7</f>
        <v>0</v>
      </c>
      <c r="AC62" s="76"/>
      <c r="AD62" s="37"/>
      <c r="AE62" s="86">
        <f>tbl_Actual_costs_quantities34[[#This Row],[Floor Repairs]]*BOQs!$L$8</f>
        <v>0</v>
      </c>
      <c r="AF62" s="76"/>
      <c r="AG62" s="37"/>
      <c r="AH62" s="86">
        <f>tbl_Actual_costs_quantities34[[#This Row],[Doors Replacement Repair]]*BOQs!$L$9</f>
        <v>0</v>
      </c>
      <c r="AI62" s="76"/>
      <c r="AJ62" s="37"/>
      <c r="AK62" s="86">
        <f>tbl_Actual_costs_quantities34[[#This Row],[Windows Replacement Repair]]*BOQs!$L$10</f>
        <v>0</v>
      </c>
      <c r="AL62" s="76"/>
      <c r="AM62" s="37"/>
      <c r="AN62" s="86">
        <f>tbl_Actual_costs_quantities34[[#This Row],[Bathroom Rehabilitation]]*BOQs!$L$11</f>
        <v>0</v>
      </c>
      <c r="AO62" s="76"/>
      <c r="AP62" s="37"/>
      <c r="AQ62" s="86">
        <f>tbl_Actual_costs_quantities34[[#This Row],[Ceramic Tile Works WASH]]*BOQs!$L$12</f>
        <v>0</v>
      </c>
      <c r="AR62" s="76"/>
      <c r="AS62" s="37"/>
      <c r="AT62" s="86">
        <f>tbl_Actual_costs_quantities34[[#This Row],[Electrical Repairs Lighting]]*BOQs!$L$13</f>
        <v>0</v>
      </c>
      <c r="AU62" s="76"/>
      <c r="AV62" s="37"/>
      <c r="AW62" s="86">
        <f>tbl_Actual_costs_quantities34[[#This Row],[Roof Insulation Leak Sealing]]*BOQs!$L$14</f>
        <v>0</v>
      </c>
      <c r="AX62" s="76"/>
      <c r="AY62" s="37"/>
      <c r="AZ62" s="86">
        <f>tbl_Actual_costs_quantities34[[#This Row],[Chimney Duct Cleaning Repair]]*BOQs!$L$15</f>
        <v>0</v>
      </c>
      <c r="BA62" s="76"/>
      <c r="BB62" s="37"/>
      <c r="BC62" s="89">
        <f>tbl_Actual_costs_quantities34[[#This Row],[Accessibility Adaptations]]*BOQs!$L$16</f>
        <v>0</v>
      </c>
      <c r="BD62" s="41"/>
      <c r="BE62" s="37"/>
      <c r="BF62" s="37"/>
    </row>
    <row r="63" spans="2:58" ht="25.15" customHeight="1" x14ac:dyDescent="0.25">
      <c r="B63" s="49">
        <v>59</v>
      </c>
      <c r="C63" s="37"/>
      <c r="D63" s="41"/>
      <c r="E63" s="40"/>
      <c r="F63" s="87" t="str">
        <f>IF(tbl_Actual_costs_quantities34[[#This Row],[House Code]]&lt;&gt;"",INDEX(tbl_Assessment[],MATCH(tbl_Actual_costs_quantities34[[#This Row],[House Code]],tbl_Assessment[House Code],0),3),"")</f>
        <v/>
      </c>
      <c r="G63" s="116" t="str">
        <f>IF(tbl_Actual_costs_quantities34[[#This Row],[House Code]]&lt;&gt;"",INDEX(tbl_Assessment[],MATCH(tbl_Actual_costs_quantities34[[#This Row],[House Code]],tbl_Assessment[House Code],0),9),"")</f>
        <v/>
      </c>
      <c r="H63" s="41"/>
      <c r="I63" s="41"/>
      <c r="J63" s="41"/>
      <c r="K63" s="116"/>
      <c r="L63" s="117" t="str">
        <f>IF(tbl_Actual_costs_quantities34[[#This Row],[House Code]]&lt;&gt;"",tbl_Actual_costs_quantities34[[#This Row],[Total cost]]/INDEX(tbl_estimated_costs_quantities[],MATCH(tbl_Actual_costs_quantities34[[#This Row],[House Code]],tbl_estimated_costs_quantities[House Code],0),7),"")</f>
        <v/>
      </c>
      <c r="M6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 s="75"/>
      <c r="O63" s="37"/>
      <c r="P63" s="86">
        <f>tbl_Actual_costs_quantities34[[#This Row],[Site Preparation]]*BOQs!$L$3</f>
        <v>0</v>
      </c>
      <c r="Q63" s="76"/>
      <c r="R63" s="37"/>
      <c r="S63" s="86">
        <f>tbl_Actual_costs_quantities34[[#This Row],[Demolition Removal Unsafe Structures]]*BOQs!$L$4</f>
        <v>0</v>
      </c>
      <c r="T63" s="76"/>
      <c r="U63" s="37"/>
      <c r="V63" s="86">
        <f>tbl_Actual_costs_quantities34[[#This Row],[Concrete Works]]*BOQs!$L$5</f>
        <v>0</v>
      </c>
      <c r="W63" s="76"/>
      <c r="X63" s="37"/>
      <c r="Y63" s="86">
        <f>tbl_Actual_costs_quantities34[[#This Row],[Closure External Openings Walls Windows]]*BOQs!$L$6</f>
        <v>0</v>
      </c>
      <c r="Z63" s="76"/>
      <c r="AA63" s="37"/>
      <c r="AB63" s="86">
        <f>tbl_Actual_costs_quantities34[[#This Row],[Plastering Painting]]*BOQs!$L$7</f>
        <v>0</v>
      </c>
      <c r="AC63" s="76"/>
      <c r="AD63" s="37"/>
      <c r="AE63" s="86">
        <f>tbl_Actual_costs_quantities34[[#This Row],[Floor Repairs]]*BOQs!$L$8</f>
        <v>0</v>
      </c>
      <c r="AF63" s="76"/>
      <c r="AG63" s="37"/>
      <c r="AH63" s="86">
        <f>tbl_Actual_costs_quantities34[[#This Row],[Doors Replacement Repair]]*BOQs!$L$9</f>
        <v>0</v>
      </c>
      <c r="AI63" s="76"/>
      <c r="AJ63" s="37"/>
      <c r="AK63" s="86">
        <f>tbl_Actual_costs_quantities34[[#This Row],[Windows Replacement Repair]]*BOQs!$L$10</f>
        <v>0</v>
      </c>
      <c r="AL63" s="76"/>
      <c r="AM63" s="37"/>
      <c r="AN63" s="86">
        <f>tbl_Actual_costs_quantities34[[#This Row],[Bathroom Rehabilitation]]*BOQs!$L$11</f>
        <v>0</v>
      </c>
      <c r="AO63" s="76"/>
      <c r="AP63" s="37"/>
      <c r="AQ63" s="86">
        <f>tbl_Actual_costs_quantities34[[#This Row],[Ceramic Tile Works WASH]]*BOQs!$L$12</f>
        <v>0</v>
      </c>
      <c r="AR63" s="76"/>
      <c r="AS63" s="37"/>
      <c r="AT63" s="86">
        <f>tbl_Actual_costs_quantities34[[#This Row],[Electrical Repairs Lighting]]*BOQs!$L$13</f>
        <v>0</v>
      </c>
      <c r="AU63" s="76"/>
      <c r="AV63" s="37"/>
      <c r="AW63" s="86">
        <f>tbl_Actual_costs_quantities34[[#This Row],[Roof Insulation Leak Sealing]]*BOQs!$L$14</f>
        <v>0</v>
      </c>
      <c r="AX63" s="76"/>
      <c r="AY63" s="37"/>
      <c r="AZ63" s="86">
        <f>tbl_Actual_costs_quantities34[[#This Row],[Chimney Duct Cleaning Repair]]*BOQs!$L$15</f>
        <v>0</v>
      </c>
      <c r="BA63" s="76"/>
      <c r="BB63" s="37"/>
      <c r="BC63" s="89">
        <f>tbl_Actual_costs_quantities34[[#This Row],[Accessibility Adaptations]]*BOQs!$L$16</f>
        <v>0</v>
      </c>
      <c r="BD63" s="41"/>
      <c r="BE63" s="37"/>
      <c r="BF63" s="37"/>
    </row>
    <row r="64" spans="2:58" ht="25.15" customHeight="1" x14ac:dyDescent="0.25">
      <c r="B64" s="49">
        <v>60</v>
      </c>
      <c r="C64" s="37"/>
      <c r="D64" s="41"/>
      <c r="E64" s="40"/>
      <c r="F64" s="87" t="str">
        <f>IF(tbl_Actual_costs_quantities34[[#This Row],[House Code]]&lt;&gt;"",INDEX(tbl_Assessment[],MATCH(tbl_Actual_costs_quantities34[[#This Row],[House Code]],tbl_Assessment[House Code],0),3),"")</f>
        <v/>
      </c>
      <c r="G64" s="116" t="str">
        <f>IF(tbl_Actual_costs_quantities34[[#This Row],[House Code]]&lt;&gt;"",INDEX(tbl_Assessment[],MATCH(tbl_Actual_costs_quantities34[[#This Row],[House Code]],tbl_Assessment[House Code],0),9),"")</f>
        <v/>
      </c>
      <c r="H64" s="41"/>
      <c r="I64" s="41"/>
      <c r="J64" s="41"/>
      <c r="K64" s="116"/>
      <c r="L64" s="117" t="str">
        <f>IF(tbl_Actual_costs_quantities34[[#This Row],[House Code]]&lt;&gt;"",tbl_Actual_costs_quantities34[[#This Row],[Total cost]]/INDEX(tbl_estimated_costs_quantities[],MATCH(tbl_Actual_costs_quantities34[[#This Row],[House Code]],tbl_estimated_costs_quantities[House Code],0),7),"")</f>
        <v/>
      </c>
      <c r="M6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 s="75"/>
      <c r="O64" s="37"/>
      <c r="P64" s="86">
        <f>tbl_Actual_costs_quantities34[[#This Row],[Site Preparation]]*BOQs!$L$3</f>
        <v>0</v>
      </c>
      <c r="Q64" s="76"/>
      <c r="R64" s="37"/>
      <c r="S64" s="86">
        <f>tbl_Actual_costs_quantities34[[#This Row],[Demolition Removal Unsafe Structures]]*BOQs!$L$4</f>
        <v>0</v>
      </c>
      <c r="T64" s="76"/>
      <c r="U64" s="37"/>
      <c r="V64" s="86">
        <f>tbl_Actual_costs_quantities34[[#This Row],[Concrete Works]]*BOQs!$L$5</f>
        <v>0</v>
      </c>
      <c r="W64" s="76"/>
      <c r="X64" s="37"/>
      <c r="Y64" s="86">
        <f>tbl_Actual_costs_quantities34[[#This Row],[Closure External Openings Walls Windows]]*BOQs!$L$6</f>
        <v>0</v>
      </c>
      <c r="Z64" s="76"/>
      <c r="AA64" s="37"/>
      <c r="AB64" s="86">
        <f>tbl_Actual_costs_quantities34[[#This Row],[Plastering Painting]]*BOQs!$L$7</f>
        <v>0</v>
      </c>
      <c r="AC64" s="76"/>
      <c r="AD64" s="37"/>
      <c r="AE64" s="86">
        <f>tbl_Actual_costs_quantities34[[#This Row],[Floor Repairs]]*BOQs!$L$8</f>
        <v>0</v>
      </c>
      <c r="AF64" s="76"/>
      <c r="AG64" s="37"/>
      <c r="AH64" s="86">
        <f>tbl_Actual_costs_quantities34[[#This Row],[Doors Replacement Repair]]*BOQs!$L$9</f>
        <v>0</v>
      </c>
      <c r="AI64" s="76"/>
      <c r="AJ64" s="37"/>
      <c r="AK64" s="86">
        <f>tbl_Actual_costs_quantities34[[#This Row],[Windows Replacement Repair]]*BOQs!$L$10</f>
        <v>0</v>
      </c>
      <c r="AL64" s="76"/>
      <c r="AM64" s="37"/>
      <c r="AN64" s="86">
        <f>tbl_Actual_costs_quantities34[[#This Row],[Bathroom Rehabilitation]]*BOQs!$L$11</f>
        <v>0</v>
      </c>
      <c r="AO64" s="76"/>
      <c r="AP64" s="37"/>
      <c r="AQ64" s="86">
        <f>tbl_Actual_costs_quantities34[[#This Row],[Ceramic Tile Works WASH]]*BOQs!$L$12</f>
        <v>0</v>
      </c>
      <c r="AR64" s="76"/>
      <c r="AS64" s="37"/>
      <c r="AT64" s="86">
        <f>tbl_Actual_costs_quantities34[[#This Row],[Electrical Repairs Lighting]]*BOQs!$L$13</f>
        <v>0</v>
      </c>
      <c r="AU64" s="76"/>
      <c r="AV64" s="37"/>
      <c r="AW64" s="86">
        <f>tbl_Actual_costs_quantities34[[#This Row],[Roof Insulation Leak Sealing]]*BOQs!$L$14</f>
        <v>0</v>
      </c>
      <c r="AX64" s="76"/>
      <c r="AY64" s="37"/>
      <c r="AZ64" s="86">
        <f>tbl_Actual_costs_quantities34[[#This Row],[Chimney Duct Cleaning Repair]]*BOQs!$L$15</f>
        <v>0</v>
      </c>
      <c r="BA64" s="76"/>
      <c r="BB64" s="37"/>
      <c r="BC64" s="89">
        <f>tbl_Actual_costs_quantities34[[#This Row],[Accessibility Adaptations]]*BOQs!$L$16</f>
        <v>0</v>
      </c>
      <c r="BD64" s="41"/>
      <c r="BE64" s="37"/>
      <c r="BF64" s="37"/>
    </row>
    <row r="65" spans="2:58" ht="25.15" customHeight="1" x14ac:dyDescent="0.25">
      <c r="B65" s="49">
        <v>61</v>
      </c>
      <c r="C65" s="37"/>
      <c r="D65" s="41"/>
      <c r="E65" s="40"/>
      <c r="F65" s="87" t="str">
        <f>IF(tbl_Actual_costs_quantities34[[#This Row],[House Code]]&lt;&gt;"",INDEX(tbl_Assessment[],MATCH(tbl_Actual_costs_quantities34[[#This Row],[House Code]],tbl_Assessment[House Code],0),3),"")</f>
        <v/>
      </c>
      <c r="G65" s="116" t="str">
        <f>IF(tbl_Actual_costs_quantities34[[#This Row],[House Code]]&lt;&gt;"",INDEX(tbl_Assessment[],MATCH(tbl_Actual_costs_quantities34[[#This Row],[House Code]],tbl_Assessment[House Code],0),9),"")</f>
        <v/>
      </c>
      <c r="H65" s="41"/>
      <c r="I65" s="41"/>
      <c r="J65" s="41"/>
      <c r="K65" s="116"/>
      <c r="L65" s="117" t="str">
        <f>IF(tbl_Actual_costs_quantities34[[#This Row],[House Code]]&lt;&gt;"",tbl_Actual_costs_quantities34[[#This Row],[Total cost]]/INDEX(tbl_estimated_costs_quantities[],MATCH(tbl_Actual_costs_quantities34[[#This Row],[House Code]],tbl_estimated_costs_quantities[House Code],0),7),"")</f>
        <v/>
      </c>
      <c r="M6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 s="75"/>
      <c r="O65" s="37"/>
      <c r="P65" s="86">
        <f>tbl_Actual_costs_quantities34[[#This Row],[Site Preparation]]*BOQs!$L$3</f>
        <v>0</v>
      </c>
      <c r="Q65" s="76"/>
      <c r="R65" s="37"/>
      <c r="S65" s="86">
        <f>tbl_Actual_costs_quantities34[[#This Row],[Demolition Removal Unsafe Structures]]*BOQs!$L$4</f>
        <v>0</v>
      </c>
      <c r="T65" s="76"/>
      <c r="U65" s="37"/>
      <c r="V65" s="86">
        <f>tbl_Actual_costs_quantities34[[#This Row],[Concrete Works]]*BOQs!$L$5</f>
        <v>0</v>
      </c>
      <c r="W65" s="76"/>
      <c r="X65" s="37"/>
      <c r="Y65" s="86">
        <f>tbl_Actual_costs_quantities34[[#This Row],[Closure External Openings Walls Windows]]*BOQs!$L$6</f>
        <v>0</v>
      </c>
      <c r="Z65" s="76"/>
      <c r="AA65" s="37"/>
      <c r="AB65" s="86">
        <f>tbl_Actual_costs_quantities34[[#This Row],[Plastering Painting]]*BOQs!$L$7</f>
        <v>0</v>
      </c>
      <c r="AC65" s="76"/>
      <c r="AD65" s="37"/>
      <c r="AE65" s="86">
        <f>tbl_Actual_costs_quantities34[[#This Row],[Floor Repairs]]*BOQs!$L$8</f>
        <v>0</v>
      </c>
      <c r="AF65" s="76"/>
      <c r="AG65" s="37"/>
      <c r="AH65" s="86">
        <f>tbl_Actual_costs_quantities34[[#This Row],[Doors Replacement Repair]]*BOQs!$L$9</f>
        <v>0</v>
      </c>
      <c r="AI65" s="76"/>
      <c r="AJ65" s="37"/>
      <c r="AK65" s="86">
        <f>tbl_Actual_costs_quantities34[[#This Row],[Windows Replacement Repair]]*BOQs!$L$10</f>
        <v>0</v>
      </c>
      <c r="AL65" s="76"/>
      <c r="AM65" s="37"/>
      <c r="AN65" s="86">
        <f>tbl_Actual_costs_quantities34[[#This Row],[Bathroom Rehabilitation]]*BOQs!$L$11</f>
        <v>0</v>
      </c>
      <c r="AO65" s="76"/>
      <c r="AP65" s="37"/>
      <c r="AQ65" s="86">
        <f>tbl_Actual_costs_quantities34[[#This Row],[Ceramic Tile Works WASH]]*BOQs!$L$12</f>
        <v>0</v>
      </c>
      <c r="AR65" s="76"/>
      <c r="AS65" s="37"/>
      <c r="AT65" s="86">
        <f>tbl_Actual_costs_quantities34[[#This Row],[Electrical Repairs Lighting]]*BOQs!$L$13</f>
        <v>0</v>
      </c>
      <c r="AU65" s="76"/>
      <c r="AV65" s="37"/>
      <c r="AW65" s="86">
        <f>tbl_Actual_costs_quantities34[[#This Row],[Roof Insulation Leak Sealing]]*BOQs!$L$14</f>
        <v>0</v>
      </c>
      <c r="AX65" s="76"/>
      <c r="AY65" s="37"/>
      <c r="AZ65" s="86">
        <f>tbl_Actual_costs_quantities34[[#This Row],[Chimney Duct Cleaning Repair]]*BOQs!$L$15</f>
        <v>0</v>
      </c>
      <c r="BA65" s="76"/>
      <c r="BB65" s="37"/>
      <c r="BC65" s="89">
        <f>tbl_Actual_costs_quantities34[[#This Row],[Accessibility Adaptations]]*BOQs!$L$16</f>
        <v>0</v>
      </c>
      <c r="BD65" s="41"/>
      <c r="BE65" s="37"/>
      <c r="BF65" s="37"/>
    </row>
    <row r="66" spans="2:58" ht="25.15" customHeight="1" x14ac:dyDescent="0.25">
      <c r="B66" s="49">
        <v>62</v>
      </c>
      <c r="C66" s="37"/>
      <c r="D66" s="41"/>
      <c r="E66" s="40"/>
      <c r="F66" s="87" t="str">
        <f>IF(tbl_Actual_costs_quantities34[[#This Row],[House Code]]&lt;&gt;"",INDEX(tbl_Assessment[],MATCH(tbl_Actual_costs_quantities34[[#This Row],[House Code]],tbl_Assessment[House Code],0),3),"")</f>
        <v/>
      </c>
      <c r="G66" s="116" t="str">
        <f>IF(tbl_Actual_costs_quantities34[[#This Row],[House Code]]&lt;&gt;"",INDEX(tbl_Assessment[],MATCH(tbl_Actual_costs_quantities34[[#This Row],[House Code]],tbl_Assessment[House Code],0),9),"")</f>
        <v/>
      </c>
      <c r="H66" s="41"/>
      <c r="I66" s="41"/>
      <c r="J66" s="41"/>
      <c r="K66" s="116"/>
      <c r="L66" s="117" t="str">
        <f>IF(tbl_Actual_costs_quantities34[[#This Row],[House Code]]&lt;&gt;"",tbl_Actual_costs_quantities34[[#This Row],[Total cost]]/INDEX(tbl_estimated_costs_quantities[],MATCH(tbl_Actual_costs_quantities34[[#This Row],[House Code]],tbl_estimated_costs_quantities[House Code],0),7),"")</f>
        <v/>
      </c>
      <c r="M6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 s="75"/>
      <c r="O66" s="37"/>
      <c r="P66" s="86">
        <f>tbl_Actual_costs_quantities34[[#This Row],[Site Preparation]]*BOQs!$L$3</f>
        <v>0</v>
      </c>
      <c r="Q66" s="76"/>
      <c r="R66" s="37"/>
      <c r="S66" s="86">
        <f>tbl_Actual_costs_quantities34[[#This Row],[Demolition Removal Unsafe Structures]]*BOQs!$L$4</f>
        <v>0</v>
      </c>
      <c r="T66" s="76"/>
      <c r="U66" s="37"/>
      <c r="V66" s="86">
        <f>tbl_Actual_costs_quantities34[[#This Row],[Concrete Works]]*BOQs!$L$5</f>
        <v>0</v>
      </c>
      <c r="W66" s="76"/>
      <c r="X66" s="37"/>
      <c r="Y66" s="86">
        <f>tbl_Actual_costs_quantities34[[#This Row],[Closure External Openings Walls Windows]]*BOQs!$L$6</f>
        <v>0</v>
      </c>
      <c r="Z66" s="76"/>
      <c r="AA66" s="37"/>
      <c r="AB66" s="86">
        <f>tbl_Actual_costs_quantities34[[#This Row],[Plastering Painting]]*BOQs!$L$7</f>
        <v>0</v>
      </c>
      <c r="AC66" s="76"/>
      <c r="AD66" s="37"/>
      <c r="AE66" s="86">
        <f>tbl_Actual_costs_quantities34[[#This Row],[Floor Repairs]]*BOQs!$L$8</f>
        <v>0</v>
      </c>
      <c r="AF66" s="76"/>
      <c r="AG66" s="37"/>
      <c r="AH66" s="86">
        <f>tbl_Actual_costs_quantities34[[#This Row],[Doors Replacement Repair]]*BOQs!$L$9</f>
        <v>0</v>
      </c>
      <c r="AI66" s="76"/>
      <c r="AJ66" s="37"/>
      <c r="AK66" s="86">
        <f>tbl_Actual_costs_quantities34[[#This Row],[Windows Replacement Repair]]*BOQs!$L$10</f>
        <v>0</v>
      </c>
      <c r="AL66" s="76"/>
      <c r="AM66" s="37"/>
      <c r="AN66" s="86">
        <f>tbl_Actual_costs_quantities34[[#This Row],[Bathroom Rehabilitation]]*BOQs!$L$11</f>
        <v>0</v>
      </c>
      <c r="AO66" s="76"/>
      <c r="AP66" s="37"/>
      <c r="AQ66" s="86">
        <f>tbl_Actual_costs_quantities34[[#This Row],[Ceramic Tile Works WASH]]*BOQs!$L$12</f>
        <v>0</v>
      </c>
      <c r="AR66" s="76"/>
      <c r="AS66" s="37"/>
      <c r="AT66" s="86">
        <f>tbl_Actual_costs_quantities34[[#This Row],[Electrical Repairs Lighting]]*BOQs!$L$13</f>
        <v>0</v>
      </c>
      <c r="AU66" s="76"/>
      <c r="AV66" s="37"/>
      <c r="AW66" s="86">
        <f>tbl_Actual_costs_quantities34[[#This Row],[Roof Insulation Leak Sealing]]*BOQs!$L$14</f>
        <v>0</v>
      </c>
      <c r="AX66" s="76"/>
      <c r="AY66" s="37"/>
      <c r="AZ66" s="86">
        <f>tbl_Actual_costs_quantities34[[#This Row],[Chimney Duct Cleaning Repair]]*BOQs!$L$15</f>
        <v>0</v>
      </c>
      <c r="BA66" s="76"/>
      <c r="BB66" s="37"/>
      <c r="BC66" s="89">
        <f>tbl_Actual_costs_quantities34[[#This Row],[Accessibility Adaptations]]*BOQs!$L$16</f>
        <v>0</v>
      </c>
      <c r="BD66" s="41"/>
      <c r="BE66" s="37"/>
      <c r="BF66" s="37"/>
    </row>
    <row r="67" spans="2:58" ht="25.15" customHeight="1" x14ac:dyDescent="0.25">
      <c r="B67" s="49">
        <v>63</v>
      </c>
      <c r="C67" s="37"/>
      <c r="D67" s="41"/>
      <c r="E67" s="40"/>
      <c r="F67" s="87" t="str">
        <f>IF(tbl_Actual_costs_quantities34[[#This Row],[House Code]]&lt;&gt;"",INDEX(tbl_Assessment[],MATCH(tbl_Actual_costs_quantities34[[#This Row],[House Code]],tbl_Assessment[House Code],0),3),"")</f>
        <v/>
      </c>
      <c r="G67" s="116" t="str">
        <f>IF(tbl_Actual_costs_quantities34[[#This Row],[House Code]]&lt;&gt;"",INDEX(tbl_Assessment[],MATCH(tbl_Actual_costs_quantities34[[#This Row],[House Code]],tbl_Assessment[House Code],0),9),"")</f>
        <v/>
      </c>
      <c r="H67" s="41"/>
      <c r="I67" s="41"/>
      <c r="J67" s="41"/>
      <c r="K67" s="116"/>
      <c r="L67" s="117" t="str">
        <f>IF(tbl_Actual_costs_quantities34[[#This Row],[House Code]]&lt;&gt;"",tbl_Actual_costs_quantities34[[#This Row],[Total cost]]/INDEX(tbl_estimated_costs_quantities[],MATCH(tbl_Actual_costs_quantities34[[#This Row],[House Code]],tbl_estimated_costs_quantities[House Code],0),7),"")</f>
        <v/>
      </c>
      <c r="M6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 s="75"/>
      <c r="O67" s="37"/>
      <c r="P67" s="86">
        <f>tbl_Actual_costs_quantities34[[#This Row],[Site Preparation]]*BOQs!$L$3</f>
        <v>0</v>
      </c>
      <c r="Q67" s="76"/>
      <c r="R67" s="37"/>
      <c r="S67" s="86">
        <f>tbl_Actual_costs_quantities34[[#This Row],[Demolition Removal Unsafe Structures]]*BOQs!$L$4</f>
        <v>0</v>
      </c>
      <c r="T67" s="76"/>
      <c r="U67" s="37"/>
      <c r="V67" s="86">
        <f>tbl_Actual_costs_quantities34[[#This Row],[Concrete Works]]*BOQs!$L$5</f>
        <v>0</v>
      </c>
      <c r="W67" s="76"/>
      <c r="X67" s="37"/>
      <c r="Y67" s="86">
        <f>tbl_Actual_costs_quantities34[[#This Row],[Closure External Openings Walls Windows]]*BOQs!$L$6</f>
        <v>0</v>
      </c>
      <c r="Z67" s="76"/>
      <c r="AA67" s="37"/>
      <c r="AB67" s="86">
        <f>tbl_Actual_costs_quantities34[[#This Row],[Plastering Painting]]*BOQs!$L$7</f>
        <v>0</v>
      </c>
      <c r="AC67" s="76"/>
      <c r="AD67" s="37"/>
      <c r="AE67" s="86">
        <f>tbl_Actual_costs_quantities34[[#This Row],[Floor Repairs]]*BOQs!$L$8</f>
        <v>0</v>
      </c>
      <c r="AF67" s="76"/>
      <c r="AG67" s="37"/>
      <c r="AH67" s="86">
        <f>tbl_Actual_costs_quantities34[[#This Row],[Doors Replacement Repair]]*BOQs!$L$9</f>
        <v>0</v>
      </c>
      <c r="AI67" s="76"/>
      <c r="AJ67" s="37"/>
      <c r="AK67" s="86">
        <f>tbl_Actual_costs_quantities34[[#This Row],[Windows Replacement Repair]]*BOQs!$L$10</f>
        <v>0</v>
      </c>
      <c r="AL67" s="76"/>
      <c r="AM67" s="37"/>
      <c r="AN67" s="86">
        <f>tbl_Actual_costs_quantities34[[#This Row],[Bathroom Rehabilitation]]*BOQs!$L$11</f>
        <v>0</v>
      </c>
      <c r="AO67" s="76"/>
      <c r="AP67" s="37"/>
      <c r="AQ67" s="86">
        <f>tbl_Actual_costs_quantities34[[#This Row],[Ceramic Tile Works WASH]]*BOQs!$L$12</f>
        <v>0</v>
      </c>
      <c r="AR67" s="76"/>
      <c r="AS67" s="37"/>
      <c r="AT67" s="86">
        <f>tbl_Actual_costs_quantities34[[#This Row],[Electrical Repairs Lighting]]*BOQs!$L$13</f>
        <v>0</v>
      </c>
      <c r="AU67" s="76"/>
      <c r="AV67" s="37"/>
      <c r="AW67" s="86">
        <f>tbl_Actual_costs_quantities34[[#This Row],[Roof Insulation Leak Sealing]]*BOQs!$L$14</f>
        <v>0</v>
      </c>
      <c r="AX67" s="76"/>
      <c r="AY67" s="37"/>
      <c r="AZ67" s="86">
        <f>tbl_Actual_costs_quantities34[[#This Row],[Chimney Duct Cleaning Repair]]*BOQs!$L$15</f>
        <v>0</v>
      </c>
      <c r="BA67" s="76"/>
      <c r="BB67" s="37"/>
      <c r="BC67" s="89">
        <f>tbl_Actual_costs_quantities34[[#This Row],[Accessibility Adaptations]]*BOQs!$L$16</f>
        <v>0</v>
      </c>
      <c r="BD67" s="41"/>
      <c r="BE67" s="37"/>
      <c r="BF67" s="37"/>
    </row>
    <row r="68" spans="2:58" ht="25.15" customHeight="1" x14ac:dyDescent="0.25">
      <c r="B68" s="49">
        <v>64</v>
      </c>
      <c r="C68" s="37"/>
      <c r="D68" s="41"/>
      <c r="E68" s="40"/>
      <c r="F68" s="87" t="str">
        <f>IF(tbl_Actual_costs_quantities34[[#This Row],[House Code]]&lt;&gt;"",INDEX(tbl_Assessment[],MATCH(tbl_Actual_costs_quantities34[[#This Row],[House Code]],tbl_Assessment[House Code],0),3),"")</f>
        <v/>
      </c>
      <c r="G68" s="116" t="str">
        <f>IF(tbl_Actual_costs_quantities34[[#This Row],[House Code]]&lt;&gt;"",INDEX(tbl_Assessment[],MATCH(tbl_Actual_costs_quantities34[[#This Row],[House Code]],tbl_Assessment[House Code],0),9),"")</f>
        <v/>
      </c>
      <c r="H68" s="41"/>
      <c r="I68" s="41"/>
      <c r="J68" s="41"/>
      <c r="K68" s="116"/>
      <c r="L68" s="117" t="str">
        <f>IF(tbl_Actual_costs_quantities34[[#This Row],[House Code]]&lt;&gt;"",tbl_Actual_costs_quantities34[[#This Row],[Total cost]]/INDEX(tbl_estimated_costs_quantities[],MATCH(tbl_Actual_costs_quantities34[[#This Row],[House Code]],tbl_estimated_costs_quantities[House Code],0),7),"")</f>
        <v/>
      </c>
      <c r="M6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 s="75"/>
      <c r="O68" s="37"/>
      <c r="P68" s="86">
        <f>tbl_Actual_costs_quantities34[[#This Row],[Site Preparation]]*BOQs!$L$3</f>
        <v>0</v>
      </c>
      <c r="Q68" s="76"/>
      <c r="R68" s="37"/>
      <c r="S68" s="86">
        <f>tbl_Actual_costs_quantities34[[#This Row],[Demolition Removal Unsafe Structures]]*BOQs!$L$4</f>
        <v>0</v>
      </c>
      <c r="T68" s="76"/>
      <c r="U68" s="37"/>
      <c r="V68" s="86">
        <f>tbl_Actual_costs_quantities34[[#This Row],[Concrete Works]]*BOQs!$L$5</f>
        <v>0</v>
      </c>
      <c r="W68" s="76"/>
      <c r="X68" s="37"/>
      <c r="Y68" s="86">
        <f>tbl_Actual_costs_quantities34[[#This Row],[Closure External Openings Walls Windows]]*BOQs!$L$6</f>
        <v>0</v>
      </c>
      <c r="Z68" s="76"/>
      <c r="AA68" s="37"/>
      <c r="AB68" s="86">
        <f>tbl_Actual_costs_quantities34[[#This Row],[Plastering Painting]]*BOQs!$L$7</f>
        <v>0</v>
      </c>
      <c r="AC68" s="76"/>
      <c r="AD68" s="37"/>
      <c r="AE68" s="86">
        <f>tbl_Actual_costs_quantities34[[#This Row],[Floor Repairs]]*BOQs!$L$8</f>
        <v>0</v>
      </c>
      <c r="AF68" s="76"/>
      <c r="AG68" s="37"/>
      <c r="AH68" s="86">
        <f>tbl_Actual_costs_quantities34[[#This Row],[Doors Replacement Repair]]*BOQs!$L$9</f>
        <v>0</v>
      </c>
      <c r="AI68" s="76"/>
      <c r="AJ68" s="37"/>
      <c r="AK68" s="86">
        <f>tbl_Actual_costs_quantities34[[#This Row],[Windows Replacement Repair]]*BOQs!$L$10</f>
        <v>0</v>
      </c>
      <c r="AL68" s="76"/>
      <c r="AM68" s="37"/>
      <c r="AN68" s="86">
        <f>tbl_Actual_costs_quantities34[[#This Row],[Bathroom Rehabilitation]]*BOQs!$L$11</f>
        <v>0</v>
      </c>
      <c r="AO68" s="76"/>
      <c r="AP68" s="37"/>
      <c r="AQ68" s="86">
        <f>tbl_Actual_costs_quantities34[[#This Row],[Ceramic Tile Works WASH]]*BOQs!$L$12</f>
        <v>0</v>
      </c>
      <c r="AR68" s="76"/>
      <c r="AS68" s="37"/>
      <c r="AT68" s="86">
        <f>tbl_Actual_costs_quantities34[[#This Row],[Electrical Repairs Lighting]]*BOQs!$L$13</f>
        <v>0</v>
      </c>
      <c r="AU68" s="76"/>
      <c r="AV68" s="37"/>
      <c r="AW68" s="86">
        <f>tbl_Actual_costs_quantities34[[#This Row],[Roof Insulation Leak Sealing]]*BOQs!$L$14</f>
        <v>0</v>
      </c>
      <c r="AX68" s="76"/>
      <c r="AY68" s="37"/>
      <c r="AZ68" s="86">
        <f>tbl_Actual_costs_quantities34[[#This Row],[Chimney Duct Cleaning Repair]]*BOQs!$L$15</f>
        <v>0</v>
      </c>
      <c r="BA68" s="76"/>
      <c r="BB68" s="37"/>
      <c r="BC68" s="89">
        <f>tbl_Actual_costs_quantities34[[#This Row],[Accessibility Adaptations]]*BOQs!$L$16</f>
        <v>0</v>
      </c>
      <c r="BD68" s="41"/>
      <c r="BE68" s="37"/>
      <c r="BF68" s="37"/>
    </row>
    <row r="69" spans="2:58" ht="25.15" customHeight="1" x14ac:dyDescent="0.25">
      <c r="B69" s="49">
        <v>65</v>
      </c>
      <c r="C69" s="37"/>
      <c r="D69" s="41"/>
      <c r="E69" s="40"/>
      <c r="F69" s="87" t="str">
        <f>IF(tbl_Actual_costs_quantities34[[#This Row],[House Code]]&lt;&gt;"",INDEX(tbl_Assessment[],MATCH(tbl_Actual_costs_quantities34[[#This Row],[House Code]],tbl_Assessment[House Code],0),3),"")</f>
        <v/>
      </c>
      <c r="G69" s="116" t="str">
        <f>IF(tbl_Actual_costs_quantities34[[#This Row],[House Code]]&lt;&gt;"",INDEX(tbl_Assessment[],MATCH(tbl_Actual_costs_quantities34[[#This Row],[House Code]],tbl_Assessment[House Code],0),9),"")</f>
        <v/>
      </c>
      <c r="H69" s="41"/>
      <c r="I69" s="41"/>
      <c r="J69" s="41"/>
      <c r="K69" s="116"/>
      <c r="L69" s="117" t="str">
        <f>IF(tbl_Actual_costs_quantities34[[#This Row],[House Code]]&lt;&gt;"",tbl_Actual_costs_quantities34[[#This Row],[Total cost]]/INDEX(tbl_estimated_costs_quantities[],MATCH(tbl_Actual_costs_quantities34[[#This Row],[House Code]],tbl_estimated_costs_quantities[House Code],0),7),"")</f>
        <v/>
      </c>
      <c r="M6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 s="75"/>
      <c r="O69" s="37"/>
      <c r="P69" s="86">
        <f>tbl_Actual_costs_quantities34[[#This Row],[Site Preparation]]*BOQs!$L$3</f>
        <v>0</v>
      </c>
      <c r="Q69" s="76"/>
      <c r="R69" s="37"/>
      <c r="S69" s="86">
        <f>tbl_Actual_costs_quantities34[[#This Row],[Demolition Removal Unsafe Structures]]*BOQs!$L$4</f>
        <v>0</v>
      </c>
      <c r="T69" s="76"/>
      <c r="U69" s="37"/>
      <c r="V69" s="86">
        <f>tbl_Actual_costs_quantities34[[#This Row],[Concrete Works]]*BOQs!$L$5</f>
        <v>0</v>
      </c>
      <c r="W69" s="76"/>
      <c r="X69" s="37"/>
      <c r="Y69" s="86">
        <f>tbl_Actual_costs_quantities34[[#This Row],[Closure External Openings Walls Windows]]*BOQs!$L$6</f>
        <v>0</v>
      </c>
      <c r="Z69" s="76"/>
      <c r="AA69" s="37"/>
      <c r="AB69" s="86">
        <f>tbl_Actual_costs_quantities34[[#This Row],[Plastering Painting]]*BOQs!$L$7</f>
        <v>0</v>
      </c>
      <c r="AC69" s="76"/>
      <c r="AD69" s="37"/>
      <c r="AE69" s="86">
        <f>tbl_Actual_costs_quantities34[[#This Row],[Floor Repairs]]*BOQs!$L$8</f>
        <v>0</v>
      </c>
      <c r="AF69" s="76"/>
      <c r="AG69" s="37"/>
      <c r="AH69" s="86">
        <f>tbl_Actual_costs_quantities34[[#This Row],[Doors Replacement Repair]]*BOQs!$L$9</f>
        <v>0</v>
      </c>
      <c r="AI69" s="76"/>
      <c r="AJ69" s="37"/>
      <c r="AK69" s="86">
        <f>tbl_Actual_costs_quantities34[[#This Row],[Windows Replacement Repair]]*BOQs!$L$10</f>
        <v>0</v>
      </c>
      <c r="AL69" s="76"/>
      <c r="AM69" s="37"/>
      <c r="AN69" s="86">
        <f>tbl_Actual_costs_quantities34[[#This Row],[Bathroom Rehabilitation]]*BOQs!$L$11</f>
        <v>0</v>
      </c>
      <c r="AO69" s="76"/>
      <c r="AP69" s="37"/>
      <c r="AQ69" s="86">
        <f>tbl_Actual_costs_quantities34[[#This Row],[Ceramic Tile Works WASH]]*BOQs!$L$12</f>
        <v>0</v>
      </c>
      <c r="AR69" s="76"/>
      <c r="AS69" s="37"/>
      <c r="AT69" s="86">
        <f>tbl_Actual_costs_quantities34[[#This Row],[Electrical Repairs Lighting]]*BOQs!$L$13</f>
        <v>0</v>
      </c>
      <c r="AU69" s="76"/>
      <c r="AV69" s="37"/>
      <c r="AW69" s="86">
        <f>tbl_Actual_costs_quantities34[[#This Row],[Roof Insulation Leak Sealing]]*BOQs!$L$14</f>
        <v>0</v>
      </c>
      <c r="AX69" s="76"/>
      <c r="AY69" s="37"/>
      <c r="AZ69" s="86">
        <f>tbl_Actual_costs_quantities34[[#This Row],[Chimney Duct Cleaning Repair]]*BOQs!$L$15</f>
        <v>0</v>
      </c>
      <c r="BA69" s="76"/>
      <c r="BB69" s="37"/>
      <c r="BC69" s="89">
        <f>tbl_Actual_costs_quantities34[[#This Row],[Accessibility Adaptations]]*BOQs!$L$16</f>
        <v>0</v>
      </c>
      <c r="BD69" s="41"/>
      <c r="BE69" s="37"/>
      <c r="BF69" s="37"/>
    </row>
    <row r="70" spans="2:58" ht="25.15" customHeight="1" x14ac:dyDescent="0.25">
      <c r="B70" s="49">
        <v>66</v>
      </c>
      <c r="C70" s="37"/>
      <c r="D70" s="41"/>
      <c r="E70" s="40"/>
      <c r="F70" s="87" t="str">
        <f>IF(tbl_Actual_costs_quantities34[[#This Row],[House Code]]&lt;&gt;"",INDEX(tbl_Assessment[],MATCH(tbl_Actual_costs_quantities34[[#This Row],[House Code]],tbl_Assessment[House Code],0),3),"")</f>
        <v/>
      </c>
      <c r="G70" s="116" t="str">
        <f>IF(tbl_Actual_costs_quantities34[[#This Row],[House Code]]&lt;&gt;"",INDEX(tbl_Assessment[],MATCH(tbl_Actual_costs_quantities34[[#This Row],[House Code]],tbl_Assessment[House Code],0),9),"")</f>
        <v/>
      </c>
      <c r="H70" s="41"/>
      <c r="I70" s="41"/>
      <c r="J70" s="41"/>
      <c r="K70" s="116"/>
      <c r="L70" s="117" t="str">
        <f>IF(tbl_Actual_costs_quantities34[[#This Row],[House Code]]&lt;&gt;"",tbl_Actual_costs_quantities34[[#This Row],[Total cost]]/INDEX(tbl_estimated_costs_quantities[],MATCH(tbl_Actual_costs_quantities34[[#This Row],[House Code]],tbl_estimated_costs_quantities[House Code],0),7),"")</f>
        <v/>
      </c>
      <c r="M7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0" s="75"/>
      <c r="O70" s="37"/>
      <c r="P70" s="86">
        <f>tbl_Actual_costs_quantities34[[#This Row],[Site Preparation]]*BOQs!$L$3</f>
        <v>0</v>
      </c>
      <c r="Q70" s="76"/>
      <c r="R70" s="37"/>
      <c r="S70" s="86">
        <f>tbl_Actual_costs_quantities34[[#This Row],[Demolition Removal Unsafe Structures]]*BOQs!$L$4</f>
        <v>0</v>
      </c>
      <c r="T70" s="76"/>
      <c r="U70" s="37"/>
      <c r="V70" s="86">
        <f>tbl_Actual_costs_quantities34[[#This Row],[Concrete Works]]*BOQs!$L$5</f>
        <v>0</v>
      </c>
      <c r="W70" s="76"/>
      <c r="X70" s="37"/>
      <c r="Y70" s="86">
        <f>tbl_Actual_costs_quantities34[[#This Row],[Closure External Openings Walls Windows]]*BOQs!$L$6</f>
        <v>0</v>
      </c>
      <c r="Z70" s="76"/>
      <c r="AA70" s="37"/>
      <c r="AB70" s="86">
        <f>tbl_Actual_costs_quantities34[[#This Row],[Plastering Painting]]*BOQs!$L$7</f>
        <v>0</v>
      </c>
      <c r="AC70" s="76"/>
      <c r="AD70" s="37"/>
      <c r="AE70" s="86">
        <f>tbl_Actual_costs_quantities34[[#This Row],[Floor Repairs]]*BOQs!$L$8</f>
        <v>0</v>
      </c>
      <c r="AF70" s="76"/>
      <c r="AG70" s="37"/>
      <c r="AH70" s="86">
        <f>tbl_Actual_costs_quantities34[[#This Row],[Doors Replacement Repair]]*BOQs!$L$9</f>
        <v>0</v>
      </c>
      <c r="AI70" s="76"/>
      <c r="AJ70" s="37"/>
      <c r="AK70" s="86">
        <f>tbl_Actual_costs_quantities34[[#This Row],[Windows Replacement Repair]]*BOQs!$L$10</f>
        <v>0</v>
      </c>
      <c r="AL70" s="76"/>
      <c r="AM70" s="37"/>
      <c r="AN70" s="86">
        <f>tbl_Actual_costs_quantities34[[#This Row],[Bathroom Rehabilitation]]*BOQs!$L$11</f>
        <v>0</v>
      </c>
      <c r="AO70" s="76"/>
      <c r="AP70" s="37"/>
      <c r="AQ70" s="86">
        <f>tbl_Actual_costs_quantities34[[#This Row],[Ceramic Tile Works WASH]]*BOQs!$L$12</f>
        <v>0</v>
      </c>
      <c r="AR70" s="76"/>
      <c r="AS70" s="37"/>
      <c r="AT70" s="86">
        <f>tbl_Actual_costs_quantities34[[#This Row],[Electrical Repairs Lighting]]*BOQs!$L$13</f>
        <v>0</v>
      </c>
      <c r="AU70" s="76"/>
      <c r="AV70" s="37"/>
      <c r="AW70" s="86">
        <f>tbl_Actual_costs_quantities34[[#This Row],[Roof Insulation Leak Sealing]]*BOQs!$L$14</f>
        <v>0</v>
      </c>
      <c r="AX70" s="76"/>
      <c r="AY70" s="37"/>
      <c r="AZ70" s="86">
        <f>tbl_Actual_costs_quantities34[[#This Row],[Chimney Duct Cleaning Repair]]*BOQs!$L$15</f>
        <v>0</v>
      </c>
      <c r="BA70" s="76"/>
      <c r="BB70" s="37"/>
      <c r="BC70" s="89">
        <f>tbl_Actual_costs_quantities34[[#This Row],[Accessibility Adaptations]]*BOQs!$L$16</f>
        <v>0</v>
      </c>
      <c r="BD70" s="41"/>
      <c r="BE70" s="37"/>
      <c r="BF70" s="37"/>
    </row>
    <row r="71" spans="2:58" ht="25.15" customHeight="1" x14ac:dyDescent="0.25">
      <c r="B71" s="49">
        <v>67</v>
      </c>
      <c r="C71" s="37"/>
      <c r="D71" s="41"/>
      <c r="E71" s="40"/>
      <c r="F71" s="87" t="str">
        <f>IF(tbl_Actual_costs_quantities34[[#This Row],[House Code]]&lt;&gt;"",INDEX(tbl_Assessment[],MATCH(tbl_Actual_costs_quantities34[[#This Row],[House Code]],tbl_Assessment[House Code],0),3),"")</f>
        <v/>
      </c>
      <c r="G71" s="116" t="str">
        <f>IF(tbl_Actual_costs_quantities34[[#This Row],[House Code]]&lt;&gt;"",INDEX(tbl_Assessment[],MATCH(tbl_Actual_costs_quantities34[[#This Row],[House Code]],tbl_Assessment[House Code],0),9),"")</f>
        <v/>
      </c>
      <c r="H71" s="41"/>
      <c r="I71" s="41"/>
      <c r="J71" s="41"/>
      <c r="K71" s="116"/>
      <c r="L71" s="117" t="str">
        <f>IF(tbl_Actual_costs_quantities34[[#This Row],[House Code]]&lt;&gt;"",tbl_Actual_costs_quantities34[[#This Row],[Total cost]]/INDEX(tbl_estimated_costs_quantities[],MATCH(tbl_Actual_costs_quantities34[[#This Row],[House Code]],tbl_estimated_costs_quantities[House Code],0),7),"")</f>
        <v/>
      </c>
      <c r="M7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1" s="75"/>
      <c r="O71" s="37"/>
      <c r="P71" s="86">
        <f>tbl_Actual_costs_quantities34[[#This Row],[Site Preparation]]*BOQs!$L$3</f>
        <v>0</v>
      </c>
      <c r="Q71" s="76"/>
      <c r="R71" s="37"/>
      <c r="S71" s="86">
        <f>tbl_Actual_costs_quantities34[[#This Row],[Demolition Removal Unsafe Structures]]*BOQs!$L$4</f>
        <v>0</v>
      </c>
      <c r="T71" s="76"/>
      <c r="U71" s="37"/>
      <c r="V71" s="86">
        <f>tbl_Actual_costs_quantities34[[#This Row],[Concrete Works]]*BOQs!$L$5</f>
        <v>0</v>
      </c>
      <c r="W71" s="76"/>
      <c r="X71" s="37"/>
      <c r="Y71" s="86">
        <f>tbl_Actual_costs_quantities34[[#This Row],[Closure External Openings Walls Windows]]*BOQs!$L$6</f>
        <v>0</v>
      </c>
      <c r="Z71" s="76"/>
      <c r="AA71" s="37"/>
      <c r="AB71" s="86">
        <f>tbl_Actual_costs_quantities34[[#This Row],[Plastering Painting]]*BOQs!$L$7</f>
        <v>0</v>
      </c>
      <c r="AC71" s="76"/>
      <c r="AD71" s="37"/>
      <c r="AE71" s="86">
        <f>tbl_Actual_costs_quantities34[[#This Row],[Floor Repairs]]*BOQs!$L$8</f>
        <v>0</v>
      </c>
      <c r="AF71" s="76"/>
      <c r="AG71" s="37"/>
      <c r="AH71" s="86">
        <f>tbl_Actual_costs_quantities34[[#This Row],[Doors Replacement Repair]]*BOQs!$L$9</f>
        <v>0</v>
      </c>
      <c r="AI71" s="76"/>
      <c r="AJ71" s="37"/>
      <c r="AK71" s="86">
        <f>tbl_Actual_costs_quantities34[[#This Row],[Windows Replacement Repair]]*BOQs!$L$10</f>
        <v>0</v>
      </c>
      <c r="AL71" s="76"/>
      <c r="AM71" s="37"/>
      <c r="AN71" s="86">
        <f>tbl_Actual_costs_quantities34[[#This Row],[Bathroom Rehabilitation]]*BOQs!$L$11</f>
        <v>0</v>
      </c>
      <c r="AO71" s="76"/>
      <c r="AP71" s="37"/>
      <c r="AQ71" s="86">
        <f>tbl_Actual_costs_quantities34[[#This Row],[Ceramic Tile Works WASH]]*BOQs!$L$12</f>
        <v>0</v>
      </c>
      <c r="AR71" s="76"/>
      <c r="AS71" s="37"/>
      <c r="AT71" s="86">
        <f>tbl_Actual_costs_quantities34[[#This Row],[Electrical Repairs Lighting]]*BOQs!$L$13</f>
        <v>0</v>
      </c>
      <c r="AU71" s="76"/>
      <c r="AV71" s="37"/>
      <c r="AW71" s="86">
        <f>tbl_Actual_costs_quantities34[[#This Row],[Roof Insulation Leak Sealing]]*BOQs!$L$14</f>
        <v>0</v>
      </c>
      <c r="AX71" s="76"/>
      <c r="AY71" s="37"/>
      <c r="AZ71" s="86">
        <f>tbl_Actual_costs_quantities34[[#This Row],[Chimney Duct Cleaning Repair]]*BOQs!$L$15</f>
        <v>0</v>
      </c>
      <c r="BA71" s="76"/>
      <c r="BB71" s="37"/>
      <c r="BC71" s="89">
        <f>tbl_Actual_costs_quantities34[[#This Row],[Accessibility Adaptations]]*BOQs!$L$16</f>
        <v>0</v>
      </c>
      <c r="BD71" s="41"/>
      <c r="BE71" s="37"/>
      <c r="BF71" s="37"/>
    </row>
    <row r="72" spans="2:58" ht="25.15" customHeight="1" x14ac:dyDescent="0.25">
      <c r="B72" s="49">
        <v>68</v>
      </c>
      <c r="C72" s="37"/>
      <c r="D72" s="41"/>
      <c r="E72" s="40"/>
      <c r="F72" s="87" t="str">
        <f>IF(tbl_Actual_costs_quantities34[[#This Row],[House Code]]&lt;&gt;"",INDEX(tbl_Assessment[],MATCH(tbl_Actual_costs_quantities34[[#This Row],[House Code]],tbl_Assessment[House Code],0),3),"")</f>
        <v/>
      </c>
      <c r="G72" s="116" t="str">
        <f>IF(tbl_Actual_costs_quantities34[[#This Row],[House Code]]&lt;&gt;"",INDEX(tbl_Assessment[],MATCH(tbl_Actual_costs_quantities34[[#This Row],[House Code]],tbl_Assessment[House Code],0),9),"")</f>
        <v/>
      </c>
      <c r="H72" s="41"/>
      <c r="I72" s="41"/>
      <c r="J72" s="41"/>
      <c r="K72" s="116"/>
      <c r="L72" s="117" t="str">
        <f>IF(tbl_Actual_costs_quantities34[[#This Row],[House Code]]&lt;&gt;"",tbl_Actual_costs_quantities34[[#This Row],[Total cost]]/INDEX(tbl_estimated_costs_quantities[],MATCH(tbl_Actual_costs_quantities34[[#This Row],[House Code]],tbl_estimated_costs_quantities[House Code],0),7),"")</f>
        <v/>
      </c>
      <c r="M7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2" s="75"/>
      <c r="O72" s="37"/>
      <c r="P72" s="86">
        <f>tbl_Actual_costs_quantities34[[#This Row],[Site Preparation]]*BOQs!$L$3</f>
        <v>0</v>
      </c>
      <c r="Q72" s="76"/>
      <c r="R72" s="37"/>
      <c r="S72" s="86">
        <f>tbl_Actual_costs_quantities34[[#This Row],[Demolition Removal Unsafe Structures]]*BOQs!$L$4</f>
        <v>0</v>
      </c>
      <c r="T72" s="76"/>
      <c r="U72" s="37"/>
      <c r="V72" s="86">
        <f>tbl_Actual_costs_quantities34[[#This Row],[Concrete Works]]*BOQs!$L$5</f>
        <v>0</v>
      </c>
      <c r="W72" s="76"/>
      <c r="X72" s="37"/>
      <c r="Y72" s="86">
        <f>tbl_Actual_costs_quantities34[[#This Row],[Closure External Openings Walls Windows]]*BOQs!$L$6</f>
        <v>0</v>
      </c>
      <c r="Z72" s="76"/>
      <c r="AA72" s="37"/>
      <c r="AB72" s="86">
        <f>tbl_Actual_costs_quantities34[[#This Row],[Plastering Painting]]*BOQs!$L$7</f>
        <v>0</v>
      </c>
      <c r="AC72" s="76"/>
      <c r="AD72" s="37"/>
      <c r="AE72" s="86">
        <f>tbl_Actual_costs_quantities34[[#This Row],[Floor Repairs]]*BOQs!$L$8</f>
        <v>0</v>
      </c>
      <c r="AF72" s="76"/>
      <c r="AG72" s="37"/>
      <c r="AH72" s="86">
        <f>tbl_Actual_costs_quantities34[[#This Row],[Doors Replacement Repair]]*BOQs!$L$9</f>
        <v>0</v>
      </c>
      <c r="AI72" s="76"/>
      <c r="AJ72" s="37"/>
      <c r="AK72" s="86">
        <f>tbl_Actual_costs_quantities34[[#This Row],[Windows Replacement Repair]]*BOQs!$L$10</f>
        <v>0</v>
      </c>
      <c r="AL72" s="76"/>
      <c r="AM72" s="37"/>
      <c r="AN72" s="86">
        <f>tbl_Actual_costs_quantities34[[#This Row],[Bathroom Rehabilitation]]*BOQs!$L$11</f>
        <v>0</v>
      </c>
      <c r="AO72" s="76"/>
      <c r="AP72" s="37"/>
      <c r="AQ72" s="86">
        <f>tbl_Actual_costs_quantities34[[#This Row],[Ceramic Tile Works WASH]]*BOQs!$L$12</f>
        <v>0</v>
      </c>
      <c r="AR72" s="76"/>
      <c r="AS72" s="37"/>
      <c r="AT72" s="86">
        <f>tbl_Actual_costs_quantities34[[#This Row],[Electrical Repairs Lighting]]*BOQs!$L$13</f>
        <v>0</v>
      </c>
      <c r="AU72" s="76"/>
      <c r="AV72" s="37"/>
      <c r="AW72" s="86">
        <f>tbl_Actual_costs_quantities34[[#This Row],[Roof Insulation Leak Sealing]]*BOQs!$L$14</f>
        <v>0</v>
      </c>
      <c r="AX72" s="76"/>
      <c r="AY72" s="37"/>
      <c r="AZ72" s="86">
        <f>tbl_Actual_costs_quantities34[[#This Row],[Chimney Duct Cleaning Repair]]*BOQs!$L$15</f>
        <v>0</v>
      </c>
      <c r="BA72" s="76"/>
      <c r="BB72" s="37"/>
      <c r="BC72" s="89">
        <f>tbl_Actual_costs_quantities34[[#This Row],[Accessibility Adaptations]]*BOQs!$L$16</f>
        <v>0</v>
      </c>
      <c r="BD72" s="41"/>
      <c r="BE72" s="37"/>
      <c r="BF72" s="37"/>
    </row>
    <row r="73" spans="2:58" ht="25.15" customHeight="1" x14ac:dyDescent="0.25">
      <c r="B73" s="49">
        <v>69</v>
      </c>
      <c r="C73" s="37"/>
      <c r="D73" s="41"/>
      <c r="E73" s="40"/>
      <c r="F73" s="87" t="str">
        <f>IF(tbl_Actual_costs_quantities34[[#This Row],[House Code]]&lt;&gt;"",INDEX(tbl_Assessment[],MATCH(tbl_Actual_costs_quantities34[[#This Row],[House Code]],tbl_Assessment[House Code],0),3),"")</f>
        <v/>
      </c>
      <c r="G73" s="116" t="str">
        <f>IF(tbl_Actual_costs_quantities34[[#This Row],[House Code]]&lt;&gt;"",INDEX(tbl_Assessment[],MATCH(tbl_Actual_costs_quantities34[[#This Row],[House Code]],tbl_Assessment[House Code],0),9),"")</f>
        <v/>
      </c>
      <c r="H73" s="41"/>
      <c r="I73" s="41"/>
      <c r="J73" s="41"/>
      <c r="K73" s="116"/>
      <c r="L73" s="117" t="str">
        <f>IF(tbl_Actual_costs_quantities34[[#This Row],[House Code]]&lt;&gt;"",tbl_Actual_costs_quantities34[[#This Row],[Total cost]]/INDEX(tbl_estimated_costs_quantities[],MATCH(tbl_Actual_costs_quantities34[[#This Row],[House Code]],tbl_estimated_costs_quantities[House Code],0),7),"")</f>
        <v/>
      </c>
      <c r="M7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3" s="75"/>
      <c r="O73" s="37"/>
      <c r="P73" s="86">
        <f>tbl_Actual_costs_quantities34[[#This Row],[Site Preparation]]*BOQs!$L$3</f>
        <v>0</v>
      </c>
      <c r="Q73" s="76"/>
      <c r="R73" s="37"/>
      <c r="S73" s="86">
        <f>tbl_Actual_costs_quantities34[[#This Row],[Demolition Removal Unsafe Structures]]*BOQs!$L$4</f>
        <v>0</v>
      </c>
      <c r="T73" s="76"/>
      <c r="U73" s="37"/>
      <c r="V73" s="86">
        <f>tbl_Actual_costs_quantities34[[#This Row],[Concrete Works]]*BOQs!$L$5</f>
        <v>0</v>
      </c>
      <c r="W73" s="76"/>
      <c r="X73" s="37"/>
      <c r="Y73" s="86">
        <f>tbl_Actual_costs_quantities34[[#This Row],[Closure External Openings Walls Windows]]*BOQs!$L$6</f>
        <v>0</v>
      </c>
      <c r="Z73" s="76"/>
      <c r="AA73" s="37"/>
      <c r="AB73" s="86">
        <f>tbl_Actual_costs_quantities34[[#This Row],[Plastering Painting]]*BOQs!$L$7</f>
        <v>0</v>
      </c>
      <c r="AC73" s="76"/>
      <c r="AD73" s="37"/>
      <c r="AE73" s="86">
        <f>tbl_Actual_costs_quantities34[[#This Row],[Floor Repairs]]*BOQs!$L$8</f>
        <v>0</v>
      </c>
      <c r="AF73" s="76"/>
      <c r="AG73" s="37"/>
      <c r="AH73" s="86">
        <f>tbl_Actual_costs_quantities34[[#This Row],[Doors Replacement Repair]]*BOQs!$L$9</f>
        <v>0</v>
      </c>
      <c r="AI73" s="76"/>
      <c r="AJ73" s="37"/>
      <c r="AK73" s="86">
        <f>tbl_Actual_costs_quantities34[[#This Row],[Windows Replacement Repair]]*BOQs!$L$10</f>
        <v>0</v>
      </c>
      <c r="AL73" s="76"/>
      <c r="AM73" s="37"/>
      <c r="AN73" s="86">
        <f>tbl_Actual_costs_quantities34[[#This Row],[Bathroom Rehabilitation]]*BOQs!$L$11</f>
        <v>0</v>
      </c>
      <c r="AO73" s="76"/>
      <c r="AP73" s="37"/>
      <c r="AQ73" s="86">
        <f>tbl_Actual_costs_quantities34[[#This Row],[Ceramic Tile Works WASH]]*BOQs!$L$12</f>
        <v>0</v>
      </c>
      <c r="AR73" s="76"/>
      <c r="AS73" s="37"/>
      <c r="AT73" s="86">
        <f>tbl_Actual_costs_quantities34[[#This Row],[Electrical Repairs Lighting]]*BOQs!$L$13</f>
        <v>0</v>
      </c>
      <c r="AU73" s="76"/>
      <c r="AV73" s="37"/>
      <c r="AW73" s="86">
        <f>tbl_Actual_costs_quantities34[[#This Row],[Roof Insulation Leak Sealing]]*BOQs!$L$14</f>
        <v>0</v>
      </c>
      <c r="AX73" s="76"/>
      <c r="AY73" s="37"/>
      <c r="AZ73" s="86">
        <f>tbl_Actual_costs_quantities34[[#This Row],[Chimney Duct Cleaning Repair]]*BOQs!$L$15</f>
        <v>0</v>
      </c>
      <c r="BA73" s="76"/>
      <c r="BB73" s="37"/>
      <c r="BC73" s="89">
        <f>tbl_Actual_costs_quantities34[[#This Row],[Accessibility Adaptations]]*BOQs!$L$16</f>
        <v>0</v>
      </c>
      <c r="BD73" s="41"/>
      <c r="BE73" s="37"/>
      <c r="BF73" s="37"/>
    </row>
    <row r="74" spans="2:58" ht="25.15" customHeight="1" x14ac:dyDescent="0.25">
      <c r="B74" s="49">
        <v>70</v>
      </c>
      <c r="C74" s="37"/>
      <c r="D74" s="41"/>
      <c r="E74" s="40"/>
      <c r="F74" s="87" t="str">
        <f>IF(tbl_Actual_costs_quantities34[[#This Row],[House Code]]&lt;&gt;"",INDEX(tbl_Assessment[],MATCH(tbl_Actual_costs_quantities34[[#This Row],[House Code]],tbl_Assessment[House Code],0),3),"")</f>
        <v/>
      </c>
      <c r="G74" s="116" t="str">
        <f>IF(tbl_Actual_costs_quantities34[[#This Row],[House Code]]&lt;&gt;"",INDEX(tbl_Assessment[],MATCH(tbl_Actual_costs_quantities34[[#This Row],[House Code]],tbl_Assessment[House Code],0),9),"")</f>
        <v/>
      </c>
      <c r="H74" s="41"/>
      <c r="I74" s="41"/>
      <c r="J74" s="41"/>
      <c r="K74" s="116"/>
      <c r="L74" s="117" t="str">
        <f>IF(tbl_Actual_costs_quantities34[[#This Row],[House Code]]&lt;&gt;"",tbl_Actual_costs_quantities34[[#This Row],[Total cost]]/INDEX(tbl_estimated_costs_quantities[],MATCH(tbl_Actual_costs_quantities34[[#This Row],[House Code]],tbl_estimated_costs_quantities[House Code],0),7),"")</f>
        <v/>
      </c>
      <c r="M7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4" s="75"/>
      <c r="O74" s="37"/>
      <c r="P74" s="86">
        <f>tbl_Actual_costs_quantities34[[#This Row],[Site Preparation]]*BOQs!$L$3</f>
        <v>0</v>
      </c>
      <c r="Q74" s="76"/>
      <c r="R74" s="37"/>
      <c r="S74" s="86">
        <f>tbl_Actual_costs_quantities34[[#This Row],[Demolition Removal Unsafe Structures]]*BOQs!$L$4</f>
        <v>0</v>
      </c>
      <c r="T74" s="76"/>
      <c r="U74" s="37"/>
      <c r="V74" s="86">
        <f>tbl_Actual_costs_quantities34[[#This Row],[Concrete Works]]*BOQs!$L$5</f>
        <v>0</v>
      </c>
      <c r="W74" s="76"/>
      <c r="X74" s="37"/>
      <c r="Y74" s="86">
        <f>tbl_Actual_costs_quantities34[[#This Row],[Closure External Openings Walls Windows]]*BOQs!$L$6</f>
        <v>0</v>
      </c>
      <c r="Z74" s="76"/>
      <c r="AA74" s="37"/>
      <c r="AB74" s="86">
        <f>tbl_Actual_costs_quantities34[[#This Row],[Plastering Painting]]*BOQs!$L$7</f>
        <v>0</v>
      </c>
      <c r="AC74" s="76"/>
      <c r="AD74" s="37"/>
      <c r="AE74" s="86">
        <f>tbl_Actual_costs_quantities34[[#This Row],[Floor Repairs]]*BOQs!$L$8</f>
        <v>0</v>
      </c>
      <c r="AF74" s="76"/>
      <c r="AG74" s="37"/>
      <c r="AH74" s="86">
        <f>tbl_Actual_costs_quantities34[[#This Row],[Doors Replacement Repair]]*BOQs!$L$9</f>
        <v>0</v>
      </c>
      <c r="AI74" s="76"/>
      <c r="AJ74" s="37"/>
      <c r="AK74" s="86">
        <f>tbl_Actual_costs_quantities34[[#This Row],[Windows Replacement Repair]]*BOQs!$L$10</f>
        <v>0</v>
      </c>
      <c r="AL74" s="76"/>
      <c r="AM74" s="37"/>
      <c r="AN74" s="86">
        <f>tbl_Actual_costs_quantities34[[#This Row],[Bathroom Rehabilitation]]*BOQs!$L$11</f>
        <v>0</v>
      </c>
      <c r="AO74" s="76"/>
      <c r="AP74" s="37"/>
      <c r="AQ74" s="86">
        <f>tbl_Actual_costs_quantities34[[#This Row],[Ceramic Tile Works WASH]]*BOQs!$L$12</f>
        <v>0</v>
      </c>
      <c r="AR74" s="76"/>
      <c r="AS74" s="37"/>
      <c r="AT74" s="86">
        <f>tbl_Actual_costs_quantities34[[#This Row],[Electrical Repairs Lighting]]*BOQs!$L$13</f>
        <v>0</v>
      </c>
      <c r="AU74" s="76"/>
      <c r="AV74" s="37"/>
      <c r="AW74" s="86">
        <f>tbl_Actual_costs_quantities34[[#This Row],[Roof Insulation Leak Sealing]]*BOQs!$L$14</f>
        <v>0</v>
      </c>
      <c r="AX74" s="76"/>
      <c r="AY74" s="37"/>
      <c r="AZ74" s="86">
        <f>tbl_Actual_costs_quantities34[[#This Row],[Chimney Duct Cleaning Repair]]*BOQs!$L$15</f>
        <v>0</v>
      </c>
      <c r="BA74" s="76"/>
      <c r="BB74" s="37"/>
      <c r="BC74" s="89">
        <f>tbl_Actual_costs_quantities34[[#This Row],[Accessibility Adaptations]]*BOQs!$L$16</f>
        <v>0</v>
      </c>
      <c r="BD74" s="41"/>
      <c r="BE74" s="37"/>
      <c r="BF74" s="37"/>
    </row>
    <row r="75" spans="2:58" ht="25.15" customHeight="1" x14ac:dyDescent="0.25">
      <c r="B75" s="49">
        <v>71</v>
      </c>
      <c r="C75" s="37"/>
      <c r="D75" s="41"/>
      <c r="E75" s="40"/>
      <c r="F75" s="87" t="str">
        <f>IF(tbl_Actual_costs_quantities34[[#This Row],[House Code]]&lt;&gt;"",INDEX(tbl_Assessment[],MATCH(tbl_Actual_costs_quantities34[[#This Row],[House Code]],tbl_Assessment[House Code],0),3),"")</f>
        <v/>
      </c>
      <c r="G75" s="116" t="str">
        <f>IF(tbl_Actual_costs_quantities34[[#This Row],[House Code]]&lt;&gt;"",INDEX(tbl_Assessment[],MATCH(tbl_Actual_costs_quantities34[[#This Row],[House Code]],tbl_Assessment[House Code],0),9),"")</f>
        <v/>
      </c>
      <c r="H75" s="41"/>
      <c r="I75" s="41"/>
      <c r="J75" s="41"/>
      <c r="K75" s="116"/>
      <c r="L75" s="117" t="str">
        <f>IF(tbl_Actual_costs_quantities34[[#This Row],[House Code]]&lt;&gt;"",tbl_Actual_costs_quantities34[[#This Row],[Total cost]]/INDEX(tbl_estimated_costs_quantities[],MATCH(tbl_Actual_costs_quantities34[[#This Row],[House Code]],tbl_estimated_costs_quantities[House Code],0),7),"")</f>
        <v/>
      </c>
      <c r="M7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5" s="75"/>
      <c r="O75" s="37"/>
      <c r="P75" s="86">
        <f>tbl_Actual_costs_quantities34[[#This Row],[Site Preparation]]*BOQs!$L$3</f>
        <v>0</v>
      </c>
      <c r="Q75" s="76"/>
      <c r="R75" s="37"/>
      <c r="S75" s="86">
        <f>tbl_Actual_costs_quantities34[[#This Row],[Demolition Removal Unsafe Structures]]*BOQs!$L$4</f>
        <v>0</v>
      </c>
      <c r="T75" s="76"/>
      <c r="U75" s="37"/>
      <c r="V75" s="86">
        <f>tbl_Actual_costs_quantities34[[#This Row],[Concrete Works]]*BOQs!$L$5</f>
        <v>0</v>
      </c>
      <c r="W75" s="76"/>
      <c r="X75" s="37"/>
      <c r="Y75" s="86">
        <f>tbl_Actual_costs_quantities34[[#This Row],[Closure External Openings Walls Windows]]*BOQs!$L$6</f>
        <v>0</v>
      </c>
      <c r="Z75" s="76"/>
      <c r="AA75" s="37"/>
      <c r="AB75" s="86">
        <f>tbl_Actual_costs_quantities34[[#This Row],[Plastering Painting]]*BOQs!$L$7</f>
        <v>0</v>
      </c>
      <c r="AC75" s="76"/>
      <c r="AD75" s="37"/>
      <c r="AE75" s="86">
        <f>tbl_Actual_costs_quantities34[[#This Row],[Floor Repairs]]*BOQs!$L$8</f>
        <v>0</v>
      </c>
      <c r="AF75" s="76"/>
      <c r="AG75" s="37"/>
      <c r="AH75" s="86">
        <f>tbl_Actual_costs_quantities34[[#This Row],[Doors Replacement Repair]]*BOQs!$L$9</f>
        <v>0</v>
      </c>
      <c r="AI75" s="76"/>
      <c r="AJ75" s="37"/>
      <c r="AK75" s="86">
        <f>tbl_Actual_costs_quantities34[[#This Row],[Windows Replacement Repair]]*BOQs!$L$10</f>
        <v>0</v>
      </c>
      <c r="AL75" s="76"/>
      <c r="AM75" s="37"/>
      <c r="AN75" s="86">
        <f>tbl_Actual_costs_quantities34[[#This Row],[Bathroom Rehabilitation]]*BOQs!$L$11</f>
        <v>0</v>
      </c>
      <c r="AO75" s="76"/>
      <c r="AP75" s="37"/>
      <c r="AQ75" s="86">
        <f>tbl_Actual_costs_quantities34[[#This Row],[Ceramic Tile Works WASH]]*BOQs!$L$12</f>
        <v>0</v>
      </c>
      <c r="AR75" s="76"/>
      <c r="AS75" s="37"/>
      <c r="AT75" s="86">
        <f>tbl_Actual_costs_quantities34[[#This Row],[Electrical Repairs Lighting]]*BOQs!$L$13</f>
        <v>0</v>
      </c>
      <c r="AU75" s="76"/>
      <c r="AV75" s="37"/>
      <c r="AW75" s="86">
        <f>tbl_Actual_costs_quantities34[[#This Row],[Roof Insulation Leak Sealing]]*BOQs!$L$14</f>
        <v>0</v>
      </c>
      <c r="AX75" s="76"/>
      <c r="AY75" s="37"/>
      <c r="AZ75" s="86">
        <f>tbl_Actual_costs_quantities34[[#This Row],[Chimney Duct Cleaning Repair]]*BOQs!$L$15</f>
        <v>0</v>
      </c>
      <c r="BA75" s="76"/>
      <c r="BB75" s="37"/>
      <c r="BC75" s="89">
        <f>tbl_Actual_costs_quantities34[[#This Row],[Accessibility Adaptations]]*BOQs!$L$16</f>
        <v>0</v>
      </c>
      <c r="BD75" s="41"/>
      <c r="BE75" s="37"/>
      <c r="BF75" s="37"/>
    </row>
    <row r="76" spans="2:58" ht="25.15" customHeight="1" x14ac:dyDescent="0.25">
      <c r="B76" s="49">
        <v>72</v>
      </c>
      <c r="C76" s="37"/>
      <c r="D76" s="41"/>
      <c r="E76" s="40"/>
      <c r="F76" s="87" t="str">
        <f>IF(tbl_Actual_costs_quantities34[[#This Row],[House Code]]&lt;&gt;"",INDEX(tbl_Assessment[],MATCH(tbl_Actual_costs_quantities34[[#This Row],[House Code]],tbl_Assessment[House Code],0),3),"")</f>
        <v/>
      </c>
      <c r="G76" s="116" t="str">
        <f>IF(tbl_Actual_costs_quantities34[[#This Row],[House Code]]&lt;&gt;"",INDEX(tbl_Assessment[],MATCH(tbl_Actual_costs_quantities34[[#This Row],[House Code]],tbl_Assessment[House Code],0),9),"")</f>
        <v/>
      </c>
      <c r="H76" s="41"/>
      <c r="I76" s="41"/>
      <c r="J76" s="41"/>
      <c r="K76" s="116"/>
      <c r="L76" s="117" t="str">
        <f>IF(tbl_Actual_costs_quantities34[[#This Row],[House Code]]&lt;&gt;"",tbl_Actual_costs_quantities34[[#This Row],[Total cost]]/INDEX(tbl_estimated_costs_quantities[],MATCH(tbl_Actual_costs_quantities34[[#This Row],[House Code]],tbl_estimated_costs_quantities[House Code],0),7),"")</f>
        <v/>
      </c>
      <c r="M7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6" s="75"/>
      <c r="O76" s="37"/>
      <c r="P76" s="86">
        <f>tbl_Actual_costs_quantities34[[#This Row],[Site Preparation]]*BOQs!$L$3</f>
        <v>0</v>
      </c>
      <c r="Q76" s="76"/>
      <c r="R76" s="37"/>
      <c r="S76" s="86">
        <f>tbl_Actual_costs_quantities34[[#This Row],[Demolition Removal Unsafe Structures]]*BOQs!$L$4</f>
        <v>0</v>
      </c>
      <c r="T76" s="76"/>
      <c r="U76" s="37"/>
      <c r="V76" s="86">
        <f>tbl_Actual_costs_quantities34[[#This Row],[Concrete Works]]*BOQs!$L$5</f>
        <v>0</v>
      </c>
      <c r="W76" s="76"/>
      <c r="X76" s="37"/>
      <c r="Y76" s="86">
        <f>tbl_Actual_costs_quantities34[[#This Row],[Closure External Openings Walls Windows]]*BOQs!$L$6</f>
        <v>0</v>
      </c>
      <c r="Z76" s="76"/>
      <c r="AA76" s="37"/>
      <c r="AB76" s="86">
        <f>tbl_Actual_costs_quantities34[[#This Row],[Plastering Painting]]*BOQs!$L$7</f>
        <v>0</v>
      </c>
      <c r="AC76" s="76"/>
      <c r="AD76" s="37"/>
      <c r="AE76" s="86">
        <f>tbl_Actual_costs_quantities34[[#This Row],[Floor Repairs]]*BOQs!$L$8</f>
        <v>0</v>
      </c>
      <c r="AF76" s="76"/>
      <c r="AG76" s="37"/>
      <c r="AH76" s="86">
        <f>tbl_Actual_costs_quantities34[[#This Row],[Doors Replacement Repair]]*BOQs!$L$9</f>
        <v>0</v>
      </c>
      <c r="AI76" s="76"/>
      <c r="AJ76" s="37"/>
      <c r="AK76" s="86">
        <f>tbl_Actual_costs_quantities34[[#This Row],[Windows Replacement Repair]]*BOQs!$L$10</f>
        <v>0</v>
      </c>
      <c r="AL76" s="76"/>
      <c r="AM76" s="37"/>
      <c r="AN76" s="86">
        <f>tbl_Actual_costs_quantities34[[#This Row],[Bathroom Rehabilitation]]*BOQs!$L$11</f>
        <v>0</v>
      </c>
      <c r="AO76" s="76"/>
      <c r="AP76" s="37"/>
      <c r="AQ76" s="86">
        <f>tbl_Actual_costs_quantities34[[#This Row],[Ceramic Tile Works WASH]]*BOQs!$L$12</f>
        <v>0</v>
      </c>
      <c r="AR76" s="76"/>
      <c r="AS76" s="37"/>
      <c r="AT76" s="86">
        <f>tbl_Actual_costs_quantities34[[#This Row],[Electrical Repairs Lighting]]*BOQs!$L$13</f>
        <v>0</v>
      </c>
      <c r="AU76" s="76"/>
      <c r="AV76" s="37"/>
      <c r="AW76" s="86">
        <f>tbl_Actual_costs_quantities34[[#This Row],[Roof Insulation Leak Sealing]]*BOQs!$L$14</f>
        <v>0</v>
      </c>
      <c r="AX76" s="76"/>
      <c r="AY76" s="37"/>
      <c r="AZ76" s="86">
        <f>tbl_Actual_costs_quantities34[[#This Row],[Chimney Duct Cleaning Repair]]*BOQs!$L$15</f>
        <v>0</v>
      </c>
      <c r="BA76" s="76"/>
      <c r="BB76" s="37"/>
      <c r="BC76" s="89">
        <f>tbl_Actual_costs_quantities34[[#This Row],[Accessibility Adaptations]]*BOQs!$L$16</f>
        <v>0</v>
      </c>
      <c r="BD76" s="41"/>
      <c r="BE76" s="37"/>
      <c r="BF76" s="37"/>
    </row>
    <row r="77" spans="2:58" ht="25.15" customHeight="1" x14ac:dyDescent="0.25">
      <c r="B77" s="49">
        <v>73</v>
      </c>
      <c r="C77" s="37"/>
      <c r="D77" s="41"/>
      <c r="E77" s="40"/>
      <c r="F77" s="87" t="str">
        <f>IF(tbl_Actual_costs_quantities34[[#This Row],[House Code]]&lt;&gt;"",INDEX(tbl_Assessment[],MATCH(tbl_Actual_costs_quantities34[[#This Row],[House Code]],tbl_Assessment[House Code],0),3),"")</f>
        <v/>
      </c>
      <c r="G77" s="116" t="str">
        <f>IF(tbl_Actual_costs_quantities34[[#This Row],[House Code]]&lt;&gt;"",INDEX(tbl_Assessment[],MATCH(tbl_Actual_costs_quantities34[[#This Row],[House Code]],tbl_Assessment[House Code],0),9),"")</f>
        <v/>
      </c>
      <c r="H77" s="41"/>
      <c r="I77" s="41"/>
      <c r="J77" s="41"/>
      <c r="K77" s="116"/>
      <c r="L77" s="117" t="str">
        <f>IF(tbl_Actual_costs_quantities34[[#This Row],[House Code]]&lt;&gt;"",tbl_Actual_costs_quantities34[[#This Row],[Total cost]]/INDEX(tbl_estimated_costs_quantities[],MATCH(tbl_Actual_costs_quantities34[[#This Row],[House Code]],tbl_estimated_costs_quantities[House Code],0),7),"")</f>
        <v/>
      </c>
      <c r="M7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7" s="75"/>
      <c r="O77" s="37"/>
      <c r="P77" s="86">
        <f>tbl_Actual_costs_quantities34[[#This Row],[Site Preparation]]*BOQs!$L$3</f>
        <v>0</v>
      </c>
      <c r="Q77" s="76"/>
      <c r="R77" s="37"/>
      <c r="S77" s="86">
        <f>tbl_Actual_costs_quantities34[[#This Row],[Demolition Removal Unsafe Structures]]*BOQs!$L$4</f>
        <v>0</v>
      </c>
      <c r="T77" s="76"/>
      <c r="U77" s="37"/>
      <c r="V77" s="86">
        <f>tbl_Actual_costs_quantities34[[#This Row],[Concrete Works]]*BOQs!$L$5</f>
        <v>0</v>
      </c>
      <c r="W77" s="76"/>
      <c r="X77" s="37"/>
      <c r="Y77" s="86">
        <f>tbl_Actual_costs_quantities34[[#This Row],[Closure External Openings Walls Windows]]*BOQs!$L$6</f>
        <v>0</v>
      </c>
      <c r="Z77" s="76"/>
      <c r="AA77" s="37"/>
      <c r="AB77" s="86">
        <f>tbl_Actual_costs_quantities34[[#This Row],[Plastering Painting]]*BOQs!$L$7</f>
        <v>0</v>
      </c>
      <c r="AC77" s="76"/>
      <c r="AD77" s="37"/>
      <c r="AE77" s="86">
        <f>tbl_Actual_costs_quantities34[[#This Row],[Floor Repairs]]*BOQs!$L$8</f>
        <v>0</v>
      </c>
      <c r="AF77" s="76"/>
      <c r="AG77" s="37"/>
      <c r="AH77" s="86">
        <f>tbl_Actual_costs_quantities34[[#This Row],[Doors Replacement Repair]]*BOQs!$L$9</f>
        <v>0</v>
      </c>
      <c r="AI77" s="76"/>
      <c r="AJ77" s="37"/>
      <c r="AK77" s="86">
        <f>tbl_Actual_costs_quantities34[[#This Row],[Windows Replacement Repair]]*BOQs!$L$10</f>
        <v>0</v>
      </c>
      <c r="AL77" s="76"/>
      <c r="AM77" s="37"/>
      <c r="AN77" s="86">
        <f>tbl_Actual_costs_quantities34[[#This Row],[Bathroom Rehabilitation]]*BOQs!$L$11</f>
        <v>0</v>
      </c>
      <c r="AO77" s="76"/>
      <c r="AP77" s="37"/>
      <c r="AQ77" s="86">
        <f>tbl_Actual_costs_quantities34[[#This Row],[Ceramic Tile Works WASH]]*BOQs!$L$12</f>
        <v>0</v>
      </c>
      <c r="AR77" s="76"/>
      <c r="AS77" s="37"/>
      <c r="AT77" s="86">
        <f>tbl_Actual_costs_quantities34[[#This Row],[Electrical Repairs Lighting]]*BOQs!$L$13</f>
        <v>0</v>
      </c>
      <c r="AU77" s="76"/>
      <c r="AV77" s="37"/>
      <c r="AW77" s="86">
        <f>tbl_Actual_costs_quantities34[[#This Row],[Roof Insulation Leak Sealing]]*BOQs!$L$14</f>
        <v>0</v>
      </c>
      <c r="AX77" s="76"/>
      <c r="AY77" s="37"/>
      <c r="AZ77" s="86">
        <f>tbl_Actual_costs_quantities34[[#This Row],[Chimney Duct Cleaning Repair]]*BOQs!$L$15</f>
        <v>0</v>
      </c>
      <c r="BA77" s="76"/>
      <c r="BB77" s="37"/>
      <c r="BC77" s="89">
        <f>tbl_Actual_costs_quantities34[[#This Row],[Accessibility Adaptations]]*BOQs!$L$16</f>
        <v>0</v>
      </c>
      <c r="BD77" s="41"/>
      <c r="BE77" s="37"/>
      <c r="BF77" s="37"/>
    </row>
    <row r="78" spans="2:58" ht="25.15" customHeight="1" x14ac:dyDescent="0.25">
      <c r="B78" s="49">
        <v>74</v>
      </c>
      <c r="C78" s="37"/>
      <c r="D78" s="41"/>
      <c r="E78" s="40"/>
      <c r="F78" s="87" t="str">
        <f>IF(tbl_Actual_costs_quantities34[[#This Row],[House Code]]&lt;&gt;"",INDEX(tbl_Assessment[],MATCH(tbl_Actual_costs_quantities34[[#This Row],[House Code]],tbl_Assessment[House Code],0),3),"")</f>
        <v/>
      </c>
      <c r="G78" s="116" t="str">
        <f>IF(tbl_Actual_costs_quantities34[[#This Row],[House Code]]&lt;&gt;"",INDEX(tbl_Assessment[],MATCH(tbl_Actual_costs_quantities34[[#This Row],[House Code]],tbl_Assessment[House Code],0),9),"")</f>
        <v/>
      </c>
      <c r="H78" s="41"/>
      <c r="I78" s="41"/>
      <c r="J78" s="41"/>
      <c r="K78" s="116"/>
      <c r="L78" s="117" t="str">
        <f>IF(tbl_Actual_costs_quantities34[[#This Row],[House Code]]&lt;&gt;"",tbl_Actual_costs_quantities34[[#This Row],[Total cost]]/INDEX(tbl_estimated_costs_quantities[],MATCH(tbl_Actual_costs_quantities34[[#This Row],[House Code]],tbl_estimated_costs_quantities[House Code],0),7),"")</f>
        <v/>
      </c>
      <c r="M7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8" s="75"/>
      <c r="O78" s="37"/>
      <c r="P78" s="86">
        <f>tbl_Actual_costs_quantities34[[#This Row],[Site Preparation]]*BOQs!$L$3</f>
        <v>0</v>
      </c>
      <c r="Q78" s="76"/>
      <c r="R78" s="37"/>
      <c r="S78" s="86">
        <f>tbl_Actual_costs_quantities34[[#This Row],[Demolition Removal Unsafe Structures]]*BOQs!$L$4</f>
        <v>0</v>
      </c>
      <c r="T78" s="76"/>
      <c r="U78" s="37"/>
      <c r="V78" s="86">
        <f>tbl_Actual_costs_quantities34[[#This Row],[Concrete Works]]*BOQs!$L$5</f>
        <v>0</v>
      </c>
      <c r="W78" s="76"/>
      <c r="X78" s="37"/>
      <c r="Y78" s="86">
        <f>tbl_Actual_costs_quantities34[[#This Row],[Closure External Openings Walls Windows]]*BOQs!$L$6</f>
        <v>0</v>
      </c>
      <c r="Z78" s="76"/>
      <c r="AA78" s="37"/>
      <c r="AB78" s="86">
        <f>tbl_Actual_costs_quantities34[[#This Row],[Plastering Painting]]*BOQs!$L$7</f>
        <v>0</v>
      </c>
      <c r="AC78" s="76"/>
      <c r="AD78" s="37"/>
      <c r="AE78" s="86">
        <f>tbl_Actual_costs_quantities34[[#This Row],[Floor Repairs]]*BOQs!$L$8</f>
        <v>0</v>
      </c>
      <c r="AF78" s="76"/>
      <c r="AG78" s="37"/>
      <c r="AH78" s="86">
        <f>tbl_Actual_costs_quantities34[[#This Row],[Doors Replacement Repair]]*BOQs!$L$9</f>
        <v>0</v>
      </c>
      <c r="AI78" s="76"/>
      <c r="AJ78" s="37"/>
      <c r="AK78" s="86">
        <f>tbl_Actual_costs_quantities34[[#This Row],[Windows Replacement Repair]]*BOQs!$L$10</f>
        <v>0</v>
      </c>
      <c r="AL78" s="76"/>
      <c r="AM78" s="37"/>
      <c r="AN78" s="86">
        <f>tbl_Actual_costs_quantities34[[#This Row],[Bathroom Rehabilitation]]*BOQs!$L$11</f>
        <v>0</v>
      </c>
      <c r="AO78" s="76"/>
      <c r="AP78" s="37"/>
      <c r="AQ78" s="86">
        <f>tbl_Actual_costs_quantities34[[#This Row],[Ceramic Tile Works WASH]]*BOQs!$L$12</f>
        <v>0</v>
      </c>
      <c r="AR78" s="76"/>
      <c r="AS78" s="37"/>
      <c r="AT78" s="86">
        <f>tbl_Actual_costs_quantities34[[#This Row],[Electrical Repairs Lighting]]*BOQs!$L$13</f>
        <v>0</v>
      </c>
      <c r="AU78" s="76"/>
      <c r="AV78" s="37"/>
      <c r="AW78" s="86">
        <f>tbl_Actual_costs_quantities34[[#This Row],[Roof Insulation Leak Sealing]]*BOQs!$L$14</f>
        <v>0</v>
      </c>
      <c r="AX78" s="76"/>
      <c r="AY78" s="37"/>
      <c r="AZ78" s="86">
        <f>tbl_Actual_costs_quantities34[[#This Row],[Chimney Duct Cleaning Repair]]*BOQs!$L$15</f>
        <v>0</v>
      </c>
      <c r="BA78" s="76"/>
      <c r="BB78" s="37"/>
      <c r="BC78" s="89">
        <f>tbl_Actual_costs_quantities34[[#This Row],[Accessibility Adaptations]]*BOQs!$L$16</f>
        <v>0</v>
      </c>
      <c r="BD78" s="41"/>
      <c r="BE78" s="37"/>
      <c r="BF78" s="37"/>
    </row>
    <row r="79" spans="2:58" ht="25.15" customHeight="1" x14ac:dyDescent="0.25">
      <c r="B79" s="49">
        <v>75</v>
      </c>
      <c r="C79" s="37"/>
      <c r="D79" s="41"/>
      <c r="E79" s="40"/>
      <c r="F79" s="87" t="str">
        <f>IF(tbl_Actual_costs_quantities34[[#This Row],[House Code]]&lt;&gt;"",INDEX(tbl_Assessment[],MATCH(tbl_Actual_costs_quantities34[[#This Row],[House Code]],tbl_Assessment[House Code],0),3),"")</f>
        <v/>
      </c>
      <c r="G79" s="116" t="str">
        <f>IF(tbl_Actual_costs_quantities34[[#This Row],[House Code]]&lt;&gt;"",INDEX(tbl_Assessment[],MATCH(tbl_Actual_costs_quantities34[[#This Row],[House Code]],tbl_Assessment[House Code],0),9),"")</f>
        <v/>
      </c>
      <c r="H79" s="41"/>
      <c r="I79" s="41"/>
      <c r="J79" s="41"/>
      <c r="K79" s="116"/>
      <c r="L79" s="117" t="str">
        <f>IF(tbl_Actual_costs_quantities34[[#This Row],[House Code]]&lt;&gt;"",tbl_Actual_costs_quantities34[[#This Row],[Total cost]]/INDEX(tbl_estimated_costs_quantities[],MATCH(tbl_Actual_costs_quantities34[[#This Row],[House Code]],tbl_estimated_costs_quantities[House Code],0),7),"")</f>
        <v/>
      </c>
      <c r="M7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9" s="75"/>
      <c r="O79" s="37"/>
      <c r="P79" s="86">
        <f>tbl_Actual_costs_quantities34[[#This Row],[Site Preparation]]*BOQs!$L$3</f>
        <v>0</v>
      </c>
      <c r="Q79" s="76"/>
      <c r="R79" s="37"/>
      <c r="S79" s="86">
        <f>tbl_Actual_costs_quantities34[[#This Row],[Demolition Removal Unsafe Structures]]*BOQs!$L$4</f>
        <v>0</v>
      </c>
      <c r="T79" s="76"/>
      <c r="U79" s="37"/>
      <c r="V79" s="86">
        <f>tbl_Actual_costs_quantities34[[#This Row],[Concrete Works]]*BOQs!$L$5</f>
        <v>0</v>
      </c>
      <c r="W79" s="76"/>
      <c r="X79" s="37"/>
      <c r="Y79" s="86">
        <f>tbl_Actual_costs_quantities34[[#This Row],[Closure External Openings Walls Windows]]*BOQs!$L$6</f>
        <v>0</v>
      </c>
      <c r="Z79" s="76"/>
      <c r="AA79" s="37"/>
      <c r="AB79" s="86">
        <f>tbl_Actual_costs_quantities34[[#This Row],[Plastering Painting]]*BOQs!$L$7</f>
        <v>0</v>
      </c>
      <c r="AC79" s="76"/>
      <c r="AD79" s="37"/>
      <c r="AE79" s="86">
        <f>tbl_Actual_costs_quantities34[[#This Row],[Floor Repairs]]*BOQs!$L$8</f>
        <v>0</v>
      </c>
      <c r="AF79" s="76"/>
      <c r="AG79" s="37"/>
      <c r="AH79" s="86">
        <f>tbl_Actual_costs_quantities34[[#This Row],[Doors Replacement Repair]]*BOQs!$L$9</f>
        <v>0</v>
      </c>
      <c r="AI79" s="76"/>
      <c r="AJ79" s="37"/>
      <c r="AK79" s="86">
        <f>tbl_Actual_costs_quantities34[[#This Row],[Windows Replacement Repair]]*BOQs!$L$10</f>
        <v>0</v>
      </c>
      <c r="AL79" s="76"/>
      <c r="AM79" s="37"/>
      <c r="AN79" s="86">
        <f>tbl_Actual_costs_quantities34[[#This Row],[Bathroom Rehabilitation]]*BOQs!$L$11</f>
        <v>0</v>
      </c>
      <c r="AO79" s="76"/>
      <c r="AP79" s="37"/>
      <c r="AQ79" s="86">
        <f>tbl_Actual_costs_quantities34[[#This Row],[Ceramic Tile Works WASH]]*BOQs!$L$12</f>
        <v>0</v>
      </c>
      <c r="AR79" s="76"/>
      <c r="AS79" s="37"/>
      <c r="AT79" s="86">
        <f>tbl_Actual_costs_quantities34[[#This Row],[Electrical Repairs Lighting]]*BOQs!$L$13</f>
        <v>0</v>
      </c>
      <c r="AU79" s="76"/>
      <c r="AV79" s="37"/>
      <c r="AW79" s="86">
        <f>tbl_Actual_costs_quantities34[[#This Row],[Roof Insulation Leak Sealing]]*BOQs!$L$14</f>
        <v>0</v>
      </c>
      <c r="AX79" s="76"/>
      <c r="AY79" s="37"/>
      <c r="AZ79" s="86">
        <f>tbl_Actual_costs_quantities34[[#This Row],[Chimney Duct Cleaning Repair]]*BOQs!$L$15</f>
        <v>0</v>
      </c>
      <c r="BA79" s="76"/>
      <c r="BB79" s="37"/>
      <c r="BC79" s="89">
        <f>tbl_Actual_costs_quantities34[[#This Row],[Accessibility Adaptations]]*BOQs!$L$16</f>
        <v>0</v>
      </c>
      <c r="BD79" s="41"/>
      <c r="BE79" s="37"/>
      <c r="BF79" s="37"/>
    </row>
    <row r="80" spans="2:58" ht="25.15" customHeight="1" x14ac:dyDescent="0.25">
      <c r="B80" s="49">
        <v>76</v>
      </c>
      <c r="C80" s="37"/>
      <c r="D80" s="41"/>
      <c r="E80" s="40"/>
      <c r="F80" s="87" t="str">
        <f>IF(tbl_Actual_costs_quantities34[[#This Row],[House Code]]&lt;&gt;"",INDEX(tbl_Assessment[],MATCH(tbl_Actual_costs_quantities34[[#This Row],[House Code]],tbl_Assessment[House Code],0),3),"")</f>
        <v/>
      </c>
      <c r="G80" s="116" t="str">
        <f>IF(tbl_Actual_costs_quantities34[[#This Row],[House Code]]&lt;&gt;"",INDEX(tbl_Assessment[],MATCH(tbl_Actual_costs_quantities34[[#This Row],[House Code]],tbl_Assessment[House Code],0),9),"")</f>
        <v/>
      </c>
      <c r="H80" s="41"/>
      <c r="I80" s="41"/>
      <c r="J80" s="41"/>
      <c r="K80" s="116"/>
      <c r="L80" s="117" t="str">
        <f>IF(tbl_Actual_costs_quantities34[[#This Row],[House Code]]&lt;&gt;"",tbl_Actual_costs_quantities34[[#This Row],[Total cost]]/INDEX(tbl_estimated_costs_quantities[],MATCH(tbl_Actual_costs_quantities34[[#This Row],[House Code]],tbl_estimated_costs_quantities[House Code],0),7),"")</f>
        <v/>
      </c>
      <c r="M8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0" s="75"/>
      <c r="O80" s="37"/>
      <c r="P80" s="86">
        <f>tbl_Actual_costs_quantities34[[#This Row],[Site Preparation]]*BOQs!$L$3</f>
        <v>0</v>
      </c>
      <c r="Q80" s="76"/>
      <c r="R80" s="37"/>
      <c r="S80" s="86">
        <f>tbl_Actual_costs_quantities34[[#This Row],[Demolition Removal Unsafe Structures]]*BOQs!$L$4</f>
        <v>0</v>
      </c>
      <c r="T80" s="76"/>
      <c r="U80" s="37"/>
      <c r="V80" s="86">
        <f>tbl_Actual_costs_quantities34[[#This Row],[Concrete Works]]*BOQs!$L$5</f>
        <v>0</v>
      </c>
      <c r="W80" s="76"/>
      <c r="X80" s="37"/>
      <c r="Y80" s="86">
        <f>tbl_Actual_costs_quantities34[[#This Row],[Closure External Openings Walls Windows]]*BOQs!$L$6</f>
        <v>0</v>
      </c>
      <c r="Z80" s="76"/>
      <c r="AA80" s="37"/>
      <c r="AB80" s="86">
        <f>tbl_Actual_costs_quantities34[[#This Row],[Plastering Painting]]*BOQs!$L$7</f>
        <v>0</v>
      </c>
      <c r="AC80" s="76"/>
      <c r="AD80" s="37"/>
      <c r="AE80" s="86">
        <f>tbl_Actual_costs_quantities34[[#This Row],[Floor Repairs]]*BOQs!$L$8</f>
        <v>0</v>
      </c>
      <c r="AF80" s="76"/>
      <c r="AG80" s="37"/>
      <c r="AH80" s="86">
        <f>tbl_Actual_costs_quantities34[[#This Row],[Doors Replacement Repair]]*BOQs!$L$9</f>
        <v>0</v>
      </c>
      <c r="AI80" s="76"/>
      <c r="AJ80" s="37"/>
      <c r="AK80" s="86">
        <f>tbl_Actual_costs_quantities34[[#This Row],[Windows Replacement Repair]]*BOQs!$L$10</f>
        <v>0</v>
      </c>
      <c r="AL80" s="76"/>
      <c r="AM80" s="37"/>
      <c r="AN80" s="86">
        <f>tbl_Actual_costs_quantities34[[#This Row],[Bathroom Rehabilitation]]*BOQs!$L$11</f>
        <v>0</v>
      </c>
      <c r="AO80" s="76"/>
      <c r="AP80" s="37"/>
      <c r="AQ80" s="86">
        <f>tbl_Actual_costs_quantities34[[#This Row],[Ceramic Tile Works WASH]]*BOQs!$L$12</f>
        <v>0</v>
      </c>
      <c r="AR80" s="76"/>
      <c r="AS80" s="37"/>
      <c r="AT80" s="86">
        <f>tbl_Actual_costs_quantities34[[#This Row],[Electrical Repairs Lighting]]*BOQs!$L$13</f>
        <v>0</v>
      </c>
      <c r="AU80" s="76"/>
      <c r="AV80" s="37"/>
      <c r="AW80" s="86">
        <f>tbl_Actual_costs_quantities34[[#This Row],[Roof Insulation Leak Sealing]]*BOQs!$L$14</f>
        <v>0</v>
      </c>
      <c r="AX80" s="76"/>
      <c r="AY80" s="37"/>
      <c r="AZ80" s="86">
        <f>tbl_Actual_costs_quantities34[[#This Row],[Chimney Duct Cleaning Repair]]*BOQs!$L$15</f>
        <v>0</v>
      </c>
      <c r="BA80" s="76"/>
      <c r="BB80" s="37"/>
      <c r="BC80" s="89">
        <f>tbl_Actual_costs_quantities34[[#This Row],[Accessibility Adaptations]]*BOQs!$L$16</f>
        <v>0</v>
      </c>
      <c r="BD80" s="41"/>
      <c r="BE80" s="37"/>
      <c r="BF80" s="37"/>
    </row>
    <row r="81" spans="2:58" ht="25.15" customHeight="1" x14ac:dyDescent="0.25">
      <c r="B81" s="49">
        <v>77</v>
      </c>
      <c r="C81" s="37"/>
      <c r="D81" s="41"/>
      <c r="E81" s="40"/>
      <c r="F81" s="87" t="str">
        <f>IF(tbl_Actual_costs_quantities34[[#This Row],[House Code]]&lt;&gt;"",INDEX(tbl_Assessment[],MATCH(tbl_Actual_costs_quantities34[[#This Row],[House Code]],tbl_Assessment[House Code],0),3),"")</f>
        <v/>
      </c>
      <c r="G81" s="116" t="str">
        <f>IF(tbl_Actual_costs_quantities34[[#This Row],[House Code]]&lt;&gt;"",INDEX(tbl_Assessment[],MATCH(tbl_Actual_costs_quantities34[[#This Row],[House Code]],tbl_Assessment[House Code],0),9),"")</f>
        <v/>
      </c>
      <c r="H81" s="41"/>
      <c r="I81" s="41"/>
      <c r="J81" s="41"/>
      <c r="K81" s="116"/>
      <c r="L81" s="117" t="str">
        <f>IF(tbl_Actual_costs_quantities34[[#This Row],[House Code]]&lt;&gt;"",tbl_Actual_costs_quantities34[[#This Row],[Total cost]]/INDEX(tbl_estimated_costs_quantities[],MATCH(tbl_Actual_costs_quantities34[[#This Row],[House Code]],tbl_estimated_costs_quantities[House Code],0),7),"")</f>
        <v/>
      </c>
      <c r="M8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1" s="75"/>
      <c r="O81" s="37"/>
      <c r="P81" s="86">
        <f>tbl_Actual_costs_quantities34[[#This Row],[Site Preparation]]*BOQs!$L$3</f>
        <v>0</v>
      </c>
      <c r="Q81" s="76"/>
      <c r="R81" s="37"/>
      <c r="S81" s="86">
        <f>tbl_Actual_costs_quantities34[[#This Row],[Demolition Removal Unsafe Structures]]*BOQs!$L$4</f>
        <v>0</v>
      </c>
      <c r="T81" s="76"/>
      <c r="U81" s="37"/>
      <c r="V81" s="86">
        <f>tbl_Actual_costs_quantities34[[#This Row],[Concrete Works]]*BOQs!$L$5</f>
        <v>0</v>
      </c>
      <c r="W81" s="76"/>
      <c r="X81" s="37"/>
      <c r="Y81" s="86">
        <f>tbl_Actual_costs_quantities34[[#This Row],[Closure External Openings Walls Windows]]*BOQs!$L$6</f>
        <v>0</v>
      </c>
      <c r="Z81" s="76"/>
      <c r="AA81" s="37"/>
      <c r="AB81" s="86">
        <f>tbl_Actual_costs_quantities34[[#This Row],[Plastering Painting]]*BOQs!$L$7</f>
        <v>0</v>
      </c>
      <c r="AC81" s="76"/>
      <c r="AD81" s="37"/>
      <c r="AE81" s="86">
        <f>tbl_Actual_costs_quantities34[[#This Row],[Floor Repairs]]*BOQs!$L$8</f>
        <v>0</v>
      </c>
      <c r="AF81" s="76"/>
      <c r="AG81" s="37"/>
      <c r="AH81" s="86">
        <f>tbl_Actual_costs_quantities34[[#This Row],[Doors Replacement Repair]]*BOQs!$L$9</f>
        <v>0</v>
      </c>
      <c r="AI81" s="76"/>
      <c r="AJ81" s="37"/>
      <c r="AK81" s="86">
        <f>tbl_Actual_costs_quantities34[[#This Row],[Windows Replacement Repair]]*BOQs!$L$10</f>
        <v>0</v>
      </c>
      <c r="AL81" s="76"/>
      <c r="AM81" s="37"/>
      <c r="AN81" s="86">
        <f>tbl_Actual_costs_quantities34[[#This Row],[Bathroom Rehabilitation]]*BOQs!$L$11</f>
        <v>0</v>
      </c>
      <c r="AO81" s="76"/>
      <c r="AP81" s="37"/>
      <c r="AQ81" s="86">
        <f>tbl_Actual_costs_quantities34[[#This Row],[Ceramic Tile Works WASH]]*BOQs!$L$12</f>
        <v>0</v>
      </c>
      <c r="AR81" s="76"/>
      <c r="AS81" s="37"/>
      <c r="AT81" s="86">
        <f>tbl_Actual_costs_quantities34[[#This Row],[Electrical Repairs Lighting]]*BOQs!$L$13</f>
        <v>0</v>
      </c>
      <c r="AU81" s="76"/>
      <c r="AV81" s="37"/>
      <c r="AW81" s="86">
        <f>tbl_Actual_costs_quantities34[[#This Row],[Roof Insulation Leak Sealing]]*BOQs!$L$14</f>
        <v>0</v>
      </c>
      <c r="AX81" s="76"/>
      <c r="AY81" s="37"/>
      <c r="AZ81" s="86">
        <f>tbl_Actual_costs_quantities34[[#This Row],[Chimney Duct Cleaning Repair]]*BOQs!$L$15</f>
        <v>0</v>
      </c>
      <c r="BA81" s="76"/>
      <c r="BB81" s="37"/>
      <c r="BC81" s="89">
        <f>tbl_Actual_costs_quantities34[[#This Row],[Accessibility Adaptations]]*BOQs!$L$16</f>
        <v>0</v>
      </c>
      <c r="BD81" s="41"/>
      <c r="BE81" s="37"/>
      <c r="BF81" s="37"/>
    </row>
    <row r="82" spans="2:58" ht="25.15" customHeight="1" x14ac:dyDescent="0.25">
      <c r="B82" s="49">
        <v>78</v>
      </c>
      <c r="C82" s="37"/>
      <c r="D82" s="41"/>
      <c r="E82" s="40"/>
      <c r="F82" s="87" t="str">
        <f>IF(tbl_Actual_costs_quantities34[[#This Row],[House Code]]&lt;&gt;"",INDEX(tbl_Assessment[],MATCH(tbl_Actual_costs_quantities34[[#This Row],[House Code]],tbl_Assessment[House Code],0),3),"")</f>
        <v/>
      </c>
      <c r="G82" s="116" t="str">
        <f>IF(tbl_Actual_costs_quantities34[[#This Row],[House Code]]&lt;&gt;"",INDEX(tbl_Assessment[],MATCH(tbl_Actual_costs_quantities34[[#This Row],[House Code]],tbl_Assessment[House Code],0),9),"")</f>
        <v/>
      </c>
      <c r="H82" s="41"/>
      <c r="I82" s="41"/>
      <c r="J82" s="41"/>
      <c r="K82" s="116"/>
      <c r="L82" s="117" t="str">
        <f>IF(tbl_Actual_costs_quantities34[[#This Row],[House Code]]&lt;&gt;"",tbl_Actual_costs_quantities34[[#This Row],[Total cost]]/INDEX(tbl_estimated_costs_quantities[],MATCH(tbl_Actual_costs_quantities34[[#This Row],[House Code]],tbl_estimated_costs_quantities[House Code],0),7),"")</f>
        <v/>
      </c>
      <c r="M8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2" s="75"/>
      <c r="O82" s="37"/>
      <c r="P82" s="86">
        <f>tbl_Actual_costs_quantities34[[#This Row],[Site Preparation]]*BOQs!$L$3</f>
        <v>0</v>
      </c>
      <c r="Q82" s="76"/>
      <c r="R82" s="37"/>
      <c r="S82" s="86">
        <f>tbl_Actual_costs_quantities34[[#This Row],[Demolition Removal Unsafe Structures]]*BOQs!$L$4</f>
        <v>0</v>
      </c>
      <c r="T82" s="76"/>
      <c r="U82" s="37"/>
      <c r="V82" s="86">
        <f>tbl_Actual_costs_quantities34[[#This Row],[Concrete Works]]*BOQs!$L$5</f>
        <v>0</v>
      </c>
      <c r="W82" s="76"/>
      <c r="X82" s="37"/>
      <c r="Y82" s="86">
        <f>tbl_Actual_costs_quantities34[[#This Row],[Closure External Openings Walls Windows]]*BOQs!$L$6</f>
        <v>0</v>
      </c>
      <c r="Z82" s="76"/>
      <c r="AA82" s="37"/>
      <c r="AB82" s="86">
        <f>tbl_Actual_costs_quantities34[[#This Row],[Plastering Painting]]*BOQs!$L$7</f>
        <v>0</v>
      </c>
      <c r="AC82" s="76"/>
      <c r="AD82" s="37"/>
      <c r="AE82" s="86">
        <f>tbl_Actual_costs_quantities34[[#This Row],[Floor Repairs]]*BOQs!$L$8</f>
        <v>0</v>
      </c>
      <c r="AF82" s="76"/>
      <c r="AG82" s="37"/>
      <c r="AH82" s="86">
        <f>tbl_Actual_costs_quantities34[[#This Row],[Doors Replacement Repair]]*BOQs!$L$9</f>
        <v>0</v>
      </c>
      <c r="AI82" s="76"/>
      <c r="AJ82" s="37"/>
      <c r="AK82" s="86">
        <f>tbl_Actual_costs_quantities34[[#This Row],[Windows Replacement Repair]]*BOQs!$L$10</f>
        <v>0</v>
      </c>
      <c r="AL82" s="76"/>
      <c r="AM82" s="37"/>
      <c r="AN82" s="86">
        <f>tbl_Actual_costs_quantities34[[#This Row],[Bathroom Rehabilitation]]*BOQs!$L$11</f>
        <v>0</v>
      </c>
      <c r="AO82" s="76"/>
      <c r="AP82" s="37"/>
      <c r="AQ82" s="86">
        <f>tbl_Actual_costs_quantities34[[#This Row],[Ceramic Tile Works WASH]]*BOQs!$L$12</f>
        <v>0</v>
      </c>
      <c r="AR82" s="76"/>
      <c r="AS82" s="37"/>
      <c r="AT82" s="86">
        <f>tbl_Actual_costs_quantities34[[#This Row],[Electrical Repairs Lighting]]*BOQs!$L$13</f>
        <v>0</v>
      </c>
      <c r="AU82" s="76"/>
      <c r="AV82" s="37"/>
      <c r="AW82" s="86">
        <f>tbl_Actual_costs_quantities34[[#This Row],[Roof Insulation Leak Sealing]]*BOQs!$L$14</f>
        <v>0</v>
      </c>
      <c r="AX82" s="76"/>
      <c r="AY82" s="37"/>
      <c r="AZ82" s="86">
        <f>tbl_Actual_costs_quantities34[[#This Row],[Chimney Duct Cleaning Repair]]*BOQs!$L$15</f>
        <v>0</v>
      </c>
      <c r="BA82" s="76"/>
      <c r="BB82" s="37"/>
      <c r="BC82" s="89">
        <f>tbl_Actual_costs_quantities34[[#This Row],[Accessibility Adaptations]]*BOQs!$L$16</f>
        <v>0</v>
      </c>
      <c r="BD82" s="41"/>
      <c r="BE82" s="37"/>
      <c r="BF82" s="37"/>
    </row>
    <row r="83" spans="2:58" ht="25.15" customHeight="1" x14ac:dyDescent="0.25">
      <c r="B83" s="49">
        <v>79</v>
      </c>
      <c r="C83" s="37"/>
      <c r="D83" s="41"/>
      <c r="E83" s="40"/>
      <c r="F83" s="87" t="str">
        <f>IF(tbl_Actual_costs_quantities34[[#This Row],[House Code]]&lt;&gt;"",INDEX(tbl_Assessment[],MATCH(tbl_Actual_costs_quantities34[[#This Row],[House Code]],tbl_Assessment[House Code],0),3),"")</f>
        <v/>
      </c>
      <c r="G83" s="116" t="str">
        <f>IF(tbl_Actual_costs_quantities34[[#This Row],[House Code]]&lt;&gt;"",INDEX(tbl_Assessment[],MATCH(tbl_Actual_costs_quantities34[[#This Row],[House Code]],tbl_Assessment[House Code],0),9),"")</f>
        <v/>
      </c>
      <c r="H83" s="41"/>
      <c r="I83" s="41"/>
      <c r="J83" s="41"/>
      <c r="K83" s="116"/>
      <c r="L83" s="117" t="str">
        <f>IF(tbl_Actual_costs_quantities34[[#This Row],[House Code]]&lt;&gt;"",tbl_Actual_costs_quantities34[[#This Row],[Total cost]]/INDEX(tbl_estimated_costs_quantities[],MATCH(tbl_Actual_costs_quantities34[[#This Row],[House Code]],tbl_estimated_costs_quantities[House Code],0),7),"")</f>
        <v/>
      </c>
      <c r="M8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3" s="75"/>
      <c r="O83" s="37"/>
      <c r="P83" s="86">
        <f>tbl_Actual_costs_quantities34[[#This Row],[Site Preparation]]*BOQs!$L$3</f>
        <v>0</v>
      </c>
      <c r="Q83" s="76"/>
      <c r="R83" s="37"/>
      <c r="S83" s="86">
        <f>tbl_Actual_costs_quantities34[[#This Row],[Demolition Removal Unsafe Structures]]*BOQs!$L$4</f>
        <v>0</v>
      </c>
      <c r="T83" s="76"/>
      <c r="U83" s="37"/>
      <c r="V83" s="86">
        <f>tbl_Actual_costs_quantities34[[#This Row],[Concrete Works]]*BOQs!$L$5</f>
        <v>0</v>
      </c>
      <c r="W83" s="76"/>
      <c r="X83" s="37"/>
      <c r="Y83" s="86">
        <f>tbl_Actual_costs_quantities34[[#This Row],[Closure External Openings Walls Windows]]*BOQs!$L$6</f>
        <v>0</v>
      </c>
      <c r="Z83" s="76"/>
      <c r="AA83" s="37"/>
      <c r="AB83" s="86">
        <f>tbl_Actual_costs_quantities34[[#This Row],[Plastering Painting]]*BOQs!$L$7</f>
        <v>0</v>
      </c>
      <c r="AC83" s="76"/>
      <c r="AD83" s="37"/>
      <c r="AE83" s="86">
        <f>tbl_Actual_costs_quantities34[[#This Row],[Floor Repairs]]*BOQs!$L$8</f>
        <v>0</v>
      </c>
      <c r="AF83" s="76"/>
      <c r="AG83" s="37"/>
      <c r="AH83" s="86">
        <f>tbl_Actual_costs_quantities34[[#This Row],[Doors Replacement Repair]]*BOQs!$L$9</f>
        <v>0</v>
      </c>
      <c r="AI83" s="76"/>
      <c r="AJ83" s="37"/>
      <c r="AK83" s="86">
        <f>tbl_Actual_costs_quantities34[[#This Row],[Windows Replacement Repair]]*BOQs!$L$10</f>
        <v>0</v>
      </c>
      <c r="AL83" s="76"/>
      <c r="AM83" s="37"/>
      <c r="AN83" s="86">
        <f>tbl_Actual_costs_quantities34[[#This Row],[Bathroom Rehabilitation]]*BOQs!$L$11</f>
        <v>0</v>
      </c>
      <c r="AO83" s="76"/>
      <c r="AP83" s="37"/>
      <c r="AQ83" s="86">
        <f>tbl_Actual_costs_quantities34[[#This Row],[Ceramic Tile Works WASH]]*BOQs!$L$12</f>
        <v>0</v>
      </c>
      <c r="AR83" s="76"/>
      <c r="AS83" s="37"/>
      <c r="AT83" s="86">
        <f>tbl_Actual_costs_quantities34[[#This Row],[Electrical Repairs Lighting]]*BOQs!$L$13</f>
        <v>0</v>
      </c>
      <c r="AU83" s="76"/>
      <c r="AV83" s="37"/>
      <c r="AW83" s="86">
        <f>tbl_Actual_costs_quantities34[[#This Row],[Roof Insulation Leak Sealing]]*BOQs!$L$14</f>
        <v>0</v>
      </c>
      <c r="AX83" s="76"/>
      <c r="AY83" s="37"/>
      <c r="AZ83" s="86">
        <f>tbl_Actual_costs_quantities34[[#This Row],[Chimney Duct Cleaning Repair]]*BOQs!$L$15</f>
        <v>0</v>
      </c>
      <c r="BA83" s="76"/>
      <c r="BB83" s="37"/>
      <c r="BC83" s="89">
        <f>tbl_Actual_costs_quantities34[[#This Row],[Accessibility Adaptations]]*BOQs!$L$16</f>
        <v>0</v>
      </c>
      <c r="BD83" s="41"/>
      <c r="BE83" s="37"/>
      <c r="BF83" s="37"/>
    </row>
    <row r="84" spans="2:58" ht="25.15" customHeight="1" x14ac:dyDescent="0.25">
      <c r="B84" s="49">
        <v>80</v>
      </c>
      <c r="C84" s="37"/>
      <c r="D84" s="41"/>
      <c r="E84" s="40"/>
      <c r="F84" s="87" t="str">
        <f>IF(tbl_Actual_costs_quantities34[[#This Row],[House Code]]&lt;&gt;"",INDEX(tbl_Assessment[],MATCH(tbl_Actual_costs_quantities34[[#This Row],[House Code]],tbl_Assessment[House Code],0),3),"")</f>
        <v/>
      </c>
      <c r="G84" s="116" t="str">
        <f>IF(tbl_Actual_costs_quantities34[[#This Row],[House Code]]&lt;&gt;"",INDEX(tbl_Assessment[],MATCH(tbl_Actual_costs_quantities34[[#This Row],[House Code]],tbl_Assessment[House Code],0),9),"")</f>
        <v/>
      </c>
      <c r="H84" s="41"/>
      <c r="I84" s="41"/>
      <c r="J84" s="41"/>
      <c r="K84" s="116"/>
      <c r="L84" s="117" t="str">
        <f>IF(tbl_Actual_costs_quantities34[[#This Row],[House Code]]&lt;&gt;"",tbl_Actual_costs_quantities34[[#This Row],[Total cost]]/INDEX(tbl_estimated_costs_quantities[],MATCH(tbl_Actual_costs_quantities34[[#This Row],[House Code]],tbl_estimated_costs_quantities[House Code],0),7),"")</f>
        <v/>
      </c>
      <c r="M8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4" s="75"/>
      <c r="O84" s="37"/>
      <c r="P84" s="86">
        <f>tbl_Actual_costs_quantities34[[#This Row],[Site Preparation]]*BOQs!$L$3</f>
        <v>0</v>
      </c>
      <c r="Q84" s="76"/>
      <c r="R84" s="37"/>
      <c r="S84" s="86">
        <f>tbl_Actual_costs_quantities34[[#This Row],[Demolition Removal Unsafe Structures]]*BOQs!$L$4</f>
        <v>0</v>
      </c>
      <c r="T84" s="76"/>
      <c r="U84" s="37"/>
      <c r="V84" s="86">
        <f>tbl_Actual_costs_quantities34[[#This Row],[Concrete Works]]*BOQs!$L$5</f>
        <v>0</v>
      </c>
      <c r="W84" s="76"/>
      <c r="X84" s="37"/>
      <c r="Y84" s="86">
        <f>tbl_Actual_costs_quantities34[[#This Row],[Closure External Openings Walls Windows]]*BOQs!$L$6</f>
        <v>0</v>
      </c>
      <c r="Z84" s="76"/>
      <c r="AA84" s="37"/>
      <c r="AB84" s="86">
        <f>tbl_Actual_costs_quantities34[[#This Row],[Plastering Painting]]*BOQs!$L$7</f>
        <v>0</v>
      </c>
      <c r="AC84" s="76"/>
      <c r="AD84" s="37"/>
      <c r="AE84" s="86">
        <f>tbl_Actual_costs_quantities34[[#This Row],[Floor Repairs]]*BOQs!$L$8</f>
        <v>0</v>
      </c>
      <c r="AF84" s="76"/>
      <c r="AG84" s="37"/>
      <c r="AH84" s="86">
        <f>tbl_Actual_costs_quantities34[[#This Row],[Doors Replacement Repair]]*BOQs!$L$9</f>
        <v>0</v>
      </c>
      <c r="AI84" s="76"/>
      <c r="AJ84" s="37"/>
      <c r="AK84" s="86">
        <f>tbl_Actual_costs_quantities34[[#This Row],[Windows Replacement Repair]]*BOQs!$L$10</f>
        <v>0</v>
      </c>
      <c r="AL84" s="76"/>
      <c r="AM84" s="37"/>
      <c r="AN84" s="86">
        <f>tbl_Actual_costs_quantities34[[#This Row],[Bathroom Rehabilitation]]*BOQs!$L$11</f>
        <v>0</v>
      </c>
      <c r="AO84" s="76"/>
      <c r="AP84" s="37"/>
      <c r="AQ84" s="86">
        <f>tbl_Actual_costs_quantities34[[#This Row],[Ceramic Tile Works WASH]]*BOQs!$L$12</f>
        <v>0</v>
      </c>
      <c r="AR84" s="76"/>
      <c r="AS84" s="37"/>
      <c r="AT84" s="86">
        <f>tbl_Actual_costs_quantities34[[#This Row],[Electrical Repairs Lighting]]*BOQs!$L$13</f>
        <v>0</v>
      </c>
      <c r="AU84" s="76"/>
      <c r="AV84" s="37"/>
      <c r="AW84" s="86">
        <f>tbl_Actual_costs_quantities34[[#This Row],[Roof Insulation Leak Sealing]]*BOQs!$L$14</f>
        <v>0</v>
      </c>
      <c r="AX84" s="76"/>
      <c r="AY84" s="37"/>
      <c r="AZ84" s="86">
        <f>tbl_Actual_costs_quantities34[[#This Row],[Chimney Duct Cleaning Repair]]*BOQs!$L$15</f>
        <v>0</v>
      </c>
      <c r="BA84" s="76"/>
      <c r="BB84" s="37"/>
      <c r="BC84" s="89">
        <f>tbl_Actual_costs_quantities34[[#This Row],[Accessibility Adaptations]]*BOQs!$L$16</f>
        <v>0</v>
      </c>
      <c r="BD84" s="41"/>
      <c r="BE84" s="37"/>
      <c r="BF84" s="37"/>
    </row>
    <row r="85" spans="2:58" ht="25.15" customHeight="1" x14ac:dyDescent="0.25">
      <c r="B85" s="49">
        <v>81</v>
      </c>
      <c r="C85" s="37"/>
      <c r="D85" s="41"/>
      <c r="E85" s="40"/>
      <c r="F85" s="87" t="str">
        <f>IF(tbl_Actual_costs_quantities34[[#This Row],[House Code]]&lt;&gt;"",INDEX(tbl_Assessment[],MATCH(tbl_Actual_costs_quantities34[[#This Row],[House Code]],tbl_Assessment[House Code],0),3),"")</f>
        <v/>
      </c>
      <c r="G85" s="116" t="str">
        <f>IF(tbl_Actual_costs_quantities34[[#This Row],[House Code]]&lt;&gt;"",INDEX(tbl_Assessment[],MATCH(tbl_Actual_costs_quantities34[[#This Row],[House Code]],tbl_Assessment[House Code],0),9),"")</f>
        <v/>
      </c>
      <c r="H85" s="41"/>
      <c r="I85" s="41"/>
      <c r="J85" s="41"/>
      <c r="K85" s="116"/>
      <c r="L85" s="117" t="str">
        <f>IF(tbl_Actual_costs_quantities34[[#This Row],[House Code]]&lt;&gt;"",tbl_Actual_costs_quantities34[[#This Row],[Total cost]]/INDEX(tbl_estimated_costs_quantities[],MATCH(tbl_Actual_costs_quantities34[[#This Row],[House Code]],tbl_estimated_costs_quantities[House Code],0),7),"")</f>
        <v/>
      </c>
      <c r="M8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5" s="75"/>
      <c r="O85" s="37"/>
      <c r="P85" s="86">
        <f>tbl_Actual_costs_quantities34[[#This Row],[Site Preparation]]*BOQs!$L$3</f>
        <v>0</v>
      </c>
      <c r="Q85" s="76"/>
      <c r="R85" s="37"/>
      <c r="S85" s="86">
        <f>tbl_Actual_costs_quantities34[[#This Row],[Demolition Removal Unsafe Structures]]*BOQs!$L$4</f>
        <v>0</v>
      </c>
      <c r="T85" s="76"/>
      <c r="U85" s="37"/>
      <c r="V85" s="86">
        <f>tbl_Actual_costs_quantities34[[#This Row],[Concrete Works]]*BOQs!$L$5</f>
        <v>0</v>
      </c>
      <c r="W85" s="76"/>
      <c r="X85" s="37"/>
      <c r="Y85" s="86">
        <f>tbl_Actual_costs_quantities34[[#This Row],[Closure External Openings Walls Windows]]*BOQs!$L$6</f>
        <v>0</v>
      </c>
      <c r="Z85" s="76"/>
      <c r="AA85" s="37"/>
      <c r="AB85" s="86">
        <f>tbl_Actual_costs_quantities34[[#This Row],[Plastering Painting]]*BOQs!$L$7</f>
        <v>0</v>
      </c>
      <c r="AC85" s="76"/>
      <c r="AD85" s="37"/>
      <c r="AE85" s="86">
        <f>tbl_Actual_costs_quantities34[[#This Row],[Floor Repairs]]*BOQs!$L$8</f>
        <v>0</v>
      </c>
      <c r="AF85" s="76"/>
      <c r="AG85" s="37"/>
      <c r="AH85" s="86">
        <f>tbl_Actual_costs_quantities34[[#This Row],[Doors Replacement Repair]]*BOQs!$L$9</f>
        <v>0</v>
      </c>
      <c r="AI85" s="76"/>
      <c r="AJ85" s="37"/>
      <c r="AK85" s="86">
        <f>tbl_Actual_costs_quantities34[[#This Row],[Windows Replacement Repair]]*BOQs!$L$10</f>
        <v>0</v>
      </c>
      <c r="AL85" s="76"/>
      <c r="AM85" s="37"/>
      <c r="AN85" s="86">
        <f>tbl_Actual_costs_quantities34[[#This Row],[Bathroom Rehabilitation]]*BOQs!$L$11</f>
        <v>0</v>
      </c>
      <c r="AO85" s="76"/>
      <c r="AP85" s="37"/>
      <c r="AQ85" s="86">
        <f>tbl_Actual_costs_quantities34[[#This Row],[Ceramic Tile Works WASH]]*BOQs!$L$12</f>
        <v>0</v>
      </c>
      <c r="AR85" s="76"/>
      <c r="AS85" s="37"/>
      <c r="AT85" s="86">
        <f>tbl_Actual_costs_quantities34[[#This Row],[Electrical Repairs Lighting]]*BOQs!$L$13</f>
        <v>0</v>
      </c>
      <c r="AU85" s="76"/>
      <c r="AV85" s="37"/>
      <c r="AW85" s="86">
        <f>tbl_Actual_costs_quantities34[[#This Row],[Roof Insulation Leak Sealing]]*BOQs!$L$14</f>
        <v>0</v>
      </c>
      <c r="AX85" s="76"/>
      <c r="AY85" s="37"/>
      <c r="AZ85" s="86">
        <f>tbl_Actual_costs_quantities34[[#This Row],[Chimney Duct Cleaning Repair]]*BOQs!$L$15</f>
        <v>0</v>
      </c>
      <c r="BA85" s="76"/>
      <c r="BB85" s="37"/>
      <c r="BC85" s="89">
        <f>tbl_Actual_costs_quantities34[[#This Row],[Accessibility Adaptations]]*BOQs!$L$16</f>
        <v>0</v>
      </c>
      <c r="BD85" s="41"/>
      <c r="BE85" s="37"/>
      <c r="BF85" s="37"/>
    </row>
    <row r="86" spans="2:58" ht="25.15" customHeight="1" x14ac:dyDescent="0.25">
      <c r="B86" s="49">
        <v>82</v>
      </c>
      <c r="C86" s="37"/>
      <c r="D86" s="41"/>
      <c r="E86" s="40"/>
      <c r="F86" s="87" t="str">
        <f>IF(tbl_Actual_costs_quantities34[[#This Row],[House Code]]&lt;&gt;"",INDEX(tbl_Assessment[],MATCH(tbl_Actual_costs_quantities34[[#This Row],[House Code]],tbl_Assessment[House Code],0),3),"")</f>
        <v/>
      </c>
      <c r="G86" s="116" t="str">
        <f>IF(tbl_Actual_costs_quantities34[[#This Row],[House Code]]&lt;&gt;"",INDEX(tbl_Assessment[],MATCH(tbl_Actual_costs_quantities34[[#This Row],[House Code]],tbl_Assessment[House Code],0),9),"")</f>
        <v/>
      </c>
      <c r="H86" s="41"/>
      <c r="I86" s="41"/>
      <c r="J86" s="41"/>
      <c r="K86" s="116"/>
      <c r="L86" s="117" t="str">
        <f>IF(tbl_Actual_costs_quantities34[[#This Row],[House Code]]&lt;&gt;"",tbl_Actual_costs_quantities34[[#This Row],[Total cost]]/INDEX(tbl_estimated_costs_quantities[],MATCH(tbl_Actual_costs_quantities34[[#This Row],[House Code]],tbl_estimated_costs_quantities[House Code],0),7),"")</f>
        <v/>
      </c>
      <c r="M8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6" s="75"/>
      <c r="O86" s="37"/>
      <c r="P86" s="86">
        <f>tbl_Actual_costs_quantities34[[#This Row],[Site Preparation]]*BOQs!$L$3</f>
        <v>0</v>
      </c>
      <c r="Q86" s="76"/>
      <c r="R86" s="37"/>
      <c r="S86" s="86">
        <f>tbl_Actual_costs_quantities34[[#This Row],[Demolition Removal Unsafe Structures]]*BOQs!$L$4</f>
        <v>0</v>
      </c>
      <c r="T86" s="76"/>
      <c r="U86" s="37"/>
      <c r="V86" s="86">
        <f>tbl_Actual_costs_quantities34[[#This Row],[Concrete Works]]*BOQs!$L$5</f>
        <v>0</v>
      </c>
      <c r="W86" s="76"/>
      <c r="X86" s="37"/>
      <c r="Y86" s="86">
        <f>tbl_Actual_costs_quantities34[[#This Row],[Closure External Openings Walls Windows]]*BOQs!$L$6</f>
        <v>0</v>
      </c>
      <c r="Z86" s="76"/>
      <c r="AA86" s="37"/>
      <c r="AB86" s="86">
        <f>tbl_Actual_costs_quantities34[[#This Row],[Plastering Painting]]*BOQs!$L$7</f>
        <v>0</v>
      </c>
      <c r="AC86" s="76"/>
      <c r="AD86" s="37"/>
      <c r="AE86" s="86">
        <f>tbl_Actual_costs_quantities34[[#This Row],[Floor Repairs]]*BOQs!$L$8</f>
        <v>0</v>
      </c>
      <c r="AF86" s="76"/>
      <c r="AG86" s="37"/>
      <c r="AH86" s="86">
        <f>tbl_Actual_costs_quantities34[[#This Row],[Doors Replacement Repair]]*BOQs!$L$9</f>
        <v>0</v>
      </c>
      <c r="AI86" s="76"/>
      <c r="AJ86" s="37"/>
      <c r="AK86" s="86">
        <f>tbl_Actual_costs_quantities34[[#This Row],[Windows Replacement Repair]]*BOQs!$L$10</f>
        <v>0</v>
      </c>
      <c r="AL86" s="76"/>
      <c r="AM86" s="37"/>
      <c r="AN86" s="86">
        <f>tbl_Actual_costs_quantities34[[#This Row],[Bathroom Rehabilitation]]*BOQs!$L$11</f>
        <v>0</v>
      </c>
      <c r="AO86" s="76"/>
      <c r="AP86" s="37"/>
      <c r="AQ86" s="86">
        <f>tbl_Actual_costs_quantities34[[#This Row],[Ceramic Tile Works WASH]]*BOQs!$L$12</f>
        <v>0</v>
      </c>
      <c r="AR86" s="76"/>
      <c r="AS86" s="37"/>
      <c r="AT86" s="86">
        <f>tbl_Actual_costs_quantities34[[#This Row],[Electrical Repairs Lighting]]*BOQs!$L$13</f>
        <v>0</v>
      </c>
      <c r="AU86" s="76"/>
      <c r="AV86" s="37"/>
      <c r="AW86" s="86">
        <f>tbl_Actual_costs_quantities34[[#This Row],[Roof Insulation Leak Sealing]]*BOQs!$L$14</f>
        <v>0</v>
      </c>
      <c r="AX86" s="76"/>
      <c r="AY86" s="37"/>
      <c r="AZ86" s="86">
        <f>tbl_Actual_costs_quantities34[[#This Row],[Chimney Duct Cleaning Repair]]*BOQs!$L$15</f>
        <v>0</v>
      </c>
      <c r="BA86" s="76"/>
      <c r="BB86" s="37"/>
      <c r="BC86" s="89">
        <f>tbl_Actual_costs_quantities34[[#This Row],[Accessibility Adaptations]]*BOQs!$L$16</f>
        <v>0</v>
      </c>
      <c r="BD86" s="41"/>
      <c r="BE86" s="37"/>
      <c r="BF86" s="37"/>
    </row>
    <row r="87" spans="2:58" ht="25.15" customHeight="1" x14ac:dyDescent="0.25">
      <c r="B87" s="49">
        <v>83</v>
      </c>
      <c r="C87" s="37"/>
      <c r="D87" s="41"/>
      <c r="E87" s="40"/>
      <c r="F87" s="87" t="str">
        <f>IF(tbl_Actual_costs_quantities34[[#This Row],[House Code]]&lt;&gt;"",INDEX(tbl_Assessment[],MATCH(tbl_Actual_costs_quantities34[[#This Row],[House Code]],tbl_Assessment[House Code],0),3),"")</f>
        <v/>
      </c>
      <c r="G87" s="116" t="str">
        <f>IF(tbl_Actual_costs_quantities34[[#This Row],[House Code]]&lt;&gt;"",INDEX(tbl_Assessment[],MATCH(tbl_Actual_costs_quantities34[[#This Row],[House Code]],tbl_Assessment[House Code],0),9),"")</f>
        <v/>
      </c>
      <c r="H87" s="41"/>
      <c r="I87" s="41"/>
      <c r="J87" s="41"/>
      <c r="K87" s="116"/>
      <c r="L87" s="117" t="str">
        <f>IF(tbl_Actual_costs_quantities34[[#This Row],[House Code]]&lt;&gt;"",tbl_Actual_costs_quantities34[[#This Row],[Total cost]]/INDEX(tbl_estimated_costs_quantities[],MATCH(tbl_Actual_costs_quantities34[[#This Row],[House Code]],tbl_estimated_costs_quantities[House Code],0),7),"")</f>
        <v/>
      </c>
      <c r="M8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7" s="75"/>
      <c r="O87" s="37"/>
      <c r="P87" s="86">
        <f>tbl_Actual_costs_quantities34[[#This Row],[Site Preparation]]*BOQs!$L$3</f>
        <v>0</v>
      </c>
      <c r="Q87" s="76"/>
      <c r="R87" s="37"/>
      <c r="S87" s="86">
        <f>tbl_Actual_costs_quantities34[[#This Row],[Demolition Removal Unsafe Structures]]*BOQs!$L$4</f>
        <v>0</v>
      </c>
      <c r="T87" s="76"/>
      <c r="U87" s="37"/>
      <c r="V87" s="86">
        <f>tbl_Actual_costs_quantities34[[#This Row],[Concrete Works]]*BOQs!$L$5</f>
        <v>0</v>
      </c>
      <c r="W87" s="76"/>
      <c r="X87" s="37"/>
      <c r="Y87" s="86">
        <f>tbl_Actual_costs_quantities34[[#This Row],[Closure External Openings Walls Windows]]*BOQs!$L$6</f>
        <v>0</v>
      </c>
      <c r="Z87" s="76"/>
      <c r="AA87" s="37"/>
      <c r="AB87" s="86">
        <f>tbl_Actual_costs_quantities34[[#This Row],[Plastering Painting]]*BOQs!$L$7</f>
        <v>0</v>
      </c>
      <c r="AC87" s="76"/>
      <c r="AD87" s="37"/>
      <c r="AE87" s="86">
        <f>tbl_Actual_costs_quantities34[[#This Row],[Floor Repairs]]*BOQs!$L$8</f>
        <v>0</v>
      </c>
      <c r="AF87" s="76"/>
      <c r="AG87" s="37"/>
      <c r="AH87" s="86">
        <f>tbl_Actual_costs_quantities34[[#This Row],[Doors Replacement Repair]]*BOQs!$L$9</f>
        <v>0</v>
      </c>
      <c r="AI87" s="76"/>
      <c r="AJ87" s="37"/>
      <c r="AK87" s="86">
        <f>tbl_Actual_costs_quantities34[[#This Row],[Windows Replacement Repair]]*BOQs!$L$10</f>
        <v>0</v>
      </c>
      <c r="AL87" s="76"/>
      <c r="AM87" s="37"/>
      <c r="AN87" s="86">
        <f>tbl_Actual_costs_quantities34[[#This Row],[Bathroom Rehabilitation]]*BOQs!$L$11</f>
        <v>0</v>
      </c>
      <c r="AO87" s="76"/>
      <c r="AP87" s="37"/>
      <c r="AQ87" s="86">
        <f>tbl_Actual_costs_quantities34[[#This Row],[Ceramic Tile Works WASH]]*BOQs!$L$12</f>
        <v>0</v>
      </c>
      <c r="AR87" s="76"/>
      <c r="AS87" s="37"/>
      <c r="AT87" s="86">
        <f>tbl_Actual_costs_quantities34[[#This Row],[Electrical Repairs Lighting]]*BOQs!$L$13</f>
        <v>0</v>
      </c>
      <c r="AU87" s="76"/>
      <c r="AV87" s="37"/>
      <c r="AW87" s="86">
        <f>tbl_Actual_costs_quantities34[[#This Row],[Roof Insulation Leak Sealing]]*BOQs!$L$14</f>
        <v>0</v>
      </c>
      <c r="AX87" s="76"/>
      <c r="AY87" s="37"/>
      <c r="AZ87" s="86">
        <f>tbl_Actual_costs_quantities34[[#This Row],[Chimney Duct Cleaning Repair]]*BOQs!$L$15</f>
        <v>0</v>
      </c>
      <c r="BA87" s="76"/>
      <c r="BB87" s="37"/>
      <c r="BC87" s="89">
        <f>tbl_Actual_costs_quantities34[[#This Row],[Accessibility Adaptations]]*BOQs!$L$16</f>
        <v>0</v>
      </c>
      <c r="BD87" s="41"/>
      <c r="BE87" s="37"/>
      <c r="BF87" s="37"/>
    </row>
    <row r="88" spans="2:58" ht="25.15" customHeight="1" x14ac:dyDescent="0.25">
      <c r="B88" s="49">
        <v>84</v>
      </c>
      <c r="C88" s="37"/>
      <c r="D88" s="41"/>
      <c r="E88" s="40"/>
      <c r="F88" s="87" t="str">
        <f>IF(tbl_Actual_costs_quantities34[[#This Row],[House Code]]&lt;&gt;"",INDEX(tbl_Assessment[],MATCH(tbl_Actual_costs_quantities34[[#This Row],[House Code]],tbl_Assessment[House Code],0),3),"")</f>
        <v/>
      </c>
      <c r="G88" s="116" t="str">
        <f>IF(tbl_Actual_costs_quantities34[[#This Row],[House Code]]&lt;&gt;"",INDEX(tbl_Assessment[],MATCH(tbl_Actual_costs_quantities34[[#This Row],[House Code]],tbl_Assessment[House Code],0),9),"")</f>
        <v/>
      </c>
      <c r="H88" s="41"/>
      <c r="I88" s="41"/>
      <c r="J88" s="41"/>
      <c r="K88" s="116"/>
      <c r="L88" s="117" t="str">
        <f>IF(tbl_Actual_costs_quantities34[[#This Row],[House Code]]&lt;&gt;"",tbl_Actual_costs_quantities34[[#This Row],[Total cost]]/INDEX(tbl_estimated_costs_quantities[],MATCH(tbl_Actual_costs_quantities34[[#This Row],[House Code]],tbl_estimated_costs_quantities[House Code],0),7),"")</f>
        <v/>
      </c>
      <c r="M8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8" s="75"/>
      <c r="O88" s="37"/>
      <c r="P88" s="86">
        <f>tbl_Actual_costs_quantities34[[#This Row],[Site Preparation]]*BOQs!$L$3</f>
        <v>0</v>
      </c>
      <c r="Q88" s="76"/>
      <c r="R88" s="37"/>
      <c r="S88" s="86">
        <f>tbl_Actual_costs_quantities34[[#This Row],[Demolition Removal Unsafe Structures]]*BOQs!$L$4</f>
        <v>0</v>
      </c>
      <c r="T88" s="76"/>
      <c r="U88" s="37"/>
      <c r="V88" s="86">
        <f>tbl_Actual_costs_quantities34[[#This Row],[Concrete Works]]*BOQs!$L$5</f>
        <v>0</v>
      </c>
      <c r="W88" s="76"/>
      <c r="X88" s="37"/>
      <c r="Y88" s="86">
        <f>tbl_Actual_costs_quantities34[[#This Row],[Closure External Openings Walls Windows]]*BOQs!$L$6</f>
        <v>0</v>
      </c>
      <c r="Z88" s="76"/>
      <c r="AA88" s="37"/>
      <c r="AB88" s="86">
        <f>tbl_Actual_costs_quantities34[[#This Row],[Plastering Painting]]*BOQs!$L$7</f>
        <v>0</v>
      </c>
      <c r="AC88" s="76"/>
      <c r="AD88" s="37"/>
      <c r="AE88" s="86">
        <f>tbl_Actual_costs_quantities34[[#This Row],[Floor Repairs]]*BOQs!$L$8</f>
        <v>0</v>
      </c>
      <c r="AF88" s="76"/>
      <c r="AG88" s="37"/>
      <c r="AH88" s="86">
        <f>tbl_Actual_costs_quantities34[[#This Row],[Doors Replacement Repair]]*BOQs!$L$9</f>
        <v>0</v>
      </c>
      <c r="AI88" s="76"/>
      <c r="AJ88" s="37"/>
      <c r="AK88" s="86">
        <f>tbl_Actual_costs_quantities34[[#This Row],[Windows Replacement Repair]]*BOQs!$L$10</f>
        <v>0</v>
      </c>
      <c r="AL88" s="76"/>
      <c r="AM88" s="37"/>
      <c r="AN88" s="86">
        <f>tbl_Actual_costs_quantities34[[#This Row],[Bathroom Rehabilitation]]*BOQs!$L$11</f>
        <v>0</v>
      </c>
      <c r="AO88" s="76"/>
      <c r="AP88" s="37"/>
      <c r="AQ88" s="86">
        <f>tbl_Actual_costs_quantities34[[#This Row],[Ceramic Tile Works WASH]]*BOQs!$L$12</f>
        <v>0</v>
      </c>
      <c r="AR88" s="76"/>
      <c r="AS88" s="37"/>
      <c r="AT88" s="86">
        <f>tbl_Actual_costs_quantities34[[#This Row],[Electrical Repairs Lighting]]*BOQs!$L$13</f>
        <v>0</v>
      </c>
      <c r="AU88" s="76"/>
      <c r="AV88" s="37"/>
      <c r="AW88" s="86">
        <f>tbl_Actual_costs_quantities34[[#This Row],[Roof Insulation Leak Sealing]]*BOQs!$L$14</f>
        <v>0</v>
      </c>
      <c r="AX88" s="76"/>
      <c r="AY88" s="37"/>
      <c r="AZ88" s="86">
        <f>tbl_Actual_costs_quantities34[[#This Row],[Chimney Duct Cleaning Repair]]*BOQs!$L$15</f>
        <v>0</v>
      </c>
      <c r="BA88" s="76"/>
      <c r="BB88" s="37"/>
      <c r="BC88" s="89">
        <f>tbl_Actual_costs_quantities34[[#This Row],[Accessibility Adaptations]]*BOQs!$L$16</f>
        <v>0</v>
      </c>
      <c r="BD88" s="41"/>
      <c r="BE88" s="37"/>
      <c r="BF88" s="37"/>
    </row>
    <row r="89" spans="2:58" ht="25.15" customHeight="1" x14ac:dyDescent="0.25">
      <c r="B89" s="49">
        <v>85</v>
      </c>
      <c r="C89" s="37"/>
      <c r="D89" s="41"/>
      <c r="E89" s="40"/>
      <c r="F89" s="87" t="str">
        <f>IF(tbl_Actual_costs_quantities34[[#This Row],[House Code]]&lt;&gt;"",INDEX(tbl_Assessment[],MATCH(tbl_Actual_costs_quantities34[[#This Row],[House Code]],tbl_Assessment[House Code],0),3),"")</f>
        <v/>
      </c>
      <c r="G89" s="116" t="str">
        <f>IF(tbl_Actual_costs_quantities34[[#This Row],[House Code]]&lt;&gt;"",INDEX(tbl_Assessment[],MATCH(tbl_Actual_costs_quantities34[[#This Row],[House Code]],tbl_Assessment[House Code],0),9),"")</f>
        <v/>
      </c>
      <c r="H89" s="41"/>
      <c r="I89" s="41"/>
      <c r="J89" s="41"/>
      <c r="K89" s="116"/>
      <c r="L89" s="117" t="str">
        <f>IF(tbl_Actual_costs_quantities34[[#This Row],[House Code]]&lt;&gt;"",tbl_Actual_costs_quantities34[[#This Row],[Total cost]]/INDEX(tbl_estimated_costs_quantities[],MATCH(tbl_Actual_costs_quantities34[[#This Row],[House Code]],tbl_estimated_costs_quantities[House Code],0),7),"")</f>
        <v/>
      </c>
      <c r="M8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89" s="75"/>
      <c r="O89" s="37"/>
      <c r="P89" s="86">
        <f>tbl_Actual_costs_quantities34[[#This Row],[Site Preparation]]*BOQs!$L$3</f>
        <v>0</v>
      </c>
      <c r="Q89" s="76"/>
      <c r="R89" s="37"/>
      <c r="S89" s="86">
        <f>tbl_Actual_costs_quantities34[[#This Row],[Demolition Removal Unsafe Structures]]*BOQs!$L$4</f>
        <v>0</v>
      </c>
      <c r="T89" s="76"/>
      <c r="U89" s="37"/>
      <c r="V89" s="86">
        <f>tbl_Actual_costs_quantities34[[#This Row],[Concrete Works]]*BOQs!$L$5</f>
        <v>0</v>
      </c>
      <c r="W89" s="76"/>
      <c r="X89" s="37"/>
      <c r="Y89" s="86">
        <f>tbl_Actual_costs_quantities34[[#This Row],[Closure External Openings Walls Windows]]*BOQs!$L$6</f>
        <v>0</v>
      </c>
      <c r="Z89" s="76"/>
      <c r="AA89" s="37"/>
      <c r="AB89" s="86">
        <f>tbl_Actual_costs_quantities34[[#This Row],[Plastering Painting]]*BOQs!$L$7</f>
        <v>0</v>
      </c>
      <c r="AC89" s="76"/>
      <c r="AD89" s="37"/>
      <c r="AE89" s="86">
        <f>tbl_Actual_costs_quantities34[[#This Row],[Floor Repairs]]*BOQs!$L$8</f>
        <v>0</v>
      </c>
      <c r="AF89" s="76"/>
      <c r="AG89" s="37"/>
      <c r="AH89" s="86">
        <f>tbl_Actual_costs_quantities34[[#This Row],[Doors Replacement Repair]]*BOQs!$L$9</f>
        <v>0</v>
      </c>
      <c r="AI89" s="76"/>
      <c r="AJ89" s="37"/>
      <c r="AK89" s="86">
        <f>tbl_Actual_costs_quantities34[[#This Row],[Windows Replacement Repair]]*BOQs!$L$10</f>
        <v>0</v>
      </c>
      <c r="AL89" s="76"/>
      <c r="AM89" s="37"/>
      <c r="AN89" s="86">
        <f>tbl_Actual_costs_quantities34[[#This Row],[Bathroom Rehabilitation]]*BOQs!$L$11</f>
        <v>0</v>
      </c>
      <c r="AO89" s="76"/>
      <c r="AP89" s="37"/>
      <c r="AQ89" s="86">
        <f>tbl_Actual_costs_quantities34[[#This Row],[Ceramic Tile Works WASH]]*BOQs!$L$12</f>
        <v>0</v>
      </c>
      <c r="AR89" s="76"/>
      <c r="AS89" s="37"/>
      <c r="AT89" s="86">
        <f>tbl_Actual_costs_quantities34[[#This Row],[Electrical Repairs Lighting]]*BOQs!$L$13</f>
        <v>0</v>
      </c>
      <c r="AU89" s="76"/>
      <c r="AV89" s="37"/>
      <c r="AW89" s="86">
        <f>tbl_Actual_costs_quantities34[[#This Row],[Roof Insulation Leak Sealing]]*BOQs!$L$14</f>
        <v>0</v>
      </c>
      <c r="AX89" s="76"/>
      <c r="AY89" s="37"/>
      <c r="AZ89" s="86">
        <f>tbl_Actual_costs_quantities34[[#This Row],[Chimney Duct Cleaning Repair]]*BOQs!$L$15</f>
        <v>0</v>
      </c>
      <c r="BA89" s="76"/>
      <c r="BB89" s="37"/>
      <c r="BC89" s="89">
        <f>tbl_Actual_costs_quantities34[[#This Row],[Accessibility Adaptations]]*BOQs!$L$16</f>
        <v>0</v>
      </c>
      <c r="BD89" s="41"/>
      <c r="BE89" s="37"/>
      <c r="BF89" s="37"/>
    </row>
    <row r="90" spans="2:58" ht="25.15" customHeight="1" x14ac:dyDescent="0.25">
      <c r="B90" s="49">
        <v>86</v>
      </c>
      <c r="C90" s="37"/>
      <c r="D90" s="41"/>
      <c r="E90" s="40"/>
      <c r="F90" s="87" t="str">
        <f>IF(tbl_Actual_costs_quantities34[[#This Row],[House Code]]&lt;&gt;"",INDEX(tbl_Assessment[],MATCH(tbl_Actual_costs_quantities34[[#This Row],[House Code]],tbl_Assessment[House Code],0),3),"")</f>
        <v/>
      </c>
      <c r="G90" s="116" t="str">
        <f>IF(tbl_Actual_costs_quantities34[[#This Row],[House Code]]&lt;&gt;"",INDEX(tbl_Assessment[],MATCH(tbl_Actual_costs_quantities34[[#This Row],[House Code]],tbl_Assessment[House Code],0),9),"")</f>
        <v/>
      </c>
      <c r="H90" s="41"/>
      <c r="I90" s="41"/>
      <c r="J90" s="41"/>
      <c r="K90" s="116"/>
      <c r="L90" s="117" t="str">
        <f>IF(tbl_Actual_costs_quantities34[[#This Row],[House Code]]&lt;&gt;"",tbl_Actual_costs_quantities34[[#This Row],[Total cost]]/INDEX(tbl_estimated_costs_quantities[],MATCH(tbl_Actual_costs_quantities34[[#This Row],[House Code]],tbl_estimated_costs_quantities[House Code],0),7),"")</f>
        <v/>
      </c>
      <c r="M9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0" s="75"/>
      <c r="O90" s="37"/>
      <c r="P90" s="86">
        <f>tbl_Actual_costs_quantities34[[#This Row],[Site Preparation]]*BOQs!$L$3</f>
        <v>0</v>
      </c>
      <c r="Q90" s="76"/>
      <c r="R90" s="37"/>
      <c r="S90" s="86">
        <f>tbl_Actual_costs_quantities34[[#This Row],[Demolition Removal Unsafe Structures]]*BOQs!$L$4</f>
        <v>0</v>
      </c>
      <c r="T90" s="76"/>
      <c r="U90" s="37"/>
      <c r="V90" s="86">
        <f>tbl_Actual_costs_quantities34[[#This Row],[Concrete Works]]*BOQs!$L$5</f>
        <v>0</v>
      </c>
      <c r="W90" s="76"/>
      <c r="X90" s="37"/>
      <c r="Y90" s="86">
        <f>tbl_Actual_costs_quantities34[[#This Row],[Closure External Openings Walls Windows]]*BOQs!$L$6</f>
        <v>0</v>
      </c>
      <c r="Z90" s="76"/>
      <c r="AA90" s="37"/>
      <c r="AB90" s="86">
        <f>tbl_Actual_costs_quantities34[[#This Row],[Plastering Painting]]*BOQs!$L$7</f>
        <v>0</v>
      </c>
      <c r="AC90" s="76"/>
      <c r="AD90" s="37"/>
      <c r="AE90" s="86">
        <f>tbl_Actual_costs_quantities34[[#This Row],[Floor Repairs]]*BOQs!$L$8</f>
        <v>0</v>
      </c>
      <c r="AF90" s="76"/>
      <c r="AG90" s="37"/>
      <c r="AH90" s="86">
        <f>tbl_Actual_costs_quantities34[[#This Row],[Doors Replacement Repair]]*BOQs!$L$9</f>
        <v>0</v>
      </c>
      <c r="AI90" s="76"/>
      <c r="AJ90" s="37"/>
      <c r="AK90" s="86">
        <f>tbl_Actual_costs_quantities34[[#This Row],[Windows Replacement Repair]]*BOQs!$L$10</f>
        <v>0</v>
      </c>
      <c r="AL90" s="76"/>
      <c r="AM90" s="37"/>
      <c r="AN90" s="86">
        <f>tbl_Actual_costs_quantities34[[#This Row],[Bathroom Rehabilitation]]*BOQs!$L$11</f>
        <v>0</v>
      </c>
      <c r="AO90" s="76"/>
      <c r="AP90" s="37"/>
      <c r="AQ90" s="86">
        <f>tbl_Actual_costs_quantities34[[#This Row],[Ceramic Tile Works WASH]]*BOQs!$L$12</f>
        <v>0</v>
      </c>
      <c r="AR90" s="76"/>
      <c r="AS90" s="37"/>
      <c r="AT90" s="86">
        <f>tbl_Actual_costs_quantities34[[#This Row],[Electrical Repairs Lighting]]*BOQs!$L$13</f>
        <v>0</v>
      </c>
      <c r="AU90" s="76"/>
      <c r="AV90" s="37"/>
      <c r="AW90" s="86">
        <f>tbl_Actual_costs_quantities34[[#This Row],[Roof Insulation Leak Sealing]]*BOQs!$L$14</f>
        <v>0</v>
      </c>
      <c r="AX90" s="76"/>
      <c r="AY90" s="37"/>
      <c r="AZ90" s="86">
        <f>tbl_Actual_costs_quantities34[[#This Row],[Chimney Duct Cleaning Repair]]*BOQs!$L$15</f>
        <v>0</v>
      </c>
      <c r="BA90" s="76"/>
      <c r="BB90" s="37"/>
      <c r="BC90" s="89">
        <f>tbl_Actual_costs_quantities34[[#This Row],[Accessibility Adaptations]]*BOQs!$L$16</f>
        <v>0</v>
      </c>
      <c r="BD90" s="41"/>
      <c r="BE90" s="37"/>
      <c r="BF90" s="37"/>
    </row>
    <row r="91" spans="2:58" ht="25.15" customHeight="1" x14ac:dyDescent="0.25">
      <c r="B91" s="49">
        <v>87</v>
      </c>
      <c r="C91" s="37"/>
      <c r="D91" s="41"/>
      <c r="E91" s="40"/>
      <c r="F91" s="87" t="str">
        <f>IF(tbl_Actual_costs_quantities34[[#This Row],[House Code]]&lt;&gt;"",INDEX(tbl_Assessment[],MATCH(tbl_Actual_costs_quantities34[[#This Row],[House Code]],tbl_Assessment[House Code],0),3),"")</f>
        <v/>
      </c>
      <c r="G91" s="116" t="str">
        <f>IF(tbl_Actual_costs_quantities34[[#This Row],[House Code]]&lt;&gt;"",INDEX(tbl_Assessment[],MATCH(tbl_Actual_costs_quantities34[[#This Row],[House Code]],tbl_Assessment[House Code],0),9),"")</f>
        <v/>
      </c>
      <c r="H91" s="41"/>
      <c r="I91" s="41"/>
      <c r="J91" s="41"/>
      <c r="K91" s="116"/>
      <c r="L91" s="117" t="str">
        <f>IF(tbl_Actual_costs_quantities34[[#This Row],[House Code]]&lt;&gt;"",tbl_Actual_costs_quantities34[[#This Row],[Total cost]]/INDEX(tbl_estimated_costs_quantities[],MATCH(tbl_Actual_costs_quantities34[[#This Row],[House Code]],tbl_estimated_costs_quantities[House Code],0),7),"")</f>
        <v/>
      </c>
      <c r="M9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1" s="75"/>
      <c r="O91" s="37"/>
      <c r="P91" s="86">
        <f>tbl_Actual_costs_quantities34[[#This Row],[Site Preparation]]*BOQs!$L$3</f>
        <v>0</v>
      </c>
      <c r="Q91" s="76"/>
      <c r="R91" s="37"/>
      <c r="S91" s="86">
        <f>tbl_Actual_costs_quantities34[[#This Row],[Demolition Removal Unsafe Structures]]*BOQs!$L$4</f>
        <v>0</v>
      </c>
      <c r="T91" s="76"/>
      <c r="U91" s="37"/>
      <c r="V91" s="86">
        <f>tbl_Actual_costs_quantities34[[#This Row],[Concrete Works]]*BOQs!$L$5</f>
        <v>0</v>
      </c>
      <c r="W91" s="76"/>
      <c r="X91" s="37"/>
      <c r="Y91" s="86">
        <f>tbl_Actual_costs_quantities34[[#This Row],[Closure External Openings Walls Windows]]*BOQs!$L$6</f>
        <v>0</v>
      </c>
      <c r="Z91" s="76"/>
      <c r="AA91" s="37"/>
      <c r="AB91" s="86">
        <f>tbl_Actual_costs_quantities34[[#This Row],[Plastering Painting]]*BOQs!$L$7</f>
        <v>0</v>
      </c>
      <c r="AC91" s="76"/>
      <c r="AD91" s="37"/>
      <c r="AE91" s="86">
        <f>tbl_Actual_costs_quantities34[[#This Row],[Floor Repairs]]*BOQs!$L$8</f>
        <v>0</v>
      </c>
      <c r="AF91" s="76"/>
      <c r="AG91" s="37"/>
      <c r="AH91" s="86">
        <f>tbl_Actual_costs_quantities34[[#This Row],[Doors Replacement Repair]]*BOQs!$L$9</f>
        <v>0</v>
      </c>
      <c r="AI91" s="76"/>
      <c r="AJ91" s="37"/>
      <c r="AK91" s="86">
        <f>tbl_Actual_costs_quantities34[[#This Row],[Windows Replacement Repair]]*BOQs!$L$10</f>
        <v>0</v>
      </c>
      <c r="AL91" s="76"/>
      <c r="AM91" s="37"/>
      <c r="AN91" s="86">
        <f>tbl_Actual_costs_quantities34[[#This Row],[Bathroom Rehabilitation]]*BOQs!$L$11</f>
        <v>0</v>
      </c>
      <c r="AO91" s="76"/>
      <c r="AP91" s="37"/>
      <c r="AQ91" s="86">
        <f>tbl_Actual_costs_quantities34[[#This Row],[Ceramic Tile Works WASH]]*BOQs!$L$12</f>
        <v>0</v>
      </c>
      <c r="AR91" s="76"/>
      <c r="AS91" s="37"/>
      <c r="AT91" s="86">
        <f>tbl_Actual_costs_quantities34[[#This Row],[Electrical Repairs Lighting]]*BOQs!$L$13</f>
        <v>0</v>
      </c>
      <c r="AU91" s="76"/>
      <c r="AV91" s="37"/>
      <c r="AW91" s="86">
        <f>tbl_Actual_costs_quantities34[[#This Row],[Roof Insulation Leak Sealing]]*BOQs!$L$14</f>
        <v>0</v>
      </c>
      <c r="AX91" s="76"/>
      <c r="AY91" s="37"/>
      <c r="AZ91" s="86">
        <f>tbl_Actual_costs_quantities34[[#This Row],[Chimney Duct Cleaning Repair]]*BOQs!$L$15</f>
        <v>0</v>
      </c>
      <c r="BA91" s="76"/>
      <c r="BB91" s="37"/>
      <c r="BC91" s="89">
        <f>tbl_Actual_costs_quantities34[[#This Row],[Accessibility Adaptations]]*BOQs!$L$16</f>
        <v>0</v>
      </c>
      <c r="BD91" s="41"/>
      <c r="BE91" s="37"/>
      <c r="BF91" s="37"/>
    </row>
    <row r="92" spans="2:58" ht="25.15" customHeight="1" x14ac:dyDescent="0.25">
      <c r="B92" s="49">
        <v>88</v>
      </c>
      <c r="C92" s="37"/>
      <c r="D92" s="41"/>
      <c r="E92" s="40"/>
      <c r="F92" s="87" t="str">
        <f>IF(tbl_Actual_costs_quantities34[[#This Row],[House Code]]&lt;&gt;"",INDEX(tbl_Assessment[],MATCH(tbl_Actual_costs_quantities34[[#This Row],[House Code]],tbl_Assessment[House Code],0),3),"")</f>
        <v/>
      </c>
      <c r="G92" s="116" t="str">
        <f>IF(tbl_Actual_costs_quantities34[[#This Row],[House Code]]&lt;&gt;"",INDEX(tbl_Assessment[],MATCH(tbl_Actual_costs_quantities34[[#This Row],[House Code]],tbl_Assessment[House Code],0),9),"")</f>
        <v/>
      </c>
      <c r="H92" s="41"/>
      <c r="I92" s="41"/>
      <c r="J92" s="41"/>
      <c r="K92" s="116"/>
      <c r="L92" s="117" t="str">
        <f>IF(tbl_Actual_costs_quantities34[[#This Row],[House Code]]&lt;&gt;"",tbl_Actual_costs_quantities34[[#This Row],[Total cost]]/INDEX(tbl_estimated_costs_quantities[],MATCH(tbl_Actual_costs_quantities34[[#This Row],[House Code]],tbl_estimated_costs_quantities[House Code],0),7),"")</f>
        <v/>
      </c>
      <c r="M9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2" s="75"/>
      <c r="O92" s="37"/>
      <c r="P92" s="86">
        <f>tbl_Actual_costs_quantities34[[#This Row],[Site Preparation]]*BOQs!$L$3</f>
        <v>0</v>
      </c>
      <c r="Q92" s="76"/>
      <c r="R92" s="37"/>
      <c r="S92" s="86">
        <f>tbl_Actual_costs_quantities34[[#This Row],[Demolition Removal Unsafe Structures]]*BOQs!$L$4</f>
        <v>0</v>
      </c>
      <c r="T92" s="76"/>
      <c r="U92" s="37"/>
      <c r="V92" s="86">
        <f>tbl_Actual_costs_quantities34[[#This Row],[Concrete Works]]*BOQs!$L$5</f>
        <v>0</v>
      </c>
      <c r="W92" s="76"/>
      <c r="X92" s="37"/>
      <c r="Y92" s="86">
        <f>tbl_Actual_costs_quantities34[[#This Row],[Closure External Openings Walls Windows]]*BOQs!$L$6</f>
        <v>0</v>
      </c>
      <c r="Z92" s="76"/>
      <c r="AA92" s="37"/>
      <c r="AB92" s="86">
        <f>tbl_Actual_costs_quantities34[[#This Row],[Plastering Painting]]*BOQs!$L$7</f>
        <v>0</v>
      </c>
      <c r="AC92" s="76"/>
      <c r="AD92" s="37"/>
      <c r="AE92" s="86">
        <f>tbl_Actual_costs_quantities34[[#This Row],[Floor Repairs]]*BOQs!$L$8</f>
        <v>0</v>
      </c>
      <c r="AF92" s="76"/>
      <c r="AG92" s="37"/>
      <c r="AH92" s="86">
        <f>tbl_Actual_costs_quantities34[[#This Row],[Doors Replacement Repair]]*BOQs!$L$9</f>
        <v>0</v>
      </c>
      <c r="AI92" s="76"/>
      <c r="AJ92" s="37"/>
      <c r="AK92" s="86">
        <f>tbl_Actual_costs_quantities34[[#This Row],[Windows Replacement Repair]]*BOQs!$L$10</f>
        <v>0</v>
      </c>
      <c r="AL92" s="76"/>
      <c r="AM92" s="37"/>
      <c r="AN92" s="86">
        <f>tbl_Actual_costs_quantities34[[#This Row],[Bathroom Rehabilitation]]*BOQs!$L$11</f>
        <v>0</v>
      </c>
      <c r="AO92" s="76"/>
      <c r="AP92" s="37"/>
      <c r="AQ92" s="86">
        <f>tbl_Actual_costs_quantities34[[#This Row],[Ceramic Tile Works WASH]]*BOQs!$L$12</f>
        <v>0</v>
      </c>
      <c r="AR92" s="76"/>
      <c r="AS92" s="37"/>
      <c r="AT92" s="86">
        <f>tbl_Actual_costs_quantities34[[#This Row],[Electrical Repairs Lighting]]*BOQs!$L$13</f>
        <v>0</v>
      </c>
      <c r="AU92" s="76"/>
      <c r="AV92" s="37"/>
      <c r="AW92" s="86">
        <f>tbl_Actual_costs_quantities34[[#This Row],[Roof Insulation Leak Sealing]]*BOQs!$L$14</f>
        <v>0</v>
      </c>
      <c r="AX92" s="76"/>
      <c r="AY92" s="37"/>
      <c r="AZ92" s="86">
        <f>tbl_Actual_costs_quantities34[[#This Row],[Chimney Duct Cleaning Repair]]*BOQs!$L$15</f>
        <v>0</v>
      </c>
      <c r="BA92" s="76"/>
      <c r="BB92" s="37"/>
      <c r="BC92" s="89">
        <f>tbl_Actual_costs_quantities34[[#This Row],[Accessibility Adaptations]]*BOQs!$L$16</f>
        <v>0</v>
      </c>
      <c r="BD92" s="41"/>
      <c r="BE92" s="37"/>
      <c r="BF92" s="37"/>
    </row>
    <row r="93" spans="2:58" ht="25.15" customHeight="1" x14ac:dyDescent="0.25">
      <c r="B93" s="49">
        <v>89</v>
      </c>
      <c r="C93" s="37"/>
      <c r="D93" s="41"/>
      <c r="E93" s="40"/>
      <c r="F93" s="87" t="str">
        <f>IF(tbl_Actual_costs_quantities34[[#This Row],[House Code]]&lt;&gt;"",INDEX(tbl_Assessment[],MATCH(tbl_Actual_costs_quantities34[[#This Row],[House Code]],tbl_Assessment[House Code],0),3),"")</f>
        <v/>
      </c>
      <c r="G93" s="116" t="str">
        <f>IF(tbl_Actual_costs_quantities34[[#This Row],[House Code]]&lt;&gt;"",INDEX(tbl_Assessment[],MATCH(tbl_Actual_costs_quantities34[[#This Row],[House Code]],tbl_Assessment[House Code],0),9),"")</f>
        <v/>
      </c>
      <c r="H93" s="41"/>
      <c r="I93" s="41"/>
      <c r="J93" s="41"/>
      <c r="K93" s="116"/>
      <c r="L93" s="117" t="str">
        <f>IF(tbl_Actual_costs_quantities34[[#This Row],[House Code]]&lt;&gt;"",tbl_Actual_costs_quantities34[[#This Row],[Total cost]]/INDEX(tbl_estimated_costs_quantities[],MATCH(tbl_Actual_costs_quantities34[[#This Row],[House Code]],tbl_estimated_costs_quantities[House Code],0),7),"")</f>
        <v/>
      </c>
      <c r="M9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3" s="75"/>
      <c r="O93" s="37"/>
      <c r="P93" s="86">
        <f>tbl_Actual_costs_quantities34[[#This Row],[Site Preparation]]*BOQs!$L$3</f>
        <v>0</v>
      </c>
      <c r="Q93" s="76"/>
      <c r="R93" s="37"/>
      <c r="S93" s="86">
        <f>tbl_Actual_costs_quantities34[[#This Row],[Demolition Removal Unsafe Structures]]*BOQs!$L$4</f>
        <v>0</v>
      </c>
      <c r="T93" s="76"/>
      <c r="U93" s="37"/>
      <c r="V93" s="86">
        <f>tbl_Actual_costs_quantities34[[#This Row],[Concrete Works]]*BOQs!$L$5</f>
        <v>0</v>
      </c>
      <c r="W93" s="76"/>
      <c r="X93" s="37"/>
      <c r="Y93" s="86">
        <f>tbl_Actual_costs_quantities34[[#This Row],[Closure External Openings Walls Windows]]*BOQs!$L$6</f>
        <v>0</v>
      </c>
      <c r="Z93" s="76"/>
      <c r="AA93" s="37"/>
      <c r="AB93" s="86">
        <f>tbl_Actual_costs_quantities34[[#This Row],[Plastering Painting]]*BOQs!$L$7</f>
        <v>0</v>
      </c>
      <c r="AC93" s="76"/>
      <c r="AD93" s="37"/>
      <c r="AE93" s="86">
        <f>tbl_Actual_costs_quantities34[[#This Row],[Floor Repairs]]*BOQs!$L$8</f>
        <v>0</v>
      </c>
      <c r="AF93" s="76"/>
      <c r="AG93" s="37"/>
      <c r="AH93" s="86">
        <f>tbl_Actual_costs_quantities34[[#This Row],[Doors Replacement Repair]]*BOQs!$L$9</f>
        <v>0</v>
      </c>
      <c r="AI93" s="76"/>
      <c r="AJ93" s="37"/>
      <c r="AK93" s="86">
        <f>tbl_Actual_costs_quantities34[[#This Row],[Windows Replacement Repair]]*BOQs!$L$10</f>
        <v>0</v>
      </c>
      <c r="AL93" s="76"/>
      <c r="AM93" s="37"/>
      <c r="AN93" s="86">
        <f>tbl_Actual_costs_quantities34[[#This Row],[Bathroom Rehabilitation]]*BOQs!$L$11</f>
        <v>0</v>
      </c>
      <c r="AO93" s="76"/>
      <c r="AP93" s="37"/>
      <c r="AQ93" s="86">
        <f>tbl_Actual_costs_quantities34[[#This Row],[Ceramic Tile Works WASH]]*BOQs!$L$12</f>
        <v>0</v>
      </c>
      <c r="AR93" s="76"/>
      <c r="AS93" s="37"/>
      <c r="AT93" s="86">
        <f>tbl_Actual_costs_quantities34[[#This Row],[Electrical Repairs Lighting]]*BOQs!$L$13</f>
        <v>0</v>
      </c>
      <c r="AU93" s="76"/>
      <c r="AV93" s="37"/>
      <c r="AW93" s="86">
        <f>tbl_Actual_costs_quantities34[[#This Row],[Roof Insulation Leak Sealing]]*BOQs!$L$14</f>
        <v>0</v>
      </c>
      <c r="AX93" s="76"/>
      <c r="AY93" s="37"/>
      <c r="AZ93" s="86">
        <f>tbl_Actual_costs_quantities34[[#This Row],[Chimney Duct Cleaning Repair]]*BOQs!$L$15</f>
        <v>0</v>
      </c>
      <c r="BA93" s="76"/>
      <c r="BB93" s="37"/>
      <c r="BC93" s="89">
        <f>tbl_Actual_costs_quantities34[[#This Row],[Accessibility Adaptations]]*BOQs!$L$16</f>
        <v>0</v>
      </c>
      <c r="BD93" s="41"/>
      <c r="BE93" s="37"/>
      <c r="BF93" s="37"/>
    </row>
    <row r="94" spans="2:58" ht="25.15" customHeight="1" x14ac:dyDescent="0.25">
      <c r="B94" s="49">
        <v>90</v>
      </c>
      <c r="C94" s="37"/>
      <c r="D94" s="41"/>
      <c r="E94" s="40"/>
      <c r="F94" s="87" t="str">
        <f>IF(tbl_Actual_costs_quantities34[[#This Row],[House Code]]&lt;&gt;"",INDEX(tbl_Assessment[],MATCH(tbl_Actual_costs_quantities34[[#This Row],[House Code]],tbl_Assessment[House Code],0),3),"")</f>
        <v/>
      </c>
      <c r="G94" s="116" t="str">
        <f>IF(tbl_Actual_costs_quantities34[[#This Row],[House Code]]&lt;&gt;"",INDEX(tbl_Assessment[],MATCH(tbl_Actual_costs_quantities34[[#This Row],[House Code]],tbl_Assessment[House Code],0),9),"")</f>
        <v/>
      </c>
      <c r="H94" s="41"/>
      <c r="I94" s="41"/>
      <c r="J94" s="41"/>
      <c r="K94" s="116"/>
      <c r="L94" s="117" t="str">
        <f>IF(tbl_Actual_costs_quantities34[[#This Row],[House Code]]&lt;&gt;"",tbl_Actual_costs_quantities34[[#This Row],[Total cost]]/INDEX(tbl_estimated_costs_quantities[],MATCH(tbl_Actual_costs_quantities34[[#This Row],[House Code]],tbl_estimated_costs_quantities[House Code],0),7),"")</f>
        <v/>
      </c>
      <c r="M9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4" s="75"/>
      <c r="O94" s="37"/>
      <c r="P94" s="86">
        <f>tbl_Actual_costs_quantities34[[#This Row],[Site Preparation]]*BOQs!$L$3</f>
        <v>0</v>
      </c>
      <c r="Q94" s="76"/>
      <c r="R94" s="37"/>
      <c r="S94" s="86">
        <f>tbl_Actual_costs_quantities34[[#This Row],[Demolition Removal Unsafe Structures]]*BOQs!$L$4</f>
        <v>0</v>
      </c>
      <c r="T94" s="76"/>
      <c r="U94" s="37"/>
      <c r="V94" s="86">
        <f>tbl_Actual_costs_quantities34[[#This Row],[Concrete Works]]*BOQs!$L$5</f>
        <v>0</v>
      </c>
      <c r="W94" s="76"/>
      <c r="X94" s="37"/>
      <c r="Y94" s="86">
        <f>tbl_Actual_costs_quantities34[[#This Row],[Closure External Openings Walls Windows]]*BOQs!$L$6</f>
        <v>0</v>
      </c>
      <c r="Z94" s="76"/>
      <c r="AA94" s="37"/>
      <c r="AB94" s="86">
        <f>tbl_Actual_costs_quantities34[[#This Row],[Plastering Painting]]*BOQs!$L$7</f>
        <v>0</v>
      </c>
      <c r="AC94" s="76"/>
      <c r="AD94" s="37"/>
      <c r="AE94" s="86">
        <f>tbl_Actual_costs_quantities34[[#This Row],[Floor Repairs]]*BOQs!$L$8</f>
        <v>0</v>
      </c>
      <c r="AF94" s="76"/>
      <c r="AG94" s="37"/>
      <c r="AH94" s="86">
        <f>tbl_Actual_costs_quantities34[[#This Row],[Doors Replacement Repair]]*BOQs!$L$9</f>
        <v>0</v>
      </c>
      <c r="AI94" s="76"/>
      <c r="AJ94" s="37"/>
      <c r="AK94" s="86">
        <f>tbl_Actual_costs_quantities34[[#This Row],[Windows Replacement Repair]]*BOQs!$L$10</f>
        <v>0</v>
      </c>
      <c r="AL94" s="76"/>
      <c r="AM94" s="37"/>
      <c r="AN94" s="86">
        <f>tbl_Actual_costs_quantities34[[#This Row],[Bathroom Rehabilitation]]*BOQs!$L$11</f>
        <v>0</v>
      </c>
      <c r="AO94" s="76"/>
      <c r="AP94" s="37"/>
      <c r="AQ94" s="86">
        <f>tbl_Actual_costs_quantities34[[#This Row],[Ceramic Tile Works WASH]]*BOQs!$L$12</f>
        <v>0</v>
      </c>
      <c r="AR94" s="76"/>
      <c r="AS94" s="37"/>
      <c r="AT94" s="86">
        <f>tbl_Actual_costs_quantities34[[#This Row],[Electrical Repairs Lighting]]*BOQs!$L$13</f>
        <v>0</v>
      </c>
      <c r="AU94" s="76"/>
      <c r="AV94" s="37"/>
      <c r="AW94" s="86">
        <f>tbl_Actual_costs_quantities34[[#This Row],[Roof Insulation Leak Sealing]]*BOQs!$L$14</f>
        <v>0</v>
      </c>
      <c r="AX94" s="76"/>
      <c r="AY94" s="37"/>
      <c r="AZ94" s="86">
        <f>tbl_Actual_costs_quantities34[[#This Row],[Chimney Duct Cleaning Repair]]*BOQs!$L$15</f>
        <v>0</v>
      </c>
      <c r="BA94" s="76"/>
      <c r="BB94" s="37"/>
      <c r="BC94" s="89">
        <f>tbl_Actual_costs_quantities34[[#This Row],[Accessibility Adaptations]]*BOQs!$L$16</f>
        <v>0</v>
      </c>
      <c r="BD94" s="41"/>
      <c r="BE94" s="37"/>
      <c r="BF94" s="37"/>
    </row>
    <row r="95" spans="2:58" ht="25.15" customHeight="1" x14ac:dyDescent="0.25">
      <c r="B95" s="49">
        <v>91</v>
      </c>
      <c r="C95" s="37"/>
      <c r="D95" s="41"/>
      <c r="E95" s="40"/>
      <c r="F95" s="87" t="str">
        <f>IF(tbl_Actual_costs_quantities34[[#This Row],[House Code]]&lt;&gt;"",INDEX(tbl_Assessment[],MATCH(tbl_Actual_costs_quantities34[[#This Row],[House Code]],tbl_Assessment[House Code],0),3),"")</f>
        <v/>
      </c>
      <c r="G95" s="116" t="str">
        <f>IF(tbl_Actual_costs_quantities34[[#This Row],[House Code]]&lt;&gt;"",INDEX(tbl_Assessment[],MATCH(tbl_Actual_costs_quantities34[[#This Row],[House Code]],tbl_Assessment[House Code],0),9),"")</f>
        <v/>
      </c>
      <c r="H95" s="41"/>
      <c r="I95" s="41"/>
      <c r="J95" s="41"/>
      <c r="K95" s="116"/>
      <c r="L95" s="117" t="str">
        <f>IF(tbl_Actual_costs_quantities34[[#This Row],[House Code]]&lt;&gt;"",tbl_Actual_costs_quantities34[[#This Row],[Total cost]]/INDEX(tbl_estimated_costs_quantities[],MATCH(tbl_Actual_costs_quantities34[[#This Row],[House Code]],tbl_estimated_costs_quantities[House Code],0),7),"")</f>
        <v/>
      </c>
      <c r="M9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5" s="75"/>
      <c r="O95" s="37"/>
      <c r="P95" s="86">
        <f>tbl_Actual_costs_quantities34[[#This Row],[Site Preparation]]*BOQs!$L$3</f>
        <v>0</v>
      </c>
      <c r="Q95" s="76"/>
      <c r="R95" s="37"/>
      <c r="S95" s="86">
        <f>tbl_Actual_costs_quantities34[[#This Row],[Demolition Removal Unsafe Structures]]*BOQs!$L$4</f>
        <v>0</v>
      </c>
      <c r="T95" s="76"/>
      <c r="U95" s="37"/>
      <c r="V95" s="86">
        <f>tbl_Actual_costs_quantities34[[#This Row],[Concrete Works]]*BOQs!$L$5</f>
        <v>0</v>
      </c>
      <c r="W95" s="76"/>
      <c r="X95" s="37"/>
      <c r="Y95" s="86">
        <f>tbl_Actual_costs_quantities34[[#This Row],[Closure External Openings Walls Windows]]*BOQs!$L$6</f>
        <v>0</v>
      </c>
      <c r="Z95" s="76"/>
      <c r="AA95" s="37"/>
      <c r="AB95" s="86">
        <f>tbl_Actual_costs_quantities34[[#This Row],[Plastering Painting]]*BOQs!$L$7</f>
        <v>0</v>
      </c>
      <c r="AC95" s="76"/>
      <c r="AD95" s="37"/>
      <c r="AE95" s="86">
        <f>tbl_Actual_costs_quantities34[[#This Row],[Floor Repairs]]*BOQs!$L$8</f>
        <v>0</v>
      </c>
      <c r="AF95" s="76"/>
      <c r="AG95" s="37"/>
      <c r="AH95" s="86">
        <f>tbl_Actual_costs_quantities34[[#This Row],[Doors Replacement Repair]]*BOQs!$L$9</f>
        <v>0</v>
      </c>
      <c r="AI95" s="76"/>
      <c r="AJ95" s="37"/>
      <c r="AK95" s="86">
        <f>tbl_Actual_costs_quantities34[[#This Row],[Windows Replacement Repair]]*BOQs!$L$10</f>
        <v>0</v>
      </c>
      <c r="AL95" s="76"/>
      <c r="AM95" s="37"/>
      <c r="AN95" s="86">
        <f>tbl_Actual_costs_quantities34[[#This Row],[Bathroom Rehabilitation]]*BOQs!$L$11</f>
        <v>0</v>
      </c>
      <c r="AO95" s="76"/>
      <c r="AP95" s="37"/>
      <c r="AQ95" s="86">
        <f>tbl_Actual_costs_quantities34[[#This Row],[Ceramic Tile Works WASH]]*BOQs!$L$12</f>
        <v>0</v>
      </c>
      <c r="AR95" s="76"/>
      <c r="AS95" s="37"/>
      <c r="AT95" s="86">
        <f>tbl_Actual_costs_quantities34[[#This Row],[Electrical Repairs Lighting]]*BOQs!$L$13</f>
        <v>0</v>
      </c>
      <c r="AU95" s="76"/>
      <c r="AV95" s="37"/>
      <c r="AW95" s="86">
        <f>tbl_Actual_costs_quantities34[[#This Row],[Roof Insulation Leak Sealing]]*BOQs!$L$14</f>
        <v>0</v>
      </c>
      <c r="AX95" s="76"/>
      <c r="AY95" s="37"/>
      <c r="AZ95" s="86">
        <f>tbl_Actual_costs_quantities34[[#This Row],[Chimney Duct Cleaning Repair]]*BOQs!$L$15</f>
        <v>0</v>
      </c>
      <c r="BA95" s="76"/>
      <c r="BB95" s="37"/>
      <c r="BC95" s="89">
        <f>tbl_Actual_costs_quantities34[[#This Row],[Accessibility Adaptations]]*BOQs!$L$16</f>
        <v>0</v>
      </c>
      <c r="BD95" s="41"/>
      <c r="BE95" s="37"/>
      <c r="BF95" s="37"/>
    </row>
    <row r="96" spans="2:58" ht="25.15" customHeight="1" x14ac:dyDescent="0.25">
      <c r="B96" s="49">
        <v>92</v>
      </c>
      <c r="C96" s="37"/>
      <c r="D96" s="41"/>
      <c r="E96" s="40"/>
      <c r="F96" s="87" t="str">
        <f>IF(tbl_Actual_costs_quantities34[[#This Row],[House Code]]&lt;&gt;"",INDEX(tbl_Assessment[],MATCH(tbl_Actual_costs_quantities34[[#This Row],[House Code]],tbl_Assessment[House Code],0),3),"")</f>
        <v/>
      </c>
      <c r="G96" s="116" t="str">
        <f>IF(tbl_Actual_costs_quantities34[[#This Row],[House Code]]&lt;&gt;"",INDEX(tbl_Assessment[],MATCH(tbl_Actual_costs_quantities34[[#This Row],[House Code]],tbl_Assessment[House Code],0),9),"")</f>
        <v/>
      </c>
      <c r="H96" s="41"/>
      <c r="I96" s="41"/>
      <c r="J96" s="41"/>
      <c r="K96" s="116"/>
      <c r="L96" s="117" t="str">
        <f>IF(tbl_Actual_costs_quantities34[[#This Row],[House Code]]&lt;&gt;"",tbl_Actual_costs_quantities34[[#This Row],[Total cost]]/INDEX(tbl_estimated_costs_quantities[],MATCH(tbl_Actual_costs_quantities34[[#This Row],[House Code]],tbl_estimated_costs_quantities[House Code],0),7),"")</f>
        <v/>
      </c>
      <c r="M9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6" s="75"/>
      <c r="O96" s="37"/>
      <c r="P96" s="86">
        <f>tbl_Actual_costs_quantities34[[#This Row],[Site Preparation]]*BOQs!$L$3</f>
        <v>0</v>
      </c>
      <c r="Q96" s="76"/>
      <c r="R96" s="37"/>
      <c r="S96" s="86">
        <f>tbl_Actual_costs_quantities34[[#This Row],[Demolition Removal Unsafe Structures]]*BOQs!$L$4</f>
        <v>0</v>
      </c>
      <c r="T96" s="76"/>
      <c r="U96" s="37"/>
      <c r="V96" s="86">
        <f>tbl_Actual_costs_quantities34[[#This Row],[Concrete Works]]*BOQs!$L$5</f>
        <v>0</v>
      </c>
      <c r="W96" s="76"/>
      <c r="X96" s="37"/>
      <c r="Y96" s="86">
        <f>tbl_Actual_costs_quantities34[[#This Row],[Closure External Openings Walls Windows]]*BOQs!$L$6</f>
        <v>0</v>
      </c>
      <c r="Z96" s="76"/>
      <c r="AA96" s="37"/>
      <c r="AB96" s="86">
        <f>tbl_Actual_costs_quantities34[[#This Row],[Plastering Painting]]*BOQs!$L$7</f>
        <v>0</v>
      </c>
      <c r="AC96" s="76"/>
      <c r="AD96" s="37"/>
      <c r="AE96" s="86">
        <f>tbl_Actual_costs_quantities34[[#This Row],[Floor Repairs]]*BOQs!$L$8</f>
        <v>0</v>
      </c>
      <c r="AF96" s="76"/>
      <c r="AG96" s="37"/>
      <c r="AH96" s="86">
        <f>tbl_Actual_costs_quantities34[[#This Row],[Doors Replacement Repair]]*BOQs!$L$9</f>
        <v>0</v>
      </c>
      <c r="AI96" s="76"/>
      <c r="AJ96" s="37"/>
      <c r="AK96" s="86">
        <f>tbl_Actual_costs_quantities34[[#This Row],[Windows Replacement Repair]]*BOQs!$L$10</f>
        <v>0</v>
      </c>
      <c r="AL96" s="76"/>
      <c r="AM96" s="37"/>
      <c r="AN96" s="86">
        <f>tbl_Actual_costs_quantities34[[#This Row],[Bathroom Rehabilitation]]*BOQs!$L$11</f>
        <v>0</v>
      </c>
      <c r="AO96" s="76"/>
      <c r="AP96" s="37"/>
      <c r="AQ96" s="86">
        <f>tbl_Actual_costs_quantities34[[#This Row],[Ceramic Tile Works WASH]]*BOQs!$L$12</f>
        <v>0</v>
      </c>
      <c r="AR96" s="76"/>
      <c r="AS96" s="37"/>
      <c r="AT96" s="86">
        <f>tbl_Actual_costs_quantities34[[#This Row],[Electrical Repairs Lighting]]*BOQs!$L$13</f>
        <v>0</v>
      </c>
      <c r="AU96" s="76"/>
      <c r="AV96" s="37"/>
      <c r="AW96" s="86">
        <f>tbl_Actual_costs_quantities34[[#This Row],[Roof Insulation Leak Sealing]]*BOQs!$L$14</f>
        <v>0</v>
      </c>
      <c r="AX96" s="76"/>
      <c r="AY96" s="37"/>
      <c r="AZ96" s="86">
        <f>tbl_Actual_costs_quantities34[[#This Row],[Chimney Duct Cleaning Repair]]*BOQs!$L$15</f>
        <v>0</v>
      </c>
      <c r="BA96" s="76"/>
      <c r="BB96" s="37"/>
      <c r="BC96" s="89">
        <f>tbl_Actual_costs_quantities34[[#This Row],[Accessibility Adaptations]]*BOQs!$L$16</f>
        <v>0</v>
      </c>
      <c r="BD96" s="41"/>
      <c r="BE96" s="37"/>
      <c r="BF96" s="37"/>
    </row>
    <row r="97" spans="2:58" ht="25.15" customHeight="1" x14ac:dyDescent="0.25">
      <c r="B97" s="49">
        <v>93</v>
      </c>
      <c r="C97" s="37"/>
      <c r="D97" s="41"/>
      <c r="E97" s="40"/>
      <c r="F97" s="87" t="str">
        <f>IF(tbl_Actual_costs_quantities34[[#This Row],[House Code]]&lt;&gt;"",INDEX(tbl_Assessment[],MATCH(tbl_Actual_costs_quantities34[[#This Row],[House Code]],tbl_Assessment[House Code],0),3),"")</f>
        <v/>
      </c>
      <c r="G97" s="116" t="str">
        <f>IF(tbl_Actual_costs_quantities34[[#This Row],[House Code]]&lt;&gt;"",INDEX(tbl_Assessment[],MATCH(tbl_Actual_costs_quantities34[[#This Row],[House Code]],tbl_Assessment[House Code],0),9),"")</f>
        <v/>
      </c>
      <c r="H97" s="41"/>
      <c r="I97" s="41"/>
      <c r="J97" s="41"/>
      <c r="K97" s="116"/>
      <c r="L97" s="117" t="str">
        <f>IF(tbl_Actual_costs_quantities34[[#This Row],[House Code]]&lt;&gt;"",tbl_Actual_costs_quantities34[[#This Row],[Total cost]]/INDEX(tbl_estimated_costs_quantities[],MATCH(tbl_Actual_costs_quantities34[[#This Row],[House Code]],tbl_estimated_costs_quantities[House Code],0),7),"")</f>
        <v/>
      </c>
      <c r="M9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7" s="75"/>
      <c r="O97" s="37"/>
      <c r="P97" s="86">
        <f>tbl_Actual_costs_quantities34[[#This Row],[Site Preparation]]*BOQs!$L$3</f>
        <v>0</v>
      </c>
      <c r="Q97" s="76"/>
      <c r="R97" s="37"/>
      <c r="S97" s="86">
        <f>tbl_Actual_costs_quantities34[[#This Row],[Demolition Removal Unsafe Structures]]*BOQs!$L$4</f>
        <v>0</v>
      </c>
      <c r="T97" s="76"/>
      <c r="U97" s="37"/>
      <c r="V97" s="86">
        <f>tbl_Actual_costs_quantities34[[#This Row],[Concrete Works]]*BOQs!$L$5</f>
        <v>0</v>
      </c>
      <c r="W97" s="76"/>
      <c r="X97" s="37"/>
      <c r="Y97" s="86">
        <f>tbl_Actual_costs_quantities34[[#This Row],[Closure External Openings Walls Windows]]*BOQs!$L$6</f>
        <v>0</v>
      </c>
      <c r="Z97" s="76"/>
      <c r="AA97" s="37"/>
      <c r="AB97" s="86">
        <f>tbl_Actual_costs_quantities34[[#This Row],[Plastering Painting]]*BOQs!$L$7</f>
        <v>0</v>
      </c>
      <c r="AC97" s="76"/>
      <c r="AD97" s="37"/>
      <c r="AE97" s="86">
        <f>tbl_Actual_costs_quantities34[[#This Row],[Floor Repairs]]*BOQs!$L$8</f>
        <v>0</v>
      </c>
      <c r="AF97" s="76"/>
      <c r="AG97" s="37"/>
      <c r="AH97" s="86">
        <f>tbl_Actual_costs_quantities34[[#This Row],[Doors Replacement Repair]]*BOQs!$L$9</f>
        <v>0</v>
      </c>
      <c r="AI97" s="76"/>
      <c r="AJ97" s="37"/>
      <c r="AK97" s="86">
        <f>tbl_Actual_costs_quantities34[[#This Row],[Windows Replacement Repair]]*BOQs!$L$10</f>
        <v>0</v>
      </c>
      <c r="AL97" s="76"/>
      <c r="AM97" s="37"/>
      <c r="AN97" s="86">
        <f>tbl_Actual_costs_quantities34[[#This Row],[Bathroom Rehabilitation]]*BOQs!$L$11</f>
        <v>0</v>
      </c>
      <c r="AO97" s="76"/>
      <c r="AP97" s="37"/>
      <c r="AQ97" s="86">
        <f>tbl_Actual_costs_quantities34[[#This Row],[Ceramic Tile Works WASH]]*BOQs!$L$12</f>
        <v>0</v>
      </c>
      <c r="AR97" s="76"/>
      <c r="AS97" s="37"/>
      <c r="AT97" s="86">
        <f>tbl_Actual_costs_quantities34[[#This Row],[Electrical Repairs Lighting]]*BOQs!$L$13</f>
        <v>0</v>
      </c>
      <c r="AU97" s="76"/>
      <c r="AV97" s="37"/>
      <c r="AW97" s="86">
        <f>tbl_Actual_costs_quantities34[[#This Row],[Roof Insulation Leak Sealing]]*BOQs!$L$14</f>
        <v>0</v>
      </c>
      <c r="AX97" s="76"/>
      <c r="AY97" s="37"/>
      <c r="AZ97" s="86">
        <f>tbl_Actual_costs_quantities34[[#This Row],[Chimney Duct Cleaning Repair]]*BOQs!$L$15</f>
        <v>0</v>
      </c>
      <c r="BA97" s="76"/>
      <c r="BB97" s="37"/>
      <c r="BC97" s="89">
        <f>tbl_Actual_costs_quantities34[[#This Row],[Accessibility Adaptations]]*BOQs!$L$16</f>
        <v>0</v>
      </c>
      <c r="BD97" s="41"/>
      <c r="BE97" s="37"/>
      <c r="BF97" s="37"/>
    </row>
    <row r="98" spans="2:58" ht="25.15" customHeight="1" x14ac:dyDescent="0.25">
      <c r="B98" s="49">
        <v>94</v>
      </c>
      <c r="C98" s="37"/>
      <c r="D98" s="41"/>
      <c r="E98" s="40"/>
      <c r="F98" s="87" t="str">
        <f>IF(tbl_Actual_costs_quantities34[[#This Row],[House Code]]&lt;&gt;"",INDEX(tbl_Assessment[],MATCH(tbl_Actual_costs_quantities34[[#This Row],[House Code]],tbl_Assessment[House Code],0),3),"")</f>
        <v/>
      </c>
      <c r="G98" s="116" t="str">
        <f>IF(tbl_Actual_costs_quantities34[[#This Row],[House Code]]&lt;&gt;"",INDEX(tbl_Assessment[],MATCH(tbl_Actual_costs_quantities34[[#This Row],[House Code]],tbl_Assessment[House Code],0),9),"")</f>
        <v/>
      </c>
      <c r="H98" s="41"/>
      <c r="I98" s="41"/>
      <c r="J98" s="41"/>
      <c r="K98" s="116"/>
      <c r="L98" s="117" t="str">
        <f>IF(tbl_Actual_costs_quantities34[[#This Row],[House Code]]&lt;&gt;"",tbl_Actual_costs_quantities34[[#This Row],[Total cost]]/INDEX(tbl_estimated_costs_quantities[],MATCH(tbl_Actual_costs_quantities34[[#This Row],[House Code]],tbl_estimated_costs_quantities[House Code],0),7),"")</f>
        <v/>
      </c>
      <c r="M9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8" s="75"/>
      <c r="O98" s="37"/>
      <c r="P98" s="86">
        <f>tbl_Actual_costs_quantities34[[#This Row],[Site Preparation]]*BOQs!$L$3</f>
        <v>0</v>
      </c>
      <c r="Q98" s="76"/>
      <c r="R98" s="37"/>
      <c r="S98" s="86">
        <f>tbl_Actual_costs_quantities34[[#This Row],[Demolition Removal Unsafe Structures]]*BOQs!$L$4</f>
        <v>0</v>
      </c>
      <c r="T98" s="76"/>
      <c r="U98" s="37"/>
      <c r="V98" s="86">
        <f>tbl_Actual_costs_quantities34[[#This Row],[Concrete Works]]*BOQs!$L$5</f>
        <v>0</v>
      </c>
      <c r="W98" s="76"/>
      <c r="X98" s="37"/>
      <c r="Y98" s="86">
        <f>tbl_Actual_costs_quantities34[[#This Row],[Closure External Openings Walls Windows]]*BOQs!$L$6</f>
        <v>0</v>
      </c>
      <c r="Z98" s="76"/>
      <c r="AA98" s="37"/>
      <c r="AB98" s="86">
        <f>tbl_Actual_costs_quantities34[[#This Row],[Plastering Painting]]*BOQs!$L$7</f>
        <v>0</v>
      </c>
      <c r="AC98" s="76"/>
      <c r="AD98" s="37"/>
      <c r="AE98" s="86">
        <f>tbl_Actual_costs_quantities34[[#This Row],[Floor Repairs]]*BOQs!$L$8</f>
        <v>0</v>
      </c>
      <c r="AF98" s="76"/>
      <c r="AG98" s="37"/>
      <c r="AH98" s="86">
        <f>tbl_Actual_costs_quantities34[[#This Row],[Doors Replacement Repair]]*BOQs!$L$9</f>
        <v>0</v>
      </c>
      <c r="AI98" s="76"/>
      <c r="AJ98" s="37"/>
      <c r="AK98" s="86">
        <f>tbl_Actual_costs_quantities34[[#This Row],[Windows Replacement Repair]]*BOQs!$L$10</f>
        <v>0</v>
      </c>
      <c r="AL98" s="76"/>
      <c r="AM98" s="37"/>
      <c r="AN98" s="86">
        <f>tbl_Actual_costs_quantities34[[#This Row],[Bathroom Rehabilitation]]*BOQs!$L$11</f>
        <v>0</v>
      </c>
      <c r="AO98" s="76"/>
      <c r="AP98" s="37"/>
      <c r="AQ98" s="86">
        <f>tbl_Actual_costs_quantities34[[#This Row],[Ceramic Tile Works WASH]]*BOQs!$L$12</f>
        <v>0</v>
      </c>
      <c r="AR98" s="76"/>
      <c r="AS98" s="37"/>
      <c r="AT98" s="86">
        <f>tbl_Actual_costs_quantities34[[#This Row],[Electrical Repairs Lighting]]*BOQs!$L$13</f>
        <v>0</v>
      </c>
      <c r="AU98" s="76"/>
      <c r="AV98" s="37"/>
      <c r="AW98" s="86">
        <f>tbl_Actual_costs_quantities34[[#This Row],[Roof Insulation Leak Sealing]]*BOQs!$L$14</f>
        <v>0</v>
      </c>
      <c r="AX98" s="76"/>
      <c r="AY98" s="37"/>
      <c r="AZ98" s="86">
        <f>tbl_Actual_costs_quantities34[[#This Row],[Chimney Duct Cleaning Repair]]*BOQs!$L$15</f>
        <v>0</v>
      </c>
      <c r="BA98" s="76"/>
      <c r="BB98" s="37"/>
      <c r="BC98" s="89">
        <f>tbl_Actual_costs_quantities34[[#This Row],[Accessibility Adaptations]]*BOQs!$L$16</f>
        <v>0</v>
      </c>
      <c r="BD98" s="41"/>
      <c r="BE98" s="37"/>
      <c r="BF98" s="37"/>
    </row>
    <row r="99" spans="2:58" ht="25.15" customHeight="1" x14ac:dyDescent="0.25">
      <c r="B99" s="49">
        <v>95</v>
      </c>
      <c r="C99" s="37"/>
      <c r="D99" s="41"/>
      <c r="E99" s="40"/>
      <c r="F99" s="87" t="str">
        <f>IF(tbl_Actual_costs_quantities34[[#This Row],[House Code]]&lt;&gt;"",INDEX(tbl_Assessment[],MATCH(tbl_Actual_costs_quantities34[[#This Row],[House Code]],tbl_Assessment[House Code],0),3),"")</f>
        <v/>
      </c>
      <c r="G99" s="116" t="str">
        <f>IF(tbl_Actual_costs_quantities34[[#This Row],[House Code]]&lt;&gt;"",INDEX(tbl_Assessment[],MATCH(tbl_Actual_costs_quantities34[[#This Row],[House Code]],tbl_Assessment[House Code],0),9),"")</f>
        <v/>
      </c>
      <c r="H99" s="41"/>
      <c r="I99" s="41"/>
      <c r="J99" s="41"/>
      <c r="K99" s="116"/>
      <c r="L99" s="117" t="str">
        <f>IF(tbl_Actual_costs_quantities34[[#This Row],[House Code]]&lt;&gt;"",tbl_Actual_costs_quantities34[[#This Row],[Total cost]]/INDEX(tbl_estimated_costs_quantities[],MATCH(tbl_Actual_costs_quantities34[[#This Row],[House Code]],tbl_estimated_costs_quantities[House Code],0),7),"")</f>
        <v/>
      </c>
      <c r="M9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99" s="75"/>
      <c r="O99" s="37"/>
      <c r="P99" s="86">
        <f>tbl_Actual_costs_quantities34[[#This Row],[Site Preparation]]*BOQs!$L$3</f>
        <v>0</v>
      </c>
      <c r="Q99" s="76"/>
      <c r="R99" s="37"/>
      <c r="S99" s="86">
        <f>tbl_Actual_costs_quantities34[[#This Row],[Demolition Removal Unsafe Structures]]*BOQs!$L$4</f>
        <v>0</v>
      </c>
      <c r="T99" s="76"/>
      <c r="U99" s="37"/>
      <c r="V99" s="86">
        <f>tbl_Actual_costs_quantities34[[#This Row],[Concrete Works]]*BOQs!$L$5</f>
        <v>0</v>
      </c>
      <c r="W99" s="76"/>
      <c r="X99" s="37"/>
      <c r="Y99" s="86">
        <f>tbl_Actual_costs_quantities34[[#This Row],[Closure External Openings Walls Windows]]*BOQs!$L$6</f>
        <v>0</v>
      </c>
      <c r="Z99" s="76"/>
      <c r="AA99" s="37"/>
      <c r="AB99" s="86">
        <f>tbl_Actual_costs_quantities34[[#This Row],[Plastering Painting]]*BOQs!$L$7</f>
        <v>0</v>
      </c>
      <c r="AC99" s="76"/>
      <c r="AD99" s="37"/>
      <c r="AE99" s="86">
        <f>tbl_Actual_costs_quantities34[[#This Row],[Floor Repairs]]*BOQs!$L$8</f>
        <v>0</v>
      </c>
      <c r="AF99" s="76"/>
      <c r="AG99" s="37"/>
      <c r="AH99" s="86">
        <f>tbl_Actual_costs_quantities34[[#This Row],[Doors Replacement Repair]]*BOQs!$L$9</f>
        <v>0</v>
      </c>
      <c r="AI99" s="76"/>
      <c r="AJ99" s="37"/>
      <c r="AK99" s="86">
        <f>tbl_Actual_costs_quantities34[[#This Row],[Windows Replacement Repair]]*BOQs!$L$10</f>
        <v>0</v>
      </c>
      <c r="AL99" s="76"/>
      <c r="AM99" s="37"/>
      <c r="AN99" s="86">
        <f>tbl_Actual_costs_quantities34[[#This Row],[Bathroom Rehabilitation]]*BOQs!$L$11</f>
        <v>0</v>
      </c>
      <c r="AO99" s="76"/>
      <c r="AP99" s="37"/>
      <c r="AQ99" s="86">
        <f>tbl_Actual_costs_quantities34[[#This Row],[Ceramic Tile Works WASH]]*BOQs!$L$12</f>
        <v>0</v>
      </c>
      <c r="AR99" s="76"/>
      <c r="AS99" s="37"/>
      <c r="AT99" s="86">
        <f>tbl_Actual_costs_quantities34[[#This Row],[Electrical Repairs Lighting]]*BOQs!$L$13</f>
        <v>0</v>
      </c>
      <c r="AU99" s="76"/>
      <c r="AV99" s="37"/>
      <c r="AW99" s="86">
        <f>tbl_Actual_costs_quantities34[[#This Row],[Roof Insulation Leak Sealing]]*BOQs!$L$14</f>
        <v>0</v>
      </c>
      <c r="AX99" s="76"/>
      <c r="AY99" s="37"/>
      <c r="AZ99" s="86">
        <f>tbl_Actual_costs_quantities34[[#This Row],[Chimney Duct Cleaning Repair]]*BOQs!$L$15</f>
        <v>0</v>
      </c>
      <c r="BA99" s="76"/>
      <c r="BB99" s="37"/>
      <c r="BC99" s="89">
        <f>tbl_Actual_costs_quantities34[[#This Row],[Accessibility Adaptations]]*BOQs!$L$16</f>
        <v>0</v>
      </c>
      <c r="BD99" s="41"/>
      <c r="BE99" s="37"/>
      <c r="BF99" s="37"/>
    </row>
    <row r="100" spans="2:58" ht="25.15" customHeight="1" x14ac:dyDescent="0.25">
      <c r="B100" s="49">
        <v>96</v>
      </c>
      <c r="C100" s="37"/>
      <c r="D100" s="41"/>
      <c r="E100" s="40"/>
      <c r="F100" s="87" t="str">
        <f>IF(tbl_Actual_costs_quantities34[[#This Row],[House Code]]&lt;&gt;"",INDEX(tbl_Assessment[],MATCH(tbl_Actual_costs_quantities34[[#This Row],[House Code]],tbl_Assessment[House Code],0),3),"")</f>
        <v/>
      </c>
      <c r="G100" s="116" t="str">
        <f>IF(tbl_Actual_costs_quantities34[[#This Row],[House Code]]&lt;&gt;"",INDEX(tbl_Assessment[],MATCH(tbl_Actual_costs_quantities34[[#This Row],[House Code]],tbl_Assessment[House Code],0),9),"")</f>
        <v/>
      </c>
      <c r="H100" s="41"/>
      <c r="I100" s="41"/>
      <c r="J100" s="41"/>
      <c r="K100" s="116"/>
      <c r="L100" s="117" t="str">
        <f>IF(tbl_Actual_costs_quantities34[[#This Row],[House Code]]&lt;&gt;"",tbl_Actual_costs_quantities34[[#This Row],[Total cost]]/INDEX(tbl_estimated_costs_quantities[],MATCH(tbl_Actual_costs_quantities34[[#This Row],[House Code]],tbl_estimated_costs_quantities[House Code],0),7),"")</f>
        <v/>
      </c>
      <c r="M10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0" s="75"/>
      <c r="O100" s="37"/>
      <c r="P100" s="86">
        <f>tbl_Actual_costs_quantities34[[#This Row],[Site Preparation]]*BOQs!$L$3</f>
        <v>0</v>
      </c>
      <c r="Q100" s="76"/>
      <c r="R100" s="37"/>
      <c r="S100" s="86">
        <f>tbl_Actual_costs_quantities34[[#This Row],[Demolition Removal Unsafe Structures]]*BOQs!$L$4</f>
        <v>0</v>
      </c>
      <c r="T100" s="76"/>
      <c r="U100" s="37"/>
      <c r="V100" s="86">
        <f>tbl_Actual_costs_quantities34[[#This Row],[Concrete Works]]*BOQs!$L$5</f>
        <v>0</v>
      </c>
      <c r="W100" s="76"/>
      <c r="X100" s="37"/>
      <c r="Y100" s="86">
        <f>tbl_Actual_costs_quantities34[[#This Row],[Closure External Openings Walls Windows]]*BOQs!$L$6</f>
        <v>0</v>
      </c>
      <c r="Z100" s="76"/>
      <c r="AA100" s="37"/>
      <c r="AB100" s="86">
        <f>tbl_Actual_costs_quantities34[[#This Row],[Plastering Painting]]*BOQs!$L$7</f>
        <v>0</v>
      </c>
      <c r="AC100" s="76"/>
      <c r="AD100" s="37"/>
      <c r="AE100" s="86">
        <f>tbl_Actual_costs_quantities34[[#This Row],[Floor Repairs]]*BOQs!$L$8</f>
        <v>0</v>
      </c>
      <c r="AF100" s="76"/>
      <c r="AG100" s="37"/>
      <c r="AH100" s="86">
        <f>tbl_Actual_costs_quantities34[[#This Row],[Doors Replacement Repair]]*BOQs!$L$9</f>
        <v>0</v>
      </c>
      <c r="AI100" s="76"/>
      <c r="AJ100" s="37"/>
      <c r="AK100" s="86">
        <f>tbl_Actual_costs_quantities34[[#This Row],[Windows Replacement Repair]]*BOQs!$L$10</f>
        <v>0</v>
      </c>
      <c r="AL100" s="76"/>
      <c r="AM100" s="37"/>
      <c r="AN100" s="86">
        <f>tbl_Actual_costs_quantities34[[#This Row],[Bathroom Rehabilitation]]*BOQs!$L$11</f>
        <v>0</v>
      </c>
      <c r="AO100" s="76"/>
      <c r="AP100" s="37"/>
      <c r="AQ100" s="86">
        <f>tbl_Actual_costs_quantities34[[#This Row],[Ceramic Tile Works WASH]]*BOQs!$L$12</f>
        <v>0</v>
      </c>
      <c r="AR100" s="76"/>
      <c r="AS100" s="37"/>
      <c r="AT100" s="86">
        <f>tbl_Actual_costs_quantities34[[#This Row],[Electrical Repairs Lighting]]*BOQs!$L$13</f>
        <v>0</v>
      </c>
      <c r="AU100" s="76"/>
      <c r="AV100" s="37"/>
      <c r="AW100" s="86">
        <f>tbl_Actual_costs_quantities34[[#This Row],[Roof Insulation Leak Sealing]]*BOQs!$L$14</f>
        <v>0</v>
      </c>
      <c r="AX100" s="76"/>
      <c r="AY100" s="37"/>
      <c r="AZ100" s="86">
        <f>tbl_Actual_costs_quantities34[[#This Row],[Chimney Duct Cleaning Repair]]*BOQs!$L$15</f>
        <v>0</v>
      </c>
      <c r="BA100" s="76"/>
      <c r="BB100" s="37"/>
      <c r="BC100" s="89">
        <f>tbl_Actual_costs_quantities34[[#This Row],[Accessibility Adaptations]]*BOQs!$L$16</f>
        <v>0</v>
      </c>
      <c r="BD100" s="41"/>
      <c r="BE100" s="37"/>
      <c r="BF100" s="37"/>
    </row>
    <row r="101" spans="2:58" ht="25.15" customHeight="1" x14ac:dyDescent="0.25">
      <c r="B101" s="49">
        <v>97</v>
      </c>
      <c r="C101" s="37"/>
      <c r="D101" s="41"/>
      <c r="E101" s="40"/>
      <c r="F101" s="87" t="str">
        <f>IF(tbl_Actual_costs_quantities34[[#This Row],[House Code]]&lt;&gt;"",INDEX(tbl_Assessment[],MATCH(tbl_Actual_costs_quantities34[[#This Row],[House Code]],tbl_Assessment[House Code],0),3),"")</f>
        <v/>
      </c>
      <c r="G101" s="116" t="str">
        <f>IF(tbl_Actual_costs_quantities34[[#This Row],[House Code]]&lt;&gt;"",INDEX(tbl_Assessment[],MATCH(tbl_Actual_costs_quantities34[[#This Row],[House Code]],tbl_Assessment[House Code],0),9),"")</f>
        <v/>
      </c>
      <c r="H101" s="41"/>
      <c r="I101" s="41"/>
      <c r="J101" s="41"/>
      <c r="K101" s="116"/>
      <c r="L101" s="117" t="str">
        <f>IF(tbl_Actual_costs_quantities34[[#This Row],[House Code]]&lt;&gt;"",tbl_Actual_costs_quantities34[[#This Row],[Total cost]]/INDEX(tbl_estimated_costs_quantities[],MATCH(tbl_Actual_costs_quantities34[[#This Row],[House Code]],tbl_estimated_costs_quantities[House Code],0),7),"")</f>
        <v/>
      </c>
      <c r="M10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1" s="75"/>
      <c r="O101" s="37"/>
      <c r="P101" s="86">
        <f>tbl_Actual_costs_quantities34[[#This Row],[Site Preparation]]*BOQs!$L$3</f>
        <v>0</v>
      </c>
      <c r="Q101" s="76"/>
      <c r="R101" s="37"/>
      <c r="S101" s="86">
        <f>tbl_Actual_costs_quantities34[[#This Row],[Demolition Removal Unsafe Structures]]*BOQs!$L$4</f>
        <v>0</v>
      </c>
      <c r="T101" s="76"/>
      <c r="U101" s="37"/>
      <c r="V101" s="86">
        <f>tbl_Actual_costs_quantities34[[#This Row],[Concrete Works]]*BOQs!$L$5</f>
        <v>0</v>
      </c>
      <c r="W101" s="76"/>
      <c r="X101" s="37"/>
      <c r="Y101" s="86">
        <f>tbl_Actual_costs_quantities34[[#This Row],[Closure External Openings Walls Windows]]*BOQs!$L$6</f>
        <v>0</v>
      </c>
      <c r="Z101" s="76"/>
      <c r="AA101" s="37"/>
      <c r="AB101" s="86">
        <f>tbl_Actual_costs_quantities34[[#This Row],[Plastering Painting]]*BOQs!$L$7</f>
        <v>0</v>
      </c>
      <c r="AC101" s="76"/>
      <c r="AD101" s="37"/>
      <c r="AE101" s="86">
        <f>tbl_Actual_costs_quantities34[[#This Row],[Floor Repairs]]*BOQs!$L$8</f>
        <v>0</v>
      </c>
      <c r="AF101" s="76"/>
      <c r="AG101" s="37"/>
      <c r="AH101" s="86">
        <f>tbl_Actual_costs_quantities34[[#This Row],[Doors Replacement Repair]]*BOQs!$L$9</f>
        <v>0</v>
      </c>
      <c r="AI101" s="76"/>
      <c r="AJ101" s="37"/>
      <c r="AK101" s="86">
        <f>tbl_Actual_costs_quantities34[[#This Row],[Windows Replacement Repair]]*BOQs!$L$10</f>
        <v>0</v>
      </c>
      <c r="AL101" s="76"/>
      <c r="AM101" s="37"/>
      <c r="AN101" s="86">
        <f>tbl_Actual_costs_quantities34[[#This Row],[Bathroom Rehabilitation]]*BOQs!$L$11</f>
        <v>0</v>
      </c>
      <c r="AO101" s="76"/>
      <c r="AP101" s="37"/>
      <c r="AQ101" s="86">
        <f>tbl_Actual_costs_quantities34[[#This Row],[Ceramic Tile Works WASH]]*BOQs!$L$12</f>
        <v>0</v>
      </c>
      <c r="AR101" s="76"/>
      <c r="AS101" s="37"/>
      <c r="AT101" s="86">
        <f>tbl_Actual_costs_quantities34[[#This Row],[Electrical Repairs Lighting]]*BOQs!$L$13</f>
        <v>0</v>
      </c>
      <c r="AU101" s="76"/>
      <c r="AV101" s="37"/>
      <c r="AW101" s="86">
        <f>tbl_Actual_costs_quantities34[[#This Row],[Roof Insulation Leak Sealing]]*BOQs!$L$14</f>
        <v>0</v>
      </c>
      <c r="AX101" s="76"/>
      <c r="AY101" s="37"/>
      <c r="AZ101" s="86">
        <f>tbl_Actual_costs_quantities34[[#This Row],[Chimney Duct Cleaning Repair]]*BOQs!$L$15</f>
        <v>0</v>
      </c>
      <c r="BA101" s="76"/>
      <c r="BB101" s="37"/>
      <c r="BC101" s="89">
        <f>tbl_Actual_costs_quantities34[[#This Row],[Accessibility Adaptations]]*BOQs!$L$16</f>
        <v>0</v>
      </c>
      <c r="BD101" s="41"/>
      <c r="BE101" s="37"/>
      <c r="BF101" s="37"/>
    </row>
    <row r="102" spans="2:58" ht="25.15" customHeight="1" x14ac:dyDescent="0.25">
      <c r="B102" s="49">
        <v>98</v>
      </c>
      <c r="C102" s="37"/>
      <c r="D102" s="41"/>
      <c r="E102" s="40"/>
      <c r="F102" s="87" t="str">
        <f>IF(tbl_Actual_costs_quantities34[[#This Row],[House Code]]&lt;&gt;"",INDEX(tbl_Assessment[],MATCH(tbl_Actual_costs_quantities34[[#This Row],[House Code]],tbl_Assessment[House Code],0),3),"")</f>
        <v/>
      </c>
      <c r="G102" s="116" t="str">
        <f>IF(tbl_Actual_costs_quantities34[[#This Row],[House Code]]&lt;&gt;"",INDEX(tbl_Assessment[],MATCH(tbl_Actual_costs_quantities34[[#This Row],[House Code]],tbl_Assessment[House Code],0),9),"")</f>
        <v/>
      </c>
      <c r="H102" s="41"/>
      <c r="I102" s="41"/>
      <c r="J102" s="41"/>
      <c r="K102" s="116"/>
      <c r="L102" s="117" t="str">
        <f>IF(tbl_Actual_costs_quantities34[[#This Row],[House Code]]&lt;&gt;"",tbl_Actual_costs_quantities34[[#This Row],[Total cost]]/INDEX(tbl_estimated_costs_quantities[],MATCH(tbl_Actual_costs_quantities34[[#This Row],[House Code]],tbl_estimated_costs_quantities[House Code],0),7),"")</f>
        <v/>
      </c>
      <c r="M10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2" s="75"/>
      <c r="O102" s="37"/>
      <c r="P102" s="86">
        <f>tbl_Actual_costs_quantities34[[#This Row],[Site Preparation]]*BOQs!$L$3</f>
        <v>0</v>
      </c>
      <c r="Q102" s="76"/>
      <c r="R102" s="37"/>
      <c r="S102" s="86">
        <f>tbl_Actual_costs_quantities34[[#This Row],[Demolition Removal Unsafe Structures]]*BOQs!$L$4</f>
        <v>0</v>
      </c>
      <c r="T102" s="76"/>
      <c r="U102" s="37"/>
      <c r="V102" s="86">
        <f>tbl_Actual_costs_quantities34[[#This Row],[Concrete Works]]*BOQs!$L$5</f>
        <v>0</v>
      </c>
      <c r="W102" s="76"/>
      <c r="X102" s="37"/>
      <c r="Y102" s="86">
        <f>tbl_Actual_costs_quantities34[[#This Row],[Closure External Openings Walls Windows]]*BOQs!$L$6</f>
        <v>0</v>
      </c>
      <c r="Z102" s="76"/>
      <c r="AA102" s="37"/>
      <c r="AB102" s="86">
        <f>tbl_Actual_costs_quantities34[[#This Row],[Plastering Painting]]*BOQs!$L$7</f>
        <v>0</v>
      </c>
      <c r="AC102" s="76"/>
      <c r="AD102" s="37"/>
      <c r="AE102" s="86">
        <f>tbl_Actual_costs_quantities34[[#This Row],[Floor Repairs]]*BOQs!$L$8</f>
        <v>0</v>
      </c>
      <c r="AF102" s="76"/>
      <c r="AG102" s="37"/>
      <c r="AH102" s="86">
        <f>tbl_Actual_costs_quantities34[[#This Row],[Doors Replacement Repair]]*BOQs!$L$9</f>
        <v>0</v>
      </c>
      <c r="AI102" s="76"/>
      <c r="AJ102" s="37"/>
      <c r="AK102" s="86">
        <f>tbl_Actual_costs_quantities34[[#This Row],[Windows Replacement Repair]]*BOQs!$L$10</f>
        <v>0</v>
      </c>
      <c r="AL102" s="76"/>
      <c r="AM102" s="37"/>
      <c r="AN102" s="86">
        <f>tbl_Actual_costs_quantities34[[#This Row],[Bathroom Rehabilitation]]*BOQs!$L$11</f>
        <v>0</v>
      </c>
      <c r="AO102" s="76"/>
      <c r="AP102" s="37"/>
      <c r="AQ102" s="86">
        <f>tbl_Actual_costs_quantities34[[#This Row],[Ceramic Tile Works WASH]]*BOQs!$L$12</f>
        <v>0</v>
      </c>
      <c r="AR102" s="76"/>
      <c r="AS102" s="37"/>
      <c r="AT102" s="86">
        <f>tbl_Actual_costs_quantities34[[#This Row],[Electrical Repairs Lighting]]*BOQs!$L$13</f>
        <v>0</v>
      </c>
      <c r="AU102" s="76"/>
      <c r="AV102" s="37"/>
      <c r="AW102" s="86">
        <f>tbl_Actual_costs_quantities34[[#This Row],[Roof Insulation Leak Sealing]]*BOQs!$L$14</f>
        <v>0</v>
      </c>
      <c r="AX102" s="76"/>
      <c r="AY102" s="37"/>
      <c r="AZ102" s="86">
        <f>tbl_Actual_costs_quantities34[[#This Row],[Chimney Duct Cleaning Repair]]*BOQs!$L$15</f>
        <v>0</v>
      </c>
      <c r="BA102" s="76"/>
      <c r="BB102" s="37"/>
      <c r="BC102" s="89">
        <f>tbl_Actual_costs_quantities34[[#This Row],[Accessibility Adaptations]]*BOQs!$L$16</f>
        <v>0</v>
      </c>
      <c r="BD102" s="41"/>
      <c r="BE102" s="37"/>
      <c r="BF102" s="37"/>
    </row>
    <row r="103" spans="2:58" ht="25.15" customHeight="1" x14ac:dyDescent="0.25">
      <c r="B103" s="49">
        <v>99</v>
      </c>
      <c r="C103" s="37"/>
      <c r="D103" s="41"/>
      <c r="E103" s="40"/>
      <c r="F103" s="87" t="str">
        <f>IF(tbl_Actual_costs_quantities34[[#This Row],[House Code]]&lt;&gt;"",INDEX(tbl_Assessment[],MATCH(tbl_Actual_costs_quantities34[[#This Row],[House Code]],tbl_Assessment[House Code],0),3),"")</f>
        <v/>
      </c>
      <c r="G103" s="116" t="str">
        <f>IF(tbl_Actual_costs_quantities34[[#This Row],[House Code]]&lt;&gt;"",INDEX(tbl_Assessment[],MATCH(tbl_Actual_costs_quantities34[[#This Row],[House Code]],tbl_Assessment[House Code],0),9),"")</f>
        <v/>
      </c>
      <c r="H103" s="41"/>
      <c r="I103" s="41"/>
      <c r="J103" s="41"/>
      <c r="K103" s="116"/>
      <c r="L103" s="117" t="str">
        <f>IF(tbl_Actual_costs_quantities34[[#This Row],[House Code]]&lt;&gt;"",tbl_Actual_costs_quantities34[[#This Row],[Total cost]]/INDEX(tbl_estimated_costs_quantities[],MATCH(tbl_Actual_costs_quantities34[[#This Row],[House Code]],tbl_estimated_costs_quantities[House Code],0),7),"")</f>
        <v/>
      </c>
      <c r="M10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3" s="75"/>
      <c r="O103" s="37"/>
      <c r="P103" s="86">
        <f>tbl_Actual_costs_quantities34[[#This Row],[Site Preparation]]*BOQs!$L$3</f>
        <v>0</v>
      </c>
      <c r="Q103" s="76"/>
      <c r="R103" s="37"/>
      <c r="S103" s="86">
        <f>tbl_Actual_costs_quantities34[[#This Row],[Demolition Removal Unsafe Structures]]*BOQs!$L$4</f>
        <v>0</v>
      </c>
      <c r="T103" s="76"/>
      <c r="U103" s="37"/>
      <c r="V103" s="86">
        <f>tbl_Actual_costs_quantities34[[#This Row],[Concrete Works]]*BOQs!$L$5</f>
        <v>0</v>
      </c>
      <c r="W103" s="76"/>
      <c r="X103" s="37"/>
      <c r="Y103" s="86">
        <f>tbl_Actual_costs_quantities34[[#This Row],[Closure External Openings Walls Windows]]*BOQs!$L$6</f>
        <v>0</v>
      </c>
      <c r="Z103" s="76"/>
      <c r="AA103" s="37"/>
      <c r="AB103" s="86">
        <f>tbl_Actual_costs_quantities34[[#This Row],[Plastering Painting]]*BOQs!$L$7</f>
        <v>0</v>
      </c>
      <c r="AC103" s="76"/>
      <c r="AD103" s="37"/>
      <c r="AE103" s="86">
        <f>tbl_Actual_costs_quantities34[[#This Row],[Floor Repairs]]*BOQs!$L$8</f>
        <v>0</v>
      </c>
      <c r="AF103" s="76"/>
      <c r="AG103" s="37"/>
      <c r="AH103" s="86">
        <f>tbl_Actual_costs_quantities34[[#This Row],[Doors Replacement Repair]]*BOQs!$L$9</f>
        <v>0</v>
      </c>
      <c r="AI103" s="76"/>
      <c r="AJ103" s="37"/>
      <c r="AK103" s="86">
        <f>tbl_Actual_costs_quantities34[[#This Row],[Windows Replacement Repair]]*BOQs!$L$10</f>
        <v>0</v>
      </c>
      <c r="AL103" s="76"/>
      <c r="AM103" s="37"/>
      <c r="AN103" s="86">
        <f>tbl_Actual_costs_quantities34[[#This Row],[Bathroom Rehabilitation]]*BOQs!$L$11</f>
        <v>0</v>
      </c>
      <c r="AO103" s="76"/>
      <c r="AP103" s="37"/>
      <c r="AQ103" s="86">
        <f>tbl_Actual_costs_quantities34[[#This Row],[Ceramic Tile Works WASH]]*BOQs!$L$12</f>
        <v>0</v>
      </c>
      <c r="AR103" s="76"/>
      <c r="AS103" s="37"/>
      <c r="AT103" s="86">
        <f>tbl_Actual_costs_quantities34[[#This Row],[Electrical Repairs Lighting]]*BOQs!$L$13</f>
        <v>0</v>
      </c>
      <c r="AU103" s="76"/>
      <c r="AV103" s="37"/>
      <c r="AW103" s="86">
        <f>tbl_Actual_costs_quantities34[[#This Row],[Roof Insulation Leak Sealing]]*BOQs!$L$14</f>
        <v>0</v>
      </c>
      <c r="AX103" s="76"/>
      <c r="AY103" s="37"/>
      <c r="AZ103" s="86">
        <f>tbl_Actual_costs_quantities34[[#This Row],[Chimney Duct Cleaning Repair]]*BOQs!$L$15</f>
        <v>0</v>
      </c>
      <c r="BA103" s="76"/>
      <c r="BB103" s="37"/>
      <c r="BC103" s="89">
        <f>tbl_Actual_costs_quantities34[[#This Row],[Accessibility Adaptations]]*BOQs!$L$16</f>
        <v>0</v>
      </c>
      <c r="BD103" s="41"/>
      <c r="BE103" s="37"/>
      <c r="BF103" s="37"/>
    </row>
    <row r="104" spans="2:58" ht="25.15" customHeight="1" x14ac:dyDescent="0.25">
      <c r="B104" s="49">
        <v>100</v>
      </c>
      <c r="C104" s="37"/>
      <c r="D104" s="41"/>
      <c r="E104" s="40"/>
      <c r="F104" s="87" t="str">
        <f>IF(tbl_Actual_costs_quantities34[[#This Row],[House Code]]&lt;&gt;"",INDEX(tbl_Assessment[],MATCH(tbl_Actual_costs_quantities34[[#This Row],[House Code]],tbl_Assessment[House Code],0),3),"")</f>
        <v/>
      </c>
      <c r="G104" s="116" t="str">
        <f>IF(tbl_Actual_costs_quantities34[[#This Row],[House Code]]&lt;&gt;"",INDEX(tbl_Assessment[],MATCH(tbl_Actual_costs_quantities34[[#This Row],[House Code]],tbl_Assessment[House Code],0),9),"")</f>
        <v/>
      </c>
      <c r="H104" s="41"/>
      <c r="I104" s="41"/>
      <c r="J104" s="41"/>
      <c r="K104" s="116"/>
      <c r="L104" s="117" t="str">
        <f>IF(tbl_Actual_costs_quantities34[[#This Row],[House Code]]&lt;&gt;"",tbl_Actual_costs_quantities34[[#This Row],[Total cost]]/INDEX(tbl_estimated_costs_quantities[],MATCH(tbl_Actual_costs_quantities34[[#This Row],[House Code]],tbl_estimated_costs_quantities[House Code],0),7),"")</f>
        <v/>
      </c>
      <c r="M10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4" s="75"/>
      <c r="O104" s="37"/>
      <c r="P104" s="86">
        <f>tbl_Actual_costs_quantities34[[#This Row],[Site Preparation]]*BOQs!$L$3</f>
        <v>0</v>
      </c>
      <c r="Q104" s="76"/>
      <c r="R104" s="37"/>
      <c r="S104" s="86">
        <f>tbl_Actual_costs_quantities34[[#This Row],[Demolition Removal Unsafe Structures]]*BOQs!$L$4</f>
        <v>0</v>
      </c>
      <c r="T104" s="76"/>
      <c r="U104" s="37"/>
      <c r="V104" s="86">
        <f>tbl_Actual_costs_quantities34[[#This Row],[Concrete Works]]*BOQs!$L$5</f>
        <v>0</v>
      </c>
      <c r="W104" s="76"/>
      <c r="X104" s="37"/>
      <c r="Y104" s="86">
        <f>tbl_Actual_costs_quantities34[[#This Row],[Closure External Openings Walls Windows]]*BOQs!$L$6</f>
        <v>0</v>
      </c>
      <c r="Z104" s="76"/>
      <c r="AA104" s="37"/>
      <c r="AB104" s="86">
        <f>tbl_Actual_costs_quantities34[[#This Row],[Plastering Painting]]*BOQs!$L$7</f>
        <v>0</v>
      </c>
      <c r="AC104" s="76"/>
      <c r="AD104" s="37"/>
      <c r="AE104" s="86">
        <f>tbl_Actual_costs_quantities34[[#This Row],[Floor Repairs]]*BOQs!$L$8</f>
        <v>0</v>
      </c>
      <c r="AF104" s="76"/>
      <c r="AG104" s="37"/>
      <c r="AH104" s="86">
        <f>tbl_Actual_costs_quantities34[[#This Row],[Doors Replacement Repair]]*BOQs!$L$9</f>
        <v>0</v>
      </c>
      <c r="AI104" s="76"/>
      <c r="AJ104" s="37"/>
      <c r="AK104" s="86">
        <f>tbl_Actual_costs_quantities34[[#This Row],[Windows Replacement Repair]]*BOQs!$L$10</f>
        <v>0</v>
      </c>
      <c r="AL104" s="76"/>
      <c r="AM104" s="37"/>
      <c r="AN104" s="86">
        <f>tbl_Actual_costs_quantities34[[#This Row],[Bathroom Rehabilitation]]*BOQs!$L$11</f>
        <v>0</v>
      </c>
      <c r="AO104" s="76"/>
      <c r="AP104" s="37"/>
      <c r="AQ104" s="86">
        <f>tbl_Actual_costs_quantities34[[#This Row],[Ceramic Tile Works WASH]]*BOQs!$L$12</f>
        <v>0</v>
      </c>
      <c r="AR104" s="76"/>
      <c r="AS104" s="37"/>
      <c r="AT104" s="86">
        <f>tbl_Actual_costs_quantities34[[#This Row],[Electrical Repairs Lighting]]*BOQs!$L$13</f>
        <v>0</v>
      </c>
      <c r="AU104" s="76"/>
      <c r="AV104" s="37"/>
      <c r="AW104" s="86">
        <f>tbl_Actual_costs_quantities34[[#This Row],[Roof Insulation Leak Sealing]]*BOQs!$L$14</f>
        <v>0</v>
      </c>
      <c r="AX104" s="76"/>
      <c r="AY104" s="37"/>
      <c r="AZ104" s="86">
        <f>tbl_Actual_costs_quantities34[[#This Row],[Chimney Duct Cleaning Repair]]*BOQs!$L$15</f>
        <v>0</v>
      </c>
      <c r="BA104" s="76"/>
      <c r="BB104" s="37"/>
      <c r="BC104" s="89">
        <f>tbl_Actual_costs_quantities34[[#This Row],[Accessibility Adaptations]]*BOQs!$L$16</f>
        <v>0</v>
      </c>
      <c r="BD104" s="41"/>
      <c r="BE104" s="37"/>
      <c r="BF104" s="37"/>
    </row>
    <row r="105" spans="2:58" ht="25.15" customHeight="1" x14ac:dyDescent="0.25">
      <c r="B105" s="49">
        <v>101</v>
      </c>
      <c r="C105" s="37"/>
      <c r="D105" s="41"/>
      <c r="E105" s="40"/>
      <c r="F105" s="87" t="str">
        <f>IF(tbl_Actual_costs_quantities34[[#This Row],[House Code]]&lt;&gt;"",INDEX(tbl_Assessment[],MATCH(tbl_Actual_costs_quantities34[[#This Row],[House Code]],tbl_Assessment[House Code],0),3),"")</f>
        <v/>
      </c>
      <c r="G105" s="116" t="str">
        <f>IF(tbl_Actual_costs_quantities34[[#This Row],[House Code]]&lt;&gt;"",INDEX(tbl_Assessment[],MATCH(tbl_Actual_costs_quantities34[[#This Row],[House Code]],tbl_Assessment[House Code],0),9),"")</f>
        <v/>
      </c>
      <c r="H105" s="41"/>
      <c r="I105" s="41"/>
      <c r="J105" s="41"/>
      <c r="K105" s="116"/>
      <c r="L105" s="117" t="str">
        <f>IF(tbl_Actual_costs_quantities34[[#This Row],[House Code]]&lt;&gt;"",tbl_Actual_costs_quantities34[[#This Row],[Total cost]]/INDEX(tbl_estimated_costs_quantities[],MATCH(tbl_Actual_costs_quantities34[[#This Row],[House Code]],tbl_estimated_costs_quantities[House Code],0),7),"")</f>
        <v/>
      </c>
      <c r="M10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5" s="75"/>
      <c r="O105" s="37"/>
      <c r="P105" s="86">
        <f>tbl_Actual_costs_quantities34[[#This Row],[Site Preparation]]*BOQs!$L$3</f>
        <v>0</v>
      </c>
      <c r="Q105" s="76"/>
      <c r="R105" s="37"/>
      <c r="S105" s="86">
        <f>tbl_Actual_costs_quantities34[[#This Row],[Demolition Removal Unsafe Structures]]*BOQs!$L$4</f>
        <v>0</v>
      </c>
      <c r="T105" s="76"/>
      <c r="U105" s="37"/>
      <c r="V105" s="86">
        <f>tbl_Actual_costs_quantities34[[#This Row],[Concrete Works]]*BOQs!$L$5</f>
        <v>0</v>
      </c>
      <c r="W105" s="76"/>
      <c r="X105" s="37"/>
      <c r="Y105" s="86">
        <f>tbl_Actual_costs_quantities34[[#This Row],[Closure External Openings Walls Windows]]*BOQs!$L$6</f>
        <v>0</v>
      </c>
      <c r="Z105" s="76"/>
      <c r="AA105" s="37"/>
      <c r="AB105" s="86">
        <f>tbl_Actual_costs_quantities34[[#This Row],[Plastering Painting]]*BOQs!$L$7</f>
        <v>0</v>
      </c>
      <c r="AC105" s="76"/>
      <c r="AD105" s="37"/>
      <c r="AE105" s="86">
        <f>tbl_Actual_costs_quantities34[[#This Row],[Floor Repairs]]*BOQs!$L$8</f>
        <v>0</v>
      </c>
      <c r="AF105" s="76"/>
      <c r="AG105" s="37"/>
      <c r="AH105" s="86">
        <f>tbl_Actual_costs_quantities34[[#This Row],[Doors Replacement Repair]]*BOQs!$L$9</f>
        <v>0</v>
      </c>
      <c r="AI105" s="76"/>
      <c r="AJ105" s="37"/>
      <c r="AK105" s="86">
        <f>tbl_Actual_costs_quantities34[[#This Row],[Windows Replacement Repair]]*BOQs!$L$10</f>
        <v>0</v>
      </c>
      <c r="AL105" s="76"/>
      <c r="AM105" s="37"/>
      <c r="AN105" s="86">
        <f>tbl_Actual_costs_quantities34[[#This Row],[Bathroom Rehabilitation]]*BOQs!$L$11</f>
        <v>0</v>
      </c>
      <c r="AO105" s="76"/>
      <c r="AP105" s="37"/>
      <c r="AQ105" s="86">
        <f>tbl_Actual_costs_quantities34[[#This Row],[Ceramic Tile Works WASH]]*BOQs!$L$12</f>
        <v>0</v>
      </c>
      <c r="AR105" s="76"/>
      <c r="AS105" s="37"/>
      <c r="AT105" s="86">
        <f>tbl_Actual_costs_quantities34[[#This Row],[Electrical Repairs Lighting]]*BOQs!$L$13</f>
        <v>0</v>
      </c>
      <c r="AU105" s="76"/>
      <c r="AV105" s="37"/>
      <c r="AW105" s="86">
        <f>tbl_Actual_costs_quantities34[[#This Row],[Roof Insulation Leak Sealing]]*BOQs!$L$14</f>
        <v>0</v>
      </c>
      <c r="AX105" s="76"/>
      <c r="AY105" s="37"/>
      <c r="AZ105" s="86">
        <f>tbl_Actual_costs_quantities34[[#This Row],[Chimney Duct Cleaning Repair]]*BOQs!$L$15</f>
        <v>0</v>
      </c>
      <c r="BA105" s="76"/>
      <c r="BB105" s="37"/>
      <c r="BC105" s="89">
        <f>tbl_Actual_costs_quantities34[[#This Row],[Accessibility Adaptations]]*BOQs!$L$16</f>
        <v>0</v>
      </c>
      <c r="BD105" s="41"/>
      <c r="BE105" s="37"/>
      <c r="BF105" s="37"/>
    </row>
    <row r="106" spans="2:58" ht="25.15" customHeight="1" x14ac:dyDescent="0.25">
      <c r="B106" s="49">
        <v>102</v>
      </c>
      <c r="C106" s="37"/>
      <c r="D106" s="41"/>
      <c r="E106" s="40"/>
      <c r="F106" s="87" t="str">
        <f>IF(tbl_Actual_costs_quantities34[[#This Row],[House Code]]&lt;&gt;"",INDEX(tbl_Assessment[],MATCH(tbl_Actual_costs_quantities34[[#This Row],[House Code]],tbl_Assessment[House Code],0),3),"")</f>
        <v/>
      </c>
      <c r="G106" s="116" t="str">
        <f>IF(tbl_Actual_costs_quantities34[[#This Row],[House Code]]&lt;&gt;"",INDEX(tbl_Assessment[],MATCH(tbl_Actual_costs_quantities34[[#This Row],[House Code]],tbl_Assessment[House Code],0),9),"")</f>
        <v/>
      </c>
      <c r="H106" s="41"/>
      <c r="I106" s="41"/>
      <c r="J106" s="41"/>
      <c r="K106" s="116"/>
      <c r="L106" s="117" t="str">
        <f>IF(tbl_Actual_costs_quantities34[[#This Row],[House Code]]&lt;&gt;"",tbl_Actual_costs_quantities34[[#This Row],[Total cost]]/INDEX(tbl_estimated_costs_quantities[],MATCH(tbl_Actual_costs_quantities34[[#This Row],[House Code]],tbl_estimated_costs_quantities[House Code],0),7),"")</f>
        <v/>
      </c>
      <c r="M10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6" s="75"/>
      <c r="O106" s="37"/>
      <c r="P106" s="86">
        <f>tbl_Actual_costs_quantities34[[#This Row],[Site Preparation]]*BOQs!$L$3</f>
        <v>0</v>
      </c>
      <c r="Q106" s="76"/>
      <c r="R106" s="37"/>
      <c r="S106" s="86">
        <f>tbl_Actual_costs_quantities34[[#This Row],[Demolition Removal Unsafe Structures]]*BOQs!$L$4</f>
        <v>0</v>
      </c>
      <c r="T106" s="76"/>
      <c r="U106" s="37"/>
      <c r="V106" s="86">
        <f>tbl_Actual_costs_quantities34[[#This Row],[Concrete Works]]*BOQs!$L$5</f>
        <v>0</v>
      </c>
      <c r="W106" s="76"/>
      <c r="X106" s="37"/>
      <c r="Y106" s="86">
        <f>tbl_Actual_costs_quantities34[[#This Row],[Closure External Openings Walls Windows]]*BOQs!$L$6</f>
        <v>0</v>
      </c>
      <c r="Z106" s="76"/>
      <c r="AA106" s="37"/>
      <c r="AB106" s="86">
        <f>tbl_Actual_costs_quantities34[[#This Row],[Plastering Painting]]*BOQs!$L$7</f>
        <v>0</v>
      </c>
      <c r="AC106" s="76"/>
      <c r="AD106" s="37"/>
      <c r="AE106" s="86">
        <f>tbl_Actual_costs_quantities34[[#This Row],[Floor Repairs]]*BOQs!$L$8</f>
        <v>0</v>
      </c>
      <c r="AF106" s="76"/>
      <c r="AG106" s="37"/>
      <c r="AH106" s="86">
        <f>tbl_Actual_costs_quantities34[[#This Row],[Doors Replacement Repair]]*BOQs!$L$9</f>
        <v>0</v>
      </c>
      <c r="AI106" s="76"/>
      <c r="AJ106" s="37"/>
      <c r="AK106" s="86">
        <f>tbl_Actual_costs_quantities34[[#This Row],[Windows Replacement Repair]]*BOQs!$L$10</f>
        <v>0</v>
      </c>
      <c r="AL106" s="76"/>
      <c r="AM106" s="37"/>
      <c r="AN106" s="86">
        <f>tbl_Actual_costs_quantities34[[#This Row],[Bathroom Rehabilitation]]*BOQs!$L$11</f>
        <v>0</v>
      </c>
      <c r="AO106" s="76"/>
      <c r="AP106" s="37"/>
      <c r="AQ106" s="86">
        <f>tbl_Actual_costs_quantities34[[#This Row],[Ceramic Tile Works WASH]]*BOQs!$L$12</f>
        <v>0</v>
      </c>
      <c r="AR106" s="76"/>
      <c r="AS106" s="37"/>
      <c r="AT106" s="86">
        <f>tbl_Actual_costs_quantities34[[#This Row],[Electrical Repairs Lighting]]*BOQs!$L$13</f>
        <v>0</v>
      </c>
      <c r="AU106" s="76"/>
      <c r="AV106" s="37"/>
      <c r="AW106" s="86">
        <f>tbl_Actual_costs_quantities34[[#This Row],[Roof Insulation Leak Sealing]]*BOQs!$L$14</f>
        <v>0</v>
      </c>
      <c r="AX106" s="76"/>
      <c r="AY106" s="37"/>
      <c r="AZ106" s="86">
        <f>tbl_Actual_costs_quantities34[[#This Row],[Chimney Duct Cleaning Repair]]*BOQs!$L$15</f>
        <v>0</v>
      </c>
      <c r="BA106" s="76"/>
      <c r="BB106" s="37"/>
      <c r="BC106" s="89">
        <f>tbl_Actual_costs_quantities34[[#This Row],[Accessibility Adaptations]]*BOQs!$L$16</f>
        <v>0</v>
      </c>
      <c r="BD106" s="41"/>
      <c r="BE106" s="37"/>
      <c r="BF106" s="37"/>
    </row>
    <row r="107" spans="2:58" ht="25.15" customHeight="1" x14ac:dyDescent="0.25">
      <c r="B107" s="49">
        <v>103</v>
      </c>
      <c r="C107" s="37"/>
      <c r="D107" s="41"/>
      <c r="E107" s="40"/>
      <c r="F107" s="87" t="str">
        <f>IF(tbl_Actual_costs_quantities34[[#This Row],[House Code]]&lt;&gt;"",INDEX(tbl_Assessment[],MATCH(tbl_Actual_costs_quantities34[[#This Row],[House Code]],tbl_Assessment[House Code],0),3),"")</f>
        <v/>
      </c>
      <c r="G107" s="116" t="str">
        <f>IF(tbl_Actual_costs_quantities34[[#This Row],[House Code]]&lt;&gt;"",INDEX(tbl_Assessment[],MATCH(tbl_Actual_costs_quantities34[[#This Row],[House Code]],tbl_Assessment[House Code],0),9),"")</f>
        <v/>
      </c>
      <c r="H107" s="41"/>
      <c r="I107" s="41"/>
      <c r="J107" s="41"/>
      <c r="K107" s="116"/>
      <c r="L107" s="117" t="str">
        <f>IF(tbl_Actual_costs_quantities34[[#This Row],[House Code]]&lt;&gt;"",tbl_Actual_costs_quantities34[[#This Row],[Total cost]]/INDEX(tbl_estimated_costs_quantities[],MATCH(tbl_Actual_costs_quantities34[[#This Row],[House Code]],tbl_estimated_costs_quantities[House Code],0),7),"")</f>
        <v/>
      </c>
      <c r="M10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7" s="75"/>
      <c r="O107" s="37"/>
      <c r="P107" s="86">
        <f>tbl_Actual_costs_quantities34[[#This Row],[Site Preparation]]*BOQs!$L$3</f>
        <v>0</v>
      </c>
      <c r="Q107" s="76"/>
      <c r="R107" s="37"/>
      <c r="S107" s="86">
        <f>tbl_Actual_costs_quantities34[[#This Row],[Demolition Removal Unsafe Structures]]*BOQs!$L$4</f>
        <v>0</v>
      </c>
      <c r="T107" s="76"/>
      <c r="U107" s="37"/>
      <c r="V107" s="86">
        <f>tbl_Actual_costs_quantities34[[#This Row],[Concrete Works]]*BOQs!$L$5</f>
        <v>0</v>
      </c>
      <c r="W107" s="76"/>
      <c r="X107" s="37"/>
      <c r="Y107" s="86">
        <f>tbl_Actual_costs_quantities34[[#This Row],[Closure External Openings Walls Windows]]*BOQs!$L$6</f>
        <v>0</v>
      </c>
      <c r="Z107" s="76"/>
      <c r="AA107" s="37"/>
      <c r="AB107" s="86">
        <f>tbl_Actual_costs_quantities34[[#This Row],[Plastering Painting]]*BOQs!$L$7</f>
        <v>0</v>
      </c>
      <c r="AC107" s="76"/>
      <c r="AD107" s="37"/>
      <c r="AE107" s="86">
        <f>tbl_Actual_costs_quantities34[[#This Row],[Floor Repairs]]*BOQs!$L$8</f>
        <v>0</v>
      </c>
      <c r="AF107" s="76"/>
      <c r="AG107" s="37"/>
      <c r="AH107" s="86">
        <f>tbl_Actual_costs_quantities34[[#This Row],[Doors Replacement Repair]]*BOQs!$L$9</f>
        <v>0</v>
      </c>
      <c r="AI107" s="76"/>
      <c r="AJ107" s="37"/>
      <c r="AK107" s="86">
        <f>tbl_Actual_costs_quantities34[[#This Row],[Windows Replacement Repair]]*BOQs!$L$10</f>
        <v>0</v>
      </c>
      <c r="AL107" s="76"/>
      <c r="AM107" s="37"/>
      <c r="AN107" s="86">
        <f>tbl_Actual_costs_quantities34[[#This Row],[Bathroom Rehabilitation]]*BOQs!$L$11</f>
        <v>0</v>
      </c>
      <c r="AO107" s="76"/>
      <c r="AP107" s="37"/>
      <c r="AQ107" s="86">
        <f>tbl_Actual_costs_quantities34[[#This Row],[Ceramic Tile Works WASH]]*BOQs!$L$12</f>
        <v>0</v>
      </c>
      <c r="AR107" s="76"/>
      <c r="AS107" s="37"/>
      <c r="AT107" s="86">
        <f>tbl_Actual_costs_quantities34[[#This Row],[Electrical Repairs Lighting]]*BOQs!$L$13</f>
        <v>0</v>
      </c>
      <c r="AU107" s="76"/>
      <c r="AV107" s="37"/>
      <c r="AW107" s="86">
        <f>tbl_Actual_costs_quantities34[[#This Row],[Roof Insulation Leak Sealing]]*BOQs!$L$14</f>
        <v>0</v>
      </c>
      <c r="AX107" s="76"/>
      <c r="AY107" s="37"/>
      <c r="AZ107" s="86">
        <f>tbl_Actual_costs_quantities34[[#This Row],[Chimney Duct Cleaning Repair]]*BOQs!$L$15</f>
        <v>0</v>
      </c>
      <c r="BA107" s="76"/>
      <c r="BB107" s="37"/>
      <c r="BC107" s="89">
        <f>tbl_Actual_costs_quantities34[[#This Row],[Accessibility Adaptations]]*BOQs!$L$16</f>
        <v>0</v>
      </c>
      <c r="BD107" s="41"/>
      <c r="BE107" s="37"/>
      <c r="BF107" s="37"/>
    </row>
    <row r="108" spans="2:58" ht="25.15" customHeight="1" x14ac:dyDescent="0.25">
      <c r="B108" s="49">
        <v>104</v>
      </c>
      <c r="C108" s="37"/>
      <c r="D108" s="41"/>
      <c r="E108" s="40"/>
      <c r="F108" s="87" t="str">
        <f>IF(tbl_Actual_costs_quantities34[[#This Row],[House Code]]&lt;&gt;"",INDEX(tbl_Assessment[],MATCH(tbl_Actual_costs_quantities34[[#This Row],[House Code]],tbl_Assessment[House Code],0),3),"")</f>
        <v/>
      </c>
      <c r="G108" s="116" t="str">
        <f>IF(tbl_Actual_costs_quantities34[[#This Row],[House Code]]&lt;&gt;"",INDEX(tbl_Assessment[],MATCH(tbl_Actual_costs_quantities34[[#This Row],[House Code]],tbl_Assessment[House Code],0),9),"")</f>
        <v/>
      </c>
      <c r="H108" s="41"/>
      <c r="I108" s="41"/>
      <c r="J108" s="41"/>
      <c r="K108" s="116"/>
      <c r="L108" s="117" t="str">
        <f>IF(tbl_Actual_costs_quantities34[[#This Row],[House Code]]&lt;&gt;"",tbl_Actual_costs_quantities34[[#This Row],[Total cost]]/INDEX(tbl_estimated_costs_quantities[],MATCH(tbl_Actual_costs_quantities34[[#This Row],[House Code]],tbl_estimated_costs_quantities[House Code],0),7),"")</f>
        <v/>
      </c>
      <c r="M10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8" s="75"/>
      <c r="O108" s="37"/>
      <c r="P108" s="86">
        <f>tbl_Actual_costs_quantities34[[#This Row],[Site Preparation]]*BOQs!$L$3</f>
        <v>0</v>
      </c>
      <c r="Q108" s="76"/>
      <c r="R108" s="37"/>
      <c r="S108" s="86">
        <f>tbl_Actual_costs_quantities34[[#This Row],[Demolition Removal Unsafe Structures]]*BOQs!$L$4</f>
        <v>0</v>
      </c>
      <c r="T108" s="76"/>
      <c r="U108" s="37"/>
      <c r="V108" s="86">
        <f>tbl_Actual_costs_quantities34[[#This Row],[Concrete Works]]*BOQs!$L$5</f>
        <v>0</v>
      </c>
      <c r="W108" s="76"/>
      <c r="X108" s="37"/>
      <c r="Y108" s="86">
        <f>tbl_Actual_costs_quantities34[[#This Row],[Closure External Openings Walls Windows]]*BOQs!$L$6</f>
        <v>0</v>
      </c>
      <c r="Z108" s="76"/>
      <c r="AA108" s="37"/>
      <c r="AB108" s="86">
        <f>tbl_Actual_costs_quantities34[[#This Row],[Plastering Painting]]*BOQs!$L$7</f>
        <v>0</v>
      </c>
      <c r="AC108" s="76"/>
      <c r="AD108" s="37"/>
      <c r="AE108" s="86">
        <f>tbl_Actual_costs_quantities34[[#This Row],[Floor Repairs]]*BOQs!$L$8</f>
        <v>0</v>
      </c>
      <c r="AF108" s="76"/>
      <c r="AG108" s="37"/>
      <c r="AH108" s="86">
        <f>tbl_Actual_costs_quantities34[[#This Row],[Doors Replacement Repair]]*BOQs!$L$9</f>
        <v>0</v>
      </c>
      <c r="AI108" s="76"/>
      <c r="AJ108" s="37"/>
      <c r="AK108" s="86">
        <f>tbl_Actual_costs_quantities34[[#This Row],[Windows Replacement Repair]]*BOQs!$L$10</f>
        <v>0</v>
      </c>
      <c r="AL108" s="76"/>
      <c r="AM108" s="37"/>
      <c r="AN108" s="86">
        <f>tbl_Actual_costs_quantities34[[#This Row],[Bathroom Rehabilitation]]*BOQs!$L$11</f>
        <v>0</v>
      </c>
      <c r="AO108" s="76"/>
      <c r="AP108" s="37"/>
      <c r="AQ108" s="86">
        <f>tbl_Actual_costs_quantities34[[#This Row],[Ceramic Tile Works WASH]]*BOQs!$L$12</f>
        <v>0</v>
      </c>
      <c r="AR108" s="76"/>
      <c r="AS108" s="37"/>
      <c r="AT108" s="86">
        <f>tbl_Actual_costs_quantities34[[#This Row],[Electrical Repairs Lighting]]*BOQs!$L$13</f>
        <v>0</v>
      </c>
      <c r="AU108" s="76"/>
      <c r="AV108" s="37"/>
      <c r="AW108" s="86">
        <f>tbl_Actual_costs_quantities34[[#This Row],[Roof Insulation Leak Sealing]]*BOQs!$L$14</f>
        <v>0</v>
      </c>
      <c r="AX108" s="76"/>
      <c r="AY108" s="37"/>
      <c r="AZ108" s="86">
        <f>tbl_Actual_costs_quantities34[[#This Row],[Chimney Duct Cleaning Repair]]*BOQs!$L$15</f>
        <v>0</v>
      </c>
      <c r="BA108" s="76"/>
      <c r="BB108" s="37"/>
      <c r="BC108" s="89">
        <f>tbl_Actual_costs_quantities34[[#This Row],[Accessibility Adaptations]]*BOQs!$L$16</f>
        <v>0</v>
      </c>
      <c r="BD108" s="41"/>
      <c r="BE108" s="37"/>
      <c r="BF108" s="37"/>
    </row>
    <row r="109" spans="2:58" ht="25.15" customHeight="1" x14ac:dyDescent="0.25">
      <c r="B109" s="49">
        <v>105</v>
      </c>
      <c r="C109" s="37"/>
      <c r="D109" s="41"/>
      <c r="E109" s="40"/>
      <c r="F109" s="87" t="str">
        <f>IF(tbl_Actual_costs_quantities34[[#This Row],[House Code]]&lt;&gt;"",INDEX(tbl_Assessment[],MATCH(tbl_Actual_costs_quantities34[[#This Row],[House Code]],tbl_Assessment[House Code],0),3),"")</f>
        <v/>
      </c>
      <c r="G109" s="116" t="str">
        <f>IF(tbl_Actual_costs_quantities34[[#This Row],[House Code]]&lt;&gt;"",INDEX(tbl_Assessment[],MATCH(tbl_Actual_costs_quantities34[[#This Row],[House Code]],tbl_Assessment[House Code],0),9),"")</f>
        <v/>
      </c>
      <c r="H109" s="41"/>
      <c r="I109" s="41"/>
      <c r="J109" s="41"/>
      <c r="K109" s="116"/>
      <c r="L109" s="117" t="str">
        <f>IF(tbl_Actual_costs_quantities34[[#This Row],[House Code]]&lt;&gt;"",tbl_Actual_costs_quantities34[[#This Row],[Total cost]]/INDEX(tbl_estimated_costs_quantities[],MATCH(tbl_Actual_costs_quantities34[[#This Row],[House Code]],tbl_estimated_costs_quantities[House Code],0),7),"")</f>
        <v/>
      </c>
      <c r="M10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09" s="75"/>
      <c r="O109" s="37"/>
      <c r="P109" s="86">
        <f>tbl_Actual_costs_quantities34[[#This Row],[Site Preparation]]*BOQs!$L$3</f>
        <v>0</v>
      </c>
      <c r="Q109" s="76"/>
      <c r="R109" s="37"/>
      <c r="S109" s="86">
        <f>tbl_Actual_costs_quantities34[[#This Row],[Demolition Removal Unsafe Structures]]*BOQs!$L$4</f>
        <v>0</v>
      </c>
      <c r="T109" s="76"/>
      <c r="U109" s="37"/>
      <c r="V109" s="86">
        <f>tbl_Actual_costs_quantities34[[#This Row],[Concrete Works]]*BOQs!$L$5</f>
        <v>0</v>
      </c>
      <c r="W109" s="76"/>
      <c r="X109" s="37"/>
      <c r="Y109" s="86">
        <f>tbl_Actual_costs_quantities34[[#This Row],[Closure External Openings Walls Windows]]*BOQs!$L$6</f>
        <v>0</v>
      </c>
      <c r="Z109" s="76"/>
      <c r="AA109" s="37"/>
      <c r="AB109" s="86">
        <f>tbl_Actual_costs_quantities34[[#This Row],[Plastering Painting]]*BOQs!$L$7</f>
        <v>0</v>
      </c>
      <c r="AC109" s="76"/>
      <c r="AD109" s="37"/>
      <c r="AE109" s="86">
        <f>tbl_Actual_costs_quantities34[[#This Row],[Floor Repairs]]*BOQs!$L$8</f>
        <v>0</v>
      </c>
      <c r="AF109" s="76"/>
      <c r="AG109" s="37"/>
      <c r="AH109" s="86">
        <f>tbl_Actual_costs_quantities34[[#This Row],[Doors Replacement Repair]]*BOQs!$L$9</f>
        <v>0</v>
      </c>
      <c r="AI109" s="76"/>
      <c r="AJ109" s="37"/>
      <c r="AK109" s="86">
        <f>tbl_Actual_costs_quantities34[[#This Row],[Windows Replacement Repair]]*BOQs!$L$10</f>
        <v>0</v>
      </c>
      <c r="AL109" s="76"/>
      <c r="AM109" s="37"/>
      <c r="AN109" s="86">
        <f>tbl_Actual_costs_quantities34[[#This Row],[Bathroom Rehabilitation]]*BOQs!$L$11</f>
        <v>0</v>
      </c>
      <c r="AO109" s="76"/>
      <c r="AP109" s="37"/>
      <c r="AQ109" s="86">
        <f>tbl_Actual_costs_quantities34[[#This Row],[Ceramic Tile Works WASH]]*BOQs!$L$12</f>
        <v>0</v>
      </c>
      <c r="AR109" s="76"/>
      <c r="AS109" s="37"/>
      <c r="AT109" s="86">
        <f>tbl_Actual_costs_quantities34[[#This Row],[Electrical Repairs Lighting]]*BOQs!$L$13</f>
        <v>0</v>
      </c>
      <c r="AU109" s="76"/>
      <c r="AV109" s="37"/>
      <c r="AW109" s="86">
        <f>tbl_Actual_costs_quantities34[[#This Row],[Roof Insulation Leak Sealing]]*BOQs!$L$14</f>
        <v>0</v>
      </c>
      <c r="AX109" s="76"/>
      <c r="AY109" s="37"/>
      <c r="AZ109" s="86">
        <f>tbl_Actual_costs_quantities34[[#This Row],[Chimney Duct Cleaning Repair]]*BOQs!$L$15</f>
        <v>0</v>
      </c>
      <c r="BA109" s="76"/>
      <c r="BB109" s="37"/>
      <c r="BC109" s="89">
        <f>tbl_Actual_costs_quantities34[[#This Row],[Accessibility Adaptations]]*BOQs!$L$16</f>
        <v>0</v>
      </c>
      <c r="BD109" s="41"/>
      <c r="BE109" s="37"/>
      <c r="BF109" s="37"/>
    </row>
    <row r="110" spans="2:58" ht="25.15" customHeight="1" x14ac:dyDescent="0.25">
      <c r="B110" s="49">
        <v>106</v>
      </c>
      <c r="C110" s="37"/>
      <c r="D110" s="41"/>
      <c r="E110" s="40"/>
      <c r="F110" s="87" t="str">
        <f>IF(tbl_Actual_costs_quantities34[[#This Row],[House Code]]&lt;&gt;"",INDEX(tbl_Assessment[],MATCH(tbl_Actual_costs_quantities34[[#This Row],[House Code]],tbl_Assessment[House Code],0),3),"")</f>
        <v/>
      </c>
      <c r="G110" s="116" t="str">
        <f>IF(tbl_Actual_costs_quantities34[[#This Row],[House Code]]&lt;&gt;"",INDEX(tbl_Assessment[],MATCH(tbl_Actual_costs_quantities34[[#This Row],[House Code]],tbl_Assessment[House Code],0),9),"")</f>
        <v/>
      </c>
      <c r="H110" s="41"/>
      <c r="I110" s="41"/>
      <c r="J110" s="41"/>
      <c r="K110" s="116"/>
      <c r="L110" s="117" t="str">
        <f>IF(tbl_Actual_costs_quantities34[[#This Row],[House Code]]&lt;&gt;"",tbl_Actual_costs_quantities34[[#This Row],[Total cost]]/INDEX(tbl_estimated_costs_quantities[],MATCH(tbl_Actual_costs_quantities34[[#This Row],[House Code]],tbl_estimated_costs_quantities[House Code],0),7),"")</f>
        <v/>
      </c>
      <c r="M11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0" s="75"/>
      <c r="O110" s="37"/>
      <c r="P110" s="86">
        <f>tbl_Actual_costs_quantities34[[#This Row],[Site Preparation]]*BOQs!$L$3</f>
        <v>0</v>
      </c>
      <c r="Q110" s="76"/>
      <c r="R110" s="37"/>
      <c r="S110" s="86">
        <f>tbl_Actual_costs_quantities34[[#This Row],[Demolition Removal Unsafe Structures]]*BOQs!$L$4</f>
        <v>0</v>
      </c>
      <c r="T110" s="76"/>
      <c r="U110" s="37"/>
      <c r="V110" s="86">
        <f>tbl_Actual_costs_quantities34[[#This Row],[Concrete Works]]*BOQs!$L$5</f>
        <v>0</v>
      </c>
      <c r="W110" s="76"/>
      <c r="X110" s="37"/>
      <c r="Y110" s="86">
        <f>tbl_Actual_costs_quantities34[[#This Row],[Closure External Openings Walls Windows]]*BOQs!$L$6</f>
        <v>0</v>
      </c>
      <c r="Z110" s="76"/>
      <c r="AA110" s="37"/>
      <c r="AB110" s="86">
        <f>tbl_Actual_costs_quantities34[[#This Row],[Plastering Painting]]*BOQs!$L$7</f>
        <v>0</v>
      </c>
      <c r="AC110" s="76"/>
      <c r="AD110" s="37"/>
      <c r="AE110" s="86">
        <f>tbl_Actual_costs_quantities34[[#This Row],[Floor Repairs]]*BOQs!$L$8</f>
        <v>0</v>
      </c>
      <c r="AF110" s="76"/>
      <c r="AG110" s="37"/>
      <c r="AH110" s="86">
        <f>tbl_Actual_costs_quantities34[[#This Row],[Doors Replacement Repair]]*BOQs!$L$9</f>
        <v>0</v>
      </c>
      <c r="AI110" s="76"/>
      <c r="AJ110" s="37"/>
      <c r="AK110" s="86">
        <f>tbl_Actual_costs_quantities34[[#This Row],[Windows Replacement Repair]]*BOQs!$L$10</f>
        <v>0</v>
      </c>
      <c r="AL110" s="76"/>
      <c r="AM110" s="37"/>
      <c r="AN110" s="86">
        <f>tbl_Actual_costs_quantities34[[#This Row],[Bathroom Rehabilitation]]*BOQs!$L$11</f>
        <v>0</v>
      </c>
      <c r="AO110" s="76"/>
      <c r="AP110" s="37"/>
      <c r="AQ110" s="86">
        <f>tbl_Actual_costs_quantities34[[#This Row],[Ceramic Tile Works WASH]]*BOQs!$L$12</f>
        <v>0</v>
      </c>
      <c r="AR110" s="76"/>
      <c r="AS110" s="37"/>
      <c r="AT110" s="86">
        <f>tbl_Actual_costs_quantities34[[#This Row],[Electrical Repairs Lighting]]*BOQs!$L$13</f>
        <v>0</v>
      </c>
      <c r="AU110" s="76"/>
      <c r="AV110" s="37"/>
      <c r="AW110" s="86">
        <f>tbl_Actual_costs_quantities34[[#This Row],[Roof Insulation Leak Sealing]]*BOQs!$L$14</f>
        <v>0</v>
      </c>
      <c r="AX110" s="76"/>
      <c r="AY110" s="37"/>
      <c r="AZ110" s="86">
        <f>tbl_Actual_costs_quantities34[[#This Row],[Chimney Duct Cleaning Repair]]*BOQs!$L$15</f>
        <v>0</v>
      </c>
      <c r="BA110" s="76"/>
      <c r="BB110" s="37"/>
      <c r="BC110" s="89">
        <f>tbl_Actual_costs_quantities34[[#This Row],[Accessibility Adaptations]]*BOQs!$L$16</f>
        <v>0</v>
      </c>
      <c r="BD110" s="41"/>
      <c r="BE110" s="37"/>
      <c r="BF110" s="37"/>
    </row>
    <row r="111" spans="2:58" ht="25.15" customHeight="1" x14ac:dyDescent="0.25">
      <c r="B111" s="49">
        <v>107</v>
      </c>
      <c r="C111" s="37"/>
      <c r="D111" s="41"/>
      <c r="E111" s="40"/>
      <c r="F111" s="87" t="str">
        <f>IF(tbl_Actual_costs_quantities34[[#This Row],[House Code]]&lt;&gt;"",INDEX(tbl_Assessment[],MATCH(tbl_Actual_costs_quantities34[[#This Row],[House Code]],tbl_Assessment[House Code],0),3),"")</f>
        <v/>
      </c>
      <c r="G111" s="116" t="str">
        <f>IF(tbl_Actual_costs_quantities34[[#This Row],[House Code]]&lt;&gt;"",INDEX(tbl_Assessment[],MATCH(tbl_Actual_costs_quantities34[[#This Row],[House Code]],tbl_Assessment[House Code],0),9),"")</f>
        <v/>
      </c>
      <c r="H111" s="41"/>
      <c r="I111" s="41"/>
      <c r="J111" s="41"/>
      <c r="K111" s="116"/>
      <c r="L111" s="117" t="str">
        <f>IF(tbl_Actual_costs_quantities34[[#This Row],[House Code]]&lt;&gt;"",tbl_Actual_costs_quantities34[[#This Row],[Total cost]]/INDEX(tbl_estimated_costs_quantities[],MATCH(tbl_Actual_costs_quantities34[[#This Row],[House Code]],tbl_estimated_costs_quantities[House Code],0),7),"")</f>
        <v/>
      </c>
      <c r="M11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1" s="75"/>
      <c r="O111" s="37"/>
      <c r="P111" s="86">
        <f>tbl_Actual_costs_quantities34[[#This Row],[Site Preparation]]*BOQs!$L$3</f>
        <v>0</v>
      </c>
      <c r="Q111" s="76"/>
      <c r="R111" s="37"/>
      <c r="S111" s="86">
        <f>tbl_Actual_costs_quantities34[[#This Row],[Demolition Removal Unsafe Structures]]*BOQs!$L$4</f>
        <v>0</v>
      </c>
      <c r="T111" s="76"/>
      <c r="U111" s="37"/>
      <c r="V111" s="86">
        <f>tbl_Actual_costs_quantities34[[#This Row],[Concrete Works]]*BOQs!$L$5</f>
        <v>0</v>
      </c>
      <c r="W111" s="76"/>
      <c r="X111" s="37"/>
      <c r="Y111" s="86">
        <f>tbl_Actual_costs_quantities34[[#This Row],[Closure External Openings Walls Windows]]*BOQs!$L$6</f>
        <v>0</v>
      </c>
      <c r="Z111" s="76"/>
      <c r="AA111" s="37"/>
      <c r="AB111" s="86">
        <f>tbl_Actual_costs_quantities34[[#This Row],[Plastering Painting]]*BOQs!$L$7</f>
        <v>0</v>
      </c>
      <c r="AC111" s="76"/>
      <c r="AD111" s="37"/>
      <c r="AE111" s="86">
        <f>tbl_Actual_costs_quantities34[[#This Row],[Floor Repairs]]*BOQs!$L$8</f>
        <v>0</v>
      </c>
      <c r="AF111" s="76"/>
      <c r="AG111" s="37"/>
      <c r="AH111" s="86">
        <f>tbl_Actual_costs_quantities34[[#This Row],[Doors Replacement Repair]]*BOQs!$L$9</f>
        <v>0</v>
      </c>
      <c r="AI111" s="76"/>
      <c r="AJ111" s="37"/>
      <c r="AK111" s="86">
        <f>tbl_Actual_costs_quantities34[[#This Row],[Windows Replacement Repair]]*BOQs!$L$10</f>
        <v>0</v>
      </c>
      <c r="AL111" s="76"/>
      <c r="AM111" s="37"/>
      <c r="AN111" s="86">
        <f>tbl_Actual_costs_quantities34[[#This Row],[Bathroom Rehabilitation]]*BOQs!$L$11</f>
        <v>0</v>
      </c>
      <c r="AO111" s="76"/>
      <c r="AP111" s="37"/>
      <c r="AQ111" s="86">
        <f>tbl_Actual_costs_quantities34[[#This Row],[Ceramic Tile Works WASH]]*BOQs!$L$12</f>
        <v>0</v>
      </c>
      <c r="AR111" s="76"/>
      <c r="AS111" s="37"/>
      <c r="AT111" s="86">
        <f>tbl_Actual_costs_quantities34[[#This Row],[Electrical Repairs Lighting]]*BOQs!$L$13</f>
        <v>0</v>
      </c>
      <c r="AU111" s="76"/>
      <c r="AV111" s="37"/>
      <c r="AW111" s="86">
        <f>tbl_Actual_costs_quantities34[[#This Row],[Roof Insulation Leak Sealing]]*BOQs!$L$14</f>
        <v>0</v>
      </c>
      <c r="AX111" s="76"/>
      <c r="AY111" s="37"/>
      <c r="AZ111" s="86">
        <f>tbl_Actual_costs_quantities34[[#This Row],[Chimney Duct Cleaning Repair]]*BOQs!$L$15</f>
        <v>0</v>
      </c>
      <c r="BA111" s="76"/>
      <c r="BB111" s="37"/>
      <c r="BC111" s="89">
        <f>tbl_Actual_costs_quantities34[[#This Row],[Accessibility Adaptations]]*BOQs!$L$16</f>
        <v>0</v>
      </c>
      <c r="BD111" s="41"/>
      <c r="BE111" s="37"/>
      <c r="BF111" s="37"/>
    </row>
    <row r="112" spans="2:58" ht="25.15" customHeight="1" x14ac:dyDescent="0.25">
      <c r="B112" s="49">
        <v>108</v>
      </c>
      <c r="C112" s="37"/>
      <c r="D112" s="41"/>
      <c r="E112" s="40"/>
      <c r="F112" s="87" t="str">
        <f>IF(tbl_Actual_costs_quantities34[[#This Row],[House Code]]&lt;&gt;"",INDEX(tbl_Assessment[],MATCH(tbl_Actual_costs_quantities34[[#This Row],[House Code]],tbl_Assessment[House Code],0),3),"")</f>
        <v/>
      </c>
      <c r="G112" s="116" t="str">
        <f>IF(tbl_Actual_costs_quantities34[[#This Row],[House Code]]&lt;&gt;"",INDEX(tbl_Assessment[],MATCH(tbl_Actual_costs_quantities34[[#This Row],[House Code]],tbl_Assessment[House Code],0),9),"")</f>
        <v/>
      </c>
      <c r="H112" s="41"/>
      <c r="I112" s="41"/>
      <c r="J112" s="41"/>
      <c r="K112" s="116"/>
      <c r="L112" s="117" t="str">
        <f>IF(tbl_Actual_costs_quantities34[[#This Row],[House Code]]&lt;&gt;"",tbl_Actual_costs_quantities34[[#This Row],[Total cost]]/INDEX(tbl_estimated_costs_quantities[],MATCH(tbl_Actual_costs_quantities34[[#This Row],[House Code]],tbl_estimated_costs_quantities[House Code],0),7),"")</f>
        <v/>
      </c>
      <c r="M11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2" s="75"/>
      <c r="O112" s="37"/>
      <c r="P112" s="86">
        <f>tbl_Actual_costs_quantities34[[#This Row],[Site Preparation]]*BOQs!$L$3</f>
        <v>0</v>
      </c>
      <c r="Q112" s="76"/>
      <c r="R112" s="37"/>
      <c r="S112" s="86">
        <f>tbl_Actual_costs_quantities34[[#This Row],[Demolition Removal Unsafe Structures]]*BOQs!$L$4</f>
        <v>0</v>
      </c>
      <c r="T112" s="76"/>
      <c r="U112" s="37"/>
      <c r="V112" s="86">
        <f>tbl_Actual_costs_quantities34[[#This Row],[Concrete Works]]*BOQs!$L$5</f>
        <v>0</v>
      </c>
      <c r="W112" s="76"/>
      <c r="X112" s="37"/>
      <c r="Y112" s="86">
        <f>tbl_Actual_costs_quantities34[[#This Row],[Closure External Openings Walls Windows]]*BOQs!$L$6</f>
        <v>0</v>
      </c>
      <c r="Z112" s="76"/>
      <c r="AA112" s="37"/>
      <c r="AB112" s="86">
        <f>tbl_Actual_costs_quantities34[[#This Row],[Plastering Painting]]*BOQs!$L$7</f>
        <v>0</v>
      </c>
      <c r="AC112" s="76"/>
      <c r="AD112" s="37"/>
      <c r="AE112" s="86">
        <f>tbl_Actual_costs_quantities34[[#This Row],[Floor Repairs]]*BOQs!$L$8</f>
        <v>0</v>
      </c>
      <c r="AF112" s="76"/>
      <c r="AG112" s="37"/>
      <c r="AH112" s="86">
        <f>tbl_Actual_costs_quantities34[[#This Row],[Doors Replacement Repair]]*BOQs!$L$9</f>
        <v>0</v>
      </c>
      <c r="AI112" s="76"/>
      <c r="AJ112" s="37"/>
      <c r="AK112" s="86">
        <f>tbl_Actual_costs_quantities34[[#This Row],[Windows Replacement Repair]]*BOQs!$L$10</f>
        <v>0</v>
      </c>
      <c r="AL112" s="76"/>
      <c r="AM112" s="37"/>
      <c r="AN112" s="86">
        <f>tbl_Actual_costs_quantities34[[#This Row],[Bathroom Rehabilitation]]*BOQs!$L$11</f>
        <v>0</v>
      </c>
      <c r="AO112" s="76"/>
      <c r="AP112" s="37"/>
      <c r="AQ112" s="86">
        <f>tbl_Actual_costs_quantities34[[#This Row],[Ceramic Tile Works WASH]]*BOQs!$L$12</f>
        <v>0</v>
      </c>
      <c r="AR112" s="76"/>
      <c r="AS112" s="37"/>
      <c r="AT112" s="86">
        <f>tbl_Actual_costs_quantities34[[#This Row],[Electrical Repairs Lighting]]*BOQs!$L$13</f>
        <v>0</v>
      </c>
      <c r="AU112" s="76"/>
      <c r="AV112" s="37"/>
      <c r="AW112" s="86">
        <f>tbl_Actual_costs_quantities34[[#This Row],[Roof Insulation Leak Sealing]]*BOQs!$L$14</f>
        <v>0</v>
      </c>
      <c r="AX112" s="76"/>
      <c r="AY112" s="37"/>
      <c r="AZ112" s="86">
        <f>tbl_Actual_costs_quantities34[[#This Row],[Chimney Duct Cleaning Repair]]*BOQs!$L$15</f>
        <v>0</v>
      </c>
      <c r="BA112" s="76"/>
      <c r="BB112" s="37"/>
      <c r="BC112" s="89">
        <f>tbl_Actual_costs_quantities34[[#This Row],[Accessibility Adaptations]]*BOQs!$L$16</f>
        <v>0</v>
      </c>
      <c r="BD112" s="41"/>
      <c r="BE112" s="37"/>
      <c r="BF112" s="37"/>
    </row>
    <row r="113" spans="2:58" ht="25.15" customHeight="1" x14ac:dyDescent="0.25">
      <c r="B113" s="49">
        <v>109</v>
      </c>
      <c r="C113" s="37"/>
      <c r="D113" s="41"/>
      <c r="E113" s="40"/>
      <c r="F113" s="87" t="str">
        <f>IF(tbl_Actual_costs_quantities34[[#This Row],[House Code]]&lt;&gt;"",INDEX(tbl_Assessment[],MATCH(tbl_Actual_costs_quantities34[[#This Row],[House Code]],tbl_Assessment[House Code],0),3),"")</f>
        <v/>
      </c>
      <c r="G113" s="116" t="str">
        <f>IF(tbl_Actual_costs_quantities34[[#This Row],[House Code]]&lt;&gt;"",INDEX(tbl_Assessment[],MATCH(tbl_Actual_costs_quantities34[[#This Row],[House Code]],tbl_Assessment[House Code],0),9),"")</f>
        <v/>
      </c>
      <c r="H113" s="41"/>
      <c r="I113" s="41"/>
      <c r="J113" s="41"/>
      <c r="K113" s="116"/>
      <c r="L113" s="117" t="str">
        <f>IF(tbl_Actual_costs_quantities34[[#This Row],[House Code]]&lt;&gt;"",tbl_Actual_costs_quantities34[[#This Row],[Total cost]]/INDEX(tbl_estimated_costs_quantities[],MATCH(tbl_Actual_costs_quantities34[[#This Row],[House Code]],tbl_estimated_costs_quantities[House Code],0),7),"")</f>
        <v/>
      </c>
      <c r="M11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3" s="75"/>
      <c r="O113" s="37"/>
      <c r="P113" s="86">
        <f>tbl_Actual_costs_quantities34[[#This Row],[Site Preparation]]*BOQs!$L$3</f>
        <v>0</v>
      </c>
      <c r="Q113" s="76"/>
      <c r="R113" s="37"/>
      <c r="S113" s="86">
        <f>tbl_Actual_costs_quantities34[[#This Row],[Demolition Removal Unsafe Structures]]*BOQs!$L$4</f>
        <v>0</v>
      </c>
      <c r="T113" s="76"/>
      <c r="U113" s="37"/>
      <c r="V113" s="86">
        <f>tbl_Actual_costs_quantities34[[#This Row],[Concrete Works]]*BOQs!$L$5</f>
        <v>0</v>
      </c>
      <c r="W113" s="76"/>
      <c r="X113" s="37"/>
      <c r="Y113" s="86">
        <f>tbl_Actual_costs_quantities34[[#This Row],[Closure External Openings Walls Windows]]*BOQs!$L$6</f>
        <v>0</v>
      </c>
      <c r="Z113" s="76"/>
      <c r="AA113" s="37"/>
      <c r="AB113" s="86">
        <f>tbl_Actual_costs_quantities34[[#This Row],[Plastering Painting]]*BOQs!$L$7</f>
        <v>0</v>
      </c>
      <c r="AC113" s="76"/>
      <c r="AD113" s="37"/>
      <c r="AE113" s="86">
        <f>tbl_Actual_costs_quantities34[[#This Row],[Floor Repairs]]*BOQs!$L$8</f>
        <v>0</v>
      </c>
      <c r="AF113" s="76"/>
      <c r="AG113" s="37"/>
      <c r="AH113" s="86">
        <f>tbl_Actual_costs_quantities34[[#This Row],[Doors Replacement Repair]]*BOQs!$L$9</f>
        <v>0</v>
      </c>
      <c r="AI113" s="76"/>
      <c r="AJ113" s="37"/>
      <c r="AK113" s="86">
        <f>tbl_Actual_costs_quantities34[[#This Row],[Windows Replacement Repair]]*BOQs!$L$10</f>
        <v>0</v>
      </c>
      <c r="AL113" s="76"/>
      <c r="AM113" s="37"/>
      <c r="AN113" s="86">
        <f>tbl_Actual_costs_quantities34[[#This Row],[Bathroom Rehabilitation]]*BOQs!$L$11</f>
        <v>0</v>
      </c>
      <c r="AO113" s="76"/>
      <c r="AP113" s="37"/>
      <c r="AQ113" s="86">
        <f>tbl_Actual_costs_quantities34[[#This Row],[Ceramic Tile Works WASH]]*BOQs!$L$12</f>
        <v>0</v>
      </c>
      <c r="AR113" s="76"/>
      <c r="AS113" s="37"/>
      <c r="AT113" s="86">
        <f>tbl_Actual_costs_quantities34[[#This Row],[Electrical Repairs Lighting]]*BOQs!$L$13</f>
        <v>0</v>
      </c>
      <c r="AU113" s="76"/>
      <c r="AV113" s="37"/>
      <c r="AW113" s="86">
        <f>tbl_Actual_costs_quantities34[[#This Row],[Roof Insulation Leak Sealing]]*BOQs!$L$14</f>
        <v>0</v>
      </c>
      <c r="AX113" s="76"/>
      <c r="AY113" s="37"/>
      <c r="AZ113" s="86">
        <f>tbl_Actual_costs_quantities34[[#This Row],[Chimney Duct Cleaning Repair]]*BOQs!$L$15</f>
        <v>0</v>
      </c>
      <c r="BA113" s="76"/>
      <c r="BB113" s="37"/>
      <c r="BC113" s="89">
        <f>tbl_Actual_costs_quantities34[[#This Row],[Accessibility Adaptations]]*BOQs!$L$16</f>
        <v>0</v>
      </c>
      <c r="BD113" s="41"/>
      <c r="BE113" s="37"/>
      <c r="BF113" s="37"/>
    </row>
    <row r="114" spans="2:58" ht="25.15" customHeight="1" x14ac:dyDescent="0.25">
      <c r="B114" s="49">
        <v>110</v>
      </c>
      <c r="C114" s="37"/>
      <c r="D114" s="41"/>
      <c r="E114" s="40"/>
      <c r="F114" s="87" t="str">
        <f>IF(tbl_Actual_costs_quantities34[[#This Row],[House Code]]&lt;&gt;"",INDEX(tbl_Assessment[],MATCH(tbl_Actual_costs_quantities34[[#This Row],[House Code]],tbl_Assessment[House Code],0),3),"")</f>
        <v/>
      </c>
      <c r="G114" s="116" t="str">
        <f>IF(tbl_Actual_costs_quantities34[[#This Row],[House Code]]&lt;&gt;"",INDEX(tbl_Assessment[],MATCH(tbl_Actual_costs_quantities34[[#This Row],[House Code]],tbl_Assessment[House Code],0),9),"")</f>
        <v/>
      </c>
      <c r="H114" s="41"/>
      <c r="I114" s="41"/>
      <c r="J114" s="41"/>
      <c r="K114" s="116"/>
      <c r="L114" s="117" t="str">
        <f>IF(tbl_Actual_costs_quantities34[[#This Row],[House Code]]&lt;&gt;"",tbl_Actual_costs_quantities34[[#This Row],[Total cost]]/INDEX(tbl_estimated_costs_quantities[],MATCH(tbl_Actual_costs_quantities34[[#This Row],[House Code]],tbl_estimated_costs_quantities[House Code],0),7),"")</f>
        <v/>
      </c>
      <c r="M11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4" s="75"/>
      <c r="O114" s="37"/>
      <c r="P114" s="86">
        <f>tbl_Actual_costs_quantities34[[#This Row],[Site Preparation]]*BOQs!$L$3</f>
        <v>0</v>
      </c>
      <c r="Q114" s="76"/>
      <c r="R114" s="37"/>
      <c r="S114" s="86">
        <f>tbl_Actual_costs_quantities34[[#This Row],[Demolition Removal Unsafe Structures]]*BOQs!$L$4</f>
        <v>0</v>
      </c>
      <c r="T114" s="76"/>
      <c r="U114" s="37"/>
      <c r="V114" s="86">
        <f>tbl_Actual_costs_quantities34[[#This Row],[Concrete Works]]*BOQs!$L$5</f>
        <v>0</v>
      </c>
      <c r="W114" s="76"/>
      <c r="X114" s="37"/>
      <c r="Y114" s="86">
        <f>tbl_Actual_costs_quantities34[[#This Row],[Closure External Openings Walls Windows]]*BOQs!$L$6</f>
        <v>0</v>
      </c>
      <c r="Z114" s="76"/>
      <c r="AA114" s="37"/>
      <c r="AB114" s="86">
        <f>tbl_Actual_costs_quantities34[[#This Row],[Plastering Painting]]*BOQs!$L$7</f>
        <v>0</v>
      </c>
      <c r="AC114" s="76"/>
      <c r="AD114" s="37"/>
      <c r="AE114" s="86">
        <f>tbl_Actual_costs_quantities34[[#This Row],[Floor Repairs]]*BOQs!$L$8</f>
        <v>0</v>
      </c>
      <c r="AF114" s="76"/>
      <c r="AG114" s="37"/>
      <c r="AH114" s="86">
        <f>tbl_Actual_costs_quantities34[[#This Row],[Doors Replacement Repair]]*BOQs!$L$9</f>
        <v>0</v>
      </c>
      <c r="AI114" s="76"/>
      <c r="AJ114" s="37"/>
      <c r="AK114" s="86">
        <f>tbl_Actual_costs_quantities34[[#This Row],[Windows Replacement Repair]]*BOQs!$L$10</f>
        <v>0</v>
      </c>
      <c r="AL114" s="76"/>
      <c r="AM114" s="37"/>
      <c r="AN114" s="86">
        <f>tbl_Actual_costs_quantities34[[#This Row],[Bathroom Rehabilitation]]*BOQs!$L$11</f>
        <v>0</v>
      </c>
      <c r="AO114" s="76"/>
      <c r="AP114" s="37"/>
      <c r="AQ114" s="86">
        <f>tbl_Actual_costs_quantities34[[#This Row],[Ceramic Tile Works WASH]]*BOQs!$L$12</f>
        <v>0</v>
      </c>
      <c r="AR114" s="76"/>
      <c r="AS114" s="37"/>
      <c r="AT114" s="86">
        <f>tbl_Actual_costs_quantities34[[#This Row],[Electrical Repairs Lighting]]*BOQs!$L$13</f>
        <v>0</v>
      </c>
      <c r="AU114" s="76"/>
      <c r="AV114" s="37"/>
      <c r="AW114" s="86">
        <f>tbl_Actual_costs_quantities34[[#This Row],[Roof Insulation Leak Sealing]]*BOQs!$L$14</f>
        <v>0</v>
      </c>
      <c r="AX114" s="76"/>
      <c r="AY114" s="37"/>
      <c r="AZ114" s="86">
        <f>tbl_Actual_costs_quantities34[[#This Row],[Chimney Duct Cleaning Repair]]*BOQs!$L$15</f>
        <v>0</v>
      </c>
      <c r="BA114" s="76"/>
      <c r="BB114" s="37"/>
      <c r="BC114" s="89">
        <f>tbl_Actual_costs_quantities34[[#This Row],[Accessibility Adaptations]]*BOQs!$L$16</f>
        <v>0</v>
      </c>
      <c r="BD114" s="41"/>
      <c r="BE114" s="37"/>
      <c r="BF114" s="37"/>
    </row>
    <row r="115" spans="2:58" ht="25.15" customHeight="1" x14ac:dyDescent="0.25">
      <c r="B115" s="49">
        <v>111</v>
      </c>
      <c r="C115" s="37"/>
      <c r="D115" s="41"/>
      <c r="E115" s="40"/>
      <c r="F115" s="87" t="str">
        <f>IF(tbl_Actual_costs_quantities34[[#This Row],[House Code]]&lt;&gt;"",INDEX(tbl_Assessment[],MATCH(tbl_Actual_costs_quantities34[[#This Row],[House Code]],tbl_Assessment[House Code],0),3),"")</f>
        <v/>
      </c>
      <c r="G115" s="116" t="str">
        <f>IF(tbl_Actual_costs_quantities34[[#This Row],[House Code]]&lt;&gt;"",INDEX(tbl_Assessment[],MATCH(tbl_Actual_costs_quantities34[[#This Row],[House Code]],tbl_Assessment[House Code],0),9),"")</f>
        <v/>
      </c>
      <c r="H115" s="41"/>
      <c r="I115" s="41"/>
      <c r="J115" s="41"/>
      <c r="K115" s="116"/>
      <c r="L115" s="117" t="str">
        <f>IF(tbl_Actual_costs_quantities34[[#This Row],[House Code]]&lt;&gt;"",tbl_Actual_costs_quantities34[[#This Row],[Total cost]]/INDEX(tbl_estimated_costs_quantities[],MATCH(tbl_Actual_costs_quantities34[[#This Row],[House Code]],tbl_estimated_costs_quantities[House Code],0),7),"")</f>
        <v/>
      </c>
      <c r="M11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5" s="75"/>
      <c r="O115" s="37"/>
      <c r="P115" s="86">
        <f>tbl_Actual_costs_quantities34[[#This Row],[Site Preparation]]*BOQs!$L$3</f>
        <v>0</v>
      </c>
      <c r="Q115" s="76"/>
      <c r="R115" s="37"/>
      <c r="S115" s="86">
        <f>tbl_Actual_costs_quantities34[[#This Row],[Demolition Removal Unsafe Structures]]*BOQs!$L$4</f>
        <v>0</v>
      </c>
      <c r="T115" s="76"/>
      <c r="U115" s="37"/>
      <c r="V115" s="86">
        <f>tbl_Actual_costs_quantities34[[#This Row],[Concrete Works]]*BOQs!$L$5</f>
        <v>0</v>
      </c>
      <c r="W115" s="76"/>
      <c r="X115" s="37"/>
      <c r="Y115" s="86">
        <f>tbl_Actual_costs_quantities34[[#This Row],[Closure External Openings Walls Windows]]*BOQs!$L$6</f>
        <v>0</v>
      </c>
      <c r="Z115" s="76"/>
      <c r="AA115" s="37"/>
      <c r="AB115" s="86">
        <f>tbl_Actual_costs_quantities34[[#This Row],[Plastering Painting]]*BOQs!$L$7</f>
        <v>0</v>
      </c>
      <c r="AC115" s="76"/>
      <c r="AD115" s="37"/>
      <c r="AE115" s="86">
        <f>tbl_Actual_costs_quantities34[[#This Row],[Floor Repairs]]*BOQs!$L$8</f>
        <v>0</v>
      </c>
      <c r="AF115" s="76"/>
      <c r="AG115" s="37"/>
      <c r="AH115" s="86">
        <f>tbl_Actual_costs_quantities34[[#This Row],[Doors Replacement Repair]]*BOQs!$L$9</f>
        <v>0</v>
      </c>
      <c r="AI115" s="76"/>
      <c r="AJ115" s="37"/>
      <c r="AK115" s="86">
        <f>tbl_Actual_costs_quantities34[[#This Row],[Windows Replacement Repair]]*BOQs!$L$10</f>
        <v>0</v>
      </c>
      <c r="AL115" s="76"/>
      <c r="AM115" s="37"/>
      <c r="AN115" s="86">
        <f>tbl_Actual_costs_quantities34[[#This Row],[Bathroom Rehabilitation]]*BOQs!$L$11</f>
        <v>0</v>
      </c>
      <c r="AO115" s="76"/>
      <c r="AP115" s="37"/>
      <c r="AQ115" s="86">
        <f>tbl_Actual_costs_quantities34[[#This Row],[Ceramic Tile Works WASH]]*BOQs!$L$12</f>
        <v>0</v>
      </c>
      <c r="AR115" s="76"/>
      <c r="AS115" s="37"/>
      <c r="AT115" s="86">
        <f>tbl_Actual_costs_quantities34[[#This Row],[Electrical Repairs Lighting]]*BOQs!$L$13</f>
        <v>0</v>
      </c>
      <c r="AU115" s="76"/>
      <c r="AV115" s="37"/>
      <c r="AW115" s="86">
        <f>tbl_Actual_costs_quantities34[[#This Row],[Roof Insulation Leak Sealing]]*BOQs!$L$14</f>
        <v>0</v>
      </c>
      <c r="AX115" s="76"/>
      <c r="AY115" s="37"/>
      <c r="AZ115" s="86">
        <f>tbl_Actual_costs_quantities34[[#This Row],[Chimney Duct Cleaning Repair]]*BOQs!$L$15</f>
        <v>0</v>
      </c>
      <c r="BA115" s="76"/>
      <c r="BB115" s="37"/>
      <c r="BC115" s="89">
        <f>tbl_Actual_costs_quantities34[[#This Row],[Accessibility Adaptations]]*BOQs!$L$16</f>
        <v>0</v>
      </c>
      <c r="BD115" s="41"/>
      <c r="BE115" s="37"/>
      <c r="BF115" s="37"/>
    </row>
    <row r="116" spans="2:58" ht="25.15" customHeight="1" x14ac:dyDescent="0.25">
      <c r="B116" s="49">
        <v>112</v>
      </c>
      <c r="C116" s="37"/>
      <c r="D116" s="41"/>
      <c r="E116" s="40"/>
      <c r="F116" s="87" t="str">
        <f>IF(tbl_Actual_costs_quantities34[[#This Row],[House Code]]&lt;&gt;"",INDEX(tbl_Assessment[],MATCH(tbl_Actual_costs_quantities34[[#This Row],[House Code]],tbl_Assessment[House Code],0),3),"")</f>
        <v/>
      </c>
      <c r="G116" s="116" t="str">
        <f>IF(tbl_Actual_costs_quantities34[[#This Row],[House Code]]&lt;&gt;"",INDEX(tbl_Assessment[],MATCH(tbl_Actual_costs_quantities34[[#This Row],[House Code]],tbl_Assessment[House Code],0),9),"")</f>
        <v/>
      </c>
      <c r="H116" s="41"/>
      <c r="I116" s="41"/>
      <c r="J116" s="41"/>
      <c r="K116" s="116"/>
      <c r="L116" s="117" t="str">
        <f>IF(tbl_Actual_costs_quantities34[[#This Row],[House Code]]&lt;&gt;"",tbl_Actual_costs_quantities34[[#This Row],[Total cost]]/INDEX(tbl_estimated_costs_quantities[],MATCH(tbl_Actual_costs_quantities34[[#This Row],[House Code]],tbl_estimated_costs_quantities[House Code],0),7),"")</f>
        <v/>
      </c>
      <c r="M11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6" s="75"/>
      <c r="O116" s="37"/>
      <c r="P116" s="86">
        <f>tbl_Actual_costs_quantities34[[#This Row],[Site Preparation]]*BOQs!$L$3</f>
        <v>0</v>
      </c>
      <c r="Q116" s="76"/>
      <c r="R116" s="37"/>
      <c r="S116" s="86">
        <f>tbl_Actual_costs_quantities34[[#This Row],[Demolition Removal Unsafe Structures]]*BOQs!$L$4</f>
        <v>0</v>
      </c>
      <c r="T116" s="76"/>
      <c r="U116" s="37"/>
      <c r="V116" s="86">
        <f>tbl_Actual_costs_quantities34[[#This Row],[Concrete Works]]*BOQs!$L$5</f>
        <v>0</v>
      </c>
      <c r="W116" s="76"/>
      <c r="X116" s="37"/>
      <c r="Y116" s="86">
        <f>tbl_Actual_costs_quantities34[[#This Row],[Closure External Openings Walls Windows]]*BOQs!$L$6</f>
        <v>0</v>
      </c>
      <c r="Z116" s="76"/>
      <c r="AA116" s="37"/>
      <c r="AB116" s="86">
        <f>tbl_Actual_costs_quantities34[[#This Row],[Plastering Painting]]*BOQs!$L$7</f>
        <v>0</v>
      </c>
      <c r="AC116" s="76"/>
      <c r="AD116" s="37"/>
      <c r="AE116" s="86">
        <f>tbl_Actual_costs_quantities34[[#This Row],[Floor Repairs]]*BOQs!$L$8</f>
        <v>0</v>
      </c>
      <c r="AF116" s="76"/>
      <c r="AG116" s="37"/>
      <c r="AH116" s="86">
        <f>tbl_Actual_costs_quantities34[[#This Row],[Doors Replacement Repair]]*BOQs!$L$9</f>
        <v>0</v>
      </c>
      <c r="AI116" s="76"/>
      <c r="AJ116" s="37"/>
      <c r="AK116" s="86">
        <f>tbl_Actual_costs_quantities34[[#This Row],[Windows Replacement Repair]]*BOQs!$L$10</f>
        <v>0</v>
      </c>
      <c r="AL116" s="76"/>
      <c r="AM116" s="37"/>
      <c r="AN116" s="86">
        <f>tbl_Actual_costs_quantities34[[#This Row],[Bathroom Rehabilitation]]*BOQs!$L$11</f>
        <v>0</v>
      </c>
      <c r="AO116" s="76"/>
      <c r="AP116" s="37"/>
      <c r="AQ116" s="86">
        <f>tbl_Actual_costs_quantities34[[#This Row],[Ceramic Tile Works WASH]]*BOQs!$L$12</f>
        <v>0</v>
      </c>
      <c r="AR116" s="76"/>
      <c r="AS116" s="37"/>
      <c r="AT116" s="86">
        <f>tbl_Actual_costs_quantities34[[#This Row],[Electrical Repairs Lighting]]*BOQs!$L$13</f>
        <v>0</v>
      </c>
      <c r="AU116" s="76"/>
      <c r="AV116" s="37"/>
      <c r="AW116" s="86">
        <f>tbl_Actual_costs_quantities34[[#This Row],[Roof Insulation Leak Sealing]]*BOQs!$L$14</f>
        <v>0</v>
      </c>
      <c r="AX116" s="76"/>
      <c r="AY116" s="37"/>
      <c r="AZ116" s="86">
        <f>tbl_Actual_costs_quantities34[[#This Row],[Chimney Duct Cleaning Repair]]*BOQs!$L$15</f>
        <v>0</v>
      </c>
      <c r="BA116" s="76"/>
      <c r="BB116" s="37"/>
      <c r="BC116" s="89">
        <f>tbl_Actual_costs_quantities34[[#This Row],[Accessibility Adaptations]]*BOQs!$L$16</f>
        <v>0</v>
      </c>
      <c r="BD116" s="41"/>
      <c r="BE116" s="37"/>
      <c r="BF116" s="37"/>
    </row>
    <row r="117" spans="2:58" ht="25.15" customHeight="1" x14ac:dyDescent="0.25">
      <c r="B117" s="49">
        <v>113</v>
      </c>
      <c r="C117" s="37"/>
      <c r="D117" s="41"/>
      <c r="E117" s="40"/>
      <c r="F117" s="87" t="str">
        <f>IF(tbl_Actual_costs_quantities34[[#This Row],[House Code]]&lt;&gt;"",INDEX(tbl_Assessment[],MATCH(tbl_Actual_costs_quantities34[[#This Row],[House Code]],tbl_Assessment[House Code],0),3),"")</f>
        <v/>
      </c>
      <c r="G117" s="116" t="str">
        <f>IF(tbl_Actual_costs_quantities34[[#This Row],[House Code]]&lt;&gt;"",INDEX(tbl_Assessment[],MATCH(tbl_Actual_costs_quantities34[[#This Row],[House Code]],tbl_Assessment[House Code],0),9),"")</f>
        <v/>
      </c>
      <c r="H117" s="41"/>
      <c r="I117" s="41"/>
      <c r="J117" s="41"/>
      <c r="K117" s="116"/>
      <c r="L117" s="117" t="str">
        <f>IF(tbl_Actual_costs_quantities34[[#This Row],[House Code]]&lt;&gt;"",tbl_Actual_costs_quantities34[[#This Row],[Total cost]]/INDEX(tbl_estimated_costs_quantities[],MATCH(tbl_Actual_costs_quantities34[[#This Row],[House Code]],tbl_estimated_costs_quantities[House Code],0),7),"")</f>
        <v/>
      </c>
      <c r="M11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7" s="75"/>
      <c r="O117" s="37"/>
      <c r="P117" s="86">
        <f>tbl_Actual_costs_quantities34[[#This Row],[Site Preparation]]*BOQs!$L$3</f>
        <v>0</v>
      </c>
      <c r="Q117" s="76"/>
      <c r="R117" s="37"/>
      <c r="S117" s="86">
        <f>tbl_Actual_costs_quantities34[[#This Row],[Demolition Removal Unsafe Structures]]*BOQs!$L$4</f>
        <v>0</v>
      </c>
      <c r="T117" s="76"/>
      <c r="U117" s="37"/>
      <c r="V117" s="86">
        <f>tbl_Actual_costs_quantities34[[#This Row],[Concrete Works]]*BOQs!$L$5</f>
        <v>0</v>
      </c>
      <c r="W117" s="76"/>
      <c r="X117" s="37"/>
      <c r="Y117" s="86">
        <f>tbl_Actual_costs_quantities34[[#This Row],[Closure External Openings Walls Windows]]*BOQs!$L$6</f>
        <v>0</v>
      </c>
      <c r="Z117" s="76"/>
      <c r="AA117" s="37"/>
      <c r="AB117" s="86">
        <f>tbl_Actual_costs_quantities34[[#This Row],[Plastering Painting]]*BOQs!$L$7</f>
        <v>0</v>
      </c>
      <c r="AC117" s="76"/>
      <c r="AD117" s="37"/>
      <c r="AE117" s="86">
        <f>tbl_Actual_costs_quantities34[[#This Row],[Floor Repairs]]*BOQs!$L$8</f>
        <v>0</v>
      </c>
      <c r="AF117" s="76"/>
      <c r="AG117" s="37"/>
      <c r="AH117" s="86">
        <f>tbl_Actual_costs_quantities34[[#This Row],[Doors Replacement Repair]]*BOQs!$L$9</f>
        <v>0</v>
      </c>
      <c r="AI117" s="76"/>
      <c r="AJ117" s="37"/>
      <c r="AK117" s="86">
        <f>tbl_Actual_costs_quantities34[[#This Row],[Windows Replacement Repair]]*BOQs!$L$10</f>
        <v>0</v>
      </c>
      <c r="AL117" s="76"/>
      <c r="AM117" s="37"/>
      <c r="AN117" s="86">
        <f>tbl_Actual_costs_quantities34[[#This Row],[Bathroom Rehabilitation]]*BOQs!$L$11</f>
        <v>0</v>
      </c>
      <c r="AO117" s="76"/>
      <c r="AP117" s="37"/>
      <c r="AQ117" s="86">
        <f>tbl_Actual_costs_quantities34[[#This Row],[Ceramic Tile Works WASH]]*BOQs!$L$12</f>
        <v>0</v>
      </c>
      <c r="AR117" s="76"/>
      <c r="AS117" s="37"/>
      <c r="AT117" s="86">
        <f>tbl_Actual_costs_quantities34[[#This Row],[Electrical Repairs Lighting]]*BOQs!$L$13</f>
        <v>0</v>
      </c>
      <c r="AU117" s="76"/>
      <c r="AV117" s="37"/>
      <c r="AW117" s="86">
        <f>tbl_Actual_costs_quantities34[[#This Row],[Roof Insulation Leak Sealing]]*BOQs!$L$14</f>
        <v>0</v>
      </c>
      <c r="AX117" s="76"/>
      <c r="AY117" s="37"/>
      <c r="AZ117" s="86">
        <f>tbl_Actual_costs_quantities34[[#This Row],[Chimney Duct Cleaning Repair]]*BOQs!$L$15</f>
        <v>0</v>
      </c>
      <c r="BA117" s="76"/>
      <c r="BB117" s="37"/>
      <c r="BC117" s="89">
        <f>tbl_Actual_costs_quantities34[[#This Row],[Accessibility Adaptations]]*BOQs!$L$16</f>
        <v>0</v>
      </c>
      <c r="BD117" s="41"/>
      <c r="BE117" s="37"/>
      <c r="BF117" s="37"/>
    </row>
    <row r="118" spans="2:58" ht="25.15" customHeight="1" x14ac:dyDescent="0.25">
      <c r="B118" s="49">
        <v>114</v>
      </c>
      <c r="C118" s="37"/>
      <c r="D118" s="41"/>
      <c r="E118" s="40"/>
      <c r="F118" s="87" t="str">
        <f>IF(tbl_Actual_costs_quantities34[[#This Row],[House Code]]&lt;&gt;"",INDEX(tbl_Assessment[],MATCH(tbl_Actual_costs_quantities34[[#This Row],[House Code]],tbl_Assessment[House Code],0),3),"")</f>
        <v/>
      </c>
      <c r="G118" s="116" t="str">
        <f>IF(tbl_Actual_costs_quantities34[[#This Row],[House Code]]&lt;&gt;"",INDEX(tbl_Assessment[],MATCH(tbl_Actual_costs_quantities34[[#This Row],[House Code]],tbl_Assessment[House Code],0),9),"")</f>
        <v/>
      </c>
      <c r="H118" s="41"/>
      <c r="I118" s="41"/>
      <c r="J118" s="41"/>
      <c r="K118" s="116"/>
      <c r="L118" s="117" t="str">
        <f>IF(tbl_Actual_costs_quantities34[[#This Row],[House Code]]&lt;&gt;"",tbl_Actual_costs_quantities34[[#This Row],[Total cost]]/INDEX(tbl_estimated_costs_quantities[],MATCH(tbl_Actual_costs_quantities34[[#This Row],[House Code]],tbl_estimated_costs_quantities[House Code],0),7),"")</f>
        <v/>
      </c>
      <c r="M11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8" s="75"/>
      <c r="O118" s="37"/>
      <c r="P118" s="86">
        <f>tbl_Actual_costs_quantities34[[#This Row],[Site Preparation]]*BOQs!$L$3</f>
        <v>0</v>
      </c>
      <c r="Q118" s="76"/>
      <c r="R118" s="37"/>
      <c r="S118" s="86">
        <f>tbl_Actual_costs_quantities34[[#This Row],[Demolition Removal Unsafe Structures]]*BOQs!$L$4</f>
        <v>0</v>
      </c>
      <c r="T118" s="76"/>
      <c r="U118" s="37"/>
      <c r="V118" s="86">
        <f>tbl_Actual_costs_quantities34[[#This Row],[Concrete Works]]*BOQs!$L$5</f>
        <v>0</v>
      </c>
      <c r="W118" s="76"/>
      <c r="X118" s="37"/>
      <c r="Y118" s="86">
        <f>tbl_Actual_costs_quantities34[[#This Row],[Closure External Openings Walls Windows]]*BOQs!$L$6</f>
        <v>0</v>
      </c>
      <c r="Z118" s="76"/>
      <c r="AA118" s="37"/>
      <c r="AB118" s="86">
        <f>tbl_Actual_costs_quantities34[[#This Row],[Plastering Painting]]*BOQs!$L$7</f>
        <v>0</v>
      </c>
      <c r="AC118" s="76"/>
      <c r="AD118" s="37"/>
      <c r="AE118" s="86">
        <f>tbl_Actual_costs_quantities34[[#This Row],[Floor Repairs]]*BOQs!$L$8</f>
        <v>0</v>
      </c>
      <c r="AF118" s="76"/>
      <c r="AG118" s="37"/>
      <c r="AH118" s="86">
        <f>tbl_Actual_costs_quantities34[[#This Row],[Doors Replacement Repair]]*BOQs!$L$9</f>
        <v>0</v>
      </c>
      <c r="AI118" s="76"/>
      <c r="AJ118" s="37"/>
      <c r="AK118" s="86">
        <f>tbl_Actual_costs_quantities34[[#This Row],[Windows Replacement Repair]]*BOQs!$L$10</f>
        <v>0</v>
      </c>
      <c r="AL118" s="76"/>
      <c r="AM118" s="37"/>
      <c r="AN118" s="86">
        <f>tbl_Actual_costs_quantities34[[#This Row],[Bathroom Rehabilitation]]*BOQs!$L$11</f>
        <v>0</v>
      </c>
      <c r="AO118" s="76"/>
      <c r="AP118" s="37"/>
      <c r="AQ118" s="86">
        <f>tbl_Actual_costs_quantities34[[#This Row],[Ceramic Tile Works WASH]]*BOQs!$L$12</f>
        <v>0</v>
      </c>
      <c r="AR118" s="76"/>
      <c r="AS118" s="37"/>
      <c r="AT118" s="86">
        <f>tbl_Actual_costs_quantities34[[#This Row],[Electrical Repairs Lighting]]*BOQs!$L$13</f>
        <v>0</v>
      </c>
      <c r="AU118" s="76"/>
      <c r="AV118" s="37"/>
      <c r="AW118" s="86">
        <f>tbl_Actual_costs_quantities34[[#This Row],[Roof Insulation Leak Sealing]]*BOQs!$L$14</f>
        <v>0</v>
      </c>
      <c r="AX118" s="76"/>
      <c r="AY118" s="37"/>
      <c r="AZ118" s="86">
        <f>tbl_Actual_costs_quantities34[[#This Row],[Chimney Duct Cleaning Repair]]*BOQs!$L$15</f>
        <v>0</v>
      </c>
      <c r="BA118" s="76"/>
      <c r="BB118" s="37"/>
      <c r="BC118" s="89">
        <f>tbl_Actual_costs_quantities34[[#This Row],[Accessibility Adaptations]]*BOQs!$L$16</f>
        <v>0</v>
      </c>
      <c r="BD118" s="41"/>
      <c r="BE118" s="37"/>
      <c r="BF118" s="37"/>
    </row>
    <row r="119" spans="2:58" ht="25.15" customHeight="1" x14ac:dyDescent="0.25">
      <c r="B119" s="49">
        <v>115</v>
      </c>
      <c r="C119" s="37"/>
      <c r="D119" s="41"/>
      <c r="E119" s="40"/>
      <c r="F119" s="87" t="str">
        <f>IF(tbl_Actual_costs_quantities34[[#This Row],[House Code]]&lt;&gt;"",INDEX(tbl_Assessment[],MATCH(tbl_Actual_costs_quantities34[[#This Row],[House Code]],tbl_Assessment[House Code],0),3),"")</f>
        <v/>
      </c>
      <c r="G119" s="116" t="str">
        <f>IF(tbl_Actual_costs_quantities34[[#This Row],[House Code]]&lt;&gt;"",INDEX(tbl_Assessment[],MATCH(tbl_Actual_costs_quantities34[[#This Row],[House Code]],tbl_Assessment[House Code],0),9),"")</f>
        <v/>
      </c>
      <c r="H119" s="41"/>
      <c r="I119" s="41"/>
      <c r="J119" s="41"/>
      <c r="K119" s="116"/>
      <c r="L119" s="117" t="str">
        <f>IF(tbl_Actual_costs_quantities34[[#This Row],[House Code]]&lt;&gt;"",tbl_Actual_costs_quantities34[[#This Row],[Total cost]]/INDEX(tbl_estimated_costs_quantities[],MATCH(tbl_Actual_costs_quantities34[[#This Row],[House Code]],tbl_estimated_costs_quantities[House Code],0),7),"")</f>
        <v/>
      </c>
      <c r="M11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19" s="75"/>
      <c r="O119" s="37"/>
      <c r="P119" s="86">
        <f>tbl_Actual_costs_quantities34[[#This Row],[Site Preparation]]*BOQs!$L$3</f>
        <v>0</v>
      </c>
      <c r="Q119" s="76"/>
      <c r="R119" s="37"/>
      <c r="S119" s="86">
        <f>tbl_Actual_costs_quantities34[[#This Row],[Demolition Removal Unsafe Structures]]*BOQs!$L$4</f>
        <v>0</v>
      </c>
      <c r="T119" s="76"/>
      <c r="U119" s="37"/>
      <c r="V119" s="86">
        <f>tbl_Actual_costs_quantities34[[#This Row],[Concrete Works]]*BOQs!$L$5</f>
        <v>0</v>
      </c>
      <c r="W119" s="76"/>
      <c r="X119" s="37"/>
      <c r="Y119" s="86">
        <f>tbl_Actual_costs_quantities34[[#This Row],[Closure External Openings Walls Windows]]*BOQs!$L$6</f>
        <v>0</v>
      </c>
      <c r="Z119" s="76"/>
      <c r="AA119" s="37"/>
      <c r="AB119" s="86">
        <f>tbl_Actual_costs_quantities34[[#This Row],[Plastering Painting]]*BOQs!$L$7</f>
        <v>0</v>
      </c>
      <c r="AC119" s="76"/>
      <c r="AD119" s="37"/>
      <c r="AE119" s="86">
        <f>tbl_Actual_costs_quantities34[[#This Row],[Floor Repairs]]*BOQs!$L$8</f>
        <v>0</v>
      </c>
      <c r="AF119" s="76"/>
      <c r="AG119" s="37"/>
      <c r="AH119" s="86">
        <f>tbl_Actual_costs_quantities34[[#This Row],[Doors Replacement Repair]]*BOQs!$L$9</f>
        <v>0</v>
      </c>
      <c r="AI119" s="76"/>
      <c r="AJ119" s="37"/>
      <c r="AK119" s="86">
        <f>tbl_Actual_costs_quantities34[[#This Row],[Windows Replacement Repair]]*BOQs!$L$10</f>
        <v>0</v>
      </c>
      <c r="AL119" s="76"/>
      <c r="AM119" s="37"/>
      <c r="AN119" s="86">
        <f>tbl_Actual_costs_quantities34[[#This Row],[Bathroom Rehabilitation]]*BOQs!$L$11</f>
        <v>0</v>
      </c>
      <c r="AO119" s="76"/>
      <c r="AP119" s="37"/>
      <c r="AQ119" s="86">
        <f>tbl_Actual_costs_quantities34[[#This Row],[Ceramic Tile Works WASH]]*BOQs!$L$12</f>
        <v>0</v>
      </c>
      <c r="AR119" s="76"/>
      <c r="AS119" s="37"/>
      <c r="AT119" s="86">
        <f>tbl_Actual_costs_quantities34[[#This Row],[Electrical Repairs Lighting]]*BOQs!$L$13</f>
        <v>0</v>
      </c>
      <c r="AU119" s="76"/>
      <c r="AV119" s="37"/>
      <c r="AW119" s="86">
        <f>tbl_Actual_costs_quantities34[[#This Row],[Roof Insulation Leak Sealing]]*BOQs!$L$14</f>
        <v>0</v>
      </c>
      <c r="AX119" s="76"/>
      <c r="AY119" s="37"/>
      <c r="AZ119" s="86">
        <f>tbl_Actual_costs_quantities34[[#This Row],[Chimney Duct Cleaning Repair]]*BOQs!$L$15</f>
        <v>0</v>
      </c>
      <c r="BA119" s="76"/>
      <c r="BB119" s="37"/>
      <c r="BC119" s="89">
        <f>tbl_Actual_costs_quantities34[[#This Row],[Accessibility Adaptations]]*BOQs!$L$16</f>
        <v>0</v>
      </c>
      <c r="BD119" s="41"/>
      <c r="BE119" s="37"/>
      <c r="BF119" s="37"/>
    </row>
    <row r="120" spans="2:58" ht="25.15" customHeight="1" x14ac:dyDescent="0.25">
      <c r="B120" s="49">
        <v>116</v>
      </c>
      <c r="C120" s="37"/>
      <c r="D120" s="41"/>
      <c r="E120" s="40"/>
      <c r="F120" s="87" t="str">
        <f>IF(tbl_Actual_costs_quantities34[[#This Row],[House Code]]&lt;&gt;"",INDEX(tbl_Assessment[],MATCH(tbl_Actual_costs_quantities34[[#This Row],[House Code]],tbl_Assessment[House Code],0),3),"")</f>
        <v/>
      </c>
      <c r="G120" s="116" t="str">
        <f>IF(tbl_Actual_costs_quantities34[[#This Row],[House Code]]&lt;&gt;"",INDEX(tbl_Assessment[],MATCH(tbl_Actual_costs_quantities34[[#This Row],[House Code]],tbl_Assessment[House Code],0),9),"")</f>
        <v/>
      </c>
      <c r="H120" s="41"/>
      <c r="I120" s="41"/>
      <c r="J120" s="41"/>
      <c r="K120" s="116"/>
      <c r="L120" s="117" t="str">
        <f>IF(tbl_Actual_costs_quantities34[[#This Row],[House Code]]&lt;&gt;"",tbl_Actual_costs_quantities34[[#This Row],[Total cost]]/INDEX(tbl_estimated_costs_quantities[],MATCH(tbl_Actual_costs_quantities34[[#This Row],[House Code]],tbl_estimated_costs_quantities[House Code],0),7),"")</f>
        <v/>
      </c>
      <c r="M12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0" s="75"/>
      <c r="O120" s="37"/>
      <c r="P120" s="86">
        <f>tbl_Actual_costs_quantities34[[#This Row],[Site Preparation]]*BOQs!$L$3</f>
        <v>0</v>
      </c>
      <c r="Q120" s="76"/>
      <c r="R120" s="37"/>
      <c r="S120" s="86">
        <f>tbl_Actual_costs_quantities34[[#This Row],[Demolition Removal Unsafe Structures]]*BOQs!$L$4</f>
        <v>0</v>
      </c>
      <c r="T120" s="76"/>
      <c r="U120" s="37"/>
      <c r="V120" s="86">
        <f>tbl_Actual_costs_quantities34[[#This Row],[Concrete Works]]*BOQs!$L$5</f>
        <v>0</v>
      </c>
      <c r="W120" s="76"/>
      <c r="X120" s="37"/>
      <c r="Y120" s="86">
        <f>tbl_Actual_costs_quantities34[[#This Row],[Closure External Openings Walls Windows]]*BOQs!$L$6</f>
        <v>0</v>
      </c>
      <c r="Z120" s="76"/>
      <c r="AA120" s="37"/>
      <c r="AB120" s="86">
        <f>tbl_Actual_costs_quantities34[[#This Row],[Plastering Painting]]*BOQs!$L$7</f>
        <v>0</v>
      </c>
      <c r="AC120" s="76"/>
      <c r="AD120" s="37"/>
      <c r="AE120" s="86">
        <f>tbl_Actual_costs_quantities34[[#This Row],[Floor Repairs]]*BOQs!$L$8</f>
        <v>0</v>
      </c>
      <c r="AF120" s="76"/>
      <c r="AG120" s="37"/>
      <c r="AH120" s="86">
        <f>tbl_Actual_costs_quantities34[[#This Row],[Doors Replacement Repair]]*BOQs!$L$9</f>
        <v>0</v>
      </c>
      <c r="AI120" s="76"/>
      <c r="AJ120" s="37"/>
      <c r="AK120" s="86">
        <f>tbl_Actual_costs_quantities34[[#This Row],[Windows Replacement Repair]]*BOQs!$L$10</f>
        <v>0</v>
      </c>
      <c r="AL120" s="76"/>
      <c r="AM120" s="37"/>
      <c r="AN120" s="86">
        <f>tbl_Actual_costs_quantities34[[#This Row],[Bathroom Rehabilitation]]*BOQs!$L$11</f>
        <v>0</v>
      </c>
      <c r="AO120" s="76"/>
      <c r="AP120" s="37"/>
      <c r="AQ120" s="86">
        <f>tbl_Actual_costs_quantities34[[#This Row],[Ceramic Tile Works WASH]]*BOQs!$L$12</f>
        <v>0</v>
      </c>
      <c r="AR120" s="76"/>
      <c r="AS120" s="37"/>
      <c r="AT120" s="86">
        <f>tbl_Actual_costs_quantities34[[#This Row],[Electrical Repairs Lighting]]*BOQs!$L$13</f>
        <v>0</v>
      </c>
      <c r="AU120" s="76"/>
      <c r="AV120" s="37"/>
      <c r="AW120" s="86">
        <f>tbl_Actual_costs_quantities34[[#This Row],[Roof Insulation Leak Sealing]]*BOQs!$L$14</f>
        <v>0</v>
      </c>
      <c r="AX120" s="76"/>
      <c r="AY120" s="37"/>
      <c r="AZ120" s="86">
        <f>tbl_Actual_costs_quantities34[[#This Row],[Chimney Duct Cleaning Repair]]*BOQs!$L$15</f>
        <v>0</v>
      </c>
      <c r="BA120" s="76"/>
      <c r="BB120" s="37"/>
      <c r="BC120" s="89">
        <f>tbl_Actual_costs_quantities34[[#This Row],[Accessibility Adaptations]]*BOQs!$L$16</f>
        <v>0</v>
      </c>
      <c r="BD120" s="41"/>
      <c r="BE120" s="37"/>
      <c r="BF120" s="37"/>
    </row>
    <row r="121" spans="2:58" ht="25.15" customHeight="1" x14ac:dyDescent="0.25">
      <c r="B121" s="49">
        <v>117</v>
      </c>
      <c r="C121" s="37"/>
      <c r="D121" s="41"/>
      <c r="E121" s="40"/>
      <c r="F121" s="87" t="str">
        <f>IF(tbl_Actual_costs_quantities34[[#This Row],[House Code]]&lt;&gt;"",INDEX(tbl_Assessment[],MATCH(tbl_Actual_costs_quantities34[[#This Row],[House Code]],tbl_Assessment[House Code],0),3),"")</f>
        <v/>
      </c>
      <c r="G121" s="116" t="str">
        <f>IF(tbl_Actual_costs_quantities34[[#This Row],[House Code]]&lt;&gt;"",INDEX(tbl_Assessment[],MATCH(tbl_Actual_costs_quantities34[[#This Row],[House Code]],tbl_Assessment[House Code],0),9),"")</f>
        <v/>
      </c>
      <c r="H121" s="41"/>
      <c r="I121" s="41"/>
      <c r="J121" s="41"/>
      <c r="K121" s="116"/>
      <c r="L121" s="117" t="str">
        <f>IF(tbl_Actual_costs_quantities34[[#This Row],[House Code]]&lt;&gt;"",tbl_Actual_costs_quantities34[[#This Row],[Total cost]]/INDEX(tbl_estimated_costs_quantities[],MATCH(tbl_Actual_costs_quantities34[[#This Row],[House Code]],tbl_estimated_costs_quantities[House Code],0),7),"")</f>
        <v/>
      </c>
      <c r="M12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1" s="75"/>
      <c r="O121" s="37"/>
      <c r="P121" s="86">
        <f>tbl_Actual_costs_quantities34[[#This Row],[Site Preparation]]*BOQs!$L$3</f>
        <v>0</v>
      </c>
      <c r="Q121" s="76"/>
      <c r="R121" s="37"/>
      <c r="S121" s="86">
        <f>tbl_Actual_costs_quantities34[[#This Row],[Demolition Removal Unsafe Structures]]*BOQs!$L$4</f>
        <v>0</v>
      </c>
      <c r="T121" s="76"/>
      <c r="U121" s="37"/>
      <c r="V121" s="86">
        <f>tbl_Actual_costs_quantities34[[#This Row],[Concrete Works]]*BOQs!$L$5</f>
        <v>0</v>
      </c>
      <c r="W121" s="76"/>
      <c r="X121" s="37"/>
      <c r="Y121" s="86">
        <f>tbl_Actual_costs_quantities34[[#This Row],[Closure External Openings Walls Windows]]*BOQs!$L$6</f>
        <v>0</v>
      </c>
      <c r="Z121" s="76"/>
      <c r="AA121" s="37"/>
      <c r="AB121" s="86">
        <f>tbl_Actual_costs_quantities34[[#This Row],[Plastering Painting]]*BOQs!$L$7</f>
        <v>0</v>
      </c>
      <c r="AC121" s="76"/>
      <c r="AD121" s="37"/>
      <c r="AE121" s="86">
        <f>tbl_Actual_costs_quantities34[[#This Row],[Floor Repairs]]*BOQs!$L$8</f>
        <v>0</v>
      </c>
      <c r="AF121" s="76"/>
      <c r="AG121" s="37"/>
      <c r="AH121" s="86">
        <f>tbl_Actual_costs_quantities34[[#This Row],[Doors Replacement Repair]]*BOQs!$L$9</f>
        <v>0</v>
      </c>
      <c r="AI121" s="76"/>
      <c r="AJ121" s="37"/>
      <c r="AK121" s="86">
        <f>tbl_Actual_costs_quantities34[[#This Row],[Windows Replacement Repair]]*BOQs!$L$10</f>
        <v>0</v>
      </c>
      <c r="AL121" s="76"/>
      <c r="AM121" s="37"/>
      <c r="AN121" s="86">
        <f>tbl_Actual_costs_quantities34[[#This Row],[Bathroom Rehabilitation]]*BOQs!$L$11</f>
        <v>0</v>
      </c>
      <c r="AO121" s="76"/>
      <c r="AP121" s="37"/>
      <c r="AQ121" s="86">
        <f>tbl_Actual_costs_quantities34[[#This Row],[Ceramic Tile Works WASH]]*BOQs!$L$12</f>
        <v>0</v>
      </c>
      <c r="AR121" s="76"/>
      <c r="AS121" s="37"/>
      <c r="AT121" s="86">
        <f>tbl_Actual_costs_quantities34[[#This Row],[Electrical Repairs Lighting]]*BOQs!$L$13</f>
        <v>0</v>
      </c>
      <c r="AU121" s="76"/>
      <c r="AV121" s="37"/>
      <c r="AW121" s="86">
        <f>tbl_Actual_costs_quantities34[[#This Row],[Roof Insulation Leak Sealing]]*BOQs!$L$14</f>
        <v>0</v>
      </c>
      <c r="AX121" s="76"/>
      <c r="AY121" s="37"/>
      <c r="AZ121" s="86">
        <f>tbl_Actual_costs_quantities34[[#This Row],[Chimney Duct Cleaning Repair]]*BOQs!$L$15</f>
        <v>0</v>
      </c>
      <c r="BA121" s="76"/>
      <c r="BB121" s="37"/>
      <c r="BC121" s="89">
        <f>tbl_Actual_costs_quantities34[[#This Row],[Accessibility Adaptations]]*BOQs!$L$16</f>
        <v>0</v>
      </c>
      <c r="BD121" s="41"/>
      <c r="BE121" s="37"/>
      <c r="BF121" s="37"/>
    </row>
    <row r="122" spans="2:58" ht="25.15" customHeight="1" x14ac:dyDescent="0.25">
      <c r="B122" s="49">
        <v>118</v>
      </c>
      <c r="C122" s="37"/>
      <c r="D122" s="41"/>
      <c r="E122" s="40"/>
      <c r="F122" s="87" t="str">
        <f>IF(tbl_Actual_costs_quantities34[[#This Row],[House Code]]&lt;&gt;"",INDEX(tbl_Assessment[],MATCH(tbl_Actual_costs_quantities34[[#This Row],[House Code]],tbl_Assessment[House Code],0),3),"")</f>
        <v/>
      </c>
      <c r="G122" s="116" t="str">
        <f>IF(tbl_Actual_costs_quantities34[[#This Row],[House Code]]&lt;&gt;"",INDEX(tbl_Assessment[],MATCH(tbl_Actual_costs_quantities34[[#This Row],[House Code]],tbl_Assessment[House Code],0),9),"")</f>
        <v/>
      </c>
      <c r="H122" s="41"/>
      <c r="I122" s="41"/>
      <c r="J122" s="41"/>
      <c r="K122" s="116"/>
      <c r="L122" s="117" t="str">
        <f>IF(tbl_Actual_costs_quantities34[[#This Row],[House Code]]&lt;&gt;"",tbl_Actual_costs_quantities34[[#This Row],[Total cost]]/INDEX(tbl_estimated_costs_quantities[],MATCH(tbl_Actual_costs_quantities34[[#This Row],[House Code]],tbl_estimated_costs_quantities[House Code],0),7),"")</f>
        <v/>
      </c>
      <c r="M12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2" s="75"/>
      <c r="O122" s="37"/>
      <c r="P122" s="86">
        <f>tbl_Actual_costs_quantities34[[#This Row],[Site Preparation]]*BOQs!$L$3</f>
        <v>0</v>
      </c>
      <c r="Q122" s="76"/>
      <c r="R122" s="37"/>
      <c r="S122" s="86">
        <f>tbl_Actual_costs_quantities34[[#This Row],[Demolition Removal Unsafe Structures]]*BOQs!$L$4</f>
        <v>0</v>
      </c>
      <c r="T122" s="76"/>
      <c r="U122" s="37"/>
      <c r="V122" s="86">
        <f>tbl_Actual_costs_quantities34[[#This Row],[Concrete Works]]*BOQs!$L$5</f>
        <v>0</v>
      </c>
      <c r="W122" s="76"/>
      <c r="X122" s="37"/>
      <c r="Y122" s="86">
        <f>tbl_Actual_costs_quantities34[[#This Row],[Closure External Openings Walls Windows]]*BOQs!$L$6</f>
        <v>0</v>
      </c>
      <c r="Z122" s="76"/>
      <c r="AA122" s="37"/>
      <c r="AB122" s="86">
        <f>tbl_Actual_costs_quantities34[[#This Row],[Plastering Painting]]*BOQs!$L$7</f>
        <v>0</v>
      </c>
      <c r="AC122" s="76"/>
      <c r="AD122" s="37"/>
      <c r="AE122" s="86">
        <f>tbl_Actual_costs_quantities34[[#This Row],[Floor Repairs]]*BOQs!$L$8</f>
        <v>0</v>
      </c>
      <c r="AF122" s="76"/>
      <c r="AG122" s="37"/>
      <c r="AH122" s="86">
        <f>tbl_Actual_costs_quantities34[[#This Row],[Doors Replacement Repair]]*BOQs!$L$9</f>
        <v>0</v>
      </c>
      <c r="AI122" s="76"/>
      <c r="AJ122" s="37"/>
      <c r="AK122" s="86">
        <f>tbl_Actual_costs_quantities34[[#This Row],[Windows Replacement Repair]]*BOQs!$L$10</f>
        <v>0</v>
      </c>
      <c r="AL122" s="76"/>
      <c r="AM122" s="37"/>
      <c r="AN122" s="86">
        <f>tbl_Actual_costs_quantities34[[#This Row],[Bathroom Rehabilitation]]*BOQs!$L$11</f>
        <v>0</v>
      </c>
      <c r="AO122" s="76"/>
      <c r="AP122" s="37"/>
      <c r="AQ122" s="86">
        <f>tbl_Actual_costs_quantities34[[#This Row],[Ceramic Tile Works WASH]]*BOQs!$L$12</f>
        <v>0</v>
      </c>
      <c r="AR122" s="76"/>
      <c r="AS122" s="37"/>
      <c r="AT122" s="86">
        <f>tbl_Actual_costs_quantities34[[#This Row],[Electrical Repairs Lighting]]*BOQs!$L$13</f>
        <v>0</v>
      </c>
      <c r="AU122" s="76"/>
      <c r="AV122" s="37"/>
      <c r="AW122" s="86">
        <f>tbl_Actual_costs_quantities34[[#This Row],[Roof Insulation Leak Sealing]]*BOQs!$L$14</f>
        <v>0</v>
      </c>
      <c r="AX122" s="76"/>
      <c r="AY122" s="37"/>
      <c r="AZ122" s="86">
        <f>tbl_Actual_costs_quantities34[[#This Row],[Chimney Duct Cleaning Repair]]*BOQs!$L$15</f>
        <v>0</v>
      </c>
      <c r="BA122" s="76"/>
      <c r="BB122" s="37"/>
      <c r="BC122" s="89">
        <f>tbl_Actual_costs_quantities34[[#This Row],[Accessibility Adaptations]]*BOQs!$L$16</f>
        <v>0</v>
      </c>
      <c r="BD122" s="41"/>
      <c r="BE122" s="37"/>
      <c r="BF122" s="37"/>
    </row>
    <row r="123" spans="2:58" ht="25.15" customHeight="1" x14ac:dyDescent="0.25">
      <c r="B123" s="49">
        <v>119</v>
      </c>
      <c r="C123" s="37"/>
      <c r="D123" s="41"/>
      <c r="E123" s="40"/>
      <c r="F123" s="87" t="str">
        <f>IF(tbl_Actual_costs_quantities34[[#This Row],[House Code]]&lt;&gt;"",INDEX(tbl_Assessment[],MATCH(tbl_Actual_costs_quantities34[[#This Row],[House Code]],tbl_Assessment[House Code],0),3),"")</f>
        <v/>
      </c>
      <c r="G123" s="116" t="str">
        <f>IF(tbl_Actual_costs_quantities34[[#This Row],[House Code]]&lt;&gt;"",INDEX(tbl_Assessment[],MATCH(tbl_Actual_costs_quantities34[[#This Row],[House Code]],tbl_Assessment[House Code],0),9),"")</f>
        <v/>
      </c>
      <c r="H123" s="41"/>
      <c r="I123" s="41"/>
      <c r="J123" s="41"/>
      <c r="K123" s="116"/>
      <c r="L123" s="117" t="str">
        <f>IF(tbl_Actual_costs_quantities34[[#This Row],[House Code]]&lt;&gt;"",tbl_Actual_costs_quantities34[[#This Row],[Total cost]]/INDEX(tbl_estimated_costs_quantities[],MATCH(tbl_Actual_costs_quantities34[[#This Row],[House Code]],tbl_estimated_costs_quantities[House Code],0),7),"")</f>
        <v/>
      </c>
      <c r="M12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3" s="75"/>
      <c r="O123" s="37"/>
      <c r="P123" s="86">
        <f>tbl_Actual_costs_quantities34[[#This Row],[Site Preparation]]*BOQs!$L$3</f>
        <v>0</v>
      </c>
      <c r="Q123" s="76"/>
      <c r="R123" s="37"/>
      <c r="S123" s="86">
        <f>tbl_Actual_costs_quantities34[[#This Row],[Demolition Removal Unsafe Structures]]*BOQs!$L$4</f>
        <v>0</v>
      </c>
      <c r="T123" s="76"/>
      <c r="U123" s="37"/>
      <c r="V123" s="86">
        <f>tbl_Actual_costs_quantities34[[#This Row],[Concrete Works]]*BOQs!$L$5</f>
        <v>0</v>
      </c>
      <c r="W123" s="76"/>
      <c r="X123" s="37"/>
      <c r="Y123" s="86">
        <f>tbl_Actual_costs_quantities34[[#This Row],[Closure External Openings Walls Windows]]*BOQs!$L$6</f>
        <v>0</v>
      </c>
      <c r="Z123" s="76"/>
      <c r="AA123" s="37"/>
      <c r="AB123" s="86">
        <f>tbl_Actual_costs_quantities34[[#This Row],[Plastering Painting]]*BOQs!$L$7</f>
        <v>0</v>
      </c>
      <c r="AC123" s="76"/>
      <c r="AD123" s="37"/>
      <c r="AE123" s="86">
        <f>tbl_Actual_costs_quantities34[[#This Row],[Floor Repairs]]*BOQs!$L$8</f>
        <v>0</v>
      </c>
      <c r="AF123" s="76"/>
      <c r="AG123" s="37"/>
      <c r="AH123" s="86">
        <f>tbl_Actual_costs_quantities34[[#This Row],[Doors Replacement Repair]]*BOQs!$L$9</f>
        <v>0</v>
      </c>
      <c r="AI123" s="76"/>
      <c r="AJ123" s="37"/>
      <c r="AK123" s="86">
        <f>tbl_Actual_costs_quantities34[[#This Row],[Windows Replacement Repair]]*BOQs!$L$10</f>
        <v>0</v>
      </c>
      <c r="AL123" s="76"/>
      <c r="AM123" s="37"/>
      <c r="AN123" s="86">
        <f>tbl_Actual_costs_quantities34[[#This Row],[Bathroom Rehabilitation]]*BOQs!$L$11</f>
        <v>0</v>
      </c>
      <c r="AO123" s="76"/>
      <c r="AP123" s="37"/>
      <c r="AQ123" s="86">
        <f>tbl_Actual_costs_quantities34[[#This Row],[Ceramic Tile Works WASH]]*BOQs!$L$12</f>
        <v>0</v>
      </c>
      <c r="AR123" s="76"/>
      <c r="AS123" s="37"/>
      <c r="AT123" s="86">
        <f>tbl_Actual_costs_quantities34[[#This Row],[Electrical Repairs Lighting]]*BOQs!$L$13</f>
        <v>0</v>
      </c>
      <c r="AU123" s="76"/>
      <c r="AV123" s="37"/>
      <c r="AW123" s="86">
        <f>tbl_Actual_costs_quantities34[[#This Row],[Roof Insulation Leak Sealing]]*BOQs!$L$14</f>
        <v>0</v>
      </c>
      <c r="AX123" s="76"/>
      <c r="AY123" s="37"/>
      <c r="AZ123" s="86">
        <f>tbl_Actual_costs_quantities34[[#This Row],[Chimney Duct Cleaning Repair]]*BOQs!$L$15</f>
        <v>0</v>
      </c>
      <c r="BA123" s="76"/>
      <c r="BB123" s="37"/>
      <c r="BC123" s="89">
        <f>tbl_Actual_costs_quantities34[[#This Row],[Accessibility Adaptations]]*BOQs!$L$16</f>
        <v>0</v>
      </c>
      <c r="BD123" s="41"/>
      <c r="BE123" s="37"/>
      <c r="BF123" s="37"/>
    </row>
    <row r="124" spans="2:58" ht="25.15" customHeight="1" x14ac:dyDescent="0.25">
      <c r="B124" s="49">
        <v>120</v>
      </c>
      <c r="C124" s="37"/>
      <c r="D124" s="41"/>
      <c r="E124" s="40"/>
      <c r="F124" s="87" t="str">
        <f>IF(tbl_Actual_costs_quantities34[[#This Row],[House Code]]&lt;&gt;"",INDEX(tbl_Assessment[],MATCH(tbl_Actual_costs_quantities34[[#This Row],[House Code]],tbl_Assessment[House Code],0),3),"")</f>
        <v/>
      </c>
      <c r="G124" s="116" t="str">
        <f>IF(tbl_Actual_costs_quantities34[[#This Row],[House Code]]&lt;&gt;"",INDEX(tbl_Assessment[],MATCH(tbl_Actual_costs_quantities34[[#This Row],[House Code]],tbl_Assessment[House Code],0),9),"")</f>
        <v/>
      </c>
      <c r="H124" s="41"/>
      <c r="I124" s="41"/>
      <c r="J124" s="41"/>
      <c r="K124" s="116"/>
      <c r="L124" s="117" t="str">
        <f>IF(tbl_Actual_costs_quantities34[[#This Row],[House Code]]&lt;&gt;"",tbl_Actual_costs_quantities34[[#This Row],[Total cost]]/INDEX(tbl_estimated_costs_quantities[],MATCH(tbl_Actual_costs_quantities34[[#This Row],[House Code]],tbl_estimated_costs_quantities[House Code],0),7),"")</f>
        <v/>
      </c>
      <c r="M12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4" s="75"/>
      <c r="O124" s="37"/>
      <c r="P124" s="86">
        <f>tbl_Actual_costs_quantities34[[#This Row],[Site Preparation]]*BOQs!$L$3</f>
        <v>0</v>
      </c>
      <c r="Q124" s="76"/>
      <c r="R124" s="37"/>
      <c r="S124" s="86">
        <f>tbl_Actual_costs_quantities34[[#This Row],[Demolition Removal Unsafe Structures]]*BOQs!$L$4</f>
        <v>0</v>
      </c>
      <c r="T124" s="76"/>
      <c r="U124" s="37"/>
      <c r="V124" s="86">
        <f>tbl_Actual_costs_quantities34[[#This Row],[Concrete Works]]*BOQs!$L$5</f>
        <v>0</v>
      </c>
      <c r="W124" s="76"/>
      <c r="X124" s="37"/>
      <c r="Y124" s="86">
        <f>tbl_Actual_costs_quantities34[[#This Row],[Closure External Openings Walls Windows]]*BOQs!$L$6</f>
        <v>0</v>
      </c>
      <c r="Z124" s="76"/>
      <c r="AA124" s="37"/>
      <c r="AB124" s="86">
        <f>tbl_Actual_costs_quantities34[[#This Row],[Plastering Painting]]*BOQs!$L$7</f>
        <v>0</v>
      </c>
      <c r="AC124" s="76"/>
      <c r="AD124" s="37"/>
      <c r="AE124" s="86">
        <f>tbl_Actual_costs_quantities34[[#This Row],[Floor Repairs]]*BOQs!$L$8</f>
        <v>0</v>
      </c>
      <c r="AF124" s="76"/>
      <c r="AG124" s="37"/>
      <c r="AH124" s="86">
        <f>tbl_Actual_costs_quantities34[[#This Row],[Doors Replacement Repair]]*BOQs!$L$9</f>
        <v>0</v>
      </c>
      <c r="AI124" s="76"/>
      <c r="AJ124" s="37"/>
      <c r="AK124" s="86">
        <f>tbl_Actual_costs_quantities34[[#This Row],[Windows Replacement Repair]]*BOQs!$L$10</f>
        <v>0</v>
      </c>
      <c r="AL124" s="76"/>
      <c r="AM124" s="37"/>
      <c r="AN124" s="86">
        <f>tbl_Actual_costs_quantities34[[#This Row],[Bathroom Rehabilitation]]*BOQs!$L$11</f>
        <v>0</v>
      </c>
      <c r="AO124" s="76"/>
      <c r="AP124" s="37"/>
      <c r="AQ124" s="86">
        <f>tbl_Actual_costs_quantities34[[#This Row],[Ceramic Tile Works WASH]]*BOQs!$L$12</f>
        <v>0</v>
      </c>
      <c r="AR124" s="76"/>
      <c r="AS124" s="37"/>
      <c r="AT124" s="86">
        <f>tbl_Actual_costs_quantities34[[#This Row],[Electrical Repairs Lighting]]*BOQs!$L$13</f>
        <v>0</v>
      </c>
      <c r="AU124" s="76"/>
      <c r="AV124" s="37"/>
      <c r="AW124" s="86">
        <f>tbl_Actual_costs_quantities34[[#This Row],[Roof Insulation Leak Sealing]]*BOQs!$L$14</f>
        <v>0</v>
      </c>
      <c r="AX124" s="76"/>
      <c r="AY124" s="37"/>
      <c r="AZ124" s="86">
        <f>tbl_Actual_costs_quantities34[[#This Row],[Chimney Duct Cleaning Repair]]*BOQs!$L$15</f>
        <v>0</v>
      </c>
      <c r="BA124" s="76"/>
      <c r="BB124" s="37"/>
      <c r="BC124" s="89">
        <f>tbl_Actual_costs_quantities34[[#This Row],[Accessibility Adaptations]]*BOQs!$L$16</f>
        <v>0</v>
      </c>
      <c r="BD124" s="41"/>
      <c r="BE124" s="37"/>
      <c r="BF124" s="37"/>
    </row>
    <row r="125" spans="2:58" ht="25.15" customHeight="1" x14ac:dyDescent="0.25">
      <c r="B125" s="49">
        <v>121</v>
      </c>
      <c r="C125" s="37"/>
      <c r="D125" s="41"/>
      <c r="E125" s="40"/>
      <c r="F125" s="87" t="str">
        <f>IF(tbl_Actual_costs_quantities34[[#This Row],[House Code]]&lt;&gt;"",INDEX(tbl_Assessment[],MATCH(tbl_Actual_costs_quantities34[[#This Row],[House Code]],tbl_Assessment[House Code],0),3),"")</f>
        <v/>
      </c>
      <c r="G125" s="116" t="str">
        <f>IF(tbl_Actual_costs_quantities34[[#This Row],[House Code]]&lt;&gt;"",INDEX(tbl_Assessment[],MATCH(tbl_Actual_costs_quantities34[[#This Row],[House Code]],tbl_Assessment[House Code],0),9),"")</f>
        <v/>
      </c>
      <c r="H125" s="41"/>
      <c r="I125" s="41"/>
      <c r="J125" s="41"/>
      <c r="K125" s="116"/>
      <c r="L125" s="117" t="str">
        <f>IF(tbl_Actual_costs_quantities34[[#This Row],[House Code]]&lt;&gt;"",tbl_Actual_costs_quantities34[[#This Row],[Total cost]]/INDEX(tbl_estimated_costs_quantities[],MATCH(tbl_Actual_costs_quantities34[[#This Row],[House Code]],tbl_estimated_costs_quantities[House Code],0),7),"")</f>
        <v/>
      </c>
      <c r="M12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5" s="75"/>
      <c r="O125" s="37"/>
      <c r="P125" s="86">
        <f>tbl_Actual_costs_quantities34[[#This Row],[Site Preparation]]*BOQs!$L$3</f>
        <v>0</v>
      </c>
      <c r="Q125" s="76"/>
      <c r="R125" s="37"/>
      <c r="S125" s="86">
        <f>tbl_Actual_costs_quantities34[[#This Row],[Demolition Removal Unsafe Structures]]*BOQs!$L$4</f>
        <v>0</v>
      </c>
      <c r="T125" s="76"/>
      <c r="U125" s="37"/>
      <c r="V125" s="86">
        <f>tbl_Actual_costs_quantities34[[#This Row],[Concrete Works]]*BOQs!$L$5</f>
        <v>0</v>
      </c>
      <c r="W125" s="76"/>
      <c r="X125" s="37"/>
      <c r="Y125" s="86">
        <f>tbl_Actual_costs_quantities34[[#This Row],[Closure External Openings Walls Windows]]*BOQs!$L$6</f>
        <v>0</v>
      </c>
      <c r="Z125" s="76"/>
      <c r="AA125" s="37"/>
      <c r="AB125" s="86">
        <f>tbl_Actual_costs_quantities34[[#This Row],[Plastering Painting]]*BOQs!$L$7</f>
        <v>0</v>
      </c>
      <c r="AC125" s="76"/>
      <c r="AD125" s="37"/>
      <c r="AE125" s="86">
        <f>tbl_Actual_costs_quantities34[[#This Row],[Floor Repairs]]*BOQs!$L$8</f>
        <v>0</v>
      </c>
      <c r="AF125" s="76"/>
      <c r="AG125" s="37"/>
      <c r="AH125" s="86">
        <f>tbl_Actual_costs_quantities34[[#This Row],[Doors Replacement Repair]]*BOQs!$L$9</f>
        <v>0</v>
      </c>
      <c r="AI125" s="76"/>
      <c r="AJ125" s="37"/>
      <c r="AK125" s="86">
        <f>tbl_Actual_costs_quantities34[[#This Row],[Windows Replacement Repair]]*BOQs!$L$10</f>
        <v>0</v>
      </c>
      <c r="AL125" s="76"/>
      <c r="AM125" s="37"/>
      <c r="AN125" s="86">
        <f>tbl_Actual_costs_quantities34[[#This Row],[Bathroom Rehabilitation]]*BOQs!$L$11</f>
        <v>0</v>
      </c>
      <c r="AO125" s="76"/>
      <c r="AP125" s="37"/>
      <c r="AQ125" s="86">
        <f>tbl_Actual_costs_quantities34[[#This Row],[Ceramic Tile Works WASH]]*BOQs!$L$12</f>
        <v>0</v>
      </c>
      <c r="AR125" s="76"/>
      <c r="AS125" s="37"/>
      <c r="AT125" s="86">
        <f>tbl_Actual_costs_quantities34[[#This Row],[Electrical Repairs Lighting]]*BOQs!$L$13</f>
        <v>0</v>
      </c>
      <c r="AU125" s="76"/>
      <c r="AV125" s="37"/>
      <c r="AW125" s="86">
        <f>tbl_Actual_costs_quantities34[[#This Row],[Roof Insulation Leak Sealing]]*BOQs!$L$14</f>
        <v>0</v>
      </c>
      <c r="AX125" s="76"/>
      <c r="AY125" s="37"/>
      <c r="AZ125" s="86">
        <f>tbl_Actual_costs_quantities34[[#This Row],[Chimney Duct Cleaning Repair]]*BOQs!$L$15</f>
        <v>0</v>
      </c>
      <c r="BA125" s="76"/>
      <c r="BB125" s="37"/>
      <c r="BC125" s="89">
        <f>tbl_Actual_costs_quantities34[[#This Row],[Accessibility Adaptations]]*BOQs!$L$16</f>
        <v>0</v>
      </c>
      <c r="BD125" s="41"/>
      <c r="BE125" s="37"/>
      <c r="BF125" s="37"/>
    </row>
    <row r="126" spans="2:58" ht="25.15" customHeight="1" x14ac:dyDescent="0.25">
      <c r="B126" s="49">
        <v>122</v>
      </c>
      <c r="C126" s="37"/>
      <c r="D126" s="41"/>
      <c r="E126" s="40"/>
      <c r="F126" s="87" t="str">
        <f>IF(tbl_Actual_costs_quantities34[[#This Row],[House Code]]&lt;&gt;"",INDEX(tbl_Assessment[],MATCH(tbl_Actual_costs_quantities34[[#This Row],[House Code]],tbl_Assessment[House Code],0),3),"")</f>
        <v/>
      </c>
      <c r="G126" s="116" t="str">
        <f>IF(tbl_Actual_costs_quantities34[[#This Row],[House Code]]&lt;&gt;"",INDEX(tbl_Assessment[],MATCH(tbl_Actual_costs_quantities34[[#This Row],[House Code]],tbl_Assessment[House Code],0),9),"")</f>
        <v/>
      </c>
      <c r="H126" s="41"/>
      <c r="I126" s="41"/>
      <c r="J126" s="41"/>
      <c r="K126" s="116"/>
      <c r="L126" s="117" t="str">
        <f>IF(tbl_Actual_costs_quantities34[[#This Row],[House Code]]&lt;&gt;"",tbl_Actual_costs_quantities34[[#This Row],[Total cost]]/INDEX(tbl_estimated_costs_quantities[],MATCH(tbl_Actual_costs_quantities34[[#This Row],[House Code]],tbl_estimated_costs_quantities[House Code],0),7),"")</f>
        <v/>
      </c>
      <c r="M12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6" s="75"/>
      <c r="O126" s="37"/>
      <c r="P126" s="86">
        <f>tbl_Actual_costs_quantities34[[#This Row],[Site Preparation]]*BOQs!$L$3</f>
        <v>0</v>
      </c>
      <c r="Q126" s="76"/>
      <c r="R126" s="37"/>
      <c r="S126" s="86">
        <f>tbl_Actual_costs_quantities34[[#This Row],[Demolition Removal Unsafe Structures]]*BOQs!$L$4</f>
        <v>0</v>
      </c>
      <c r="T126" s="76"/>
      <c r="U126" s="37"/>
      <c r="V126" s="86">
        <f>tbl_Actual_costs_quantities34[[#This Row],[Concrete Works]]*BOQs!$L$5</f>
        <v>0</v>
      </c>
      <c r="W126" s="76"/>
      <c r="X126" s="37"/>
      <c r="Y126" s="86">
        <f>tbl_Actual_costs_quantities34[[#This Row],[Closure External Openings Walls Windows]]*BOQs!$L$6</f>
        <v>0</v>
      </c>
      <c r="Z126" s="76"/>
      <c r="AA126" s="37"/>
      <c r="AB126" s="86">
        <f>tbl_Actual_costs_quantities34[[#This Row],[Plastering Painting]]*BOQs!$L$7</f>
        <v>0</v>
      </c>
      <c r="AC126" s="76"/>
      <c r="AD126" s="37"/>
      <c r="AE126" s="86">
        <f>tbl_Actual_costs_quantities34[[#This Row],[Floor Repairs]]*BOQs!$L$8</f>
        <v>0</v>
      </c>
      <c r="AF126" s="76"/>
      <c r="AG126" s="37"/>
      <c r="AH126" s="86">
        <f>tbl_Actual_costs_quantities34[[#This Row],[Doors Replacement Repair]]*BOQs!$L$9</f>
        <v>0</v>
      </c>
      <c r="AI126" s="76"/>
      <c r="AJ126" s="37"/>
      <c r="AK126" s="86">
        <f>tbl_Actual_costs_quantities34[[#This Row],[Windows Replacement Repair]]*BOQs!$L$10</f>
        <v>0</v>
      </c>
      <c r="AL126" s="76"/>
      <c r="AM126" s="37"/>
      <c r="AN126" s="86">
        <f>tbl_Actual_costs_quantities34[[#This Row],[Bathroom Rehabilitation]]*BOQs!$L$11</f>
        <v>0</v>
      </c>
      <c r="AO126" s="76"/>
      <c r="AP126" s="37"/>
      <c r="AQ126" s="86">
        <f>tbl_Actual_costs_quantities34[[#This Row],[Ceramic Tile Works WASH]]*BOQs!$L$12</f>
        <v>0</v>
      </c>
      <c r="AR126" s="76"/>
      <c r="AS126" s="37"/>
      <c r="AT126" s="86">
        <f>tbl_Actual_costs_quantities34[[#This Row],[Electrical Repairs Lighting]]*BOQs!$L$13</f>
        <v>0</v>
      </c>
      <c r="AU126" s="76"/>
      <c r="AV126" s="37"/>
      <c r="AW126" s="86">
        <f>tbl_Actual_costs_quantities34[[#This Row],[Roof Insulation Leak Sealing]]*BOQs!$L$14</f>
        <v>0</v>
      </c>
      <c r="AX126" s="76"/>
      <c r="AY126" s="37"/>
      <c r="AZ126" s="86">
        <f>tbl_Actual_costs_quantities34[[#This Row],[Chimney Duct Cleaning Repair]]*BOQs!$L$15</f>
        <v>0</v>
      </c>
      <c r="BA126" s="76"/>
      <c r="BB126" s="37"/>
      <c r="BC126" s="89">
        <f>tbl_Actual_costs_quantities34[[#This Row],[Accessibility Adaptations]]*BOQs!$L$16</f>
        <v>0</v>
      </c>
      <c r="BD126" s="41"/>
      <c r="BE126" s="37"/>
      <c r="BF126" s="37"/>
    </row>
    <row r="127" spans="2:58" ht="25.15" customHeight="1" x14ac:dyDescent="0.25">
      <c r="B127" s="49">
        <v>123</v>
      </c>
      <c r="C127" s="37"/>
      <c r="D127" s="41"/>
      <c r="E127" s="40"/>
      <c r="F127" s="87" t="str">
        <f>IF(tbl_Actual_costs_quantities34[[#This Row],[House Code]]&lt;&gt;"",INDEX(tbl_Assessment[],MATCH(tbl_Actual_costs_quantities34[[#This Row],[House Code]],tbl_Assessment[House Code],0),3),"")</f>
        <v/>
      </c>
      <c r="G127" s="116" t="str">
        <f>IF(tbl_Actual_costs_quantities34[[#This Row],[House Code]]&lt;&gt;"",INDEX(tbl_Assessment[],MATCH(tbl_Actual_costs_quantities34[[#This Row],[House Code]],tbl_Assessment[House Code],0),9),"")</f>
        <v/>
      </c>
      <c r="H127" s="41"/>
      <c r="I127" s="41"/>
      <c r="J127" s="41"/>
      <c r="K127" s="116"/>
      <c r="L127" s="117" t="str">
        <f>IF(tbl_Actual_costs_quantities34[[#This Row],[House Code]]&lt;&gt;"",tbl_Actual_costs_quantities34[[#This Row],[Total cost]]/INDEX(tbl_estimated_costs_quantities[],MATCH(tbl_Actual_costs_quantities34[[#This Row],[House Code]],tbl_estimated_costs_quantities[House Code],0),7),"")</f>
        <v/>
      </c>
      <c r="M12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7" s="75"/>
      <c r="O127" s="37"/>
      <c r="P127" s="86">
        <f>tbl_Actual_costs_quantities34[[#This Row],[Site Preparation]]*BOQs!$L$3</f>
        <v>0</v>
      </c>
      <c r="Q127" s="76"/>
      <c r="R127" s="37"/>
      <c r="S127" s="86">
        <f>tbl_Actual_costs_quantities34[[#This Row],[Demolition Removal Unsafe Structures]]*BOQs!$L$4</f>
        <v>0</v>
      </c>
      <c r="T127" s="76"/>
      <c r="U127" s="37"/>
      <c r="V127" s="86">
        <f>tbl_Actual_costs_quantities34[[#This Row],[Concrete Works]]*BOQs!$L$5</f>
        <v>0</v>
      </c>
      <c r="W127" s="76"/>
      <c r="X127" s="37"/>
      <c r="Y127" s="86">
        <f>tbl_Actual_costs_quantities34[[#This Row],[Closure External Openings Walls Windows]]*BOQs!$L$6</f>
        <v>0</v>
      </c>
      <c r="Z127" s="76"/>
      <c r="AA127" s="37"/>
      <c r="AB127" s="86">
        <f>tbl_Actual_costs_quantities34[[#This Row],[Plastering Painting]]*BOQs!$L$7</f>
        <v>0</v>
      </c>
      <c r="AC127" s="76"/>
      <c r="AD127" s="37"/>
      <c r="AE127" s="86">
        <f>tbl_Actual_costs_quantities34[[#This Row],[Floor Repairs]]*BOQs!$L$8</f>
        <v>0</v>
      </c>
      <c r="AF127" s="76"/>
      <c r="AG127" s="37"/>
      <c r="AH127" s="86">
        <f>tbl_Actual_costs_quantities34[[#This Row],[Doors Replacement Repair]]*BOQs!$L$9</f>
        <v>0</v>
      </c>
      <c r="AI127" s="76"/>
      <c r="AJ127" s="37"/>
      <c r="AK127" s="86">
        <f>tbl_Actual_costs_quantities34[[#This Row],[Windows Replacement Repair]]*BOQs!$L$10</f>
        <v>0</v>
      </c>
      <c r="AL127" s="76"/>
      <c r="AM127" s="37"/>
      <c r="AN127" s="86">
        <f>tbl_Actual_costs_quantities34[[#This Row],[Bathroom Rehabilitation]]*BOQs!$L$11</f>
        <v>0</v>
      </c>
      <c r="AO127" s="76"/>
      <c r="AP127" s="37"/>
      <c r="AQ127" s="86">
        <f>tbl_Actual_costs_quantities34[[#This Row],[Ceramic Tile Works WASH]]*BOQs!$L$12</f>
        <v>0</v>
      </c>
      <c r="AR127" s="76"/>
      <c r="AS127" s="37"/>
      <c r="AT127" s="86">
        <f>tbl_Actual_costs_quantities34[[#This Row],[Electrical Repairs Lighting]]*BOQs!$L$13</f>
        <v>0</v>
      </c>
      <c r="AU127" s="76"/>
      <c r="AV127" s="37"/>
      <c r="AW127" s="86">
        <f>tbl_Actual_costs_quantities34[[#This Row],[Roof Insulation Leak Sealing]]*BOQs!$L$14</f>
        <v>0</v>
      </c>
      <c r="AX127" s="76"/>
      <c r="AY127" s="37"/>
      <c r="AZ127" s="86">
        <f>tbl_Actual_costs_quantities34[[#This Row],[Chimney Duct Cleaning Repair]]*BOQs!$L$15</f>
        <v>0</v>
      </c>
      <c r="BA127" s="76"/>
      <c r="BB127" s="37"/>
      <c r="BC127" s="89">
        <f>tbl_Actual_costs_quantities34[[#This Row],[Accessibility Adaptations]]*BOQs!$L$16</f>
        <v>0</v>
      </c>
      <c r="BD127" s="41"/>
      <c r="BE127" s="37"/>
      <c r="BF127" s="37"/>
    </row>
    <row r="128" spans="2:58" ht="25.15" customHeight="1" x14ac:dyDescent="0.25">
      <c r="B128" s="49">
        <v>124</v>
      </c>
      <c r="C128" s="37"/>
      <c r="D128" s="41"/>
      <c r="E128" s="40"/>
      <c r="F128" s="87" t="str">
        <f>IF(tbl_Actual_costs_quantities34[[#This Row],[House Code]]&lt;&gt;"",INDEX(tbl_Assessment[],MATCH(tbl_Actual_costs_quantities34[[#This Row],[House Code]],tbl_Assessment[House Code],0),3),"")</f>
        <v/>
      </c>
      <c r="G128" s="116" t="str">
        <f>IF(tbl_Actual_costs_quantities34[[#This Row],[House Code]]&lt;&gt;"",INDEX(tbl_Assessment[],MATCH(tbl_Actual_costs_quantities34[[#This Row],[House Code]],tbl_Assessment[House Code],0),9),"")</f>
        <v/>
      </c>
      <c r="H128" s="41"/>
      <c r="I128" s="41"/>
      <c r="J128" s="41"/>
      <c r="K128" s="116"/>
      <c r="L128" s="117" t="str">
        <f>IF(tbl_Actual_costs_quantities34[[#This Row],[House Code]]&lt;&gt;"",tbl_Actual_costs_quantities34[[#This Row],[Total cost]]/INDEX(tbl_estimated_costs_quantities[],MATCH(tbl_Actual_costs_quantities34[[#This Row],[House Code]],tbl_estimated_costs_quantities[House Code],0),7),"")</f>
        <v/>
      </c>
      <c r="M12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8" s="75"/>
      <c r="O128" s="37"/>
      <c r="P128" s="86">
        <f>tbl_Actual_costs_quantities34[[#This Row],[Site Preparation]]*BOQs!$L$3</f>
        <v>0</v>
      </c>
      <c r="Q128" s="76"/>
      <c r="R128" s="37"/>
      <c r="S128" s="86">
        <f>tbl_Actual_costs_quantities34[[#This Row],[Demolition Removal Unsafe Structures]]*BOQs!$L$4</f>
        <v>0</v>
      </c>
      <c r="T128" s="76"/>
      <c r="U128" s="37"/>
      <c r="V128" s="86">
        <f>tbl_Actual_costs_quantities34[[#This Row],[Concrete Works]]*BOQs!$L$5</f>
        <v>0</v>
      </c>
      <c r="W128" s="76"/>
      <c r="X128" s="37"/>
      <c r="Y128" s="86">
        <f>tbl_Actual_costs_quantities34[[#This Row],[Closure External Openings Walls Windows]]*BOQs!$L$6</f>
        <v>0</v>
      </c>
      <c r="Z128" s="76"/>
      <c r="AA128" s="37"/>
      <c r="AB128" s="86">
        <f>tbl_Actual_costs_quantities34[[#This Row],[Plastering Painting]]*BOQs!$L$7</f>
        <v>0</v>
      </c>
      <c r="AC128" s="76"/>
      <c r="AD128" s="37"/>
      <c r="AE128" s="86">
        <f>tbl_Actual_costs_quantities34[[#This Row],[Floor Repairs]]*BOQs!$L$8</f>
        <v>0</v>
      </c>
      <c r="AF128" s="76"/>
      <c r="AG128" s="37"/>
      <c r="AH128" s="86">
        <f>tbl_Actual_costs_quantities34[[#This Row],[Doors Replacement Repair]]*BOQs!$L$9</f>
        <v>0</v>
      </c>
      <c r="AI128" s="76"/>
      <c r="AJ128" s="37"/>
      <c r="AK128" s="86">
        <f>tbl_Actual_costs_quantities34[[#This Row],[Windows Replacement Repair]]*BOQs!$L$10</f>
        <v>0</v>
      </c>
      <c r="AL128" s="76"/>
      <c r="AM128" s="37"/>
      <c r="AN128" s="86">
        <f>tbl_Actual_costs_quantities34[[#This Row],[Bathroom Rehabilitation]]*BOQs!$L$11</f>
        <v>0</v>
      </c>
      <c r="AO128" s="76"/>
      <c r="AP128" s="37"/>
      <c r="AQ128" s="86">
        <f>tbl_Actual_costs_quantities34[[#This Row],[Ceramic Tile Works WASH]]*BOQs!$L$12</f>
        <v>0</v>
      </c>
      <c r="AR128" s="76"/>
      <c r="AS128" s="37"/>
      <c r="AT128" s="86">
        <f>tbl_Actual_costs_quantities34[[#This Row],[Electrical Repairs Lighting]]*BOQs!$L$13</f>
        <v>0</v>
      </c>
      <c r="AU128" s="76"/>
      <c r="AV128" s="37"/>
      <c r="AW128" s="86">
        <f>tbl_Actual_costs_quantities34[[#This Row],[Roof Insulation Leak Sealing]]*BOQs!$L$14</f>
        <v>0</v>
      </c>
      <c r="AX128" s="76"/>
      <c r="AY128" s="37"/>
      <c r="AZ128" s="86">
        <f>tbl_Actual_costs_quantities34[[#This Row],[Chimney Duct Cleaning Repair]]*BOQs!$L$15</f>
        <v>0</v>
      </c>
      <c r="BA128" s="76"/>
      <c r="BB128" s="37"/>
      <c r="BC128" s="89">
        <f>tbl_Actual_costs_quantities34[[#This Row],[Accessibility Adaptations]]*BOQs!$L$16</f>
        <v>0</v>
      </c>
      <c r="BD128" s="41"/>
      <c r="BE128" s="37"/>
      <c r="BF128" s="37"/>
    </row>
    <row r="129" spans="2:58" ht="25.15" customHeight="1" x14ac:dyDescent="0.25">
      <c r="B129" s="49">
        <v>125</v>
      </c>
      <c r="C129" s="37"/>
      <c r="D129" s="41"/>
      <c r="E129" s="40"/>
      <c r="F129" s="87" t="str">
        <f>IF(tbl_Actual_costs_quantities34[[#This Row],[House Code]]&lt;&gt;"",INDEX(tbl_Assessment[],MATCH(tbl_Actual_costs_quantities34[[#This Row],[House Code]],tbl_Assessment[House Code],0),3),"")</f>
        <v/>
      </c>
      <c r="G129" s="116" t="str">
        <f>IF(tbl_Actual_costs_quantities34[[#This Row],[House Code]]&lt;&gt;"",INDEX(tbl_Assessment[],MATCH(tbl_Actual_costs_quantities34[[#This Row],[House Code]],tbl_Assessment[House Code],0),9),"")</f>
        <v/>
      </c>
      <c r="H129" s="41"/>
      <c r="I129" s="41"/>
      <c r="J129" s="41"/>
      <c r="K129" s="116"/>
      <c r="L129" s="117" t="str">
        <f>IF(tbl_Actual_costs_quantities34[[#This Row],[House Code]]&lt;&gt;"",tbl_Actual_costs_quantities34[[#This Row],[Total cost]]/INDEX(tbl_estimated_costs_quantities[],MATCH(tbl_Actual_costs_quantities34[[#This Row],[House Code]],tbl_estimated_costs_quantities[House Code],0),7),"")</f>
        <v/>
      </c>
      <c r="M12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29" s="75"/>
      <c r="O129" s="37"/>
      <c r="P129" s="86">
        <f>tbl_Actual_costs_quantities34[[#This Row],[Site Preparation]]*BOQs!$L$3</f>
        <v>0</v>
      </c>
      <c r="Q129" s="76"/>
      <c r="R129" s="37"/>
      <c r="S129" s="86">
        <f>tbl_Actual_costs_quantities34[[#This Row],[Demolition Removal Unsafe Structures]]*BOQs!$L$4</f>
        <v>0</v>
      </c>
      <c r="T129" s="76"/>
      <c r="U129" s="37"/>
      <c r="V129" s="86">
        <f>tbl_Actual_costs_quantities34[[#This Row],[Concrete Works]]*BOQs!$L$5</f>
        <v>0</v>
      </c>
      <c r="W129" s="76"/>
      <c r="X129" s="37"/>
      <c r="Y129" s="86">
        <f>tbl_Actual_costs_quantities34[[#This Row],[Closure External Openings Walls Windows]]*BOQs!$L$6</f>
        <v>0</v>
      </c>
      <c r="Z129" s="76"/>
      <c r="AA129" s="37"/>
      <c r="AB129" s="86">
        <f>tbl_Actual_costs_quantities34[[#This Row],[Plastering Painting]]*BOQs!$L$7</f>
        <v>0</v>
      </c>
      <c r="AC129" s="76"/>
      <c r="AD129" s="37"/>
      <c r="AE129" s="86">
        <f>tbl_Actual_costs_quantities34[[#This Row],[Floor Repairs]]*BOQs!$L$8</f>
        <v>0</v>
      </c>
      <c r="AF129" s="76"/>
      <c r="AG129" s="37"/>
      <c r="AH129" s="86">
        <f>tbl_Actual_costs_quantities34[[#This Row],[Doors Replacement Repair]]*BOQs!$L$9</f>
        <v>0</v>
      </c>
      <c r="AI129" s="76"/>
      <c r="AJ129" s="37"/>
      <c r="AK129" s="86">
        <f>tbl_Actual_costs_quantities34[[#This Row],[Windows Replacement Repair]]*BOQs!$L$10</f>
        <v>0</v>
      </c>
      <c r="AL129" s="76"/>
      <c r="AM129" s="37"/>
      <c r="AN129" s="86">
        <f>tbl_Actual_costs_quantities34[[#This Row],[Bathroom Rehabilitation]]*BOQs!$L$11</f>
        <v>0</v>
      </c>
      <c r="AO129" s="76"/>
      <c r="AP129" s="37"/>
      <c r="AQ129" s="86">
        <f>tbl_Actual_costs_quantities34[[#This Row],[Ceramic Tile Works WASH]]*BOQs!$L$12</f>
        <v>0</v>
      </c>
      <c r="AR129" s="76"/>
      <c r="AS129" s="37"/>
      <c r="AT129" s="86">
        <f>tbl_Actual_costs_quantities34[[#This Row],[Electrical Repairs Lighting]]*BOQs!$L$13</f>
        <v>0</v>
      </c>
      <c r="AU129" s="76"/>
      <c r="AV129" s="37"/>
      <c r="AW129" s="86">
        <f>tbl_Actual_costs_quantities34[[#This Row],[Roof Insulation Leak Sealing]]*BOQs!$L$14</f>
        <v>0</v>
      </c>
      <c r="AX129" s="76"/>
      <c r="AY129" s="37"/>
      <c r="AZ129" s="86">
        <f>tbl_Actual_costs_quantities34[[#This Row],[Chimney Duct Cleaning Repair]]*BOQs!$L$15</f>
        <v>0</v>
      </c>
      <c r="BA129" s="76"/>
      <c r="BB129" s="37"/>
      <c r="BC129" s="89">
        <f>tbl_Actual_costs_quantities34[[#This Row],[Accessibility Adaptations]]*BOQs!$L$16</f>
        <v>0</v>
      </c>
      <c r="BD129" s="41"/>
      <c r="BE129" s="37"/>
      <c r="BF129" s="37"/>
    </row>
    <row r="130" spans="2:58" ht="25.15" customHeight="1" x14ac:dyDescent="0.25">
      <c r="B130" s="49">
        <v>126</v>
      </c>
      <c r="C130" s="37"/>
      <c r="D130" s="41"/>
      <c r="E130" s="40"/>
      <c r="F130" s="87" t="str">
        <f>IF(tbl_Actual_costs_quantities34[[#This Row],[House Code]]&lt;&gt;"",INDEX(tbl_Assessment[],MATCH(tbl_Actual_costs_quantities34[[#This Row],[House Code]],tbl_Assessment[House Code],0),3),"")</f>
        <v/>
      </c>
      <c r="G130" s="116" t="str">
        <f>IF(tbl_Actual_costs_quantities34[[#This Row],[House Code]]&lt;&gt;"",INDEX(tbl_Assessment[],MATCH(tbl_Actual_costs_quantities34[[#This Row],[House Code]],tbl_Assessment[House Code],0),9),"")</f>
        <v/>
      </c>
      <c r="H130" s="41"/>
      <c r="I130" s="41"/>
      <c r="J130" s="41"/>
      <c r="K130" s="116"/>
      <c r="L130" s="117" t="str">
        <f>IF(tbl_Actual_costs_quantities34[[#This Row],[House Code]]&lt;&gt;"",tbl_Actual_costs_quantities34[[#This Row],[Total cost]]/INDEX(tbl_estimated_costs_quantities[],MATCH(tbl_Actual_costs_quantities34[[#This Row],[House Code]],tbl_estimated_costs_quantities[House Code],0),7),"")</f>
        <v/>
      </c>
      <c r="M13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0" s="75"/>
      <c r="O130" s="37"/>
      <c r="P130" s="86">
        <f>tbl_Actual_costs_quantities34[[#This Row],[Site Preparation]]*BOQs!$L$3</f>
        <v>0</v>
      </c>
      <c r="Q130" s="76"/>
      <c r="R130" s="37"/>
      <c r="S130" s="86">
        <f>tbl_Actual_costs_quantities34[[#This Row],[Demolition Removal Unsafe Structures]]*BOQs!$L$4</f>
        <v>0</v>
      </c>
      <c r="T130" s="76"/>
      <c r="U130" s="37"/>
      <c r="V130" s="86">
        <f>tbl_Actual_costs_quantities34[[#This Row],[Concrete Works]]*BOQs!$L$5</f>
        <v>0</v>
      </c>
      <c r="W130" s="76"/>
      <c r="X130" s="37"/>
      <c r="Y130" s="86">
        <f>tbl_Actual_costs_quantities34[[#This Row],[Closure External Openings Walls Windows]]*BOQs!$L$6</f>
        <v>0</v>
      </c>
      <c r="Z130" s="76"/>
      <c r="AA130" s="37"/>
      <c r="AB130" s="86">
        <f>tbl_Actual_costs_quantities34[[#This Row],[Plastering Painting]]*BOQs!$L$7</f>
        <v>0</v>
      </c>
      <c r="AC130" s="76"/>
      <c r="AD130" s="37"/>
      <c r="AE130" s="86">
        <f>tbl_Actual_costs_quantities34[[#This Row],[Floor Repairs]]*BOQs!$L$8</f>
        <v>0</v>
      </c>
      <c r="AF130" s="76"/>
      <c r="AG130" s="37"/>
      <c r="AH130" s="86">
        <f>tbl_Actual_costs_quantities34[[#This Row],[Doors Replacement Repair]]*BOQs!$L$9</f>
        <v>0</v>
      </c>
      <c r="AI130" s="76"/>
      <c r="AJ130" s="37"/>
      <c r="AK130" s="86">
        <f>tbl_Actual_costs_quantities34[[#This Row],[Windows Replacement Repair]]*BOQs!$L$10</f>
        <v>0</v>
      </c>
      <c r="AL130" s="76"/>
      <c r="AM130" s="37"/>
      <c r="AN130" s="86">
        <f>tbl_Actual_costs_quantities34[[#This Row],[Bathroom Rehabilitation]]*BOQs!$L$11</f>
        <v>0</v>
      </c>
      <c r="AO130" s="76"/>
      <c r="AP130" s="37"/>
      <c r="AQ130" s="86">
        <f>tbl_Actual_costs_quantities34[[#This Row],[Ceramic Tile Works WASH]]*BOQs!$L$12</f>
        <v>0</v>
      </c>
      <c r="AR130" s="76"/>
      <c r="AS130" s="37"/>
      <c r="AT130" s="86">
        <f>tbl_Actual_costs_quantities34[[#This Row],[Electrical Repairs Lighting]]*BOQs!$L$13</f>
        <v>0</v>
      </c>
      <c r="AU130" s="76"/>
      <c r="AV130" s="37"/>
      <c r="AW130" s="86">
        <f>tbl_Actual_costs_quantities34[[#This Row],[Roof Insulation Leak Sealing]]*BOQs!$L$14</f>
        <v>0</v>
      </c>
      <c r="AX130" s="76"/>
      <c r="AY130" s="37"/>
      <c r="AZ130" s="86">
        <f>tbl_Actual_costs_quantities34[[#This Row],[Chimney Duct Cleaning Repair]]*BOQs!$L$15</f>
        <v>0</v>
      </c>
      <c r="BA130" s="76"/>
      <c r="BB130" s="37"/>
      <c r="BC130" s="89">
        <f>tbl_Actual_costs_quantities34[[#This Row],[Accessibility Adaptations]]*BOQs!$L$16</f>
        <v>0</v>
      </c>
      <c r="BD130" s="41"/>
      <c r="BE130" s="37"/>
      <c r="BF130" s="37"/>
    </row>
    <row r="131" spans="2:58" ht="25.15" customHeight="1" x14ac:dyDescent="0.25">
      <c r="B131" s="49">
        <v>127</v>
      </c>
      <c r="C131" s="37"/>
      <c r="D131" s="41"/>
      <c r="E131" s="40"/>
      <c r="F131" s="87" t="str">
        <f>IF(tbl_Actual_costs_quantities34[[#This Row],[House Code]]&lt;&gt;"",INDEX(tbl_Assessment[],MATCH(tbl_Actual_costs_quantities34[[#This Row],[House Code]],tbl_Assessment[House Code],0),3),"")</f>
        <v/>
      </c>
      <c r="G131" s="116" t="str">
        <f>IF(tbl_Actual_costs_quantities34[[#This Row],[House Code]]&lt;&gt;"",INDEX(tbl_Assessment[],MATCH(tbl_Actual_costs_quantities34[[#This Row],[House Code]],tbl_Assessment[House Code],0),9),"")</f>
        <v/>
      </c>
      <c r="H131" s="41"/>
      <c r="I131" s="41"/>
      <c r="J131" s="41"/>
      <c r="K131" s="116"/>
      <c r="L131" s="117" t="str">
        <f>IF(tbl_Actual_costs_quantities34[[#This Row],[House Code]]&lt;&gt;"",tbl_Actual_costs_quantities34[[#This Row],[Total cost]]/INDEX(tbl_estimated_costs_quantities[],MATCH(tbl_Actual_costs_quantities34[[#This Row],[House Code]],tbl_estimated_costs_quantities[House Code],0),7),"")</f>
        <v/>
      </c>
      <c r="M13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1" s="75"/>
      <c r="O131" s="37"/>
      <c r="P131" s="86">
        <f>tbl_Actual_costs_quantities34[[#This Row],[Site Preparation]]*BOQs!$L$3</f>
        <v>0</v>
      </c>
      <c r="Q131" s="76"/>
      <c r="R131" s="37"/>
      <c r="S131" s="86">
        <f>tbl_Actual_costs_quantities34[[#This Row],[Demolition Removal Unsafe Structures]]*BOQs!$L$4</f>
        <v>0</v>
      </c>
      <c r="T131" s="76"/>
      <c r="U131" s="37"/>
      <c r="V131" s="86">
        <f>tbl_Actual_costs_quantities34[[#This Row],[Concrete Works]]*BOQs!$L$5</f>
        <v>0</v>
      </c>
      <c r="W131" s="76"/>
      <c r="X131" s="37"/>
      <c r="Y131" s="86">
        <f>tbl_Actual_costs_quantities34[[#This Row],[Closure External Openings Walls Windows]]*BOQs!$L$6</f>
        <v>0</v>
      </c>
      <c r="Z131" s="76"/>
      <c r="AA131" s="37"/>
      <c r="AB131" s="86">
        <f>tbl_Actual_costs_quantities34[[#This Row],[Plastering Painting]]*BOQs!$L$7</f>
        <v>0</v>
      </c>
      <c r="AC131" s="76"/>
      <c r="AD131" s="37"/>
      <c r="AE131" s="86">
        <f>tbl_Actual_costs_quantities34[[#This Row],[Floor Repairs]]*BOQs!$L$8</f>
        <v>0</v>
      </c>
      <c r="AF131" s="76"/>
      <c r="AG131" s="37"/>
      <c r="AH131" s="86">
        <f>tbl_Actual_costs_quantities34[[#This Row],[Doors Replacement Repair]]*BOQs!$L$9</f>
        <v>0</v>
      </c>
      <c r="AI131" s="76"/>
      <c r="AJ131" s="37"/>
      <c r="AK131" s="86">
        <f>tbl_Actual_costs_quantities34[[#This Row],[Windows Replacement Repair]]*BOQs!$L$10</f>
        <v>0</v>
      </c>
      <c r="AL131" s="76"/>
      <c r="AM131" s="37"/>
      <c r="AN131" s="86">
        <f>tbl_Actual_costs_quantities34[[#This Row],[Bathroom Rehabilitation]]*BOQs!$L$11</f>
        <v>0</v>
      </c>
      <c r="AO131" s="76"/>
      <c r="AP131" s="37"/>
      <c r="AQ131" s="86">
        <f>tbl_Actual_costs_quantities34[[#This Row],[Ceramic Tile Works WASH]]*BOQs!$L$12</f>
        <v>0</v>
      </c>
      <c r="AR131" s="76"/>
      <c r="AS131" s="37"/>
      <c r="AT131" s="86">
        <f>tbl_Actual_costs_quantities34[[#This Row],[Electrical Repairs Lighting]]*BOQs!$L$13</f>
        <v>0</v>
      </c>
      <c r="AU131" s="76"/>
      <c r="AV131" s="37"/>
      <c r="AW131" s="86">
        <f>tbl_Actual_costs_quantities34[[#This Row],[Roof Insulation Leak Sealing]]*BOQs!$L$14</f>
        <v>0</v>
      </c>
      <c r="AX131" s="76"/>
      <c r="AY131" s="37"/>
      <c r="AZ131" s="86">
        <f>tbl_Actual_costs_quantities34[[#This Row],[Chimney Duct Cleaning Repair]]*BOQs!$L$15</f>
        <v>0</v>
      </c>
      <c r="BA131" s="76"/>
      <c r="BB131" s="37"/>
      <c r="BC131" s="89">
        <f>tbl_Actual_costs_quantities34[[#This Row],[Accessibility Adaptations]]*BOQs!$L$16</f>
        <v>0</v>
      </c>
      <c r="BD131" s="41"/>
      <c r="BE131" s="37"/>
      <c r="BF131" s="37"/>
    </row>
    <row r="132" spans="2:58" ht="25.15" customHeight="1" x14ac:dyDescent="0.25">
      <c r="B132" s="49">
        <v>128</v>
      </c>
      <c r="C132" s="37"/>
      <c r="D132" s="41"/>
      <c r="E132" s="40"/>
      <c r="F132" s="87" t="str">
        <f>IF(tbl_Actual_costs_quantities34[[#This Row],[House Code]]&lt;&gt;"",INDEX(tbl_Assessment[],MATCH(tbl_Actual_costs_quantities34[[#This Row],[House Code]],tbl_Assessment[House Code],0),3),"")</f>
        <v/>
      </c>
      <c r="G132" s="116" t="str">
        <f>IF(tbl_Actual_costs_quantities34[[#This Row],[House Code]]&lt;&gt;"",INDEX(tbl_Assessment[],MATCH(tbl_Actual_costs_quantities34[[#This Row],[House Code]],tbl_Assessment[House Code],0),9),"")</f>
        <v/>
      </c>
      <c r="H132" s="41"/>
      <c r="I132" s="41"/>
      <c r="J132" s="41"/>
      <c r="K132" s="116"/>
      <c r="L132" s="117" t="str">
        <f>IF(tbl_Actual_costs_quantities34[[#This Row],[House Code]]&lt;&gt;"",tbl_Actual_costs_quantities34[[#This Row],[Total cost]]/INDEX(tbl_estimated_costs_quantities[],MATCH(tbl_Actual_costs_quantities34[[#This Row],[House Code]],tbl_estimated_costs_quantities[House Code],0),7),"")</f>
        <v/>
      </c>
      <c r="M13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2" s="75"/>
      <c r="O132" s="37"/>
      <c r="P132" s="86">
        <f>tbl_Actual_costs_quantities34[[#This Row],[Site Preparation]]*BOQs!$L$3</f>
        <v>0</v>
      </c>
      <c r="Q132" s="76"/>
      <c r="R132" s="37"/>
      <c r="S132" s="86">
        <f>tbl_Actual_costs_quantities34[[#This Row],[Demolition Removal Unsafe Structures]]*BOQs!$L$4</f>
        <v>0</v>
      </c>
      <c r="T132" s="76"/>
      <c r="U132" s="37"/>
      <c r="V132" s="86">
        <f>tbl_Actual_costs_quantities34[[#This Row],[Concrete Works]]*BOQs!$L$5</f>
        <v>0</v>
      </c>
      <c r="W132" s="76"/>
      <c r="X132" s="37"/>
      <c r="Y132" s="86">
        <f>tbl_Actual_costs_quantities34[[#This Row],[Closure External Openings Walls Windows]]*BOQs!$L$6</f>
        <v>0</v>
      </c>
      <c r="Z132" s="76"/>
      <c r="AA132" s="37"/>
      <c r="AB132" s="86">
        <f>tbl_Actual_costs_quantities34[[#This Row],[Plastering Painting]]*BOQs!$L$7</f>
        <v>0</v>
      </c>
      <c r="AC132" s="76"/>
      <c r="AD132" s="37"/>
      <c r="AE132" s="86">
        <f>tbl_Actual_costs_quantities34[[#This Row],[Floor Repairs]]*BOQs!$L$8</f>
        <v>0</v>
      </c>
      <c r="AF132" s="76"/>
      <c r="AG132" s="37"/>
      <c r="AH132" s="86">
        <f>tbl_Actual_costs_quantities34[[#This Row],[Doors Replacement Repair]]*BOQs!$L$9</f>
        <v>0</v>
      </c>
      <c r="AI132" s="76"/>
      <c r="AJ132" s="37"/>
      <c r="AK132" s="86">
        <f>tbl_Actual_costs_quantities34[[#This Row],[Windows Replacement Repair]]*BOQs!$L$10</f>
        <v>0</v>
      </c>
      <c r="AL132" s="76"/>
      <c r="AM132" s="37"/>
      <c r="AN132" s="86">
        <f>tbl_Actual_costs_quantities34[[#This Row],[Bathroom Rehabilitation]]*BOQs!$L$11</f>
        <v>0</v>
      </c>
      <c r="AO132" s="76"/>
      <c r="AP132" s="37"/>
      <c r="AQ132" s="86">
        <f>tbl_Actual_costs_quantities34[[#This Row],[Ceramic Tile Works WASH]]*BOQs!$L$12</f>
        <v>0</v>
      </c>
      <c r="AR132" s="76"/>
      <c r="AS132" s="37"/>
      <c r="AT132" s="86">
        <f>tbl_Actual_costs_quantities34[[#This Row],[Electrical Repairs Lighting]]*BOQs!$L$13</f>
        <v>0</v>
      </c>
      <c r="AU132" s="76"/>
      <c r="AV132" s="37"/>
      <c r="AW132" s="86">
        <f>tbl_Actual_costs_quantities34[[#This Row],[Roof Insulation Leak Sealing]]*BOQs!$L$14</f>
        <v>0</v>
      </c>
      <c r="AX132" s="76"/>
      <c r="AY132" s="37"/>
      <c r="AZ132" s="86">
        <f>tbl_Actual_costs_quantities34[[#This Row],[Chimney Duct Cleaning Repair]]*BOQs!$L$15</f>
        <v>0</v>
      </c>
      <c r="BA132" s="76"/>
      <c r="BB132" s="37"/>
      <c r="BC132" s="89">
        <f>tbl_Actual_costs_quantities34[[#This Row],[Accessibility Adaptations]]*BOQs!$L$16</f>
        <v>0</v>
      </c>
      <c r="BD132" s="41"/>
      <c r="BE132" s="37"/>
      <c r="BF132" s="37"/>
    </row>
    <row r="133" spans="2:58" ht="25.15" customHeight="1" x14ac:dyDescent="0.25">
      <c r="B133" s="49">
        <v>129</v>
      </c>
      <c r="C133" s="37"/>
      <c r="D133" s="41"/>
      <c r="E133" s="40"/>
      <c r="F133" s="87" t="str">
        <f>IF(tbl_Actual_costs_quantities34[[#This Row],[House Code]]&lt;&gt;"",INDEX(tbl_Assessment[],MATCH(tbl_Actual_costs_quantities34[[#This Row],[House Code]],tbl_Assessment[House Code],0),3),"")</f>
        <v/>
      </c>
      <c r="G133" s="116" t="str">
        <f>IF(tbl_Actual_costs_quantities34[[#This Row],[House Code]]&lt;&gt;"",INDEX(tbl_Assessment[],MATCH(tbl_Actual_costs_quantities34[[#This Row],[House Code]],tbl_Assessment[House Code],0),9),"")</f>
        <v/>
      </c>
      <c r="H133" s="41"/>
      <c r="I133" s="41"/>
      <c r="J133" s="41"/>
      <c r="K133" s="116"/>
      <c r="L133" s="117" t="str">
        <f>IF(tbl_Actual_costs_quantities34[[#This Row],[House Code]]&lt;&gt;"",tbl_Actual_costs_quantities34[[#This Row],[Total cost]]/INDEX(tbl_estimated_costs_quantities[],MATCH(tbl_Actual_costs_quantities34[[#This Row],[House Code]],tbl_estimated_costs_quantities[House Code],0),7),"")</f>
        <v/>
      </c>
      <c r="M13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3" s="75"/>
      <c r="O133" s="37"/>
      <c r="P133" s="86">
        <f>tbl_Actual_costs_quantities34[[#This Row],[Site Preparation]]*BOQs!$L$3</f>
        <v>0</v>
      </c>
      <c r="Q133" s="76"/>
      <c r="R133" s="37"/>
      <c r="S133" s="86">
        <f>tbl_Actual_costs_quantities34[[#This Row],[Demolition Removal Unsafe Structures]]*BOQs!$L$4</f>
        <v>0</v>
      </c>
      <c r="T133" s="76"/>
      <c r="U133" s="37"/>
      <c r="V133" s="86">
        <f>tbl_Actual_costs_quantities34[[#This Row],[Concrete Works]]*BOQs!$L$5</f>
        <v>0</v>
      </c>
      <c r="W133" s="76"/>
      <c r="X133" s="37"/>
      <c r="Y133" s="86">
        <f>tbl_Actual_costs_quantities34[[#This Row],[Closure External Openings Walls Windows]]*BOQs!$L$6</f>
        <v>0</v>
      </c>
      <c r="Z133" s="76"/>
      <c r="AA133" s="37"/>
      <c r="AB133" s="86">
        <f>tbl_Actual_costs_quantities34[[#This Row],[Plastering Painting]]*BOQs!$L$7</f>
        <v>0</v>
      </c>
      <c r="AC133" s="76"/>
      <c r="AD133" s="37"/>
      <c r="AE133" s="86">
        <f>tbl_Actual_costs_quantities34[[#This Row],[Floor Repairs]]*BOQs!$L$8</f>
        <v>0</v>
      </c>
      <c r="AF133" s="76"/>
      <c r="AG133" s="37"/>
      <c r="AH133" s="86">
        <f>tbl_Actual_costs_quantities34[[#This Row],[Doors Replacement Repair]]*BOQs!$L$9</f>
        <v>0</v>
      </c>
      <c r="AI133" s="76"/>
      <c r="AJ133" s="37"/>
      <c r="AK133" s="86">
        <f>tbl_Actual_costs_quantities34[[#This Row],[Windows Replacement Repair]]*BOQs!$L$10</f>
        <v>0</v>
      </c>
      <c r="AL133" s="76"/>
      <c r="AM133" s="37"/>
      <c r="AN133" s="86">
        <f>tbl_Actual_costs_quantities34[[#This Row],[Bathroom Rehabilitation]]*BOQs!$L$11</f>
        <v>0</v>
      </c>
      <c r="AO133" s="76"/>
      <c r="AP133" s="37"/>
      <c r="AQ133" s="86">
        <f>tbl_Actual_costs_quantities34[[#This Row],[Ceramic Tile Works WASH]]*BOQs!$L$12</f>
        <v>0</v>
      </c>
      <c r="AR133" s="76"/>
      <c r="AS133" s="37"/>
      <c r="AT133" s="86">
        <f>tbl_Actual_costs_quantities34[[#This Row],[Electrical Repairs Lighting]]*BOQs!$L$13</f>
        <v>0</v>
      </c>
      <c r="AU133" s="76"/>
      <c r="AV133" s="37"/>
      <c r="AW133" s="86">
        <f>tbl_Actual_costs_quantities34[[#This Row],[Roof Insulation Leak Sealing]]*BOQs!$L$14</f>
        <v>0</v>
      </c>
      <c r="AX133" s="76"/>
      <c r="AY133" s="37"/>
      <c r="AZ133" s="86">
        <f>tbl_Actual_costs_quantities34[[#This Row],[Chimney Duct Cleaning Repair]]*BOQs!$L$15</f>
        <v>0</v>
      </c>
      <c r="BA133" s="76"/>
      <c r="BB133" s="37"/>
      <c r="BC133" s="89">
        <f>tbl_Actual_costs_quantities34[[#This Row],[Accessibility Adaptations]]*BOQs!$L$16</f>
        <v>0</v>
      </c>
      <c r="BD133" s="41"/>
      <c r="BE133" s="37"/>
      <c r="BF133" s="37"/>
    </row>
    <row r="134" spans="2:58" ht="25.15" customHeight="1" x14ac:dyDescent="0.25">
      <c r="B134" s="49">
        <v>130</v>
      </c>
      <c r="C134" s="37"/>
      <c r="D134" s="41"/>
      <c r="E134" s="40"/>
      <c r="F134" s="87" t="str">
        <f>IF(tbl_Actual_costs_quantities34[[#This Row],[House Code]]&lt;&gt;"",INDEX(tbl_Assessment[],MATCH(tbl_Actual_costs_quantities34[[#This Row],[House Code]],tbl_Assessment[House Code],0),3),"")</f>
        <v/>
      </c>
      <c r="G134" s="116" t="str">
        <f>IF(tbl_Actual_costs_quantities34[[#This Row],[House Code]]&lt;&gt;"",INDEX(tbl_Assessment[],MATCH(tbl_Actual_costs_quantities34[[#This Row],[House Code]],tbl_Assessment[House Code],0),9),"")</f>
        <v/>
      </c>
      <c r="H134" s="41"/>
      <c r="I134" s="41"/>
      <c r="J134" s="41"/>
      <c r="K134" s="116"/>
      <c r="L134" s="117" t="str">
        <f>IF(tbl_Actual_costs_quantities34[[#This Row],[House Code]]&lt;&gt;"",tbl_Actual_costs_quantities34[[#This Row],[Total cost]]/INDEX(tbl_estimated_costs_quantities[],MATCH(tbl_Actual_costs_quantities34[[#This Row],[House Code]],tbl_estimated_costs_quantities[House Code],0),7),"")</f>
        <v/>
      </c>
      <c r="M13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4" s="75"/>
      <c r="O134" s="37"/>
      <c r="P134" s="86">
        <f>tbl_Actual_costs_quantities34[[#This Row],[Site Preparation]]*BOQs!$L$3</f>
        <v>0</v>
      </c>
      <c r="Q134" s="76"/>
      <c r="R134" s="37"/>
      <c r="S134" s="86">
        <f>tbl_Actual_costs_quantities34[[#This Row],[Demolition Removal Unsafe Structures]]*BOQs!$L$4</f>
        <v>0</v>
      </c>
      <c r="T134" s="76"/>
      <c r="U134" s="37"/>
      <c r="V134" s="86">
        <f>tbl_Actual_costs_quantities34[[#This Row],[Concrete Works]]*BOQs!$L$5</f>
        <v>0</v>
      </c>
      <c r="W134" s="76"/>
      <c r="X134" s="37"/>
      <c r="Y134" s="86">
        <f>tbl_Actual_costs_quantities34[[#This Row],[Closure External Openings Walls Windows]]*BOQs!$L$6</f>
        <v>0</v>
      </c>
      <c r="Z134" s="76"/>
      <c r="AA134" s="37"/>
      <c r="AB134" s="86">
        <f>tbl_Actual_costs_quantities34[[#This Row],[Plastering Painting]]*BOQs!$L$7</f>
        <v>0</v>
      </c>
      <c r="AC134" s="76"/>
      <c r="AD134" s="37"/>
      <c r="AE134" s="86">
        <f>tbl_Actual_costs_quantities34[[#This Row],[Floor Repairs]]*BOQs!$L$8</f>
        <v>0</v>
      </c>
      <c r="AF134" s="76"/>
      <c r="AG134" s="37"/>
      <c r="AH134" s="86">
        <f>tbl_Actual_costs_quantities34[[#This Row],[Doors Replacement Repair]]*BOQs!$L$9</f>
        <v>0</v>
      </c>
      <c r="AI134" s="76"/>
      <c r="AJ134" s="37"/>
      <c r="AK134" s="86">
        <f>tbl_Actual_costs_quantities34[[#This Row],[Windows Replacement Repair]]*BOQs!$L$10</f>
        <v>0</v>
      </c>
      <c r="AL134" s="76"/>
      <c r="AM134" s="37"/>
      <c r="AN134" s="86">
        <f>tbl_Actual_costs_quantities34[[#This Row],[Bathroom Rehabilitation]]*BOQs!$L$11</f>
        <v>0</v>
      </c>
      <c r="AO134" s="76"/>
      <c r="AP134" s="37"/>
      <c r="AQ134" s="86">
        <f>tbl_Actual_costs_quantities34[[#This Row],[Ceramic Tile Works WASH]]*BOQs!$L$12</f>
        <v>0</v>
      </c>
      <c r="AR134" s="76"/>
      <c r="AS134" s="37"/>
      <c r="AT134" s="86">
        <f>tbl_Actual_costs_quantities34[[#This Row],[Electrical Repairs Lighting]]*BOQs!$L$13</f>
        <v>0</v>
      </c>
      <c r="AU134" s="76"/>
      <c r="AV134" s="37"/>
      <c r="AW134" s="86">
        <f>tbl_Actual_costs_quantities34[[#This Row],[Roof Insulation Leak Sealing]]*BOQs!$L$14</f>
        <v>0</v>
      </c>
      <c r="AX134" s="76"/>
      <c r="AY134" s="37"/>
      <c r="AZ134" s="86">
        <f>tbl_Actual_costs_quantities34[[#This Row],[Chimney Duct Cleaning Repair]]*BOQs!$L$15</f>
        <v>0</v>
      </c>
      <c r="BA134" s="76"/>
      <c r="BB134" s="37"/>
      <c r="BC134" s="89">
        <f>tbl_Actual_costs_quantities34[[#This Row],[Accessibility Adaptations]]*BOQs!$L$16</f>
        <v>0</v>
      </c>
      <c r="BD134" s="41"/>
      <c r="BE134" s="37"/>
      <c r="BF134" s="37"/>
    </row>
    <row r="135" spans="2:58" ht="25.15" customHeight="1" x14ac:dyDescent="0.25">
      <c r="B135" s="49">
        <v>131</v>
      </c>
      <c r="C135" s="37"/>
      <c r="D135" s="41"/>
      <c r="E135" s="40"/>
      <c r="F135" s="87" t="str">
        <f>IF(tbl_Actual_costs_quantities34[[#This Row],[House Code]]&lt;&gt;"",INDEX(tbl_Assessment[],MATCH(tbl_Actual_costs_quantities34[[#This Row],[House Code]],tbl_Assessment[House Code],0),3),"")</f>
        <v/>
      </c>
      <c r="G135" s="116" t="str">
        <f>IF(tbl_Actual_costs_quantities34[[#This Row],[House Code]]&lt;&gt;"",INDEX(tbl_Assessment[],MATCH(tbl_Actual_costs_quantities34[[#This Row],[House Code]],tbl_Assessment[House Code],0),9),"")</f>
        <v/>
      </c>
      <c r="H135" s="41"/>
      <c r="I135" s="41"/>
      <c r="J135" s="41"/>
      <c r="K135" s="116"/>
      <c r="L135" s="117" t="str">
        <f>IF(tbl_Actual_costs_quantities34[[#This Row],[House Code]]&lt;&gt;"",tbl_Actual_costs_quantities34[[#This Row],[Total cost]]/INDEX(tbl_estimated_costs_quantities[],MATCH(tbl_Actual_costs_quantities34[[#This Row],[House Code]],tbl_estimated_costs_quantities[House Code],0),7),"")</f>
        <v/>
      </c>
      <c r="M13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5" s="75"/>
      <c r="O135" s="37"/>
      <c r="P135" s="86">
        <f>tbl_Actual_costs_quantities34[[#This Row],[Site Preparation]]*BOQs!$L$3</f>
        <v>0</v>
      </c>
      <c r="Q135" s="76"/>
      <c r="R135" s="37"/>
      <c r="S135" s="86">
        <f>tbl_Actual_costs_quantities34[[#This Row],[Demolition Removal Unsafe Structures]]*BOQs!$L$4</f>
        <v>0</v>
      </c>
      <c r="T135" s="76"/>
      <c r="U135" s="37"/>
      <c r="V135" s="86">
        <f>tbl_Actual_costs_quantities34[[#This Row],[Concrete Works]]*BOQs!$L$5</f>
        <v>0</v>
      </c>
      <c r="W135" s="76"/>
      <c r="X135" s="37"/>
      <c r="Y135" s="86">
        <f>tbl_Actual_costs_quantities34[[#This Row],[Closure External Openings Walls Windows]]*BOQs!$L$6</f>
        <v>0</v>
      </c>
      <c r="Z135" s="76"/>
      <c r="AA135" s="37"/>
      <c r="AB135" s="86">
        <f>tbl_Actual_costs_quantities34[[#This Row],[Plastering Painting]]*BOQs!$L$7</f>
        <v>0</v>
      </c>
      <c r="AC135" s="76"/>
      <c r="AD135" s="37"/>
      <c r="AE135" s="86">
        <f>tbl_Actual_costs_quantities34[[#This Row],[Floor Repairs]]*BOQs!$L$8</f>
        <v>0</v>
      </c>
      <c r="AF135" s="76"/>
      <c r="AG135" s="37"/>
      <c r="AH135" s="86">
        <f>tbl_Actual_costs_quantities34[[#This Row],[Doors Replacement Repair]]*BOQs!$L$9</f>
        <v>0</v>
      </c>
      <c r="AI135" s="76"/>
      <c r="AJ135" s="37"/>
      <c r="AK135" s="86">
        <f>tbl_Actual_costs_quantities34[[#This Row],[Windows Replacement Repair]]*BOQs!$L$10</f>
        <v>0</v>
      </c>
      <c r="AL135" s="76"/>
      <c r="AM135" s="37"/>
      <c r="AN135" s="86">
        <f>tbl_Actual_costs_quantities34[[#This Row],[Bathroom Rehabilitation]]*BOQs!$L$11</f>
        <v>0</v>
      </c>
      <c r="AO135" s="76"/>
      <c r="AP135" s="37"/>
      <c r="AQ135" s="86">
        <f>tbl_Actual_costs_quantities34[[#This Row],[Ceramic Tile Works WASH]]*BOQs!$L$12</f>
        <v>0</v>
      </c>
      <c r="AR135" s="76"/>
      <c r="AS135" s="37"/>
      <c r="AT135" s="86">
        <f>tbl_Actual_costs_quantities34[[#This Row],[Electrical Repairs Lighting]]*BOQs!$L$13</f>
        <v>0</v>
      </c>
      <c r="AU135" s="76"/>
      <c r="AV135" s="37"/>
      <c r="AW135" s="86">
        <f>tbl_Actual_costs_quantities34[[#This Row],[Roof Insulation Leak Sealing]]*BOQs!$L$14</f>
        <v>0</v>
      </c>
      <c r="AX135" s="76"/>
      <c r="AY135" s="37"/>
      <c r="AZ135" s="86">
        <f>tbl_Actual_costs_quantities34[[#This Row],[Chimney Duct Cleaning Repair]]*BOQs!$L$15</f>
        <v>0</v>
      </c>
      <c r="BA135" s="76"/>
      <c r="BB135" s="37"/>
      <c r="BC135" s="89">
        <f>tbl_Actual_costs_quantities34[[#This Row],[Accessibility Adaptations]]*BOQs!$L$16</f>
        <v>0</v>
      </c>
      <c r="BD135" s="41"/>
      <c r="BE135" s="37"/>
      <c r="BF135" s="37"/>
    </row>
    <row r="136" spans="2:58" ht="25.15" customHeight="1" x14ac:dyDescent="0.25">
      <c r="B136" s="49">
        <v>132</v>
      </c>
      <c r="C136" s="37"/>
      <c r="D136" s="41"/>
      <c r="E136" s="40"/>
      <c r="F136" s="87" t="str">
        <f>IF(tbl_Actual_costs_quantities34[[#This Row],[House Code]]&lt;&gt;"",INDEX(tbl_Assessment[],MATCH(tbl_Actual_costs_quantities34[[#This Row],[House Code]],tbl_Assessment[House Code],0),3),"")</f>
        <v/>
      </c>
      <c r="G136" s="116" t="str">
        <f>IF(tbl_Actual_costs_quantities34[[#This Row],[House Code]]&lt;&gt;"",INDEX(tbl_Assessment[],MATCH(tbl_Actual_costs_quantities34[[#This Row],[House Code]],tbl_Assessment[House Code],0),9),"")</f>
        <v/>
      </c>
      <c r="H136" s="41"/>
      <c r="I136" s="41"/>
      <c r="J136" s="41"/>
      <c r="K136" s="116"/>
      <c r="L136" s="117" t="str">
        <f>IF(tbl_Actual_costs_quantities34[[#This Row],[House Code]]&lt;&gt;"",tbl_Actual_costs_quantities34[[#This Row],[Total cost]]/INDEX(tbl_estimated_costs_quantities[],MATCH(tbl_Actual_costs_quantities34[[#This Row],[House Code]],tbl_estimated_costs_quantities[House Code],0),7),"")</f>
        <v/>
      </c>
      <c r="M13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6" s="75"/>
      <c r="O136" s="37"/>
      <c r="P136" s="86">
        <f>tbl_Actual_costs_quantities34[[#This Row],[Site Preparation]]*BOQs!$L$3</f>
        <v>0</v>
      </c>
      <c r="Q136" s="76"/>
      <c r="R136" s="37"/>
      <c r="S136" s="86">
        <f>tbl_Actual_costs_quantities34[[#This Row],[Demolition Removal Unsafe Structures]]*BOQs!$L$4</f>
        <v>0</v>
      </c>
      <c r="T136" s="76"/>
      <c r="U136" s="37"/>
      <c r="V136" s="86">
        <f>tbl_Actual_costs_quantities34[[#This Row],[Concrete Works]]*BOQs!$L$5</f>
        <v>0</v>
      </c>
      <c r="W136" s="76"/>
      <c r="X136" s="37"/>
      <c r="Y136" s="86">
        <f>tbl_Actual_costs_quantities34[[#This Row],[Closure External Openings Walls Windows]]*BOQs!$L$6</f>
        <v>0</v>
      </c>
      <c r="Z136" s="76"/>
      <c r="AA136" s="37"/>
      <c r="AB136" s="86">
        <f>tbl_Actual_costs_quantities34[[#This Row],[Plastering Painting]]*BOQs!$L$7</f>
        <v>0</v>
      </c>
      <c r="AC136" s="76"/>
      <c r="AD136" s="37"/>
      <c r="AE136" s="86">
        <f>tbl_Actual_costs_quantities34[[#This Row],[Floor Repairs]]*BOQs!$L$8</f>
        <v>0</v>
      </c>
      <c r="AF136" s="76"/>
      <c r="AG136" s="37"/>
      <c r="AH136" s="86">
        <f>tbl_Actual_costs_quantities34[[#This Row],[Doors Replacement Repair]]*BOQs!$L$9</f>
        <v>0</v>
      </c>
      <c r="AI136" s="76"/>
      <c r="AJ136" s="37"/>
      <c r="AK136" s="86">
        <f>tbl_Actual_costs_quantities34[[#This Row],[Windows Replacement Repair]]*BOQs!$L$10</f>
        <v>0</v>
      </c>
      <c r="AL136" s="76"/>
      <c r="AM136" s="37"/>
      <c r="AN136" s="86">
        <f>tbl_Actual_costs_quantities34[[#This Row],[Bathroom Rehabilitation]]*BOQs!$L$11</f>
        <v>0</v>
      </c>
      <c r="AO136" s="76"/>
      <c r="AP136" s="37"/>
      <c r="AQ136" s="86">
        <f>tbl_Actual_costs_quantities34[[#This Row],[Ceramic Tile Works WASH]]*BOQs!$L$12</f>
        <v>0</v>
      </c>
      <c r="AR136" s="76"/>
      <c r="AS136" s="37"/>
      <c r="AT136" s="86">
        <f>tbl_Actual_costs_quantities34[[#This Row],[Electrical Repairs Lighting]]*BOQs!$L$13</f>
        <v>0</v>
      </c>
      <c r="AU136" s="76"/>
      <c r="AV136" s="37"/>
      <c r="AW136" s="86">
        <f>tbl_Actual_costs_quantities34[[#This Row],[Roof Insulation Leak Sealing]]*BOQs!$L$14</f>
        <v>0</v>
      </c>
      <c r="AX136" s="76"/>
      <c r="AY136" s="37"/>
      <c r="AZ136" s="86">
        <f>tbl_Actual_costs_quantities34[[#This Row],[Chimney Duct Cleaning Repair]]*BOQs!$L$15</f>
        <v>0</v>
      </c>
      <c r="BA136" s="76"/>
      <c r="BB136" s="37"/>
      <c r="BC136" s="89">
        <f>tbl_Actual_costs_quantities34[[#This Row],[Accessibility Adaptations]]*BOQs!$L$16</f>
        <v>0</v>
      </c>
      <c r="BD136" s="41"/>
      <c r="BE136" s="37"/>
      <c r="BF136" s="37"/>
    </row>
    <row r="137" spans="2:58" ht="25.15" customHeight="1" x14ac:dyDescent="0.25">
      <c r="B137" s="49">
        <v>133</v>
      </c>
      <c r="C137" s="37"/>
      <c r="D137" s="41"/>
      <c r="E137" s="40"/>
      <c r="F137" s="87" t="str">
        <f>IF(tbl_Actual_costs_quantities34[[#This Row],[House Code]]&lt;&gt;"",INDEX(tbl_Assessment[],MATCH(tbl_Actual_costs_quantities34[[#This Row],[House Code]],tbl_Assessment[House Code],0),3),"")</f>
        <v/>
      </c>
      <c r="G137" s="116" t="str">
        <f>IF(tbl_Actual_costs_quantities34[[#This Row],[House Code]]&lt;&gt;"",INDEX(tbl_Assessment[],MATCH(tbl_Actual_costs_quantities34[[#This Row],[House Code]],tbl_Assessment[House Code],0),9),"")</f>
        <v/>
      </c>
      <c r="H137" s="41"/>
      <c r="I137" s="41"/>
      <c r="J137" s="41"/>
      <c r="K137" s="116"/>
      <c r="L137" s="117" t="str">
        <f>IF(tbl_Actual_costs_quantities34[[#This Row],[House Code]]&lt;&gt;"",tbl_Actual_costs_quantities34[[#This Row],[Total cost]]/INDEX(tbl_estimated_costs_quantities[],MATCH(tbl_Actual_costs_quantities34[[#This Row],[House Code]],tbl_estimated_costs_quantities[House Code],0),7),"")</f>
        <v/>
      </c>
      <c r="M13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7" s="75"/>
      <c r="O137" s="37"/>
      <c r="P137" s="86">
        <f>tbl_Actual_costs_quantities34[[#This Row],[Site Preparation]]*BOQs!$L$3</f>
        <v>0</v>
      </c>
      <c r="Q137" s="76"/>
      <c r="R137" s="37"/>
      <c r="S137" s="86">
        <f>tbl_Actual_costs_quantities34[[#This Row],[Demolition Removal Unsafe Structures]]*BOQs!$L$4</f>
        <v>0</v>
      </c>
      <c r="T137" s="76"/>
      <c r="U137" s="37"/>
      <c r="V137" s="86">
        <f>tbl_Actual_costs_quantities34[[#This Row],[Concrete Works]]*BOQs!$L$5</f>
        <v>0</v>
      </c>
      <c r="W137" s="76"/>
      <c r="X137" s="37"/>
      <c r="Y137" s="86">
        <f>tbl_Actual_costs_quantities34[[#This Row],[Closure External Openings Walls Windows]]*BOQs!$L$6</f>
        <v>0</v>
      </c>
      <c r="Z137" s="76"/>
      <c r="AA137" s="37"/>
      <c r="AB137" s="86">
        <f>tbl_Actual_costs_quantities34[[#This Row],[Plastering Painting]]*BOQs!$L$7</f>
        <v>0</v>
      </c>
      <c r="AC137" s="76"/>
      <c r="AD137" s="37"/>
      <c r="AE137" s="86">
        <f>tbl_Actual_costs_quantities34[[#This Row],[Floor Repairs]]*BOQs!$L$8</f>
        <v>0</v>
      </c>
      <c r="AF137" s="76"/>
      <c r="AG137" s="37"/>
      <c r="AH137" s="86">
        <f>tbl_Actual_costs_quantities34[[#This Row],[Doors Replacement Repair]]*BOQs!$L$9</f>
        <v>0</v>
      </c>
      <c r="AI137" s="76"/>
      <c r="AJ137" s="37"/>
      <c r="AK137" s="86">
        <f>tbl_Actual_costs_quantities34[[#This Row],[Windows Replacement Repair]]*BOQs!$L$10</f>
        <v>0</v>
      </c>
      <c r="AL137" s="76"/>
      <c r="AM137" s="37"/>
      <c r="AN137" s="86">
        <f>tbl_Actual_costs_quantities34[[#This Row],[Bathroom Rehabilitation]]*BOQs!$L$11</f>
        <v>0</v>
      </c>
      <c r="AO137" s="76"/>
      <c r="AP137" s="37"/>
      <c r="AQ137" s="86">
        <f>tbl_Actual_costs_quantities34[[#This Row],[Ceramic Tile Works WASH]]*BOQs!$L$12</f>
        <v>0</v>
      </c>
      <c r="AR137" s="76"/>
      <c r="AS137" s="37"/>
      <c r="AT137" s="86">
        <f>tbl_Actual_costs_quantities34[[#This Row],[Electrical Repairs Lighting]]*BOQs!$L$13</f>
        <v>0</v>
      </c>
      <c r="AU137" s="76"/>
      <c r="AV137" s="37"/>
      <c r="AW137" s="86">
        <f>tbl_Actual_costs_quantities34[[#This Row],[Roof Insulation Leak Sealing]]*BOQs!$L$14</f>
        <v>0</v>
      </c>
      <c r="AX137" s="76"/>
      <c r="AY137" s="37"/>
      <c r="AZ137" s="86">
        <f>tbl_Actual_costs_quantities34[[#This Row],[Chimney Duct Cleaning Repair]]*BOQs!$L$15</f>
        <v>0</v>
      </c>
      <c r="BA137" s="76"/>
      <c r="BB137" s="37"/>
      <c r="BC137" s="89">
        <f>tbl_Actual_costs_quantities34[[#This Row],[Accessibility Adaptations]]*BOQs!$L$16</f>
        <v>0</v>
      </c>
      <c r="BD137" s="41"/>
      <c r="BE137" s="37"/>
      <c r="BF137" s="37"/>
    </row>
    <row r="138" spans="2:58" ht="25.15" customHeight="1" x14ac:dyDescent="0.25">
      <c r="B138" s="49">
        <v>134</v>
      </c>
      <c r="C138" s="37"/>
      <c r="D138" s="41"/>
      <c r="E138" s="40"/>
      <c r="F138" s="87" t="str">
        <f>IF(tbl_Actual_costs_quantities34[[#This Row],[House Code]]&lt;&gt;"",INDEX(tbl_Assessment[],MATCH(tbl_Actual_costs_quantities34[[#This Row],[House Code]],tbl_Assessment[House Code],0),3),"")</f>
        <v/>
      </c>
      <c r="G138" s="116" t="str">
        <f>IF(tbl_Actual_costs_quantities34[[#This Row],[House Code]]&lt;&gt;"",INDEX(tbl_Assessment[],MATCH(tbl_Actual_costs_quantities34[[#This Row],[House Code]],tbl_Assessment[House Code],0),9),"")</f>
        <v/>
      </c>
      <c r="H138" s="41"/>
      <c r="I138" s="41"/>
      <c r="J138" s="41"/>
      <c r="K138" s="116"/>
      <c r="L138" s="117" t="str">
        <f>IF(tbl_Actual_costs_quantities34[[#This Row],[House Code]]&lt;&gt;"",tbl_Actual_costs_quantities34[[#This Row],[Total cost]]/INDEX(tbl_estimated_costs_quantities[],MATCH(tbl_Actual_costs_quantities34[[#This Row],[House Code]],tbl_estimated_costs_quantities[House Code],0),7),"")</f>
        <v/>
      </c>
      <c r="M13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8" s="75"/>
      <c r="O138" s="37"/>
      <c r="P138" s="86">
        <f>tbl_Actual_costs_quantities34[[#This Row],[Site Preparation]]*BOQs!$L$3</f>
        <v>0</v>
      </c>
      <c r="Q138" s="76"/>
      <c r="R138" s="37"/>
      <c r="S138" s="86">
        <f>tbl_Actual_costs_quantities34[[#This Row],[Demolition Removal Unsafe Structures]]*BOQs!$L$4</f>
        <v>0</v>
      </c>
      <c r="T138" s="76"/>
      <c r="U138" s="37"/>
      <c r="V138" s="86">
        <f>tbl_Actual_costs_quantities34[[#This Row],[Concrete Works]]*BOQs!$L$5</f>
        <v>0</v>
      </c>
      <c r="W138" s="76"/>
      <c r="X138" s="37"/>
      <c r="Y138" s="86">
        <f>tbl_Actual_costs_quantities34[[#This Row],[Closure External Openings Walls Windows]]*BOQs!$L$6</f>
        <v>0</v>
      </c>
      <c r="Z138" s="76"/>
      <c r="AA138" s="37"/>
      <c r="AB138" s="86">
        <f>tbl_Actual_costs_quantities34[[#This Row],[Plastering Painting]]*BOQs!$L$7</f>
        <v>0</v>
      </c>
      <c r="AC138" s="76"/>
      <c r="AD138" s="37"/>
      <c r="AE138" s="86">
        <f>tbl_Actual_costs_quantities34[[#This Row],[Floor Repairs]]*BOQs!$L$8</f>
        <v>0</v>
      </c>
      <c r="AF138" s="76"/>
      <c r="AG138" s="37"/>
      <c r="AH138" s="86">
        <f>tbl_Actual_costs_quantities34[[#This Row],[Doors Replacement Repair]]*BOQs!$L$9</f>
        <v>0</v>
      </c>
      <c r="AI138" s="76"/>
      <c r="AJ138" s="37"/>
      <c r="AK138" s="86">
        <f>tbl_Actual_costs_quantities34[[#This Row],[Windows Replacement Repair]]*BOQs!$L$10</f>
        <v>0</v>
      </c>
      <c r="AL138" s="76"/>
      <c r="AM138" s="37"/>
      <c r="AN138" s="86">
        <f>tbl_Actual_costs_quantities34[[#This Row],[Bathroom Rehabilitation]]*BOQs!$L$11</f>
        <v>0</v>
      </c>
      <c r="AO138" s="76"/>
      <c r="AP138" s="37"/>
      <c r="AQ138" s="86">
        <f>tbl_Actual_costs_quantities34[[#This Row],[Ceramic Tile Works WASH]]*BOQs!$L$12</f>
        <v>0</v>
      </c>
      <c r="AR138" s="76"/>
      <c r="AS138" s="37"/>
      <c r="AT138" s="86">
        <f>tbl_Actual_costs_quantities34[[#This Row],[Electrical Repairs Lighting]]*BOQs!$L$13</f>
        <v>0</v>
      </c>
      <c r="AU138" s="76"/>
      <c r="AV138" s="37"/>
      <c r="AW138" s="86">
        <f>tbl_Actual_costs_quantities34[[#This Row],[Roof Insulation Leak Sealing]]*BOQs!$L$14</f>
        <v>0</v>
      </c>
      <c r="AX138" s="76"/>
      <c r="AY138" s="37"/>
      <c r="AZ138" s="86">
        <f>tbl_Actual_costs_quantities34[[#This Row],[Chimney Duct Cleaning Repair]]*BOQs!$L$15</f>
        <v>0</v>
      </c>
      <c r="BA138" s="76"/>
      <c r="BB138" s="37"/>
      <c r="BC138" s="89">
        <f>tbl_Actual_costs_quantities34[[#This Row],[Accessibility Adaptations]]*BOQs!$L$16</f>
        <v>0</v>
      </c>
      <c r="BD138" s="41"/>
      <c r="BE138" s="37"/>
      <c r="BF138" s="37"/>
    </row>
    <row r="139" spans="2:58" ht="25.15" customHeight="1" x14ac:dyDescent="0.25">
      <c r="B139" s="49">
        <v>135</v>
      </c>
      <c r="C139" s="37"/>
      <c r="D139" s="41"/>
      <c r="E139" s="40"/>
      <c r="F139" s="87" t="str">
        <f>IF(tbl_Actual_costs_quantities34[[#This Row],[House Code]]&lt;&gt;"",INDEX(tbl_Assessment[],MATCH(tbl_Actual_costs_quantities34[[#This Row],[House Code]],tbl_Assessment[House Code],0),3),"")</f>
        <v/>
      </c>
      <c r="G139" s="116" t="str">
        <f>IF(tbl_Actual_costs_quantities34[[#This Row],[House Code]]&lt;&gt;"",INDEX(tbl_Assessment[],MATCH(tbl_Actual_costs_quantities34[[#This Row],[House Code]],tbl_Assessment[House Code],0),9),"")</f>
        <v/>
      </c>
      <c r="H139" s="41"/>
      <c r="I139" s="41"/>
      <c r="J139" s="41"/>
      <c r="K139" s="116"/>
      <c r="L139" s="117" t="str">
        <f>IF(tbl_Actual_costs_quantities34[[#This Row],[House Code]]&lt;&gt;"",tbl_Actual_costs_quantities34[[#This Row],[Total cost]]/INDEX(tbl_estimated_costs_quantities[],MATCH(tbl_Actual_costs_quantities34[[#This Row],[House Code]],tbl_estimated_costs_quantities[House Code],0),7),"")</f>
        <v/>
      </c>
      <c r="M13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39" s="75"/>
      <c r="O139" s="37"/>
      <c r="P139" s="86">
        <f>tbl_Actual_costs_quantities34[[#This Row],[Site Preparation]]*BOQs!$L$3</f>
        <v>0</v>
      </c>
      <c r="Q139" s="76"/>
      <c r="R139" s="37"/>
      <c r="S139" s="86">
        <f>tbl_Actual_costs_quantities34[[#This Row],[Demolition Removal Unsafe Structures]]*BOQs!$L$4</f>
        <v>0</v>
      </c>
      <c r="T139" s="76"/>
      <c r="U139" s="37"/>
      <c r="V139" s="86">
        <f>tbl_Actual_costs_quantities34[[#This Row],[Concrete Works]]*BOQs!$L$5</f>
        <v>0</v>
      </c>
      <c r="W139" s="76"/>
      <c r="X139" s="37"/>
      <c r="Y139" s="86">
        <f>tbl_Actual_costs_quantities34[[#This Row],[Closure External Openings Walls Windows]]*BOQs!$L$6</f>
        <v>0</v>
      </c>
      <c r="Z139" s="76"/>
      <c r="AA139" s="37"/>
      <c r="AB139" s="86">
        <f>tbl_Actual_costs_quantities34[[#This Row],[Plastering Painting]]*BOQs!$L$7</f>
        <v>0</v>
      </c>
      <c r="AC139" s="76"/>
      <c r="AD139" s="37"/>
      <c r="AE139" s="86">
        <f>tbl_Actual_costs_quantities34[[#This Row],[Floor Repairs]]*BOQs!$L$8</f>
        <v>0</v>
      </c>
      <c r="AF139" s="76"/>
      <c r="AG139" s="37"/>
      <c r="AH139" s="86">
        <f>tbl_Actual_costs_quantities34[[#This Row],[Doors Replacement Repair]]*BOQs!$L$9</f>
        <v>0</v>
      </c>
      <c r="AI139" s="76"/>
      <c r="AJ139" s="37"/>
      <c r="AK139" s="86">
        <f>tbl_Actual_costs_quantities34[[#This Row],[Windows Replacement Repair]]*BOQs!$L$10</f>
        <v>0</v>
      </c>
      <c r="AL139" s="76"/>
      <c r="AM139" s="37"/>
      <c r="AN139" s="86">
        <f>tbl_Actual_costs_quantities34[[#This Row],[Bathroom Rehabilitation]]*BOQs!$L$11</f>
        <v>0</v>
      </c>
      <c r="AO139" s="76"/>
      <c r="AP139" s="37"/>
      <c r="AQ139" s="86">
        <f>tbl_Actual_costs_quantities34[[#This Row],[Ceramic Tile Works WASH]]*BOQs!$L$12</f>
        <v>0</v>
      </c>
      <c r="AR139" s="76"/>
      <c r="AS139" s="37"/>
      <c r="AT139" s="86">
        <f>tbl_Actual_costs_quantities34[[#This Row],[Electrical Repairs Lighting]]*BOQs!$L$13</f>
        <v>0</v>
      </c>
      <c r="AU139" s="76"/>
      <c r="AV139" s="37"/>
      <c r="AW139" s="86">
        <f>tbl_Actual_costs_quantities34[[#This Row],[Roof Insulation Leak Sealing]]*BOQs!$L$14</f>
        <v>0</v>
      </c>
      <c r="AX139" s="76"/>
      <c r="AY139" s="37"/>
      <c r="AZ139" s="86">
        <f>tbl_Actual_costs_quantities34[[#This Row],[Chimney Duct Cleaning Repair]]*BOQs!$L$15</f>
        <v>0</v>
      </c>
      <c r="BA139" s="76"/>
      <c r="BB139" s="37"/>
      <c r="BC139" s="89">
        <f>tbl_Actual_costs_quantities34[[#This Row],[Accessibility Adaptations]]*BOQs!$L$16</f>
        <v>0</v>
      </c>
      <c r="BD139" s="41"/>
      <c r="BE139" s="37"/>
      <c r="BF139" s="37"/>
    </row>
    <row r="140" spans="2:58" ht="25.15" customHeight="1" x14ac:dyDescent="0.25">
      <c r="B140" s="49">
        <v>136</v>
      </c>
      <c r="C140" s="37"/>
      <c r="D140" s="41"/>
      <c r="E140" s="40"/>
      <c r="F140" s="87" t="str">
        <f>IF(tbl_Actual_costs_quantities34[[#This Row],[House Code]]&lt;&gt;"",INDEX(tbl_Assessment[],MATCH(tbl_Actual_costs_quantities34[[#This Row],[House Code]],tbl_Assessment[House Code],0),3),"")</f>
        <v/>
      </c>
      <c r="G140" s="116" t="str">
        <f>IF(tbl_Actual_costs_quantities34[[#This Row],[House Code]]&lt;&gt;"",INDEX(tbl_Assessment[],MATCH(tbl_Actual_costs_quantities34[[#This Row],[House Code]],tbl_Assessment[House Code],0),9),"")</f>
        <v/>
      </c>
      <c r="H140" s="41"/>
      <c r="I140" s="41"/>
      <c r="J140" s="41"/>
      <c r="K140" s="116"/>
      <c r="L140" s="117" t="str">
        <f>IF(tbl_Actual_costs_quantities34[[#This Row],[House Code]]&lt;&gt;"",tbl_Actual_costs_quantities34[[#This Row],[Total cost]]/INDEX(tbl_estimated_costs_quantities[],MATCH(tbl_Actual_costs_quantities34[[#This Row],[House Code]],tbl_estimated_costs_quantities[House Code],0),7),"")</f>
        <v/>
      </c>
      <c r="M14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0" s="75"/>
      <c r="O140" s="37"/>
      <c r="P140" s="86">
        <f>tbl_Actual_costs_quantities34[[#This Row],[Site Preparation]]*BOQs!$L$3</f>
        <v>0</v>
      </c>
      <c r="Q140" s="76"/>
      <c r="R140" s="37"/>
      <c r="S140" s="86">
        <f>tbl_Actual_costs_quantities34[[#This Row],[Demolition Removal Unsafe Structures]]*BOQs!$L$4</f>
        <v>0</v>
      </c>
      <c r="T140" s="76"/>
      <c r="U140" s="37"/>
      <c r="V140" s="86">
        <f>tbl_Actual_costs_quantities34[[#This Row],[Concrete Works]]*BOQs!$L$5</f>
        <v>0</v>
      </c>
      <c r="W140" s="76"/>
      <c r="X140" s="37"/>
      <c r="Y140" s="86">
        <f>tbl_Actual_costs_quantities34[[#This Row],[Closure External Openings Walls Windows]]*BOQs!$L$6</f>
        <v>0</v>
      </c>
      <c r="Z140" s="76"/>
      <c r="AA140" s="37"/>
      <c r="AB140" s="86">
        <f>tbl_Actual_costs_quantities34[[#This Row],[Plastering Painting]]*BOQs!$L$7</f>
        <v>0</v>
      </c>
      <c r="AC140" s="76"/>
      <c r="AD140" s="37"/>
      <c r="AE140" s="86">
        <f>tbl_Actual_costs_quantities34[[#This Row],[Floor Repairs]]*BOQs!$L$8</f>
        <v>0</v>
      </c>
      <c r="AF140" s="76"/>
      <c r="AG140" s="37"/>
      <c r="AH140" s="86">
        <f>tbl_Actual_costs_quantities34[[#This Row],[Doors Replacement Repair]]*BOQs!$L$9</f>
        <v>0</v>
      </c>
      <c r="AI140" s="76"/>
      <c r="AJ140" s="37"/>
      <c r="AK140" s="86">
        <f>tbl_Actual_costs_quantities34[[#This Row],[Windows Replacement Repair]]*BOQs!$L$10</f>
        <v>0</v>
      </c>
      <c r="AL140" s="76"/>
      <c r="AM140" s="37"/>
      <c r="AN140" s="86">
        <f>tbl_Actual_costs_quantities34[[#This Row],[Bathroom Rehabilitation]]*BOQs!$L$11</f>
        <v>0</v>
      </c>
      <c r="AO140" s="76"/>
      <c r="AP140" s="37"/>
      <c r="AQ140" s="86">
        <f>tbl_Actual_costs_quantities34[[#This Row],[Ceramic Tile Works WASH]]*BOQs!$L$12</f>
        <v>0</v>
      </c>
      <c r="AR140" s="76"/>
      <c r="AS140" s="37"/>
      <c r="AT140" s="86">
        <f>tbl_Actual_costs_quantities34[[#This Row],[Electrical Repairs Lighting]]*BOQs!$L$13</f>
        <v>0</v>
      </c>
      <c r="AU140" s="76"/>
      <c r="AV140" s="37"/>
      <c r="AW140" s="86">
        <f>tbl_Actual_costs_quantities34[[#This Row],[Roof Insulation Leak Sealing]]*BOQs!$L$14</f>
        <v>0</v>
      </c>
      <c r="AX140" s="76"/>
      <c r="AY140" s="37"/>
      <c r="AZ140" s="86">
        <f>tbl_Actual_costs_quantities34[[#This Row],[Chimney Duct Cleaning Repair]]*BOQs!$L$15</f>
        <v>0</v>
      </c>
      <c r="BA140" s="76"/>
      <c r="BB140" s="37"/>
      <c r="BC140" s="89">
        <f>tbl_Actual_costs_quantities34[[#This Row],[Accessibility Adaptations]]*BOQs!$L$16</f>
        <v>0</v>
      </c>
      <c r="BD140" s="41"/>
      <c r="BE140" s="37"/>
      <c r="BF140" s="37"/>
    </row>
    <row r="141" spans="2:58" ht="25.15" customHeight="1" x14ac:dyDescent="0.25">
      <c r="B141" s="49">
        <v>137</v>
      </c>
      <c r="C141" s="37"/>
      <c r="D141" s="41"/>
      <c r="E141" s="40"/>
      <c r="F141" s="87" t="str">
        <f>IF(tbl_Actual_costs_quantities34[[#This Row],[House Code]]&lt;&gt;"",INDEX(tbl_Assessment[],MATCH(tbl_Actual_costs_quantities34[[#This Row],[House Code]],tbl_Assessment[House Code],0),3),"")</f>
        <v/>
      </c>
      <c r="G141" s="116" t="str">
        <f>IF(tbl_Actual_costs_quantities34[[#This Row],[House Code]]&lt;&gt;"",INDEX(tbl_Assessment[],MATCH(tbl_Actual_costs_quantities34[[#This Row],[House Code]],tbl_Assessment[House Code],0),9),"")</f>
        <v/>
      </c>
      <c r="H141" s="41"/>
      <c r="I141" s="41"/>
      <c r="J141" s="41"/>
      <c r="K141" s="116"/>
      <c r="L141" s="117" t="str">
        <f>IF(tbl_Actual_costs_quantities34[[#This Row],[House Code]]&lt;&gt;"",tbl_Actual_costs_quantities34[[#This Row],[Total cost]]/INDEX(tbl_estimated_costs_quantities[],MATCH(tbl_Actual_costs_quantities34[[#This Row],[House Code]],tbl_estimated_costs_quantities[House Code],0),7),"")</f>
        <v/>
      </c>
      <c r="M14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1" s="75"/>
      <c r="O141" s="37"/>
      <c r="P141" s="86">
        <f>tbl_Actual_costs_quantities34[[#This Row],[Site Preparation]]*BOQs!$L$3</f>
        <v>0</v>
      </c>
      <c r="Q141" s="76"/>
      <c r="R141" s="37"/>
      <c r="S141" s="86">
        <f>tbl_Actual_costs_quantities34[[#This Row],[Demolition Removal Unsafe Structures]]*BOQs!$L$4</f>
        <v>0</v>
      </c>
      <c r="T141" s="76"/>
      <c r="U141" s="37"/>
      <c r="V141" s="86">
        <f>tbl_Actual_costs_quantities34[[#This Row],[Concrete Works]]*BOQs!$L$5</f>
        <v>0</v>
      </c>
      <c r="W141" s="76"/>
      <c r="X141" s="37"/>
      <c r="Y141" s="86">
        <f>tbl_Actual_costs_quantities34[[#This Row],[Closure External Openings Walls Windows]]*BOQs!$L$6</f>
        <v>0</v>
      </c>
      <c r="Z141" s="76"/>
      <c r="AA141" s="37"/>
      <c r="AB141" s="86">
        <f>tbl_Actual_costs_quantities34[[#This Row],[Plastering Painting]]*BOQs!$L$7</f>
        <v>0</v>
      </c>
      <c r="AC141" s="76"/>
      <c r="AD141" s="37"/>
      <c r="AE141" s="86">
        <f>tbl_Actual_costs_quantities34[[#This Row],[Floor Repairs]]*BOQs!$L$8</f>
        <v>0</v>
      </c>
      <c r="AF141" s="76"/>
      <c r="AG141" s="37"/>
      <c r="AH141" s="86">
        <f>tbl_Actual_costs_quantities34[[#This Row],[Doors Replacement Repair]]*BOQs!$L$9</f>
        <v>0</v>
      </c>
      <c r="AI141" s="76"/>
      <c r="AJ141" s="37"/>
      <c r="AK141" s="86">
        <f>tbl_Actual_costs_quantities34[[#This Row],[Windows Replacement Repair]]*BOQs!$L$10</f>
        <v>0</v>
      </c>
      <c r="AL141" s="76"/>
      <c r="AM141" s="37"/>
      <c r="AN141" s="86">
        <f>tbl_Actual_costs_quantities34[[#This Row],[Bathroom Rehabilitation]]*BOQs!$L$11</f>
        <v>0</v>
      </c>
      <c r="AO141" s="76"/>
      <c r="AP141" s="37"/>
      <c r="AQ141" s="86">
        <f>tbl_Actual_costs_quantities34[[#This Row],[Ceramic Tile Works WASH]]*BOQs!$L$12</f>
        <v>0</v>
      </c>
      <c r="AR141" s="76"/>
      <c r="AS141" s="37"/>
      <c r="AT141" s="86">
        <f>tbl_Actual_costs_quantities34[[#This Row],[Electrical Repairs Lighting]]*BOQs!$L$13</f>
        <v>0</v>
      </c>
      <c r="AU141" s="76"/>
      <c r="AV141" s="37"/>
      <c r="AW141" s="86">
        <f>tbl_Actual_costs_quantities34[[#This Row],[Roof Insulation Leak Sealing]]*BOQs!$L$14</f>
        <v>0</v>
      </c>
      <c r="AX141" s="76"/>
      <c r="AY141" s="37"/>
      <c r="AZ141" s="86">
        <f>tbl_Actual_costs_quantities34[[#This Row],[Chimney Duct Cleaning Repair]]*BOQs!$L$15</f>
        <v>0</v>
      </c>
      <c r="BA141" s="76"/>
      <c r="BB141" s="37"/>
      <c r="BC141" s="89">
        <f>tbl_Actual_costs_quantities34[[#This Row],[Accessibility Adaptations]]*BOQs!$L$16</f>
        <v>0</v>
      </c>
      <c r="BD141" s="41"/>
      <c r="BE141" s="37"/>
      <c r="BF141" s="37"/>
    </row>
    <row r="142" spans="2:58" ht="25.15" customHeight="1" x14ac:dyDescent="0.25">
      <c r="B142" s="49">
        <v>138</v>
      </c>
      <c r="C142" s="37"/>
      <c r="D142" s="41"/>
      <c r="E142" s="40"/>
      <c r="F142" s="87" t="str">
        <f>IF(tbl_Actual_costs_quantities34[[#This Row],[House Code]]&lt;&gt;"",INDEX(tbl_Assessment[],MATCH(tbl_Actual_costs_quantities34[[#This Row],[House Code]],tbl_Assessment[House Code],0),3),"")</f>
        <v/>
      </c>
      <c r="G142" s="116" t="str">
        <f>IF(tbl_Actual_costs_quantities34[[#This Row],[House Code]]&lt;&gt;"",INDEX(tbl_Assessment[],MATCH(tbl_Actual_costs_quantities34[[#This Row],[House Code]],tbl_Assessment[House Code],0),9),"")</f>
        <v/>
      </c>
      <c r="H142" s="41"/>
      <c r="I142" s="41"/>
      <c r="J142" s="41"/>
      <c r="K142" s="116"/>
      <c r="L142" s="117" t="str">
        <f>IF(tbl_Actual_costs_quantities34[[#This Row],[House Code]]&lt;&gt;"",tbl_Actual_costs_quantities34[[#This Row],[Total cost]]/INDEX(tbl_estimated_costs_quantities[],MATCH(tbl_Actual_costs_quantities34[[#This Row],[House Code]],tbl_estimated_costs_quantities[House Code],0),7),"")</f>
        <v/>
      </c>
      <c r="M14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2" s="75"/>
      <c r="O142" s="37"/>
      <c r="P142" s="86">
        <f>tbl_Actual_costs_quantities34[[#This Row],[Site Preparation]]*BOQs!$L$3</f>
        <v>0</v>
      </c>
      <c r="Q142" s="76"/>
      <c r="R142" s="37"/>
      <c r="S142" s="86">
        <f>tbl_Actual_costs_quantities34[[#This Row],[Demolition Removal Unsafe Structures]]*BOQs!$L$4</f>
        <v>0</v>
      </c>
      <c r="T142" s="76"/>
      <c r="U142" s="37"/>
      <c r="V142" s="86">
        <f>tbl_Actual_costs_quantities34[[#This Row],[Concrete Works]]*BOQs!$L$5</f>
        <v>0</v>
      </c>
      <c r="W142" s="76"/>
      <c r="X142" s="37"/>
      <c r="Y142" s="86">
        <f>tbl_Actual_costs_quantities34[[#This Row],[Closure External Openings Walls Windows]]*BOQs!$L$6</f>
        <v>0</v>
      </c>
      <c r="Z142" s="76"/>
      <c r="AA142" s="37"/>
      <c r="AB142" s="86">
        <f>tbl_Actual_costs_quantities34[[#This Row],[Plastering Painting]]*BOQs!$L$7</f>
        <v>0</v>
      </c>
      <c r="AC142" s="76"/>
      <c r="AD142" s="37"/>
      <c r="AE142" s="86">
        <f>tbl_Actual_costs_quantities34[[#This Row],[Floor Repairs]]*BOQs!$L$8</f>
        <v>0</v>
      </c>
      <c r="AF142" s="76"/>
      <c r="AG142" s="37"/>
      <c r="AH142" s="86">
        <f>tbl_Actual_costs_quantities34[[#This Row],[Doors Replacement Repair]]*BOQs!$L$9</f>
        <v>0</v>
      </c>
      <c r="AI142" s="76"/>
      <c r="AJ142" s="37"/>
      <c r="AK142" s="86">
        <f>tbl_Actual_costs_quantities34[[#This Row],[Windows Replacement Repair]]*BOQs!$L$10</f>
        <v>0</v>
      </c>
      <c r="AL142" s="76"/>
      <c r="AM142" s="37"/>
      <c r="AN142" s="86">
        <f>tbl_Actual_costs_quantities34[[#This Row],[Bathroom Rehabilitation]]*BOQs!$L$11</f>
        <v>0</v>
      </c>
      <c r="AO142" s="76"/>
      <c r="AP142" s="37"/>
      <c r="AQ142" s="86">
        <f>tbl_Actual_costs_quantities34[[#This Row],[Ceramic Tile Works WASH]]*BOQs!$L$12</f>
        <v>0</v>
      </c>
      <c r="AR142" s="76"/>
      <c r="AS142" s="37"/>
      <c r="AT142" s="86">
        <f>tbl_Actual_costs_quantities34[[#This Row],[Electrical Repairs Lighting]]*BOQs!$L$13</f>
        <v>0</v>
      </c>
      <c r="AU142" s="76"/>
      <c r="AV142" s="37"/>
      <c r="AW142" s="86">
        <f>tbl_Actual_costs_quantities34[[#This Row],[Roof Insulation Leak Sealing]]*BOQs!$L$14</f>
        <v>0</v>
      </c>
      <c r="AX142" s="76"/>
      <c r="AY142" s="37"/>
      <c r="AZ142" s="86">
        <f>tbl_Actual_costs_quantities34[[#This Row],[Chimney Duct Cleaning Repair]]*BOQs!$L$15</f>
        <v>0</v>
      </c>
      <c r="BA142" s="76"/>
      <c r="BB142" s="37"/>
      <c r="BC142" s="89">
        <f>tbl_Actual_costs_quantities34[[#This Row],[Accessibility Adaptations]]*BOQs!$L$16</f>
        <v>0</v>
      </c>
      <c r="BD142" s="41"/>
      <c r="BE142" s="37"/>
      <c r="BF142" s="37"/>
    </row>
    <row r="143" spans="2:58" ht="25.15" customHeight="1" x14ac:dyDescent="0.25">
      <c r="B143" s="49">
        <v>139</v>
      </c>
      <c r="C143" s="37"/>
      <c r="D143" s="41"/>
      <c r="E143" s="40"/>
      <c r="F143" s="87" t="str">
        <f>IF(tbl_Actual_costs_quantities34[[#This Row],[House Code]]&lt;&gt;"",INDEX(tbl_Assessment[],MATCH(tbl_Actual_costs_quantities34[[#This Row],[House Code]],tbl_Assessment[House Code],0),3),"")</f>
        <v/>
      </c>
      <c r="G143" s="116" t="str">
        <f>IF(tbl_Actual_costs_quantities34[[#This Row],[House Code]]&lt;&gt;"",INDEX(tbl_Assessment[],MATCH(tbl_Actual_costs_quantities34[[#This Row],[House Code]],tbl_Assessment[House Code],0),9),"")</f>
        <v/>
      </c>
      <c r="H143" s="41"/>
      <c r="I143" s="41"/>
      <c r="J143" s="41"/>
      <c r="K143" s="116"/>
      <c r="L143" s="117" t="str">
        <f>IF(tbl_Actual_costs_quantities34[[#This Row],[House Code]]&lt;&gt;"",tbl_Actual_costs_quantities34[[#This Row],[Total cost]]/INDEX(tbl_estimated_costs_quantities[],MATCH(tbl_Actual_costs_quantities34[[#This Row],[House Code]],tbl_estimated_costs_quantities[House Code],0),7),"")</f>
        <v/>
      </c>
      <c r="M14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3" s="75"/>
      <c r="O143" s="37"/>
      <c r="P143" s="86">
        <f>tbl_Actual_costs_quantities34[[#This Row],[Site Preparation]]*BOQs!$L$3</f>
        <v>0</v>
      </c>
      <c r="Q143" s="76"/>
      <c r="R143" s="37"/>
      <c r="S143" s="86">
        <f>tbl_Actual_costs_quantities34[[#This Row],[Demolition Removal Unsafe Structures]]*BOQs!$L$4</f>
        <v>0</v>
      </c>
      <c r="T143" s="76"/>
      <c r="U143" s="37"/>
      <c r="V143" s="86">
        <f>tbl_Actual_costs_quantities34[[#This Row],[Concrete Works]]*BOQs!$L$5</f>
        <v>0</v>
      </c>
      <c r="W143" s="76"/>
      <c r="X143" s="37"/>
      <c r="Y143" s="86">
        <f>tbl_Actual_costs_quantities34[[#This Row],[Closure External Openings Walls Windows]]*BOQs!$L$6</f>
        <v>0</v>
      </c>
      <c r="Z143" s="76"/>
      <c r="AA143" s="37"/>
      <c r="AB143" s="86">
        <f>tbl_Actual_costs_quantities34[[#This Row],[Plastering Painting]]*BOQs!$L$7</f>
        <v>0</v>
      </c>
      <c r="AC143" s="76"/>
      <c r="AD143" s="37"/>
      <c r="AE143" s="86">
        <f>tbl_Actual_costs_quantities34[[#This Row],[Floor Repairs]]*BOQs!$L$8</f>
        <v>0</v>
      </c>
      <c r="AF143" s="76"/>
      <c r="AG143" s="37"/>
      <c r="AH143" s="86">
        <f>tbl_Actual_costs_quantities34[[#This Row],[Doors Replacement Repair]]*BOQs!$L$9</f>
        <v>0</v>
      </c>
      <c r="AI143" s="76"/>
      <c r="AJ143" s="37"/>
      <c r="AK143" s="86">
        <f>tbl_Actual_costs_quantities34[[#This Row],[Windows Replacement Repair]]*BOQs!$L$10</f>
        <v>0</v>
      </c>
      <c r="AL143" s="76"/>
      <c r="AM143" s="37"/>
      <c r="AN143" s="86">
        <f>tbl_Actual_costs_quantities34[[#This Row],[Bathroom Rehabilitation]]*BOQs!$L$11</f>
        <v>0</v>
      </c>
      <c r="AO143" s="76"/>
      <c r="AP143" s="37"/>
      <c r="AQ143" s="86">
        <f>tbl_Actual_costs_quantities34[[#This Row],[Ceramic Tile Works WASH]]*BOQs!$L$12</f>
        <v>0</v>
      </c>
      <c r="AR143" s="76"/>
      <c r="AS143" s="37"/>
      <c r="AT143" s="86">
        <f>tbl_Actual_costs_quantities34[[#This Row],[Electrical Repairs Lighting]]*BOQs!$L$13</f>
        <v>0</v>
      </c>
      <c r="AU143" s="76"/>
      <c r="AV143" s="37"/>
      <c r="AW143" s="86">
        <f>tbl_Actual_costs_quantities34[[#This Row],[Roof Insulation Leak Sealing]]*BOQs!$L$14</f>
        <v>0</v>
      </c>
      <c r="AX143" s="76"/>
      <c r="AY143" s="37"/>
      <c r="AZ143" s="86">
        <f>tbl_Actual_costs_quantities34[[#This Row],[Chimney Duct Cleaning Repair]]*BOQs!$L$15</f>
        <v>0</v>
      </c>
      <c r="BA143" s="76"/>
      <c r="BB143" s="37"/>
      <c r="BC143" s="89">
        <f>tbl_Actual_costs_quantities34[[#This Row],[Accessibility Adaptations]]*BOQs!$L$16</f>
        <v>0</v>
      </c>
      <c r="BD143" s="41"/>
      <c r="BE143" s="37"/>
      <c r="BF143" s="37"/>
    </row>
    <row r="144" spans="2:58" ht="25.15" customHeight="1" x14ac:dyDescent="0.25">
      <c r="B144" s="49">
        <v>140</v>
      </c>
      <c r="C144" s="37"/>
      <c r="D144" s="41"/>
      <c r="E144" s="40"/>
      <c r="F144" s="87" t="str">
        <f>IF(tbl_Actual_costs_quantities34[[#This Row],[House Code]]&lt;&gt;"",INDEX(tbl_Assessment[],MATCH(tbl_Actual_costs_quantities34[[#This Row],[House Code]],tbl_Assessment[House Code],0),3),"")</f>
        <v/>
      </c>
      <c r="G144" s="116" t="str">
        <f>IF(tbl_Actual_costs_quantities34[[#This Row],[House Code]]&lt;&gt;"",INDEX(tbl_Assessment[],MATCH(tbl_Actual_costs_quantities34[[#This Row],[House Code]],tbl_Assessment[House Code],0),9),"")</f>
        <v/>
      </c>
      <c r="H144" s="41"/>
      <c r="I144" s="41"/>
      <c r="J144" s="41"/>
      <c r="K144" s="116"/>
      <c r="L144" s="117" t="str">
        <f>IF(tbl_Actual_costs_quantities34[[#This Row],[House Code]]&lt;&gt;"",tbl_Actual_costs_quantities34[[#This Row],[Total cost]]/INDEX(tbl_estimated_costs_quantities[],MATCH(tbl_Actual_costs_quantities34[[#This Row],[House Code]],tbl_estimated_costs_quantities[House Code],0),7),"")</f>
        <v/>
      </c>
      <c r="M14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4" s="75"/>
      <c r="O144" s="37"/>
      <c r="P144" s="86">
        <f>tbl_Actual_costs_quantities34[[#This Row],[Site Preparation]]*BOQs!$L$3</f>
        <v>0</v>
      </c>
      <c r="Q144" s="76"/>
      <c r="R144" s="37"/>
      <c r="S144" s="86">
        <f>tbl_Actual_costs_quantities34[[#This Row],[Demolition Removal Unsafe Structures]]*BOQs!$L$4</f>
        <v>0</v>
      </c>
      <c r="T144" s="76"/>
      <c r="U144" s="37"/>
      <c r="V144" s="86">
        <f>tbl_Actual_costs_quantities34[[#This Row],[Concrete Works]]*BOQs!$L$5</f>
        <v>0</v>
      </c>
      <c r="W144" s="76"/>
      <c r="X144" s="37"/>
      <c r="Y144" s="86">
        <f>tbl_Actual_costs_quantities34[[#This Row],[Closure External Openings Walls Windows]]*BOQs!$L$6</f>
        <v>0</v>
      </c>
      <c r="Z144" s="76"/>
      <c r="AA144" s="37"/>
      <c r="AB144" s="86">
        <f>tbl_Actual_costs_quantities34[[#This Row],[Plastering Painting]]*BOQs!$L$7</f>
        <v>0</v>
      </c>
      <c r="AC144" s="76"/>
      <c r="AD144" s="37"/>
      <c r="AE144" s="86">
        <f>tbl_Actual_costs_quantities34[[#This Row],[Floor Repairs]]*BOQs!$L$8</f>
        <v>0</v>
      </c>
      <c r="AF144" s="76"/>
      <c r="AG144" s="37"/>
      <c r="AH144" s="86">
        <f>tbl_Actual_costs_quantities34[[#This Row],[Doors Replacement Repair]]*BOQs!$L$9</f>
        <v>0</v>
      </c>
      <c r="AI144" s="76"/>
      <c r="AJ144" s="37"/>
      <c r="AK144" s="86">
        <f>tbl_Actual_costs_quantities34[[#This Row],[Windows Replacement Repair]]*BOQs!$L$10</f>
        <v>0</v>
      </c>
      <c r="AL144" s="76"/>
      <c r="AM144" s="37"/>
      <c r="AN144" s="86">
        <f>tbl_Actual_costs_quantities34[[#This Row],[Bathroom Rehabilitation]]*BOQs!$L$11</f>
        <v>0</v>
      </c>
      <c r="AO144" s="76"/>
      <c r="AP144" s="37"/>
      <c r="AQ144" s="86">
        <f>tbl_Actual_costs_quantities34[[#This Row],[Ceramic Tile Works WASH]]*BOQs!$L$12</f>
        <v>0</v>
      </c>
      <c r="AR144" s="76"/>
      <c r="AS144" s="37"/>
      <c r="AT144" s="86">
        <f>tbl_Actual_costs_quantities34[[#This Row],[Electrical Repairs Lighting]]*BOQs!$L$13</f>
        <v>0</v>
      </c>
      <c r="AU144" s="76"/>
      <c r="AV144" s="37"/>
      <c r="AW144" s="86">
        <f>tbl_Actual_costs_quantities34[[#This Row],[Roof Insulation Leak Sealing]]*BOQs!$L$14</f>
        <v>0</v>
      </c>
      <c r="AX144" s="76"/>
      <c r="AY144" s="37"/>
      <c r="AZ144" s="86">
        <f>tbl_Actual_costs_quantities34[[#This Row],[Chimney Duct Cleaning Repair]]*BOQs!$L$15</f>
        <v>0</v>
      </c>
      <c r="BA144" s="76"/>
      <c r="BB144" s="37"/>
      <c r="BC144" s="89">
        <f>tbl_Actual_costs_quantities34[[#This Row],[Accessibility Adaptations]]*BOQs!$L$16</f>
        <v>0</v>
      </c>
      <c r="BD144" s="41"/>
      <c r="BE144" s="37"/>
      <c r="BF144" s="37"/>
    </row>
    <row r="145" spans="2:58" ht="25.15" customHeight="1" x14ac:dyDescent="0.25">
      <c r="B145" s="49">
        <v>141</v>
      </c>
      <c r="C145" s="37"/>
      <c r="D145" s="41"/>
      <c r="E145" s="40"/>
      <c r="F145" s="87" t="str">
        <f>IF(tbl_Actual_costs_quantities34[[#This Row],[House Code]]&lt;&gt;"",INDEX(tbl_Assessment[],MATCH(tbl_Actual_costs_quantities34[[#This Row],[House Code]],tbl_Assessment[House Code],0),3),"")</f>
        <v/>
      </c>
      <c r="G145" s="116" t="str">
        <f>IF(tbl_Actual_costs_quantities34[[#This Row],[House Code]]&lt;&gt;"",INDEX(tbl_Assessment[],MATCH(tbl_Actual_costs_quantities34[[#This Row],[House Code]],tbl_Assessment[House Code],0),9),"")</f>
        <v/>
      </c>
      <c r="H145" s="41"/>
      <c r="I145" s="41"/>
      <c r="J145" s="41"/>
      <c r="K145" s="116"/>
      <c r="L145" s="117" t="str">
        <f>IF(tbl_Actual_costs_quantities34[[#This Row],[House Code]]&lt;&gt;"",tbl_Actual_costs_quantities34[[#This Row],[Total cost]]/INDEX(tbl_estimated_costs_quantities[],MATCH(tbl_Actual_costs_quantities34[[#This Row],[House Code]],tbl_estimated_costs_quantities[House Code],0),7),"")</f>
        <v/>
      </c>
      <c r="M14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5" s="75"/>
      <c r="O145" s="37"/>
      <c r="P145" s="86">
        <f>tbl_Actual_costs_quantities34[[#This Row],[Site Preparation]]*BOQs!$L$3</f>
        <v>0</v>
      </c>
      <c r="Q145" s="76"/>
      <c r="R145" s="37"/>
      <c r="S145" s="86">
        <f>tbl_Actual_costs_quantities34[[#This Row],[Demolition Removal Unsafe Structures]]*BOQs!$L$4</f>
        <v>0</v>
      </c>
      <c r="T145" s="76"/>
      <c r="U145" s="37"/>
      <c r="V145" s="86">
        <f>tbl_Actual_costs_quantities34[[#This Row],[Concrete Works]]*BOQs!$L$5</f>
        <v>0</v>
      </c>
      <c r="W145" s="76"/>
      <c r="X145" s="37"/>
      <c r="Y145" s="86">
        <f>tbl_Actual_costs_quantities34[[#This Row],[Closure External Openings Walls Windows]]*BOQs!$L$6</f>
        <v>0</v>
      </c>
      <c r="Z145" s="76"/>
      <c r="AA145" s="37"/>
      <c r="AB145" s="86">
        <f>tbl_Actual_costs_quantities34[[#This Row],[Plastering Painting]]*BOQs!$L$7</f>
        <v>0</v>
      </c>
      <c r="AC145" s="76"/>
      <c r="AD145" s="37"/>
      <c r="AE145" s="86">
        <f>tbl_Actual_costs_quantities34[[#This Row],[Floor Repairs]]*BOQs!$L$8</f>
        <v>0</v>
      </c>
      <c r="AF145" s="76"/>
      <c r="AG145" s="37"/>
      <c r="AH145" s="86">
        <f>tbl_Actual_costs_quantities34[[#This Row],[Doors Replacement Repair]]*BOQs!$L$9</f>
        <v>0</v>
      </c>
      <c r="AI145" s="76"/>
      <c r="AJ145" s="37"/>
      <c r="AK145" s="86">
        <f>tbl_Actual_costs_quantities34[[#This Row],[Windows Replacement Repair]]*BOQs!$L$10</f>
        <v>0</v>
      </c>
      <c r="AL145" s="76"/>
      <c r="AM145" s="37"/>
      <c r="AN145" s="86">
        <f>tbl_Actual_costs_quantities34[[#This Row],[Bathroom Rehabilitation]]*BOQs!$L$11</f>
        <v>0</v>
      </c>
      <c r="AO145" s="76"/>
      <c r="AP145" s="37"/>
      <c r="AQ145" s="86">
        <f>tbl_Actual_costs_quantities34[[#This Row],[Ceramic Tile Works WASH]]*BOQs!$L$12</f>
        <v>0</v>
      </c>
      <c r="AR145" s="76"/>
      <c r="AS145" s="37"/>
      <c r="AT145" s="86">
        <f>tbl_Actual_costs_quantities34[[#This Row],[Electrical Repairs Lighting]]*BOQs!$L$13</f>
        <v>0</v>
      </c>
      <c r="AU145" s="76"/>
      <c r="AV145" s="37"/>
      <c r="AW145" s="86">
        <f>tbl_Actual_costs_quantities34[[#This Row],[Roof Insulation Leak Sealing]]*BOQs!$L$14</f>
        <v>0</v>
      </c>
      <c r="AX145" s="76"/>
      <c r="AY145" s="37"/>
      <c r="AZ145" s="86">
        <f>tbl_Actual_costs_quantities34[[#This Row],[Chimney Duct Cleaning Repair]]*BOQs!$L$15</f>
        <v>0</v>
      </c>
      <c r="BA145" s="76"/>
      <c r="BB145" s="37"/>
      <c r="BC145" s="89">
        <f>tbl_Actual_costs_quantities34[[#This Row],[Accessibility Adaptations]]*BOQs!$L$16</f>
        <v>0</v>
      </c>
      <c r="BD145" s="41"/>
      <c r="BE145" s="37"/>
      <c r="BF145" s="37"/>
    </row>
    <row r="146" spans="2:58" ht="25.15" customHeight="1" x14ac:dyDescent="0.25">
      <c r="B146" s="49">
        <v>142</v>
      </c>
      <c r="C146" s="37"/>
      <c r="D146" s="41"/>
      <c r="E146" s="40"/>
      <c r="F146" s="87" t="str">
        <f>IF(tbl_Actual_costs_quantities34[[#This Row],[House Code]]&lt;&gt;"",INDEX(tbl_Assessment[],MATCH(tbl_Actual_costs_quantities34[[#This Row],[House Code]],tbl_Assessment[House Code],0),3),"")</f>
        <v/>
      </c>
      <c r="G146" s="116" t="str">
        <f>IF(tbl_Actual_costs_quantities34[[#This Row],[House Code]]&lt;&gt;"",INDEX(tbl_Assessment[],MATCH(tbl_Actual_costs_quantities34[[#This Row],[House Code]],tbl_Assessment[House Code],0),9),"")</f>
        <v/>
      </c>
      <c r="H146" s="41"/>
      <c r="I146" s="41"/>
      <c r="J146" s="41"/>
      <c r="K146" s="116"/>
      <c r="L146" s="117" t="str">
        <f>IF(tbl_Actual_costs_quantities34[[#This Row],[House Code]]&lt;&gt;"",tbl_Actual_costs_quantities34[[#This Row],[Total cost]]/INDEX(tbl_estimated_costs_quantities[],MATCH(tbl_Actual_costs_quantities34[[#This Row],[House Code]],tbl_estimated_costs_quantities[House Code],0),7),"")</f>
        <v/>
      </c>
      <c r="M14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6" s="75"/>
      <c r="O146" s="37"/>
      <c r="P146" s="86">
        <f>tbl_Actual_costs_quantities34[[#This Row],[Site Preparation]]*BOQs!$L$3</f>
        <v>0</v>
      </c>
      <c r="Q146" s="76"/>
      <c r="R146" s="37"/>
      <c r="S146" s="86">
        <f>tbl_Actual_costs_quantities34[[#This Row],[Demolition Removal Unsafe Structures]]*BOQs!$L$4</f>
        <v>0</v>
      </c>
      <c r="T146" s="76"/>
      <c r="U146" s="37"/>
      <c r="V146" s="86">
        <f>tbl_Actual_costs_quantities34[[#This Row],[Concrete Works]]*BOQs!$L$5</f>
        <v>0</v>
      </c>
      <c r="W146" s="76"/>
      <c r="X146" s="37"/>
      <c r="Y146" s="86">
        <f>tbl_Actual_costs_quantities34[[#This Row],[Closure External Openings Walls Windows]]*BOQs!$L$6</f>
        <v>0</v>
      </c>
      <c r="Z146" s="76"/>
      <c r="AA146" s="37"/>
      <c r="AB146" s="86">
        <f>tbl_Actual_costs_quantities34[[#This Row],[Plastering Painting]]*BOQs!$L$7</f>
        <v>0</v>
      </c>
      <c r="AC146" s="76"/>
      <c r="AD146" s="37"/>
      <c r="AE146" s="86">
        <f>tbl_Actual_costs_quantities34[[#This Row],[Floor Repairs]]*BOQs!$L$8</f>
        <v>0</v>
      </c>
      <c r="AF146" s="76"/>
      <c r="AG146" s="37"/>
      <c r="AH146" s="86">
        <f>tbl_Actual_costs_quantities34[[#This Row],[Doors Replacement Repair]]*BOQs!$L$9</f>
        <v>0</v>
      </c>
      <c r="AI146" s="76"/>
      <c r="AJ146" s="37"/>
      <c r="AK146" s="86">
        <f>tbl_Actual_costs_quantities34[[#This Row],[Windows Replacement Repair]]*BOQs!$L$10</f>
        <v>0</v>
      </c>
      <c r="AL146" s="76"/>
      <c r="AM146" s="37"/>
      <c r="AN146" s="86">
        <f>tbl_Actual_costs_quantities34[[#This Row],[Bathroom Rehabilitation]]*BOQs!$L$11</f>
        <v>0</v>
      </c>
      <c r="AO146" s="76"/>
      <c r="AP146" s="37"/>
      <c r="AQ146" s="86">
        <f>tbl_Actual_costs_quantities34[[#This Row],[Ceramic Tile Works WASH]]*BOQs!$L$12</f>
        <v>0</v>
      </c>
      <c r="AR146" s="76"/>
      <c r="AS146" s="37"/>
      <c r="AT146" s="86">
        <f>tbl_Actual_costs_quantities34[[#This Row],[Electrical Repairs Lighting]]*BOQs!$L$13</f>
        <v>0</v>
      </c>
      <c r="AU146" s="76"/>
      <c r="AV146" s="37"/>
      <c r="AW146" s="86">
        <f>tbl_Actual_costs_quantities34[[#This Row],[Roof Insulation Leak Sealing]]*BOQs!$L$14</f>
        <v>0</v>
      </c>
      <c r="AX146" s="76"/>
      <c r="AY146" s="37"/>
      <c r="AZ146" s="86">
        <f>tbl_Actual_costs_quantities34[[#This Row],[Chimney Duct Cleaning Repair]]*BOQs!$L$15</f>
        <v>0</v>
      </c>
      <c r="BA146" s="76"/>
      <c r="BB146" s="37"/>
      <c r="BC146" s="89">
        <f>tbl_Actual_costs_quantities34[[#This Row],[Accessibility Adaptations]]*BOQs!$L$16</f>
        <v>0</v>
      </c>
      <c r="BD146" s="41"/>
      <c r="BE146" s="37"/>
      <c r="BF146" s="37"/>
    </row>
    <row r="147" spans="2:58" ht="25.15" customHeight="1" x14ac:dyDescent="0.25">
      <c r="B147" s="49">
        <v>143</v>
      </c>
      <c r="C147" s="37"/>
      <c r="D147" s="41"/>
      <c r="E147" s="40"/>
      <c r="F147" s="87" t="str">
        <f>IF(tbl_Actual_costs_quantities34[[#This Row],[House Code]]&lt;&gt;"",INDEX(tbl_Assessment[],MATCH(tbl_Actual_costs_quantities34[[#This Row],[House Code]],tbl_Assessment[House Code],0),3),"")</f>
        <v/>
      </c>
      <c r="G147" s="116" t="str">
        <f>IF(tbl_Actual_costs_quantities34[[#This Row],[House Code]]&lt;&gt;"",INDEX(tbl_Assessment[],MATCH(tbl_Actual_costs_quantities34[[#This Row],[House Code]],tbl_Assessment[House Code],0),9),"")</f>
        <v/>
      </c>
      <c r="H147" s="41"/>
      <c r="I147" s="41"/>
      <c r="J147" s="41"/>
      <c r="K147" s="116"/>
      <c r="L147" s="117" t="str">
        <f>IF(tbl_Actual_costs_quantities34[[#This Row],[House Code]]&lt;&gt;"",tbl_Actual_costs_quantities34[[#This Row],[Total cost]]/INDEX(tbl_estimated_costs_quantities[],MATCH(tbl_Actual_costs_quantities34[[#This Row],[House Code]],tbl_estimated_costs_quantities[House Code],0),7),"")</f>
        <v/>
      </c>
      <c r="M14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7" s="75"/>
      <c r="O147" s="37"/>
      <c r="P147" s="86">
        <f>tbl_Actual_costs_quantities34[[#This Row],[Site Preparation]]*BOQs!$L$3</f>
        <v>0</v>
      </c>
      <c r="Q147" s="76"/>
      <c r="R147" s="37"/>
      <c r="S147" s="86">
        <f>tbl_Actual_costs_quantities34[[#This Row],[Demolition Removal Unsafe Structures]]*BOQs!$L$4</f>
        <v>0</v>
      </c>
      <c r="T147" s="76"/>
      <c r="U147" s="37"/>
      <c r="V147" s="86">
        <f>tbl_Actual_costs_quantities34[[#This Row],[Concrete Works]]*BOQs!$L$5</f>
        <v>0</v>
      </c>
      <c r="W147" s="76"/>
      <c r="X147" s="37"/>
      <c r="Y147" s="86">
        <f>tbl_Actual_costs_quantities34[[#This Row],[Closure External Openings Walls Windows]]*BOQs!$L$6</f>
        <v>0</v>
      </c>
      <c r="Z147" s="76"/>
      <c r="AA147" s="37"/>
      <c r="AB147" s="86">
        <f>tbl_Actual_costs_quantities34[[#This Row],[Plastering Painting]]*BOQs!$L$7</f>
        <v>0</v>
      </c>
      <c r="AC147" s="76"/>
      <c r="AD147" s="37"/>
      <c r="AE147" s="86">
        <f>tbl_Actual_costs_quantities34[[#This Row],[Floor Repairs]]*BOQs!$L$8</f>
        <v>0</v>
      </c>
      <c r="AF147" s="76"/>
      <c r="AG147" s="37"/>
      <c r="AH147" s="86">
        <f>tbl_Actual_costs_quantities34[[#This Row],[Doors Replacement Repair]]*BOQs!$L$9</f>
        <v>0</v>
      </c>
      <c r="AI147" s="76"/>
      <c r="AJ147" s="37"/>
      <c r="AK147" s="86">
        <f>tbl_Actual_costs_quantities34[[#This Row],[Windows Replacement Repair]]*BOQs!$L$10</f>
        <v>0</v>
      </c>
      <c r="AL147" s="76"/>
      <c r="AM147" s="37"/>
      <c r="AN147" s="86">
        <f>tbl_Actual_costs_quantities34[[#This Row],[Bathroom Rehabilitation]]*BOQs!$L$11</f>
        <v>0</v>
      </c>
      <c r="AO147" s="76"/>
      <c r="AP147" s="37"/>
      <c r="AQ147" s="86">
        <f>tbl_Actual_costs_quantities34[[#This Row],[Ceramic Tile Works WASH]]*BOQs!$L$12</f>
        <v>0</v>
      </c>
      <c r="AR147" s="76"/>
      <c r="AS147" s="37"/>
      <c r="AT147" s="86">
        <f>tbl_Actual_costs_quantities34[[#This Row],[Electrical Repairs Lighting]]*BOQs!$L$13</f>
        <v>0</v>
      </c>
      <c r="AU147" s="76"/>
      <c r="AV147" s="37"/>
      <c r="AW147" s="86">
        <f>tbl_Actual_costs_quantities34[[#This Row],[Roof Insulation Leak Sealing]]*BOQs!$L$14</f>
        <v>0</v>
      </c>
      <c r="AX147" s="76"/>
      <c r="AY147" s="37"/>
      <c r="AZ147" s="86">
        <f>tbl_Actual_costs_quantities34[[#This Row],[Chimney Duct Cleaning Repair]]*BOQs!$L$15</f>
        <v>0</v>
      </c>
      <c r="BA147" s="76"/>
      <c r="BB147" s="37"/>
      <c r="BC147" s="89">
        <f>tbl_Actual_costs_quantities34[[#This Row],[Accessibility Adaptations]]*BOQs!$L$16</f>
        <v>0</v>
      </c>
      <c r="BD147" s="41"/>
      <c r="BE147" s="37"/>
      <c r="BF147" s="37"/>
    </row>
    <row r="148" spans="2:58" ht="25.15" customHeight="1" x14ac:dyDescent="0.25">
      <c r="B148" s="49">
        <v>144</v>
      </c>
      <c r="C148" s="37"/>
      <c r="D148" s="41"/>
      <c r="E148" s="40"/>
      <c r="F148" s="87" t="str">
        <f>IF(tbl_Actual_costs_quantities34[[#This Row],[House Code]]&lt;&gt;"",INDEX(tbl_Assessment[],MATCH(tbl_Actual_costs_quantities34[[#This Row],[House Code]],tbl_Assessment[House Code],0),3),"")</f>
        <v/>
      </c>
      <c r="G148" s="116" t="str">
        <f>IF(tbl_Actual_costs_quantities34[[#This Row],[House Code]]&lt;&gt;"",INDEX(tbl_Assessment[],MATCH(tbl_Actual_costs_quantities34[[#This Row],[House Code]],tbl_Assessment[House Code],0),9),"")</f>
        <v/>
      </c>
      <c r="H148" s="41"/>
      <c r="I148" s="41"/>
      <c r="J148" s="41"/>
      <c r="K148" s="116"/>
      <c r="L148" s="117" t="str">
        <f>IF(tbl_Actual_costs_quantities34[[#This Row],[House Code]]&lt;&gt;"",tbl_Actual_costs_quantities34[[#This Row],[Total cost]]/INDEX(tbl_estimated_costs_quantities[],MATCH(tbl_Actual_costs_quantities34[[#This Row],[House Code]],tbl_estimated_costs_quantities[House Code],0),7),"")</f>
        <v/>
      </c>
      <c r="M14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8" s="75"/>
      <c r="O148" s="37"/>
      <c r="P148" s="86">
        <f>tbl_Actual_costs_quantities34[[#This Row],[Site Preparation]]*BOQs!$L$3</f>
        <v>0</v>
      </c>
      <c r="Q148" s="76"/>
      <c r="R148" s="37"/>
      <c r="S148" s="86">
        <f>tbl_Actual_costs_quantities34[[#This Row],[Demolition Removal Unsafe Structures]]*BOQs!$L$4</f>
        <v>0</v>
      </c>
      <c r="T148" s="76"/>
      <c r="U148" s="37"/>
      <c r="V148" s="86">
        <f>tbl_Actual_costs_quantities34[[#This Row],[Concrete Works]]*BOQs!$L$5</f>
        <v>0</v>
      </c>
      <c r="W148" s="76"/>
      <c r="X148" s="37"/>
      <c r="Y148" s="86">
        <f>tbl_Actual_costs_quantities34[[#This Row],[Closure External Openings Walls Windows]]*BOQs!$L$6</f>
        <v>0</v>
      </c>
      <c r="Z148" s="76"/>
      <c r="AA148" s="37"/>
      <c r="AB148" s="86">
        <f>tbl_Actual_costs_quantities34[[#This Row],[Plastering Painting]]*BOQs!$L$7</f>
        <v>0</v>
      </c>
      <c r="AC148" s="76"/>
      <c r="AD148" s="37"/>
      <c r="AE148" s="86">
        <f>tbl_Actual_costs_quantities34[[#This Row],[Floor Repairs]]*BOQs!$L$8</f>
        <v>0</v>
      </c>
      <c r="AF148" s="76"/>
      <c r="AG148" s="37"/>
      <c r="AH148" s="86">
        <f>tbl_Actual_costs_quantities34[[#This Row],[Doors Replacement Repair]]*BOQs!$L$9</f>
        <v>0</v>
      </c>
      <c r="AI148" s="76"/>
      <c r="AJ148" s="37"/>
      <c r="AK148" s="86">
        <f>tbl_Actual_costs_quantities34[[#This Row],[Windows Replacement Repair]]*BOQs!$L$10</f>
        <v>0</v>
      </c>
      <c r="AL148" s="76"/>
      <c r="AM148" s="37"/>
      <c r="AN148" s="86">
        <f>tbl_Actual_costs_quantities34[[#This Row],[Bathroom Rehabilitation]]*BOQs!$L$11</f>
        <v>0</v>
      </c>
      <c r="AO148" s="76"/>
      <c r="AP148" s="37"/>
      <c r="AQ148" s="86">
        <f>tbl_Actual_costs_quantities34[[#This Row],[Ceramic Tile Works WASH]]*BOQs!$L$12</f>
        <v>0</v>
      </c>
      <c r="AR148" s="76"/>
      <c r="AS148" s="37"/>
      <c r="AT148" s="86">
        <f>tbl_Actual_costs_quantities34[[#This Row],[Electrical Repairs Lighting]]*BOQs!$L$13</f>
        <v>0</v>
      </c>
      <c r="AU148" s="76"/>
      <c r="AV148" s="37"/>
      <c r="AW148" s="86">
        <f>tbl_Actual_costs_quantities34[[#This Row],[Roof Insulation Leak Sealing]]*BOQs!$L$14</f>
        <v>0</v>
      </c>
      <c r="AX148" s="76"/>
      <c r="AY148" s="37"/>
      <c r="AZ148" s="86">
        <f>tbl_Actual_costs_quantities34[[#This Row],[Chimney Duct Cleaning Repair]]*BOQs!$L$15</f>
        <v>0</v>
      </c>
      <c r="BA148" s="76"/>
      <c r="BB148" s="37"/>
      <c r="BC148" s="89">
        <f>tbl_Actual_costs_quantities34[[#This Row],[Accessibility Adaptations]]*BOQs!$L$16</f>
        <v>0</v>
      </c>
      <c r="BD148" s="41"/>
      <c r="BE148" s="37"/>
      <c r="BF148" s="37"/>
    </row>
    <row r="149" spans="2:58" ht="25.15" customHeight="1" x14ac:dyDescent="0.25">
      <c r="B149" s="49">
        <v>145</v>
      </c>
      <c r="C149" s="37"/>
      <c r="D149" s="41"/>
      <c r="E149" s="40"/>
      <c r="F149" s="87" t="str">
        <f>IF(tbl_Actual_costs_quantities34[[#This Row],[House Code]]&lt;&gt;"",INDEX(tbl_Assessment[],MATCH(tbl_Actual_costs_quantities34[[#This Row],[House Code]],tbl_Assessment[House Code],0),3),"")</f>
        <v/>
      </c>
      <c r="G149" s="116" t="str">
        <f>IF(tbl_Actual_costs_quantities34[[#This Row],[House Code]]&lt;&gt;"",INDEX(tbl_Assessment[],MATCH(tbl_Actual_costs_quantities34[[#This Row],[House Code]],tbl_Assessment[House Code],0),9),"")</f>
        <v/>
      </c>
      <c r="H149" s="41"/>
      <c r="I149" s="41"/>
      <c r="J149" s="41"/>
      <c r="K149" s="116"/>
      <c r="L149" s="117" t="str">
        <f>IF(tbl_Actual_costs_quantities34[[#This Row],[House Code]]&lt;&gt;"",tbl_Actual_costs_quantities34[[#This Row],[Total cost]]/INDEX(tbl_estimated_costs_quantities[],MATCH(tbl_Actual_costs_quantities34[[#This Row],[House Code]],tbl_estimated_costs_quantities[House Code],0),7),"")</f>
        <v/>
      </c>
      <c r="M14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49" s="75"/>
      <c r="O149" s="37"/>
      <c r="P149" s="86">
        <f>tbl_Actual_costs_quantities34[[#This Row],[Site Preparation]]*BOQs!$L$3</f>
        <v>0</v>
      </c>
      <c r="Q149" s="76"/>
      <c r="R149" s="37"/>
      <c r="S149" s="86">
        <f>tbl_Actual_costs_quantities34[[#This Row],[Demolition Removal Unsafe Structures]]*BOQs!$L$4</f>
        <v>0</v>
      </c>
      <c r="T149" s="76"/>
      <c r="U149" s="37"/>
      <c r="V149" s="86">
        <f>tbl_Actual_costs_quantities34[[#This Row],[Concrete Works]]*BOQs!$L$5</f>
        <v>0</v>
      </c>
      <c r="W149" s="76"/>
      <c r="X149" s="37"/>
      <c r="Y149" s="86">
        <f>tbl_Actual_costs_quantities34[[#This Row],[Closure External Openings Walls Windows]]*BOQs!$L$6</f>
        <v>0</v>
      </c>
      <c r="Z149" s="76"/>
      <c r="AA149" s="37"/>
      <c r="AB149" s="86">
        <f>tbl_Actual_costs_quantities34[[#This Row],[Plastering Painting]]*BOQs!$L$7</f>
        <v>0</v>
      </c>
      <c r="AC149" s="76"/>
      <c r="AD149" s="37"/>
      <c r="AE149" s="86">
        <f>tbl_Actual_costs_quantities34[[#This Row],[Floor Repairs]]*BOQs!$L$8</f>
        <v>0</v>
      </c>
      <c r="AF149" s="76"/>
      <c r="AG149" s="37"/>
      <c r="AH149" s="86">
        <f>tbl_Actual_costs_quantities34[[#This Row],[Doors Replacement Repair]]*BOQs!$L$9</f>
        <v>0</v>
      </c>
      <c r="AI149" s="76"/>
      <c r="AJ149" s="37"/>
      <c r="AK149" s="86">
        <f>tbl_Actual_costs_quantities34[[#This Row],[Windows Replacement Repair]]*BOQs!$L$10</f>
        <v>0</v>
      </c>
      <c r="AL149" s="76"/>
      <c r="AM149" s="37"/>
      <c r="AN149" s="86">
        <f>tbl_Actual_costs_quantities34[[#This Row],[Bathroom Rehabilitation]]*BOQs!$L$11</f>
        <v>0</v>
      </c>
      <c r="AO149" s="76"/>
      <c r="AP149" s="37"/>
      <c r="AQ149" s="86">
        <f>tbl_Actual_costs_quantities34[[#This Row],[Ceramic Tile Works WASH]]*BOQs!$L$12</f>
        <v>0</v>
      </c>
      <c r="AR149" s="76"/>
      <c r="AS149" s="37"/>
      <c r="AT149" s="86">
        <f>tbl_Actual_costs_quantities34[[#This Row],[Electrical Repairs Lighting]]*BOQs!$L$13</f>
        <v>0</v>
      </c>
      <c r="AU149" s="76"/>
      <c r="AV149" s="37"/>
      <c r="AW149" s="86">
        <f>tbl_Actual_costs_quantities34[[#This Row],[Roof Insulation Leak Sealing]]*BOQs!$L$14</f>
        <v>0</v>
      </c>
      <c r="AX149" s="76"/>
      <c r="AY149" s="37"/>
      <c r="AZ149" s="86">
        <f>tbl_Actual_costs_quantities34[[#This Row],[Chimney Duct Cleaning Repair]]*BOQs!$L$15</f>
        <v>0</v>
      </c>
      <c r="BA149" s="76"/>
      <c r="BB149" s="37"/>
      <c r="BC149" s="89">
        <f>tbl_Actual_costs_quantities34[[#This Row],[Accessibility Adaptations]]*BOQs!$L$16</f>
        <v>0</v>
      </c>
      <c r="BD149" s="41"/>
      <c r="BE149" s="37"/>
      <c r="BF149" s="37"/>
    </row>
    <row r="150" spans="2:58" ht="25.15" customHeight="1" x14ac:dyDescent="0.25">
      <c r="B150" s="49">
        <v>146</v>
      </c>
      <c r="C150" s="37"/>
      <c r="D150" s="41"/>
      <c r="E150" s="40"/>
      <c r="F150" s="87" t="str">
        <f>IF(tbl_Actual_costs_quantities34[[#This Row],[House Code]]&lt;&gt;"",INDEX(tbl_Assessment[],MATCH(tbl_Actual_costs_quantities34[[#This Row],[House Code]],tbl_Assessment[House Code],0),3),"")</f>
        <v/>
      </c>
      <c r="G150" s="116" t="str">
        <f>IF(tbl_Actual_costs_quantities34[[#This Row],[House Code]]&lt;&gt;"",INDEX(tbl_Assessment[],MATCH(tbl_Actual_costs_quantities34[[#This Row],[House Code]],tbl_Assessment[House Code],0),9),"")</f>
        <v/>
      </c>
      <c r="H150" s="41"/>
      <c r="I150" s="41"/>
      <c r="J150" s="41"/>
      <c r="K150" s="116"/>
      <c r="L150" s="117" t="str">
        <f>IF(tbl_Actual_costs_quantities34[[#This Row],[House Code]]&lt;&gt;"",tbl_Actual_costs_quantities34[[#This Row],[Total cost]]/INDEX(tbl_estimated_costs_quantities[],MATCH(tbl_Actual_costs_quantities34[[#This Row],[House Code]],tbl_estimated_costs_quantities[House Code],0),7),"")</f>
        <v/>
      </c>
      <c r="M15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0" s="75"/>
      <c r="O150" s="37"/>
      <c r="P150" s="86">
        <f>tbl_Actual_costs_quantities34[[#This Row],[Site Preparation]]*BOQs!$L$3</f>
        <v>0</v>
      </c>
      <c r="Q150" s="76"/>
      <c r="R150" s="37"/>
      <c r="S150" s="86">
        <f>tbl_Actual_costs_quantities34[[#This Row],[Demolition Removal Unsafe Structures]]*BOQs!$L$4</f>
        <v>0</v>
      </c>
      <c r="T150" s="76"/>
      <c r="U150" s="37"/>
      <c r="V150" s="86">
        <f>tbl_Actual_costs_quantities34[[#This Row],[Concrete Works]]*BOQs!$L$5</f>
        <v>0</v>
      </c>
      <c r="W150" s="76"/>
      <c r="X150" s="37"/>
      <c r="Y150" s="86">
        <f>tbl_Actual_costs_quantities34[[#This Row],[Closure External Openings Walls Windows]]*BOQs!$L$6</f>
        <v>0</v>
      </c>
      <c r="Z150" s="76"/>
      <c r="AA150" s="37"/>
      <c r="AB150" s="86">
        <f>tbl_Actual_costs_quantities34[[#This Row],[Plastering Painting]]*BOQs!$L$7</f>
        <v>0</v>
      </c>
      <c r="AC150" s="76"/>
      <c r="AD150" s="37"/>
      <c r="AE150" s="86">
        <f>tbl_Actual_costs_quantities34[[#This Row],[Floor Repairs]]*BOQs!$L$8</f>
        <v>0</v>
      </c>
      <c r="AF150" s="76"/>
      <c r="AG150" s="37"/>
      <c r="AH150" s="86">
        <f>tbl_Actual_costs_quantities34[[#This Row],[Doors Replacement Repair]]*BOQs!$L$9</f>
        <v>0</v>
      </c>
      <c r="AI150" s="76"/>
      <c r="AJ150" s="37"/>
      <c r="AK150" s="86">
        <f>tbl_Actual_costs_quantities34[[#This Row],[Windows Replacement Repair]]*BOQs!$L$10</f>
        <v>0</v>
      </c>
      <c r="AL150" s="76"/>
      <c r="AM150" s="37"/>
      <c r="AN150" s="86">
        <f>tbl_Actual_costs_quantities34[[#This Row],[Bathroom Rehabilitation]]*BOQs!$L$11</f>
        <v>0</v>
      </c>
      <c r="AO150" s="76"/>
      <c r="AP150" s="37"/>
      <c r="AQ150" s="86">
        <f>tbl_Actual_costs_quantities34[[#This Row],[Ceramic Tile Works WASH]]*BOQs!$L$12</f>
        <v>0</v>
      </c>
      <c r="AR150" s="76"/>
      <c r="AS150" s="37"/>
      <c r="AT150" s="86">
        <f>tbl_Actual_costs_quantities34[[#This Row],[Electrical Repairs Lighting]]*BOQs!$L$13</f>
        <v>0</v>
      </c>
      <c r="AU150" s="76"/>
      <c r="AV150" s="37"/>
      <c r="AW150" s="86">
        <f>tbl_Actual_costs_quantities34[[#This Row],[Roof Insulation Leak Sealing]]*BOQs!$L$14</f>
        <v>0</v>
      </c>
      <c r="AX150" s="76"/>
      <c r="AY150" s="37"/>
      <c r="AZ150" s="86">
        <f>tbl_Actual_costs_quantities34[[#This Row],[Chimney Duct Cleaning Repair]]*BOQs!$L$15</f>
        <v>0</v>
      </c>
      <c r="BA150" s="76"/>
      <c r="BB150" s="37"/>
      <c r="BC150" s="89">
        <f>tbl_Actual_costs_quantities34[[#This Row],[Accessibility Adaptations]]*BOQs!$L$16</f>
        <v>0</v>
      </c>
      <c r="BD150" s="41"/>
      <c r="BE150" s="37"/>
      <c r="BF150" s="37"/>
    </row>
    <row r="151" spans="2:58" ht="25.15" customHeight="1" x14ac:dyDescent="0.25">
      <c r="B151" s="49">
        <v>147</v>
      </c>
      <c r="C151" s="37"/>
      <c r="D151" s="41"/>
      <c r="E151" s="40"/>
      <c r="F151" s="87" t="str">
        <f>IF(tbl_Actual_costs_quantities34[[#This Row],[House Code]]&lt;&gt;"",INDEX(tbl_Assessment[],MATCH(tbl_Actual_costs_quantities34[[#This Row],[House Code]],tbl_Assessment[House Code],0),3),"")</f>
        <v/>
      </c>
      <c r="G151" s="116" t="str">
        <f>IF(tbl_Actual_costs_quantities34[[#This Row],[House Code]]&lt;&gt;"",INDEX(tbl_Assessment[],MATCH(tbl_Actual_costs_quantities34[[#This Row],[House Code]],tbl_Assessment[House Code],0),9),"")</f>
        <v/>
      </c>
      <c r="H151" s="41"/>
      <c r="I151" s="41"/>
      <c r="J151" s="41"/>
      <c r="K151" s="116"/>
      <c r="L151" s="117" t="str">
        <f>IF(tbl_Actual_costs_quantities34[[#This Row],[House Code]]&lt;&gt;"",tbl_Actual_costs_quantities34[[#This Row],[Total cost]]/INDEX(tbl_estimated_costs_quantities[],MATCH(tbl_Actual_costs_quantities34[[#This Row],[House Code]],tbl_estimated_costs_quantities[House Code],0),7),"")</f>
        <v/>
      </c>
      <c r="M15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1" s="75"/>
      <c r="O151" s="37"/>
      <c r="P151" s="86">
        <f>tbl_Actual_costs_quantities34[[#This Row],[Site Preparation]]*BOQs!$L$3</f>
        <v>0</v>
      </c>
      <c r="Q151" s="76"/>
      <c r="R151" s="37"/>
      <c r="S151" s="86">
        <f>tbl_Actual_costs_quantities34[[#This Row],[Demolition Removal Unsafe Structures]]*BOQs!$L$4</f>
        <v>0</v>
      </c>
      <c r="T151" s="76"/>
      <c r="U151" s="37"/>
      <c r="V151" s="86">
        <f>tbl_Actual_costs_quantities34[[#This Row],[Concrete Works]]*BOQs!$L$5</f>
        <v>0</v>
      </c>
      <c r="W151" s="76"/>
      <c r="X151" s="37"/>
      <c r="Y151" s="86">
        <f>tbl_Actual_costs_quantities34[[#This Row],[Closure External Openings Walls Windows]]*BOQs!$L$6</f>
        <v>0</v>
      </c>
      <c r="Z151" s="76"/>
      <c r="AA151" s="37"/>
      <c r="AB151" s="86">
        <f>tbl_Actual_costs_quantities34[[#This Row],[Plastering Painting]]*BOQs!$L$7</f>
        <v>0</v>
      </c>
      <c r="AC151" s="76"/>
      <c r="AD151" s="37"/>
      <c r="AE151" s="86">
        <f>tbl_Actual_costs_quantities34[[#This Row],[Floor Repairs]]*BOQs!$L$8</f>
        <v>0</v>
      </c>
      <c r="AF151" s="76"/>
      <c r="AG151" s="37"/>
      <c r="AH151" s="86">
        <f>tbl_Actual_costs_quantities34[[#This Row],[Doors Replacement Repair]]*BOQs!$L$9</f>
        <v>0</v>
      </c>
      <c r="AI151" s="76"/>
      <c r="AJ151" s="37"/>
      <c r="AK151" s="86">
        <f>tbl_Actual_costs_quantities34[[#This Row],[Windows Replacement Repair]]*BOQs!$L$10</f>
        <v>0</v>
      </c>
      <c r="AL151" s="76"/>
      <c r="AM151" s="37"/>
      <c r="AN151" s="86">
        <f>tbl_Actual_costs_quantities34[[#This Row],[Bathroom Rehabilitation]]*BOQs!$L$11</f>
        <v>0</v>
      </c>
      <c r="AO151" s="76"/>
      <c r="AP151" s="37"/>
      <c r="AQ151" s="86">
        <f>tbl_Actual_costs_quantities34[[#This Row],[Ceramic Tile Works WASH]]*BOQs!$L$12</f>
        <v>0</v>
      </c>
      <c r="AR151" s="76"/>
      <c r="AS151" s="37"/>
      <c r="AT151" s="86">
        <f>tbl_Actual_costs_quantities34[[#This Row],[Electrical Repairs Lighting]]*BOQs!$L$13</f>
        <v>0</v>
      </c>
      <c r="AU151" s="76"/>
      <c r="AV151" s="37"/>
      <c r="AW151" s="86">
        <f>tbl_Actual_costs_quantities34[[#This Row],[Roof Insulation Leak Sealing]]*BOQs!$L$14</f>
        <v>0</v>
      </c>
      <c r="AX151" s="76"/>
      <c r="AY151" s="37"/>
      <c r="AZ151" s="86">
        <f>tbl_Actual_costs_quantities34[[#This Row],[Chimney Duct Cleaning Repair]]*BOQs!$L$15</f>
        <v>0</v>
      </c>
      <c r="BA151" s="76"/>
      <c r="BB151" s="37"/>
      <c r="BC151" s="89">
        <f>tbl_Actual_costs_quantities34[[#This Row],[Accessibility Adaptations]]*BOQs!$L$16</f>
        <v>0</v>
      </c>
      <c r="BD151" s="41"/>
      <c r="BE151" s="37"/>
      <c r="BF151" s="37"/>
    </row>
    <row r="152" spans="2:58" ht="25.15" customHeight="1" x14ac:dyDescent="0.25">
      <c r="B152" s="49">
        <v>148</v>
      </c>
      <c r="C152" s="37"/>
      <c r="D152" s="41"/>
      <c r="E152" s="40"/>
      <c r="F152" s="87" t="str">
        <f>IF(tbl_Actual_costs_quantities34[[#This Row],[House Code]]&lt;&gt;"",INDEX(tbl_Assessment[],MATCH(tbl_Actual_costs_quantities34[[#This Row],[House Code]],tbl_Assessment[House Code],0),3),"")</f>
        <v/>
      </c>
      <c r="G152" s="116" t="str">
        <f>IF(tbl_Actual_costs_quantities34[[#This Row],[House Code]]&lt;&gt;"",INDEX(tbl_Assessment[],MATCH(tbl_Actual_costs_quantities34[[#This Row],[House Code]],tbl_Assessment[House Code],0),9),"")</f>
        <v/>
      </c>
      <c r="H152" s="41"/>
      <c r="I152" s="41"/>
      <c r="J152" s="41"/>
      <c r="K152" s="116"/>
      <c r="L152" s="117" t="str">
        <f>IF(tbl_Actual_costs_quantities34[[#This Row],[House Code]]&lt;&gt;"",tbl_Actual_costs_quantities34[[#This Row],[Total cost]]/INDEX(tbl_estimated_costs_quantities[],MATCH(tbl_Actual_costs_quantities34[[#This Row],[House Code]],tbl_estimated_costs_quantities[House Code],0),7),"")</f>
        <v/>
      </c>
      <c r="M15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2" s="75"/>
      <c r="O152" s="37"/>
      <c r="P152" s="86">
        <f>tbl_Actual_costs_quantities34[[#This Row],[Site Preparation]]*BOQs!$L$3</f>
        <v>0</v>
      </c>
      <c r="Q152" s="76"/>
      <c r="R152" s="37"/>
      <c r="S152" s="86">
        <f>tbl_Actual_costs_quantities34[[#This Row],[Demolition Removal Unsafe Structures]]*BOQs!$L$4</f>
        <v>0</v>
      </c>
      <c r="T152" s="76"/>
      <c r="U152" s="37"/>
      <c r="V152" s="86">
        <f>tbl_Actual_costs_quantities34[[#This Row],[Concrete Works]]*BOQs!$L$5</f>
        <v>0</v>
      </c>
      <c r="W152" s="76"/>
      <c r="X152" s="37"/>
      <c r="Y152" s="86">
        <f>tbl_Actual_costs_quantities34[[#This Row],[Closure External Openings Walls Windows]]*BOQs!$L$6</f>
        <v>0</v>
      </c>
      <c r="Z152" s="76"/>
      <c r="AA152" s="37"/>
      <c r="AB152" s="86">
        <f>tbl_Actual_costs_quantities34[[#This Row],[Plastering Painting]]*BOQs!$L$7</f>
        <v>0</v>
      </c>
      <c r="AC152" s="76"/>
      <c r="AD152" s="37"/>
      <c r="AE152" s="86">
        <f>tbl_Actual_costs_quantities34[[#This Row],[Floor Repairs]]*BOQs!$L$8</f>
        <v>0</v>
      </c>
      <c r="AF152" s="76"/>
      <c r="AG152" s="37"/>
      <c r="AH152" s="86">
        <f>tbl_Actual_costs_quantities34[[#This Row],[Doors Replacement Repair]]*BOQs!$L$9</f>
        <v>0</v>
      </c>
      <c r="AI152" s="76"/>
      <c r="AJ152" s="37"/>
      <c r="AK152" s="86">
        <f>tbl_Actual_costs_quantities34[[#This Row],[Windows Replacement Repair]]*BOQs!$L$10</f>
        <v>0</v>
      </c>
      <c r="AL152" s="76"/>
      <c r="AM152" s="37"/>
      <c r="AN152" s="86">
        <f>tbl_Actual_costs_quantities34[[#This Row],[Bathroom Rehabilitation]]*BOQs!$L$11</f>
        <v>0</v>
      </c>
      <c r="AO152" s="76"/>
      <c r="AP152" s="37"/>
      <c r="AQ152" s="86">
        <f>tbl_Actual_costs_quantities34[[#This Row],[Ceramic Tile Works WASH]]*BOQs!$L$12</f>
        <v>0</v>
      </c>
      <c r="AR152" s="76"/>
      <c r="AS152" s="37"/>
      <c r="AT152" s="86">
        <f>tbl_Actual_costs_quantities34[[#This Row],[Electrical Repairs Lighting]]*BOQs!$L$13</f>
        <v>0</v>
      </c>
      <c r="AU152" s="76"/>
      <c r="AV152" s="37"/>
      <c r="AW152" s="86">
        <f>tbl_Actual_costs_quantities34[[#This Row],[Roof Insulation Leak Sealing]]*BOQs!$L$14</f>
        <v>0</v>
      </c>
      <c r="AX152" s="76"/>
      <c r="AY152" s="37"/>
      <c r="AZ152" s="86">
        <f>tbl_Actual_costs_quantities34[[#This Row],[Chimney Duct Cleaning Repair]]*BOQs!$L$15</f>
        <v>0</v>
      </c>
      <c r="BA152" s="76"/>
      <c r="BB152" s="37"/>
      <c r="BC152" s="89">
        <f>tbl_Actual_costs_quantities34[[#This Row],[Accessibility Adaptations]]*BOQs!$L$16</f>
        <v>0</v>
      </c>
      <c r="BD152" s="41"/>
      <c r="BE152" s="37"/>
      <c r="BF152" s="37"/>
    </row>
    <row r="153" spans="2:58" ht="25.15" customHeight="1" x14ac:dyDescent="0.25">
      <c r="B153" s="49">
        <v>149</v>
      </c>
      <c r="C153" s="37"/>
      <c r="D153" s="41"/>
      <c r="E153" s="40"/>
      <c r="F153" s="87" t="str">
        <f>IF(tbl_Actual_costs_quantities34[[#This Row],[House Code]]&lt;&gt;"",INDEX(tbl_Assessment[],MATCH(tbl_Actual_costs_quantities34[[#This Row],[House Code]],tbl_Assessment[House Code],0),3),"")</f>
        <v/>
      </c>
      <c r="G153" s="116" t="str">
        <f>IF(tbl_Actual_costs_quantities34[[#This Row],[House Code]]&lt;&gt;"",INDEX(tbl_Assessment[],MATCH(tbl_Actual_costs_quantities34[[#This Row],[House Code]],tbl_Assessment[House Code],0),9),"")</f>
        <v/>
      </c>
      <c r="H153" s="41"/>
      <c r="I153" s="41"/>
      <c r="J153" s="41"/>
      <c r="K153" s="116"/>
      <c r="L153" s="117" t="str">
        <f>IF(tbl_Actual_costs_quantities34[[#This Row],[House Code]]&lt;&gt;"",tbl_Actual_costs_quantities34[[#This Row],[Total cost]]/INDEX(tbl_estimated_costs_quantities[],MATCH(tbl_Actual_costs_quantities34[[#This Row],[House Code]],tbl_estimated_costs_quantities[House Code],0),7),"")</f>
        <v/>
      </c>
      <c r="M15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3" s="75"/>
      <c r="O153" s="37"/>
      <c r="P153" s="86">
        <f>tbl_Actual_costs_quantities34[[#This Row],[Site Preparation]]*BOQs!$L$3</f>
        <v>0</v>
      </c>
      <c r="Q153" s="76"/>
      <c r="R153" s="37"/>
      <c r="S153" s="86">
        <f>tbl_Actual_costs_quantities34[[#This Row],[Demolition Removal Unsafe Structures]]*BOQs!$L$4</f>
        <v>0</v>
      </c>
      <c r="T153" s="76"/>
      <c r="U153" s="37"/>
      <c r="V153" s="86">
        <f>tbl_Actual_costs_quantities34[[#This Row],[Concrete Works]]*BOQs!$L$5</f>
        <v>0</v>
      </c>
      <c r="W153" s="76"/>
      <c r="X153" s="37"/>
      <c r="Y153" s="86">
        <f>tbl_Actual_costs_quantities34[[#This Row],[Closure External Openings Walls Windows]]*BOQs!$L$6</f>
        <v>0</v>
      </c>
      <c r="Z153" s="76"/>
      <c r="AA153" s="37"/>
      <c r="AB153" s="86">
        <f>tbl_Actual_costs_quantities34[[#This Row],[Plastering Painting]]*BOQs!$L$7</f>
        <v>0</v>
      </c>
      <c r="AC153" s="76"/>
      <c r="AD153" s="37"/>
      <c r="AE153" s="86">
        <f>tbl_Actual_costs_quantities34[[#This Row],[Floor Repairs]]*BOQs!$L$8</f>
        <v>0</v>
      </c>
      <c r="AF153" s="76"/>
      <c r="AG153" s="37"/>
      <c r="AH153" s="86">
        <f>tbl_Actual_costs_quantities34[[#This Row],[Doors Replacement Repair]]*BOQs!$L$9</f>
        <v>0</v>
      </c>
      <c r="AI153" s="76"/>
      <c r="AJ153" s="37"/>
      <c r="AK153" s="86">
        <f>tbl_Actual_costs_quantities34[[#This Row],[Windows Replacement Repair]]*BOQs!$L$10</f>
        <v>0</v>
      </c>
      <c r="AL153" s="76"/>
      <c r="AM153" s="37"/>
      <c r="AN153" s="86">
        <f>tbl_Actual_costs_quantities34[[#This Row],[Bathroom Rehabilitation]]*BOQs!$L$11</f>
        <v>0</v>
      </c>
      <c r="AO153" s="76"/>
      <c r="AP153" s="37"/>
      <c r="AQ153" s="86">
        <f>tbl_Actual_costs_quantities34[[#This Row],[Ceramic Tile Works WASH]]*BOQs!$L$12</f>
        <v>0</v>
      </c>
      <c r="AR153" s="76"/>
      <c r="AS153" s="37"/>
      <c r="AT153" s="86">
        <f>tbl_Actual_costs_quantities34[[#This Row],[Electrical Repairs Lighting]]*BOQs!$L$13</f>
        <v>0</v>
      </c>
      <c r="AU153" s="76"/>
      <c r="AV153" s="37"/>
      <c r="AW153" s="86">
        <f>tbl_Actual_costs_quantities34[[#This Row],[Roof Insulation Leak Sealing]]*BOQs!$L$14</f>
        <v>0</v>
      </c>
      <c r="AX153" s="76"/>
      <c r="AY153" s="37"/>
      <c r="AZ153" s="86">
        <f>tbl_Actual_costs_quantities34[[#This Row],[Chimney Duct Cleaning Repair]]*BOQs!$L$15</f>
        <v>0</v>
      </c>
      <c r="BA153" s="76"/>
      <c r="BB153" s="37"/>
      <c r="BC153" s="89">
        <f>tbl_Actual_costs_quantities34[[#This Row],[Accessibility Adaptations]]*BOQs!$L$16</f>
        <v>0</v>
      </c>
      <c r="BD153" s="41"/>
      <c r="BE153" s="37"/>
      <c r="BF153" s="37"/>
    </row>
    <row r="154" spans="2:58" ht="25.15" customHeight="1" x14ac:dyDescent="0.25">
      <c r="B154" s="49">
        <v>150</v>
      </c>
      <c r="C154" s="37"/>
      <c r="D154" s="41"/>
      <c r="E154" s="40"/>
      <c r="F154" s="87" t="str">
        <f>IF(tbl_Actual_costs_quantities34[[#This Row],[House Code]]&lt;&gt;"",INDEX(tbl_Assessment[],MATCH(tbl_Actual_costs_quantities34[[#This Row],[House Code]],tbl_Assessment[House Code],0),3),"")</f>
        <v/>
      </c>
      <c r="G154" s="116" t="str">
        <f>IF(tbl_Actual_costs_quantities34[[#This Row],[House Code]]&lt;&gt;"",INDEX(tbl_Assessment[],MATCH(tbl_Actual_costs_quantities34[[#This Row],[House Code]],tbl_Assessment[House Code],0),9),"")</f>
        <v/>
      </c>
      <c r="H154" s="41"/>
      <c r="I154" s="41"/>
      <c r="J154" s="41"/>
      <c r="K154" s="116"/>
      <c r="L154" s="117" t="str">
        <f>IF(tbl_Actual_costs_quantities34[[#This Row],[House Code]]&lt;&gt;"",tbl_Actual_costs_quantities34[[#This Row],[Total cost]]/INDEX(tbl_estimated_costs_quantities[],MATCH(tbl_Actual_costs_quantities34[[#This Row],[House Code]],tbl_estimated_costs_quantities[House Code],0),7),"")</f>
        <v/>
      </c>
      <c r="M15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4" s="75"/>
      <c r="O154" s="37"/>
      <c r="P154" s="86">
        <f>tbl_Actual_costs_quantities34[[#This Row],[Site Preparation]]*BOQs!$L$3</f>
        <v>0</v>
      </c>
      <c r="Q154" s="76"/>
      <c r="R154" s="37"/>
      <c r="S154" s="86">
        <f>tbl_Actual_costs_quantities34[[#This Row],[Demolition Removal Unsafe Structures]]*BOQs!$L$4</f>
        <v>0</v>
      </c>
      <c r="T154" s="76"/>
      <c r="U154" s="37"/>
      <c r="V154" s="86">
        <f>tbl_Actual_costs_quantities34[[#This Row],[Concrete Works]]*BOQs!$L$5</f>
        <v>0</v>
      </c>
      <c r="W154" s="76"/>
      <c r="X154" s="37"/>
      <c r="Y154" s="86">
        <f>tbl_Actual_costs_quantities34[[#This Row],[Closure External Openings Walls Windows]]*BOQs!$L$6</f>
        <v>0</v>
      </c>
      <c r="Z154" s="76"/>
      <c r="AA154" s="37"/>
      <c r="AB154" s="86">
        <f>tbl_Actual_costs_quantities34[[#This Row],[Plastering Painting]]*BOQs!$L$7</f>
        <v>0</v>
      </c>
      <c r="AC154" s="76"/>
      <c r="AD154" s="37"/>
      <c r="AE154" s="86">
        <f>tbl_Actual_costs_quantities34[[#This Row],[Floor Repairs]]*BOQs!$L$8</f>
        <v>0</v>
      </c>
      <c r="AF154" s="76"/>
      <c r="AG154" s="37"/>
      <c r="AH154" s="86">
        <f>tbl_Actual_costs_quantities34[[#This Row],[Doors Replacement Repair]]*BOQs!$L$9</f>
        <v>0</v>
      </c>
      <c r="AI154" s="76"/>
      <c r="AJ154" s="37"/>
      <c r="AK154" s="86">
        <f>tbl_Actual_costs_quantities34[[#This Row],[Windows Replacement Repair]]*BOQs!$L$10</f>
        <v>0</v>
      </c>
      <c r="AL154" s="76"/>
      <c r="AM154" s="37"/>
      <c r="AN154" s="86">
        <f>tbl_Actual_costs_quantities34[[#This Row],[Bathroom Rehabilitation]]*BOQs!$L$11</f>
        <v>0</v>
      </c>
      <c r="AO154" s="76"/>
      <c r="AP154" s="37"/>
      <c r="AQ154" s="86">
        <f>tbl_Actual_costs_quantities34[[#This Row],[Ceramic Tile Works WASH]]*BOQs!$L$12</f>
        <v>0</v>
      </c>
      <c r="AR154" s="76"/>
      <c r="AS154" s="37"/>
      <c r="AT154" s="86">
        <f>tbl_Actual_costs_quantities34[[#This Row],[Electrical Repairs Lighting]]*BOQs!$L$13</f>
        <v>0</v>
      </c>
      <c r="AU154" s="76"/>
      <c r="AV154" s="37"/>
      <c r="AW154" s="86">
        <f>tbl_Actual_costs_quantities34[[#This Row],[Roof Insulation Leak Sealing]]*BOQs!$L$14</f>
        <v>0</v>
      </c>
      <c r="AX154" s="76"/>
      <c r="AY154" s="37"/>
      <c r="AZ154" s="86">
        <f>tbl_Actual_costs_quantities34[[#This Row],[Chimney Duct Cleaning Repair]]*BOQs!$L$15</f>
        <v>0</v>
      </c>
      <c r="BA154" s="76"/>
      <c r="BB154" s="37"/>
      <c r="BC154" s="89">
        <f>tbl_Actual_costs_quantities34[[#This Row],[Accessibility Adaptations]]*BOQs!$L$16</f>
        <v>0</v>
      </c>
      <c r="BD154" s="41"/>
      <c r="BE154" s="37"/>
      <c r="BF154" s="37"/>
    </row>
    <row r="155" spans="2:58" ht="25.15" customHeight="1" x14ac:dyDescent="0.25">
      <c r="B155" s="49">
        <v>151</v>
      </c>
      <c r="C155" s="37"/>
      <c r="D155" s="41"/>
      <c r="E155" s="40"/>
      <c r="F155" s="87" t="str">
        <f>IF(tbl_Actual_costs_quantities34[[#This Row],[House Code]]&lt;&gt;"",INDEX(tbl_Assessment[],MATCH(tbl_Actual_costs_quantities34[[#This Row],[House Code]],tbl_Assessment[House Code],0),3),"")</f>
        <v/>
      </c>
      <c r="G155" s="116" t="str">
        <f>IF(tbl_Actual_costs_quantities34[[#This Row],[House Code]]&lt;&gt;"",INDEX(tbl_Assessment[],MATCH(tbl_Actual_costs_quantities34[[#This Row],[House Code]],tbl_Assessment[House Code],0),9),"")</f>
        <v/>
      </c>
      <c r="H155" s="41"/>
      <c r="I155" s="41"/>
      <c r="J155" s="41"/>
      <c r="K155" s="116"/>
      <c r="L155" s="117" t="str">
        <f>IF(tbl_Actual_costs_quantities34[[#This Row],[House Code]]&lt;&gt;"",tbl_Actual_costs_quantities34[[#This Row],[Total cost]]/INDEX(tbl_estimated_costs_quantities[],MATCH(tbl_Actual_costs_quantities34[[#This Row],[House Code]],tbl_estimated_costs_quantities[House Code],0),7),"")</f>
        <v/>
      </c>
      <c r="M15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5" s="75"/>
      <c r="O155" s="37"/>
      <c r="P155" s="86">
        <f>tbl_Actual_costs_quantities34[[#This Row],[Site Preparation]]*BOQs!$L$3</f>
        <v>0</v>
      </c>
      <c r="Q155" s="76"/>
      <c r="R155" s="37"/>
      <c r="S155" s="86">
        <f>tbl_Actual_costs_quantities34[[#This Row],[Demolition Removal Unsafe Structures]]*BOQs!$L$4</f>
        <v>0</v>
      </c>
      <c r="T155" s="76"/>
      <c r="U155" s="37"/>
      <c r="V155" s="86">
        <f>tbl_Actual_costs_quantities34[[#This Row],[Concrete Works]]*BOQs!$L$5</f>
        <v>0</v>
      </c>
      <c r="W155" s="76"/>
      <c r="X155" s="37"/>
      <c r="Y155" s="86">
        <f>tbl_Actual_costs_quantities34[[#This Row],[Closure External Openings Walls Windows]]*BOQs!$L$6</f>
        <v>0</v>
      </c>
      <c r="Z155" s="76"/>
      <c r="AA155" s="37"/>
      <c r="AB155" s="86">
        <f>tbl_Actual_costs_quantities34[[#This Row],[Plastering Painting]]*BOQs!$L$7</f>
        <v>0</v>
      </c>
      <c r="AC155" s="76"/>
      <c r="AD155" s="37"/>
      <c r="AE155" s="86">
        <f>tbl_Actual_costs_quantities34[[#This Row],[Floor Repairs]]*BOQs!$L$8</f>
        <v>0</v>
      </c>
      <c r="AF155" s="76"/>
      <c r="AG155" s="37"/>
      <c r="AH155" s="86">
        <f>tbl_Actual_costs_quantities34[[#This Row],[Doors Replacement Repair]]*BOQs!$L$9</f>
        <v>0</v>
      </c>
      <c r="AI155" s="76"/>
      <c r="AJ155" s="37"/>
      <c r="AK155" s="86">
        <f>tbl_Actual_costs_quantities34[[#This Row],[Windows Replacement Repair]]*BOQs!$L$10</f>
        <v>0</v>
      </c>
      <c r="AL155" s="76"/>
      <c r="AM155" s="37"/>
      <c r="AN155" s="86">
        <f>tbl_Actual_costs_quantities34[[#This Row],[Bathroom Rehabilitation]]*BOQs!$L$11</f>
        <v>0</v>
      </c>
      <c r="AO155" s="76"/>
      <c r="AP155" s="37"/>
      <c r="AQ155" s="86">
        <f>tbl_Actual_costs_quantities34[[#This Row],[Ceramic Tile Works WASH]]*BOQs!$L$12</f>
        <v>0</v>
      </c>
      <c r="AR155" s="76"/>
      <c r="AS155" s="37"/>
      <c r="AT155" s="86">
        <f>tbl_Actual_costs_quantities34[[#This Row],[Electrical Repairs Lighting]]*BOQs!$L$13</f>
        <v>0</v>
      </c>
      <c r="AU155" s="76"/>
      <c r="AV155" s="37"/>
      <c r="AW155" s="86">
        <f>tbl_Actual_costs_quantities34[[#This Row],[Roof Insulation Leak Sealing]]*BOQs!$L$14</f>
        <v>0</v>
      </c>
      <c r="AX155" s="76"/>
      <c r="AY155" s="37"/>
      <c r="AZ155" s="86">
        <f>tbl_Actual_costs_quantities34[[#This Row],[Chimney Duct Cleaning Repair]]*BOQs!$L$15</f>
        <v>0</v>
      </c>
      <c r="BA155" s="76"/>
      <c r="BB155" s="37"/>
      <c r="BC155" s="89">
        <f>tbl_Actual_costs_quantities34[[#This Row],[Accessibility Adaptations]]*BOQs!$L$16</f>
        <v>0</v>
      </c>
      <c r="BD155" s="41"/>
      <c r="BE155" s="37"/>
      <c r="BF155" s="37"/>
    </row>
    <row r="156" spans="2:58" ht="25.15" customHeight="1" x14ac:dyDescent="0.25">
      <c r="B156" s="49">
        <v>152</v>
      </c>
      <c r="C156" s="37"/>
      <c r="D156" s="41"/>
      <c r="E156" s="40"/>
      <c r="F156" s="87" t="str">
        <f>IF(tbl_Actual_costs_quantities34[[#This Row],[House Code]]&lt;&gt;"",INDEX(tbl_Assessment[],MATCH(tbl_Actual_costs_quantities34[[#This Row],[House Code]],tbl_Assessment[House Code],0),3),"")</f>
        <v/>
      </c>
      <c r="G156" s="116" t="str">
        <f>IF(tbl_Actual_costs_quantities34[[#This Row],[House Code]]&lt;&gt;"",INDEX(tbl_Assessment[],MATCH(tbl_Actual_costs_quantities34[[#This Row],[House Code]],tbl_Assessment[House Code],0),9),"")</f>
        <v/>
      </c>
      <c r="H156" s="41"/>
      <c r="I156" s="41"/>
      <c r="J156" s="41"/>
      <c r="K156" s="116"/>
      <c r="L156" s="117" t="str">
        <f>IF(tbl_Actual_costs_quantities34[[#This Row],[House Code]]&lt;&gt;"",tbl_Actual_costs_quantities34[[#This Row],[Total cost]]/INDEX(tbl_estimated_costs_quantities[],MATCH(tbl_Actual_costs_quantities34[[#This Row],[House Code]],tbl_estimated_costs_quantities[House Code],0),7),"")</f>
        <v/>
      </c>
      <c r="M15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6" s="75"/>
      <c r="O156" s="37"/>
      <c r="P156" s="86">
        <f>tbl_Actual_costs_quantities34[[#This Row],[Site Preparation]]*BOQs!$L$3</f>
        <v>0</v>
      </c>
      <c r="Q156" s="76"/>
      <c r="R156" s="37"/>
      <c r="S156" s="86">
        <f>tbl_Actual_costs_quantities34[[#This Row],[Demolition Removal Unsafe Structures]]*BOQs!$L$4</f>
        <v>0</v>
      </c>
      <c r="T156" s="76"/>
      <c r="U156" s="37"/>
      <c r="V156" s="86">
        <f>tbl_Actual_costs_quantities34[[#This Row],[Concrete Works]]*BOQs!$L$5</f>
        <v>0</v>
      </c>
      <c r="W156" s="76"/>
      <c r="X156" s="37"/>
      <c r="Y156" s="86">
        <f>tbl_Actual_costs_quantities34[[#This Row],[Closure External Openings Walls Windows]]*BOQs!$L$6</f>
        <v>0</v>
      </c>
      <c r="Z156" s="76"/>
      <c r="AA156" s="37"/>
      <c r="AB156" s="86">
        <f>tbl_Actual_costs_quantities34[[#This Row],[Plastering Painting]]*BOQs!$L$7</f>
        <v>0</v>
      </c>
      <c r="AC156" s="76"/>
      <c r="AD156" s="37"/>
      <c r="AE156" s="86">
        <f>tbl_Actual_costs_quantities34[[#This Row],[Floor Repairs]]*BOQs!$L$8</f>
        <v>0</v>
      </c>
      <c r="AF156" s="76"/>
      <c r="AG156" s="37"/>
      <c r="AH156" s="86">
        <f>tbl_Actual_costs_quantities34[[#This Row],[Doors Replacement Repair]]*BOQs!$L$9</f>
        <v>0</v>
      </c>
      <c r="AI156" s="76"/>
      <c r="AJ156" s="37"/>
      <c r="AK156" s="86">
        <f>tbl_Actual_costs_quantities34[[#This Row],[Windows Replacement Repair]]*BOQs!$L$10</f>
        <v>0</v>
      </c>
      <c r="AL156" s="76"/>
      <c r="AM156" s="37"/>
      <c r="AN156" s="86">
        <f>tbl_Actual_costs_quantities34[[#This Row],[Bathroom Rehabilitation]]*BOQs!$L$11</f>
        <v>0</v>
      </c>
      <c r="AO156" s="76"/>
      <c r="AP156" s="37"/>
      <c r="AQ156" s="86">
        <f>tbl_Actual_costs_quantities34[[#This Row],[Ceramic Tile Works WASH]]*BOQs!$L$12</f>
        <v>0</v>
      </c>
      <c r="AR156" s="76"/>
      <c r="AS156" s="37"/>
      <c r="AT156" s="86">
        <f>tbl_Actual_costs_quantities34[[#This Row],[Electrical Repairs Lighting]]*BOQs!$L$13</f>
        <v>0</v>
      </c>
      <c r="AU156" s="76"/>
      <c r="AV156" s="37"/>
      <c r="AW156" s="86">
        <f>tbl_Actual_costs_quantities34[[#This Row],[Roof Insulation Leak Sealing]]*BOQs!$L$14</f>
        <v>0</v>
      </c>
      <c r="AX156" s="76"/>
      <c r="AY156" s="37"/>
      <c r="AZ156" s="86">
        <f>tbl_Actual_costs_quantities34[[#This Row],[Chimney Duct Cleaning Repair]]*BOQs!$L$15</f>
        <v>0</v>
      </c>
      <c r="BA156" s="76"/>
      <c r="BB156" s="37"/>
      <c r="BC156" s="89">
        <f>tbl_Actual_costs_quantities34[[#This Row],[Accessibility Adaptations]]*BOQs!$L$16</f>
        <v>0</v>
      </c>
      <c r="BD156" s="41"/>
      <c r="BE156" s="37"/>
      <c r="BF156" s="37"/>
    </row>
    <row r="157" spans="2:58" ht="25.15" customHeight="1" x14ac:dyDescent="0.25">
      <c r="B157" s="49">
        <v>153</v>
      </c>
      <c r="C157" s="37"/>
      <c r="D157" s="41"/>
      <c r="E157" s="40"/>
      <c r="F157" s="87" t="str">
        <f>IF(tbl_Actual_costs_quantities34[[#This Row],[House Code]]&lt;&gt;"",INDEX(tbl_Assessment[],MATCH(tbl_Actual_costs_quantities34[[#This Row],[House Code]],tbl_Assessment[House Code],0),3),"")</f>
        <v/>
      </c>
      <c r="G157" s="116" t="str">
        <f>IF(tbl_Actual_costs_quantities34[[#This Row],[House Code]]&lt;&gt;"",INDEX(tbl_Assessment[],MATCH(tbl_Actual_costs_quantities34[[#This Row],[House Code]],tbl_Assessment[House Code],0),9),"")</f>
        <v/>
      </c>
      <c r="H157" s="41"/>
      <c r="I157" s="41"/>
      <c r="J157" s="41"/>
      <c r="K157" s="116"/>
      <c r="L157" s="117" t="str">
        <f>IF(tbl_Actual_costs_quantities34[[#This Row],[House Code]]&lt;&gt;"",tbl_Actual_costs_quantities34[[#This Row],[Total cost]]/INDEX(tbl_estimated_costs_quantities[],MATCH(tbl_Actual_costs_quantities34[[#This Row],[House Code]],tbl_estimated_costs_quantities[House Code],0),7),"")</f>
        <v/>
      </c>
      <c r="M15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7" s="75"/>
      <c r="O157" s="37"/>
      <c r="P157" s="86">
        <f>tbl_Actual_costs_quantities34[[#This Row],[Site Preparation]]*BOQs!$L$3</f>
        <v>0</v>
      </c>
      <c r="Q157" s="76"/>
      <c r="R157" s="37"/>
      <c r="S157" s="86">
        <f>tbl_Actual_costs_quantities34[[#This Row],[Demolition Removal Unsafe Structures]]*BOQs!$L$4</f>
        <v>0</v>
      </c>
      <c r="T157" s="76"/>
      <c r="U157" s="37"/>
      <c r="V157" s="86">
        <f>tbl_Actual_costs_quantities34[[#This Row],[Concrete Works]]*BOQs!$L$5</f>
        <v>0</v>
      </c>
      <c r="W157" s="76"/>
      <c r="X157" s="37"/>
      <c r="Y157" s="86">
        <f>tbl_Actual_costs_quantities34[[#This Row],[Closure External Openings Walls Windows]]*BOQs!$L$6</f>
        <v>0</v>
      </c>
      <c r="Z157" s="76"/>
      <c r="AA157" s="37"/>
      <c r="AB157" s="86">
        <f>tbl_Actual_costs_quantities34[[#This Row],[Plastering Painting]]*BOQs!$L$7</f>
        <v>0</v>
      </c>
      <c r="AC157" s="76"/>
      <c r="AD157" s="37"/>
      <c r="AE157" s="86">
        <f>tbl_Actual_costs_quantities34[[#This Row],[Floor Repairs]]*BOQs!$L$8</f>
        <v>0</v>
      </c>
      <c r="AF157" s="76"/>
      <c r="AG157" s="37"/>
      <c r="AH157" s="86">
        <f>tbl_Actual_costs_quantities34[[#This Row],[Doors Replacement Repair]]*BOQs!$L$9</f>
        <v>0</v>
      </c>
      <c r="AI157" s="76"/>
      <c r="AJ157" s="37"/>
      <c r="AK157" s="86">
        <f>tbl_Actual_costs_quantities34[[#This Row],[Windows Replacement Repair]]*BOQs!$L$10</f>
        <v>0</v>
      </c>
      <c r="AL157" s="76"/>
      <c r="AM157" s="37"/>
      <c r="AN157" s="86">
        <f>tbl_Actual_costs_quantities34[[#This Row],[Bathroom Rehabilitation]]*BOQs!$L$11</f>
        <v>0</v>
      </c>
      <c r="AO157" s="76"/>
      <c r="AP157" s="37"/>
      <c r="AQ157" s="86">
        <f>tbl_Actual_costs_quantities34[[#This Row],[Ceramic Tile Works WASH]]*BOQs!$L$12</f>
        <v>0</v>
      </c>
      <c r="AR157" s="76"/>
      <c r="AS157" s="37"/>
      <c r="AT157" s="86">
        <f>tbl_Actual_costs_quantities34[[#This Row],[Electrical Repairs Lighting]]*BOQs!$L$13</f>
        <v>0</v>
      </c>
      <c r="AU157" s="76"/>
      <c r="AV157" s="37"/>
      <c r="AW157" s="86">
        <f>tbl_Actual_costs_quantities34[[#This Row],[Roof Insulation Leak Sealing]]*BOQs!$L$14</f>
        <v>0</v>
      </c>
      <c r="AX157" s="76"/>
      <c r="AY157" s="37"/>
      <c r="AZ157" s="86">
        <f>tbl_Actual_costs_quantities34[[#This Row],[Chimney Duct Cleaning Repair]]*BOQs!$L$15</f>
        <v>0</v>
      </c>
      <c r="BA157" s="76"/>
      <c r="BB157" s="37"/>
      <c r="BC157" s="89">
        <f>tbl_Actual_costs_quantities34[[#This Row],[Accessibility Adaptations]]*BOQs!$L$16</f>
        <v>0</v>
      </c>
      <c r="BD157" s="41"/>
      <c r="BE157" s="37"/>
      <c r="BF157" s="37"/>
    </row>
    <row r="158" spans="2:58" ht="25.15" customHeight="1" x14ac:dyDescent="0.25">
      <c r="B158" s="49">
        <v>154</v>
      </c>
      <c r="C158" s="37"/>
      <c r="D158" s="41"/>
      <c r="E158" s="40"/>
      <c r="F158" s="87" t="str">
        <f>IF(tbl_Actual_costs_quantities34[[#This Row],[House Code]]&lt;&gt;"",INDEX(tbl_Assessment[],MATCH(tbl_Actual_costs_quantities34[[#This Row],[House Code]],tbl_Assessment[House Code],0),3),"")</f>
        <v/>
      </c>
      <c r="G158" s="116" t="str">
        <f>IF(tbl_Actual_costs_quantities34[[#This Row],[House Code]]&lt;&gt;"",INDEX(tbl_Assessment[],MATCH(tbl_Actual_costs_quantities34[[#This Row],[House Code]],tbl_Assessment[House Code],0),9),"")</f>
        <v/>
      </c>
      <c r="H158" s="41"/>
      <c r="I158" s="41"/>
      <c r="J158" s="41"/>
      <c r="K158" s="116"/>
      <c r="L158" s="117" t="str">
        <f>IF(tbl_Actual_costs_quantities34[[#This Row],[House Code]]&lt;&gt;"",tbl_Actual_costs_quantities34[[#This Row],[Total cost]]/INDEX(tbl_estimated_costs_quantities[],MATCH(tbl_Actual_costs_quantities34[[#This Row],[House Code]],tbl_estimated_costs_quantities[House Code],0),7),"")</f>
        <v/>
      </c>
      <c r="M15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8" s="75"/>
      <c r="O158" s="37"/>
      <c r="P158" s="86">
        <f>tbl_Actual_costs_quantities34[[#This Row],[Site Preparation]]*BOQs!$L$3</f>
        <v>0</v>
      </c>
      <c r="Q158" s="76"/>
      <c r="R158" s="37"/>
      <c r="S158" s="86">
        <f>tbl_Actual_costs_quantities34[[#This Row],[Demolition Removal Unsafe Structures]]*BOQs!$L$4</f>
        <v>0</v>
      </c>
      <c r="T158" s="76"/>
      <c r="U158" s="37"/>
      <c r="V158" s="86">
        <f>tbl_Actual_costs_quantities34[[#This Row],[Concrete Works]]*BOQs!$L$5</f>
        <v>0</v>
      </c>
      <c r="W158" s="76"/>
      <c r="X158" s="37"/>
      <c r="Y158" s="86">
        <f>tbl_Actual_costs_quantities34[[#This Row],[Closure External Openings Walls Windows]]*BOQs!$L$6</f>
        <v>0</v>
      </c>
      <c r="Z158" s="76"/>
      <c r="AA158" s="37"/>
      <c r="AB158" s="86">
        <f>tbl_Actual_costs_quantities34[[#This Row],[Plastering Painting]]*BOQs!$L$7</f>
        <v>0</v>
      </c>
      <c r="AC158" s="76"/>
      <c r="AD158" s="37"/>
      <c r="AE158" s="86">
        <f>tbl_Actual_costs_quantities34[[#This Row],[Floor Repairs]]*BOQs!$L$8</f>
        <v>0</v>
      </c>
      <c r="AF158" s="76"/>
      <c r="AG158" s="37"/>
      <c r="AH158" s="86">
        <f>tbl_Actual_costs_quantities34[[#This Row],[Doors Replacement Repair]]*BOQs!$L$9</f>
        <v>0</v>
      </c>
      <c r="AI158" s="76"/>
      <c r="AJ158" s="37"/>
      <c r="AK158" s="86">
        <f>tbl_Actual_costs_quantities34[[#This Row],[Windows Replacement Repair]]*BOQs!$L$10</f>
        <v>0</v>
      </c>
      <c r="AL158" s="76"/>
      <c r="AM158" s="37"/>
      <c r="AN158" s="86">
        <f>tbl_Actual_costs_quantities34[[#This Row],[Bathroom Rehabilitation]]*BOQs!$L$11</f>
        <v>0</v>
      </c>
      <c r="AO158" s="76"/>
      <c r="AP158" s="37"/>
      <c r="AQ158" s="86">
        <f>tbl_Actual_costs_quantities34[[#This Row],[Ceramic Tile Works WASH]]*BOQs!$L$12</f>
        <v>0</v>
      </c>
      <c r="AR158" s="76"/>
      <c r="AS158" s="37"/>
      <c r="AT158" s="86">
        <f>tbl_Actual_costs_quantities34[[#This Row],[Electrical Repairs Lighting]]*BOQs!$L$13</f>
        <v>0</v>
      </c>
      <c r="AU158" s="76"/>
      <c r="AV158" s="37"/>
      <c r="AW158" s="86">
        <f>tbl_Actual_costs_quantities34[[#This Row],[Roof Insulation Leak Sealing]]*BOQs!$L$14</f>
        <v>0</v>
      </c>
      <c r="AX158" s="76"/>
      <c r="AY158" s="37"/>
      <c r="AZ158" s="86">
        <f>tbl_Actual_costs_quantities34[[#This Row],[Chimney Duct Cleaning Repair]]*BOQs!$L$15</f>
        <v>0</v>
      </c>
      <c r="BA158" s="76"/>
      <c r="BB158" s="37"/>
      <c r="BC158" s="89">
        <f>tbl_Actual_costs_quantities34[[#This Row],[Accessibility Adaptations]]*BOQs!$L$16</f>
        <v>0</v>
      </c>
      <c r="BD158" s="41"/>
      <c r="BE158" s="37"/>
      <c r="BF158" s="37"/>
    </row>
    <row r="159" spans="2:58" ht="25.15" customHeight="1" x14ac:dyDescent="0.25">
      <c r="B159" s="49">
        <v>155</v>
      </c>
      <c r="C159" s="37"/>
      <c r="D159" s="41"/>
      <c r="E159" s="40"/>
      <c r="F159" s="87" t="str">
        <f>IF(tbl_Actual_costs_quantities34[[#This Row],[House Code]]&lt;&gt;"",INDEX(tbl_Assessment[],MATCH(tbl_Actual_costs_quantities34[[#This Row],[House Code]],tbl_Assessment[House Code],0),3),"")</f>
        <v/>
      </c>
      <c r="G159" s="116" t="str">
        <f>IF(tbl_Actual_costs_quantities34[[#This Row],[House Code]]&lt;&gt;"",INDEX(tbl_Assessment[],MATCH(tbl_Actual_costs_quantities34[[#This Row],[House Code]],tbl_Assessment[House Code],0),9),"")</f>
        <v/>
      </c>
      <c r="H159" s="41"/>
      <c r="I159" s="41"/>
      <c r="J159" s="41"/>
      <c r="K159" s="116"/>
      <c r="L159" s="117" t="str">
        <f>IF(tbl_Actual_costs_quantities34[[#This Row],[House Code]]&lt;&gt;"",tbl_Actual_costs_quantities34[[#This Row],[Total cost]]/INDEX(tbl_estimated_costs_quantities[],MATCH(tbl_Actual_costs_quantities34[[#This Row],[House Code]],tbl_estimated_costs_quantities[House Code],0),7),"")</f>
        <v/>
      </c>
      <c r="M15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59" s="75"/>
      <c r="O159" s="37"/>
      <c r="P159" s="86">
        <f>tbl_Actual_costs_quantities34[[#This Row],[Site Preparation]]*BOQs!$L$3</f>
        <v>0</v>
      </c>
      <c r="Q159" s="76"/>
      <c r="R159" s="37"/>
      <c r="S159" s="86">
        <f>tbl_Actual_costs_quantities34[[#This Row],[Demolition Removal Unsafe Structures]]*BOQs!$L$4</f>
        <v>0</v>
      </c>
      <c r="T159" s="76"/>
      <c r="U159" s="37"/>
      <c r="V159" s="86">
        <f>tbl_Actual_costs_quantities34[[#This Row],[Concrete Works]]*BOQs!$L$5</f>
        <v>0</v>
      </c>
      <c r="W159" s="76"/>
      <c r="X159" s="37"/>
      <c r="Y159" s="86">
        <f>tbl_Actual_costs_quantities34[[#This Row],[Closure External Openings Walls Windows]]*BOQs!$L$6</f>
        <v>0</v>
      </c>
      <c r="Z159" s="76"/>
      <c r="AA159" s="37"/>
      <c r="AB159" s="86">
        <f>tbl_Actual_costs_quantities34[[#This Row],[Plastering Painting]]*BOQs!$L$7</f>
        <v>0</v>
      </c>
      <c r="AC159" s="76"/>
      <c r="AD159" s="37"/>
      <c r="AE159" s="86">
        <f>tbl_Actual_costs_quantities34[[#This Row],[Floor Repairs]]*BOQs!$L$8</f>
        <v>0</v>
      </c>
      <c r="AF159" s="76"/>
      <c r="AG159" s="37"/>
      <c r="AH159" s="86">
        <f>tbl_Actual_costs_quantities34[[#This Row],[Doors Replacement Repair]]*BOQs!$L$9</f>
        <v>0</v>
      </c>
      <c r="AI159" s="76"/>
      <c r="AJ159" s="37"/>
      <c r="AK159" s="86">
        <f>tbl_Actual_costs_quantities34[[#This Row],[Windows Replacement Repair]]*BOQs!$L$10</f>
        <v>0</v>
      </c>
      <c r="AL159" s="76"/>
      <c r="AM159" s="37"/>
      <c r="AN159" s="86">
        <f>tbl_Actual_costs_quantities34[[#This Row],[Bathroom Rehabilitation]]*BOQs!$L$11</f>
        <v>0</v>
      </c>
      <c r="AO159" s="76"/>
      <c r="AP159" s="37"/>
      <c r="AQ159" s="86">
        <f>tbl_Actual_costs_quantities34[[#This Row],[Ceramic Tile Works WASH]]*BOQs!$L$12</f>
        <v>0</v>
      </c>
      <c r="AR159" s="76"/>
      <c r="AS159" s="37"/>
      <c r="AT159" s="86">
        <f>tbl_Actual_costs_quantities34[[#This Row],[Electrical Repairs Lighting]]*BOQs!$L$13</f>
        <v>0</v>
      </c>
      <c r="AU159" s="76"/>
      <c r="AV159" s="37"/>
      <c r="AW159" s="86">
        <f>tbl_Actual_costs_quantities34[[#This Row],[Roof Insulation Leak Sealing]]*BOQs!$L$14</f>
        <v>0</v>
      </c>
      <c r="AX159" s="76"/>
      <c r="AY159" s="37"/>
      <c r="AZ159" s="86">
        <f>tbl_Actual_costs_quantities34[[#This Row],[Chimney Duct Cleaning Repair]]*BOQs!$L$15</f>
        <v>0</v>
      </c>
      <c r="BA159" s="76"/>
      <c r="BB159" s="37"/>
      <c r="BC159" s="89">
        <f>tbl_Actual_costs_quantities34[[#This Row],[Accessibility Adaptations]]*BOQs!$L$16</f>
        <v>0</v>
      </c>
      <c r="BD159" s="41"/>
      <c r="BE159" s="37"/>
      <c r="BF159" s="37"/>
    </row>
    <row r="160" spans="2:58" ht="25.15" customHeight="1" x14ac:dyDescent="0.25">
      <c r="B160" s="49">
        <v>156</v>
      </c>
      <c r="C160" s="37"/>
      <c r="D160" s="41"/>
      <c r="E160" s="40"/>
      <c r="F160" s="87" t="str">
        <f>IF(tbl_Actual_costs_quantities34[[#This Row],[House Code]]&lt;&gt;"",INDEX(tbl_Assessment[],MATCH(tbl_Actual_costs_quantities34[[#This Row],[House Code]],tbl_Assessment[House Code],0),3),"")</f>
        <v/>
      </c>
      <c r="G160" s="116" t="str">
        <f>IF(tbl_Actual_costs_quantities34[[#This Row],[House Code]]&lt;&gt;"",INDEX(tbl_Assessment[],MATCH(tbl_Actual_costs_quantities34[[#This Row],[House Code]],tbl_Assessment[House Code],0),9),"")</f>
        <v/>
      </c>
      <c r="H160" s="41"/>
      <c r="I160" s="41"/>
      <c r="J160" s="41"/>
      <c r="K160" s="116"/>
      <c r="L160" s="117" t="str">
        <f>IF(tbl_Actual_costs_quantities34[[#This Row],[House Code]]&lt;&gt;"",tbl_Actual_costs_quantities34[[#This Row],[Total cost]]/INDEX(tbl_estimated_costs_quantities[],MATCH(tbl_Actual_costs_quantities34[[#This Row],[House Code]],tbl_estimated_costs_quantities[House Code],0),7),"")</f>
        <v/>
      </c>
      <c r="M16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0" s="75"/>
      <c r="O160" s="37"/>
      <c r="P160" s="86">
        <f>tbl_Actual_costs_quantities34[[#This Row],[Site Preparation]]*BOQs!$L$3</f>
        <v>0</v>
      </c>
      <c r="Q160" s="76"/>
      <c r="R160" s="37"/>
      <c r="S160" s="86">
        <f>tbl_Actual_costs_quantities34[[#This Row],[Demolition Removal Unsafe Structures]]*BOQs!$L$4</f>
        <v>0</v>
      </c>
      <c r="T160" s="76"/>
      <c r="U160" s="37"/>
      <c r="V160" s="86">
        <f>tbl_Actual_costs_quantities34[[#This Row],[Concrete Works]]*BOQs!$L$5</f>
        <v>0</v>
      </c>
      <c r="W160" s="76"/>
      <c r="X160" s="37"/>
      <c r="Y160" s="86">
        <f>tbl_Actual_costs_quantities34[[#This Row],[Closure External Openings Walls Windows]]*BOQs!$L$6</f>
        <v>0</v>
      </c>
      <c r="Z160" s="76"/>
      <c r="AA160" s="37"/>
      <c r="AB160" s="86">
        <f>tbl_Actual_costs_quantities34[[#This Row],[Plastering Painting]]*BOQs!$L$7</f>
        <v>0</v>
      </c>
      <c r="AC160" s="76"/>
      <c r="AD160" s="37"/>
      <c r="AE160" s="86">
        <f>tbl_Actual_costs_quantities34[[#This Row],[Floor Repairs]]*BOQs!$L$8</f>
        <v>0</v>
      </c>
      <c r="AF160" s="76"/>
      <c r="AG160" s="37"/>
      <c r="AH160" s="86">
        <f>tbl_Actual_costs_quantities34[[#This Row],[Doors Replacement Repair]]*BOQs!$L$9</f>
        <v>0</v>
      </c>
      <c r="AI160" s="76"/>
      <c r="AJ160" s="37"/>
      <c r="AK160" s="86">
        <f>tbl_Actual_costs_quantities34[[#This Row],[Windows Replacement Repair]]*BOQs!$L$10</f>
        <v>0</v>
      </c>
      <c r="AL160" s="76"/>
      <c r="AM160" s="37"/>
      <c r="AN160" s="86">
        <f>tbl_Actual_costs_quantities34[[#This Row],[Bathroom Rehabilitation]]*BOQs!$L$11</f>
        <v>0</v>
      </c>
      <c r="AO160" s="76"/>
      <c r="AP160" s="37"/>
      <c r="AQ160" s="86">
        <f>tbl_Actual_costs_quantities34[[#This Row],[Ceramic Tile Works WASH]]*BOQs!$L$12</f>
        <v>0</v>
      </c>
      <c r="AR160" s="76"/>
      <c r="AS160" s="37"/>
      <c r="AT160" s="86">
        <f>tbl_Actual_costs_quantities34[[#This Row],[Electrical Repairs Lighting]]*BOQs!$L$13</f>
        <v>0</v>
      </c>
      <c r="AU160" s="76"/>
      <c r="AV160" s="37"/>
      <c r="AW160" s="86">
        <f>tbl_Actual_costs_quantities34[[#This Row],[Roof Insulation Leak Sealing]]*BOQs!$L$14</f>
        <v>0</v>
      </c>
      <c r="AX160" s="76"/>
      <c r="AY160" s="37"/>
      <c r="AZ160" s="86">
        <f>tbl_Actual_costs_quantities34[[#This Row],[Chimney Duct Cleaning Repair]]*BOQs!$L$15</f>
        <v>0</v>
      </c>
      <c r="BA160" s="76"/>
      <c r="BB160" s="37"/>
      <c r="BC160" s="89">
        <f>tbl_Actual_costs_quantities34[[#This Row],[Accessibility Adaptations]]*BOQs!$L$16</f>
        <v>0</v>
      </c>
      <c r="BD160" s="41"/>
      <c r="BE160" s="37"/>
      <c r="BF160" s="37"/>
    </row>
    <row r="161" spans="2:58" ht="25.15" customHeight="1" x14ac:dyDescent="0.25">
      <c r="B161" s="49">
        <v>157</v>
      </c>
      <c r="C161" s="37"/>
      <c r="D161" s="41"/>
      <c r="E161" s="40"/>
      <c r="F161" s="87" t="str">
        <f>IF(tbl_Actual_costs_quantities34[[#This Row],[House Code]]&lt;&gt;"",INDEX(tbl_Assessment[],MATCH(tbl_Actual_costs_quantities34[[#This Row],[House Code]],tbl_Assessment[House Code],0),3),"")</f>
        <v/>
      </c>
      <c r="G161" s="116" t="str">
        <f>IF(tbl_Actual_costs_quantities34[[#This Row],[House Code]]&lt;&gt;"",INDEX(tbl_Assessment[],MATCH(tbl_Actual_costs_quantities34[[#This Row],[House Code]],tbl_Assessment[House Code],0),9),"")</f>
        <v/>
      </c>
      <c r="H161" s="41"/>
      <c r="I161" s="41"/>
      <c r="J161" s="41"/>
      <c r="K161" s="116"/>
      <c r="L161" s="117" t="str">
        <f>IF(tbl_Actual_costs_quantities34[[#This Row],[House Code]]&lt;&gt;"",tbl_Actual_costs_quantities34[[#This Row],[Total cost]]/INDEX(tbl_estimated_costs_quantities[],MATCH(tbl_Actual_costs_quantities34[[#This Row],[House Code]],tbl_estimated_costs_quantities[House Code],0),7),"")</f>
        <v/>
      </c>
      <c r="M16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1" s="75"/>
      <c r="O161" s="37"/>
      <c r="P161" s="86">
        <f>tbl_Actual_costs_quantities34[[#This Row],[Site Preparation]]*BOQs!$L$3</f>
        <v>0</v>
      </c>
      <c r="Q161" s="76"/>
      <c r="R161" s="37"/>
      <c r="S161" s="86">
        <f>tbl_Actual_costs_quantities34[[#This Row],[Demolition Removal Unsafe Structures]]*BOQs!$L$4</f>
        <v>0</v>
      </c>
      <c r="T161" s="76"/>
      <c r="U161" s="37"/>
      <c r="V161" s="86">
        <f>tbl_Actual_costs_quantities34[[#This Row],[Concrete Works]]*BOQs!$L$5</f>
        <v>0</v>
      </c>
      <c r="W161" s="76"/>
      <c r="X161" s="37"/>
      <c r="Y161" s="86">
        <f>tbl_Actual_costs_quantities34[[#This Row],[Closure External Openings Walls Windows]]*BOQs!$L$6</f>
        <v>0</v>
      </c>
      <c r="Z161" s="76"/>
      <c r="AA161" s="37"/>
      <c r="AB161" s="86">
        <f>tbl_Actual_costs_quantities34[[#This Row],[Plastering Painting]]*BOQs!$L$7</f>
        <v>0</v>
      </c>
      <c r="AC161" s="76"/>
      <c r="AD161" s="37"/>
      <c r="AE161" s="86">
        <f>tbl_Actual_costs_quantities34[[#This Row],[Floor Repairs]]*BOQs!$L$8</f>
        <v>0</v>
      </c>
      <c r="AF161" s="76"/>
      <c r="AG161" s="37"/>
      <c r="AH161" s="86">
        <f>tbl_Actual_costs_quantities34[[#This Row],[Doors Replacement Repair]]*BOQs!$L$9</f>
        <v>0</v>
      </c>
      <c r="AI161" s="76"/>
      <c r="AJ161" s="37"/>
      <c r="AK161" s="86">
        <f>tbl_Actual_costs_quantities34[[#This Row],[Windows Replacement Repair]]*BOQs!$L$10</f>
        <v>0</v>
      </c>
      <c r="AL161" s="76"/>
      <c r="AM161" s="37"/>
      <c r="AN161" s="86">
        <f>tbl_Actual_costs_quantities34[[#This Row],[Bathroom Rehabilitation]]*BOQs!$L$11</f>
        <v>0</v>
      </c>
      <c r="AO161" s="76"/>
      <c r="AP161" s="37"/>
      <c r="AQ161" s="86">
        <f>tbl_Actual_costs_quantities34[[#This Row],[Ceramic Tile Works WASH]]*BOQs!$L$12</f>
        <v>0</v>
      </c>
      <c r="AR161" s="76"/>
      <c r="AS161" s="37"/>
      <c r="AT161" s="86">
        <f>tbl_Actual_costs_quantities34[[#This Row],[Electrical Repairs Lighting]]*BOQs!$L$13</f>
        <v>0</v>
      </c>
      <c r="AU161" s="76"/>
      <c r="AV161" s="37"/>
      <c r="AW161" s="86">
        <f>tbl_Actual_costs_quantities34[[#This Row],[Roof Insulation Leak Sealing]]*BOQs!$L$14</f>
        <v>0</v>
      </c>
      <c r="AX161" s="76"/>
      <c r="AY161" s="37"/>
      <c r="AZ161" s="86">
        <f>tbl_Actual_costs_quantities34[[#This Row],[Chimney Duct Cleaning Repair]]*BOQs!$L$15</f>
        <v>0</v>
      </c>
      <c r="BA161" s="76"/>
      <c r="BB161" s="37"/>
      <c r="BC161" s="89">
        <f>tbl_Actual_costs_quantities34[[#This Row],[Accessibility Adaptations]]*BOQs!$L$16</f>
        <v>0</v>
      </c>
      <c r="BD161" s="41"/>
      <c r="BE161" s="37"/>
      <c r="BF161" s="37"/>
    </row>
    <row r="162" spans="2:58" ht="25.15" customHeight="1" x14ac:dyDescent="0.25">
      <c r="B162" s="49">
        <v>158</v>
      </c>
      <c r="C162" s="37"/>
      <c r="D162" s="41"/>
      <c r="E162" s="40"/>
      <c r="F162" s="87" t="str">
        <f>IF(tbl_Actual_costs_quantities34[[#This Row],[House Code]]&lt;&gt;"",INDEX(tbl_Assessment[],MATCH(tbl_Actual_costs_quantities34[[#This Row],[House Code]],tbl_Assessment[House Code],0),3),"")</f>
        <v/>
      </c>
      <c r="G162" s="116" t="str">
        <f>IF(tbl_Actual_costs_quantities34[[#This Row],[House Code]]&lt;&gt;"",INDEX(tbl_Assessment[],MATCH(tbl_Actual_costs_quantities34[[#This Row],[House Code]],tbl_Assessment[House Code],0),9),"")</f>
        <v/>
      </c>
      <c r="H162" s="41"/>
      <c r="I162" s="41"/>
      <c r="J162" s="41"/>
      <c r="K162" s="116"/>
      <c r="L162" s="117" t="str">
        <f>IF(tbl_Actual_costs_quantities34[[#This Row],[House Code]]&lt;&gt;"",tbl_Actual_costs_quantities34[[#This Row],[Total cost]]/INDEX(tbl_estimated_costs_quantities[],MATCH(tbl_Actual_costs_quantities34[[#This Row],[House Code]],tbl_estimated_costs_quantities[House Code],0),7),"")</f>
        <v/>
      </c>
      <c r="M16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2" s="75"/>
      <c r="O162" s="37"/>
      <c r="P162" s="86">
        <f>tbl_Actual_costs_quantities34[[#This Row],[Site Preparation]]*BOQs!$L$3</f>
        <v>0</v>
      </c>
      <c r="Q162" s="76"/>
      <c r="R162" s="37"/>
      <c r="S162" s="86">
        <f>tbl_Actual_costs_quantities34[[#This Row],[Demolition Removal Unsafe Structures]]*BOQs!$L$4</f>
        <v>0</v>
      </c>
      <c r="T162" s="76"/>
      <c r="U162" s="37"/>
      <c r="V162" s="86">
        <f>tbl_Actual_costs_quantities34[[#This Row],[Concrete Works]]*BOQs!$L$5</f>
        <v>0</v>
      </c>
      <c r="W162" s="76"/>
      <c r="X162" s="37"/>
      <c r="Y162" s="86">
        <f>tbl_Actual_costs_quantities34[[#This Row],[Closure External Openings Walls Windows]]*BOQs!$L$6</f>
        <v>0</v>
      </c>
      <c r="Z162" s="76"/>
      <c r="AA162" s="37"/>
      <c r="AB162" s="86">
        <f>tbl_Actual_costs_quantities34[[#This Row],[Plastering Painting]]*BOQs!$L$7</f>
        <v>0</v>
      </c>
      <c r="AC162" s="76"/>
      <c r="AD162" s="37"/>
      <c r="AE162" s="86">
        <f>tbl_Actual_costs_quantities34[[#This Row],[Floor Repairs]]*BOQs!$L$8</f>
        <v>0</v>
      </c>
      <c r="AF162" s="76"/>
      <c r="AG162" s="37"/>
      <c r="AH162" s="86">
        <f>tbl_Actual_costs_quantities34[[#This Row],[Doors Replacement Repair]]*BOQs!$L$9</f>
        <v>0</v>
      </c>
      <c r="AI162" s="76"/>
      <c r="AJ162" s="37"/>
      <c r="AK162" s="86">
        <f>tbl_Actual_costs_quantities34[[#This Row],[Windows Replacement Repair]]*BOQs!$L$10</f>
        <v>0</v>
      </c>
      <c r="AL162" s="76"/>
      <c r="AM162" s="37"/>
      <c r="AN162" s="86">
        <f>tbl_Actual_costs_quantities34[[#This Row],[Bathroom Rehabilitation]]*BOQs!$L$11</f>
        <v>0</v>
      </c>
      <c r="AO162" s="76"/>
      <c r="AP162" s="37"/>
      <c r="AQ162" s="86">
        <f>tbl_Actual_costs_quantities34[[#This Row],[Ceramic Tile Works WASH]]*BOQs!$L$12</f>
        <v>0</v>
      </c>
      <c r="AR162" s="76"/>
      <c r="AS162" s="37"/>
      <c r="AT162" s="86">
        <f>tbl_Actual_costs_quantities34[[#This Row],[Electrical Repairs Lighting]]*BOQs!$L$13</f>
        <v>0</v>
      </c>
      <c r="AU162" s="76"/>
      <c r="AV162" s="37"/>
      <c r="AW162" s="86">
        <f>tbl_Actual_costs_quantities34[[#This Row],[Roof Insulation Leak Sealing]]*BOQs!$L$14</f>
        <v>0</v>
      </c>
      <c r="AX162" s="76"/>
      <c r="AY162" s="37"/>
      <c r="AZ162" s="86">
        <f>tbl_Actual_costs_quantities34[[#This Row],[Chimney Duct Cleaning Repair]]*BOQs!$L$15</f>
        <v>0</v>
      </c>
      <c r="BA162" s="76"/>
      <c r="BB162" s="37"/>
      <c r="BC162" s="89">
        <f>tbl_Actual_costs_quantities34[[#This Row],[Accessibility Adaptations]]*BOQs!$L$16</f>
        <v>0</v>
      </c>
      <c r="BD162" s="41"/>
      <c r="BE162" s="37"/>
      <c r="BF162" s="37"/>
    </row>
    <row r="163" spans="2:58" ht="25.15" customHeight="1" x14ac:dyDescent="0.25">
      <c r="B163" s="49">
        <v>159</v>
      </c>
      <c r="C163" s="37"/>
      <c r="D163" s="41"/>
      <c r="E163" s="40"/>
      <c r="F163" s="87" t="str">
        <f>IF(tbl_Actual_costs_quantities34[[#This Row],[House Code]]&lt;&gt;"",INDEX(tbl_Assessment[],MATCH(tbl_Actual_costs_quantities34[[#This Row],[House Code]],tbl_Assessment[House Code],0),3),"")</f>
        <v/>
      </c>
      <c r="G163" s="116" t="str">
        <f>IF(tbl_Actual_costs_quantities34[[#This Row],[House Code]]&lt;&gt;"",INDEX(tbl_Assessment[],MATCH(tbl_Actual_costs_quantities34[[#This Row],[House Code]],tbl_Assessment[House Code],0),9),"")</f>
        <v/>
      </c>
      <c r="H163" s="41"/>
      <c r="I163" s="41"/>
      <c r="J163" s="41"/>
      <c r="K163" s="116"/>
      <c r="L163" s="117" t="str">
        <f>IF(tbl_Actual_costs_quantities34[[#This Row],[House Code]]&lt;&gt;"",tbl_Actual_costs_quantities34[[#This Row],[Total cost]]/INDEX(tbl_estimated_costs_quantities[],MATCH(tbl_Actual_costs_quantities34[[#This Row],[House Code]],tbl_estimated_costs_quantities[House Code],0),7),"")</f>
        <v/>
      </c>
      <c r="M16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3" s="75"/>
      <c r="O163" s="37"/>
      <c r="P163" s="86">
        <f>tbl_Actual_costs_quantities34[[#This Row],[Site Preparation]]*BOQs!$L$3</f>
        <v>0</v>
      </c>
      <c r="Q163" s="76"/>
      <c r="R163" s="37"/>
      <c r="S163" s="86">
        <f>tbl_Actual_costs_quantities34[[#This Row],[Demolition Removal Unsafe Structures]]*BOQs!$L$4</f>
        <v>0</v>
      </c>
      <c r="T163" s="76"/>
      <c r="U163" s="37"/>
      <c r="V163" s="86">
        <f>tbl_Actual_costs_quantities34[[#This Row],[Concrete Works]]*BOQs!$L$5</f>
        <v>0</v>
      </c>
      <c r="W163" s="76"/>
      <c r="X163" s="37"/>
      <c r="Y163" s="86">
        <f>tbl_Actual_costs_quantities34[[#This Row],[Closure External Openings Walls Windows]]*BOQs!$L$6</f>
        <v>0</v>
      </c>
      <c r="Z163" s="76"/>
      <c r="AA163" s="37"/>
      <c r="AB163" s="86">
        <f>tbl_Actual_costs_quantities34[[#This Row],[Plastering Painting]]*BOQs!$L$7</f>
        <v>0</v>
      </c>
      <c r="AC163" s="76"/>
      <c r="AD163" s="37"/>
      <c r="AE163" s="86">
        <f>tbl_Actual_costs_quantities34[[#This Row],[Floor Repairs]]*BOQs!$L$8</f>
        <v>0</v>
      </c>
      <c r="AF163" s="76"/>
      <c r="AG163" s="37"/>
      <c r="AH163" s="86">
        <f>tbl_Actual_costs_quantities34[[#This Row],[Doors Replacement Repair]]*BOQs!$L$9</f>
        <v>0</v>
      </c>
      <c r="AI163" s="76"/>
      <c r="AJ163" s="37"/>
      <c r="AK163" s="86">
        <f>tbl_Actual_costs_quantities34[[#This Row],[Windows Replacement Repair]]*BOQs!$L$10</f>
        <v>0</v>
      </c>
      <c r="AL163" s="76"/>
      <c r="AM163" s="37"/>
      <c r="AN163" s="86">
        <f>tbl_Actual_costs_quantities34[[#This Row],[Bathroom Rehabilitation]]*BOQs!$L$11</f>
        <v>0</v>
      </c>
      <c r="AO163" s="76"/>
      <c r="AP163" s="37"/>
      <c r="AQ163" s="86">
        <f>tbl_Actual_costs_quantities34[[#This Row],[Ceramic Tile Works WASH]]*BOQs!$L$12</f>
        <v>0</v>
      </c>
      <c r="AR163" s="76"/>
      <c r="AS163" s="37"/>
      <c r="AT163" s="86">
        <f>tbl_Actual_costs_quantities34[[#This Row],[Electrical Repairs Lighting]]*BOQs!$L$13</f>
        <v>0</v>
      </c>
      <c r="AU163" s="76"/>
      <c r="AV163" s="37"/>
      <c r="AW163" s="86">
        <f>tbl_Actual_costs_quantities34[[#This Row],[Roof Insulation Leak Sealing]]*BOQs!$L$14</f>
        <v>0</v>
      </c>
      <c r="AX163" s="76"/>
      <c r="AY163" s="37"/>
      <c r="AZ163" s="86">
        <f>tbl_Actual_costs_quantities34[[#This Row],[Chimney Duct Cleaning Repair]]*BOQs!$L$15</f>
        <v>0</v>
      </c>
      <c r="BA163" s="76"/>
      <c r="BB163" s="37"/>
      <c r="BC163" s="89">
        <f>tbl_Actual_costs_quantities34[[#This Row],[Accessibility Adaptations]]*BOQs!$L$16</f>
        <v>0</v>
      </c>
      <c r="BD163" s="41"/>
      <c r="BE163" s="37"/>
      <c r="BF163" s="37"/>
    </row>
    <row r="164" spans="2:58" ht="25.15" customHeight="1" x14ac:dyDescent="0.25">
      <c r="B164" s="49">
        <v>160</v>
      </c>
      <c r="C164" s="37"/>
      <c r="D164" s="41"/>
      <c r="E164" s="40"/>
      <c r="F164" s="87" t="str">
        <f>IF(tbl_Actual_costs_quantities34[[#This Row],[House Code]]&lt;&gt;"",INDEX(tbl_Assessment[],MATCH(tbl_Actual_costs_quantities34[[#This Row],[House Code]],tbl_Assessment[House Code],0),3),"")</f>
        <v/>
      </c>
      <c r="G164" s="116" t="str">
        <f>IF(tbl_Actual_costs_quantities34[[#This Row],[House Code]]&lt;&gt;"",INDEX(tbl_Assessment[],MATCH(tbl_Actual_costs_quantities34[[#This Row],[House Code]],tbl_Assessment[House Code],0),9),"")</f>
        <v/>
      </c>
      <c r="H164" s="41"/>
      <c r="I164" s="41"/>
      <c r="J164" s="41"/>
      <c r="K164" s="116"/>
      <c r="L164" s="117" t="str">
        <f>IF(tbl_Actual_costs_quantities34[[#This Row],[House Code]]&lt;&gt;"",tbl_Actual_costs_quantities34[[#This Row],[Total cost]]/INDEX(tbl_estimated_costs_quantities[],MATCH(tbl_Actual_costs_quantities34[[#This Row],[House Code]],tbl_estimated_costs_quantities[House Code],0),7),"")</f>
        <v/>
      </c>
      <c r="M16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4" s="75"/>
      <c r="O164" s="37"/>
      <c r="P164" s="86">
        <f>tbl_Actual_costs_quantities34[[#This Row],[Site Preparation]]*BOQs!$L$3</f>
        <v>0</v>
      </c>
      <c r="Q164" s="76"/>
      <c r="R164" s="37"/>
      <c r="S164" s="86">
        <f>tbl_Actual_costs_quantities34[[#This Row],[Demolition Removal Unsafe Structures]]*BOQs!$L$4</f>
        <v>0</v>
      </c>
      <c r="T164" s="76"/>
      <c r="U164" s="37"/>
      <c r="V164" s="86">
        <f>tbl_Actual_costs_quantities34[[#This Row],[Concrete Works]]*BOQs!$L$5</f>
        <v>0</v>
      </c>
      <c r="W164" s="76"/>
      <c r="X164" s="37"/>
      <c r="Y164" s="86">
        <f>tbl_Actual_costs_quantities34[[#This Row],[Closure External Openings Walls Windows]]*BOQs!$L$6</f>
        <v>0</v>
      </c>
      <c r="Z164" s="76"/>
      <c r="AA164" s="37"/>
      <c r="AB164" s="86">
        <f>tbl_Actual_costs_quantities34[[#This Row],[Plastering Painting]]*BOQs!$L$7</f>
        <v>0</v>
      </c>
      <c r="AC164" s="76"/>
      <c r="AD164" s="37"/>
      <c r="AE164" s="86">
        <f>tbl_Actual_costs_quantities34[[#This Row],[Floor Repairs]]*BOQs!$L$8</f>
        <v>0</v>
      </c>
      <c r="AF164" s="76"/>
      <c r="AG164" s="37"/>
      <c r="AH164" s="86">
        <f>tbl_Actual_costs_quantities34[[#This Row],[Doors Replacement Repair]]*BOQs!$L$9</f>
        <v>0</v>
      </c>
      <c r="AI164" s="76"/>
      <c r="AJ164" s="37"/>
      <c r="AK164" s="86">
        <f>tbl_Actual_costs_quantities34[[#This Row],[Windows Replacement Repair]]*BOQs!$L$10</f>
        <v>0</v>
      </c>
      <c r="AL164" s="76"/>
      <c r="AM164" s="37"/>
      <c r="AN164" s="86">
        <f>tbl_Actual_costs_quantities34[[#This Row],[Bathroom Rehabilitation]]*BOQs!$L$11</f>
        <v>0</v>
      </c>
      <c r="AO164" s="76"/>
      <c r="AP164" s="37"/>
      <c r="AQ164" s="86">
        <f>tbl_Actual_costs_quantities34[[#This Row],[Ceramic Tile Works WASH]]*BOQs!$L$12</f>
        <v>0</v>
      </c>
      <c r="AR164" s="76"/>
      <c r="AS164" s="37"/>
      <c r="AT164" s="86">
        <f>tbl_Actual_costs_quantities34[[#This Row],[Electrical Repairs Lighting]]*BOQs!$L$13</f>
        <v>0</v>
      </c>
      <c r="AU164" s="76"/>
      <c r="AV164" s="37"/>
      <c r="AW164" s="86">
        <f>tbl_Actual_costs_quantities34[[#This Row],[Roof Insulation Leak Sealing]]*BOQs!$L$14</f>
        <v>0</v>
      </c>
      <c r="AX164" s="76"/>
      <c r="AY164" s="37"/>
      <c r="AZ164" s="86">
        <f>tbl_Actual_costs_quantities34[[#This Row],[Chimney Duct Cleaning Repair]]*BOQs!$L$15</f>
        <v>0</v>
      </c>
      <c r="BA164" s="76"/>
      <c r="BB164" s="37"/>
      <c r="BC164" s="89">
        <f>tbl_Actual_costs_quantities34[[#This Row],[Accessibility Adaptations]]*BOQs!$L$16</f>
        <v>0</v>
      </c>
      <c r="BD164" s="41"/>
      <c r="BE164" s="37"/>
      <c r="BF164" s="37"/>
    </row>
    <row r="165" spans="2:58" ht="25.15" customHeight="1" x14ac:dyDescent="0.25">
      <c r="B165" s="49">
        <v>161</v>
      </c>
      <c r="C165" s="37"/>
      <c r="D165" s="41"/>
      <c r="E165" s="40"/>
      <c r="F165" s="87" t="str">
        <f>IF(tbl_Actual_costs_quantities34[[#This Row],[House Code]]&lt;&gt;"",INDEX(tbl_Assessment[],MATCH(tbl_Actual_costs_quantities34[[#This Row],[House Code]],tbl_Assessment[House Code],0),3),"")</f>
        <v/>
      </c>
      <c r="G165" s="116" t="str">
        <f>IF(tbl_Actual_costs_quantities34[[#This Row],[House Code]]&lt;&gt;"",INDEX(tbl_Assessment[],MATCH(tbl_Actual_costs_quantities34[[#This Row],[House Code]],tbl_Assessment[House Code],0),9),"")</f>
        <v/>
      </c>
      <c r="H165" s="41"/>
      <c r="I165" s="41"/>
      <c r="J165" s="41"/>
      <c r="K165" s="116"/>
      <c r="L165" s="117" t="str">
        <f>IF(tbl_Actual_costs_quantities34[[#This Row],[House Code]]&lt;&gt;"",tbl_Actual_costs_quantities34[[#This Row],[Total cost]]/INDEX(tbl_estimated_costs_quantities[],MATCH(tbl_Actual_costs_quantities34[[#This Row],[House Code]],tbl_estimated_costs_quantities[House Code],0),7),"")</f>
        <v/>
      </c>
      <c r="M16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5" s="75"/>
      <c r="O165" s="37"/>
      <c r="P165" s="86">
        <f>tbl_Actual_costs_quantities34[[#This Row],[Site Preparation]]*BOQs!$L$3</f>
        <v>0</v>
      </c>
      <c r="Q165" s="76"/>
      <c r="R165" s="37"/>
      <c r="S165" s="86">
        <f>tbl_Actual_costs_quantities34[[#This Row],[Demolition Removal Unsafe Structures]]*BOQs!$L$4</f>
        <v>0</v>
      </c>
      <c r="T165" s="76"/>
      <c r="U165" s="37"/>
      <c r="V165" s="86">
        <f>tbl_Actual_costs_quantities34[[#This Row],[Concrete Works]]*BOQs!$L$5</f>
        <v>0</v>
      </c>
      <c r="W165" s="76"/>
      <c r="X165" s="37"/>
      <c r="Y165" s="86">
        <f>tbl_Actual_costs_quantities34[[#This Row],[Closure External Openings Walls Windows]]*BOQs!$L$6</f>
        <v>0</v>
      </c>
      <c r="Z165" s="76"/>
      <c r="AA165" s="37"/>
      <c r="AB165" s="86">
        <f>tbl_Actual_costs_quantities34[[#This Row],[Plastering Painting]]*BOQs!$L$7</f>
        <v>0</v>
      </c>
      <c r="AC165" s="76"/>
      <c r="AD165" s="37"/>
      <c r="AE165" s="86">
        <f>tbl_Actual_costs_quantities34[[#This Row],[Floor Repairs]]*BOQs!$L$8</f>
        <v>0</v>
      </c>
      <c r="AF165" s="76"/>
      <c r="AG165" s="37"/>
      <c r="AH165" s="86">
        <f>tbl_Actual_costs_quantities34[[#This Row],[Doors Replacement Repair]]*BOQs!$L$9</f>
        <v>0</v>
      </c>
      <c r="AI165" s="76"/>
      <c r="AJ165" s="37"/>
      <c r="AK165" s="86">
        <f>tbl_Actual_costs_quantities34[[#This Row],[Windows Replacement Repair]]*BOQs!$L$10</f>
        <v>0</v>
      </c>
      <c r="AL165" s="76"/>
      <c r="AM165" s="37"/>
      <c r="AN165" s="86">
        <f>tbl_Actual_costs_quantities34[[#This Row],[Bathroom Rehabilitation]]*BOQs!$L$11</f>
        <v>0</v>
      </c>
      <c r="AO165" s="76"/>
      <c r="AP165" s="37"/>
      <c r="AQ165" s="86">
        <f>tbl_Actual_costs_quantities34[[#This Row],[Ceramic Tile Works WASH]]*BOQs!$L$12</f>
        <v>0</v>
      </c>
      <c r="AR165" s="76"/>
      <c r="AS165" s="37"/>
      <c r="AT165" s="86">
        <f>tbl_Actual_costs_quantities34[[#This Row],[Electrical Repairs Lighting]]*BOQs!$L$13</f>
        <v>0</v>
      </c>
      <c r="AU165" s="76"/>
      <c r="AV165" s="37"/>
      <c r="AW165" s="86">
        <f>tbl_Actual_costs_quantities34[[#This Row],[Roof Insulation Leak Sealing]]*BOQs!$L$14</f>
        <v>0</v>
      </c>
      <c r="AX165" s="76"/>
      <c r="AY165" s="37"/>
      <c r="AZ165" s="86">
        <f>tbl_Actual_costs_quantities34[[#This Row],[Chimney Duct Cleaning Repair]]*BOQs!$L$15</f>
        <v>0</v>
      </c>
      <c r="BA165" s="76"/>
      <c r="BB165" s="37"/>
      <c r="BC165" s="89">
        <f>tbl_Actual_costs_quantities34[[#This Row],[Accessibility Adaptations]]*BOQs!$L$16</f>
        <v>0</v>
      </c>
      <c r="BD165" s="41"/>
      <c r="BE165" s="37"/>
      <c r="BF165" s="37"/>
    </row>
    <row r="166" spans="2:58" ht="25.15" customHeight="1" x14ac:dyDescent="0.25">
      <c r="B166" s="49">
        <v>162</v>
      </c>
      <c r="C166" s="37"/>
      <c r="D166" s="41"/>
      <c r="E166" s="40"/>
      <c r="F166" s="87" t="str">
        <f>IF(tbl_Actual_costs_quantities34[[#This Row],[House Code]]&lt;&gt;"",INDEX(tbl_Assessment[],MATCH(tbl_Actual_costs_quantities34[[#This Row],[House Code]],tbl_Assessment[House Code],0),3),"")</f>
        <v/>
      </c>
      <c r="G166" s="116" t="str">
        <f>IF(tbl_Actual_costs_quantities34[[#This Row],[House Code]]&lt;&gt;"",INDEX(tbl_Assessment[],MATCH(tbl_Actual_costs_quantities34[[#This Row],[House Code]],tbl_Assessment[House Code],0),9),"")</f>
        <v/>
      </c>
      <c r="H166" s="41"/>
      <c r="I166" s="41"/>
      <c r="J166" s="41"/>
      <c r="K166" s="116"/>
      <c r="L166" s="117" t="str">
        <f>IF(tbl_Actual_costs_quantities34[[#This Row],[House Code]]&lt;&gt;"",tbl_Actual_costs_quantities34[[#This Row],[Total cost]]/INDEX(tbl_estimated_costs_quantities[],MATCH(tbl_Actual_costs_quantities34[[#This Row],[House Code]],tbl_estimated_costs_quantities[House Code],0),7),"")</f>
        <v/>
      </c>
      <c r="M16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6" s="75"/>
      <c r="O166" s="37"/>
      <c r="P166" s="86">
        <f>tbl_Actual_costs_quantities34[[#This Row],[Site Preparation]]*BOQs!$L$3</f>
        <v>0</v>
      </c>
      <c r="Q166" s="76"/>
      <c r="R166" s="37"/>
      <c r="S166" s="86">
        <f>tbl_Actual_costs_quantities34[[#This Row],[Demolition Removal Unsafe Structures]]*BOQs!$L$4</f>
        <v>0</v>
      </c>
      <c r="T166" s="76"/>
      <c r="U166" s="37"/>
      <c r="V166" s="86">
        <f>tbl_Actual_costs_quantities34[[#This Row],[Concrete Works]]*BOQs!$L$5</f>
        <v>0</v>
      </c>
      <c r="W166" s="76"/>
      <c r="X166" s="37"/>
      <c r="Y166" s="86">
        <f>tbl_Actual_costs_quantities34[[#This Row],[Closure External Openings Walls Windows]]*BOQs!$L$6</f>
        <v>0</v>
      </c>
      <c r="Z166" s="76"/>
      <c r="AA166" s="37"/>
      <c r="AB166" s="86">
        <f>tbl_Actual_costs_quantities34[[#This Row],[Plastering Painting]]*BOQs!$L$7</f>
        <v>0</v>
      </c>
      <c r="AC166" s="76"/>
      <c r="AD166" s="37"/>
      <c r="AE166" s="86">
        <f>tbl_Actual_costs_quantities34[[#This Row],[Floor Repairs]]*BOQs!$L$8</f>
        <v>0</v>
      </c>
      <c r="AF166" s="76"/>
      <c r="AG166" s="37"/>
      <c r="AH166" s="86">
        <f>tbl_Actual_costs_quantities34[[#This Row],[Doors Replacement Repair]]*BOQs!$L$9</f>
        <v>0</v>
      </c>
      <c r="AI166" s="76"/>
      <c r="AJ166" s="37"/>
      <c r="AK166" s="86">
        <f>tbl_Actual_costs_quantities34[[#This Row],[Windows Replacement Repair]]*BOQs!$L$10</f>
        <v>0</v>
      </c>
      <c r="AL166" s="76"/>
      <c r="AM166" s="37"/>
      <c r="AN166" s="86">
        <f>tbl_Actual_costs_quantities34[[#This Row],[Bathroom Rehabilitation]]*BOQs!$L$11</f>
        <v>0</v>
      </c>
      <c r="AO166" s="76"/>
      <c r="AP166" s="37"/>
      <c r="AQ166" s="86">
        <f>tbl_Actual_costs_quantities34[[#This Row],[Ceramic Tile Works WASH]]*BOQs!$L$12</f>
        <v>0</v>
      </c>
      <c r="AR166" s="76"/>
      <c r="AS166" s="37"/>
      <c r="AT166" s="86">
        <f>tbl_Actual_costs_quantities34[[#This Row],[Electrical Repairs Lighting]]*BOQs!$L$13</f>
        <v>0</v>
      </c>
      <c r="AU166" s="76"/>
      <c r="AV166" s="37"/>
      <c r="AW166" s="86">
        <f>tbl_Actual_costs_quantities34[[#This Row],[Roof Insulation Leak Sealing]]*BOQs!$L$14</f>
        <v>0</v>
      </c>
      <c r="AX166" s="76"/>
      <c r="AY166" s="37"/>
      <c r="AZ166" s="86">
        <f>tbl_Actual_costs_quantities34[[#This Row],[Chimney Duct Cleaning Repair]]*BOQs!$L$15</f>
        <v>0</v>
      </c>
      <c r="BA166" s="76"/>
      <c r="BB166" s="37"/>
      <c r="BC166" s="89">
        <f>tbl_Actual_costs_quantities34[[#This Row],[Accessibility Adaptations]]*BOQs!$L$16</f>
        <v>0</v>
      </c>
      <c r="BD166" s="41"/>
      <c r="BE166" s="37"/>
      <c r="BF166" s="37"/>
    </row>
    <row r="167" spans="2:58" ht="25.15" customHeight="1" x14ac:dyDescent="0.25">
      <c r="B167" s="49">
        <v>163</v>
      </c>
      <c r="C167" s="37"/>
      <c r="D167" s="41"/>
      <c r="E167" s="40"/>
      <c r="F167" s="87" t="str">
        <f>IF(tbl_Actual_costs_quantities34[[#This Row],[House Code]]&lt;&gt;"",INDEX(tbl_Assessment[],MATCH(tbl_Actual_costs_quantities34[[#This Row],[House Code]],tbl_Assessment[House Code],0),3),"")</f>
        <v/>
      </c>
      <c r="G167" s="116" t="str">
        <f>IF(tbl_Actual_costs_quantities34[[#This Row],[House Code]]&lt;&gt;"",INDEX(tbl_Assessment[],MATCH(tbl_Actual_costs_quantities34[[#This Row],[House Code]],tbl_Assessment[House Code],0),9),"")</f>
        <v/>
      </c>
      <c r="H167" s="41"/>
      <c r="I167" s="41"/>
      <c r="J167" s="41"/>
      <c r="K167" s="116"/>
      <c r="L167" s="117" t="str">
        <f>IF(tbl_Actual_costs_quantities34[[#This Row],[House Code]]&lt;&gt;"",tbl_Actual_costs_quantities34[[#This Row],[Total cost]]/INDEX(tbl_estimated_costs_quantities[],MATCH(tbl_Actual_costs_quantities34[[#This Row],[House Code]],tbl_estimated_costs_quantities[House Code],0),7),"")</f>
        <v/>
      </c>
      <c r="M16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7" s="75"/>
      <c r="O167" s="37"/>
      <c r="P167" s="86">
        <f>tbl_Actual_costs_quantities34[[#This Row],[Site Preparation]]*BOQs!$L$3</f>
        <v>0</v>
      </c>
      <c r="Q167" s="76"/>
      <c r="R167" s="37"/>
      <c r="S167" s="86">
        <f>tbl_Actual_costs_quantities34[[#This Row],[Demolition Removal Unsafe Structures]]*BOQs!$L$4</f>
        <v>0</v>
      </c>
      <c r="T167" s="76"/>
      <c r="U167" s="37"/>
      <c r="V167" s="86">
        <f>tbl_Actual_costs_quantities34[[#This Row],[Concrete Works]]*BOQs!$L$5</f>
        <v>0</v>
      </c>
      <c r="W167" s="76"/>
      <c r="X167" s="37"/>
      <c r="Y167" s="86">
        <f>tbl_Actual_costs_quantities34[[#This Row],[Closure External Openings Walls Windows]]*BOQs!$L$6</f>
        <v>0</v>
      </c>
      <c r="Z167" s="76"/>
      <c r="AA167" s="37"/>
      <c r="AB167" s="86">
        <f>tbl_Actual_costs_quantities34[[#This Row],[Plastering Painting]]*BOQs!$L$7</f>
        <v>0</v>
      </c>
      <c r="AC167" s="76"/>
      <c r="AD167" s="37"/>
      <c r="AE167" s="86">
        <f>tbl_Actual_costs_quantities34[[#This Row],[Floor Repairs]]*BOQs!$L$8</f>
        <v>0</v>
      </c>
      <c r="AF167" s="76"/>
      <c r="AG167" s="37"/>
      <c r="AH167" s="86">
        <f>tbl_Actual_costs_quantities34[[#This Row],[Doors Replacement Repair]]*BOQs!$L$9</f>
        <v>0</v>
      </c>
      <c r="AI167" s="76"/>
      <c r="AJ167" s="37"/>
      <c r="AK167" s="86">
        <f>tbl_Actual_costs_quantities34[[#This Row],[Windows Replacement Repair]]*BOQs!$L$10</f>
        <v>0</v>
      </c>
      <c r="AL167" s="76"/>
      <c r="AM167" s="37"/>
      <c r="AN167" s="86">
        <f>tbl_Actual_costs_quantities34[[#This Row],[Bathroom Rehabilitation]]*BOQs!$L$11</f>
        <v>0</v>
      </c>
      <c r="AO167" s="76"/>
      <c r="AP167" s="37"/>
      <c r="AQ167" s="86">
        <f>tbl_Actual_costs_quantities34[[#This Row],[Ceramic Tile Works WASH]]*BOQs!$L$12</f>
        <v>0</v>
      </c>
      <c r="AR167" s="76"/>
      <c r="AS167" s="37"/>
      <c r="AT167" s="86">
        <f>tbl_Actual_costs_quantities34[[#This Row],[Electrical Repairs Lighting]]*BOQs!$L$13</f>
        <v>0</v>
      </c>
      <c r="AU167" s="76"/>
      <c r="AV167" s="37"/>
      <c r="AW167" s="86">
        <f>tbl_Actual_costs_quantities34[[#This Row],[Roof Insulation Leak Sealing]]*BOQs!$L$14</f>
        <v>0</v>
      </c>
      <c r="AX167" s="76"/>
      <c r="AY167" s="37"/>
      <c r="AZ167" s="86">
        <f>tbl_Actual_costs_quantities34[[#This Row],[Chimney Duct Cleaning Repair]]*BOQs!$L$15</f>
        <v>0</v>
      </c>
      <c r="BA167" s="76"/>
      <c r="BB167" s="37"/>
      <c r="BC167" s="89">
        <f>tbl_Actual_costs_quantities34[[#This Row],[Accessibility Adaptations]]*BOQs!$L$16</f>
        <v>0</v>
      </c>
      <c r="BD167" s="41"/>
      <c r="BE167" s="37"/>
      <c r="BF167" s="37"/>
    </row>
    <row r="168" spans="2:58" ht="25.15" customHeight="1" x14ac:dyDescent="0.25">
      <c r="B168" s="49">
        <v>164</v>
      </c>
      <c r="C168" s="37"/>
      <c r="D168" s="41"/>
      <c r="E168" s="40"/>
      <c r="F168" s="87" t="str">
        <f>IF(tbl_Actual_costs_quantities34[[#This Row],[House Code]]&lt;&gt;"",INDEX(tbl_Assessment[],MATCH(tbl_Actual_costs_quantities34[[#This Row],[House Code]],tbl_Assessment[House Code],0),3),"")</f>
        <v/>
      </c>
      <c r="G168" s="116" t="str">
        <f>IF(tbl_Actual_costs_quantities34[[#This Row],[House Code]]&lt;&gt;"",INDEX(tbl_Assessment[],MATCH(tbl_Actual_costs_quantities34[[#This Row],[House Code]],tbl_Assessment[House Code],0),9),"")</f>
        <v/>
      </c>
      <c r="H168" s="41"/>
      <c r="I168" s="41"/>
      <c r="J168" s="41"/>
      <c r="K168" s="116"/>
      <c r="L168" s="117" t="str">
        <f>IF(tbl_Actual_costs_quantities34[[#This Row],[House Code]]&lt;&gt;"",tbl_Actual_costs_quantities34[[#This Row],[Total cost]]/INDEX(tbl_estimated_costs_quantities[],MATCH(tbl_Actual_costs_quantities34[[#This Row],[House Code]],tbl_estimated_costs_quantities[House Code],0),7),"")</f>
        <v/>
      </c>
      <c r="M16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8" s="75"/>
      <c r="O168" s="37"/>
      <c r="P168" s="86">
        <f>tbl_Actual_costs_quantities34[[#This Row],[Site Preparation]]*BOQs!$L$3</f>
        <v>0</v>
      </c>
      <c r="Q168" s="76"/>
      <c r="R168" s="37"/>
      <c r="S168" s="86">
        <f>tbl_Actual_costs_quantities34[[#This Row],[Demolition Removal Unsafe Structures]]*BOQs!$L$4</f>
        <v>0</v>
      </c>
      <c r="T168" s="76"/>
      <c r="U168" s="37"/>
      <c r="V168" s="86">
        <f>tbl_Actual_costs_quantities34[[#This Row],[Concrete Works]]*BOQs!$L$5</f>
        <v>0</v>
      </c>
      <c r="W168" s="76"/>
      <c r="X168" s="37"/>
      <c r="Y168" s="86">
        <f>tbl_Actual_costs_quantities34[[#This Row],[Closure External Openings Walls Windows]]*BOQs!$L$6</f>
        <v>0</v>
      </c>
      <c r="Z168" s="76"/>
      <c r="AA168" s="37"/>
      <c r="AB168" s="86">
        <f>tbl_Actual_costs_quantities34[[#This Row],[Plastering Painting]]*BOQs!$L$7</f>
        <v>0</v>
      </c>
      <c r="AC168" s="76"/>
      <c r="AD168" s="37"/>
      <c r="AE168" s="86">
        <f>tbl_Actual_costs_quantities34[[#This Row],[Floor Repairs]]*BOQs!$L$8</f>
        <v>0</v>
      </c>
      <c r="AF168" s="76"/>
      <c r="AG168" s="37"/>
      <c r="AH168" s="86">
        <f>tbl_Actual_costs_quantities34[[#This Row],[Doors Replacement Repair]]*BOQs!$L$9</f>
        <v>0</v>
      </c>
      <c r="AI168" s="76"/>
      <c r="AJ168" s="37"/>
      <c r="AK168" s="86">
        <f>tbl_Actual_costs_quantities34[[#This Row],[Windows Replacement Repair]]*BOQs!$L$10</f>
        <v>0</v>
      </c>
      <c r="AL168" s="76"/>
      <c r="AM168" s="37"/>
      <c r="AN168" s="86">
        <f>tbl_Actual_costs_quantities34[[#This Row],[Bathroom Rehabilitation]]*BOQs!$L$11</f>
        <v>0</v>
      </c>
      <c r="AO168" s="76"/>
      <c r="AP168" s="37"/>
      <c r="AQ168" s="86">
        <f>tbl_Actual_costs_quantities34[[#This Row],[Ceramic Tile Works WASH]]*BOQs!$L$12</f>
        <v>0</v>
      </c>
      <c r="AR168" s="76"/>
      <c r="AS168" s="37"/>
      <c r="AT168" s="86">
        <f>tbl_Actual_costs_quantities34[[#This Row],[Electrical Repairs Lighting]]*BOQs!$L$13</f>
        <v>0</v>
      </c>
      <c r="AU168" s="76"/>
      <c r="AV168" s="37"/>
      <c r="AW168" s="86">
        <f>tbl_Actual_costs_quantities34[[#This Row],[Roof Insulation Leak Sealing]]*BOQs!$L$14</f>
        <v>0</v>
      </c>
      <c r="AX168" s="76"/>
      <c r="AY168" s="37"/>
      <c r="AZ168" s="86">
        <f>tbl_Actual_costs_quantities34[[#This Row],[Chimney Duct Cleaning Repair]]*BOQs!$L$15</f>
        <v>0</v>
      </c>
      <c r="BA168" s="76"/>
      <c r="BB168" s="37"/>
      <c r="BC168" s="89">
        <f>tbl_Actual_costs_quantities34[[#This Row],[Accessibility Adaptations]]*BOQs!$L$16</f>
        <v>0</v>
      </c>
      <c r="BD168" s="41"/>
      <c r="BE168" s="37"/>
      <c r="BF168" s="37"/>
    </row>
    <row r="169" spans="2:58" ht="25.15" customHeight="1" x14ac:dyDescent="0.25">
      <c r="B169" s="49">
        <v>165</v>
      </c>
      <c r="C169" s="37"/>
      <c r="D169" s="41"/>
      <c r="E169" s="40"/>
      <c r="F169" s="87" t="str">
        <f>IF(tbl_Actual_costs_quantities34[[#This Row],[House Code]]&lt;&gt;"",INDEX(tbl_Assessment[],MATCH(tbl_Actual_costs_quantities34[[#This Row],[House Code]],tbl_Assessment[House Code],0),3),"")</f>
        <v/>
      </c>
      <c r="G169" s="116" t="str">
        <f>IF(tbl_Actual_costs_quantities34[[#This Row],[House Code]]&lt;&gt;"",INDEX(tbl_Assessment[],MATCH(tbl_Actual_costs_quantities34[[#This Row],[House Code]],tbl_Assessment[House Code],0),9),"")</f>
        <v/>
      </c>
      <c r="H169" s="41"/>
      <c r="I169" s="41"/>
      <c r="J169" s="41"/>
      <c r="K169" s="116"/>
      <c r="L169" s="117" t="str">
        <f>IF(tbl_Actual_costs_quantities34[[#This Row],[House Code]]&lt;&gt;"",tbl_Actual_costs_quantities34[[#This Row],[Total cost]]/INDEX(tbl_estimated_costs_quantities[],MATCH(tbl_Actual_costs_quantities34[[#This Row],[House Code]],tbl_estimated_costs_quantities[House Code],0),7),"")</f>
        <v/>
      </c>
      <c r="M16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69" s="75"/>
      <c r="O169" s="37"/>
      <c r="P169" s="86">
        <f>tbl_Actual_costs_quantities34[[#This Row],[Site Preparation]]*BOQs!$L$3</f>
        <v>0</v>
      </c>
      <c r="Q169" s="76"/>
      <c r="R169" s="37"/>
      <c r="S169" s="86">
        <f>tbl_Actual_costs_quantities34[[#This Row],[Demolition Removal Unsafe Structures]]*BOQs!$L$4</f>
        <v>0</v>
      </c>
      <c r="T169" s="76"/>
      <c r="U169" s="37"/>
      <c r="V169" s="86">
        <f>tbl_Actual_costs_quantities34[[#This Row],[Concrete Works]]*BOQs!$L$5</f>
        <v>0</v>
      </c>
      <c r="W169" s="76"/>
      <c r="X169" s="37"/>
      <c r="Y169" s="86">
        <f>tbl_Actual_costs_quantities34[[#This Row],[Closure External Openings Walls Windows]]*BOQs!$L$6</f>
        <v>0</v>
      </c>
      <c r="Z169" s="76"/>
      <c r="AA169" s="37"/>
      <c r="AB169" s="86">
        <f>tbl_Actual_costs_quantities34[[#This Row],[Plastering Painting]]*BOQs!$L$7</f>
        <v>0</v>
      </c>
      <c r="AC169" s="76"/>
      <c r="AD169" s="37"/>
      <c r="AE169" s="86">
        <f>tbl_Actual_costs_quantities34[[#This Row],[Floor Repairs]]*BOQs!$L$8</f>
        <v>0</v>
      </c>
      <c r="AF169" s="76"/>
      <c r="AG169" s="37"/>
      <c r="AH169" s="86">
        <f>tbl_Actual_costs_quantities34[[#This Row],[Doors Replacement Repair]]*BOQs!$L$9</f>
        <v>0</v>
      </c>
      <c r="AI169" s="76"/>
      <c r="AJ169" s="37"/>
      <c r="AK169" s="86">
        <f>tbl_Actual_costs_quantities34[[#This Row],[Windows Replacement Repair]]*BOQs!$L$10</f>
        <v>0</v>
      </c>
      <c r="AL169" s="76"/>
      <c r="AM169" s="37"/>
      <c r="AN169" s="86">
        <f>tbl_Actual_costs_quantities34[[#This Row],[Bathroom Rehabilitation]]*BOQs!$L$11</f>
        <v>0</v>
      </c>
      <c r="AO169" s="76"/>
      <c r="AP169" s="37"/>
      <c r="AQ169" s="86">
        <f>tbl_Actual_costs_quantities34[[#This Row],[Ceramic Tile Works WASH]]*BOQs!$L$12</f>
        <v>0</v>
      </c>
      <c r="AR169" s="76"/>
      <c r="AS169" s="37"/>
      <c r="AT169" s="86">
        <f>tbl_Actual_costs_quantities34[[#This Row],[Electrical Repairs Lighting]]*BOQs!$L$13</f>
        <v>0</v>
      </c>
      <c r="AU169" s="76"/>
      <c r="AV169" s="37"/>
      <c r="AW169" s="86">
        <f>tbl_Actual_costs_quantities34[[#This Row],[Roof Insulation Leak Sealing]]*BOQs!$L$14</f>
        <v>0</v>
      </c>
      <c r="AX169" s="76"/>
      <c r="AY169" s="37"/>
      <c r="AZ169" s="86">
        <f>tbl_Actual_costs_quantities34[[#This Row],[Chimney Duct Cleaning Repair]]*BOQs!$L$15</f>
        <v>0</v>
      </c>
      <c r="BA169" s="76"/>
      <c r="BB169" s="37"/>
      <c r="BC169" s="89">
        <f>tbl_Actual_costs_quantities34[[#This Row],[Accessibility Adaptations]]*BOQs!$L$16</f>
        <v>0</v>
      </c>
      <c r="BD169" s="41"/>
      <c r="BE169" s="37"/>
      <c r="BF169" s="37"/>
    </row>
    <row r="170" spans="2:58" ht="25.15" customHeight="1" x14ac:dyDescent="0.25">
      <c r="B170" s="49">
        <v>166</v>
      </c>
      <c r="C170" s="37"/>
      <c r="D170" s="41"/>
      <c r="E170" s="40"/>
      <c r="F170" s="87" t="str">
        <f>IF(tbl_Actual_costs_quantities34[[#This Row],[House Code]]&lt;&gt;"",INDEX(tbl_Assessment[],MATCH(tbl_Actual_costs_quantities34[[#This Row],[House Code]],tbl_Assessment[House Code],0),3),"")</f>
        <v/>
      </c>
      <c r="G170" s="116" t="str">
        <f>IF(tbl_Actual_costs_quantities34[[#This Row],[House Code]]&lt;&gt;"",INDEX(tbl_Assessment[],MATCH(tbl_Actual_costs_quantities34[[#This Row],[House Code]],tbl_Assessment[House Code],0),9),"")</f>
        <v/>
      </c>
      <c r="H170" s="41"/>
      <c r="I170" s="41"/>
      <c r="J170" s="41"/>
      <c r="K170" s="116"/>
      <c r="L170" s="117" t="str">
        <f>IF(tbl_Actual_costs_quantities34[[#This Row],[House Code]]&lt;&gt;"",tbl_Actual_costs_quantities34[[#This Row],[Total cost]]/INDEX(tbl_estimated_costs_quantities[],MATCH(tbl_Actual_costs_quantities34[[#This Row],[House Code]],tbl_estimated_costs_quantities[House Code],0),7),"")</f>
        <v/>
      </c>
      <c r="M17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0" s="75"/>
      <c r="O170" s="37"/>
      <c r="P170" s="86">
        <f>tbl_Actual_costs_quantities34[[#This Row],[Site Preparation]]*BOQs!$L$3</f>
        <v>0</v>
      </c>
      <c r="Q170" s="76"/>
      <c r="R170" s="37"/>
      <c r="S170" s="86">
        <f>tbl_Actual_costs_quantities34[[#This Row],[Demolition Removal Unsafe Structures]]*BOQs!$L$4</f>
        <v>0</v>
      </c>
      <c r="T170" s="76"/>
      <c r="U170" s="37"/>
      <c r="V170" s="86">
        <f>tbl_Actual_costs_quantities34[[#This Row],[Concrete Works]]*BOQs!$L$5</f>
        <v>0</v>
      </c>
      <c r="W170" s="76"/>
      <c r="X170" s="37"/>
      <c r="Y170" s="86">
        <f>tbl_Actual_costs_quantities34[[#This Row],[Closure External Openings Walls Windows]]*BOQs!$L$6</f>
        <v>0</v>
      </c>
      <c r="Z170" s="76"/>
      <c r="AA170" s="37"/>
      <c r="AB170" s="86">
        <f>tbl_Actual_costs_quantities34[[#This Row],[Plastering Painting]]*BOQs!$L$7</f>
        <v>0</v>
      </c>
      <c r="AC170" s="76"/>
      <c r="AD170" s="37"/>
      <c r="AE170" s="86">
        <f>tbl_Actual_costs_quantities34[[#This Row],[Floor Repairs]]*BOQs!$L$8</f>
        <v>0</v>
      </c>
      <c r="AF170" s="76"/>
      <c r="AG170" s="37"/>
      <c r="AH170" s="86">
        <f>tbl_Actual_costs_quantities34[[#This Row],[Doors Replacement Repair]]*BOQs!$L$9</f>
        <v>0</v>
      </c>
      <c r="AI170" s="76"/>
      <c r="AJ170" s="37"/>
      <c r="AK170" s="86">
        <f>tbl_Actual_costs_quantities34[[#This Row],[Windows Replacement Repair]]*BOQs!$L$10</f>
        <v>0</v>
      </c>
      <c r="AL170" s="76"/>
      <c r="AM170" s="37"/>
      <c r="AN170" s="86">
        <f>tbl_Actual_costs_quantities34[[#This Row],[Bathroom Rehabilitation]]*BOQs!$L$11</f>
        <v>0</v>
      </c>
      <c r="AO170" s="76"/>
      <c r="AP170" s="37"/>
      <c r="AQ170" s="86">
        <f>tbl_Actual_costs_quantities34[[#This Row],[Ceramic Tile Works WASH]]*BOQs!$L$12</f>
        <v>0</v>
      </c>
      <c r="AR170" s="76"/>
      <c r="AS170" s="37"/>
      <c r="AT170" s="86">
        <f>tbl_Actual_costs_quantities34[[#This Row],[Electrical Repairs Lighting]]*BOQs!$L$13</f>
        <v>0</v>
      </c>
      <c r="AU170" s="76"/>
      <c r="AV170" s="37"/>
      <c r="AW170" s="86">
        <f>tbl_Actual_costs_quantities34[[#This Row],[Roof Insulation Leak Sealing]]*BOQs!$L$14</f>
        <v>0</v>
      </c>
      <c r="AX170" s="76"/>
      <c r="AY170" s="37"/>
      <c r="AZ170" s="86">
        <f>tbl_Actual_costs_quantities34[[#This Row],[Chimney Duct Cleaning Repair]]*BOQs!$L$15</f>
        <v>0</v>
      </c>
      <c r="BA170" s="76"/>
      <c r="BB170" s="37"/>
      <c r="BC170" s="89">
        <f>tbl_Actual_costs_quantities34[[#This Row],[Accessibility Adaptations]]*BOQs!$L$16</f>
        <v>0</v>
      </c>
      <c r="BD170" s="41"/>
      <c r="BE170" s="37"/>
      <c r="BF170" s="37"/>
    </row>
    <row r="171" spans="2:58" ht="25.15" customHeight="1" x14ac:dyDescent="0.25">
      <c r="B171" s="49">
        <v>167</v>
      </c>
      <c r="C171" s="37"/>
      <c r="D171" s="41"/>
      <c r="E171" s="40"/>
      <c r="F171" s="87" t="str">
        <f>IF(tbl_Actual_costs_quantities34[[#This Row],[House Code]]&lt;&gt;"",INDEX(tbl_Assessment[],MATCH(tbl_Actual_costs_quantities34[[#This Row],[House Code]],tbl_Assessment[House Code],0),3),"")</f>
        <v/>
      </c>
      <c r="G171" s="116" t="str">
        <f>IF(tbl_Actual_costs_quantities34[[#This Row],[House Code]]&lt;&gt;"",INDEX(tbl_Assessment[],MATCH(tbl_Actual_costs_quantities34[[#This Row],[House Code]],tbl_Assessment[House Code],0),9),"")</f>
        <v/>
      </c>
      <c r="H171" s="41"/>
      <c r="I171" s="41"/>
      <c r="J171" s="41"/>
      <c r="K171" s="116"/>
      <c r="L171" s="117" t="str">
        <f>IF(tbl_Actual_costs_quantities34[[#This Row],[House Code]]&lt;&gt;"",tbl_Actual_costs_quantities34[[#This Row],[Total cost]]/INDEX(tbl_estimated_costs_quantities[],MATCH(tbl_Actual_costs_quantities34[[#This Row],[House Code]],tbl_estimated_costs_quantities[House Code],0),7),"")</f>
        <v/>
      </c>
      <c r="M17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1" s="75"/>
      <c r="O171" s="37"/>
      <c r="P171" s="86">
        <f>tbl_Actual_costs_quantities34[[#This Row],[Site Preparation]]*BOQs!$L$3</f>
        <v>0</v>
      </c>
      <c r="Q171" s="76"/>
      <c r="R171" s="37"/>
      <c r="S171" s="86">
        <f>tbl_Actual_costs_quantities34[[#This Row],[Demolition Removal Unsafe Structures]]*BOQs!$L$4</f>
        <v>0</v>
      </c>
      <c r="T171" s="76"/>
      <c r="U171" s="37"/>
      <c r="V171" s="86">
        <f>tbl_Actual_costs_quantities34[[#This Row],[Concrete Works]]*BOQs!$L$5</f>
        <v>0</v>
      </c>
      <c r="W171" s="76"/>
      <c r="X171" s="37"/>
      <c r="Y171" s="86">
        <f>tbl_Actual_costs_quantities34[[#This Row],[Closure External Openings Walls Windows]]*BOQs!$L$6</f>
        <v>0</v>
      </c>
      <c r="Z171" s="76"/>
      <c r="AA171" s="37"/>
      <c r="AB171" s="86">
        <f>tbl_Actual_costs_quantities34[[#This Row],[Plastering Painting]]*BOQs!$L$7</f>
        <v>0</v>
      </c>
      <c r="AC171" s="76"/>
      <c r="AD171" s="37"/>
      <c r="AE171" s="86">
        <f>tbl_Actual_costs_quantities34[[#This Row],[Floor Repairs]]*BOQs!$L$8</f>
        <v>0</v>
      </c>
      <c r="AF171" s="76"/>
      <c r="AG171" s="37"/>
      <c r="AH171" s="86">
        <f>tbl_Actual_costs_quantities34[[#This Row],[Doors Replacement Repair]]*BOQs!$L$9</f>
        <v>0</v>
      </c>
      <c r="AI171" s="76"/>
      <c r="AJ171" s="37"/>
      <c r="AK171" s="86">
        <f>tbl_Actual_costs_quantities34[[#This Row],[Windows Replacement Repair]]*BOQs!$L$10</f>
        <v>0</v>
      </c>
      <c r="AL171" s="76"/>
      <c r="AM171" s="37"/>
      <c r="AN171" s="86">
        <f>tbl_Actual_costs_quantities34[[#This Row],[Bathroom Rehabilitation]]*BOQs!$L$11</f>
        <v>0</v>
      </c>
      <c r="AO171" s="76"/>
      <c r="AP171" s="37"/>
      <c r="AQ171" s="86">
        <f>tbl_Actual_costs_quantities34[[#This Row],[Ceramic Tile Works WASH]]*BOQs!$L$12</f>
        <v>0</v>
      </c>
      <c r="AR171" s="76"/>
      <c r="AS171" s="37"/>
      <c r="AT171" s="86">
        <f>tbl_Actual_costs_quantities34[[#This Row],[Electrical Repairs Lighting]]*BOQs!$L$13</f>
        <v>0</v>
      </c>
      <c r="AU171" s="76"/>
      <c r="AV171" s="37"/>
      <c r="AW171" s="86">
        <f>tbl_Actual_costs_quantities34[[#This Row],[Roof Insulation Leak Sealing]]*BOQs!$L$14</f>
        <v>0</v>
      </c>
      <c r="AX171" s="76"/>
      <c r="AY171" s="37"/>
      <c r="AZ171" s="86">
        <f>tbl_Actual_costs_quantities34[[#This Row],[Chimney Duct Cleaning Repair]]*BOQs!$L$15</f>
        <v>0</v>
      </c>
      <c r="BA171" s="76"/>
      <c r="BB171" s="37"/>
      <c r="BC171" s="89">
        <f>tbl_Actual_costs_quantities34[[#This Row],[Accessibility Adaptations]]*BOQs!$L$16</f>
        <v>0</v>
      </c>
      <c r="BD171" s="41"/>
      <c r="BE171" s="37"/>
      <c r="BF171" s="37"/>
    </row>
    <row r="172" spans="2:58" ht="25.15" customHeight="1" x14ac:dyDescent="0.25">
      <c r="B172" s="49">
        <v>168</v>
      </c>
      <c r="C172" s="37"/>
      <c r="D172" s="41"/>
      <c r="E172" s="40"/>
      <c r="F172" s="87" t="str">
        <f>IF(tbl_Actual_costs_quantities34[[#This Row],[House Code]]&lt;&gt;"",INDEX(tbl_Assessment[],MATCH(tbl_Actual_costs_quantities34[[#This Row],[House Code]],tbl_Assessment[House Code],0),3),"")</f>
        <v/>
      </c>
      <c r="G172" s="116" t="str">
        <f>IF(tbl_Actual_costs_quantities34[[#This Row],[House Code]]&lt;&gt;"",INDEX(tbl_Assessment[],MATCH(tbl_Actual_costs_quantities34[[#This Row],[House Code]],tbl_Assessment[House Code],0),9),"")</f>
        <v/>
      </c>
      <c r="H172" s="41"/>
      <c r="I172" s="41"/>
      <c r="J172" s="41"/>
      <c r="K172" s="116"/>
      <c r="L172" s="117" t="str">
        <f>IF(tbl_Actual_costs_quantities34[[#This Row],[House Code]]&lt;&gt;"",tbl_Actual_costs_quantities34[[#This Row],[Total cost]]/INDEX(tbl_estimated_costs_quantities[],MATCH(tbl_Actual_costs_quantities34[[#This Row],[House Code]],tbl_estimated_costs_quantities[House Code],0),7),"")</f>
        <v/>
      </c>
      <c r="M17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2" s="75"/>
      <c r="O172" s="37"/>
      <c r="P172" s="86">
        <f>tbl_Actual_costs_quantities34[[#This Row],[Site Preparation]]*BOQs!$L$3</f>
        <v>0</v>
      </c>
      <c r="Q172" s="76"/>
      <c r="R172" s="37"/>
      <c r="S172" s="86">
        <f>tbl_Actual_costs_quantities34[[#This Row],[Demolition Removal Unsafe Structures]]*BOQs!$L$4</f>
        <v>0</v>
      </c>
      <c r="T172" s="76"/>
      <c r="U172" s="37"/>
      <c r="V172" s="86">
        <f>tbl_Actual_costs_quantities34[[#This Row],[Concrete Works]]*BOQs!$L$5</f>
        <v>0</v>
      </c>
      <c r="W172" s="76"/>
      <c r="X172" s="37"/>
      <c r="Y172" s="86">
        <f>tbl_Actual_costs_quantities34[[#This Row],[Closure External Openings Walls Windows]]*BOQs!$L$6</f>
        <v>0</v>
      </c>
      <c r="Z172" s="76"/>
      <c r="AA172" s="37"/>
      <c r="AB172" s="86">
        <f>tbl_Actual_costs_quantities34[[#This Row],[Plastering Painting]]*BOQs!$L$7</f>
        <v>0</v>
      </c>
      <c r="AC172" s="76"/>
      <c r="AD172" s="37"/>
      <c r="AE172" s="86">
        <f>tbl_Actual_costs_quantities34[[#This Row],[Floor Repairs]]*BOQs!$L$8</f>
        <v>0</v>
      </c>
      <c r="AF172" s="76"/>
      <c r="AG172" s="37"/>
      <c r="AH172" s="86">
        <f>tbl_Actual_costs_quantities34[[#This Row],[Doors Replacement Repair]]*BOQs!$L$9</f>
        <v>0</v>
      </c>
      <c r="AI172" s="76"/>
      <c r="AJ172" s="37"/>
      <c r="AK172" s="86">
        <f>tbl_Actual_costs_quantities34[[#This Row],[Windows Replacement Repair]]*BOQs!$L$10</f>
        <v>0</v>
      </c>
      <c r="AL172" s="76"/>
      <c r="AM172" s="37"/>
      <c r="AN172" s="86">
        <f>tbl_Actual_costs_quantities34[[#This Row],[Bathroom Rehabilitation]]*BOQs!$L$11</f>
        <v>0</v>
      </c>
      <c r="AO172" s="76"/>
      <c r="AP172" s="37"/>
      <c r="AQ172" s="86">
        <f>tbl_Actual_costs_quantities34[[#This Row],[Ceramic Tile Works WASH]]*BOQs!$L$12</f>
        <v>0</v>
      </c>
      <c r="AR172" s="76"/>
      <c r="AS172" s="37"/>
      <c r="AT172" s="86">
        <f>tbl_Actual_costs_quantities34[[#This Row],[Electrical Repairs Lighting]]*BOQs!$L$13</f>
        <v>0</v>
      </c>
      <c r="AU172" s="76"/>
      <c r="AV172" s="37"/>
      <c r="AW172" s="86">
        <f>tbl_Actual_costs_quantities34[[#This Row],[Roof Insulation Leak Sealing]]*BOQs!$L$14</f>
        <v>0</v>
      </c>
      <c r="AX172" s="76"/>
      <c r="AY172" s="37"/>
      <c r="AZ172" s="86">
        <f>tbl_Actual_costs_quantities34[[#This Row],[Chimney Duct Cleaning Repair]]*BOQs!$L$15</f>
        <v>0</v>
      </c>
      <c r="BA172" s="76"/>
      <c r="BB172" s="37"/>
      <c r="BC172" s="89">
        <f>tbl_Actual_costs_quantities34[[#This Row],[Accessibility Adaptations]]*BOQs!$L$16</f>
        <v>0</v>
      </c>
      <c r="BD172" s="41"/>
      <c r="BE172" s="37"/>
      <c r="BF172" s="37"/>
    </row>
    <row r="173" spans="2:58" ht="25.15" customHeight="1" x14ac:dyDescent="0.25">
      <c r="B173" s="49">
        <v>169</v>
      </c>
      <c r="C173" s="37"/>
      <c r="D173" s="41"/>
      <c r="E173" s="40"/>
      <c r="F173" s="87" t="str">
        <f>IF(tbl_Actual_costs_quantities34[[#This Row],[House Code]]&lt;&gt;"",INDEX(tbl_Assessment[],MATCH(tbl_Actual_costs_quantities34[[#This Row],[House Code]],tbl_Assessment[House Code],0),3),"")</f>
        <v/>
      </c>
      <c r="G173" s="116" t="str">
        <f>IF(tbl_Actual_costs_quantities34[[#This Row],[House Code]]&lt;&gt;"",INDEX(tbl_Assessment[],MATCH(tbl_Actual_costs_quantities34[[#This Row],[House Code]],tbl_Assessment[House Code],0),9),"")</f>
        <v/>
      </c>
      <c r="H173" s="41"/>
      <c r="I173" s="41"/>
      <c r="J173" s="41"/>
      <c r="K173" s="116"/>
      <c r="L173" s="117" t="str">
        <f>IF(tbl_Actual_costs_quantities34[[#This Row],[House Code]]&lt;&gt;"",tbl_Actual_costs_quantities34[[#This Row],[Total cost]]/INDEX(tbl_estimated_costs_quantities[],MATCH(tbl_Actual_costs_quantities34[[#This Row],[House Code]],tbl_estimated_costs_quantities[House Code],0),7),"")</f>
        <v/>
      </c>
      <c r="M17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3" s="75"/>
      <c r="O173" s="37"/>
      <c r="P173" s="86">
        <f>tbl_Actual_costs_quantities34[[#This Row],[Site Preparation]]*BOQs!$L$3</f>
        <v>0</v>
      </c>
      <c r="Q173" s="76"/>
      <c r="R173" s="37"/>
      <c r="S173" s="86">
        <f>tbl_Actual_costs_quantities34[[#This Row],[Demolition Removal Unsafe Structures]]*BOQs!$L$4</f>
        <v>0</v>
      </c>
      <c r="T173" s="76"/>
      <c r="U173" s="37"/>
      <c r="V173" s="86">
        <f>tbl_Actual_costs_quantities34[[#This Row],[Concrete Works]]*BOQs!$L$5</f>
        <v>0</v>
      </c>
      <c r="W173" s="76"/>
      <c r="X173" s="37"/>
      <c r="Y173" s="86">
        <f>tbl_Actual_costs_quantities34[[#This Row],[Closure External Openings Walls Windows]]*BOQs!$L$6</f>
        <v>0</v>
      </c>
      <c r="Z173" s="76"/>
      <c r="AA173" s="37"/>
      <c r="AB173" s="86">
        <f>tbl_Actual_costs_quantities34[[#This Row],[Plastering Painting]]*BOQs!$L$7</f>
        <v>0</v>
      </c>
      <c r="AC173" s="76"/>
      <c r="AD173" s="37"/>
      <c r="AE173" s="86">
        <f>tbl_Actual_costs_quantities34[[#This Row],[Floor Repairs]]*BOQs!$L$8</f>
        <v>0</v>
      </c>
      <c r="AF173" s="76"/>
      <c r="AG173" s="37"/>
      <c r="AH173" s="86">
        <f>tbl_Actual_costs_quantities34[[#This Row],[Doors Replacement Repair]]*BOQs!$L$9</f>
        <v>0</v>
      </c>
      <c r="AI173" s="76"/>
      <c r="AJ173" s="37"/>
      <c r="AK173" s="86">
        <f>tbl_Actual_costs_quantities34[[#This Row],[Windows Replacement Repair]]*BOQs!$L$10</f>
        <v>0</v>
      </c>
      <c r="AL173" s="76"/>
      <c r="AM173" s="37"/>
      <c r="AN173" s="86">
        <f>tbl_Actual_costs_quantities34[[#This Row],[Bathroom Rehabilitation]]*BOQs!$L$11</f>
        <v>0</v>
      </c>
      <c r="AO173" s="76"/>
      <c r="AP173" s="37"/>
      <c r="AQ173" s="86">
        <f>tbl_Actual_costs_quantities34[[#This Row],[Ceramic Tile Works WASH]]*BOQs!$L$12</f>
        <v>0</v>
      </c>
      <c r="AR173" s="76"/>
      <c r="AS173" s="37"/>
      <c r="AT173" s="86">
        <f>tbl_Actual_costs_quantities34[[#This Row],[Electrical Repairs Lighting]]*BOQs!$L$13</f>
        <v>0</v>
      </c>
      <c r="AU173" s="76"/>
      <c r="AV173" s="37"/>
      <c r="AW173" s="86">
        <f>tbl_Actual_costs_quantities34[[#This Row],[Roof Insulation Leak Sealing]]*BOQs!$L$14</f>
        <v>0</v>
      </c>
      <c r="AX173" s="76"/>
      <c r="AY173" s="37"/>
      <c r="AZ173" s="86">
        <f>tbl_Actual_costs_quantities34[[#This Row],[Chimney Duct Cleaning Repair]]*BOQs!$L$15</f>
        <v>0</v>
      </c>
      <c r="BA173" s="76"/>
      <c r="BB173" s="37"/>
      <c r="BC173" s="89">
        <f>tbl_Actual_costs_quantities34[[#This Row],[Accessibility Adaptations]]*BOQs!$L$16</f>
        <v>0</v>
      </c>
      <c r="BD173" s="41"/>
      <c r="BE173" s="37"/>
      <c r="BF173" s="37"/>
    </row>
    <row r="174" spans="2:58" ht="25.15" customHeight="1" x14ac:dyDescent="0.25">
      <c r="B174" s="49">
        <v>170</v>
      </c>
      <c r="C174" s="37"/>
      <c r="D174" s="41"/>
      <c r="E174" s="40"/>
      <c r="F174" s="87" t="str">
        <f>IF(tbl_Actual_costs_quantities34[[#This Row],[House Code]]&lt;&gt;"",INDEX(tbl_Assessment[],MATCH(tbl_Actual_costs_quantities34[[#This Row],[House Code]],tbl_Assessment[House Code],0),3),"")</f>
        <v/>
      </c>
      <c r="G174" s="116" t="str">
        <f>IF(tbl_Actual_costs_quantities34[[#This Row],[House Code]]&lt;&gt;"",INDEX(tbl_Assessment[],MATCH(tbl_Actual_costs_quantities34[[#This Row],[House Code]],tbl_Assessment[House Code],0),9),"")</f>
        <v/>
      </c>
      <c r="H174" s="41"/>
      <c r="I174" s="41"/>
      <c r="J174" s="41"/>
      <c r="K174" s="116"/>
      <c r="L174" s="117" t="str">
        <f>IF(tbl_Actual_costs_quantities34[[#This Row],[House Code]]&lt;&gt;"",tbl_Actual_costs_quantities34[[#This Row],[Total cost]]/INDEX(tbl_estimated_costs_quantities[],MATCH(tbl_Actual_costs_quantities34[[#This Row],[House Code]],tbl_estimated_costs_quantities[House Code],0),7),"")</f>
        <v/>
      </c>
      <c r="M17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4" s="75"/>
      <c r="O174" s="37"/>
      <c r="P174" s="86">
        <f>tbl_Actual_costs_quantities34[[#This Row],[Site Preparation]]*BOQs!$L$3</f>
        <v>0</v>
      </c>
      <c r="Q174" s="76"/>
      <c r="R174" s="37"/>
      <c r="S174" s="86">
        <f>tbl_Actual_costs_quantities34[[#This Row],[Demolition Removal Unsafe Structures]]*BOQs!$L$4</f>
        <v>0</v>
      </c>
      <c r="T174" s="76"/>
      <c r="U174" s="37"/>
      <c r="V174" s="86">
        <f>tbl_Actual_costs_quantities34[[#This Row],[Concrete Works]]*BOQs!$L$5</f>
        <v>0</v>
      </c>
      <c r="W174" s="76"/>
      <c r="X174" s="37"/>
      <c r="Y174" s="86">
        <f>tbl_Actual_costs_quantities34[[#This Row],[Closure External Openings Walls Windows]]*BOQs!$L$6</f>
        <v>0</v>
      </c>
      <c r="Z174" s="76"/>
      <c r="AA174" s="37"/>
      <c r="AB174" s="86">
        <f>tbl_Actual_costs_quantities34[[#This Row],[Plastering Painting]]*BOQs!$L$7</f>
        <v>0</v>
      </c>
      <c r="AC174" s="76"/>
      <c r="AD174" s="37"/>
      <c r="AE174" s="86">
        <f>tbl_Actual_costs_quantities34[[#This Row],[Floor Repairs]]*BOQs!$L$8</f>
        <v>0</v>
      </c>
      <c r="AF174" s="76"/>
      <c r="AG174" s="37"/>
      <c r="AH174" s="86">
        <f>tbl_Actual_costs_quantities34[[#This Row],[Doors Replacement Repair]]*BOQs!$L$9</f>
        <v>0</v>
      </c>
      <c r="AI174" s="76"/>
      <c r="AJ174" s="37"/>
      <c r="AK174" s="86">
        <f>tbl_Actual_costs_quantities34[[#This Row],[Windows Replacement Repair]]*BOQs!$L$10</f>
        <v>0</v>
      </c>
      <c r="AL174" s="76"/>
      <c r="AM174" s="37"/>
      <c r="AN174" s="86">
        <f>tbl_Actual_costs_quantities34[[#This Row],[Bathroom Rehabilitation]]*BOQs!$L$11</f>
        <v>0</v>
      </c>
      <c r="AO174" s="76"/>
      <c r="AP174" s="37"/>
      <c r="AQ174" s="86">
        <f>tbl_Actual_costs_quantities34[[#This Row],[Ceramic Tile Works WASH]]*BOQs!$L$12</f>
        <v>0</v>
      </c>
      <c r="AR174" s="76"/>
      <c r="AS174" s="37"/>
      <c r="AT174" s="86">
        <f>tbl_Actual_costs_quantities34[[#This Row],[Electrical Repairs Lighting]]*BOQs!$L$13</f>
        <v>0</v>
      </c>
      <c r="AU174" s="76"/>
      <c r="AV174" s="37"/>
      <c r="AW174" s="86">
        <f>tbl_Actual_costs_quantities34[[#This Row],[Roof Insulation Leak Sealing]]*BOQs!$L$14</f>
        <v>0</v>
      </c>
      <c r="AX174" s="76"/>
      <c r="AY174" s="37"/>
      <c r="AZ174" s="86">
        <f>tbl_Actual_costs_quantities34[[#This Row],[Chimney Duct Cleaning Repair]]*BOQs!$L$15</f>
        <v>0</v>
      </c>
      <c r="BA174" s="76"/>
      <c r="BB174" s="37"/>
      <c r="BC174" s="89">
        <f>tbl_Actual_costs_quantities34[[#This Row],[Accessibility Adaptations]]*BOQs!$L$16</f>
        <v>0</v>
      </c>
      <c r="BD174" s="41"/>
      <c r="BE174" s="37"/>
      <c r="BF174" s="37"/>
    </row>
    <row r="175" spans="2:58" ht="25.15" customHeight="1" x14ac:dyDescent="0.25">
      <c r="B175" s="49">
        <v>171</v>
      </c>
      <c r="C175" s="37"/>
      <c r="D175" s="41"/>
      <c r="E175" s="40"/>
      <c r="F175" s="87" t="str">
        <f>IF(tbl_Actual_costs_quantities34[[#This Row],[House Code]]&lt;&gt;"",INDEX(tbl_Assessment[],MATCH(tbl_Actual_costs_quantities34[[#This Row],[House Code]],tbl_Assessment[House Code],0),3),"")</f>
        <v/>
      </c>
      <c r="G175" s="116" t="str">
        <f>IF(tbl_Actual_costs_quantities34[[#This Row],[House Code]]&lt;&gt;"",INDEX(tbl_Assessment[],MATCH(tbl_Actual_costs_quantities34[[#This Row],[House Code]],tbl_Assessment[House Code],0),9),"")</f>
        <v/>
      </c>
      <c r="H175" s="41"/>
      <c r="I175" s="41"/>
      <c r="J175" s="41"/>
      <c r="K175" s="116"/>
      <c r="L175" s="117" t="str">
        <f>IF(tbl_Actual_costs_quantities34[[#This Row],[House Code]]&lt;&gt;"",tbl_Actual_costs_quantities34[[#This Row],[Total cost]]/INDEX(tbl_estimated_costs_quantities[],MATCH(tbl_Actual_costs_quantities34[[#This Row],[House Code]],tbl_estimated_costs_quantities[House Code],0),7),"")</f>
        <v/>
      </c>
      <c r="M17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5" s="75"/>
      <c r="O175" s="37"/>
      <c r="P175" s="86">
        <f>tbl_Actual_costs_quantities34[[#This Row],[Site Preparation]]*BOQs!$L$3</f>
        <v>0</v>
      </c>
      <c r="Q175" s="76"/>
      <c r="R175" s="37"/>
      <c r="S175" s="86">
        <f>tbl_Actual_costs_quantities34[[#This Row],[Demolition Removal Unsafe Structures]]*BOQs!$L$4</f>
        <v>0</v>
      </c>
      <c r="T175" s="76"/>
      <c r="U175" s="37"/>
      <c r="V175" s="86">
        <f>tbl_Actual_costs_quantities34[[#This Row],[Concrete Works]]*BOQs!$L$5</f>
        <v>0</v>
      </c>
      <c r="W175" s="76"/>
      <c r="X175" s="37"/>
      <c r="Y175" s="86">
        <f>tbl_Actual_costs_quantities34[[#This Row],[Closure External Openings Walls Windows]]*BOQs!$L$6</f>
        <v>0</v>
      </c>
      <c r="Z175" s="76"/>
      <c r="AA175" s="37"/>
      <c r="AB175" s="86">
        <f>tbl_Actual_costs_quantities34[[#This Row],[Plastering Painting]]*BOQs!$L$7</f>
        <v>0</v>
      </c>
      <c r="AC175" s="76"/>
      <c r="AD175" s="37"/>
      <c r="AE175" s="86">
        <f>tbl_Actual_costs_quantities34[[#This Row],[Floor Repairs]]*BOQs!$L$8</f>
        <v>0</v>
      </c>
      <c r="AF175" s="76"/>
      <c r="AG175" s="37"/>
      <c r="AH175" s="86">
        <f>tbl_Actual_costs_quantities34[[#This Row],[Doors Replacement Repair]]*BOQs!$L$9</f>
        <v>0</v>
      </c>
      <c r="AI175" s="76"/>
      <c r="AJ175" s="37"/>
      <c r="AK175" s="86">
        <f>tbl_Actual_costs_quantities34[[#This Row],[Windows Replacement Repair]]*BOQs!$L$10</f>
        <v>0</v>
      </c>
      <c r="AL175" s="76"/>
      <c r="AM175" s="37"/>
      <c r="AN175" s="86">
        <f>tbl_Actual_costs_quantities34[[#This Row],[Bathroom Rehabilitation]]*BOQs!$L$11</f>
        <v>0</v>
      </c>
      <c r="AO175" s="76"/>
      <c r="AP175" s="37"/>
      <c r="AQ175" s="86">
        <f>tbl_Actual_costs_quantities34[[#This Row],[Ceramic Tile Works WASH]]*BOQs!$L$12</f>
        <v>0</v>
      </c>
      <c r="AR175" s="76"/>
      <c r="AS175" s="37"/>
      <c r="AT175" s="86">
        <f>tbl_Actual_costs_quantities34[[#This Row],[Electrical Repairs Lighting]]*BOQs!$L$13</f>
        <v>0</v>
      </c>
      <c r="AU175" s="76"/>
      <c r="AV175" s="37"/>
      <c r="AW175" s="86">
        <f>tbl_Actual_costs_quantities34[[#This Row],[Roof Insulation Leak Sealing]]*BOQs!$L$14</f>
        <v>0</v>
      </c>
      <c r="AX175" s="76"/>
      <c r="AY175" s="37"/>
      <c r="AZ175" s="86">
        <f>tbl_Actual_costs_quantities34[[#This Row],[Chimney Duct Cleaning Repair]]*BOQs!$L$15</f>
        <v>0</v>
      </c>
      <c r="BA175" s="76"/>
      <c r="BB175" s="37"/>
      <c r="BC175" s="89">
        <f>tbl_Actual_costs_quantities34[[#This Row],[Accessibility Adaptations]]*BOQs!$L$16</f>
        <v>0</v>
      </c>
      <c r="BD175" s="41"/>
      <c r="BE175" s="37"/>
      <c r="BF175" s="37"/>
    </row>
    <row r="176" spans="2:58" ht="25.15" customHeight="1" x14ac:dyDescent="0.25">
      <c r="B176" s="49">
        <v>172</v>
      </c>
      <c r="C176" s="37"/>
      <c r="D176" s="41"/>
      <c r="E176" s="40"/>
      <c r="F176" s="87" t="str">
        <f>IF(tbl_Actual_costs_quantities34[[#This Row],[House Code]]&lt;&gt;"",INDEX(tbl_Assessment[],MATCH(tbl_Actual_costs_quantities34[[#This Row],[House Code]],tbl_Assessment[House Code],0),3),"")</f>
        <v/>
      </c>
      <c r="G176" s="116" t="str">
        <f>IF(tbl_Actual_costs_quantities34[[#This Row],[House Code]]&lt;&gt;"",INDEX(tbl_Assessment[],MATCH(tbl_Actual_costs_quantities34[[#This Row],[House Code]],tbl_Assessment[House Code],0),9),"")</f>
        <v/>
      </c>
      <c r="H176" s="41"/>
      <c r="I176" s="41"/>
      <c r="J176" s="41"/>
      <c r="K176" s="116"/>
      <c r="L176" s="117" t="str">
        <f>IF(tbl_Actual_costs_quantities34[[#This Row],[House Code]]&lt;&gt;"",tbl_Actual_costs_quantities34[[#This Row],[Total cost]]/INDEX(tbl_estimated_costs_quantities[],MATCH(tbl_Actual_costs_quantities34[[#This Row],[House Code]],tbl_estimated_costs_quantities[House Code],0),7),"")</f>
        <v/>
      </c>
      <c r="M17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6" s="75"/>
      <c r="O176" s="37"/>
      <c r="P176" s="86">
        <f>tbl_Actual_costs_quantities34[[#This Row],[Site Preparation]]*BOQs!$L$3</f>
        <v>0</v>
      </c>
      <c r="Q176" s="76"/>
      <c r="R176" s="37"/>
      <c r="S176" s="86">
        <f>tbl_Actual_costs_quantities34[[#This Row],[Demolition Removal Unsafe Structures]]*BOQs!$L$4</f>
        <v>0</v>
      </c>
      <c r="T176" s="76"/>
      <c r="U176" s="37"/>
      <c r="V176" s="86">
        <f>tbl_Actual_costs_quantities34[[#This Row],[Concrete Works]]*BOQs!$L$5</f>
        <v>0</v>
      </c>
      <c r="W176" s="76"/>
      <c r="X176" s="37"/>
      <c r="Y176" s="86">
        <f>tbl_Actual_costs_quantities34[[#This Row],[Closure External Openings Walls Windows]]*BOQs!$L$6</f>
        <v>0</v>
      </c>
      <c r="Z176" s="76"/>
      <c r="AA176" s="37"/>
      <c r="AB176" s="86">
        <f>tbl_Actual_costs_quantities34[[#This Row],[Plastering Painting]]*BOQs!$L$7</f>
        <v>0</v>
      </c>
      <c r="AC176" s="76"/>
      <c r="AD176" s="37"/>
      <c r="AE176" s="86">
        <f>tbl_Actual_costs_quantities34[[#This Row],[Floor Repairs]]*BOQs!$L$8</f>
        <v>0</v>
      </c>
      <c r="AF176" s="76"/>
      <c r="AG176" s="37"/>
      <c r="AH176" s="86">
        <f>tbl_Actual_costs_quantities34[[#This Row],[Doors Replacement Repair]]*BOQs!$L$9</f>
        <v>0</v>
      </c>
      <c r="AI176" s="76"/>
      <c r="AJ176" s="37"/>
      <c r="AK176" s="86">
        <f>tbl_Actual_costs_quantities34[[#This Row],[Windows Replacement Repair]]*BOQs!$L$10</f>
        <v>0</v>
      </c>
      <c r="AL176" s="76"/>
      <c r="AM176" s="37"/>
      <c r="AN176" s="86">
        <f>tbl_Actual_costs_quantities34[[#This Row],[Bathroom Rehabilitation]]*BOQs!$L$11</f>
        <v>0</v>
      </c>
      <c r="AO176" s="76"/>
      <c r="AP176" s="37"/>
      <c r="AQ176" s="86">
        <f>tbl_Actual_costs_quantities34[[#This Row],[Ceramic Tile Works WASH]]*BOQs!$L$12</f>
        <v>0</v>
      </c>
      <c r="AR176" s="76"/>
      <c r="AS176" s="37"/>
      <c r="AT176" s="86">
        <f>tbl_Actual_costs_quantities34[[#This Row],[Electrical Repairs Lighting]]*BOQs!$L$13</f>
        <v>0</v>
      </c>
      <c r="AU176" s="76"/>
      <c r="AV176" s="37"/>
      <c r="AW176" s="86">
        <f>tbl_Actual_costs_quantities34[[#This Row],[Roof Insulation Leak Sealing]]*BOQs!$L$14</f>
        <v>0</v>
      </c>
      <c r="AX176" s="76"/>
      <c r="AY176" s="37"/>
      <c r="AZ176" s="86">
        <f>tbl_Actual_costs_quantities34[[#This Row],[Chimney Duct Cleaning Repair]]*BOQs!$L$15</f>
        <v>0</v>
      </c>
      <c r="BA176" s="76"/>
      <c r="BB176" s="37"/>
      <c r="BC176" s="89">
        <f>tbl_Actual_costs_quantities34[[#This Row],[Accessibility Adaptations]]*BOQs!$L$16</f>
        <v>0</v>
      </c>
      <c r="BD176" s="41"/>
      <c r="BE176" s="37"/>
      <c r="BF176" s="37"/>
    </row>
    <row r="177" spans="2:58" ht="25.15" customHeight="1" x14ac:dyDescent="0.25">
      <c r="B177" s="49">
        <v>173</v>
      </c>
      <c r="C177" s="37"/>
      <c r="D177" s="41"/>
      <c r="E177" s="40"/>
      <c r="F177" s="87" t="str">
        <f>IF(tbl_Actual_costs_quantities34[[#This Row],[House Code]]&lt;&gt;"",INDEX(tbl_Assessment[],MATCH(tbl_Actual_costs_quantities34[[#This Row],[House Code]],tbl_Assessment[House Code],0),3),"")</f>
        <v/>
      </c>
      <c r="G177" s="116" t="str">
        <f>IF(tbl_Actual_costs_quantities34[[#This Row],[House Code]]&lt;&gt;"",INDEX(tbl_Assessment[],MATCH(tbl_Actual_costs_quantities34[[#This Row],[House Code]],tbl_Assessment[House Code],0),9),"")</f>
        <v/>
      </c>
      <c r="H177" s="41"/>
      <c r="I177" s="41"/>
      <c r="J177" s="41"/>
      <c r="K177" s="116"/>
      <c r="L177" s="117" t="str">
        <f>IF(tbl_Actual_costs_quantities34[[#This Row],[House Code]]&lt;&gt;"",tbl_Actual_costs_quantities34[[#This Row],[Total cost]]/INDEX(tbl_estimated_costs_quantities[],MATCH(tbl_Actual_costs_quantities34[[#This Row],[House Code]],tbl_estimated_costs_quantities[House Code],0),7),"")</f>
        <v/>
      </c>
      <c r="M17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7" s="75"/>
      <c r="O177" s="37"/>
      <c r="P177" s="86">
        <f>tbl_Actual_costs_quantities34[[#This Row],[Site Preparation]]*BOQs!$L$3</f>
        <v>0</v>
      </c>
      <c r="Q177" s="76"/>
      <c r="R177" s="37"/>
      <c r="S177" s="86">
        <f>tbl_Actual_costs_quantities34[[#This Row],[Demolition Removal Unsafe Structures]]*BOQs!$L$4</f>
        <v>0</v>
      </c>
      <c r="T177" s="76"/>
      <c r="U177" s="37"/>
      <c r="V177" s="86">
        <f>tbl_Actual_costs_quantities34[[#This Row],[Concrete Works]]*BOQs!$L$5</f>
        <v>0</v>
      </c>
      <c r="W177" s="76"/>
      <c r="X177" s="37"/>
      <c r="Y177" s="86">
        <f>tbl_Actual_costs_quantities34[[#This Row],[Closure External Openings Walls Windows]]*BOQs!$L$6</f>
        <v>0</v>
      </c>
      <c r="Z177" s="76"/>
      <c r="AA177" s="37"/>
      <c r="AB177" s="86">
        <f>tbl_Actual_costs_quantities34[[#This Row],[Plastering Painting]]*BOQs!$L$7</f>
        <v>0</v>
      </c>
      <c r="AC177" s="76"/>
      <c r="AD177" s="37"/>
      <c r="AE177" s="86">
        <f>tbl_Actual_costs_quantities34[[#This Row],[Floor Repairs]]*BOQs!$L$8</f>
        <v>0</v>
      </c>
      <c r="AF177" s="76"/>
      <c r="AG177" s="37"/>
      <c r="AH177" s="86">
        <f>tbl_Actual_costs_quantities34[[#This Row],[Doors Replacement Repair]]*BOQs!$L$9</f>
        <v>0</v>
      </c>
      <c r="AI177" s="76"/>
      <c r="AJ177" s="37"/>
      <c r="AK177" s="86">
        <f>tbl_Actual_costs_quantities34[[#This Row],[Windows Replacement Repair]]*BOQs!$L$10</f>
        <v>0</v>
      </c>
      <c r="AL177" s="76"/>
      <c r="AM177" s="37"/>
      <c r="AN177" s="86">
        <f>tbl_Actual_costs_quantities34[[#This Row],[Bathroom Rehabilitation]]*BOQs!$L$11</f>
        <v>0</v>
      </c>
      <c r="AO177" s="76"/>
      <c r="AP177" s="37"/>
      <c r="AQ177" s="86">
        <f>tbl_Actual_costs_quantities34[[#This Row],[Ceramic Tile Works WASH]]*BOQs!$L$12</f>
        <v>0</v>
      </c>
      <c r="AR177" s="76"/>
      <c r="AS177" s="37"/>
      <c r="AT177" s="86">
        <f>tbl_Actual_costs_quantities34[[#This Row],[Electrical Repairs Lighting]]*BOQs!$L$13</f>
        <v>0</v>
      </c>
      <c r="AU177" s="76"/>
      <c r="AV177" s="37"/>
      <c r="AW177" s="86">
        <f>tbl_Actual_costs_quantities34[[#This Row],[Roof Insulation Leak Sealing]]*BOQs!$L$14</f>
        <v>0</v>
      </c>
      <c r="AX177" s="76"/>
      <c r="AY177" s="37"/>
      <c r="AZ177" s="86">
        <f>tbl_Actual_costs_quantities34[[#This Row],[Chimney Duct Cleaning Repair]]*BOQs!$L$15</f>
        <v>0</v>
      </c>
      <c r="BA177" s="76"/>
      <c r="BB177" s="37"/>
      <c r="BC177" s="89">
        <f>tbl_Actual_costs_quantities34[[#This Row],[Accessibility Adaptations]]*BOQs!$L$16</f>
        <v>0</v>
      </c>
      <c r="BD177" s="41"/>
      <c r="BE177" s="37"/>
      <c r="BF177" s="37"/>
    </row>
    <row r="178" spans="2:58" ht="25.15" customHeight="1" x14ac:dyDescent="0.25">
      <c r="B178" s="49">
        <v>174</v>
      </c>
      <c r="C178" s="37"/>
      <c r="D178" s="41"/>
      <c r="E178" s="40"/>
      <c r="F178" s="87" t="str">
        <f>IF(tbl_Actual_costs_quantities34[[#This Row],[House Code]]&lt;&gt;"",INDEX(tbl_Assessment[],MATCH(tbl_Actual_costs_quantities34[[#This Row],[House Code]],tbl_Assessment[House Code],0),3),"")</f>
        <v/>
      </c>
      <c r="G178" s="116" t="str">
        <f>IF(tbl_Actual_costs_quantities34[[#This Row],[House Code]]&lt;&gt;"",INDEX(tbl_Assessment[],MATCH(tbl_Actual_costs_quantities34[[#This Row],[House Code]],tbl_Assessment[House Code],0),9),"")</f>
        <v/>
      </c>
      <c r="H178" s="41"/>
      <c r="I178" s="41"/>
      <c r="J178" s="41"/>
      <c r="K178" s="116"/>
      <c r="L178" s="117" t="str">
        <f>IF(tbl_Actual_costs_quantities34[[#This Row],[House Code]]&lt;&gt;"",tbl_Actual_costs_quantities34[[#This Row],[Total cost]]/INDEX(tbl_estimated_costs_quantities[],MATCH(tbl_Actual_costs_quantities34[[#This Row],[House Code]],tbl_estimated_costs_quantities[House Code],0),7),"")</f>
        <v/>
      </c>
      <c r="M17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8" s="75"/>
      <c r="O178" s="37"/>
      <c r="P178" s="86">
        <f>tbl_Actual_costs_quantities34[[#This Row],[Site Preparation]]*BOQs!$L$3</f>
        <v>0</v>
      </c>
      <c r="Q178" s="76"/>
      <c r="R178" s="37"/>
      <c r="S178" s="86">
        <f>tbl_Actual_costs_quantities34[[#This Row],[Demolition Removal Unsafe Structures]]*BOQs!$L$4</f>
        <v>0</v>
      </c>
      <c r="T178" s="76"/>
      <c r="U178" s="37"/>
      <c r="V178" s="86">
        <f>tbl_Actual_costs_quantities34[[#This Row],[Concrete Works]]*BOQs!$L$5</f>
        <v>0</v>
      </c>
      <c r="W178" s="76"/>
      <c r="X178" s="37"/>
      <c r="Y178" s="86">
        <f>tbl_Actual_costs_quantities34[[#This Row],[Closure External Openings Walls Windows]]*BOQs!$L$6</f>
        <v>0</v>
      </c>
      <c r="Z178" s="76"/>
      <c r="AA178" s="37"/>
      <c r="AB178" s="86">
        <f>tbl_Actual_costs_quantities34[[#This Row],[Plastering Painting]]*BOQs!$L$7</f>
        <v>0</v>
      </c>
      <c r="AC178" s="76"/>
      <c r="AD178" s="37"/>
      <c r="AE178" s="86">
        <f>tbl_Actual_costs_quantities34[[#This Row],[Floor Repairs]]*BOQs!$L$8</f>
        <v>0</v>
      </c>
      <c r="AF178" s="76"/>
      <c r="AG178" s="37"/>
      <c r="AH178" s="86">
        <f>tbl_Actual_costs_quantities34[[#This Row],[Doors Replacement Repair]]*BOQs!$L$9</f>
        <v>0</v>
      </c>
      <c r="AI178" s="76"/>
      <c r="AJ178" s="37"/>
      <c r="AK178" s="86">
        <f>tbl_Actual_costs_quantities34[[#This Row],[Windows Replacement Repair]]*BOQs!$L$10</f>
        <v>0</v>
      </c>
      <c r="AL178" s="76"/>
      <c r="AM178" s="37"/>
      <c r="AN178" s="86">
        <f>tbl_Actual_costs_quantities34[[#This Row],[Bathroom Rehabilitation]]*BOQs!$L$11</f>
        <v>0</v>
      </c>
      <c r="AO178" s="76"/>
      <c r="AP178" s="37"/>
      <c r="AQ178" s="86">
        <f>tbl_Actual_costs_quantities34[[#This Row],[Ceramic Tile Works WASH]]*BOQs!$L$12</f>
        <v>0</v>
      </c>
      <c r="AR178" s="76"/>
      <c r="AS178" s="37"/>
      <c r="AT178" s="86">
        <f>tbl_Actual_costs_quantities34[[#This Row],[Electrical Repairs Lighting]]*BOQs!$L$13</f>
        <v>0</v>
      </c>
      <c r="AU178" s="76"/>
      <c r="AV178" s="37"/>
      <c r="AW178" s="86">
        <f>tbl_Actual_costs_quantities34[[#This Row],[Roof Insulation Leak Sealing]]*BOQs!$L$14</f>
        <v>0</v>
      </c>
      <c r="AX178" s="76"/>
      <c r="AY178" s="37"/>
      <c r="AZ178" s="86">
        <f>tbl_Actual_costs_quantities34[[#This Row],[Chimney Duct Cleaning Repair]]*BOQs!$L$15</f>
        <v>0</v>
      </c>
      <c r="BA178" s="76"/>
      <c r="BB178" s="37"/>
      <c r="BC178" s="89">
        <f>tbl_Actual_costs_quantities34[[#This Row],[Accessibility Adaptations]]*BOQs!$L$16</f>
        <v>0</v>
      </c>
      <c r="BD178" s="41"/>
      <c r="BE178" s="37"/>
      <c r="BF178" s="37"/>
    </row>
    <row r="179" spans="2:58" ht="25.15" customHeight="1" x14ac:dyDescent="0.25">
      <c r="B179" s="49">
        <v>175</v>
      </c>
      <c r="C179" s="37"/>
      <c r="D179" s="41"/>
      <c r="E179" s="40"/>
      <c r="F179" s="87" t="str">
        <f>IF(tbl_Actual_costs_quantities34[[#This Row],[House Code]]&lt;&gt;"",INDEX(tbl_Assessment[],MATCH(tbl_Actual_costs_quantities34[[#This Row],[House Code]],tbl_Assessment[House Code],0),3),"")</f>
        <v/>
      </c>
      <c r="G179" s="116" t="str">
        <f>IF(tbl_Actual_costs_quantities34[[#This Row],[House Code]]&lt;&gt;"",INDEX(tbl_Assessment[],MATCH(tbl_Actual_costs_quantities34[[#This Row],[House Code]],tbl_Assessment[House Code],0),9),"")</f>
        <v/>
      </c>
      <c r="H179" s="41"/>
      <c r="I179" s="41"/>
      <c r="J179" s="41"/>
      <c r="K179" s="116"/>
      <c r="L179" s="117" t="str">
        <f>IF(tbl_Actual_costs_quantities34[[#This Row],[House Code]]&lt;&gt;"",tbl_Actual_costs_quantities34[[#This Row],[Total cost]]/INDEX(tbl_estimated_costs_quantities[],MATCH(tbl_Actual_costs_quantities34[[#This Row],[House Code]],tbl_estimated_costs_quantities[House Code],0),7),"")</f>
        <v/>
      </c>
      <c r="M17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79" s="75"/>
      <c r="O179" s="37"/>
      <c r="P179" s="86">
        <f>tbl_Actual_costs_quantities34[[#This Row],[Site Preparation]]*BOQs!$L$3</f>
        <v>0</v>
      </c>
      <c r="Q179" s="76"/>
      <c r="R179" s="37"/>
      <c r="S179" s="86">
        <f>tbl_Actual_costs_quantities34[[#This Row],[Demolition Removal Unsafe Structures]]*BOQs!$L$4</f>
        <v>0</v>
      </c>
      <c r="T179" s="76"/>
      <c r="U179" s="37"/>
      <c r="V179" s="86">
        <f>tbl_Actual_costs_quantities34[[#This Row],[Concrete Works]]*BOQs!$L$5</f>
        <v>0</v>
      </c>
      <c r="W179" s="76"/>
      <c r="X179" s="37"/>
      <c r="Y179" s="86">
        <f>tbl_Actual_costs_quantities34[[#This Row],[Closure External Openings Walls Windows]]*BOQs!$L$6</f>
        <v>0</v>
      </c>
      <c r="Z179" s="76"/>
      <c r="AA179" s="37"/>
      <c r="AB179" s="86">
        <f>tbl_Actual_costs_quantities34[[#This Row],[Plastering Painting]]*BOQs!$L$7</f>
        <v>0</v>
      </c>
      <c r="AC179" s="76"/>
      <c r="AD179" s="37"/>
      <c r="AE179" s="86">
        <f>tbl_Actual_costs_quantities34[[#This Row],[Floor Repairs]]*BOQs!$L$8</f>
        <v>0</v>
      </c>
      <c r="AF179" s="76"/>
      <c r="AG179" s="37"/>
      <c r="AH179" s="86">
        <f>tbl_Actual_costs_quantities34[[#This Row],[Doors Replacement Repair]]*BOQs!$L$9</f>
        <v>0</v>
      </c>
      <c r="AI179" s="76"/>
      <c r="AJ179" s="37"/>
      <c r="AK179" s="86">
        <f>tbl_Actual_costs_quantities34[[#This Row],[Windows Replacement Repair]]*BOQs!$L$10</f>
        <v>0</v>
      </c>
      <c r="AL179" s="76"/>
      <c r="AM179" s="37"/>
      <c r="AN179" s="86">
        <f>tbl_Actual_costs_quantities34[[#This Row],[Bathroom Rehabilitation]]*BOQs!$L$11</f>
        <v>0</v>
      </c>
      <c r="AO179" s="76"/>
      <c r="AP179" s="37"/>
      <c r="AQ179" s="86">
        <f>tbl_Actual_costs_quantities34[[#This Row],[Ceramic Tile Works WASH]]*BOQs!$L$12</f>
        <v>0</v>
      </c>
      <c r="AR179" s="76"/>
      <c r="AS179" s="37"/>
      <c r="AT179" s="86">
        <f>tbl_Actual_costs_quantities34[[#This Row],[Electrical Repairs Lighting]]*BOQs!$L$13</f>
        <v>0</v>
      </c>
      <c r="AU179" s="76"/>
      <c r="AV179" s="37"/>
      <c r="AW179" s="86">
        <f>tbl_Actual_costs_quantities34[[#This Row],[Roof Insulation Leak Sealing]]*BOQs!$L$14</f>
        <v>0</v>
      </c>
      <c r="AX179" s="76"/>
      <c r="AY179" s="37"/>
      <c r="AZ179" s="86">
        <f>tbl_Actual_costs_quantities34[[#This Row],[Chimney Duct Cleaning Repair]]*BOQs!$L$15</f>
        <v>0</v>
      </c>
      <c r="BA179" s="76"/>
      <c r="BB179" s="37"/>
      <c r="BC179" s="89">
        <f>tbl_Actual_costs_quantities34[[#This Row],[Accessibility Adaptations]]*BOQs!$L$16</f>
        <v>0</v>
      </c>
      <c r="BD179" s="41"/>
      <c r="BE179" s="37"/>
      <c r="BF179" s="37"/>
    </row>
    <row r="180" spans="2:58" ht="25.15" customHeight="1" x14ac:dyDescent="0.25">
      <c r="B180" s="49">
        <v>176</v>
      </c>
      <c r="C180" s="37"/>
      <c r="D180" s="41"/>
      <c r="E180" s="40"/>
      <c r="F180" s="87" t="str">
        <f>IF(tbl_Actual_costs_quantities34[[#This Row],[House Code]]&lt;&gt;"",INDEX(tbl_Assessment[],MATCH(tbl_Actual_costs_quantities34[[#This Row],[House Code]],tbl_Assessment[House Code],0),3),"")</f>
        <v/>
      </c>
      <c r="G180" s="116" t="str">
        <f>IF(tbl_Actual_costs_quantities34[[#This Row],[House Code]]&lt;&gt;"",INDEX(tbl_Assessment[],MATCH(tbl_Actual_costs_quantities34[[#This Row],[House Code]],tbl_Assessment[House Code],0),9),"")</f>
        <v/>
      </c>
      <c r="H180" s="41"/>
      <c r="I180" s="41"/>
      <c r="J180" s="41"/>
      <c r="K180" s="116"/>
      <c r="L180" s="117" t="str">
        <f>IF(tbl_Actual_costs_quantities34[[#This Row],[House Code]]&lt;&gt;"",tbl_Actual_costs_quantities34[[#This Row],[Total cost]]/INDEX(tbl_estimated_costs_quantities[],MATCH(tbl_Actual_costs_quantities34[[#This Row],[House Code]],tbl_estimated_costs_quantities[House Code],0),7),"")</f>
        <v/>
      </c>
      <c r="M18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0" s="75"/>
      <c r="O180" s="37"/>
      <c r="P180" s="86">
        <f>tbl_Actual_costs_quantities34[[#This Row],[Site Preparation]]*BOQs!$L$3</f>
        <v>0</v>
      </c>
      <c r="Q180" s="76"/>
      <c r="R180" s="37"/>
      <c r="S180" s="86">
        <f>tbl_Actual_costs_quantities34[[#This Row],[Demolition Removal Unsafe Structures]]*BOQs!$L$4</f>
        <v>0</v>
      </c>
      <c r="T180" s="76"/>
      <c r="U180" s="37"/>
      <c r="V180" s="86">
        <f>tbl_Actual_costs_quantities34[[#This Row],[Concrete Works]]*BOQs!$L$5</f>
        <v>0</v>
      </c>
      <c r="W180" s="76"/>
      <c r="X180" s="37"/>
      <c r="Y180" s="86">
        <f>tbl_Actual_costs_quantities34[[#This Row],[Closure External Openings Walls Windows]]*BOQs!$L$6</f>
        <v>0</v>
      </c>
      <c r="Z180" s="76"/>
      <c r="AA180" s="37"/>
      <c r="AB180" s="86">
        <f>tbl_Actual_costs_quantities34[[#This Row],[Plastering Painting]]*BOQs!$L$7</f>
        <v>0</v>
      </c>
      <c r="AC180" s="76"/>
      <c r="AD180" s="37"/>
      <c r="AE180" s="86">
        <f>tbl_Actual_costs_quantities34[[#This Row],[Floor Repairs]]*BOQs!$L$8</f>
        <v>0</v>
      </c>
      <c r="AF180" s="76"/>
      <c r="AG180" s="37"/>
      <c r="AH180" s="86">
        <f>tbl_Actual_costs_quantities34[[#This Row],[Doors Replacement Repair]]*BOQs!$L$9</f>
        <v>0</v>
      </c>
      <c r="AI180" s="76"/>
      <c r="AJ180" s="37"/>
      <c r="AK180" s="86">
        <f>tbl_Actual_costs_quantities34[[#This Row],[Windows Replacement Repair]]*BOQs!$L$10</f>
        <v>0</v>
      </c>
      <c r="AL180" s="76"/>
      <c r="AM180" s="37"/>
      <c r="AN180" s="86">
        <f>tbl_Actual_costs_quantities34[[#This Row],[Bathroom Rehabilitation]]*BOQs!$L$11</f>
        <v>0</v>
      </c>
      <c r="AO180" s="76"/>
      <c r="AP180" s="37"/>
      <c r="AQ180" s="86">
        <f>tbl_Actual_costs_quantities34[[#This Row],[Ceramic Tile Works WASH]]*BOQs!$L$12</f>
        <v>0</v>
      </c>
      <c r="AR180" s="76"/>
      <c r="AS180" s="37"/>
      <c r="AT180" s="86">
        <f>tbl_Actual_costs_quantities34[[#This Row],[Electrical Repairs Lighting]]*BOQs!$L$13</f>
        <v>0</v>
      </c>
      <c r="AU180" s="76"/>
      <c r="AV180" s="37"/>
      <c r="AW180" s="86">
        <f>tbl_Actual_costs_quantities34[[#This Row],[Roof Insulation Leak Sealing]]*BOQs!$L$14</f>
        <v>0</v>
      </c>
      <c r="AX180" s="76"/>
      <c r="AY180" s="37"/>
      <c r="AZ180" s="86">
        <f>tbl_Actual_costs_quantities34[[#This Row],[Chimney Duct Cleaning Repair]]*BOQs!$L$15</f>
        <v>0</v>
      </c>
      <c r="BA180" s="76"/>
      <c r="BB180" s="37"/>
      <c r="BC180" s="89">
        <f>tbl_Actual_costs_quantities34[[#This Row],[Accessibility Adaptations]]*BOQs!$L$16</f>
        <v>0</v>
      </c>
      <c r="BD180" s="41"/>
      <c r="BE180" s="37"/>
      <c r="BF180" s="37"/>
    </row>
    <row r="181" spans="2:58" ht="25.15" customHeight="1" x14ac:dyDescent="0.25">
      <c r="B181" s="49">
        <v>177</v>
      </c>
      <c r="C181" s="37"/>
      <c r="D181" s="41"/>
      <c r="E181" s="40"/>
      <c r="F181" s="87" t="str">
        <f>IF(tbl_Actual_costs_quantities34[[#This Row],[House Code]]&lt;&gt;"",INDEX(tbl_Assessment[],MATCH(tbl_Actual_costs_quantities34[[#This Row],[House Code]],tbl_Assessment[House Code],0),3),"")</f>
        <v/>
      </c>
      <c r="G181" s="116" t="str">
        <f>IF(tbl_Actual_costs_quantities34[[#This Row],[House Code]]&lt;&gt;"",INDEX(tbl_Assessment[],MATCH(tbl_Actual_costs_quantities34[[#This Row],[House Code]],tbl_Assessment[House Code],0),9),"")</f>
        <v/>
      </c>
      <c r="H181" s="41"/>
      <c r="I181" s="41"/>
      <c r="J181" s="41"/>
      <c r="K181" s="116"/>
      <c r="L181" s="117" t="str">
        <f>IF(tbl_Actual_costs_quantities34[[#This Row],[House Code]]&lt;&gt;"",tbl_Actual_costs_quantities34[[#This Row],[Total cost]]/INDEX(tbl_estimated_costs_quantities[],MATCH(tbl_Actual_costs_quantities34[[#This Row],[House Code]],tbl_estimated_costs_quantities[House Code],0),7),"")</f>
        <v/>
      </c>
      <c r="M18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1" s="75"/>
      <c r="O181" s="37"/>
      <c r="P181" s="86">
        <f>tbl_Actual_costs_quantities34[[#This Row],[Site Preparation]]*BOQs!$L$3</f>
        <v>0</v>
      </c>
      <c r="Q181" s="76"/>
      <c r="R181" s="37"/>
      <c r="S181" s="86">
        <f>tbl_Actual_costs_quantities34[[#This Row],[Demolition Removal Unsafe Structures]]*BOQs!$L$4</f>
        <v>0</v>
      </c>
      <c r="T181" s="76"/>
      <c r="U181" s="37"/>
      <c r="V181" s="86">
        <f>tbl_Actual_costs_quantities34[[#This Row],[Concrete Works]]*BOQs!$L$5</f>
        <v>0</v>
      </c>
      <c r="W181" s="76"/>
      <c r="X181" s="37"/>
      <c r="Y181" s="86">
        <f>tbl_Actual_costs_quantities34[[#This Row],[Closure External Openings Walls Windows]]*BOQs!$L$6</f>
        <v>0</v>
      </c>
      <c r="Z181" s="76"/>
      <c r="AA181" s="37"/>
      <c r="AB181" s="86">
        <f>tbl_Actual_costs_quantities34[[#This Row],[Plastering Painting]]*BOQs!$L$7</f>
        <v>0</v>
      </c>
      <c r="AC181" s="76"/>
      <c r="AD181" s="37"/>
      <c r="AE181" s="86">
        <f>tbl_Actual_costs_quantities34[[#This Row],[Floor Repairs]]*BOQs!$L$8</f>
        <v>0</v>
      </c>
      <c r="AF181" s="76"/>
      <c r="AG181" s="37"/>
      <c r="AH181" s="86">
        <f>tbl_Actual_costs_quantities34[[#This Row],[Doors Replacement Repair]]*BOQs!$L$9</f>
        <v>0</v>
      </c>
      <c r="AI181" s="76"/>
      <c r="AJ181" s="37"/>
      <c r="AK181" s="86">
        <f>tbl_Actual_costs_quantities34[[#This Row],[Windows Replacement Repair]]*BOQs!$L$10</f>
        <v>0</v>
      </c>
      <c r="AL181" s="76"/>
      <c r="AM181" s="37"/>
      <c r="AN181" s="86">
        <f>tbl_Actual_costs_quantities34[[#This Row],[Bathroom Rehabilitation]]*BOQs!$L$11</f>
        <v>0</v>
      </c>
      <c r="AO181" s="76"/>
      <c r="AP181" s="37"/>
      <c r="AQ181" s="86">
        <f>tbl_Actual_costs_quantities34[[#This Row],[Ceramic Tile Works WASH]]*BOQs!$L$12</f>
        <v>0</v>
      </c>
      <c r="AR181" s="76"/>
      <c r="AS181" s="37"/>
      <c r="AT181" s="86">
        <f>tbl_Actual_costs_quantities34[[#This Row],[Electrical Repairs Lighting]]*BOQs!$L$13</f>
        <v>0</v>
      </c>
      <c r="AU181" s="76"/>
      <c r="AV181" s="37"/>
      <c r="AW181" s="86">
        <f>tbl_Actual_costs_quantities34[[#This Row],[Roof Insulation Leak Sealing]]*BOQs!$L$14</f>
        <v>0</v>
      </c>
      <c r="AX181" s="76"/>
      <c r="AY181" s="37"/>
      <c r="AZ181" s="86">
        <f>tbl_Actual_costs_quantities34[[#This Row],[Chimney Duct Cleaning Repair]]*BOQs!$L$15</f>
        <v>0</v>
      </c>
      <c r="BA181" s="76"/>
      <c r="BB181" s="37"/>
      <c r="BC181" s="89">
        <f>tbl_Actual_costs_quantities34[[#This Row],[Accessibility Adaptations]]*BOQs!$L$16</f>
        <v>0</v>
      </c>
      <c r="BD181" s="41"/>
      <c r="BE181" s="37"/>
      <c r="BF181" s="37"/>
    </row>
    <row r="182" spans="2:58" ht="25.15" customHeight="1" x14ac:dyDescent="0.25">
      <c r="B182" s="49">
        <v>178</v>
      </c>
      <c r="C182" s="37"/>
      <c r="D182" s="41"/>
      <c r="E182" s="40"/>
      <c r="F182" s="87" t="str">
        <f>IF(tbl_Actual_costs_quantities34[[#This Row],[House Code]]&lt;&gt;"",INDEX(tbl_Assessment[],MATCH(tbl_Actual_costs_quantities34[[#This Row],[House Code]],tbl_Assessment[House Code],0),3),"")</f>
        <v/>
      </c>
      <c r="G182" s="116" t="str">
        <f>IF(tbl_Actual_costs_quantities34[[#This Row],[House Code]]&lt;&gt;"",INDEX(tbl_Assessment[],MATCH(tbl_Actual_costs_quantities34[[#This Row],[House Code]],tbl_Assessment[House Code],0),9),"")</f>
        <v/>
      </c>
      <c r="H182" s="41"/>
      <c r="I182" s="41"/>
      <c r="J182" s="41"/>
      <c r="K182" s="116"/>
      <c r="L182" s="117" t="str">
        <f>IF(tbl_Actual_costs_quantities34[[#This Row],[House Code]]&lt;&gt;"",tbl_Actual_costs_quantities34[[#This Row],[Total cost]]/INDEX(tbl_estimated_costs_quantities[],MATCH(tbl_Actual_costs_quantities34[[#This Row],[House Code]],tbl_estimated_costs_quantities[House Code],0),7),"")</f>
        <v/>
      </c>
      <c r="M18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2" s="75"/>
      <c r="O182" s="37"/>
      <c r="P182" s="86">
        <f>tbl_Actual_costs_quantities34[[#This Row],[Site Preparation]]*BOQs!$L$3</f>
        <v>0</v>
      </c>
      <c r="Q182" s="76"/>
      <c r="R182" s="37"/>
      <c r="S182" s="86">
        <f>tbl_Actual_costs_quantities34[[#This Row],[Demolition Removal Unsafe Structures]]*BOQs!$L$4</f>
        <v>0</v>
      </c>
      <c r="T182" s="76"/>
      <c r="U182" s="37"/>
      <c r="V182" s="86">
        <f>tbl_Actual_costs_quantities34[[#This Row],[Concrete Works]]*BOQs!$L$5</f>
        <v>0</v>
      </c>
      <c r="W182" s="76"/>
      <c r="X182" s="37"/>
      <c r="Y182" s="86">
        <f>tbl_Actual_costs_quantities34[[#This Row],[Closure External Openings Walls Windows]]*BOQs!$L$6</f>
        <v>0</v>
      </c>
      <c r="Z182" s="76"/>
      <c r="AA182" s="37"/>
      <c r="AB182" s="86">
        <f>tbl_Actual_costs_quantities34[[#This Row],[Plastering Painting]]*BOQs!$L$7</f>
        <v>0</v>
      </c>
      <c r="AC182" s="76"/>
      <c r="AD182" s="37"/>
      <c r="AE182" s="86">
        <f>tbl_Actual_costs_quantities34[[#This Row],[Floor Repairs]]*BOQs!$L$8</f>
        <v>0</v>
      </c>
      <c r="AF182" s="76"/>
      <c r="AG182" s="37"/>
      <c r="AH182" s="86">
        <f>tbl_Actual_costs_quantities34[[#This Row],[Doors Replacement Repair]]*BOQs!$L$9</f>
        <v>0</v>
      </c>
      <c r="AI182" s="76"/>
      <c r="AJ182" s="37"/>
      <c r="AK182" s="86">
        <f>tbl_Actual_costs_quantities34[[#This Row],[Windows Replacement Repair]]*BOQs!$L$10</f>
        <v>0</v>
      </c>
      <c r="AL182" s="76"/>
      <c r="AM182" s="37"/>
      <c r="AN182" s="86">
        <f>tbl_Actual_costs_quantities34[[#This Row],[Bathroom Rehabilitation]]*BOQs!$L$11</f>
        <v>0</v>
      </c>
      <c r="AO182" s="76"/>
      <c r="AP182" s="37"/>
      <c r="AQ182" s="86">
        <f>tbl_Actual_costs_quantities34[[#This Row],[Ceramic Tile Works WASH]]*BOQs!$L$12</f>
        <v>0</v>
      </c>
      <c r="AR182" s="76"/>
      <c r="AS182" s="37"/>
      <c r="AT182" s="86">
        <f>tbl_Actual_costs_quantities34[[#This Row],[Electrical Repairs Lighting]]*BOQs!$L$13</f>
        <v>0</v>
      </c>
      <c r="AU182" s="76"/>
      <c r="AV182" s="37"/>
      <c r="AW182" s="86">
        <f>tbl_Actual_costs_quantities34[[#This Row],[Roof Insulation Leak Sealing]]*BOQs!$L$14</f>
        <v>0</v>
      </c>
      <c r="AX182" s="76"/>
      <c r="AY182" s="37"/>
      <c r="AZ182" s="86">
        <f>tbl_Actual_costs_quantities34[[#This Row],[Chimney Duct Cleaning Repair]]*BOQs!$L$15</f>
        <v>0</v>
      </c>
      <c r="BA182" s="76"/>
      <c r="BB182" s="37"/>
      <c r="BC182" s="89">
        <f>tbl_Actual_costs_quantities34[[#This Row],[Accessibility Adaptations]]*BOQs!$L$16</f>
        <v>0</v>
      </c>
      <c r="BD182" s="41"/>
      <c r="BE182" s="37"/>
      <c r="BF182" s="37"/>
    </row>
    <row r="183" spans="2:58" ht="25.15" customHeight="1" x14ac:dyDescent="0.25">
      <c r="B183" s="49">
        <v>179</v>
      </c>
      <c r="C183" s="37"/>
      <c r="D183" s="41"/>
      <c r="E183" s="40"/>
      <c r="F183" s="87" t="str">
        <f>IF(tbl_Actual_costs_quantities34[[#This Row],[House Code]]&lt;&gt;"",INDEX(tbl_Assessment[],MATCH(tbl_Actual_costs_quantities34[[#This Row],[House Code]],tbl_Assessment[House Code],0),3),"")</f>
        <v/>
      </c>
      <c r="G183" s="116" t="str">
        <f>IF(tbl_Actual_costs_quantities34[[#This Row],[House Code]]&lt;&gt;"",INDEX(tbl_Assessment[],MATCH(tbl_Actual_costs_quantities34[[#This Row],[House Code]],tbl_Assessment[House Code],0),9),"")</f>
        <v/>
      </c>
      <c r="H183" s="41"/>
      <c r="I183" s="41"/>
      <c r="J183" s="41"/>
      <c r="K183" s="116"/>
      <c r="L183" s="117" t="str">
        <f>IF(tbl_Actual_costs_quantities34[[#This Row],[House Code]]&lt;&gt;"",tbl_Actual_costs_quantities34[[#This Row],[Total cost]]/INDEX(tbl_estimated_costs_quantities[],MATCH(tbl_Actual_costs_quantities34[[#This Row],[House Code]],tbl_estimated_costs_quantities[House Code],0),7),"")</f>
        <v/>
      </c>
      <c r="M18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3" s="75"/>
      <c r="O183" s="37"/>
      <c r="P183" s="86">
        <f>tbl_Actual_costs_quantities34[[#This Row],[Site Preparation]]*BOQs!$L$3</f>
        <v>0</v>
      </c>
      <c r="Q183" s="76"/>
      <c r="R183" s="37"/>
      <c r="S183" s="86">
        <f>tbl_Actual_costs_quantities34[[#This Row],[Demolition Removal Unsafe Structures]]*BOQs!$L$4</f>
        <v>0</v>
      </c>
      <c r="T183" s="76"/>
      <c r="U183" s="37"/>
      <c r="V183" s="86">
        <f>tbl_Actual_costs_quantities34[[#This Row],[Concrete Works]]*BOQs!$L$5</f>
        <v>0</v>
      </c>
      <c r="W183" s="76"/>
      <c r="X183" s="37"/>
      <c r="Y183" s="86">
        <f>tbl_Actual_costs_quantities34[[#This Row],[Closure External Openings Walls Windows]]*BOQs!$L$6</f>
        <v>0</v>
      </c>
      <c r="Z183" s="76"/>
      <c r="AA183" s="37"/>
      <c r="AB183" s="86">
        <f>tbl_Actual_costs_quantities34[[#This Row],[Plastering Painting]]*BOQs!$L$7</f>
        <v>0</v>
      </c>
      <c r="AC183" s="76"/>
      <c r="AD183" s="37"/>
      <c r="AE183" s="86">
        <f>tbl_Actual_costs_quantities34[[#This Row],[Floor Repairs]]*BOQs!$L$8</f>
        <v>0</v>
      </c>
      <c r="AF183" s="76"/>
      <c r="AG183" s="37"/>
      <c r="AH183" s="86">
        <f>tbl_Actual_costs_quantities34[[#This Row],[Doors Replacement Repair]]*BOQs!$L$9</f>
        <v>0</v>
      </c>
      <c r="AI183" s="76"/>
      <c r="AJ183" s="37"/>
      <c r="AK183" s="86">
        <f>tbl_Actual_costs_quantities34[[#This Row],[Windows Replacement Repair]]*BOQs!$L$10</f>
        <v>0</v>
      </c>
      <c r="AL183" s="76"/>
      <c r="AM183" s="37"/>
      <c r="AN183" s="86">
        <f>tbl_Actual_costs_quantities34[[#This Row],[Bathroom Rehabilitation]]*BOQs!$L$11</f>
        <v>0</v>
      </c>
      <c r="AO183" s="76"/>
      <c r="AP183" s="37"/>
      <c r="AQ183" s="86">
        <f>tbl_Actual_costs_quantities34[[#This Row],[Ceramic Tile Works WASH]]*BOQs!$L$12</f>
        <v>0</v>
      </c>
      <c r="AR183" s="76"/>
      <c r="AS183" s="37"/>
      <c r="AT183" s="86">
        <f>tbl_Actual_costs_quantities34[[#This Row],[Electrical Repairs Lighting]]*BOQs!$L$13</f>
        <v>0</v>
      </c>
      <c r="AU183" s="76"/>
      <c r="AV183" s="37"/>
      <c r="AW183" s="86">
        <f>tbl_Actual_costs_quantities34[[#This Row],[Roof Insulation Leak Sealing]]*BOQs!$L$14</f>
        <v>0</v>
      </c>
      <c r="AX183" s="76"/>
      <c r="AY183" s="37"/>
      <c r="AZ183" s="86">
        <f>tbl_Actual_costs_quantities34[[#This Row],[Chimney Duct Cleaning Repair]]*BOQs!$L$15</f>
        <v>0</v>
      </c>
      <c r="BA183" s="76"/>
      <c r="BB183" s="37"/>
      <c r="BC183" s="89">
        <f>tbl_Actual_costs_quantities34[[#This Row],[Accessibility Adaptations]]*BOQs!$L$16</f>
        <v>0</v>
      </c>
      <c r="BD183" s="41"/>
      <c r="BE183" s="37"/>
      <c r="BF183" s="37"/>
    </row>
    <row r="184" spans="2:58" ht="25.15" customHeight="1" x14ac:dyDescent="0.25">
      <c r="B184" s="49">
        <v>180</v>
      </c>
      <c r="C184" s="37"/>
      <c r="D184" s="41"/>
      <c r="E184" s="40"/>
      <c r="F184" s="87" t="str">
        <f>IF(tbl_Actual_costs_quantities34[[#This Row],[House Code]]&lt;&gt;"",INDEX(tbl_Assessment[],MATCH(tbl_Actual_costs_quantities34[[#This Row],[House Code]],tbl_Assessment[House Code],0),3),"")</f>
        <v/>
      </c>
      <c r="G184" s="116" t="str">
        <f>IF(tbl_Actual_costs_quantities34[[#This Row],[House Code]]&lt;&gt;"",INDEX(tbl_Assessment[],MATCH(tbl_Actual_costs_quantities34[[#This Row],[House Code]],tbl_Assessment[House Code],0),9),"")</f>
        <v/>
      </c>
      <c r="H184" s="41"/>
      <c r="I184" s="41"/>
      <c r="J184" s="41"/>
      <c r="K184" s="116"/>
      <c r="L184" s="117" t="str">
        <f>IF(tbl_Actual_costs_quantities34[[#This Row],[House Code]]&lt;&gt;"",tbl_Actual_costs_quantities34[[#This Row],[Total cost]]/INDEX(tbl_estimated_costs_quantities[],MATCH(tbl_Actual_costs_quantities34[[#This Row],[House Code]],tbl_estimated_costs_quantities[House Code],0),7),"")</f>
        <v/>
      </c>
      <c r="M18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4" s="75"/>
      <c r="O184" s="37"/>
      <c r="P184" s="86">
        <f>tbl_Actual_costs_quantities34[[#This Row],[Site Preparation]]*BOQs!$L$3</f>
        <v>0</v>
      </c>
      <c r="Q184" s="76"/>
      <c r="R184" s="37"/>
      <c r="S184" s="86">
        <f>tbl_Actual_costs_quantities34[[#This Row],[Demolition Removal Unsafe Structures]]*BOQs!$L$4</f>
        <v>0</v>
      </c>
      <c r="T184" s="76"/>
      <c r="U184" s="37"/>
      <c r="V184" s="86">
        <f>tbl_Actual_costs_quantities34[[#This Row],[Concrete Works]]*BOQs!$L$5</f>
        <v>0</v>
      </c>
      <c r="W184" s="76"/>
      <c r="X184" s="37"/>
      <c r="Y184" s="86">
        <f>tbl_Actual_costs_quantities34[[#This Row],[Closure External Openings Walls Windows]]*BOQs!$L$6</f>
        <v>0</v>
      </c>
      <c r="Z184" s="76"/>
      <c r="AA184" s="37"/>
      <c r="AB184" s="86">
        <f>tbl_Actual_costs_quantities34[[#This Row],[Plastering Painting]]*BOQs!$L$7</f>
        <v>0</v>
      </c>
      <c r="AC184" s="76"/>
      <c r="AD184" s="37"/>
      <c r="AE184" s="86">
        <f>tbl_Actual_costs_quantities34[[#This Row],[Floor Repairs]]*BOQs!$L$8</f>
        <v>0</v>
      </c>
      <c r="AF184" s="76"/>
      <c r="AG184" s="37"/>
      <c r="AH184" s="86">
        <f>tbl_Actual_costs_quantities34[[#This Row],[Doors Replacement Repair]]*BOQs!$L$9</f>
        <v>0</v>
      </c>
      <c r="AI184" s="76"/>
      <c r="AJ184" s="37"/>
      <c r="AK184" s="86">
        <f>tbl_Actual_costs_quantities34[[#This Row],[Windows Replacement Repair]]*BOQs!$L$10</f>
        <v>0</v>
      </c>
      <c r="AL184" s="76"/>
      <c r="AM184" s="37"/>
      <c r="AN184" s="86">
        <f>tbl_Actual_costs_quantities34[[#This Row],[Bathroom Rehabilitation]]*BOQs!$L$11</f>
        <v>0</v>
      </c>
      <c r="AO184" s="76"/>
      <c r="AP184" s="37"/>
      <c r="AQ184" s="86">
        <f>tbl_Actual_costs_quantities34[[#This Row],[Ceramic Tile Works WASH]]*BOQs!$L$12</f>
        <v>0</v>
      </c>
      <c r="AR184" s="76"/>
      <c r="AS184" s="37"/>
      <c r="AT184" s="86">
        <f>tbl_Actual_costs_quantities34[[#This Row],[Electrical Repairs Lighting]]*BOQs!$L$13</f>
        <v>0</v>
      </c>
      <c r="AU184" s="76"/>
      <c r="AV184" s="37"/>
      <c r="AW184" s="86">
        <f>tbl_Actual_costs_quantities34[[#This Row],[Roof Insulation Leak Sealing]]*BOQs!$L$14</f>
        <v>0</v>
      </c>
      <c r="AX184" s="76"/>
      <c r="AY184" s="37"/>
      <c r="AZ184" s="86">
        <f>tbl_Actual_costs_quantities34[[#This Row],[Chimney Duct Cleaning Repair]]*BOQs!$L$15</f>
        <v>0</v>
      </c>
      <c r="BA184" s="76"/>
      <c r="BB184" s="37"/>
      <c r="BC184" s="89">
        <f>tbl_Actual_costs_quantities34[[#This Row],[Accessibility Adaptations]]*BOQs!$L$16</f>
        <v>0</v>
      </c>
      <c r="BD184" s="41"/>
      <c r="BE184" s="37"/>
      <c r="BF184" s="37"/>
    </row>
    <row r="185" spans="2:58" ht="25.15" customHeight="1" x14ac:dyDescent="0.25">
      <c r="B185" s="49">
        <v>181</v>
      </c>
      <c r="C185" s="37"/>
      <c r="D185" s="41"/>
      <c r="E185" s="40"/>
      <c r="F185" s="87" t="str">
        <f>IF(tbl_Actual_costs_quantities34[[#This Row],[House Code]]&lt;&gt;"",INDEX(tbl_Assessment[],MATCH(tbl_Actual_costs_quantities34[[#This Row],[House Code]],tbl_Assessment[House Code],0),3),"")</f>
        <v/>
      </c>
      <c r="G185" s="116" t="str">
        <f>IF(tbl_Actual_costs_quantities34[[#This Row],[House Code]]&lt;&gt;"",INDEX(tbl_Assessment[],MATCH(tbl_Actual_costs_quantities34[[#This Row],[House Code]],tbl_Assessment[House Code],0),9),"")</f>
        <v/>
      </c>
      <c r="H185" s="41"/>
      <c r="I185" s="41"/>
      <c r="J185" s="41"/>
      <c r="K185" s="116"/>
      <c r="L185" s="117" t="str">
        <f>IF(tbl_Actual_costs_quantities34[[#This Row],[House Code]]&lt;&gt;"",tbl_Actual_costs_quantities34[[#This Row],[Total cost]]/INDEX(tbl_estimated_costs_quantities[],MATCH(tbl_Actual_costs_quantities34[[#This Row],[House Code]],tbl_estimated_costs_quantities[House Code],0),7),"")</f>
        <v/>
      </c>
      <c r="M18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5" s="75"/>
      <c r="O185" s="37"/>
      <c r="P185" s="86">
        <f>tbl_Actual_costs_quantities34[[#This Row],[Site Preparation]]*BOQs!$L$3</f>
        <v>0</v>
      </c>
      <c r="Q185" s="76"/>
      <c r="R185" s="37"/>
      <c r="S185" s="86">
        <f>tbl_Actual_costs_quantities34[[#This Row],[Demolition Removal Unsafe Structures]]*BOQs!$L$4</f>
        <v>0</v>
      </c>
      <c r="T185" s="76"/>
      <c r="U185" s="37"/>
      <c r="V185" s="86">
        <f>tbl_Actual_costs_quantities34[[#This Row],[Concrete Works]]*BOQs!$L$5</f>
        <v>0</v>
      </c>
      <c r="W185" s="76"/>
      <c r="X185" s="37"/>
      <c r="Y185" s="86">
        <f>tbl_Actual_costs_quantities34[[#This Row],[Closure External Openings Walls Windows]]*BOQs!$L$6</f>
        <v>0</v>
      </c>
      <c r="Z185" s="76"/>
      <c r="AA185" s="37"/>
      <c r="AB185" s="86">
        <f>tbl_Actual_costs_quantities34[[#This Row],[Plastering Painting]]*BOQs!$L$7</f>
        <v>0</v>
      </c>
      <c r="AC185" s="76"/>
      <c r="AD185" s="37"/>
      <c r="AE185" s="86">
        <f>tbl_Actual_costs_quantities34[[#This Row],[Floor Repairs]]*BOQs!$L$8</f>
        <v>0</v>
      </c>
      <c r="AF185" s="76"/>
      <c r="AG185" s="37"/>
      <c r="AH185" s="86">
        <f>tbl_Actual_costs_quantities34[[#This Row],[Doors Replacement Repair]]*BOQs!$L$9</f>
        <v>0</v>
      </c>
      <c r="AI185" s="76"/>
      <c r="AJ185" s="37"/>
      <c r="AK185" s="86">
        <f>tbl_Actual_costs_quantities34[[#This Row],[Windows Replacement Repair]]*BOQs!$L$10</f>
        <v>0</v>
      </c>
      <c r="AL185" s="76"/>
      <c r="AM185" s="37"/>
      <c r="AN185" s="86">
        <f>tbl_Actual_costs_quantities34[[#This Row],[Bathroom Rehabilitation]]*BOQs!$L$11</f>
        <v>0</v>
      </c>
      <c r="AO185" s="76"/>
      <c r="AP185" s="37"/>
      <c r="AQ185" s="86">
        <f>tbl_Actual_costs_quantities34[[#This Row],[Ceramic Tile Works WASH]]*BOQs!$L$12</f>
        <v>0</v>
      </c>
      <c r="AR185" s="76"/>
      <c r="AS185" s="37"/>
      <c r="AT185" s="86">
        <f>tbl_Actual_costs_quantities34[[#This Row],[Electrical Repairs Lighting]]*BOQs!$L$13</f>
        <v>0</v>
      </c>
      <c r="AU185" s="76"/>
      <c r="AV185" s="37"/>
      <c r="AW185" s="86">
        <f>tbl_Actual_costs_quantities34[[#This Row],[Roof Insulation Leak Sealing]]*BOQs!$L$14</f>
        <v>0</v>
      </c>
      <c r="AX185" s="76"/>
      <c r="AY185" s="37"/>
      <c r="AZ185" s="86">
        <f>tbl_Actual_costs_quantities34[[#This Row],[Chimney Duct Cleaning Repair]]*BOQs!$L$15</f>
        <v>0</v>
      </c>
      <c r="BA185" s="76"/>
      <c r="BB185" s="37"/>
      <c r="BC185" s="89">
        <f>tbl_Actual_costs_quantities34[[#This Row],[Accessibility Adaptations]]*BOQs!$L$16</f>
        <v>0</v>
      </c>
      <c r="BD185" s="41"/>
      <c r="BE185" s="37"/>
      <c r="BF185" s="37"/>
    </row>
    <row r="186" spans="2:58" ht="25.15" customHeight="1" x14ac:dyDescent="0.25">
      <c r="B186" s="49">
        <v>182</v>
      </c>
      <c r="C186" s="37"/>
      <c r="D186" s="41"/>
      <c r="E186" s="40"/>
      <c r="F186" s="87" t="str">
        <f>IF(tbl_Actual_costs_quantities34[[#This Row],[House Code]]&lt;&gt;"",INDEX(tbl_Assessment[],MATCH(tbl_Actual_costs_quantities34[[#This Row],[House Code]],tbl_Assessment[House Code],0),3),"")</f>
        <v/>
      </c>
      <c r="G186" s="116" t="str">
        <f>IF(tbl_Actual_costs_quantities34[[#This Row],[House Code]]&lt;&gt;"",INDEX(tbl_Assessment[],MATCH(tbl_Actual_costs_quantities34[[#This Row],[House Code]],tbl_Assessment[House Code],0),9),"")</f>
        <v/>
      </c>
      <c r="H186" s="41"/>
      <c r="I186" s="41"/>
      <c r="J186" s="41"/>
      <c r="K186" s="116"/>
      <c r="L186" s="117" t="str">
        <f>IF(tbl_Actual_costs_quantities34[[#This Row],[House Code]]&lt;&gt;"",tbl_Actual_costs_quantities34[[#This Row],[Total cost]]/INDEX(tbl_estimated_costs_quantities[],MATCH(tbl_Actual_costs_quantities34[[#This Row],[House Code]],tbl_estimated_costs_quantities[House Code],0),7),"")</f>
        <v/>
      </c>
      <c r="M18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6" s="75"/>
      <c r="O186" s="37"/>
      <c r="P186" s="86">
        <f>tbl_Actual_costs_quantities34[[#This Row],[Site Preparation]]*BOQs!$L$3</f>
        <v>0</v>
      </c>
      <c r="Q186" s="76"/>
      <c r="R186" s="37"/>
      <c r="S186" s="86">
        <f>tbl_Actual_costs_quantities34[[#This Row],[Demolition Removal Unsafe Structures]]*BOQs!$L$4</f>
        <v>0</v>
      </c>
      <c r="T186" s="76"/>
      <c r="U186" s="37"/>
      <c r="V186" s="86">
        <f>tbl_Actual_costs_quantities34[[#This Row],[Concrete Works]]*BOQs!$L$5</f>
        <v>0</v>
      </c>
      <c r="W186" s="76"/>
      <c r="X186" s="37"/>
      <c r="Y186" s="86">
        <f>tbl_Actual_costs_quantities34[[#This Row],[Closure External Openings Walls Windows]]*BOQs!$L$6</f>
        <v>0</v>
      </c>
      <c r="Z186" s="76"/>
      <c r="AA186" s="37"/>
      <c r="AB186" s="86">
        <f>tbl_Actual_costs_quantities34[[#This Row],[Plastering Painting]]*BOQs!$L$7</f>
        <v>0</v>
      </c>
      <c r="AC186" s="76"/>
      <c r="AD186" s="37"/>
      <c r="AE186" s="86">
        <f>tbl_Actual_costs_quantities34[[#This Row],[Floor Repairs]]*BOQs!$L$8</f>
        <v>0</v>
      </c>
      <c r="AF186" s="76"/>
      <c r="AG186" s="37"/>
      <c r="AH186" s="86">
        <f>tbl_Actual_costs_quantities34[[#This Row],[Doors Replacement Repair]]*BOQs!$L$9</f>
        <v>0</v>
      </c>
      <c r="AI186" s="76"/>
      <c r="AJ186" s="37"/>
      <c r="AK186" s="86">
        <f>tbl_Actual_costs_quantities34[[#This Row],[Windows Replacement Repair]]*BOQs!$L$10</f>
        <v>0</v>
      </c>
      <c r="AL186" s="76"/>
      <c r="AM186" s="37"/>
      <c r="AN186" s="86">
        <f>tbl_Actual_costs_quantities34[[#This Row],[Bathroom Rehabilitation]]*BOQs!$L$11</f>
        <v>0</v>
      </c>
      <c r="AO186" s="76"/>
      <c r="AP186" s="37"/>
      <c r="AQ186" s="86">
        <f>tbl_Actual_costs_quantities34[[#This Row],[Ceramic Tile Works WASH]]*BOQs!$L$12</f>
        <v>0</v>
      </c>
      <c r="AR186" s="76"/>
      <c r="AS186" s="37"/>
      <c r="AT186" s="86">
        <f>tbl_Actual_costs_quantities34[[#This Row],[Electrical Repairs Lighting]]*BOQs!$L$13</f>
        <v>0</v>
      </c>
      <c r="AU186" s="76"/>
      <c r="AV186" s="37"/>
      <c r="AW186" s="86">
        <f>tbl_Actual_costs_quantities34[[#This Row],[Roof Insulation Leak Sealing]]*BOQs!$L$14</f>
        <v>0</v>
      </c>
      <c r="AX186" s="76"/>
      <c r="AY186" s="37"/>
      <c r="AZ186" s="86">
        <f>tbl_Actual_costs_quantities34[[#This Row],[Chimney Duct Cleaning Repair]]*BOQs!$L$15</f>
        <v>0</v>
      </c>
      <c r="BA186" s="76"/>
      <c r="BB186" s="37"/>
      <c r="BC186" s="89">
        <f>tbl_Actual_costs_quantities34[[#This Row],[Accessibility Adaptations]]*BOQs!$L$16</f>
        <v>0</v>
      </c>
      <c r="BD186" s="41"/>
      <c r="BE186" s="37"/>
      <c r="BF186" s="37"/>
    </row>
    <row r="187" spans="2:58" ht="25.15" customHeight="1" x14ac:dyDescent="0.25">
      <c r="B187" s="49">
        <v>183</v>
      </c>
      <c r="C187" s="37"/>
      <c r="D187" s="41"/>
      <c r="E187" s="40"/>
      <c r="F187" s="87" t="str">
        <f>IF(tbl_Actual_costs_quantities34[[#This Row],[House Code]]&lt;&gt;"",INDEX(tbl_Assessment[],MATCH(tbl_Actual_costs_quantities34[[#This Row],[House Code]],tbl_Assessment[House Code],0),3),"")</f>
        <v/>
      </c>
      <c r="G187" s="116" t="str">
        <f>IF(tbl_Actual_costs_quantities34[[#This Row],[House Code]]&lt;&gt;"",INDEX(tbl_Assessment[],MATCH(tbl_Actual_costs_quantities34[[#This Row],[House Code]],tbl_Assessment[House Code],0),9),"")</f>
        <v/>
      </c>
      <c r="H187" s="41"/>
      <c r="I187" s="41"/>
      <c r="J187" s="41"/>
      <c r="K187" s="116"/>
      <c r="L187" s="117" t="str">
        <f>IF(tbl_Actual_costs_quantities34[[#This Row],[House Code]]&lt;&gt;"",tbl_Actual_costs_quantities34[[#This Row],[Total cost]]/INDEX(tbl_estimated_costs_quantities[],MATCH(tbl_Actual_costs_quantities34[[#This Row],[House Code]],tbl_estimated_costs_quantities[House Code],0),7),"")</f>
        <v/>
      </c>
      <c r="M18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7" s="75"/>
      <c r="O187" s="37"/>
      <c r="P187" s="86">
        <f>tbl_Actual_costs_quantities34[[#This Row],[Site Preparation]]*BOQs!$L$3</f>
        <v>0</v>
      </c>
      <c r="Q187" s="76"/>
      <c r="R187" s="37"/>
      <c r="S187" s="86">
        <f>tbl_Actual_costs_quantities34[[#This Row],[Demolition Removal Unsafe Structures]]*BOQs!$L$4</f>
        <v>0</v>
      </c>
      <c r="T187" s="76"/>
      <c r="U187" s="37"/>
      <c r="V187" s="86">
        <f>tbl_Actual_costs_quantities34[[#This Row],[Concrete Works]]*BOQs!$L$5</f>
        <v>0</v>
      </c>
      <c r="W187" s="76"/>
      <c r="X187" s="37"/>
      <c r="Y187" s="86">
        <f>tbl_Actual_costs_quantities34[[#This Row],[Closure External Openings Walls Windows]]*BOQs!$L$6</f>
        <v>0</v>
      </c>
      <c r="Z187" s="76"/>
      <c r="AA187" s="37"/>
      <c r="AB187" s="86">
        <f>tbl_Actual_costs_quantities34[[#This Row],[Plastering Painting]]*BOQs!$L$7</f>
        <v>0</v>
      </c>
      <c r="AC187" s="76"/>
      <c r="AD187" s="37"/>
      <c r="AE187" s="86">
        <f>tbl_Actual_costs_quantities34[[#This Row],[Floor Repairs]]*BOQs!$L$8</f>
        <v>0</v>
      </c>
      <c r="AF187" s="76"/>
      <c r="AG187" s="37"/>
      <c r="AH187" s="86">
        <f>tbl_Actual_costs_quantities34[[#This Row],[Doors Replacement Repair]]*BOQs!$L$9</f>
        <v>0</v>
      </c>
      <c r="AI187" s="76"/>
      <c r="AJ187" s="37"/>
      <c r="AK187" s="86">
        <f>tbl_Actual_costs_quantities34[[#This Row],[Windows Replacement Repair]]*BOQs!$L$10</f>
        <v>0</v>
      </c>
      <c r="AL187" s="76"/>
      <c r="AM187" s="37"/>
      <c r="AN187" s="86">
        <f>tbl_Actual_costs_quantities34[[#This Row],[Bathroom Rehabilitation]]*BOQs!$L$11</f>
        <v>0</v>
      </c>
      <c r="AO187" s="76"/>
      <c r="AP187" s="37"/>
      <c r="AQ187" s="86">
        <f>tbl_Actual_costs_quantities34[[#This Row],[Ceramic Tile Works WASH]]*BOQs!$L$12</f>
        <v>0</v>
      </c>
      <c r="AR187" s="76"/>
      <c r="AS187" s="37"/>
      <c r="AT187" s="86">
        <f>tbl_Actual_costs_quantities34[[#This Row],[Electrical Repairs Lighting]]*BOQs!$L$13</f>
        <v>0</v>
      </c>
      <c r="AU187" s="76"/>
      <c r="AV187" s="37"/>
      <c r="AW187" s="86">
        <f>tbl_Actual_costs_quantities34[[#This Row],[Roof Insulation Leak Sealing]]*BOQs!$L$14</f>
        <v>0</v>
      </c>
      <c r="AX187" s="76"/>
      <c r="AY187" s="37"/>
      <c r="AZ187" s="86">
        <f>tbl_Actual_costs_quantities34[[#This Row],[Chimney Duct Cleaning Repair]]*BOQs!$L$15</f>
        <v>0</v>
      </c>
      <c r="BA187" s="76"/>
      <c r="BB187" s="37"/>
      <c r="BC187" s="89">
        <f>tbl_Actual_costs_quantities34[[#This Row],[Accessibility Adaptations]]*BOQs!$L$16</f>
        <v>0</v>
      </c>
      <c r="BD187" s="41"/>
      <c r="BE187" s="37"/>
      <c r="BF187" s="37"/>
    </row>
    <row r="188" spans="2:58" ht="25.15" customHeight="1" x14ac:dyDescent="0.25">
      <c r="B188" s="49">
        <v>184</v>
      </c>
      <c r="C188" s="37"/>
      <c r="D188" s="41"/>
      <c r="E188" s="40"/>
      <c r="F188" s="87" t="str">
        <f>IF(tbl_Actual_costs_quantities34[[#This Row],[House Code]]&lt;&gt;"",INDEX(tbl_Assessment[],MATCH(tbl_Actual_costs_quantities34[[#This Row],[House Code]],tbl_Assessment[House Code],0),3),"")</f>
        <v/>
      </c>
      <c r="G188" s="116" t="str">
        <f>IF(tbl_Actual_costs_quantities34[[#This Row],[House Code]]&lt;&gt;"",INDEX(tbl_Assessment[],MATCH(tbl_Actual_costs_quantities34[[#This Row],[House Code]],tbl_Assessment[House Code],0),9),"")</f>
        <v/>
      </c>
      <c r="H188" s="41"/>
      <c r="I188" s="41"/>
      <c r="J188" s="41"/>
      <c r="K188" s="116"/>
      <c r="L188" s="117" t="str">
        <f>IF(tbl_Actual_costs_quantities34[[#This Row],[House Code]]&lt;&gt;"",tbl_Actual_costs_quantities34[[#This Row],[Total cost]]/INDEX(tbl_estimated_costs_quantities[],MATCH(tbl_Actual_costs_quantities34[[#This Row],[House Code]],tbl_estimated_costs_quantities[House Code],0),7),"")</f>
        <v/>
      </c>
      <c r="M18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8" s="75"/>
      <c r="O188" s="37"/>
      <c r="P188" s="86">
        <f>tbl_Actual_costs_quantities34[[#This Row],[Site Preparation]]*BOQs!$L$3</f>
        <v>0</v>
      </c>
      <c r="Q188" s="76"/>
      <c r="R188" s="37"/>
      <c r="S188" s="86">
        <f>tbl_Actual_costs_quantities34[[#This Row],[Demolition Removal Unsafe Structures]]*BOQs!$L$4</f>
        <v>0</v>
      </c>
      <c r="T188" s="76"/>
      <c r="U188" s="37"/>
      <c r="V188" s="86">
        <f>tbl_Actual_costs_quantities34[[#This Row],[Concrete Works]]*BOQs!$L$5</f>
        <v>0</v>
      </c>
      <c r="W188" s="76"/>
      <c r="X188" s="37"/>
      <c r="Y188" s="86">
        <f>tbl_Actual_costs_quantities34[[#This Row],[Closure External Openings Walls Windows]]*BOQs!$L$6</f>
        <v>0</v>
      </c>
      <c r="Z188" s="76"/>
      <c r="AA188" s="37"/>
      <c r="AB188" s="86">
        <f>tbl_Actual_costs_quantities34[[#This Row],[Plastering Painting]]*BOQs!$L$7</f>
        <v>0</v>
      </c>
      <c r="AC188" s="76"/>
      <c r="AD188" s="37"/>
      <c r="AE188" s="86">
        <f>tbl_Actual_costs_quantities34[[#This Row],[Floor Repairs]]*BOQs!$L$8</f>
        <v>0</v>
      </c>
      <c r="AF188" s="76"/>
      <c r="AG188" s="37"/>
      <c r="AH188" s="86">
        <f>tbl_Actual_costs_quantities34[[#This Row],[Doors Replacement Repair]]*BOQs!$L$9</f>
        <v>0</v>
      </c>
      <c r="AI188" s="76"/>
      <c r="AJ188" s="37"/>
      <c r="AK188" s="86">
        <f>tbl_Actual_costs_quantities34[[#This Row],[Windows Replacement Repair]]*BOQs!$L$10</f>
        <v>0</v>
      </c>
      <c r="AL188" s="76"/>
      <c r="AM188" s="37"/>
      <c r="AN188" s="86">
        <f>tbl_Actual_costs_quantities34[[#This Row],[Bathroom Rehabilitation]]*BOQs!$L$11</f>
        <v>0</v>
      </c>
      <c r="AO188" s="76"/>
      <c r="AP188" s="37"/>
      <c r="AQ188" s="86">
        <f>tbl_Actual_costs_quantities34[[#This Row],[Ceramic Tile Works WASH]]*BOQs!$L$12</f>
        <v>0</v>
      </c>
      <c r="AR188" s="76"/>
      <c r="AS188" s="37"/>
      <c r="AT188" s="86">
        <f>tbl_Actual_costs_quantities34[[#This Row],[Electrical Repairs Lighting]]*BOQs!$L$13</f>
        <v>0</v>
      </c>
      <c r="AU188" s="76"/>
      <c r="AV188" s="37"/>
      <c r="AW188" s="86">
        <f>tbl_Actual_costs_quantities34[[#This Row],[Roof Insulation Leak Sealing]]*BOQs!$L$14</f>
        <v>0</v>
      </c>
      <c r="AX188" s="76"/>
      <c r="AY188" s="37"/>
      <c r="AZ188" s="86">
        <f>tbl_Actual_costs_quantities34[[#This Row],[Chimney Duct Cleaning Repair]]*BOQs!$L$15</f>
        <v>0</v>
      </c>
      <c r="BA188" s="76"/>
      <c r="BB188" s="37"/>
      <c r="BC188" s="89">
        <f>tbl_Actual_costs_quantities34[[#This Row],[Accessibility Adaptations]]*BOQs!$L$16</f>
        <v>0</v>
      </c>
      <c r="BD188" s="41"/>
      <c r="BE188" s="37"/>
      <c r="BF188" s="37"/>
    </row>
    <row r="189" spans="2:58" ht="25.15" customHeight="1" x14ac:dyDescent="0.25">
      <c r="B189" s="49">
        <v>185</v>
      </c>
      <c r="C189" s="37"/>
      <c r="D189" s="41"/>
      <c r="E189" s="40"/>
      <c r="F189" s="87" t="str">
        <f>IF(tbl_Actual_costs_quantities34[[#This Row],[House Code]]&lt;&gt;"",INDEX(tbl_Assessment[],MATCH(tbl_Actual_costs_quantities34[[#This Row],[House Code]],tbl_Assessment[House Code],0),3),"")</f>
        <v/>
      </c>
      <c r="G189" s="116" t="str">
        <f>IF(tbl_Actual_costs_quantities34[[#This Row],[House Code]]&lt;&gt;"",INDEX(tbl_Assessment[],MATCH(tbl_Actual_costs_quantities34[[#This Row],[House Code]],tbl_Assessment[House Code],0),9),"")</f>
        <v/>
      </c>
      <c r="H189" s="41"/>
      <c r="I189" s="41"/>
      <c r="J189" s="41"/>
      <c r="K189" s="116"/>
      <c r="L189" s="117" t="str">
        <f>IF(tbl_Actual_costs_quantities34[[#This Row],[House Code]]&lt;&gt;"",tbl_Actual_costs_quantities34[[#This Row],[Total cost]]/INDEX(tbl_estimated_costs_quantities[],MATCH(tbl_Actual_costs_quantities34[[#This Row],[House Code]],tbl_estimated_costs_quantities[House Code],0),7),"")</f>
        <v/>
      </c>
      <c r="M18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89" s="75"/>
      <c r="O189" s="37"/>
      <c r="P189" s="86">
        <f>tbl_Actual_costs_quantities34[[#This Row],[Site Preparation]]*BOQs!$L$3</f>
        <v>0</v>
      </c>
      <c r="Q189" s="76"/>
      <c r="R189" s="37"/>
      <c r="S189" s="86">
        <f>tbl_Actual_costs_quantities34[[#This Row],[Demolition Removal Unsafe Structures]]*BOQs!$L$4</f>
        <v>0</v>
      </c>
      <c r="T189" s="76"/>
      <c r="U189" s="37"/>
      <c r="V189" s="86">
        <f>tbl_Actual_costs_quantities34[[#This Row],[Concrete Works]]*BOQs!$L$5</f>
        <v>0</v>
      </c>
      <c r="W189" s="76"/>
      <c r="X189" s="37"/>
      <c r="Y189" s="86">
        <f>tbl_Actual_costs_quantities34[[#This Row],[Closure External Openings Walls Windows]]*BOQs!$L$6</f>
        <v>0</v>
      </c>
      <c r="Z189" s="76"/>
      <c r="AA189" s="37"/>
      <c r="AB189" s="86">
        <f>tbl_Actual_costs_quantities34[[#This Row],[Plastering Painting]]*BOQs!$L$7</f>
        <v>0</v>
      </c>
      <c r="AC189" s="76"/>
      <c r="AD189" s="37"/>
      <c r="AE189" s="86">
        <f>tbl_Actual_costs_quantities34[[#This Row],[Floor Repairs]]*BOQs!$L$8</f>
        <v>0</v>
      </c>
      <c r="AF189" s="76"/>
      <c r="AG189" s="37"/>
      <c r="AH189" s="86">
        <f>tbl_Actual_costs_quantities34[[#This Row],[Doors Replacement Repair]]*BOQs!$L$9</f>
        <v>0</v>
      </c>
      <c r="AI189" s="76"/>
      <c r="AJ189" s="37"/>
      <c r="AK189" s="86">
        <f>tbl_Actual_costs_quantities34[[#This Row],[Windows Replacement Repair]]*BOQs!$L$10</f>
        <v>0</v>
      </c>
      <c r="AL189" s="76"/>
      <c r="AM189" s="37"/>
      <c r="AN189" s="86">
        <f>tbl_Actual_costs_quantities34[[#This Row],[Bathroom Rehabilitation]]*BOQs!$L$11</f>
        <v>0</v>
      </c>
      <c r="AO189" s="76"/>
      <c r="AP189" s="37"/>
      <c r="AQ189" s="86">
        <f>tbl_Actual_costs_quantities34[[#This Row],[Ceramic Tile Works WASH]]*BOQs!$L$12</f>
        <v>0</v>
      </c>
      <c r="AR189" s="76"/>
      <c r="AS189" s="37"/>
      <c r="AT189" s="86">
        <f>tbl_Actual_costs_quantities34[[#This Row],[Electrical Repairs Lighting]]*BOQs!$L$13</f>
        <v>0</v>
      </c>
      <c r="AU189" s="76"/>
      <c r="AV189" s="37"/>
      <c r="AW189" s="86">
        <f>tbl_Actual_costs_quantities34[[#This Row],[Roof Insulation Leak Sealing]]*BOQs!$L$14</f>
        <v>0</v>
      </c>
      <c r="AX189" s="76"/>
      <c r="AY189" s="37"/>
      <c r="AZ189" s="86">
        <f>tbl_Actual_costs_quantities34[[#This Row],[Chimney Duct Cleaning Repair]]*BOQs!$L$15</f>
        <v>0</v>
      </c>
      <c r="BA189" s="76"/>
      <c r="BB189" s="37"/>
      <c r="BC189" s="89">
        <f>tbl_Actual_costs_quantities34[[#This Row],[Accessibility Adaptations]]*BOQs!$L$16</f>
        <v>0</v>
      </c>
      <c r="BD189" s="41"/>
      <c r="BE189" s="37"/>
      <c r="BF189" s="37"/>
    </row>
    <row r="190" spans="2:58" ht="25.15" customHeight="1" x14ac:dyDescent="0.25">
      <c r="B190" s="49">
        <v>186</v>
      </c>
      <c r="C190" s="37"/>
      <c r="D190" s="41"/>
      <c r="E190" s="40"/>
      <c r="F190" s="87" t="str">
        <f>IF(tbl_Actual_costs_quantities34[[#This Row],[House Code]]&lt;&gt;"",INDEX(tbl_Assessment[],MATCH(tbl_Actual_costs_quantities34[[#This Row],[House Code]],tbl_Assessment[House Code],0),3),"")</f>
        <v/>
      </c>
      <c r="G190" s="116" t="str">
        <f>IF(tbl_Actual_costs_quantities34[[#This Row],[House Code]]&lt;&gt;"",INDEX(tbl_Assessment[],MATCH(tbl_Actual_costs_quantities34[[#This Row],[House Code]],tbl_Assessment[House Code],0),9),"")</f>
        <v/>
      </c>
      <c r="H190" s="41"/>
      <c r="I190" s="41"/>
      <c r="J190" s="41"/>
      <c r="K190" s="116"/>
      <c r="L190" s="117" t="str">
        <f>IF(tbl_Actual_costs_quantities34[[#This Row],[House Code]]&lt;&gt;"",tbl_Actual_costs_quantities34[[#This Row],[Total cost]]/INDEX(tbl_estimated_costs_quantities[],MATCH(tbl_Actual_costs_quantities34[[#This Row],[House Code]],tbl_estimated_costs_quantities[House Code],0),7),"")</f>
        <v/>
      </c>
      <c r="M19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0" s="75"/>
      <c r="O190" s="37"/>
      <c r="P190" s="86">
        <f>tbl_Actual_costs_quantities34[[#This Row],[Site Preparation]]*BOQs!$L$3</f>
        <v>0</v>
      </c>
      <c r="Q190" s="76"/>
      <c r="R190" s="37"/>
      <c r="S190" s="86">
        <f>tbl_Actual_costs_quantities34[[#This Row],[Demolition Removal Unsafe Structures]]*BOQs!$L$4</f>
        <v>0</v>
      </c>
      <c r="T190" s="76"/>
      <c r="U190" s="37"/>
      <c r="V190" s="86">
        <f>tbl_Actual_costs_quantities34[[#This Row],[Concrete Works]]*BOQs!$L$5</f>
        <v>0</v>
      </c>
      <c r="W190" s="76"/>
      <c r="X190" s="37"/>
      <c r="Y190" s="86">
        <f>tbl_Actual_costs_quantities34[[#This Row],[Closure External Openings Walls Windows]]*BOQs!$L$6</f>
        <v>0</v>
      </c>
      <c r="Z190" s="76"/>
      <c r="AA190" s="37"/>
      <c r="AB190" s="86">
        <f>tbl_Actual_costs_quantities34[[#This Row],[Plastering Painting]]*BOQs!$L$7</f>
        <v>0</v>
      </c>
      <c r="AC190" s="76"/>
      <c r="AD190" s="37"/>
      <c r="AE190" s="86">
        <f>tbl_Actual_costs_quantities34[[#This Row],[Floor Repairs]]*BOQs!$L$8</f>
        <v>0</v>
      </c>
      <c r="AF190" s="76"/>
      <c r="AG190" s="37"/>
      <c r="AH190" s="86">
        <f>tbl_Actual_costs_quantities34[[#This Row],[Doors Replacement Repair]]*BOQs!$L$9</f>
        <v>0</v>
      </c>
      <c r="AI190" s="76"/>
      <c r="AJ190" s="37"/>
      <c r="AK190" s="86">
        <f>tbl_Actual_costs_quantities34[[#This Row],[Windows Replacement Repair]]*BOQs!$L$10</f>
        <v>0</v>
      </c>
      <c r="AL190" s="76"/>
      <c r="AM190" s="37"/>
      <c r="AN190" s="86">
        <f>tbl_Actual_costs_quantities34[[#This Row],[Bathroom Rehabilitation]]*BOQs!$L$11</f>
        <v>0</v>
      </c>
      <c r="AO190" s="76"/>
      <c r="AP190" s="37"/>
      <c r="AQ190" s="86">
        <f>tbl_Actual_costs_quantities34[[#This Row],[Ceramic Tile Works WASH]]*BOQs!$L$12</f>
        <v>0</v>
      </c>
      <c r="AR190" s="76"/>
      <c r="AS190" s="37"/>
      <c r="AT190" s="86">
        <f>tbl_Actual_costs_quantities34[[#This Row],[Electrical Repairs Lighting]]*BOQs!$L$13</f>
        <v>0</v>
      </c>
      <c r="AU190" s="76"/>
      <c r="AV190" s="37"/>
      <c r="AW190" s="86">
        <f>tbl_Actual_costs_quantities34[[#This Row],[Roof Insulation Leak Sealing]]*BOQs!$L$14</f>
        <v>0</v>
      </c>
      <c r="AX190" s="76"/>
      <c r="AY190" s="37"/>
      <c r="AZ190" s="86">
        <f>tbl_Actual_costs_quantities34[[#This Row],[Chimney Duct Cleaning Repair]]*BOQs!$L$15</f>
        <v>0</v>
      </c>
      <c r="BA190" s="76"/>
      <c r="BB190" s="37"/>
      <c r="BC190" s="89">
        <f>tbl_Actual_costs_quantities34[[#This Row],[Accessibility Adaptations]]*BOQs!$L$16</f>
        <v>0</v>
      </c>
      <c r="BD190" s="41"/>
      <c r="BE190" s="37"/>
      <c r="BF190" s="37"/>
    </row>
    <row r="191" spans="2:58" ht="25.15" customHeight="1" x14ac:dyDescent="0.25">
      <c r="B191" s="49">
        <v>187</v>
      </c>
      <c r="C191" s="37"/>
      <c r="D191" s="41"/>
      <c r="E191" s="40"/>
      <c r="F191" s="87" t="str">
        <f>IF(tbl_Actual_costs_quantities34[[#This Row],[House Code]]&lt;&gt;"",INDEX(tbl_Assessment[],MATCH(tbl_Actual_costs_quantities34[[#This Row],[House Code]],tbl_Assessment[House Code],0),3),"")</f>
        <v/>
      </c>
      <c r="G191" s="116" t="str">
        <f>IF(tbl_Actual_costs_quantities34[[#This Row],[House Code]]&lt;&gt;"",INDEX(tbl_Assessment[],MATCH(tbl_Actual_costs_quantities34[[#This Row],[House Code]],tbl_Assessment[House Code],0),9),"")</f>
        <v/>
      </c>
      <c r="H191" s="41"/>
      <c r="I191" s="41"/>
      <c r="J191" s="41"/>
      <c r="K191" s="116"/>
      <c r="L191" s="117" t="str">
        <f>IF(tbl_Actual_costs_quantities34[[#This Row],[House Code]]&lt;&gt;"",tbl_Actual_costs_quantities34[[#This Row],[Total cost]]/INDEX(tbl_estimated_costs_quantities[],MATCH(tbl_Actual_costs_quantities34[[#This Row],[House Code]],tbl_estimated_costs_quantities[House Code],0),7),"")</f>
        <v/>
      </c>
      <c r="M19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1" s="75"/>
      <c r="O191" s="37"/>
      <c r="P191" s="86">
        <f>tbl_Actual_costs_quantities34[[#This Row],[Site Preparation]]*BOQs!$L$3</f>
        <v>0</v>
      </c>
      <c r="Q191" s="76"/>
      <c r="R191" s="37"/>
      <c r="S191" s="86">
        <f>tbl_Actual_costs_quantities34[[#This Row],[Demolition Removal Unsafe Structures]]*BOQs!$L$4</f>
        <v>0</v>
      </c>
      <c r="T191" s="76"/>
      <c r="U191" s="37"/>
      <c r="V191" s="86">
        <f>tbl_Actual_costs_quantities34[[#This Row],[Concrete Works]]*BOQs!$L$5</f>
        <v>0</v>
      </c>
      <c r="W191" s="76"/>
      <c r="X191" s="37"/>
      <c r="Y191" s="86">
        <f>tbl_Actual_costs_quantities34[[#This Row],[Closure External Openings Walls Windows]]*BOQs!$L$6</f>
        <v>0</v>
      </c>
      <c r="Z191" s="76"/>
      <c r="AA191" s="37"/>
      <c r="AB191" s="86">
        <f>tbl_Actual_costs_quantities34[[#This Row],[Plastering Painting]]*BOQs!$L$7</f>
        <v>0</v>
      </c>
      <c r="AC191" s="76"/>
      <c r="AD191" s="37"/>
      <c r="AE191" s="86">
        <f>tbl_Actual_costs_quantities34[[#This Row],[Floor Repairs]]*BOQs!$L$8</f>
        <v>0</v>
      </c>
      <c r="AF191" s="76"/>
      <c r="AG191" s="37"/>
      <c r="AH191" s="86">
        <f>tbl_Actual_costs_quantities34[[#This Row],[Doors Replacement Repair]]*BOQs!$L$9</f>
        <v>0</v>
      </c>
      <c r="AI191" s="76"/>
      <c r="AJ191" s="37"/>
      <c r="AK191" s="86">
        <f>tbl_Actual_costs_quantities34[[#This Row],[Windows Replacement Repair]]*BOQs!$L$10</f>
        <v>0</v>
      </c>
      <c r="AL191" s="76"/>
      <c r="AM191" s="37"/>
      <c r="AN191" s="86">
        <f>tbl_Actual_costs_quantities34[[#This Row],[Bathroom Rehabilitation]]*BOQs!$L$11</f>
        <v>0</v>
      </c>
      <c r="AO191" s="76"/>
      <c r="AP191" s="37"/>
      <c r="AQ191" s="86">
        <f>tbl_Actual_costs_quantities34[[#This Row],[Ceramic Tile Works WASH]]*BOQs!$L$12</f>
        <v>0</v>
      </c>
      <c r="AR191" s="76"/>
      <c r="AS191" s="37"/>
      <c r="AT191" s="86">
        <f>tbl_Actual_costs_quantities34[[#This Row],[Electrical Repairs Lighting]]*BOQs!$L$13</f>
        <v>0</v>
      </c>
      <c r="AU191" s="76"/>
      <c r="AV191" s="37"/>
      <c r="AW191" s="86">
        <f>tbl_Actual_costs_quantities34[[#This Row],[Roof Insulation Leak Sealing]]*BOQs!$L$14</f>
        <v>0</v>
      </c>
      <c r="AX191" s="76"/>
      <c r="AY191" s="37"/>
      <c r="AZ191" s="86">
        <f>tbl_Actual_costs_quantities34[[#This Row],[Chimney Duct Cleaning Repair]]*BOQs!$L$15</f>
        <v>0</v>
      </c>
      <c r="BA191" s="76"/>
      <c r="BB191" s="37"/>
      <c r="BC191" s="89">
        <f>tbl_Actual_costs_quantities34[[#This Row],[Accessibility Adaptations]]*BOQs!$L$16</f>
        <v>0</v>
      </c>
      <c r="BD191" s="41"/>
      <c r="BE191" s="37"/>
      <c r="BF191" s="37"/>
    </row>
    <row r="192" spans="2:58" ht="25.15" customHeight="1" x14ac:dyDescent="0.25">
      <c r="B192" s="49">
        <v>188</v>
      </c>
      <c r="C192" s="37"/>
      <c r="D192" s="41"/>
      <c r="E192" s="40"/>
      <c r="F192" s="87" t="str">
        <f>IF(tbl_Actual_costs_quantities34[[#This Row],[House Code]]&lt;&gt;"",INDEX(tbl_Assessment[],MATCH(tbl_Actual_costs_quantities34[[#This Row],[House Code]],tbl_Assessment[House Code],0),3),"")</f>
        <v/>
      </c>
      <c r="G192" s="116" t="str">
        <f>IF(tbl_Actual_costs_quantities34[[#This Row],[House Code]]&lt;&gt;"",INDEX(tbl_Assessment[],MATCH(tbl_Actual_costs_quantities34[[#This Row],[House Code]],tbl_Assessment[House Code],0),9),"")</f>
        <v/>
      </c>
      <c r="H192" s="41"/>
      <c r="I192" s="41"/>
      <c r="J192" s="41"/>
      <c r="K192" s="116"/>
      <c r="L192" s="117" t="str">
        <f>IF(tbl_Actual_costs_quantities34[[#This Row],[House Code]]&lt;&gt;"",tbl_Actual_costs_quantities34[[#This Row],[Total cost]]/INDEX(tbl_estimated_costs_quantities[],MATCH(tbl_Actual_costs_quantities34[[#This Row],[House Code]],tbl_estimated_costs_quantities[House Code],0),7),"")</f>
        <v/>
      </c>
      <c r="M19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2" s="75"/>
      <c r="O192" s="37"/>
      <c r="P192" s="86">
        <f>tbl_Actual_costs_quantities34[[#This Row],[Site Preparation]]*BOQs!$L$3</f>
        <v>0</v>
      </c>
      <c r="Q192" s="76"/>
      <c r="R192" s="37"/>
      <c r="S192" s="86">
        <f>tbl_Actual_costs_quantities34[[#This Row],[Demolition Removal Unsafe Structures]]*BOQs!$L$4</f>
        <v>0</v>
      </c>
      <c r="T192" s="76"/>
      <c r="U192" s="37"/>
      <c r="V192" s="86">
        <f>tbl_Actual_costs_quantities34[[#This Row],[Concrete Works]]*BOQs!$L$5</f>
        <v>0</v>
      </c>
      <c r="W192" s="76"/>
      <c r="X192" s="37"/>
      <c r="Y192" s="86">
        <f>tbl_Actual_costs_quantities34[[#This Row],[Closure External Openings Walls Windows]]*BOQs!$L$6</f>
        <v>0</v>
      </c>
      <c r="Z192" s="76"/>
      <c r="AA192" s="37"/>
      <c r="AB192" s="86">
        <f>tbl_Actual_costs_quantities34[[#This Row],[Plastering Painting]]*BOQs!$L$7</f>
        <v>0</v>
      </c>
      <c r="AC192" s="76"/>
      <c r="AD192" s="37"/>
      <c r="AE192" s="86">
        <f>tbl_Actual_costs_quantities34[[#This Row],[Floor Repairs]]*BOQs!$L$8</f>
        <v>0</v>
      </c>
      <c r="AF192" s="76"/>
      <c r="AG192" s="37"/>
      <c r="AH192" s="86">
        <f>tbl_Actual_costs_quantities34[[#This Row],[Doors Replacement Repair]]*BOQs!$L$9</f>
        <v>0</v>
      </c>
      <c r="AI192" s="76"/>
      <c r="AJ192" s="37"/>
      <c r="AK192" s="86">
        <f>tbl_Actual_costs_quantities34[[#This Row],[Windows Replacement Repair]]*BOQs!$L$10</f>
        <v>0</v>
      </c>
      <c r="AL192" s="76"/>
      <c r="AM192" s="37"/>
      <c r="AN192" s="86">
        <f>tbl_Actual_costs_quantities34[[#This Row],[Bathroom Rehabilitation]]*BOQs!$L$11</f>
        <v>0</v>
      </c>
      <c r="AO192" s="76"/>
      <c r="AP192" s="37"/>
      <c r="AQ192" s="86">
        <f>tbl_Actual_costs_quantities34[[#This Row],[Ceramic Tile Works WASH]]*BOQs!$L$12</f>
        <v>0</v>
      </c>
      <c r="AR192" s="76"/>
      <c r="AS192" s="37"/>
      <c r="AT192" s="86">
        <f>tbl_Actual_costs_quantities34[[#This Row],[Electrical Repairs Lighting]]*BOQs!$L$13</f>
        <v>0</v>
      </c>
      <c r="AU192" s="76"/>
      <c r="AV192" s="37"/>
      <c r="AW192" s="86">
        <f>tbl_Actual_costs_quantities34[[#This Row],[Roof Insulation Leak Sealing]]*BOQs!$L$14</f>
        <v>0</v>
      </c>
      <c r="AX192" s="76"/>
      <c r="AY192" s="37"/>
      <c r="AZ192" s="86">
        <f>tbl_Actual_costs_quantities34[[#This Row],[Chimney Duct Cleaning Repair]]*BOQs!$L$15</f>
        <v>0</v>
      </c>
      <c r="BA192" s="76"/>
      <c r="BB192" s="37"/>
      <c r="BC192" s="89">
        <f>tbl_Actual_costs_quantities34[[#This Row],[Accessibility Adaptations]]*BOQs!$L$16</f>
        <v>0</v>
      </c>
      <c r="BD192" s="41"/>
      <c r="BE192" s="37"/>
      <c r="BF192" s="37"/>
    </row>
    <row r="193" spans="2:58" ht="25.15" customHeight="1" x14ac:dyDescent="0.25">
      <c r="B193" s="49">
        <v>189</v>
      </c>
      <c r="C193" s="37"/>
      <c r="D193" s="41"/>
      <c r="E193" s="40"/>
      <c r="F193" s="87" t="str">
        <f>IF(tbl_Actual_costs_quantities34[[#This Row],[House Code]]&lt;&gt;"",INDEX(tbl_Assessment[],MATCH(tbl_Actual_costs_quantities34[[#This Row],[House Code]],tbl_Assessment[House Code],0),3),"")</f>
        <v/>
      </c>
      <c r="G193" s="116" t="str">
        <f>IF(tbl_Actual_costs_quantities34[[#This Row],[House Code]]&lt;&gt;"",INDEX(tbl_Assessment[],MATCH(tbl_Actual_costs_quantities34[[#This Row],[House Code]],tbl_Assessment[House Code],0),9),"")</f>
        <v/>
      </c>
      <c r="H193" s="41"/>
      <c r="I193" s="41"/>
      <c r="J193" s="41"/>
      <c r="K193" s="116"/>
      <c r="L193" s="117" t="str">
        <f>IF(tbl_Actual_costs_quantities34[[#This Row],[House Code]]&lt;&gt;"",tbl_Actual_costs_quantities34[[#This Row],[Total cost]]/INDEX(tbl_estimated_costs_quantities[],MATCH(tbl_Actual_costs_quantities34[[#This Row],[House Code]],tbl_estimated_costs_quantities[House Code],0),7),"")</f>
        <v/>
      </c>
      <c r="M19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3" s="75"/>
      <c r="O193" s="37"/>
      <c r="P193" s="86">
        <f>tbl_Actual_costs_quantities34[[#This Row],[Site Preparation]]*BOQs!$L$3</f>
        <v>0</v>
      </c>
      <c r="Q193" s="76"/>
      <c r="R193" s="37"/>
      <c r="S193" s="86">
        <f>tbl_Actual_costs_quantities34[[#This Row],[Demolition Removal Unsafe Structures]]*BOQs!$L$4</f>
        <v>0</v>
      </c>
      <c r="T193" s="76"/>
      <c r="U193" s="37"/>
      <c r="V193" s="86">
        <f>tbl_Actual_costs_quantities34[[#This Row],[Concrete Works]]*BOQs!$L$5</f>
        <v>0</v>
      </c>
      <c r="W193" s="76"/>
      <c r="X193" s="37"/>
      <c r="Y193" s="86">
        <f>tbl_Actual_costs_quantities34[[#This Row],[Closure External Openings Walls Windows]]*BOQs!$L$6</f>
        <v>0</v>
      </c>
      <c r="Z193" s="76"/>
      <c r="AA193" s="37"/>
      <c r="AB193" s="86">
        <f>tbl_Actual_costs_quantities34[[#This Row],[Plastering Painting]]*BOQs!$L$7</f>
        <v>0</v>
      </c>
      <c r="AC193" s="76"/>
      <c r="AD193" s="37"/>
      <c r="AE193" s="86">
        <f>tbl_Actual_costs_quantities34[[#This Row],[Floor Repairs]]*BOQs!$L$8</f>
        <v>0</v>
      </c>
      <c r="AF193" s="76"/>
      <c r="AG193" s="37"/>
      <c r="AH193" s="86">
        <f>tbl_Actual_costs_quantities34[[#This Row],[Doors Replacement Repair]]*BOQs!$L$9</f>
        <v>0</v>
      </c>
      <c r="AI193" s="76"/>
      <c r="AJ193" s="37"/>
      <c r="AK193" s="86">
        <f>tbl_Actual_costs_quantities34[[#This Row],[Windows Replacement Repair]]*BOQs!$L$10</f>
        <v>0</v>
      </c>
      <c r="AL193" s="76"/>
      <c r="AM193" s="37"/>
      <c r="AN193" s="86">
        <f>tbl_Actual_costs_quantities34[[#This Row],[Bathroom Rehabilitation]]*BOQs!$L$11</f>
        <v>0</v>
      </c>
      <c r="AO193" s="76"/>
      <c r="AP193" s="37"/>
      <c r="AQ193" s="86">
        <f>tbl_Actual_costs_quantities34[[#This Row],[Ceramic Tile Works WASH]]*BOQs!$L$12</f>
        <v>0</v>
      </c>
      <c r="AR193" s="76"/>
      <c r="AS193" s="37"/>
      <c r="AT193" s="86">
        <f>tbl_Actual_costs_quantities34[[#This Row],[Electrical Repairs Lighting]]*BOQs!$L$13</f>
        <v>0</v>
      </c>
      <c r="AU193" s="76"/>
      <c r="AV193" s="37"/>
      <c r="AW193" s="86">
        <f>tbl_Actual_costs_quantities34[[#This Row],[Roof Insulation Leak Sealing]]*BOQs!$L$14</f>
        <v>0</v>
      </c>
      <c r="AX193" s="76"/>
      <c r="AY193" s="37"/>
      <c r="AZ193" s="86">
        <f>tbl_Actual_costs_quantities34[[#This Row],[Chimney Duct Cleaning Repair]]*BOQs!$L$15</f>
        <v>0</v>
      </c>
      <c r="BA193" s="76"/>
      <c r="BB193" s="37"/>
      <c r="BC193" s="89">
        <f>tbl_Actual_costs_quantities34[[#This Row],[Accessibility Adaptations]]*BOQs!$L$16</f>
        <v>0</v>
      </c>
      <c r="BD193" s="41"/>
      <c r="BE193" s="37"/>
      <c r="BF193" s="37"/>
    </row>
    <row r="194" spans="2:58" ht="25.15" customHeight="1" x14ac:dyDescent="0.25">
      <c r="B194" s="49">
        <v>190</v>
      </c>
      <c r="C194" s="37"/>
      <c r="D194" s="41"/>
      <c r="E194" s="40"/>
      <c r="F194" s="87" t="str">
        <f>IF(tbl_Actual_costs_quantities34[[#This Row],[House Code]]&lt;&gt;"",INDEX(tbl_Assessment[],MATCH(tbl_Actual_costs_quantities34[[#This Row],[House Code]],tbl_Assessment[House Code],0),3),"")</f>
        <v/>
      </c>
      <c r="G194" s="116" t="str">
        <f>IF(tbl_Actual_costs_quantities34[[#This Row],[House Code]]&lt;&gt;"",INDEX(tbl_Assessment[],MATCH(tbl_Actual_costs_quantities34[[#This Row],[House Code]],tbl_Assessment[House Code],0),9),"")</f>
        <v/>
      </c>
      <c r="H194" s="41"/>
      <c r="I194" s="41"/>
      <c r="J194" s="41"/>
      <c r="K194" s="116"/>
      <c r="L194" s="117" t="str">
        <f>IF(tbl_Actual_costs_quantities34[[#This Row],[House Code]]&lt;&gt;"",tbl_Actual_costs_quantities34[[#This Row],[Total cost]]/INDEX(tbl_estimated_costs_quantities[],MATCH(tbl_Actual_costs_quantities34[[#This Row],[House Code]],tbl_estimated_costs_quantities[House Code],0),7),"")</f>
        <v/>
      </c>
      <c r="M19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4" s="75"/>
      <c r="O194" s="37"/>
      <c r="P194" s="86">
        <f>tbl_Actual_costs_quantities34[[#This Row],[Site Preparation]]*BOQs!$L$3</f>
        <v>0</v>
      </c>
      <c r="Q194" s="76"/>
      <c r="R194" s="37"/>
      <c r="S194" s="86">
        <f>tbl_Actual_costs_quantities34[[#This Row],[Demolition Removal Unsafe Structures]]*BOQs!$L$4</f>
        <v>0</v>
      </c>
      <c r="T194" s="76"/>
      <c r="U194" s="37"/>
      <c r="V194" s="86">
        <f>tbl_Actual_costs_quantities34[[#This Row],[Concrete Works]]*BOQs!$L$5</f>
        <v>0</v>
      </c>
      <c r="W194" s="76"/>
      <c r="X194" s="37"/>
      <c r="Y194" s="86">
        <f>tbl_Actual_costs_quantities34[[#This Row],[Closure External Openings Walls Windows]]*BOQs!$L$6</f>
        <v>0</v>
      </c>
      <c r="Z194" s="76"/>
      <c r="AA194" s="37"/>
      <c r="AB194" s="86">
        <f>tbl_Actual_costs_quantities34[[#This Row],[Plastering Painting]]*BOQs!$L$7</f>
        <v>0</v>
      </c>
      <c r="AC194" s="76"/>
      <c r="AD194" s="37"/>
      <c r="AE194" s="86">
        <f>tbl_Actual_costs_quantities34[[#This Row],[Floor Repairs]]*BOQs!$L$8</f>
        <v>0</v>
      </c>
      <c r="AF194" s="76"/>
      <c r="AG194" s="37"/>
      <c r="AH194" s="86">
        <f>tbl_Actual_costs_quantities34[[#This Row],[Doors Replacement Repair]]*BOQs!$L$9</f>
        <v>0</v>
      </c>
      <c r="AI194" s="76"/>
      <c r="AJ194" s="37"/>
      <c r="AK194" s="86">
        <f>tbl_Actual_costs_quantities34[[#This Row],[Windows Replacement Repair]]*BOQs!$L$10</f>
        <v>0</v>
      </c>
      <c r="AL194" s="76"/>
      <c r="AM194" s="37"/>
      <c r="AN194" s="86">
        <f>tbl_Actual_costs_quantities34[[#This Row],[Bathroom Rehabilitation]]*BOQs!$L$11</f>
        <v>0</v>
      </c>
      <c r="AO194" s="76"/>
      <c r="AP194" s="37"/>
      <c r="AQ194" s="86">
        <f>tbl_Actual_costs_quantities34[[#This Row],[Ceramic Tile Works WASH]]*BOQs!$L$12</f>
        <v>0</v>
      </c>
      <c r="AR194" s="76"/>
      <c r="AS194" s="37"/>
      <c r="AT194" s="86">
        <f>tbl_Actual_costs_quantities34[[#This Row],[Electrical Repairs Lighting]]*BOQs!$L$13</f>
        <v>0</v>
      </c>
      <c r="AU194" s="76"/>
      <c r="AV194" s="37"/>
      <c r="AW194" s="86">
        <f>tbl_Actual_costs_quantities34[[#This Row],[Roof Insulation Leak Sealing]]*BOQs!$L$14</f>
        <v>0</v>
      </c>
      <c r="AX194" s="76"/>
      <c r="AY194" s="37"/>
      <c r="AZ194" s="86">
        <f>tbl_Actual_costs_quantities34[[#This Row],[Chimney Duct Cleaning Repair]]*BOQs!$L$15</f>
        <v>0</v>
      </c>
      <c r="BA194" s="76"/>
      <c r="BB194" s="37"/>
      <c r="BC194" s="89">
        <f>tbl_Actual_costs_quantities34[[#This Row],[Accessibility Adaptations]]*BOQs!$L$16</f>
        <v>0</v>
      </c>
      <c r="BD194" s="41"/>
      <c r="BE194" s="37"/>
      <c r="BF194" s="37"/>
    </row>
    <row r="195" spans="2:58" ht="25.15" customHeight="1" x14ac:dyDescent="0.25">
      <c r="B195" s="49">
        <v>191</v>
      </c>
      <c r="C195" s="37"/>
      <c r="D195" s="41"/>
      <c r="E195" s="40"/>
      <c r="F195" s="87" t="str">
        <f>IF(tbl_Actual_costs_quantities34[[#This Row],[House Code]]&lt;&gt;"",INDEX(tbl_Assessment[],MATCH(tbl_Actual_costs_quantities34[[#This Row],[House Code]],tbl_Assessment[House Code],0),3),"")</f>
        <v/>
      </c>
      <c r="G195" s="116" t="str">
        <f>IF(tbl_Actual_costs_quantities34[[#This Row],[House Code]]&lt;&gt;"",INDEX(tbl_Assessment[],MATCH(tbl_Actual_costs_quantities34[[#This Row],[House Code]],tbl_Assessment[House Code],0),9),"")</f>
        <v/>
      </c>
      <c r="H195" s="41"/>
      <c r="I195" s="41"/>
      <c r="J195" s="41"/>
      <c r="K195" s="116"/>
      <c r="L195" s="117" t="str">
        <f>IF(tbl_Actual_costs_quantities34[[#This Row],[House Code]]&lt;&gt;"",tbl_Actual_costs_quantities34[[#This Row],[Total cost]]/INDEX(tbl_estimated_costs_quantities[],MATCH(tbl_Actual_costs_quantities34[[#This Row],[House Code]],tbl_estimated_costs_quantities[House Code],0),7),"")</f>
        <v/>
      </c>
      <c r="M19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5" s="75"/>
      <c r="O195" s="37"/>
      <c r="P195" s="86">
        <f>tbl_Actual_costs_quantities34[[#This Row],[Site Preparation]]*BOQs!$L$3</f>
        <v>0</v>
      </c>
      <c r="Q195" s="76"/>
      <c r="R195" s="37"/>
      <c r="S195" s="86">
        <f>tbl_Actual_costs_quantities34[[#This Row],[Demolition Removal Unsafe Structures]]*BOQs!$L$4</f>
        <v>0</v>
      </c>
      <c r="T195" s="76"/>
      <c r="U195" s="37"/>
      <c r="V195" s="86">
        <f>tbl_Actual_costs_quantities34[[#This Row],[Concrete Works]]*BOQs!$L$5</f>
        <v>0</v>
      </c>
      <c r="W195" s="76"/>
      <c r="X195" s="37"/>
      <c r="Y195" s="86">
        <f>tbl_Actual_costs_quantities34[[#This Row],[Closure External Openings Walls Windows]]*BOQs!$L$6</f>
        <v>0</v>
      </c>
      <c r="Z195" s="76"/>
      <c r="AA195" s="37"/>
      <c r="AB195" s="86">
        <f>tbl_Actual_costs_quantities34[[#This Row],[Plastering Painting]]*BOQs!$L$7</f>
        <v>0</v>
      </c>
      <c r="AC195" s="76"/>
      <c r="AD195" s="37"/>
      <c r="AE195" s="86">
        <f>tbl_Actual_costs_quantities34[[#This Row],[Floor Repairs]]*BOQs!$L$8</f>
        <v>0</v>
      </c>
      <c r="AF195" s="76"/>
      <c r="AG195" s="37"/>
      <c r="AH195" s="86">
        <f>tbl_Actual_costs_quantities34[[#This Row],[Doors Replacement Repair]]*BOQs!$L$9</f>
        <v>0</v>
      </c>
      <c r="AI195" s="76"/>
      <c r="AJ195" s="37"/>
      <c r="AK195" s="86">
        <f>tbl_Actual_costs_quantities34[[#This Row],[Windows Replacement Repair]]*BOQs!$L$10</f>
        <v>0</v>
      </c>
      <c r="AL195" s="76"/>
      <c r="AM195" s="37"/>
      <c r="AN195" s="86">
        <f>tbl_Actual_costs_quantities34[[#This Row],[Bathroom Rehabilitation]]*BOQs!$L$11</f>
        <v>0</v>
      </c>
      <c r="AO195" s="76"/>
      <c r="AP195" s="37"/>
      <c r="AQ195" s="86">
        <f>tbl_Actual_costs_quantities34[[#This Row],[Ceramic Tile Works WASH]]*BOQs!$L$12</f>
        <v>0</v>
      </c>
      <c r="AR195" s="76"/>
      <c r="AS195" s="37"/>
      <c r="AT195" s="86">
        <f>tbl_Actual_costs_quantities34[[#This Row],[Electrical Repairs Lighting]]*BOQs!$L$13</f>
        <v>0</v>
      </c>
      <c r="AU195" s="76"/>
      <c r="AV195" s="37"/>
      <c r="AW195" s="86">
        <f>tbl_Actual_costs_quantities34[[#This Row],[Roof Insulation Leak Sealing]]*BOQs!$L$14</f>
        <v>0</v>
      </c>
      <c r="AX195" s="76"/>
      <c r="AY195" s="37"/>
      <c r="AZ195" s="86">
        <f>tbl_Actual_costs_quantities34[[#This Row],[Chimney Duct Cleaning Repair]]*BOQs!$L$15</f>
        <v>0</v>
      </c>
      <c r="BA195" s="76"/>
      <c r="BB195" s="37"/>
      <c r="BC195" s="89">
        <f>tbl_Actual_costs_quantities34[[#This Row],[Accessibility Adaptations]]*BOQs!$L$16</f>
        <v>0</v>
      </c>
      <c r="BD195" s="41"/>
      <c r="BE195" s="37"/>
      <c r="BF195" s="37"/>
    </row>
    <row r="196" spans="2:58" ht="25.15" customHeight="1" x14ac:dyDescent="0.25">
      <c r="B196" s="49">
        <v>192</v>
      </c>
      <c r="C196" s="37"/>
      <c r="D196" s="41"/>
      <c r="E196" s="40"/>
      <c r="F196" s="87" t="str">
        <f>IF(tbl_Actual_costs_quantities34[[#This Row],[House Code]]&lt;&gt;"",INDEX(tbl_Assessment[],MATCH(tbl_Actual_costs_quantities34[[#This Row],[House Code]],tbl_Assessment[House Code],0),3),"")</f>
        <v/>
      </c>
      <c r="G196" s="116" t="str">
        <f>IF(tbl_Actual_costs_quantities34[[#This Row],[House Code]]&lt;&gt;"",INDEX(tbl_Assessment[],MATCH(tbl_Actual_costs_quantities34[[#This Row],[House Code]],tbl_Assessment[House Code],0),9),"")</f>
        <v/>
      </c>
      <c r="H196" s="41"/>
      <c r="I196" s="41"/>
      <c r="J196" s="41"/>
      <c r="K196" s="116"/>
      <c r="L196" s="117" t="str">
        <f>IF(tbl_Actual_costs_quantities34[[#This Row],[House Code]]&lt;&gt;"",tbl_Actual_costs_quantities34[[#This Row],[Total cost]]/INDEX(tbl_estimated_costs_quantities[],MATCH(tbl_Actual_costs_quantities34[[#This Row],[House Code]],tbl_estimated_costs_quantities[House Code],0),7),"")</f>
        <v/>
      </c>
      <c r="M19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6" s="75"/>
      <c r="O196" s="37"/>
      <c r="P196" s="86">
        <f>tbl_Actual_costs_quantities34[[#This Row],[Site Preparation]]*BOQs!$L$3</f>
        <v>0</v>
      </c>
      <c r="Q196" s="76"/>
      <c r="R196" s="37"/>
      <c r="S196" s="86">
        <f>tbl_Actual_costs_quantities34[[#This Row],[Demolition Removal Unsafe Structures]]*BOQs!$L$4</f>
        <v>0</v>
      </c>
      <c r="T196" s="76"/>
      <c r="U196" s="37"/>
      <c r="V196" s="86">
        <f>tbl_Actual_costs_quantities34[[#This Row],[Concrete Works]]*BOQs!$L$5</f>
        <v>0</v>
      </c>
      <c r="W196" s="76"/>
      <c r="X196" s="37"/>
      <c r="Y196" s="86">
        <f>tbl_Actual_costs_quantities34[[#This Row],[Closure External Openings Walls Windows]]*BOQs!$L$6</f>
        <v>0</v>
      </c>
      <c r="Z196" s="76"/>
      <c r="AA196" s="37"/>
      <c r="AB196" s="86">
        <f>tbl_Actual_costs_quantities34[[#This Row],[Plastering Painting]]*BOQs!$L$7</f>
        <v>0</v>
      </c>
      <c r="AC196" s="76"/>
      <c r="AD196" s="37"/>
      <c r="AE196" s="86">
        <f>tbl_Actual_costs_quantities34[[#This Row],[Floor Repairs]]*BOQs!$L$8</f>
        <v>0</v>
      </c>
      <c r="AF196" s="76"/>
      <c r="AG196" s="37"/>
      <c r="AH196" s="86">
        <f>tbl_Actual_costs_quantities34[[#This Row],[Doors Replacement Repair]]*BOQs!$L$9</f>
        <v>0</v>
      </c>
      <c r="AI196" s="76"/>
      <c r="AJ196" s="37"/>
      <c r="AK196" s="86">
        <f>tbl_Actual_costs_quantities34[[#This Row],[Windows Replacement Repair]]*BOQs!$L$10</f>
        <v>0</v>
      </c>
      <c r="AL196" s="76"/>
      <c r="AM196" s="37"/>
      <c r="AN196" s="86">
        <f>tbl_Actual_costs_quantities34[[#This Row],[Bathroom Rehabilitation]]*BOQs!$L$11</f>
        <v>0</v>
      </c>
      <c r="AO196" s="76"/>
      <c r="AP196" s="37"/>
      <c r="AQ196" s="86">
        <f>tbl_Actual_costs_quantities34[[#This Row],[Ceramic Tile Works WASH]]*BOQs!$L$12</f>
        <v>0</v>
      </c>
      <c r="AR196" s="76"/>
      <c r="AS196" s="37"/>
      <c r="AT196" s="86">
        <f>tbl_Actual_costs_quantities34[[#This Row],[Electrical Repairs Lighting]]*BOQs!$L$13</f>
        <v>0</v>
      </c>
      <c r="AU196" s="76"/>
      <c r="AV196" s="37"/>
      <c r="AW196" s="86">
        <f>tbl_Actual_costs_quantities34[[#This Row],[Roof Insulation Leak Sealing]]*BOQs!$L$14</f>
        <v>0</v>
      </c>
      <c r="AX196" s="76"/>
      <c r="AY196" s="37"/>
      <c r="AZ196" s="86">
        <f>tbl_Actual_costs_quantities34[[#This Row],[Chimney Duct Cleaning Repair]]*BOQs!$L$15</f>
        <v>0</v>
      </c>
      <c r="BA196" s="76"/>
      <c r="BB196" s="37"/>
      <c r="BC196" s="89">
        <f>tbl_Actual_costs_quantities34[[#This Row],[Accessibility Adaptations]]*BOQs!$L$16</f>
        <v>0</v>
      </c>
      <c r="BD196" s="41"/>
      <c r="BE196" s="37"/>
      <c r="BF196" s="37"/>
    </row>
    <row r="197" spans="2:58" ht="25.15" customHeight="1" x14ac:dyDescent="0.25">
      <c r="B197" s="49">
        <v>193</v>
      </c>
      <c r="C197" s="37"/>
      <c r="D197" s="41"/>
      <c r="E197" s="40"/>
      <c r="F197" s="87" t="str">
        <f>IF(tbl_Actual_costs_quantities34[[#This Row],[House Code]]&lt;&gt;"",INDEX(tbl_Assessment[],MATCH(tbl_Actual_costs_quantities34[[#This Row],[House Code]],tbl_Assessment[House Code],0),3),"")</f>
        <v/>
      </c>
      <c r="G197" s="116" t="str">
        <f>IF(tbl_Actual_costs_quantities34[[#This Row],[House Code]]&lt;&gt;"",INDEX(tbl_Assessment[],MATCH(tbl_Actual_costs_quantities34[[#This Row],[House Code]],tbl_Assessment[House Code],0),9),"")</f>
        <v/>
      </c>
      <c r="H197" s="41"/>
      <c r="I197" s="41"/>
      <c r="J197" s="41"/>
      <c r="K197" s="116"/>
      <c r="L197" s="117" t="str">
        <f>IF(tbl_Actual_costs_quantities34[[#This Row],[House Code]]&lt;&gt;"",tbl_Actual_costs_quantities34[[#This Row],[Total cost]]/INDEX(tbl_estimated_costs_quantities[],MATCH(tbl_Actual_costs_quantities34[[#This Row],[House Code]],tbl_estimated_costs_quantities[House Code],0),7),"")</f>
        <v/>
      </c>
      <c r="M19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7" s="75"/>
      <c r="O197" s="37"/>
      <c r="P197" s="86">
        <f>tbl_Actual_costs_quantities34[[#This Row],[Site Preparation]]*BOQs!$L$3</f>
        <v>0</v>
      </c>
      <c r="Q197" s="76"/>
      <c r="R197" s="37"/>
      <c r="S197" s="86">
        <f>tbl_Actual_costs_quantities34[[#This Row],[Demolition Removal Unsafe Structures]]*BOQs!$L$4</f>
        <v>0</v>
      </c>
      <c r="T197" s="76"/>
      <c r="U197" s="37"/>
      <c r="V197" s="86">
        <f>tbl_Actual_costs_quantities34[[#This Row],[Concrete Works]]*BOQs!$L$5</f>
        <v>0</v>
      </c>
      <c r="W197" s="76"/>
      <c r="X197" s="37"/>
      <c r="Y197" s="86">
        <f>tbl_Actual_costs_quantities34[[#This Row],[Closure External Openings Walls Windows]]*BOQs!$L$6</f>
        <v>0</v>
      </c>
      <c r="Z197" s="76"/>
      <c r="AA197" s="37"/>
      <c r="AB197" s="86">
        <f>tbl_Actual_costs_quantities34[[#This Row],[Plastering Painting]]*BOQs!$L$7</f>
        <v>0</v>
      </c>
      <c r="AC197" s="76"/>
      <c r="AD197" s="37"/>
      <c r="AE197" s="86">
        <f>tbl_Actual_costs_quantities34[[#This Row],[Floor Repairs]]*BOQs!$L$8</f>
        <v>0</v>
      </c>
      <c r="AF197" s="76"/>
      <c r="AG197" s="37"/>
      <c r="AH197" s="86">
        <f>tbl_Actual_costs_quantities34[[#This Row],[Doors Replacement Repair]]*BOQs!$L$9</f>
        <v>0</v>
      </c>
      <c r="AI197" s="76"/>
      <c r="AJ197" s="37"/>
      <c r="AK197" s="86">
        <f>tbl_Actual_costs_quantities34[[#This Row],[Windows Replacement Repair]]*BOQs!$L$10</f>
        <v>0</v>
      </c>
      <c r="AL197" s="76"/>
      <c r="AM197" s="37"/>
      <c r="AN197" s="86">
        <f>tbl_Actual_costs_quantities34[[#This Row],[Bathroom Rehabilitation]]*BOQs!$L$11</f>
        <v>0</v>
      </c>
      <c r="AO197" s="76"/>
      <c r="AP197" s="37"/>
      <c r="AQ197" s="86">
        <f>tbl_Actual_costs_quantities34[[#This Row],[Ceramic Tile Works WASH]]*BOQs!$L$12</f>
        <v>0</v>
      </c>
      <c r="AR197" s="76"/>
      <c r="AS197" s="37"/>
      <c r="AT197" s="86">
        <f>tbl_Actual_costs_quantities34[[#This Row],[Electrical Repairs Lighting]]*BOQs!$L$13</f>
        <v>0</v>
      </c>
      <c r="AU197" s="76"/>
      <c r="AV197" s="37"/>
      <c r="AW197" s="86">
        <f>tbl_Actual_costs_quantities34[[#This Row],[Roof Insulation Leak Sealing]]*BOQs!$L$14</f>
        <v>0</v>
      </c>
      <c r="AX197" s="76"/>
      <c r="AY197" s="37"/>
      <c r="AZ197" s="86">
        <f>tbl_Actual_costs_quantities34[[#This Row],[Chimney Duct Cleaning Repair]]*BOQs!$L$15</f>
        <v>0</v>
      </c>
      <c r="BA197" s="76"/>
      <c r="BB197" s="37"/>
      <c r="BC197" s="89">
        <f>tbl_Actual_costs_quantities34[[#This Row],[Accessibility Adaptations]]*BOQs!$L$16</f>
        <v>0</v>
      </c>
      <c r="BD197" s="41"/>
      <c r="BE197" s="37"/>
      <c r="BF197" s="37"/>
    </row>
    <row r="198" spans="2:58" ht="25.15" customHeight="1" x14ac:dyDescent="0.25">
      <c r="B198" s="49">
        <v>194</v>
      </c>
      <c r="C198" s="37"/>
      <c r="D198" s="41"/>
      <c r="E198" s="40"/>
      <c r="F198" s="87" t="str">
        <f>IF(tbl_Actual_costs_quantities34[[#This Row],[House Code]]&lt;&gt;"",INDEX(tbl_Assessment[],MATCH(tbl_Actual_costs_quantities34[[#This Row],[House Code]],tbl_Assessment[House Code],0),3),"")</f>
        <v/>
      </c>
      <c r="G198" s="116" t="str">
        <f>IF(tbl_Actual_costs_quantities34[[#This Row],[House Code]]&lt;&gt;"",INDEX(tbl_Assessment[],MATCH(tbl_Actual_costs_quantities34[[#This Row],[House Code]],tbl_Assessment[House Code],0),9),"")</f>
        <v/>
      </c>
      <c r="H198" s="41"/>
      <c r="I198" s="41"/>
      <c r="J198" s="41"/>
      <c r="K198" s="116"/>
      <c r="L198" s="117" t="str">
        <f>IF(tbl_Actual_costs_quantities34[[#This Row],[House Code]]&lt;&gt;"",tbl_Actual_costs_quantities34[[#This Row],[Total cost]]/INDEX(tbl_estimated_costs_quantities[],MATCH(tbl_Actual_costs_quantities34[[#This Row],[House Code]],tbl_estimated_costs_quantities[House Code],0),7),"")</f>
        <v/>
      </c>
      <c r="M19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8" s="75"/>
      <c r="O198" s="37"/>
      <c r="P198" s="86">
        <f>tbl_Actual_costs_quantities34[[#This Row],[Site Preparation]]*BOQs!$L$3</f>
        <v>0</v>
      </c>
      <c r="Q198" s="76"/>
      <c r="R198" s="37"/>
      <c r="S198" s="86">
        <f>tbl_Actual_costs_quantities34[[#This Row],[Demolition Removal Unsafe Structures]]*BOQs!$L$4</f>
        <v>0</v>
      </c>
      <c r="T198" s="76"/>
      <c r="U198" s="37"/>
      <c r="V198" s="86">
        <f>tbl_Actual_costs_quantities34[[#This Row],[Concrete Works]]*BOQs!$L$5</f>
        <v>0</v>
      </c>
      <c r="W198" s="76"/>
      <c r="X198" s="37"/>
      <c r="Y198" s="86">
        <f>tbl_Actual_costs_quantities34[[#This Row],[Closure External Openings Walls Windows]]*BOQs!$L$6</f>
        <v>0</v>
      </c>
      <c r="Z198" s="76"/>
      <c r="AA198" s="37"/>
      <c r="AB198" s="86">
        <f>tbl_Actual_costs_quantities34[[#This Row],[Plastering Painting]]*BOQs!$L$7</f>
        <v>0</v>
      </c>
      <c r="AC198" s="76"/>
      <c r="AD198" s="37"/>
      <c r="AE198" s="86">
        <f>tbl_Actual_costs_quantities34[[#This Row],[Floor Repairs]]*BOQs!$L$8</f>
        <v>0</v>
      </c>
      <c r="AF198" s="76"/>
      <c r="AG198" s="37"/>
      <c r="AH198" s="86">
        <f>tbl_Actual_costs_quantities34[[#This Row],[Doors Replacement Repair]]*BOQs!$L$9</f>
        <v>0</v>
      </c>
      <c r="AI198" s="76"/>
      <c r="AJ198" s="37"/>
      <c r="AK198" s="86">
        <f>tbl_Actual_costs_quantities34[[#This Row],[Windows Replacement Repair]]*BOQs!$L$10</f>
        <v>0</v>
      </c>
      <c r="AL198" s="76"/>
      <c r="AM198" s="37"/>
      <c r="AN198" s="86">
        <f>tbl_Actual_costs_quantities34[[#This Row],[Bathroom Rehabilitation]]*BOQs!$L$11</f>
        <v>0</v>
      </c>
      <c r="AO198" s="76"/>
      <c r="AP198" s="37"/>
      <c r="AQ198" s="86">
        <f>tbl_Actual_costs_quantities34[[#This Row],[Ceramic Tile Works WASH]]*BOQs!$L$12</f>
        <v>0</v>
      </c>
      <c r="AR198" s="76"/>
      <c r="AS198" s="37"/>
      <c r="AT198" s="86">
        <f>tbl_Actual_costs_quantities34[[#This Row],[Electrical Repairs Lighting]]*BOQs!$L$13</f>
        <v>0</v>
      </c>
      <c r="AU198" s="76"/>
      <c r="AV198" s="37"/>
      <c r="AW198" s="86">
        <f>tbl_Actual_costs_quantities34[[#This Row],[Roof Insulation Leak Sealing]]*BOQs!$L$14</f>
        <v>0</v>
      </c>
      <c r="AX198" s="76"/>
      <c r="AY198" s="37"/>
      <c r="AZ198" s="86">
        <f>tbl_Actual_costs_quantities34[[#This Row],[Chimney Duct Cleaning Repair]]*BOQs!$L$15</f>
        <v>0</v>
      </c>
      <c r="BA198" s="76"/>
      <c r="BB198" s="37"/>
      <c r="BC198" s="89">
        <f>tbl_Actual_costs_quantities34[[#This Row],[Accessibility Adaptations]]*BOQs!$L$16</f>
        <v>0</v>
      </c>
      <c r="BD198" s="41"/>
      <c r="BE198" s="37"/>
      <c r="BF198" s="37"/>
    </row>
    <row r="199" spans="2:58" ht="25.15" customHeight="1" x14ac:dyDescent="0.25">
      <c r="B199" s="49">
        <v>195</v>
      </c>
      <c r="C199" s="37"/>
      <c r="D199" s="41"/>
      <c r="E199" s="40"/>
      <c r="F199" s="87" t="str">
        <f>IF(tbl_Actual_costs_quantities34[[#This Row],[House Code]]&lt;&gt;"",INDEX(tbl_Assessment[],MATCH(tbl_Actual_costs_quantities34[[#This Row],[House Code]],tbl_Assessment[House Code],0),3),"")</f>
        <v/>
      </c>
      <c r="G199" s="116" t="str">
        <f>IF(tbl_Actual_costs_quantities34[[#This Row],[House Code]]&lt;&gt;"",INDEX(tbl_Assessment[],MATCH(tbl_Actual_costs_quantities34[[#This Row],[House Code]],tbl_Assessment[House Code],0),9),"")</f>
        <v/>
      </c>
      <c r="H199" s="41"/>
      <c r="I199" s="41"/>
      <c r="J199" s="41"/>
      <c r="K199" s="116"/>
      <c r="L199" s="117" t="str">
        <f>IF(tbl_Actual_costs_quantities34[[#This Row],[House Code]]&lt;&gt;"",tbl_Actual_costs_quantities34[[#This Row],[Total cost]]/INDEX(tbl_estimated_costs_quantities[],MATCH(tbl_Actual_costs_quantities34[[#This Row],[House Code]],tbl_estimated_costs_quantities[House Code],0),7),"")</f>
        <v/>
      </c>
      <c r="M19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199" s="75"/>
      <c r="O199" s="37"/>
      <c r="P199" s="86">
        <f>tbl_Actual_costs_quantities34[[#This Row],[Site Preparation]]*BOQs!$L$3</f>
        <v>0</v>
      </c>
      <c r="Q199" s="76"/>
      <c r="R199" s="37"/>
      <c r="S199" s="86">
        <f>tbl_Actual_costs_quantities34[[#This Row],[Demolition Removal Unsafe Structures]]*BOQs!$L$4</f>
        <v>0</v>
      </c>
      <c r="T199" s="76"/>
      <c r="U199" s="37"/>
      <c r="V199" s="86">
        <f>tbl_Actual_costs_quantities34[[#This Row],[Concrete Works]]*BOQs!$L$5</f>
        <v>0</v>
      </c>
      <c r="W199" s="76"/>
      <c r="X199" s="37"/>
      <c r="Y199" s="86">
        <f>tbl_Actual_costs_quantities34[[#This Row],[Closure External Openings Walls Windows]]*BOQs!$L$6</f>
        <v>0</v>
      </c>
      <c r="Z199" s="76"/>
      <c r="AA199" s="37"/>
      <c r="AB199" s="86">
        <f>tbl_Actual_costs_quantities34[[#This Row],[Plastering Painting]]*BOQs!$L$7</f>
        <v>0</v>
      </c>
      <c r="AC199" s="76"/>
      <c r="AD199" s="37"/>
      <c r="AE199" s="86">
        <f>tbl_Actual_costs_quantities34[[#This Row],[Floor Repairs]]*BOQs!$L$8</f>
        <v>0</v>
      </c>
      <c r="AF199" s="76"/>
      <c r="AG199" s="37"/>
      <c r="AH199" s="86">
        <f>tbl_Actual_costs_quantities34[[#This Row],[Doors Replacement Repair]]*BOQs!$L$9</f>
        <v>0</v>
      </c>
      <c r="AI199" s="76"/>
      <c r="AJ199" s="37"/>
      <c r="AK199" s="86">
        <f>tbl_Actual_costs_quantities34[[#This Row],[Windows Replacement Repair]]*BOQs!$L$10</f>
        <v>0</v>
      </c>
      <c r="AL199" s="76"/>
      <c r="AM199" s="37"/>
      <c r="AN199" s="86">
        <f>tbl_Actual_costs_quantities34[[#This Row],[Bathroom Rehabilitation]]*BOQs!$L$11</f>
        <v>0</v>
      </c>
      <c r="AO199" s="76"/>
      <c r="AP199" s="37"/>
      <c r="AQ199" s="86">
        <f>tbl_Actual_costs_quantities34[[#This Row],[Ceramic Tile Works WASH]]*BOQs!$L$12</f>
        <v>0</v>
      </c>
      <c r="AR199" s="76"/>
      <c r="AS199" s="37"/>
      <c r="AT199" s="86">
        <f>tbl_Actual_costs_quantities34[[#This Row],[Electrical Repairs Lighting]]*BOQs!$L$13</f>
        <v>0</v>
      </c>
      <c r="AU199" s="76"/>
      <c r="AV199" s="37"/>
      <c r="AW199" s="86">
        <f>tbl_Actual_costs_quantities34[[#This Row],[Roof Insulation Leak Sealing]]*BOQs!$L$14</f>
        <v>0</v>
      </c>
      <c r="AX199" s="76"/>
      <c r="AY199" s="37"/>
      <c r="AZ199" s="86">
        <f>tbl_Actual_costs_quantities34[[#This Row],[Chimney Duct Cleaning Repair]]*BOQs!$L$15</f>
        <v>0</v>
      </c>
      <c r="BA199" s="76"/>
      <c r="BB199" s="37"/>
      <c r="BC199" s="89">
        <f>tbl_Actual_costs_quantities34[[#This Row],[Accessibility Adaptations]]*BOQs!$L$16</f>
        <v>0</v>
      </c>
      <c r="BD199" s="41"/>
      <c r="BE199" s="37"/>
      <c r="BF199" s="37"/>
    </row>
    <row r="200" spans="2:58" ht="25.15" customHeight="1" x14ac:dyDescent="0.25">
      <c r="B200" s="49">
        <v>196</v>
      </c>
      <c r="C200" s="37"/>
      <c r="D200" s="41"/>
      <c r="E200" s="40"/>
      <c r="F200" s="87" t="str">
        <f>IF(tbl_Actual_costs_quantities34[[#This Row],[House Code]]&lt;&gt;"",INDEX(tbl_Assessment[],MATCH(tbl_Actual_costs_quantities34[[#This Row],[House Code]],tbl_Assessment[House Code],0),3),"")</f>
        <v/>
      </c>
      <c r="G200" s="116" t="str">
        <f>IF(tbl_Actual_costs_quantities34[[#This Row],[House Code]]&lt;&gt;"",INDEX(tbl_Assessment[],MATCH(tbl_Actual_costs_quantities34[[#This Row],[House Code]],tbl_Assessment[House Code],0),9),"")</f>
        <v/>
      </c>
      <c r="H200" s="41"/>
      <c r="I200" s="41"/>
      <c r="J200" s="41"/>
      <c r="K200" s="116"/>
      <c r="L200" s="117" t="str">
        <f>IF(tbl_Actual_costs_quantities34[[#This Row],[House Code]]&lt;&gt;"",tbl_Actual_costs_quantities34[[#This Row],[Total cost]]/INDEX(tbl_estimated_costs_quantities[],MATCH(tbl_Actual_costs_quantities34[[#This Row],[House Code]],tbl_estimated_costs_quantities[House Code],0),7),"")</f>
        <v/>
      </c>
      <c r="M20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0" s="75"/>
      <c r="O200" s="37"/>
      <c r="P200" s="86">
        <f>tbl_Actual_costs_quantities34[[#This Row],[Site Preparation]]*BOQs!$L$3</f>
        <v>0</v>
      </c>
      <c r="Q200" s="76"/>
      <c r="R200" s="37"/>
      <c r="S200" s="86">
        <f>tbl_Actual_costs_quantities34[[#This Row],[Demolition Removal Unsafe Structures]]*BOQs!$L$4</f>
        <v>0</v>
      </c>
      <c r="T200" s="76"/>
      <c r="U200" s="37"/>
      <c r="V200" s="86">
        <f>tbl_Actual_costs_quantities34[[#This Row],[Concrete Works]]*BOQs!$L$5</f>
        <v>0</v>
      </c>
      <c r="W200" s="76"/>
      <c r="X200" s="37"/>
      <c r="Y200" s="86">
        <f>tbl_Actual_costs_quantities34[[#This Row],[Closure External Openings Walls Windows]]*BOQs!$L$6</f>
        <v>0</v>
      </c>
      <c r="Z200" s="76"/>
      <c r="AA200" s="37"/>
      <c r="AB200" s="86">
        <f>tbl_Actual_costs_quantities34[[#This Row],[Plastering Painting]]*BOQs!$L$7</f>
        <v>0</v>
      </c>
      <c r="AC200" s="76"/>
      <c r="AD200" s="37"/>
      <c r="AE200" s="86">
        <f>tbl_Actual_costs_quantities34[[#This Row],[Floor Repairs]]*BOQs!$L$8</f>
        <v>0</v>
      </c>
      <c r="AF200" s="76"/>
      <c r="AG200" s="37"/>
      <c r="AH200" s="86">
        <f>tbl_Actual_costs_quantities34[[#This Row],[Doors Replacement Repair]]*BOQs!$L$9</f>
        <v>0</v>
      </c>
      <c r="AI200" s="76"/>
      <c r="AJ200" s="37"/>
      <c r="AK200" s="86">
        <f>tbl_Actual_costs_quantities34[[#This Row],[Windows Replacement Repair]]*BOQs!$L$10</f>
        <v>0</v>
      </c>
      <c r="AL200" s="76"/>
      <c r="AM200" s="37"/>
      <c r="AN200" s="86">
        <f>tbl_Actual_costs_quantities34[[#This Row],[Bathroom Rehabilitation]]*BOQs!$L$11</f>
        <v>0</v>
      </c>
      <c r="AO200" s="76"/>
      <c r="AP200" s="37"/>
      <c r="AQ200" s="86">
        <f>tbl_Actual_costs_quantities34[[#This Row],[Ceramic Tile Works WASH]]*BOQs!$L$12</f>
        <v>0</v>
      </c>
      <c r="AR200" s="76"/>
      <c r="AS200" s="37"/>
      <c r="AT200" s="86">
        <f>tbl_Actual_costs_quantities34[[#This Row],[Electrical Repairs Lighting]]*BOQs!$L$13</f>
        <v>0</v>
      </c>
      <c r="AU200" s="76"/>
      <c r="AV200" s="37"/>
      <c r="AW200" s="86">
        <f>tbl_Actual_costs_quantities34[[#This Row],[Roof Insulation Leak Sealing]]*BOQs!$L$14</f>
        <v>0</v>
      </c>
      <c r="AX200" s="76"/>
      <c r="AY200" s="37"/>
      <c r="AZ200" s="86">
        <f>tbl_Actual_costs_quantities34[[#This Row],[Chimney Duct Cleaning Repair]]*BOQs!$L$15</f>
        <v>0</v>
      </c>
      <c r="BA200" s="76"/>
      <c r="BB200" s="37"/>
      <c r="BC200" s="89">
        <f>tbl_Actual_costs_quantities34[[#This Row],[Accessibility Adaptations]]*BOQs!$L$16</f>
        <v>0</v>
      </c>
      <c r="BD200" s="41"/>
      <c r="BE200" s="37"/>
      <c r="BF200" s="37"/>
    </row>
    <row r="201" spans="2:58" ht="25.15" customHeight="1" x14ac:dyDescent="0.25">
      <c r="B201" s="49">
        <v>197</v>
      </c>
      <c r="C201" s="37"/>
      <c r="D201" s="41"/>
      <c r="E201" s="40"/>
      <c r="F201" s="87" t="str">
        <f>IF(tbl_Actual_costs_quantities34[[#This Row],[House Code]]&lt;&gt;"",INDEX(tbl_Assessment[],MATCH(tbl_Actual_costs_quantities34[[#This Row],[House Code]],tbl_Assessment[House Code],0),3),"")</f>
        <v/>
      </c>
      <c r="G201" s="116" t="str">
        <f>IF(tbl_Actual_costs_quantities34[[#This Row],[House Code]]&lt;&gt;"",INDEX(tbl_Assessment[],MATCH(tbl_Actual_costs_quantities34[[#This Row],[House Code]],tbl_Assessment[House Code],0),9),"")</f>
        <v/>
      </c>
      <c r="H201" s="41"/>
      <c r="I201" s="41"/>
      <c r="J201" s="41"/>
      <c r="K201" s="116"/>
      <c r="L201" s="117" t="str">
        <f>IF(tbl_Actual_costs_quantities34[[#This Row],[House Code]]&lt;&gt;"",tbl_Actual_costs_quantities34[[#This Row],[Total cost]]/INDEX(tbl_estimated_costs_quantities[],MATCH(tbl_Actual_costs_quantities34[[#This Row],[House Code]],tbl_estimated_costs_quantities[House Code],0),7),"")</f>
        <v/>
      </c>
      <c r="M20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1" s="75"/>
      <c r="O201" s="37"/>
      <c r="P201" s="86">
        <f>tbl_Actual_costs_quantities34[[#This Row],[Site Preparation]]*BOQs!$L$3</f>
        <v>0</v>
      </c>
      <c r="Q201" s="76"/>
      <c r="R201" s="37"/>
      <c r="S201" s="86">
        <f>tbl_Actual_costs_quantities34[[#This Row],[Demolition Removal Unsafe Structures]]*BOQs!$L$4</f>
        <v>0</v>
      </c>
      <c r="T201" s="76"/>
      <c r="U201" s="37"/>
      <c r="V201" s="86">
        <f>tbl_Actual_costs_quantities34[[#This Row],[Concrete Works]]*BOQs!$L$5</f>
        <v>0</v>
      </c>
      <c r="W201" s="76"/>
      <c r="X201" s="37"/>
      <c r="Y201" s="86">
        <f>tbl_Actual_costs_quantities34[[#This Row],[Closure External Openings Walls Windows]]*BOQs!$L$6</f>
        <v>0</v>
      </c>
      <c r="Z201" s="76"/>
      <c r="AA201" s="37"/>
      <c r="AB201" s="86">
        <f>tbl_Actual_costs_quantities34[[#This Row],[Plastering Painting]]*BOQs!$L$7</f>
        <v>0</v>
      </c>
      <c r="AC201" s="76"/>
      <c r="AD201" s="37"/>
      <c r="AE201" s="86">
        <f>tbl_Actual_costs_quantities34[[#This Row],[Floor Repairs]]*BOQs!$L$8</f>
        <v>0</v>
      </c>
      <c r="AF201" s="76"/>
      <c r="AG201" s="37"/>
      <c r="AH201" s="86">
        <f>tbl_Actual_costs_quantities34[[#This Row],[Doors Replacement Repair]]*BOQs!$L$9</f>
        <v>0</v>
      </c>
      <c r="AI201" s="76"/>
      <c r="AJ201" s="37"/>
      <c r="AK201" s="86">
        <f>tbl_Actual_costs_quantities34[[#This Row],[Windows Replacement Repair]]*BOQs!$L$10</f>
        <v>0</v>
      </c>
      <c r="AL201" s="76"/>
      <c r="AM201" s="37"/>
      <c r="AN201" s="86">
        <f>tbl_Actual_costs_quantities34[[#This Row],[Bathroom Rehabilitation]]*BOQs!$L$11</f>
        <v>0</v>
      </c>
      <c r="AO201" s="76"/>
      <c r="AP201" s="37"/>
      <c r="AQ201" s="86">
        <f>tbl_Actual_costs_quantities34[[#This Row],[Ceramic Tile Works WASH]]*BOQs!$L$12</f>
        <v>0</v>
      </c>
      <c r="AR201" s="76"/>
      <c r="AS201" s="37"/>
      <c r="AT201" s="86">
        <f>tbl_Actual_costs_quantities34[[#This Row],[Electrical Repairs Lighting]]*BOQs!$L$13</f>
        <v>0</v>
      </c>
      <c r="AU201" s="76"/>
      <c r="AV201" s="37"/>
      <c r="AW201" s="86">
        <f>tbl_Actual_costs_quantities34[[#This Row],[Roof Insulation Leak Sealing]]*BOQs!$L$14</f>
        <v>0</v>
      </c>
      <c r="AX201" s="76"/>
      <c r="AY201" s="37"/>
      <c r="AZ201" s="86">
        <f>tbl_Actual_costs_quantities34[[#This Row],[Chimney Duct Cleaning Repair]]*BOQs!$L$15</f>
        <v>0</v>
      </c>
      <c r="BA201" s="76"/>
      <c r="BB201" s="37"/>
      <c r="BC201" s="89">
        <f>tbl_Actual_costs_quantities34[[#This Row],[Accessibility Adaptations]]*BOQs!$L$16</f>
        <v>0</v>
      </c>
      <c r="BD201" s="41"/>
      <c r="BE201" s="37"/>
      <c r="BF201" s="37"/>
    </row>
    <row r="202" spans="2:58" ht="25.15" customHeight="1" x14ac:dyDescent="0.25">
      <c r="B202" s="49">
        <v>198</v>
      </c>
      <c r="C202" s="37"/>
      <c r="D202" s="41"/>
      <c r="E202" s="40"/>
      <c r="F202" s="87" t="str">
        <f>IF(tbl_Actual_costs_quantities34[[#This Row],[House Code]]&lt;&gt;"",INDEX(tbl_Assessment[],MATCH(tbl_Actual_costs_quantities34[[#This Row],[House Code]],tbl_Assessment[House Code],0),3),"")</f>
        <v/>
      </c>
      <c r="G202" s="116" t="str">
        <f>IF(tbl_Actual_costs_quantities34[[#This Row],[House Code]]&lt;&gt;"",INDEX(tbl_Assessment[],MATCH(tbl_Actual_costs_quantities34[[#This Row],[House Code]],tbl_Assessment[House Code],0),9),"")</f>
        <v/>
      </c>
      <c r="H202" s="41"/>
      <c r="I202" s="41"/>
      <c r="J202" s="41"/>
      <c r="K202" s="116"/>
      <c r="L202" s="117" t="str">
        <f>IF(tbl_Actual_costs_quantities34[[#This Row],[House Code]]&lt;&gt;"",tbl_Actual_costs_quantities34[[#This Row],[Total cost]]/INDEX(tbl_estimated_costs_quantities[],MATCH(tbl_Actual_costs_quantities34[[#This Row],[House Code]],tbl_estimated_costs_quantities[House Code],0),7),"")</f>
        <v/>
      </c>
      <c r="M20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2" s="75"/>
      <c r="O202" s="37"/>
      <c r="P202" s="86">
        <f>tbl_Actual_costs_quantities34[[#This Row],[Site Preparation]]*BOQs!$L$3</f>
        <v>0</v>
      </c>
      <c r="Q202" s="76"/>
      <c r="R202" s="37"/>
      <c r="S202" s="86">
        <f>tbl_Actual_costs_quantities34[[#This Row],[Demolition Removal Unsafe Structures]]*BOQs!$L$4</f>
        <v>0</v>
      </c>
      <c r="T202" s="76"/>
      <c r="U202" s="37"/>
      <c r="V202" s="86">
        <f>tbl_Actual_costs_quantities34[[#This Row],[Concrete Works]]*BOQs!$L$5</f>
        <v>0</v>
      </c>
      <c r="W202" s="76"/>
      <c r="X202" s="37"/>
      <c r="Y202" s="86">
        <f>tbl_Actual_costs_quantities34[[#This Row],[Closure External Openings Walls Windows]]*BOQs!$L$6</f>
        <v>0</v>
      </c>
      <c r="Z202" s="76"/>
      <c r="AA202" s="37"/>
      <c r="AB202" s="86">
        <f>tbl_Actual_costs_quantities34[[#This Row],[Plastering Painting]]*BOQs!$L$7</f>
        <v>0</v>
      </c>
      <c r="AC202" s="76"/>
      <c r="AD202" s="37"/>
      <c r="AE202" s="86">
        <f>tbl_Actual_costs_quantities34[[#This Row],[Floor Repairs]]*BOQs!$L$8</f>
        <v>0</v>
      </c>
      <c r="AF202" s="76"/>
      <c r="AG202" s="37"/>
      <c r="AH202" s="86">
        <f>tbl_Actual_costs_quantities34[[#This Row],[Doors Replacement Repair]]*BOQs!$L$9</f>
        <v>0</v>
      </c>
      <c r="AI202" s="76"/>
      <c r="AJ202" s="37"/>
      <c r="AK202" s="86">
        <f>tbl_Actual_costs_quantities34[[#This Row],[Windows Replacement Repair]]*BOQs!$L$10</f>
        <v>0</v>
      </c>
      <c r="AL202" s="76"/>
      <c r="AM202" s="37"/>
      <c r="AN202" s="86">
        <f>tbl_Actual_costs_quantities34[[#This Row],[Bathroom Rehabilitation]]*BOQs!$L$11</f>
        <v>0</v>
      </c>
      <c r="AO202" s="76"/>
      <c r="AP202" s="37"/>
      <c r="AQ202" s="86">
        <f>tbl_Actual_costs_quantities34[[#This Row],[Ceramic Tile Works WASH]]*BOQs!$L$12</f>
        <v>0</v>
      </c>
      <c r="AR202" s="76"/>
      <c r="AS202" s="37"/>
      <c r="AT202" s="86">
        <f>tbl_Actual_costs_quantities34[[#This Row],[Electrical Repairs Lighting]]*BOQs!$L$13</f>
        <v>0</v>
      </c>
      <c r="AU202" s="76"/>
      <c r="AV202" s="37"/>
      <c r="AW202" s="86">
        <f>tbl_Actual_costs_quantities34[[#This Row],[Roof Insulation Leak Sealing]]*BOQs!$L$14</f>
        <v>0</v>
      </c>
      <c r="AX202" s="76"/>
      <c r="AY202" s="37"/>
      <c r="AZ202" s="86">
        <f>tbl_Actual_costs_quantities34[[#This Row],[Chimney Duct Cleaning Repair]]*BOQs!$L$15</f>
        <v>0</v>
      </c>
      <c r="BA202" s="76"/>
      <c r="BB202" s="37"/>
      <c r="BC202" s="89">
        <f>tbl_Actual_costs_quantities34[[#This Row],[Accessibility Adaptations]]*BOQs!$L$16</f>
        <v>0</v>
      </c>
      <c r="BD202" s="41"/>
      <c r="BE202" s="37"/>
      <c r="BF202" s="37"/>
    </row>
    <row r="203" spans="2:58" ht="25.15" customHeight="1" x14ac:dyDescent="0.25">
      <c r="B203" s="49">
        <v>199</v>
      </c>
      <c r="C203" s="37"/>
      <c r="D203" s="41"/>
      <c r="E203" s="40"/>
      <c r="F203" s="87" t="str">
        <f>IF(tbl_Actual_costs_quantities34[[#This Row],[House Code]]&lt;&gt;"",INDEX(tbl_Assessment[],MATCH(tbl_Actual_costs_quantities34[[#This Row],[House Code]],tbl_Assessment[House Code],0),3),"")</f>
        <v/>
      </c>
      <c r="G203" s="116" t="str">
        <f>IF(tbl_Actual_costs_quantities34[[#This Row],[House Code]]&lt;&gt;"",INDEX(tbl_Assessment[],MATCH(tbl_Actual_costs_quantities34[[#This Row],[House Code]],tbl_Assessment[House Code],0),9),"")</f>
        <v/>
      </c>
      <c r="H203" s="41"/>
      <c r="I203" s="41"/>
      <c r="J203" s="41"/>
      <c r="K203" s="116"/>
      <c r="L203" s="117" t="str">
        <f>IF(tbl_Actual_costs_quantities34[[#This Row],[House Code]]&lt;&gt;"",tbl_Actual_costs_quantities34[[#This Row],[Total cost]]/INDEX(tbl_estimated_costs_quantities[],MATCH(tbl_Actual_costs_quantities34[[#This Row],[House Code]],tbl_estimated_costs_quantities[House Code],0),7),"")</f>
        <v/>
      </c>
      <c r="M20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3" s="75"/>
      <c r="O203" s="37"/>
      <c r="P203" s="86">
        <f>tbl_Actual_costs_quantities34[[#This Row],[Site Preparation]]*BOQs!$L$3</f>
        <v>0</v>
      </c>
      <c r="Q203" s="76"/>
      <c r="R203" s="37"/>
      <c r="S203" s="86">
        <f>tbl_Actual_costs_quantities34[[#This Row],[Demolition Removal Unsafe Structures]]*BOQs!$L$4</f>
        <v>0</v>
      </c>
      <c r="T203" s="76"/>
      <c r="U203" s="37"/>
      <c r="V203" s="86">
        <f>tbl_Actual_costs_quantities34[[#This Row],[Concrete Works]]*BOQs!$L$5</f>
        <v>0</v>
      </c>
      <c r="W203" s="76"/>
      <c r="X203" s="37"/>
      <c r="Y203" s="86">
        <f>tbl_Actual_costs_quantities34[[#This Row],[Closure External Openings Walls Windows]]*BOQs!$L$6</f>
        <v>0</v>
      </c>
      <c r="Z203" s="76"/>
      <c r="AA203" s="37"/>
      <c r="AB203" s="86">
        <f>tbl_Actual_costs_quantities34[[#This Row],[Plastering Painting]]*BOQs!$L$7</f>
        <v>0</v>
      </c>
      <c r="AC203" s="76"/>
      <c r="AD203" s="37"/>
      <c r="AE203" s="86">
        <f>tbl_Actual_costs_quantities34[[#This Row],[Floor Repairs]]*BOQs!$L$8</f>
        <v>0</v>
      </c>
      <c r="AF203" s="76"/>
      <c r="AG203" s="37"/>
      <c r="AH203" s="86">
        <f>tbl_Actual_costs_quantities34[[#This Row],[Doors Replacement Repair]]*BOQs!$L$9</f>
        <v>0</v>
      </c>
      <c r="AI203" s="76"/>
      <c r="AJ203" s="37"/>
      <c r="AK203" s="86">
        <f>tbl_Actual_costs_quantities34[[#This Row],[Windows Replacement Repair]]*BOQs!$L$10</f>
        <v>0</v>
      </c>
      <c r="AL203" s="76"/>
      <c r="AM203" s="37"/>
      <c r="AN203" s="86">
        <f>tbl_Actual_costs_quantities34[[#This Row],[Bathroom Rehabilitation]]*BOQs!$L$11</f>
        <v>0</v>
      </c>
      <c r="AO203" s="76"/>
      <c r="AP203" s="37"/>
      <c r="AQ203" s="86">
        <f>tbl_Actual_costs_quantities34[[#This Row],[Ceramic Tile Works WASH]]*BOQs!$L$12</f>
        <v>0</v>
      </c>
      <c r="AR203" s="76"/>
      <c r="AS203" s="37"/>
      <c r="AT203" s="86">
        <f>tbl_Actual_costs_quantities34[[#This Row],[Electrical Repairs Lighting]]*BOQs!$L$13</f>
        <v>0</v>
      </c>
      <c r="AU203" s="76"/>
      <c r="AV203" s="37"/>
      <c r="AW203" s="86">
        <f>tbl_Actual_costs_quantities34[[#This Row],[Roof Insulation Leak Sealing]]*BOQs!$L$14</f>
        <v>0</v>
      </c>
      <c r="AX203" s="76"/>
      <c r="AY203" s="37"/>
      <c r="AZ203" s="86">
        <f>tbl_Actual_costs_quantities34[[#This Row],[Chimney Duct Cleaning Repair]]*BOQs!$L$15</f>
        <v>0</v>
      </c>
      <c r="BA203" s="76"/>
      <c r="BB203" s="37"/>
      <c r="BC203" s="89">
        <f>tbl_Actual_costs_quantities34[[#This Row],[Accessibility Adaptations]]*BOQs!$L$16</f>
        <v>0</v>
      </c>
      <c r="BD203" s="41"/>
      <c r="BE203" s="37"/>
      <c r="BF203" s="37"/>
    </row>
    <row r="204" spans="2:58" ht="25.15" customHeight="1" x14ac:dyDescent="0.25">
      <c r="B204" s="49">
        <v>200</v>
      </c>
      <c r="C204" s="37"/>
      <c r="D204" s="41"/>
      <c r="E204" s="40"/>
      <c r="F204" s="87" t="str">
        <f>IF(tbl_Actual_costs_quantities34[[#This Row],[House Code]]&lt;&gt;"",INDEX(tbl_Assessment[],MATCH(tbl_Actual_costs_quantities34[[#This Row],[House Code]],tbl_Assessment[House Code],0),3),"")</f>
        <v/>
      </c>
      <c r="G204" s="116" t="str">
        <f>IF(tbl_Actual_costs_quantities34[[#This Row],[House Code]]&lt;&gt;"",INDEX(tbl_Assessment[],MATCH(tbl_Actual_costs_quantities34[[#This Row],[House Code]],tbl_Assessment[House Code],0),9),"")</f>
        <v/>
      </c>
      <c r="H204" s="41"/>
      <c r="I204" s="41"/>
      <c r="J204" s="41"/>
      <c r="K204" s="116"/>
      <c r="L204" s="117" t="str">
        <f>IF(tbl_Actual_costs_quantities34[[#This Row],[House Code]]&lt;&gt;"",tbl_Actual_costs_quantities34[[#This Row],[Total cost]]/INDEX(tbl_estimated_costs_quantities[],MATCH(tbl_Actual_costs_quantities34[[#This Row],[House Code]],tbl_estimated_costs_quantities[House Code],0),7),"")</f>
        <v/>
      </c>
      <c r="M20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4" s="75"/>
      <c r="O204" s="37"/>
      <c r="P204" s="86">
        <f>tbl_Actual_costs_quantities34[[#This Row],[Site Preparation]]*BOQs!$L$3</f>
        <v>0</v>
      </c>
      <c r="Q204" s="76"/>
      <c r="R204" s="37"/>
      <c r="S204" s="86">
        <f>tbl_Actual_costs_quantities34[[#This Row],[Demolition Removal Unsafe Structures]]*BOQs!$L$4</f>
        <v>0</v>
      </c>
      <c r="T204" s="76"/>
      <c r="U204" s="37"/>
      <c r="V204" s="86">
        <f>tbl_Actual_costs_quantities34[[#This Row],[Concrete Works]]*BOQs!$L$5</f>
        <v>0</v>
      </c>
      <c r="W204" s="76"/>
      <c r="X204" s="37"/>
      <c r="Y204" s="86">
        <f>tbl_Actual_costs_quantities34[[#This Row],[Closure External Openings Walls Windows]]*BOQs!$L$6</f>
        <v>0</v>
      </c>
      <c r="Z204" s="76"/>
      <c r="AA204" s="37"/>
      <c r="AB204" s="86">
        <f>tbl_Actual_costs_quantities34[[#This Row],[Plastering Painting]]*BOQs!$L$7</f>
        <v>0</v>
      </c>
      <c r="AC204" s="76"/>
      <c r="AD204" s="37"/>
      <c r="AE204" s="86">
        <f>tbl_Actual_costs_quantities34[[#This Row],[Floor Repairs]]*BOQs!$L$8</f>
        <v>0</v>
      </c>
      <c r="AF204" s="76"/>
      <c r="AG204" s="37"/>
      <c r="AH204" s="86">
        <f>tbl_Actual_costs_quantities34[[#This Row],[Doors Replacement Repair]]*BOQs!$L$9</f>
        <v>0</v>
      </c>
      <c r="AI204" s="76"/>
      <c r="AJ204" s="37"/>
      <c r="AK204" s="86">
        <f>tbl_Actual_costs_quantities34[[#This Row],[Windows Replacement Repair]]*BOQs!$L$10</f>
        <v>0</v>
      </c>
      <c r="AL204" s="76"/>
      <c r="AM204" s="37"/>
      <c r="AN204" s="86">
        <f>tbl_Actual_costs_quantities34[[#This Row],[Bathroom Rehabilitation]]*BOQs!$L$11</f>
        <v>0</v>
      </c>
      <c r="AO204" s="76"/>
      <c r="AP204" s="37"/>
      <c r="AQ204" s="86">
        <f>tbl_Actual_costs_quantities34[[#This Row],[Ceramic Tile Works WASH]]*BOQs!$L$12</f>
        <v>0</v>
      </c>
      <c r="AR204" s="76"/>
      <c r="AS204" s="37"/>
      <c r="AT204" s="86">
        <f>tbl_Actual_costs_quantities34[[#This Row],[Electrical Repairs Lighting]]*BOQs!$L$13</f>
        <v>0</v>
      </c>
      <c r="AU204" s="76"/>
      <c r="AV204" s="37"/>
      <c r="AW204" s="86">
        <f>tbl_Actual_costs_quantities34[[#This Row],[Roof Insulation Leak Sealing]]*BOQs!$L$14</f>
        <v>0</v>
      </c>
      <c r="AX204" s="76"/>
      <c r="AY204" s="37"/>
      <c r="AZ204" s="86">
        <f>tbl_Actual_costs_quantities34[[#This Row],[Chimney Duct Cleaning Repair]]*BOQs!$L$15</f>
        <v>0</v>
      </c>
      <c r="BA204" s="76"/>
      <c r="BB204" s="37"/>
      <c r="BC204" s="89">
        <f>tbl_Actual_costs_quantities34[[#This Row],[Accessibility Adaptations]]*BOQs!$L$16</f>
        <v>0</v>
      </c>
      <c r="BD204" s="41"/>
      <c r="BE204" s="37"/>
      <c r="BF204" s="37"/>
    </row>
    <row r="205" spans="2:58" ht="25.15" customHeight="1" x14ac:dyDescent="0.25">
      <c r="B205" s="49">
        <v>201</v>
      </c>
      <c r="C205" s="37"/>
      <c r="D205" s="41"/>
      <c r="E205" s="40"/>
      <c r="F205" s="87" t="str">
        <f>IF(tbl_Actual_costs_quantities34[[#This Row],[House Code]]&lt;&gt;"",INDEX(tbl_Assessment[],MATCH(tbl_Actual_costs_quantities34[[#This Row],[House Code]],tbl_Assessment[House Code],0),3),"")</f>
        <v/>
      </c>
      <c r="G205" s="116" t="str">
        <f>IF(tbl_Actual_costs_quantities34[[#This Row],[House Code]]&lt;&gt;"",INDEX(tbl_Assessment[],MATCH(tbl_Actual_costs_quantities34[[#This Row],[House Code]],tbl_Assessment[House Code],0),9),"")</f>
        <v/>
      </c>
      <c r="H205" s="41"/>
      <c r="I205" s="41"/>
      <c r="J205" s="41"/>
      <c r="K205" s="116"/>
      <c r="L205" s="117" t="str">
        <f>IF(tbl_Actual_costs_quantities34[[#This Row],[House Code]]&lt;&gt;"",tbl_Actual_costs_quantities34[[#This Row],[Total cost]]/INDEX(tbl_estimated_costs_quantities[],MATCH(tbl_Actual_costs_quantities34[[#This Row],[House Code]],tbl_estimated_costs_quantities[House Code],0),7),"")</f>
        <v/>
      </c>
      <c r="M20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5" s="75"/>
      <c r="O205" s="37"/>
      <c r="P205" s="86">
        <f>tbl_Actual_costs_quantities34[[#This Row],[Site Preparation]]*BOQs!$L$3</f>
        <v>0</v>
      </c>
      <c r="Q205" s="76"/>
      <c r="R205" s="37"/>
      <c r="S205" s="86">
        <f>tbl_Actual_costs_quantities34[[#This Row],[Demolition Removal Unsafe Structures]]*BOQs!$L$4</f>
        <v>0</v>
      </c>
      <c r="T205" s="76"/>
      <c r="U205" s="37"/>
      <c r="V205" s="86">
        <f>tbl_Actual_costs_quantities34[[#This Row],[Concrete Works]]*BOQs!$L$5</f>
        <v>0</v>
      </c>
      <c r="W205" s="76"/>
      <c r="X205" s="37"/>
      <c r="Y205" s="86">
        <f>tbl_Actual_costs_quantities34[[#This Row],[Closure External Openings Walls Windows]]*BOQs!$L$6</f>
        <v>0</v>
      </c>
      <c r="Z205" s="76"/>
      <c r="AA205" s="37"/>
      <c r="AB205" s="86">
        <f>tbl_Actual_costs_quantities34[[#This Row],[Plastering Painting]]*BOQs!$L$7</f>
        <v>0</v>
      </c>
      <c r="AC205" s="76"/>
      <c r="AD205" s="37"/>
      <c r="AE205" s="86">
        <f>tbl_Actual_costs_quantities34[[#This Row],[Floor Repairs]]*BOQs!$L$8</f>
        <v>0</v>
      </c>
      <c r="AF205" s="76"/>
      <c r="AG205" s="37"/>
      <c r="AH205" s="86">
        <f>tbl_Actual_costs_quantities34[[#This Row],[Doors Replacement Repair]]*BOQs!$L$9</f>
        <v>0</v>
      </c>
      <c r="AI205" s="76"/>
      <c r="AJ205" s="37"/>
      <c r="AK205" s="86">
        <f>tbl_Actual_costs_quantities34[[#This Row],[Windows Replacement Repair]]*BOQs!$L$10</f>
        <v>0</v>
      </c>
      <c r="AL205" s="76"/>
      <c r="AM205" s="37"/>
      <c r="AN205" s="86">
        <f>tbl_Actual_costs_quantities34[[#This Row],[Bathroom Rehabilitation]]*BOQs!$L$11</f>
        <v>0</v>
      </c>
      <c r="AO205" s="76"/>
      <c r="AP205" s="37"/>
      <c r="AQ205" s="86">
        <f>tbl_Actual_costs_quantities34[[#This Row],[Ceramic Tile Works WASH]]*BOQs!$L$12</f>
        <v>0</v>
      </c>
      <c r="AR205" s="76"/>
      <c r="AS205" s="37"/>
      <c r="AT205" s="86">
        <f>tbl_Actual_costs_quantities34[[#This Row],[Electrical Repairs Lighting]]*BOQs!$L$13</f>
        <v>0</v>
      </c>
      <c r="AU205" s="76"/>
      <c r="AV205" s="37"/>
      <c r="AW205" s="86">
        <f>tbl_Actual_costs_quantities34[[#This Row],[Roof Insulation Leak Sealing]]*BOQs!$L$14</f>
        <v>0</v>
      </c>
      <c r="AX205" s="76"/>
      <c r="AY205" s="37"/>
      <c r="AZ205" s="86">
        <f>tbl_Actual_costs_quantities34[[#This Row],[Chimney Duct Cleaning Repair]]*BOQs!$L$15</f>
        <v>0</v>
      </c>
      <c r="BA205" s="76"/>
      <c r="BB205" s="37"/>
      <c r="BC205" s="89">
        <f>tbl_Actual_costs_quantities34[[#This Row],[Accessibility Adaptations]]*BOQs!$L$16</f>
        <v>0</v>
      </c>
      <c r="BD205" s="41"/>
      <c r="BE205" s="37"/>
      <c r="BF205" s="37"/>
    </row>
    <row r="206" spans="2:58" ht="25.15" customHeight="1" x14ac:dyDescent="0.25">
      <c r="B206" s="49">
        <v>202</v>
      </c>
      <c r="C206" s="37"/>
      <c r="D206" s="41"/>
      <c r="E206" s="40"/>
      <c r="F206" s="87" t="str">
        <f>IF(tbl_Actual_costs_quantities34[[#This Row],[House Code]]&lt;&gt;"",INDEX(tbl_Assessment[],MATCH(tbl_Actual_costs_quantities34[[#This Row],[House Code]],tbl_Assessment[House Code],0),3),"")</f>
        <v/>
      </c>
      <c r="G206" s="116" t="str">
        <f>IF(tbl_Actual_costs_quantities34[[#This Row],[House Code]]&lt;&gt;"",INDEX(tbl_Assessment[],MATCH(tbl_Actual_costs_quantities34[[#This Row],[House Code]],tbl_Assessment[House Code],0),9),"")</f>
        <v/>
      </c>
      <c r="H206" s="41"/>
      <c r="I206" s="41"/>
      <c r="J206" s="41"/>
      <c r="K206" s="116"/>
      <c r="L206" s="117" t="str">
        <f>IF(tbl_Actual_costs_quantities34[[#This Row],[House Code]]&lt;&gt;"",tbl_Actual_costs_quantities34[[#This Row],[Total cost]]/INDEX(tbl_estimated_costs_quantities[],MATCH(tbl_Actual_costs_quantities34[[#This Row],[House Code]],tbl_estimated_costs_quantities[House Code],0),7),"")</f>
        <v/>
      </c>
      <c r="M20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6" s="75"/>
      <c r="O206" s="37"/>
      <c r="P206" s="86">
        <f>tbl_Actual_costs_quantities34[[#This Row],[Site Preparation]]*BOQs!$L$3</f>
        <v>0</v>
      </c>
      <c r="Q206" s="76"/>
      <c r="R206" s="37"/>
      <c r="S206" s="86">
        <f>tbl_Actual_costs_quantities34[[#This Row],[Demolition Removal Unsafe Structures]]*BOQs!$L$4</f>
        <v>0</v>
      </c>
      <c r="T206" s="76"/>
      <c r="U206" s="37"/>
      <c r="V206" s="86">
        <f>tbl_Actual_costs_quantities34[[#This Row],[Concrete Works]]*BOQs!$L$5</f>
        <v>0</v>
      </c>
      <c r="W206" s="76"/>
      <c r="X206" s="37"/>
      <c r="Y206" s="86">
        <f>tbl_Actual_costs_quantities34[[#This Row],[Closure External Openings Walls Windows]]*BOQs!$L$6</f>
        <v>0</v>
      </c>
      <c r="Z206" s="76"/>
      <c r="AA206" s="37"/>
      <c r="AB206" s="86">
        <f>tbl_Actual_costs_quantities34[[#This Row],[Plastering Painting]]*BOQs!$L$7</f>
        <v>0</v>
      </c>
      <c r="AC206" s="76"/>
      <c r="AD206" s="37"/>
      <c r="AE206" s="86">
        <f>tbl_Actual_costs_quantities34[[#This Row],[Floor Repairs]]*BOQs!$L$8</f>
        <v>0</v>
      </c>
      <c r="AF206" s="76"/>
      <c r="AG206" s="37"/>
      <c r="AH206" s="86">
        <f>tbl_Actual_costs_quantities34[[#This Row],[Doors Replacement Repair]]*BOQs!$L$9</f>
        <v>0</v>
      </c>
      <c r="AI206" s="76"/>
      <c r="AJ206" s="37"/>
      <c r="AK206" s="86">
        <f>tbl_Actual_costs_quantities34[[#This Row],[Windows Replacement Repair]]*BOQs!$L$10</f>
        <v>0</v>
      </c>
      <c r="AL206" s="76"/>
      <c r="AM206" s="37"/>
      <c r="AN206" s="86">
        <f>tbl_Actual_costs_quantities34[[#This Row],[Bathroom Rehabilitation]]*BOQs!$L$11</f>
        <v>0</v>
      </c>
      <c r="AO206" s="76"/>
      <c r="AP206" s="37"/>
      <c r="AQ206" s="86">
        <f>tbl_Actual_costs_quantities34[[#This Row],[Ceramic Tile Works WASH]]*BOQs!$L$12</f>
        <v>0</v>
      </c>
      <c r="AR206" s="76"/>
      <c r="AS206" s="37"/>
      <c r="AT206" s="86">
        <f>tbl_Actual_costs_quantities34[[#This Row],[Electrical Repairs Lighting]]*BOQs!$L$13</f>
        <v>0</v>
      </c>
      <c r="AU206" s="76"/>
      <c r="AV206" s="37"/>
      <c r="AW206" s="86">
        <f>tbl_Actual_costs_quantities34[[#This Row],[Roof Insulation Leak Sealing]]*BOQs!$L$14</f>
        <v>0</v>
      </c>
      <c r="AX206" s="76"/>
      <c r="AY206" s="37"/>
      <c r="AZ206" s="86">
        <f>tbl_Actual_costs_quantities34[[#This Row],[Chimney Duct Cleaning Repair]]*BOQs!$L$15</f>
        <v>0</v>
      </c>
      <c r="BA206" s="76"/>
      <c r="BB206" s="37"/>
      <c r="BC206" s="89">
        <f>tbl_Actual_costs_quantities34[[#This Row],[Accessibility Adaptations]]*BOQs!$L$16</f>
        <v>0</v>
      </c>
      <c r="BD206" s="41"/>
      <c r="BE206" s="37"/>
      <c r="BF206" s="37"/>
    </row>
    <row r="207" spans="2:58" ht="25.15" customHeight="1" x14ac:dyDescent="0.25">
      <c r="B207" s="49">
        <v>203</v>
      </c>
      <c r="C207" s="37"/>
      <c r="D207" s="41"/>
      <c r="E207" s="40"/>
      <c r="F207" s="87" t="str">
        <f>IF(tbl_Actual_costs_quantities34[[#This Row],[House Code]]&lt;&gt;"",INDEX(tbl_Assessment[],MATCH(tbl_Actual_costs_quantities34[[#This Row],[House Code]],tbl_Assessment[House Code],0),3),"")</f>
        <v/>
      </c>
      <c r="G207" s="116" t="str">
        <f>IF(tbl_Actual_costs_quantities34[[#This Row],[House Code]]&lt;&gt;"",INDEX(tbl_Assessment[],MATCH(tbl_Actual_costs_quantities34[[#This Row],[House Code]],tbl_Assessment[House Code],0),9),"")</f>
        <v/>
      </c>
      <c r="H207" s="41"/>
      <c r="I207" s="41"/>
      <c r="J207" s="41"/>
      <c r="K207" s="116"/>
      <c r="L207" s="117" t="str">
        <f>IF(tbl_Actual_costs_quantities34[[#This Row],[House Code]]&lt;&gt;"",tbl_Actual_costs_quantities34[[#This Row],[Total cost]]/INDEX(tbl_estimated_costs_quantities[],MATCH(tbl_Actual_costs_quantities34[[#This Row],[House Code]],tbl_estimated_costs_quantities[House Code],0),7),"")</f>
        <v/>
      </c>
      <c r="M20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7" s="75"/>
      <c r="O207" s="37"/>
      <c r="P207" s="86">
        <f>tbl_Actual_costs_quantities34[[#This Row],[Site Preparation]]*BOQs!$L$3</f>
        <v>0</v>
      </c>
      <c r="Q207" s="76"/>
      <c r="R207" s="37"/>
      <c r="S207" s="86">
        <f>tbl_Actual_costs_quantities34[[#This Row],[Demolition Removal Unsafe Structures]]*BOQs!$L$4</f>
        <v>0</v>
      </c>
      <c r="T207" s="76"/>
      <c r="U207" s="37"/>
      <c r="V207" s="86">
        <f>tbl_Actual_costs_quantities34[[#This Row],[Concrete Works]]*BOQs!$L$5</f>
        <v>0</v>
      </c>
      <c r="W207" s="76"/>
      <c r="X207" s="37"/>
      <c r="Y207" s="86">
        <f>tbl_Actual_costs_quantities34[[#This Row],[Closure External Openings Walls Windows]]*BOQs!$L$6</f>
        <v>0</v>
      </c>
      <c r="Z207" s="76"/>
      <c r="AA207" s="37"/>
      <c r="AB207" s="86">
        <f>tbl_Actual_costs_quantities34[[#This Row],[Plastering Painting]]*BOQs!$L$7</f>
        <v>0</v>
      </c>
      <c r="AC207" s="76"/>
      <c r="AD207" s="37"/>
      <c r="AE207" s="86">
        <f>tbl_Actual_costs_quantities34[[#This Row],[Floor Repairs]]*BOQs!$L$8</f>
        <v>0</v>
      </c>
      <c r="AF207" s="76"/>
      <c r="AG207" s="37"/>
      <c r="AH207" s="86">
        <f>tbl_Actual_costs_quantities34[[#This Row],[Doors Replacement Repair]]*BOQs!$L$9</f>
        <v>0</v>
      </c>
      <c r="AI207" s="76"/>
      <c r="AJ207" s="37"/>
      <c r="AK207" s="86">
        <f>tbl_Actual_costs_quantities34[[#This Row],[Windows Replacement Repair]]*BOQs!$L$10</f>
        <v>0</v>
      </c>
      <c r="AL207" s="76"/>
      <c r="AM207" s="37"/>
      <c r="AN207" s="86">
        <f>tbl_Actual_costs_quantities34[[#This Row],[Bathroom Rehabilitation]]*BOQs!$L$11</f>
        <v>0</v>
      </c>
      <c r="AO207" s="76"/>
      <c r="AP207" s="37"/>
      <c r="AQ207" s="86">
        <f>tbl_Actual_costs_quantities34[[#This Row],[Ceramic Tile Works WASH]]*BOQs!$L$12</f>
        <v>0</v>
      </c>
      <c r="AR207" s="76"/>
      <c r="AS207" s="37"/>
      <c r="AT207" s="86">
        <f>tbl_Actual_costs_quantities34[[#This Row],[Electrical Repairs Lighting]]*BOQs!$L$13</f>
        <v>0</v>
      </c>
      <c r="AU207" s="76"/>
      <c r="AV207" s="37"/>
      <c r="AW207" s="86">
        <f>tbl_Actual_costs_quantities34[[#This Row],[Roof Insulation Leak Sealing]]*BOQs!$L$14</f>
        <v>0</v>
      </c>
      <c r="AX207" s="76"/>
      <c r="AY207" s="37"/>
      <c r="AZ207" s="86">
        <f>tbl_Actual_costs_quantities34[[#This Row],[Chimney Duct Cleaning Repair]]*BOQs!$L$15</f>
        <v>0</v>
      </c>
      <c r="BA207" s="76"/>
      <c r="BB207" s="37"/>
      <c r="BC207" s="89">
        <f>tbl_Actual_costs_quantities34[[#This Row],[Accessibility Adaptations]]*BOQs!$L$16</f>
        <v>0</v>
      </c>
      <c r="BD207" s="41"/>
      <c r="BE207" s="37"/>
      <c r="BF207" s="37"/>
    </row>
    <row r="208" spans="2:58" ht="25.15" customHeight="1" x14ac:dyDescent="0.25">
      <c r="B208" s="49">
        <v>204</v>
      </c>
      <c r="C208" s="37"/>
      <c r="D208" s="41"/>
      <c r="E208" s="40"/>
      <c r="F208" s="87" t="str">
        <f>IF(tbl_Actual_costs_quantities34[[#This Row],[House Code]]&lt;&gt;"",INDEX(tbl_Assessment[],MATCH(tbl_Actual_costs_quantities34[[#This Row],[House Code]],tbl_Assessment[House Code],0),3),"")</f>
        <v/>
      </c>
      <c r="G208" s="116" t="str">
        <f>IF(tbl_Actual_costs_quantities34[[#This Row],[House Code]]&lt;&gt;"",INDEX(tbl_Assessment[],MATCH(tbl_Actual_costs_quantities34[[#This Row],[House Code]],tbl_Assessment[House Code],0),9),"")</f>
        <v/>
      </c>
      <c r="H208" s="41"/>
      <c r="I208" s="41"/>
      <c r="J208" s="41"/>
      <c r="K208" s="116"/>
      <c r="L208" s="117" t="str">
        <f>IF(tbl_Actual_costs_quantities34[[#This Row],[House Code]]&lt;&gt;"",tbl_Actual_costs_quantities34[[#This Row],[Total cost]]/INDEX(tbl_estimated_costs_quantities[],MATCH(tbl_Actual_costs_quantities34[[#This Row],[House Code]],tbl_estimated_costs_quantities[House Code],0),7),"")</f>
        <v/>
      </c>
      <c r="M20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8" s="75"/>
      <c r="O208" s="37"/>
      <c r="P208" s="86">
        <f>tbl_Actual_costs_quantities34[[#This Row],[Site Preparation]]*BOQs!$L$3</f>
        <v>0</v>
      </c>
      <c r="Q208" s="76"/>
      <c r="R208" s="37"/>
      <c r="S208" s="86">
        <f>tbl_Actual_costs_quantities34[[#This Row],[Demolition Removal Unsafe Structures]]*BOQs!$L$4</f>
        <v>0</v>
      </c>
      <c r="T208" s="76"/>
      <c r="U208" s="37"/>
      <c r="V208" s="86">
        <f>tbl_Actual_costs_quantities34[[#This Row],[Concrete Works]]*BOQs!$L$5</f>
        <v>0</v>
      </c>
      <c r="W208" s="76"/>
      <c r="X208" s="37"/>
      <c r="Y208" s="86">
        <f>tbl_Actual_costs_quantities34[[#This Row],[Closure External Openings Walls Windows]]*BOQs!$L$6</f>
        <v>0</v>
      </c>
      <c r="Z208" s="76"/>
      <c r="AA208" s="37"/>
      <c r="AB208" s="86">
        <f>tbl_Actual_costs_quantities34[[#This Row],[Plastering Painting]]*BOQs!$L$7</f>
        <v>0</v>
      </c>
      <c r="AC208" s="76"/>
      <c r="AD208" s="37"/>
      <c r="AE208" s="86">
        <f>tbl_Actual_costs_quantities34[[#This Row],[Floor Repairs]]*BOQs!$L$8</f>
        <v>0</v>
      </c>
      <c r="AF208" s="76"/>
      <c r="AG208" s="37"/>
      <c r="AH208" s="86">
        <f>tbl_Actual_costs_quantities34[[#This Row],[Doors Replacement Repair]]*BOQs!$L$9</f>
        <v>0</v>
      </c>
      <c r="AI208" s="76"/>
      <c r="AJ208" s="37"/>
      <c r="AK208" s="86">
        <f>tbl_Actual_costs_quantities34[[#This Row],[Windows Replacement Repair]]*BOQs!$L$10</f>
        <v>0</v>
      </c>
      <c r="AL208" s="76"/>
      <c r="AM208" s="37"/>
      <c r="AN208" s="86">
        <f>tbl_Actual_costs_quantities34[[#This Row],[Bathroom Rehabilitation]]*BOQs!$L$11</f>
        <v>0</v>
      </c>
      <c r="AO208" s="76"/>
      <c r="AP208" s="37"/>
      <c r="AQ208" s="86">
        <f>tbl_Actual_costs_quantities34[[#This Row],[Ceramic Tile Works WASH]]*BOQs!$L$12</f>
        <v>0</v>
      </c>
      <c r="AR208" s="76"/>
      <c r="AS208" s="37"/>
      <c r="AT208" s="86">
        <f>tbl_Actual_costs_quantities34[[#This Row],[Electrical Repairs Lighting]]*BOQs!$L$13</f>
        <v>0</v>
      </c>
      <c r="AU208" s="76"/>
      <c r="AV208" s="37"/>
      <c r="AW208" s="86">
        <f>tbl_Actual_costs_quantities34[[#This Row],[Roof Insulation Leak Sealing]]*BOQs!$L$14</f>
        <v>0</v>
      </c>
      <c r="AX208" s="76"/>
      <c r="AY208" s="37"/>
      <c r="AZ208" s="86">
        <f>tbl_Actual_costs_quantities34[[#This Row],[Chimney Duct Cleaning Repair]]*BOQs!$L$15</f>
        <v>0</v>
      </c>
      <c r="BA208" s="76"/>
      <c r="BB208" s="37"/>
      <c r="BC208" s="89">
        <f>tbl_Actual_costs_quantities34[[#This Row],[Accessibility Adaptations]]*BOQs!$L$16</f>
        <v>0</v>
      </c>
      <c r="BD208" s="41"/>
      <c r="BE208" s="37"/>
      <c r="BF208" s="37"/>
    </row>
    <row r="209" spans="2:58" ht="25.15" customHeight="1" x14ac:dyDescent="0.25">
      <c r="B209" s="49">
        <v>205</v>
      </c>
      <c r="C209" s="37"/>
      <c r="D209" s="41"/>
      <c r="E209" s="40"/>
      <c r="F209" s="87" t="str">
        <f>IF(tbl_Actual_costs_quantities34[[#This Row],[House Code]]&lt;&gt;"",INDEX(tbl_Assessment[],MATCH(tbl_Actual_costs_quantities34[[#This Row],[House Code]],tbl_Assessment[House Code],0),3),"")</f>
        <v/>
      </c>
      <c r="G209" s="116" t="str">
        <f>IF(tbl_Actual_costs_quantities34[[#This Row],[House Code]]&lt;&gt;"",INDEX(tbl_Assessment[],MATCH(tbl_Actual_costs_quantities34[[#This Row],[House Code]],tbl_Assessment[House Code],0),9),"")</f>
        <v/>
      </c>
      <c r="H209" s="41"/>
      <c r="I209" s="41"/>
      <c r="J209" s="41"/>
      <c r="K209" s="116"/>
      <c r="L209" s="117" t="str">
        <f>IF(tbl_Actual_costs_quantities34[[#This Row],[House Code]]&lt;&gt;"",tbl_Actual_costs_quantities34[[#This Row],[Total cost]]/INDEX(tbl_estimated_costs_quantities[],MATCH(tbl_Actual_costs_quantities34[[#This Row],[House Code]],tbl_estimated_costs_quantities[House Code],0),7),"")</f>
        <v/>
      </c>
      <c r="M20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09" s="75"/>
      <c r="O209" s="37"/>
      <c r="P209" s="86">
        <f>tbl_Actual_costs_quantities34[[#This Row],[Site Preparation]]*BOQs!$L$3</f>
        <v>0</v>
      </c>
      <c r="Q209" s="76"/>
      <c r="R209" s="37"/>
      <c r="S209" s="86">
        <f>tbl_Actual_costs_quantities34[[#This Row],[Demolition Removal Unsafe Structures]]*BOQs!$L$4</f>
        <v>0</v>
      </c>
      <c r="T209" s="76"/>
      <c r="U209" s="37"/>
      <c r="V209" s="86">
        <f>tbl_Actual_costs_quantities34[[#This Row],[Concrete Works]]*BOQs!$L$5</f>
        <v>0</v>
      </c>
      <c r="W209" s="76"/>
      <c r="X209" s="37"/>
      <c r="Y209" s="86">
        <f>tbl_Actual_costs_quantities34[[#This Row],[Closure External Openings Walls Windows]]*BOQs!$L$6</f>
        <v>0</v>
      </c>
      <c r="Z209" s="76"/>
      <c r="AA209" s="37"/>
      <c r="AB209" s="86">
        <f>tbl_Actual_costs_quantities34[[#This Row],[Plastering Painting]]*BOQs!$L$7</f>
        <v>0</v>
      </c>
      <c r="AC209" s="76"/>
      <c r="AD209" s="37"/>
      <c r="AE209" s="86">
        <f>tbl_Actual_costs_quantities34[[#This Row],[Floor Repairs]]*BOQs!$L$8</f>
        <v>0</v>
      </c>
      <c r="AF209" s="76"/>
      <c r="AG209" s="37"/>
      <c r="AH209" s="86">
        <f>tbl_Actual_costs_quantities34[[#This Row],[Doors Replacement Repair]]*BOQs!$L$9</f>
        <v>0</v>
      </c>
      <c r="AI209" s="76"/>
      <c r="AJ209" s="37"/>
      <c r="AK209" s="86">
        <f>tbl_Actual_costs_quantities34[[#This Row],[Windows Replacement Repair]]*BOQs!$L$10</f>
        <v>0</v>
      </c>
      <c r="AL209" s="76"/>
      <c r="AM209" s="37"/>
      <c r="AN209" s="86">
        <f>tbl_Actual_costs_quantities34[[#This Row],[Bathroom Rehabilitation]]*BOQs!$L$11</f>
        <v>0</v>
      </c>
      <c r="AO209" s="76"/>
      <c r="AP209" s="37"/>
      <c r="AQ209" s="86">
        <f>tbl_Actual_costs_quantities34[[#This Row],[Ceramic Tile Works WASH]]*BOQs!$L$12</f>
        <v>0</v>
      </c>
      <c r="AR209" s="76"/>
      <c r="AS209" s="37"/>
      <c r="AT209" s="86">
        <f>tbl_Actual_costs_quantities34[[#This Row],[Electrical Repairs Lighting]]*BOQs!$L$13</f>
        <v>0</v>
      </c>
      <c r="AU209" s="76"/>
      <c r="AV209" s="37"/>
      <c r="AW209" s="86">
        <f>tbl_Actual_costs_quantities34[[#This Row],[Roof Insulation Leak Sealing]]*BOQs!$L$14</f>
        <v>0</v>
      </c>
      <c r="AX209" s="76"/>
      <c r="AY209" s="37"/>
      <c r="AZ209" s="86">
        <f>tbl_Actual_costs_quantities34[[#This Row],[Chimney Duct Cleaning Repair]]*BOQs!$L$15</f>
        <v>0</v>
      </c>
      <c r="BA209" s="76"/>
      <c r="BB209" s="37"/>
      <c r="BC209" s="89">
        <f>tbl_Actual_costs_quantities34[[#This Row],[Accessibility Adaptations]]*BOQs!$L$16</f>
        <v>0</v>
      </c>
      <c r="BD209" s="41"/>
      <c r="BE209" s="37"/>
      <c r="BF209" s="37"/>
    </row>
    <row r="210" spans="2:58" ht="25.15" customHeight="1" x14ac:dyDescent="0.25">
      <c r="B210" s="49">
        <v>206</v>
      </c>
      <c r="C210" s="37"/>
      <c r="D210" s="41"/>
      <c r="E210" s="40"/>
      <c r="F210" s="87" t="str">
        <f>IF(tbl_Actual_costs_quantities34[[#This Row],[House Code]]&lt;&gt;"",INDEX(tbl_Assessment[],MATCH(tbl_Actual_costs_quantities34[[#This Row],[House Code]],tbl_Assessment[House Code],0),3),"")</f>
        <v/>
      </c>
      <c r="G210" s="116" t="str">
        <f>IF(tbl_Actual_costs_quantities34[[#This Row],[House Code]]&lt;&gt;"",INDEX(tbl_Assessment[],MATCH(tbl_Actual_costs_quantities34[[#This Row],[House Code]],tbl_Assessment[House Code],0),9),"")</f>
        <v/>
      </c>
      <c r="H210" s="41"/>
      <c r="I210" s="41"/>
      <c r="J210" s="41"/>
      <c r="K210" s="116"/>
      <c r="L210" s="117" t="str">
        <f>IF(tbl_Actual_costs_quantities34[[#This Row],[House Code]]&lt;&gt;"",tbl_Actual_costs_quantities34[[#This Row],[Total cost]]/INDEX(tbl_estimated_costs_quantities[],MATCH(tbl_Actual_costs_quantities34[[#This Row],[House Code]],tbl_estimated_costs_quantities[House Code],0),7),"")</f>
        <v/>
      </c>
      <c r="M21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0" s="75"/>
      <c r="O210" s="37"/>
      <c r="P210" s="86">
        <f>tbl_Actual_costs_quantities34[[#This Row],[Site Preparation]]*BOQs!$L$3</f>
        <v>0</v>
      </c>
      <c r="Q210" s="76"/>
      <c r="R210" s="37"/>
      <c r="S210" s="86">
        <f>tbl_Actual_costs_quantities34[[#This Row],[Demolition Removal Unsafe Structures]]*BOQs!$L$4</f>
        <v>0</v>
      </c>
      <c r="T210" s="76"/>
      <c r="U210" s="37"/>
      <c r="V210" s="86">
        <f>tbl_Actual_costs_quantities34[[#This Row],[Concrete Works]]*BOQs!$L$5</f>
        <v>0</v>
      </c>
      <c r="W210" s="76"/>
      <c r="X210" s="37"/>
      <c r="Y210" s="86">
        <f>tbl_Actual_costs_quantities34[[#This Row],[Closure External Openings Walls Windows]]*BOQs!$L$6</f>
        <v>0</v>
      </c>
      <c r="Z210" s="76"/>
      <c r="AA210" s="37"/>
      <c r="AB210" s="86">
        <f>tbl_Actual_costs_quantities34[[#This Row],[Plastering Painting]]*BOQs!$L$7</f>
        <v>0</v>
      </c>
      <c r="AC210" s="76"/>
      <c r="AD210" s="37"/>
      <c r="AE210" s="86">
        <f>tbl_Actual_costs_quantities34[[#This Row],[Floor Repairs]]*BOQs!$L$8</f>
        <v>0</v>
      </c>
      <c r="AF210" s="76"/>
      <c r="AG210" s="37"/>
      <c r="AH210" s="86">
        <f>tbl_Actual_costs_quantities34[[#This Row],[Doors Replacement Repair]]*BOQs!$L$9</f>
        <v>0</v>
      </c>
      <c r="AI210" s="76"/>
      <c r="AJ210" s="37"/>
      <c r="AK210" s="86">
        <f>tbl_Actual_costs_quantities34[[#This Row],[Windows Replacement Repair]]*BOQs!$L$10</f>
        <v>0</v>
      </c>
      <c r="AL210" s="76"/>
      <c r="AM210" s="37"/>
      <c r="AN210" s="86">
        <f>tbl_Actual_costs_quantities34[[#This Row],[Bathroom Rehabilitation]]*BOQs!$L$11</f>
        <v>0</v>
      </c>
      <c r="AO210" s="76"/>
      <c r="AP210" s="37"/>
      <c r="AQ210" s="86">
        <f>tbl_Actual_costs_quantities34[[#This Row],[Ceramic Tile Works WASH]]*BOQs!$L$12</f>
        <v>0</v>
      </c>
      <c r="AR210" s="76"/>
      <c r="AS210" s="37"/>
      <c r="AT210" s="86">
        <f>tbl_Actual_costs_quantities34[[#This Row],[Electrical Repairs Lighting]]*BOQs!$L$13</f>
        <v>0</v>
      </c>
      <c r="AU210" s="76"/>
      <c r="AV210" s="37"/>
      <c r="AW210" s="86">
        <f>tbl_Actual_costs_quantities34[[#This Row],[Roof Insulation Leak Sealing]]*BOQs!$L$14</f>
        <v>0</v>
      </c>
      <c r="AX210" s="76"/>
      <c r="AY210" s="37"/>
      <c r="AZ210" s="86">
        <f>tbl_Actual_costs_quantities34[[#This Row],[Chimney Duct Cleaning Repair]]*BOQs!$L$15</f>
        <v>0</v>
      </c>
      <c r="BA210" s="76"/>
      <c r="BB210" s="37"/>
      <c r="BC210" s="89">
        <f>tbl_Actual_costs_quantities34[[#This Row],[Accessibility Adaptations]]*BOQs!$L$16</f>
        <v>0</v>
      </c>
      <c r="BD210" s="41"/>
      <c r="BE210" s="37"/>
      <c r="BF210" s="37"/>
    </row>
    <row r="211" spans="2:58" ht="25.15" customHeight="1" x14ac:dyDescent="0.25">
      <c r="B211" s="49">
        <v>207</v>
      </c>
      <c r="C211" s="37"/>
      <c r="D211" s="41"/>
      <c r="E211" s="40"/>
      <c r="F211" s="87" t="str">
        <f>IF(tbl_Actual_costs_quantities34[[#This Row],[House Code]]&lt;&gt;"",INDEX(tbl_Assessment[],MATCH(tbl_Actual_costs_quantities34[[#This Row],[House Code]],tbl_Assessment[House Code],0),3),"")</f>
        <v/>
      </c>
      <c r="G211" s="116" t="str">
        <f>IF(tbl_Actual_costs_quantities34[[#This Row],[House Code]]&lt;&gt;"",INDEX(tbl_Assessment[],MATCH(tbl_Actual_costs_quantities34[[#This Row],[House Code]],tbl_Assessment[House Code],0),9),"")</f>
        <v/>
      </c>
      <c r="H211" s="41"/>
      <c r="I211" s="41"/>
      <c r="J211" s="41"/>
      <c r="K211" s="116"/>
      <c r="L211" s="117" t="str">
        <f>IF(tbl_Actual_costs_quantities34[[#This Row],[House Code]]&lt;&gt;"",tbl_Actual_costs_quantities34[[#This Row],[Total cost]]/INDEX(tbl_estimated_costs_quantities[],MATCH(tbl_Actual_costs_quantities34[[#This Row],[House Code]],tbl_estimated_costs_quantities[House Code],0),7),"")</f>
        <v/>
      </c>
      <c r="M21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1" s="75"/>
      <c r="O211" s="37"/>
      <c r="P211" s="86">
        <f>tbl_Actual_costs_quantities34[[#This Row],[Site Preparation]]*BOQs!$L$3</f>
        <v>0</v>
      </c>
      <c r="Q211" s="76"/>
      <c r="R211" s="37"/>
      <c r="S211" s="86">
        <f>tbl_Actual_costs_quantities34[[#This Row],[Demolition Removal Unsafe Structures]]*BOQs!$L$4</f>
        <v>0</v>
      </c>
      <c r="T211" s="76"/>
      <c r="U211" s="37"/>
      <c r="V211" s="86">
        <f>tbl_Actual_costs_quantities34[[#This Row],[Concrete Works]]*BOQs!$L$5</f>
        <v>0</v>
      </c>
      <c r="W211" s="76"/>
      <c r="X211" s="37"/>
      <c r="Y211" s="86">
        <f>tbl_Actual_costs_quantities34[[#This Row],[Closure External Openings Walls Windows]]*BOQs!$L$6</f>
        <v>0</v>
      </c>
      <c r="Z211" s="76"/>
      <c r="AA211" s="37"/>
      <c r="AB211" s="86">
        <f>tbl_Actual_costs_quantities34[[#This Row],[Plastering Painting]]*BOQs!$L$7</f>
        <v>0</v>
      </c>
      <c r="AC211" s="76"/>
      <c r="AD211" s="37"/>
      <c r="AE211" s="86">
        <f>tbl_Actual_costs_quantities34[[#This Row],[Floor Repairs]]*BOQs!$L$8</f>
        <v>0</v>
      </c>
      <c r="AF211" s="76"/>
      <c r="AG211" s="37"/>
      <c r="AH211" s="86">
        <f>tbl_Actual_costs_quantities34[[#This Row],[Doors Replacement Repair]]*BOQs!$L$9</f>
        <v>0</v>
      </c>
      <c r="AI211" s="76"/>
      <c r="AJ211" s="37"/>
      <c r="AK211" s="86">
        <f>tbl_Actual_costs_quantities34[[#This Row],[Windows Replacement Repair]]*BOQs!$L$10</f>
        <v>0</v>
      </c>
      <c r="AL211" s="76"/>
      <c r="AM211" s="37"/>
      <c r="AN211" s="86">
        <f>tbl_Actual_costs_quantities34[[#This Row],[Bathroom Rehabilitation]]*BOQs!$L$11</f>
        <v>0</v>
      </c>
      <c r="AO211" s="76"/>
      <c r="AP211" s="37"/>
      <c r="AQ211" s="86">
        <f>tbl_Actual_costs_quantities34[[#This Row],[Ceramic Tile Works WASH]]*BOQs!$L$12</f>
        <v>0</v>
      </c>
      <c r="AR211" s="76"/>
      <c r="AS211" s="37"/>
      <c r="AT211" s="86">
        <f>tbl_Actual_costs_quantities34[[#This Row],[Electrical Repairs Lighting]]*BOQs!$L$13</f>
        <v>0</v>
      </c>
      <c r="AU211" s="76"/>
      <c r="AV211" s="37"/>
      <c r="AW211" s="86">
        <f>tbl_Actual_costs_quantities34[[#This Row],[Roof Insulation Leak Sealing]]*BOQs!$L$14</f>
        <v>0</v>
      </c>
      <c r="AX211" s="76"/>
      <c r="AY211" s="37"/>
      <c r="AZ211" s="86">
        <f>tbl_Actual_costs_quantities34[[#This Row],[Chimney Duct Cleaning Repair]]*BOQs!$L$15</f>
        <v>0</v>
      </c>
      <c r="BA211" s="76"/>
      <c r="BB211" s="37"/>
      <c r="BC211" s="89">
        <f>tbl_Actual_costs_quantities34[[#This Row],[Accessibility Adaptations]]*BOQs!$L$16</f>
        <v>0</v>
      </c>
      <c r="BD211" s="41"/>
      <c r="BE211" s="37"/>
      <c r="BF211" s="37"/>
    </row>
    <row r="212" spans="2:58" ht="25.15" customHeight="1" x14ac:dyDescent="0.25">
      <c r="B212" s="49">
        <v>208</v>
      </c>
      <c r="C212" s="37"/>
      <c r="D212" s="41"/>
      <c r="E212" s="40"/>
      <c r="F212" s="87" t="str">
        <f>IF(tbl_Actual_costs_quantities34[[#This Row],[House Code]]&lt;&gt;"",INDEX(tbl_Assessment[],MATCH(tbl_Actual_costs_quantities34[[#This Row],[House Code]],tbl_Assessment[House Code],0),3),"")</f>
        <v/>
      </c>
      <c r="G212" s="116" t="str">
        <f>IF(tbl_Actual_costs_quantities34[[#This Row],[House Code]]&lt;&gt;"",INDEX(tbl_Assessment[],MATCH(tbl_Actual_costs_quantities34[[#This Row],[House Code]],tbl_Assessment[House Code],0),9),"")</f>
        <v/>
      </c>
      <c r="H212" s="41"/>
      <c r="I212" s="41"/>
      <c r="J212" s="41"/>
      <c r="K212" s="116"/>
      <c r="L212" s="117" t="str">
        <f>IF(tbl_Actual_costs_quantities34[[#This Row],[House Code]]&lt;&gt;"",tbl_Actual_costs_quantities34[[#This Row],[Total cost]]/INDEX(tbl_estimated_costs_quantities[],MATCH(tbl_Actual_costs_quantities34[[#This Row],[House Code]],tbl_estimated_costs_quantities[House Code],0),7),"")</f>
        <v/>
      </c>
      <c r="M21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2" s="75"/>
      <c r="O212" s="37"/>
      <c r="P212" s="86">
        <f>tbl_Actual_costs_quantities34[[#This Row],[Site Preparation]]*BOQs!$L$3</f>
        <v>0</v>
      </c>
      <c r="Q212" s="76"/>
      <c r="R212" s="37"/>
      <c r="S212" s="86">
        <f>tbl_Actual_costs_quantities34[[#This Row],[Demolition Removal Unsafe Structures]]*BOQs!$L$4</f>
        <v>0</v>
      </c>
      <c r="T212" s="76"/>
      <c r="U212" s="37"/>
      <c r="V212" s="86">
        <f>tbl_Actual_costs_quantities34[[#This Row],[Concrete Works]]*BOQs!$L$5</f>
        <v>0</v>
      </c>
      <c r="W212" s="76"/>
      <c r="X212" s="37"/>
      <c r="Y212" s="86">
        <f>tbl_Actual_costs_quantities34[[#This Row],[Closure External Openings Walls Windows]]*BOQs!$L$6</f>
        <v>0</v>
      </c>
      <c r="Z212" s="76"/>
      <c r="AA212" s="37"/>
      <c r="AB212" s="86">
        <f>tbl_Actual_costs_quantities34[[#This Row],[Plastering Painting]]*BOQs!$L$7</f>
        <v>0</v>
      </c>
      <c r="AC212" s="76"/>
      <c r="AD212" s="37"/>
      <c r="AE212" s="86">
        <f>tbl_Actual_costs_quantities34[[#This Row],[Floor Repairs]]*BOQs!$L$8</f>
        <v>0</v>
      </c>
      <c r="AF212" s="76"/>
      <c r="AG212" s="37"/>
      <c r="AH212" s="86">
        <f>tbl_Actual_costs_quantities34[[#This Row],[Doors Replacement Repair]]*BOQs!$L$9</f>
        <v>0</v>
      </c>
      <c r="AI212" s="76"/>
      <c r="AJ212" s="37"/>
      <c r="AK212" s="86">
        <f>tbl_Actual_costs_quantities34[[#This Row],[Windows Replacement Repair]]*BOQs!$L$10</f>
        <v>0</v>
      </c>
      <c r="AL212" s="76"/>
      <c r="AM212" s="37"/>
      <c r="AN212" s="86">
        <f>tbl_Actual_costs_quantities34[[#This Row],[Bathroom Rehabilitation]]*BOQs!$L$11</f>
        <v>0</v>
      </c>
      <c r="AO212" s="76"/>
      <c r="AP212" s="37"/>
      <c r="AQ212" s="86">
        <f>tbl_Actual_costs_quantities34[[#This Row],[Ceramic Tile Works WASH]]*BOQs!$L$12</f>
        <v>0</v>
      </c>
      <c r="AR212" s="76"/>
      <c r="AS212" s="37"/>
      <c r="AT212" s="86">
        <f>tbl_Actual_costs_quantities34[[#This Row],[Electrical Repairs Lighting]]*BOQs!$L$13</f>
        <v>0</v>
      </c>
      <c r="AU212" s="76"/>
      <c r="AV212" s="37"/>
      <c r="AW212" s="86">
        <f>tbl_Actual_costs_quantities34[[#This Row],[Roof Insulation Leak Sealing]]*BOQs!$L$14</f>
        <v>0</v>
      </c>
      <c r="AX212" s="76"/>
      <c r="AY212" s="37"/>
      <c r="AZ212" s="86">
        <f>tbl_Actual_costs_quantities34[[#This Row],[Chimney Duct Cleaning Repair]]*BOQs!$L$15</f>
        <v>0</v>
      </c>
      <c r="BA212" s="76"/>
      <c r="BB212" s="37"/>
      <c r="BC212" s="89">
        <f>tbl_Actual_costs_quantities34[[#This Row],[Accessibility Adaptations]]*BOQs!$L$16</f>
        <v>0</v>
      </c>
      <c r="BD212" s="41"/>
      <c r="BE212" s="37"/>
      <c r="BF212" s="37"/>
    </row>
    <row r="213" spans="2:58" ht="25.15" customHeight="1" x14ac:dyDescent="0.25">
      <c r="B213" s="49">
        <v>209</v>
      </c>
      <c r="C213" s="37"/>
      <c r="D213" s="41"/>
      <c r="E213" s="40"/>
      <c r="F213" s="87" t="str">
        <f>IF(tbl_Actual_costs_quantities34[[#This Row],[House Code]]&lt;&gt;"",INDEX(tbl_Assessment[],MATCH(tbl_Actual_costs_quantities34[[#This Row],[House Code]],tbl_Assessment[House Code],0),3),"")</f>
        <v/>
      </c>
      <c r="G213" s="116" t="str">
        <f>IF(tbl_Actual_costs_quantities34[[#This Row],[House Code]]&lt;&gt;"",INDEX(tbl_Assessment[],MATCH(tbl_Actual_costs_quantities34[[#This Row],[House Code]],tbl_Assessment[House Code],0),9),"")</f>
        <v/>
      </c>
      <c r="H213" s="41"/>
      <c r="I213" s="41"/>
      <c r="J213" s="41"/>
      <c r="K213" s="116"/>
      <c r="L213" s="117" t="str">
        <f>IF(tbl_Actual_costs_quantities34[[#This Row],[House Code]]&lt;&gt;"",tbl_Actual_costs_quantities34[[#This Row],[Total cost]]/INDEX(tbl_estimated_costs_quantities[],MATCH(tbl_Actual_costs_quantities34[[#This Row],[House Code]],tbl_estimated_costs_quantities[House Code],0),7),"")</f>
        <v/>
      </c>
      <c r="M21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3" s="75"/>
      <c r="O213" s="37"/>
      <c r="P213" s="86">
        <f>tbl_Actual_costs_quantities34[[#This Row],[Site Preparation]]*BOQs!$L$3</f>
        <v>0</v>
      </c>
      <c r="Q213" s="76"/>
      <c r="R213" s="37"/>
      <c r="S213" s="86">
        <f>tbl_Actual_costs_quantities34[[#This Row],[Demolition Removal Unsafe Structures]]*BOQs!$L$4</f>
        <v>0</v>
      </c>
      <c r="T213" s="76"/>
      <c r="U213" s="37"/>
      <c r="V213" s="86">
        <f>tbl_Actual_costs_quantities34[[#This Row],[Concrete Works]]*BOQs!$L$5</f>
        <v>0</v>
      </c>
      <c r="W213" s="76"/>
      <c r="X213" s="37"/>
      <c r="Y213" s="86">
        <f>tbl_Actual_costs_quantities34[[#This Row],[Closure External Openings Walls Windows]]*BOQs!$L$6</f>
        <v>0</v>
      </c>
      <c r="Z213" s="76"/>
      <c r="AA213" s="37"/>
      <c r="AB213" s="86">
        <f>tbl_Actual_costs_quantities34[[#This Row],[Plastering Painting]]*BOQs!$L$7</f>
        <v>0</v>
      </c>
      <c r="AC213" s="76"/>
      <c r="AD213" s="37"/>
      <c r="AE213" s="86">
        <f>tbl_Actual_costs_quantities34[[#This Row],[Floor Repairs]]*BOQs!$L$8</f>
        <v>0</v>
      </c>
      <c r="AF213" s="76"/>
      <c r="AG213" s="37"/>
      <c r="AH213" s="86">
        <f>tbl_Actual_costs_quantities34[[#This Row],[Doors Replacement Repair]]*BOQs!$L$9</f>
        <v>0</v>
      </c>
      <c r="AI213" s="76"/>
      <c r="AJ213" s="37"/>
      <c r="AK213" s="86">
        <f>tbl_Actual_costs_quantities34[[#This Row],[Windows Replacement Repair]]*BOQs!$L$10</f>
        <v>0</v>
      </c>
      <c r="AL213" s="76"/>
      <c r="AM213" s="37"/>
      <c r="AN213" s="86">
        <f>tbl_Actual_costs_quantities34[[#This Row],[Bathroom Rehabilitation]]*BOQs!$L$11</f>
        <v>0</v>
      </c>
      <c r="AO213" s="76"/>
      <c r="AP213" s="37"/>
      <c r="AQ213" s="86">
        <f>tbl_Actual_costs_quantities34[[#This Row],[Ceramic Tile Works WASH]]*BOQs!$L$12</f>
        <v>0</v>
      </c>
      <c r="AR213" s="76"/>
      <c r="AS213" s="37"/>
      <c r="AT213" s="86">
        <f>tbl_Actual_costs_quantities34[[#This Row],[Electrical Repairs Lighting]]*BOQs!$L$13</f>
        <v>0</v>
      </c>
      <c r="AU213" s="76"/>
      <c r="AV213" s="37"/>
      <c r="AW213" s="86">
        <f>tbl_Actual_costs_quantities34[[#This Row],[Roof Insulation Leak Sealing]]*BOQs!$L$14</f>
        <v>0</v>
      </c>
      <c r="AX213" s="76"/>
      <c r="AY213" s="37"/>
      <c r="AZ213" s="86">
        <f>tbl_Actual_costs_quantities34[[#This Row],[Chimney Duct Cleaning Repair]]*BOQs!$L$15</f>
        <v>0</v>
      </c>
      <c r="BA213" s="76"/>
      <c r="BB213" s="37"/>
      <c r="BC213" s="89">
        <f>tbl_Actual_costs_quantities34[[#This Row],[Accessibility Adaptations]]*BOQs!$L$16</f>
        <v>0</v>
      </c>
      <c r="BD213" s="41"/>
      <c r="BE213" s="37"/>
      <c r="BF213" s="37"/>
    </row>
    <row r="214" spans="2:58" ht="25.15" customHeight="1" x14ac:dyDescent="0.25">
      <c r="B214" s="49">
        <v>210</v>
      </c>
      <c r="C214" s="37"/>
      <c r="D214" s="41"/>
      <c r="E214" s="40"/>
      <c r="F214" s="87" t="str">
        <f>IF(tbl_Actual_costs_quantities34[[#This Row],[House Code]]&lt;&gt;"",INDEX(tbl_Assessment[],MATCH(tbl_Actual_costs_quantities34[[#This Row],[House Code]],tbl_Assessment[House Code],0),3),"")</f>
        <v/>
      </c>
      <c r="G214" s="116" t="str">
        <f>IF(tbl_Actual_costs_quantities34[[#This Row],[House Code]]&lt;&gt;"",INDEX(tbl_Assessment[],MATCH(tbl_Actual_costs_quantities34[[#This Row],[House Code]],tbl_Assessment[House Code],0),9),"")</f>
        <v/>
      </c>
      <c r="H214" s="41"/>
      <c r="I214" s="41"/>
      <c r="J214" s="41"/>
      <c r="K214" s="116"/>
      <c r="L214" s="117" t="str">
        <f>IF(tbl_Actual_costs_quantities34[[#This Row],[House Code]]&lt;&gt;"",tbl_Actual_costs_quantities34[[#This Row],[Total cost]]/INDEX(tbl_estimated_costs_quantities[],MATCH(tbl_Actual_costs_quantities34[[#This Row],[House Code]],tbl_estimated_costs_quantities[House Code],0),7),"")</f>
        <v/>
      </c>
      <c r="M21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4" s="75"/>
      <c r="O214" s="37"/>
      <c r="P214" s="86">
        <f>tbl_Actual_costs_quantities34[[#This Row],[Site Preparation]]*BOQs!$L$3</f>
        <v>0</v>
      </c>
      <c r="Q214" s="76"/>
      <c r="R214" s="37"/>
      <c r="S214" s="86">
        <f>tbl_Actual_costs_quantities34[[#This Row],[Demolition Removal Unsafe Structures]]*BOQs!$L$4</f>
        <v>0</v>
      </c>
      <c r="T214" s="76"/>
      <c r="U214" s="37"/>
      <c r="V214" s="86">
        <f>tbl_Actual_costs_quantities34[[#This Row],[Concrete Works]]*BOQs!$L$5</f>
        <v>0</v>
      </c>
      <c r="W214" s="76"/>
      <c r="X214" s="37"/>
      <c r="Y214" s="86">
        <f>tbl_Actual_costs_quantities34[[#This Row],[Closure External Openings Walls Windows]]*BOQs!$L$6</f>
        <v>0</v>
      </c>
      <c r="Z214" s="76"/>
      <c r="AA214" s="37"/>
      <c r="AB214" s="86">
        <f>tbl_Actual_costs_quantities34[[#This Row],[Plastering Painting]]*BOQs!$L$7</f>
        <v>0</v>
      </c>
      <c r="AC214" s="76"/>
      <c r="AD214" s="37"/>
      <c r="AE214" s="86">
        <f>tbl_Actual_costs_quantities34[[#This Row],[Floor Repairs]]*BOQs!$L$8</f>
        <v>0</v>
      </c>
      <c r="AF214" s="76"/>
      <c r="AG214" s="37"/>
      <c r="AH214" s="86">
        <f>tbl_Actual_costs_quantities34[[#This Row],[Doors Replacement Repair]]*BOQs!$L$9</f>
        <v>0</v>
      </c>
      <c r="AI214" s="76"/>
      <c r="AJ214" s="37"/>
      <c r="AK214" s="86">
        <f>tbl_Actual_costs_quantities34[[#This Row],[Windows Replacement Repair]]*BOQs!$L$10</f>
        <v>0</v>
      </c>
      <c r="AL214" s="76"/>
      <c r="AM214" s="37"/>
      <c r="AN214" s="86">
        <f>tbl_Actual_costs_quantities34[[#This Row],[Bathroom Rehabilitation]]*BOQs!$L$11</f>
        <v>0</v>
      </c>
      <c r="AO214" s="76"/>
      <c r="AP214" s="37"/>
      <c r="AQ214" s="86">
        <f>tbl_Actual_costs_quantities34[[#This Row],[Ceramic Tile Works WASH]]*BOQs!$L$12</f>
        <v>0</v>
      </c>
      <c r="AR214" s="76"/>
      <c r="AS214" s="37"/>
      <c r="AT214" s="86">
        <f>tbl_Actual_costs_quantities34[[#This Row],[Electrical Repairs Lighting]]*BOQs!$L$13</f>
        <v>0</v>
      </c>
      <c r="AU214" s="76"/>
      <c r="AV214" s="37"/>
      <c r="AW214" s="86">
        <f>tbl_Actual_costs_quantities34[[#This Row],[Roof Insulation Leak Sealing]]*BOQs!$L$14</f>
        <v>0</v>
      </c>
      <c r="AX214" s="76"/>
      <c r="AY214" s="37"/>
      <c r="AZ214" s="86">
        <f>tbl_Actual_costs_quantities34[[#This Row],[Chimney Duct Cleaning Repair]]*BOQs!$L$15</f>
        <v>0</v>
      </c>
      <c r="BA214" s="76"/>
      <c r="BB214" s="37"/>
      <c r="BC214" s="89">
        <f>tbl_Actual_costs_quantities34[[#This Row],[Accessibility Adaptations]]*BOQs!$L$16</f>
        <v>0</v>
      </c>
      <c r="BD214" s="41"/>
      <c r="BE214" s="37"/>
      <c r="BF214" s="37"/>
    </row>
    <row r="215" spans="2:58" ht="25.15" customHeight="1" x14ac:dyDescent="0.25">
      <c r="B215" s="49">
        <v>211</v>
      </c>
      <c r="C215" s="37"/>
      <c r="D215" s="41"/>
      <c r="E215" s="40"/>
      <c r="F215" s="87" t="str">
        <f>IF(tbl_Actual_costs_quantities34[[#This Row],[House Code]]&lt;&gt;"",INDEX(tbl_Assessment[],MATCH(tbl_Actual_costs_quantities34[[#This Row],[House Code]],tbl_Assessment[House Code],0),3),"")</f>
        <v/>
      </c>
      <c r="G215" s="116" t="str">
        <f>IF(tbl_Actual_costs_quantities34[[#This Row],[House Code]]&lt;&gt;"",INDEX(tbl_Assessment[],MATCH(tbl_Actual_costs_quantities34[[#This Row],[House Code]],tbl_Assessment[House Code],0),9),"")</f>
        <v/>
      </c>
      <c r="H215" s="41"/>
      <c r="I215" s="41"/>
      <c r="J215" s="41"/>
      <c r="K215" s="116"/>
      <c r="L215" s="117" t="str">
        <f>IF(tbl_Actual_costs_quantities34[[#This Row],[House Code]]&lt;&gt;"",tbl_Actual_costs_quantities34[[#This Row],[Total cost]]/INDEX(tbl_estimated_costs_quantities[],MATCH(tbl_Actual_costs_quantities34[[#This Row],[House Code]],tbl_estimated_costs_quantities[House Code],0),7),"")</f>
        <v/>
      </c>
      <c r="M21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5" s="75"/>
      <c r="O215" s="37"/>
      <c r="P215" s="86">
        <f>tbl_Actual_costs_quantities34[[#This Row],[Site Preparation]]*BOQs!$L$3</f>
        <v>0</v>
      </c>
      <c r="Q215" s="76"/>
      <c r="R215" s="37"/>
      <c r="S215" s="86">
        <f>tbl_Actual_costs_quantities34[[#This Row],[Demolition Removal Unsafe Structures]]*BOQs!$L$4</f>
        <v>0</v>
      </c>
      <c r="T215" s="76"/>
      <c r="U215" s="37"/>
      <c r="V215" s="86">
        <f>tbl_Actual_costs_quantities34[[#This Row],[Concrete Works]]*BOQs!$L$5</f>
        <v>0</v>
      </c>
      <c r="W215" s="76"/>
      <c r="X215" s="37"/>
      <c r="Y215" s="86">
        <f>tbl_Actual_costs_quantities34[[#This Row],[Closure External Openings Walls Windows]]*BOQs!$L$6</f>
        <v>0</v>
      </c>
      <c r="Z215" s="76"/>
      <c r="AA215" s="37"/>
      <c r="AB215" s="86">
        <f>tbl_Actual_costs_quantities34[[#This Row],[Plastering Painting]]*BOQs!$L$7</f>
        <v>0</v>
      </c>
      <c r="AC215" s="76"/>
      <c r="AD215" s="37"/>
      <c r="AE215" s="86">
        <f>tbl_Actual_costs_quantities34[[#This Row],[Floor Repairs]]*BOQs!$L$8</f>
        <v>0</v>
      </c>
      <c r="AF215" s="76"/>
      <c r="AG215" s="37"/>
      <c r="AH215" s="86">
        <f>tbl_Actual_costs_quantities34[[#This Row],[Doors Replacement Repair]]*BOQs!$L$9</f>
        <v>0</v>
      </c>
      <c r="AI215" s="76"/>
      <c r="AJ215" s="37"/>
      <c r="AK215" s="86">
        <f>tbl_Actual_costs_quantities34[[#This Row],[Windows Replacement Repair]]*BOQs!$L$10</f>
        <v>0</v>
      </c>
      <c r="AL215" s="76"/>
      <c r="AM215" s="37"/>
      <c r="AN215" s="86">
        <f>tbl_Actual_costs_quantities34[[#This Row],[Bathroom Rehabilitation]]*BOQs!$L$11</f>
        <v>0</v>
      </c>
      <c r="AO215" s="76"/>
      <c r="AP215" s="37"/>
      <c r="AQ215" s="86">
        <f>tbl_Actual_costs_quantities34[[#This Row],[Ceramic Tile Works WASH]]*BOQs!$L$12</f>
        <v>0</v>
      </c>
      <c r="AR215" s="76"/>
      <c r="AS215" s="37"/>
      <c r="AT215" s="86">
        <f>tbl_Actual_costs_quantities34[[#This Row],[Electrical Repairs Lighting]]*BOQs!$L$13</f>
        <v>0</v>
      </c>
      <c r="AU215" s="76"/>
      <c r="AV215" s="37"/>
      <c r="AW215" s="86">
        <f>tbl_Actual_costs_quantities34[[#This Row],[Roof Insulation Leak Sealing]]*BOQs!$L$14</f>
        <v>0</v>
      </c>
      <c r="AX215" s="76"/>
      <c r="AY215" s="37"/>
      <c r="AZ215" s="86">
        <f>tbl_Actual_costs_quantities34[[#This Row],[Chimney Duct Cleaning Repair]]*BOQs!$L$15</f>
        <v>0</v>
      </c>
      <c r="BA215" s="76"/>
      <c r="BB215" s="37"/>
      <c r="BC215" s="89">
        <f>tbl_Actual_costs_quantities34[[#This Row],[Accessibility Adaptations]]*BOQs!$L$16</f>
        <v>0</v>
      </c>
      <c r="BD215" s="41"/>
      <c r="BE215" s="37"/>
      <c r="BF215" s="37"/>
    </row>
    <row r="216" spans="2:58" ht="25.15" customHeight="1" x14ac:dyDescent="0.25">
      <c r="B216" s="49">
        <v>212</v>
      </c>
      <c r="C216" s="37"/>
      <c r="D216" s="41"/>
      <c r="E216" s="40"/>
      <c r="F216" s="87" t="str">
        <f>IF(tbl_Actual_costs_quantities34[[#This Row],[House Code]]&lt;&gt;"",INDEX(tbl_Assessment[],MATCH(tbl_Actual_costs_quantities34[[#This Row],[House Code]],tbl_Assessment[House Code],0),3),"")</f>
        <v/>
      </c>
      <c r="G216" s="116" t="str">
        <f>IF(tbl_Actual_costs_quantities34[[#This Row],[House Code]]&lt;&gt;"",INDEX(tbl_Assessment[],MATCH(tbl_Actual_costs_quantities34[[#This Row],[House Code]],tbl_Assessment[House Code],0),9),"")</f>
        <v/>
      </c>
      <c r="H216" s="41"/>
      <c r="I216" s="41"/>
      <c r="J216" s="41"/>
      <c r="K216" s="116"/>
      <c r="L216" s="117" t="str">
        <f>IF(tbl_Actual_costs_quantities34[[#This Row],[House Code]]&lt;&gt;"",tbl_Actual_costs_quantities34[[#This Row],[Total cost]]/INDEX(tbl_estimated_costs_quantities[],MATCH(tbl_Actual_costs_quantities34[[#This Row],[House Code]],tbl_estimated_costs_quantities[House Code],0),7),"")</f>
        <v/>
      </c>
      <c r="M21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6" s="75"/>
      <c r="O216" s="37"/>
      <c r="P216" s="86">
        <f>tbl_Actual_costs_quantities34[[#This Row],[Site Preparation]]*BOQs!$L$3</f>
        <v>0</v>
      </c>
      <c r="Q216" s="76"/>
      <c r="R216" s="37"/>
      <c r="S216" s="86">
        <f>tbl_Actual_costs_quantities34[[#This Row],[Demolition Removal Unsafe Structures]]*BOQs!$L$4</f>
        <v>0</v>
      </c>
      <c r="T216" s="76"/>
      <c r="U216" s="37"/>
      <c r="V216" s="86">
        <f>tbl_Actual_costs_quantities34[[#This Row],[Concrete Works]]*BOQs!$L$5</f>
        <v>0</v>
      </c>
      <c r="W216" s="76"/>
      <c r="X216" s="37"/>
      <c r="Y216" s="86">
        <f>tbl_Actual_costs_quantities34[[#This Row],[Closure External Openings Walls Windows]]*BOQs!$L$6</f>
        <v>0</v>
      </c>
      <c r="Z216" s="76"/>
      <c r="AA216" s="37"/>
      <c r="AB216" s="86">
        <f>tbl_Actual_costs_quantities34[[#This Row],[Plastering Painting]]*BOQs!$L$7</f>
        <v>0</v>
      </c>
      <c r="AC216" s="76"/>
      <c r="AD216" s="37"/>
      <c r="AE216" s="86">
        <f>tbl_Actual_costs_quantities34[[#This Row],[Floor Repairs]]*BOQs!$L$8</f>
        <v>0</v>
      </c>
      <c r="AF216" s="76"/>
      <c r="AG216" s="37"/>
      <c r="AH216" s="86">
        <f>tbl_Actual_costs_quantities34[[#This Row],[Doors Replacement Repair]]*BOQs!$L$9</f>
        <v>0</v>
      </c>
      <c r="AI216" s="76"/>
      <c r="AJ216" s="37"/>
      <c r="AK216" s="86">
        <f>tbl_Actual_costs_quantities34[[#This Row],[Windows Replacement Repair]]*BOQs!$L$10</f>
        <v>0</v>
      </c>
      <c r="AL216" s="76"/>
      <c r="AM216" s="37"/>
      <c r="AN216" s="86">
        <f>tbl_Actual_costs_quantities34[[#This Row],[Bathroom Rehabilitation]]*BOQs!$L$11</f>
        <v>0</v>
      </c>
      <c r="AO216" s="76"/>
      <c r="AP216" s="37"/>
      <c r="AQ216" s="86">
        <f>tbl_Actual_costs_quantities34[[#This Row],[Ceramic Tile Works WASH]]*BOQs!$L$12</f>
        <v>0</v>
      </c>
      <c r="AR216" s="76"/>
      <c r="AS216" s="37"/>
      <c r="AT216" s="86">
        <f>tbl_Actual_costs_quantities34[[#This Row],[Electrical Repairs Lighting]]*BOQs!$L$13</f>
        <v>0</v>
      </c>
      <c r="AU216" s="76"/>
      <c r="AV216" s="37"/>
      <c r="AW216" s="86">
        <f>tbl_Actual_costs_quantities34[[#This Row],[Roof Insulation Leak Sealing]]*BOQs!$L$14</f>
        <v>0</v>
      </c>
      <c r="AX216" s="76"/>
      <c r="AY216" s="37"/>
      <c r="AZ216" s="86">
        <f>tbl_Actual_costs_quantities34[[#This Row],[Chimney Duct Cleaning Repair]]*BOQs!$L$15</f>
        <v>0</v>
      </c>
      <c r="BA216" s="76"/>
      <c r="BB216" s="37"/>
      <c r="BC216" s="89">
        <f>tbl_Actual_costs_quantities34[[#This Row],[Accessibility Adaptations]]*BOQs!$L$16</f>
        <v>0</v>
      </c>
      <c r="BD216" s="41"/>
      <c r="BE216" s="37"/>
      <c r="BF216" s="37"/>
    </row>
    <row r="217" spans="2:58" ht="25.15" customHeight="1" x14ac:dyDescent="0.25">
      <c r="B217" s="49">
        <v>213</v>
      </c>
      <c r="C217" s="37"/>
      <c r="D217" s="41"/>
      <c r="E217" s="40"/>
      <c r="F217" s="87" t="str">
        <f>IF(tbl_Actual_costs_quantities34[[#This Row],[House Code]]&lt;&gt;"",INDEX(tbl_Assessment[],MATCH(tbl_Actual_costs_quantities34[[#This Row],[House Code]],tbl_Assessment[House Code],0),3),"")</f>
        <v/>
      </c>
      <c r="G217" s="116" t="str">
        <f>IF(tbl_Actual_costs_quantities34[[#This Row],[House Code]]&lt;&gt;"",INDEX(tbl_Assessment[],MATCH(tbl_Actual_costs_quantities34[[#This Row],[House Code]],tbl_Assessment[House Code],0),9),"")</f>
        <v/>
      </c>
      <c r="H217" s="41"/>
      <c r="I217" s="41"/>
      <c r="J217" s="41"/>
      <c r="K217" s="116"/>
      <c r="L217" s="117" t="str">
        <f>IF(tbl_Actual_costs_quantities34[[#This Row],[House Code]]&lt;&gt;"",tbl_Actual_costs_quantities34[[#This Row],[Total cost]]/INDEX(tbl_estimated_costs_quantities[],MATCH(tbl_Actual_costs_quantities34[[#This Row],[House Code]],tbl_estimated_costs_quantities[House Code],0),7),"")</f>
        <v/>
      </c>
      <c r="M21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7" s="75"/>
      <c r="O217" s="37"/>
      <c r="P217" s="86">
        <f>tbl_Actual_costs_quantities34[[#This Row],[Site Preparation]]*BOQs!$L$3</f>
        <v>0</v>
      </c>
      <c r="Q217" s="76"/>
      <c r="R217" s="37"/>
      <c r="S217" s="86">
        <f>tbl_Actual_costs_quantities34[[#This Row],[Demolition Removal Unsafe Structures]]*BOQs!$L$4</f>
        <v>0</v>
      </c>
      <c r="T217" s="76"/>
      <c r="U217" s="37"/>
      <c r="V217" s="86">
        <f>tbl_Actual_costs_quantities34[[#This Row],[Concrete Works]]*BOQs!$L$5</f>
        <v>0</v>
      </c>
      <c r="W217" s="76"/>
      <c r="X217" s="37"/>
      <c r="Y217" s="86">
        <f>tbl_Actual_costs_quantities34[[#This Row],[Closure External Openings Walls Windows]]*BOQs!$L$6</f>
        <v>0</v>
      </c>
      <c r="Z217" s="76"/>
      <c r="AA217" s="37"/>
      <c r="AB217" s="86">
        <f>tbl_Actual_costs_quantities34[[#This Row],[Plastering Painting]]*BOQs!$L$7</f>
        <v>0</v>
      </c>
      <c r="AC217" s="76"/>
      <c r="AD217" s="37"/>
      <c r="AE217" s="86">
        <f>tbl_Actual_costs_quantities34[[#This Row],[Floor Repairs]]*BOQs!$L$8</f>
        <v>0</v>
      </c>
      <c r="AF217" s="76"/>
      <c r="AG217" s="37"/>
      <c r="AH217" s="86">
        <f>tbl_Actual_costs_quantities34[[#This Row],[Doors Replacement Repair]]*BOQs!$L$9</f>
        <v>0</v>
      </c>
      <c r="AI217" s="76"/>
      <c r="AJ217" s="37"/>
      <c r="AK217" s="86">
        <f>tbl_Actual_costs_quantities34[[#This Row],[Windows Replacement Repair]]*BOQs!$L$10</f>
        <v>0</v>
      </c>
      <c r="AL217" s="76"/>
      <c r="AM217" s="37"/>
      <c r="AN217" s="86">
        <f>tbl_Actual_costs_quantities34[[#This Row],[Bathroom Rehabilitation]]*BOQs!$L$11</f>
        <v>0</v>
      </c>
      <c r="AO217" s="76"/>
      <c r="AP217" s="37"/>
      <c r="AQ217" s="86">
        <f>tbl_Actual_costs_quantities34[[#This Row],[Ceramic Tile Works WASH]]*BOQs!$L$12</f>
        <v>0</v>
      </c>
      <c r="AR217" s="76"/>
      <c r="AS217" s="37"/>
      <c r="AT217" s="86">
        <f>tbl_Actual_costs_quantities34[[#This Row],[Electrical Repairs Lighting]]*BOQs!$L$13</f>
        <v>0</v>
      </c>
      <c r="AU217" s="76"/>
      <c r="AV217" s="37"/>
      <c r="AW217" s="86">
        <f>tbl_Actual_costs_quantities34[[#This Row],[Roof Insulation Leak Sealing]]*BOQs!$L$14</f>
        <v>0</v>
      </c>
      <c r="AX217" s="76"/>
      <c r="AY217" s="37"/>
      <c r="AZ217" s="86">
        <f>tbl_Actual_costs_quantities34[[#This Row],[Chimney Duct Cleaning Repair]]*BOQs!$L$15</f>
        <v>0</v>
      </c>
      <c r="BA217" s="76"/>
      <c r="BB217" s="37"/>
      <c r="BC217" s="89">
        <f>tbl_Actual_costs_quantities34[[#This Row],[Accessibility Adaptations]]*BOQs!$L$16</f>
        <v>0</v>
      </c>
      <c r="BD217" s="41"/>
      <c r="BE217" s="37"/>
      <c r="BF217" s="37"/>
    </row>
    <row r="218" spans="2:58" ht="25.15" customHeight="1" x14ac:dyDescent="0.25">
      <c r="B218" s="49">
        <v>214</v>
      </c>
      <c r="C218" s="37"/>
      <c r="D218" s="41"/>
      <c r="E218" s="40"/>
      <c r="F218" s="87" t="str">
        <f>IF(tbl_Actual_costs_quantities34[[#This Row],[House Code]]&lt;&gt;"",INDEX(tbl_Assessment[],MATCH(tbl_Actual_costs_quantities34[[#This Row],[House Code]],tbl_Assessment[House Code],0),3),"")</f>
        <v/>
      </c>
      <c r="G218" s="116" t="str">
        <f>IF(tbl_Actual_costs_quantities34[[#This Row],[House Code]]&lt;&gt;"",INDEX(tbl_Assessment[],MATCH(tbl_Actual_costs_quantities34[[#This Row],[House Code]],tbl_Assessment[House Code],0),9),"")</f>
        <v/>
      </c>
      <c r="H218" s="41"/>
      <c r="I218" s="41"/>
      <c r="J218" s="41"/>
      <c r="K218" s="116"/>
      <c r="L218" s="117" t="str">
        <f>IF(tbl_Actual_costs_quantities34[[#This Row],[House Code]]&lt;&gt;"",tbl_Actual_costs_quantities34[[#This Row],[Total cost]]/INDEX(tbl_estimated_costs_quantities[],MATCH(tbl_Actual_costs_quantities34[[#This Row],[House Code]],tbl_estimated_costs_quantities[House Code],0),7),"")</f>
        <v/>
      </c>
      <c r="M21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8" s="75"/>
      <c r="O218" s="37"/>
      <c r="P218" s="86">
        <f>tbl_Actual_costs_quantities34[[#This Row],[Site Preparation]]*BOQs!$L$3</f>
        <v>0</v>
      </c>
      <c r="Q218" s="76"/>
      <c r="R218" s="37"/>
      <c r="S218" s="86">
        <f>tbl_Actual_costs_quantities34[[#This Row],[Demolition Removal Unsafe Structures]]*BOQs!$L$4</f>
        <v>0</v>
      </c>
      <c r="T218" s="76"/>
      <c r="U218" s="37"/>
      <c r="V218" s="86">
        <f>tbl_Actual_costs_quantities34[[#This Row],[Concrete Works]]*BOQs!$L$5</f>
        <v>0</v>
      </c>
      <c r="W218" s="76"/>
      <c r="X218" s="37"/>
      <c r="Y218" s="86">
        <f>tbl_Actual_costs_quantities34[[#This Row],[Closure External Openings Walls Windows]]*BOQs!$L$6</f>
        <v>0</v>
      </c>
      <c r="Z218" s="76"/>
      <c r="AA218" s="37"/>
      <c r="AB218" s="86">
        <f>tbl_Actual_costs_quantities34[[#This Row],[Plastering Painting]]*BOQs!$L$7</f>
        <v>0</v>
      </c>
      <c r="AC218" s="76"/>
      <c r="AD218" s="37"/>
      <c r="AE218" s="86">
        <f>tbl_Actual_costs_quantities34[[#This Row],[Floor Repairs]]*BOQs!$L$8</f>
        <v>0</v>
      </c>
      <c r="AF218" s="76"/>
      <c r="AG218" s="37"/>
      <c r="AH218" s="86">
        <f>tbl_Actual_costs_quantities34[[#This Row],[Doors Replacement Repair]]*BOQs!$L$9</f>
        <v>0</v>
      </c>
      <c r="AI218" s="76"/>
      <c r="AJ218" s="37"/>
      <c r="AK218" s="86">
        <f>tbl_Actual_costs_quantities34[[#This Row],[Windows Replacement Repair]]*BOQs!$L$10</f>
        <v>0</v>
      </c>
      <c r="AL218" s="76"/>
      <c r="AM218" s="37"/>
      <c r="AN218" s="86">
        <f>tbl_Actual_costs_quantities34[[#This Row],[Bathroom Rehabilitation]]*BOQs!$L$11</f>
        <v>0</v>
      </c>
      <c r="AO218" s="76"/>
      <c r="AP218" s="37"/>
      <c r="AQ218" s="86">
        <f>tbl_Actual_costs_quantities34[[#This Row],[Ceramic Tile Works WASH]]*BOQs!$L$12</f>
        <v>0</v>
      </c>
      <c r="AR218" s="76"/>
      <c r="AS218" s="37"/>
      <c r="AT218" s="86">
        <f>tbl_Actual_costs_quantities34[[#This Row],[Electrical Repairs Lighting]]*BOQs!$L$13</f>
        <v>0</v>
      </c>
      <c r="AU218" s="76"/>
      <c r="AV218" s="37"/>
      <c r="AW218" s="86">
        <f>tbl_Actual_costs_quantities34[[#This Row],[Roof Insulation Leak Sealing]]*BOQs!$L$14</f>
        <v>0</v>
      </c>
      <c r="AX218" s="76"/>
      <c r="AY218" s="37"/>
      <c r="AZ218" s="86">
        <f>tbl_Actual_costs_quantities34[[#This Row],[Chimney Duct Cleaning Repair]]*BOQs!$L$15</f>
        <v>0</v>
      </c>
      <c r="BA218" s="76"/>
      <c r="BB218" s="37"/>
      <c r="BC218" s="89">
        <f>tbl_Actual_costs_quantities34[[#This Row],[Accessibility Adaptations]]*BOQs!$L$16</f>
        <v>0</v>
      </c>
      <c r="BD218" s="41"/>
      <c r="BE218" s="37"/>
      <c r="BF218" s="37"/>
    </row>
    <row r="219" spans="2:58" ht="25.15" customHeight="1" x14ac:dyDescent="0.25">
      <c r="B219" s="49">
        <v>215</v>
      </c>
      <c r="C219" s="37"/>
      <c r="D219" s="41"/>
      <c r="E219" s="40"/>
      <c r="F219" s="87" t="str">
        <f>IF(tbl_Actual_costs_quantities34[[#This Row],[House Code]]&lt;&gt;"",INDEX(tbl_Assessment[],MATCH(tbl_Actual_costs_quantities34[[#This Row],[House Code]],tbl_Assessment[House Code],0),3),"")</f>
        <v/>
      </c>
      <c r="G219" s="116" t="str">
        <f>IF(tbl_Actual_costs_quantities34[[#This Row],[House Code]]&lt;&gt;"",INDEX(tbl_Assessment[],MATCH(tbl_Actual_costs_quantities34[[#This Row],[House Code]],tbl_Assessment[House Code],0),9),"")</f>
        <v/>
      </c>
      <c r="H219" s="41"/>
      <c r="I219" s="41"/>
      <c r="J219" s="41"/>
      <c r="K219" s="116"/>
      <c r="L219" s="117" t="str">
        <f>IF(tbl_Actual_costs_quantities34[[#This Row],[House Code]]&lt;&gt;"",tbl_Actual_costs_quantities34[[#This Row],[Total cost]]/INDEX(tbl_estimated_costs_quantities[],MATCH(tbl_Actual_costs_quantities34[[#This Row],[House Code]],tbl_estimated_costs_quantities[House Code],0),7),"")</f>
        <v/>
      </c>
      <c r="M21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19" s="75"/>
      <c r="O219" s="37"/>
      <c r="P219" s="86">
        <f>tbl_Actual_costs_quantities34[[#This Row],[Site Preparation]]*BOQs!$L$3</f>
        <v>0</v>
      </c>
      <c r="Q219" s="76"/>
      <c r="R219" s="37"/>
      <c r="S219" s="86">
        <f>tbl_Actual_costs_quantities34[[#This Row],[Demolition Removal Unsafe Structures]]*BOQs!$L$4</f>
        <v>0</v>
      </c>
      <c r="T219" s="76"/>
      <c r="U219" s="37"/>
      <c r="V219" s="86">
        <f>tbl_Actual_costs_quantities34[[#This Row],[Concrete Works]]*BOQs!$L$5</f>
        <v>0</v>
      </c>
      <c r="W219" s="76"/>
      <c r="X219" s="37"/>
      <c r="Y219" s="86">
        <f>tbl_Actual_costs_quantities34[[#This Row],[Closure External Openings Walls Windows]]*BOQs!$L$6</f>
        <v>0</v>
      </c>
      <c r="Z219" s="76"/>
      <c r="AA219" s="37"/>
      <c r="AB219" s="86">
        <f>tbl_Actual_costs_quantities34[[#This Row],[Plastering Painting]]*BOQs!$L$7</f>
        <v>0</v>
      </c>
      <c r="AC219" s="76"/>
      <c r="AD219" s="37"/>
      <c r="AE219" s="86">
        <f>tbl_Actual_costs_quantities34[[#This Row],[Floor Repairs]]*BOQs!$L$8</f>
        <v>0</v>
      </c>
      <c r="AF219" s="76"/>
      <c r="AG219" s="37"/>
      <c r="AH219" s="86">
        <f>tbl_Actual_costs_quantities34[[#This Row],[Doors Replacement Repair]]*BOQs!$L$9</f>
        <v>0</v>
      </c>
      <c r="AI219" s="76"/>
      <c r="AJ219" s="37"/>
      <c r="AK219" s="86">
        <f>tbl_Actual_costs_quantities34[[#This Row],[Windows Replacement Repair]]*BOQs!$L$10</f>
        <v>0</v>
      </c>
      <c r="AL219" s="76"/>
      <c r="AM219" s="37"/>
      <c r="AN219" s="86">
        <f>tbl_Actual_costs_quantities34[[#This Row],[Bathroom Rehabilitation]]*BOQs!$L$11</f>
        <v>0</v>
      </c>
      <c r="AO219" s="76"/>
      <c r="AP219" s="37"/>
      <c r="AQ219" s="86">
        <f>tbl_Actual_costs_quantities34[[#This Row],[Ceramic Tile Works WASH]]*BOQs!$L$12</f>
        <v>0</v>
      </c>
      <c r="AR219" s="76"/>
      <c r="AS219" s="37"/>
      <c r="AT219" s="86">
        <f>tbl_Actual_costs_quantities34[[#This Row],[Electrical Repairs Lighting]]*BOQs!$L$13</f>
        <v>0</v>
      </c>
      <c r="AU219" s="76"/>
      <c r="AV219" s="37"/>
      <c r="AW219" s="86">
        <f>tbl_Actual_costs_quantities34[[#This Row],[Roof Insulation Leak Sealing]]*BOQs!$L$14</f>
        <v>0</v>
      </c>
      <c r="AX219" s="76"/>
      <c r="AY219" s="37"/>
      <c r="AZ219" s="86">
        <f>tbl_Actual_costs_quantities34[[#This Row],[Chimney Duct Cleaning Repair]]*BOQs!$L$15</f>
        <v>0</v>
      </c>
      <c r="BA219" s="76"/>
      <c r="BB219" s="37"/>
      <c r="BC219" s="89">
        <f>tbl_Actual_costs_quantities34[[#This Row],[Accessibility Adaptations]]*BOQs!$L$16</f>
        <v>0</v>
      </c>
      <c r="BD219" s="41"/>
      <c r="BE219" s="37"/>
      <c r="BF219" s="37"/>
    </row>
    <row r="220" spans="2:58" ht="25.15" customHeight="1" x14ac:dyDescent="0.25">
      <c r="B220" s="49">
        <v>216</v>
      </c>
      <c r="C220" s="37"/>
      <c r="D220" s="41"/>
      <c r="E220" s="40"/>
      <c r="F220" s="87" t="str">
        <f>IF(tbl_Actual_costs_quantities34[[#This Row],[House Code]]&lt;&gt;"",INDEX(tbl_Assessment[],MATCH(tbl_Actual_costs_quantities34[[#This Row],[House Code]],tbl_Assessment[House Code],0),3),"")</f>
        <v/>
      </c>
      <c r="G220" s="116" t="str">
        <f>IF(tbl_Actual_costs_quantities34[[#This Row],[House Code]]&lt;&gt;"",INDEX(tbl_Assessment[],MATCH(tbl_Actual_costs_quantities34[[#This Row],[House Code]],tbl_Assessment[House Code],0),9),"")</f>
        <v/>
      </c>
      <c r="H220" s="41"/>
      <c r="I220" s="41"/>
      <c r="J220" s="41"/>
      <c r="K220" s="116"/>
      <c r="L220" s="117" t="str">
        <f>IF(tbl_Actual_costs_quantities34[[#This Row],[House Code]]&lt;&gt;"",tbl_Actual_costs_quantities34[[#This Row],[Total cost]]/INDEX(tbl_estimated_costs_quantities[],MATCH(tbl_Actual_costs_quantities34[[#This Row],[House Code]],tbl_estimated_costs_quantities[House Code],0),7),"")</f>
        <v/>
      </c>
      <c r="M22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0" s="75"/>
      <c r="O220" s="37"/>
      <c r="P220" s="86">
        <f>tbl_Actual_costs_quantities34[[#This Row],[Site Preparation]]*BOQs!$L$3</f>
        <v>0</v>
      </c>
      <c r="Q220" s="76"/>
      <c r="R220" s="37"/>
      <c r="S220" s="86">
        <f>tbl_Actual_costs_quantities34[[#This Row],[Demolition Removal Unsafe Structures]]*BOQs!$L$4</f>
        <v>0</v>
      </c>
      <c r="T220" s="76"/>
      <c r="U220" s="37"/>
      <c r="V220" s="86">
        <f>tbl_Actual_costs_quantities34[[#This Row],[Concrete Works]]*BOQs!$L$5</f>
        <v>0</v>
      </c>
      <c r="W220" s="76"/>
      <c r="X220" s="37"/>
      <c r="Y220" s="86">
        <f>tbl_Actual_costs_quantities34[[#This Row],[Closure External Openings Walls Windows]]*BOQs!$L$6</f>
        <v>0</v>
      </c>
      <c r="Z220" s="76"/>
      <c r="AA220" s="37"/>
      <c r="AB220" s="86">
        <f>tbl_Actual_costs_quantities34[[#This Row],[Plastering Painting]]*BOQs!$L$7</f>
        <v>0</v>
      </c>
      <c r="AC220" s="76"/>
      <c r="AD220" s="37"/>
      <c r="AE220" s="86">
        <f>tbl_Actual_costs_quantities34[[#This Row],[Floor Repairs]]*BOQs!$L$8</f>
        <v>0</v>
      </c>
      <c r="AF220" s="76"/>
      <c r="AG220" s="37"/>
      <c r="AH220" s="86">
        <f>tbl_Actual_costs_quantities34[[#This Row],[Doors Replacement Repair]]*BOQs!$L$9</f>
        <v>0</v>
      </c>
      <c r="AI220" s="76"/>
      <c r="AJ220" s="37"/>
      <c r="AK220" s="86">
        <f>tbl_Actual_costs_quantities34[[#This Row],[Windows Replacement Repair]]*BOQs!$L$10</f>
        <v>0</v>
      </c>
      <c r="AL220" s="76"/>
      <c r="AM220" s="37"/>
      <c r="AN220" s="86">
        <f>tbl_Actual_costs_quantities34[[#This Row],[Bathroom Rehabilitation]]*BOQs!$L$11</f>
        <v>0</v>
      </c>
      <c r="AO220" s="76"/>
      <c r="AP220" s="37"/>
      <c r="AQ220" s="86">
        <f>tbl_Actual_costs_quantities34[[#This Row],[Ceramic Tile Works WASH]]*BOQs!$L$12</f>
        <v>0</v>
      </c>
      <c r="AR220" s="76"/>
      <c r="AS220" s="37"/>
      <c r="AT220" s="86">
        <f>tbl_Actual_costs_quantities34[[#This Row],[Electrical Repairs Lighting]]*BOQs!$L$13</f>
        <v>0</v>
      </c>
      <c r="AU220" s="76"/>
      <c r="AV220" s="37"/>
      <c r="AW220" s="86">
        <f>tbl_Actual_costs_quantities34[[#This Row],[Roof Insulation Leak Sealing]]*BOQs!$L$14</f>
        <v>0</v>
      </c>
      <c r="AX220" s="76"/>
      <c r="AY220" s="37"/>
      <c r="AZ220" s="86">
        <f>tbl_Actual_costs_quantities34[[#This Row],[Chimney Duct Cleaning Repair]]*BOQs!$L$15</f>
        <v>0</v>
      </c>
      <c r="BA220" s="76"/>
      <c r="BB220" s="37"/>
      <c r="BC220" s="89">
        <f>tbl_Actual_costs_quantities34[[#This Row],[Accessibility Adaptations]]*BOQs!$L$16</f>
        <v>0</v>
      </c>
      <c r="BD220" s="41"/>
      <c r="BE220" s="37"/>
      <c r="BF220" s="37"/>
    </row>
    <row r="221" spans="2:58" ht="25.15" customHeight="1" x14ac:dyDescent="0.25">
      <c r="B221" s="49">
        <v>217</v>
      </c>
      <c r="C221" s="37"/>
      <c r="D221" s="41"/>
      <c r="E221" s="40"/>
      <c r="F221" s="87" t="str">
        <f>IF(tbl_Actual_costs_quantities34[[#This Row],[House Code]]&lt;&gt;"",INDEX(tbl_Assessment[],MATCH(tbl_Actual_costs_quantities34[[#This Row],[House Code]],tbl_Assessment[House Code],0),3),"")</f>
        <v/>
      </c>
      <c r="G221" s="116" t="str">
        <f>IF(tbl_Actual_costs_quantities34[[#This Row],[House Code]]&lt;&gt;"",INDEX(tbl_Assessment[],MATCH(tbl_Actual_costs_quantities34[[#This Row],[House Code]],tbl_Assessment[House Code],0),9),"")</f>
        <v/>
      </c>
      <c r="H221" s="41"/>
      <c r="I221" s="41"/>
      <c r="J221" s="41"/>
      <c r="K221" s="116"/>
      <c r="L221" s="117" t="str">
        <f>IF(tbl_Actual_costs_quantities34[[#This Row],[House Code]]&lt;&gt;"",tbl_Actual_costs_quantities34[[#This Row],[Total cost]]/INDEX(tbl_estimated_costs_quantities[],MATCH(tbl_Actual_costs_quantities34[[#This Row],[House Code]],tbl_estimated_costs_quantities[House Code],0),7),"")</f>
        <v/>
      </c>
      <c r="M22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1" s="75"/>
      <c r="O221" s="37"/>
      <c r="P221" s="86">
        <f>tbl_Actual_costs_quantities34[[#This Row],[Site Preparation]]*BOQs!$L$3</f>
        <v>0</v>
      </c>
      <c r="Q221" s="76"/>
      <c r="R221" s="37"/>
      <c r="S221" s="86">
        <f>tbl_Actual_costs_quantities34[[#This Row],[Demolition Removal Unsafe Structures]]*BOQs!$L$4</f>
        <v>0</v>
      </c>
      <c r="T221" s="76"/>
      <c r="U221" s="37"/>
      <c r="V221" s="86">
        <f>tbl_Actual_costs_quantities34[[#This Row],[Concrete Works]]*BOQs!$L$5</f>
        <v>0</v>
      </c>
      <c r="W221" s="76"/>
      <c r="X221" s="37"/>
      <c r="Y221" s="86">
        <f>tbl_Actual_costs_quantities34[[#This Row],[Closure External Openings Walls Windows]]*BOQs!$L$6</f>
        <v>0</v>
      </c>
      <c r="Z221" s="76"/>
      <c r="AA221" s="37"/>
      <c r="AB221" s="86">
        <f>tbl_Actual_costs_quantities34[[#This Row],[Plastering Painting]]*BOQs!$L$7</f>
        <v>0</v>
      </c>
      <c r="AC221" s="76"/>
      <c r="AD221" s="37"/>
      <c r="AE221" s="86">
        <f>tbl_Actual_costs_quantities34[[#This Row],[Floor Repairs]]*BOQs!$L$8</f>
        <v>0</v>
      </c>
      <c r="AF221" s="76"/>
      <c r="AG221" s="37"/>
      <c r="AH221" s="86">
        <f>tbl_Actual_costs_quantities34[[#This Row],[Doors Replacement Repair]]*BOQs!$L$9</f>
        <v>0</v>
      </c>
      <c r="AI221" s="76"/>
      <c r="AJ221" s="37"/>
      <c r="AK221" s="86">
        <f>tbl_Actual_costs_quantities34[[#This Row],[Windows Replacement Repair]]*BOQs!$L$10</f>
        <v>0</v>
      </c>
      <c r="AL221" s="76"/>
      <c r="AM221" s="37"/>
      <c r="AN221" s="86">
        <f>tbl_Actual_costs_quantities34[[#This Row],[Bathroom Rehabilitation]]*BOQs!$L$11</f>
        <v>0</v>
      </c>
      <c r="AO221" s="76"/>
      <c r="AP221" s="37"/>
      <c r="AQ221" s="86">
        <f>tbl_Actual_costs_quantities34[[#This Row],[Ceramic Tile Works WASH]]*BOQs!$L$12</f>
        <v>0</v>
      </c>
      <c r="AR221" s="76"/>
      <c r="AS221" s="37"/>
      <c r="AT221" s="86">
        <f>tbl_Actual_costs_quantities34[[#This Row],[Electrical Repairs Lighting]]*BOQs!$L$13</f>
        <v>0</v>
      </c>
      <c r="AU221" s="76"/>
      <c r="AV221" s="37"/>
      <c r="AW221" s="86">
        <f>tbl_Actual_costs_quantities34[[#This Row],[Roof Insulation Leak Sealing]]*BOQs!$L$14</f>
        <v>0</v>
      </c>
      <c r="AX221" s="76"/>
      <c r="AY221" s="37"/>
      <c r="AZ221" s="86">
        <f>tbl_Actual_costs_quantities34[[#This Row],[Chimney Duct Cleaning Repair]]*BOQs!$L$15</f>
        <v>0</v>
      </c>
      <c r="BA221" s="76"/>
      <c r="BB221" s="37"/>
      <c r="BC221" s="89">
        <f>tbl_Actual_costs_quantities34[[#This Row],[Accessibility Adaptations]]*BOQs!$L$16</f>
        <v>0</v>
      </c>
      <c r="BD221" s="41"/>
      <c r="BE221" s="37"/>
      <c r="BF221" s="37"/>
    </row>
    <row r="222" spans="2:58" ht="25.15" customHeight="1" x14ac:dyDescent="0.25">
      <c r="B222" s="49">
        <v>218</v>
      </c>
      <c r="C222" s="37"/>
      <c r="D222" s="41"/>
      <c r="E222" s="40"/>
      <c r="F222" s="87" t="str">
        <f>IF(tbl_Actual_costs_quantities34[[#This Row],[House Code]]&lt;&gt;"",INDEX(tbl_Assessment[],MATCH(tbl_Actual_costs_quantities34[[#This Row],[House Code]],tbl_Assessment[House Code],0),3),"")</f>
        <v/>
      </c>
      <c r="G222" s="116" t="str">
        <f>IF(tbl_Actual_costs_quantities34[[#This Row],[House Code]]&lt;&gt;"",INDEX(tbl_Assessment[],MATCH(tbl_Actual_costs_quantities34[[#This Row],[House Code]],tbl_Assessment[House Code],0),9),"")</f>
        <v/>
      </c>
      <c r="H222" s="41"/>
      <c r="I222" s="41"/>
      <c r="J222" s="41"/>
      <c r="K222" s="116"/>
      <c r="L222" s="117" t="str">
        <f>IF(tbl_Actual_costs_quantities34[[#This Row],[House Code]]&lt;&gt;"",tbl_Actual_costs_quantities34[[#This Row],[Total cost]]/INDEX(tbl_estimated_costs_quantities[],MATCH(tbl_Actual_costs_quantities34[[#This Row],[House Code]],tbl_estimated_costs_quantities[House Code],0),7),"")</f>
        <v/>
      </c>
      <c r="M22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2" s="75"/>
      <c r="O222" s="37"/>
      <c r="P222" s="86">
        <f>tbl_Actual_costs_quantities34[[#This Row],[Site Preparation]]*BOQs!$L$3</f>
        <v>0</v>
      </c>
      <c r="Q222" s="76"/>
      <c r="R222" s="37"/>
      <c r="S222" s="86">
        <f>tbl_Actual_costs_quantities34[[#This Row],[Demolition Removal Unsafe Structures]]*BOQs!$L$4</f>
        <v>0</v>
      </c>
      <c r="T222" s="76"/>
      <c r="U222" s="37"/>
      <c r="V222" s="86">
        <f>tbl_Actual_costs_quantities34[[#This Row],[Concrete Works]]*BOQs!$L$5</f>
        <v>0</v>
      </c>
      <c r="W222" s="76"/>
      <c r="X222" s="37"/>
      <c r="Y222" s="86">
        <f>tbl_Actual_costs_quantities34[[#This Row],[Closure External Openings Walls Windows]]*BOQs!$L$6</f>
        <v>0</v>
      </c>
      <c r="Z222" s="76"/>
      <c r="AA222" s="37"/>
      <c r="AB222" s="86">
        <f>tbl_Actual_costs_quantities34[[#This Row],[Plastering Painting]]*BOQs!$L$7</f>
        <v>0</v>
      </c>
      <c r="AC222" s="76"/>
      <c r="AD222" s="37"/>
      <c r="AE222" s="86">
        <f>tbl_Actual_costs_quantities34[[#This Row],[Floor Repairs]]*BOQs!$L$8</f>
        <v>0</v>
      </c>
      <c r="AF222" s="76"/>
      <c r="AG222" s="37"/>
      <c r="AH222" s="86">
        <f>tbl_Actual_costs_quantities34[[#This Row],[Doors Replacement Repair]]*BOQs!$L$9</f>
        <v>0</v>
      </c>
      <c r="AI222" s="76"/>
      <c r="AJ222" s="37"/>
      <c r="AK222" s="86">
        <f>tbl_Actual_costs_quantities34[[#This Row],[Windows Replacement Repair]]*BOQs!$L$10</f>
        <v>0</v>
      </c>
      <c r="AL222" s="76"/>
      <c r="AM222" s="37"/>
      <c r="AN222" s="86">
        <f>tbl_Actual_costs_quantities34[[#This Row],[Bathroom Rehabilitation]]*BOQs!$L$11</f>
        <v>0</v>
      </c>
      <c r="AO222" s="76"/>
      <c r="AP222" s="37"/>
      <c r="AQ222" s="86">
        <f>tbl_Actual_costs_quantities34[[#This Row],[Ceramic Tile Works WASH]]*BOQs!$L$12</f>
        <v>0</v>
      </c>
      <c r="AR222" s="76"/>
      <c r="AS222" s="37"/>
      <c r="AT222" s="86">
        <f>tbl_Actual_costs_quantities34[[#This Row],[Electrical Repairs Lighting]]*BOQs!$L$13</f>
        <v>0</v>
      </c>
      <c r="AU222" s="76"/>
      <c r="AV222" s="37"/>
      <c r="AW222" s="86">
        <f>tbl_Actual_costs_quantities34[[#This Row],[Roof Insulation Leak Sealing]]*BOQs!$L$14</f>
        <v>0</v>
      </c>
      <c r="AX222" s="76"/>
      <c r="AY222" s="37"/>
      <c r="AZ222" s="86">
        <f>tbl_Actual_costs_quantities34[[#This Row],[Chimney Duct Cleaning Repair]]*BOQs!$L$15</f>
        <v>0</v>
      </c>
      <c r="BA222" s="76"/>
      <c r="BB222" s="37"/>
      <c r="BC222" s="89">
        <f>tbl_Actual_costs_quantities34[[#This Row],[Accessibility Adaptations]]*BOQs!$L$16</f>
        <v>0</v>
      </c>
      <c r="BD222" s="41"/>
      <c r="BE222" s="37"/>
      <c r="BF222" s="37"/>
    </row>
    <row r="223" spans="2:58" ht="25.15" customHeight="1" x14ac:dyDescent="0.25">
      <c r="B223" s="49">
        <v>219</v>
      </c>
      <c r="C223" s="37"/>
      <c r="D223" s="41"/>
      <c r="E223" s="40"/>
      <c r="F223" s="87" t="str">
        <f>IF(tbl_Actual_costs_quantities34[[#This Row],[House Code]]&lt;&gt;"",INDEX(tbl_Assessment[],MATCH(tbl_Actual_costs_quantities34[[#This Row],[House Code]],tbl_Assessment[House Code],0),3),"")</f>
        <v/>
      </c>
      <c r="G223" s="116" t="str">
        <f>IF(tbl_Actual_costs_quantities34[[#This Row],[House Code]]&lt;&gt;"",INDEX(tbl_Assessment[],MATCH(tbl_Actual_costs_quantities34[[#This Row],[House Code]],tbl_Assessment[House Code],0),9),"")</f>
        <v/>
      </c>
      <c r="H223" s="41"/>
      <c r="I223" s="41"/>
      <c r="J223" s="41"/>
      <c r="K223" s="116"/>
      <c r="L223" s="117" t="str">
        <f>IF(tbl_Actual_costs_quantities34[[#This Row],[House Code]]&lt;&gt;"",tbl_Actual_costs_quantities34[[#This Row],[Total cost]]/INDEX(tbl_estimated_costs_quantities[],MATCH(tbl_Actual_costs_quantities34[[#This Row],[House Code]],tbl_estimated_costs_quantities[House Code],0),7),"")</f>
        <v/>
      </c>
      <c r="M22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3" s="75"/>
      <c r="O223" s="37"/>
      <c r="P223" s="86">
        <f>tbl_Actual_costs_quantities34[[#This Row],[Site Preparation]]*BOQs!$L$3</f>
        <v>0</v>
      </c>
      <c r="Q223" s="76"/>
      <c r="R223" s="37"/>
      <c r="S223" s="86">
        <f>tbl_Actual_costs_quantities34[[#This Row],[Demolition Removal Unsafe Structures]]*BOQs!$L$4</f>
        <v>0</v>
      </c>
      <c r="T223" s="76"/>
      <c r="U223" s="37"/>
      <c r="V223" s="86">
        <f>tbl_Actual_costs_quantities34[[#This Row],[Concrete Works]]*BOQs!$L$5</f>
        <v>0</v>
      </c>
      <c r="W223" s="76"/>
      <c r="X223" s="37"/>
      <c r="Y223" s="86">
        <f>tbl_Actual_costs_quantities34[[#This Row],[Closure External Openings Walls Windows]]*BOQs!$L$6</f>
        <v>0</v>
      </c>
      <c r="Z223" s="76"/>
      <c r="AA223" s="37"/>
      <c r="AB223" s="86">
        <f>tbl_Actual_costs_quantities34[[#This Row],[Plastering Painting]]*BOQs!$L$7</f>
        <v>0</v>
      </c>
      <c r="AC223" s="76"/>
      <c r="AD223" s="37"/>
      <c r="AE223" s="86">
        <f>tbl_Actual_costs_quantities34[[#This Row],[Floor Repairs]]*BOQs!$L$8</f>
        <v>0</v>
      </c>
      <c r="AF223" s="76"/>
      <c r="AG223" s="37"/>
      <c r="AH223" s="86">
        <f>tbl_Actual_costs_quantities34[[#This Row],[Doors Replacement Repair]]*BOQs!$L$9</f>
        <v>0</v>
      </c>
      <c r="AI223" s="76"/>
      <c r="AJ223" s="37"/>
      <c r="AK223" s="86">
        <f>tbl_Actual_costs_quantities34[[#This Row],[Windows Replacement Repair]]*BOQs!$L$10</f>
        <v>0</v>
      </c>
      <c r="AL223" s="76"/>
      <c r="AM223" s="37"/>
      <c r="AN223" s="86">
        <f>tbl_Actual_costs_quantities34[[#This Row],[Bathroom Rehabilitation]]*BOQs!$L$11</f>
        <v>0</v>
      </c>
      <c r="AO223" s="76"/>
      <c r="AP223" s="37"/>
      <c r="AQ223" s="86">
        <f>tbl_Actual_costs_quantities34[[#This Row],[Ceramic Tile Works WASH]]*BOQs!$L$12</f>
        <v>0</v>
      </c>
      <c r="AR223" s="76"/>
      <c r="AS223" s="37"/>
      <c r="AT223" s="86">
        <f>tbl_Actual_costs_quantities34[[#This Row],[Electrical Repairs Lighting]]*BOQs!$L$13</f>
        <v>0</v>
      </c>
      <c r="AU223" s="76"/>
      <c r="AV223" s="37"/>
      <c r="AW223" s="86">
        <f>tbl_Actual_costs_quantities34[[#This Row],[Roof Insulation Leak Sealing]]*BOQs!$L$14</f>
        <v>0</v>
      </c>
      <c r="AX223" s="76"/>
      <c r="AY223" s="37"/>
      <c r="AZ223" s="86">
        <f>tbl_Actual_costs_quantities34[[#This Row],[Chimney Duct Cleaning Repair]]*BOQs!$L$15</f>
        <v>0</v>
      </c>
      <c r="BA223" s="76"/>
      <c r="BB223" s="37"/>
      <c r="BC223" s="89">
        <f>tbl_Actual_costs_quantities34[[#This Row],[Accessibility Adaptations]]*BOQs!$L$16</f>
        <v>0</v>
      </c>
      <c r="BD223" s="41"/>
      <c r="BE223" s="37"/>
      <c r="BF223" s="37"/>
    </row>
    <row r="224" spans="2:58" ht="25.15" customHeight="1" x14ac:dyDescent="0.25">
      <c r="B224" s="49">
        <v>220</v>
      </c>
      <c r="C224" s="37"/>
      <c r="D224" s="41"/>
      <c r="E224" s="40"/>
      <c r="F224" s="87" t="str">
        <f>IF(tbl_Actual_costs_quantities34[[#This Row],[House Code]]&lt;&gt;"",INDEX(tbl_Assessment[],MATCH(tbl_Actual_costs_quantities34[[#This Row],[House Code]],tbl_Assessment[House Code],0),3),"")</f>
        <v/>
      </c>
      <c r="G224" s="116" t="str">
        <f>IF(tbl_Actual_costs_quantities34[[#This Row],[House Code]]&lt;&gt;"",INDEX(tbl_Assessment[],MATCH(tbl_Actual_costs_quantities34[[#This Row],[House Code]],tbl_Assessment[House Code],0),9),"")</f>
        <v/>
      </c>
      <c r="H224" s="41"/>
      <c r="I224" s="41"/>
      <c r="J224" s="41"/>
      <c r="K224" s="116"/>
      <c r="L224" s="117" t="str">
        <f>IF(tbl_Actual_costs_quantities34[[#This Row],[House Code]]&lt;&gt;"",tbl_Actual_costs_quantities34[[#This Row],[Total cost]]/INDEX(tbl_estimated_costs_quantities[],MATCH(tbl_Actual_costs_quantities34[[#This Row],[House Code]],tbl_estimated_costs_quantities[House Code],0),7),"")</f>
        <v/>
      </c>
      <c r="M22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4" s="75"/>
      <c r="O224" s="37"/>
      <c r="P224" s="86">
        <f>tbl_Actual_costs_quantities34[[#This Row],[Site Preparation]]*BOQs!$L$3</f>
        <v>0</v>
      </c>
      <c r="Q224" s="76"/>
      <c r="R224" s="37"/>
      <c r="S224" s="86">
        <f>tbl_Actual_costs_quantities34[[#This Row],[Demolition Removal Unsafe Structures]]*BOQs!$L$4</f>
        <v>0</v>
      </c>
      <c r="T224" s="76"/>
      <c r="U224" s="37"/>
      <c r="V224" s="86">
        <f>tbl_Actual_costs_quantities34[[#This Row],[Concrete Works]]*BOQs!$L$5</f>
        <v>0</v>
      </c>
      <c r="W224" s="76"/>
      <c r="X224" s="37"/>
      <c r="Y224" s="86">
        <f>tbl_Actual_costs_quantities34[[#This Row],[Closure External Openings Walls Windows]]*BOQs!$L$6</f>
        <v>0</v>
      </c>
      <c r="Z224" s="76"/>
      <c r="AA224" s="37"/>
      <c r="AB224" s="86">
        <f>tbl_Actual_costs_quantities34[[#This Row],[Plastering Painting]]*BOQs!$L$7</f>
        <v>0</v>
      </c>
      <c r="AC224" s="76"/>
      <c r="AD224" s="37"/>
      <c r="AE224" s="86">
        <f>tbl_Actual_costs_quantities34[[#This Row],[Floor Repairs]]*BOQs!$L$8</f>
        <v>0</v>
      </c>
      <c r="AF224" s="76"/>
      <c r="AG224" s="37"/>
      <c r="AH224" s="86">
        <f>tbl_Actual_costs_quantities34[[#This Row],[Doors Replacement Repair]]*BOQs!$L$9</f>
        <v>0</v>
      </c>
      <c r="AI224" s="76"/>
      <c r="AJ224" s="37"/>
      <c r="AK224" s="86">
        <f>tbl_Actual_costs_quantities34[[#This Row],[Windows Replacement Repair]]*BOQs!$L$10</f>
        <v>0</v>
      </c>
      <c r="AL224" s="76"/>
      <c r="AM224" s="37"/>
      <c r="AN224" s="86">
        <f>tbl_Actual_costs_quantities34[[#This Row],[Bathroom Rehabilitation]]*BOQs!$L$11</f>
        <v>0</v>
      </c>
      <c r="AO224" s="76"/>
      <c r="AP224" s="37"/>
      <c r="AQ224" s="86">
        <f>tbl_Actual_costs_quantities34[[#This Row],[Ceramic Tile Works WASH]]*BOQs!$L$12</f>
        <v>0</v>
      </c>
      <c r="AR224" s="76"/>
      <c r="AS224" s="37"/>
      <c r="AT224" s="86">
        <f>tbl_Actual_costs_quantities34[[#This Row],[Electrical Repairs Lighting]]*BOQs!$L$13</f>
        <v>0</v>
      </c>
      <c r="AU224" s="76"/>
      <c r="AV224" s="37"/>
      <c r="AW224" s="86">
        <f>tbl_Actual_costs_quantities34[[#This Row],[Roof Insulation Leak Sealing]]*BOQs!$L$14</f>
        <v>0</v>
      </c>
      <c r="AX224" s="76"/>
      <c r="AY224" s="37"/>
      <c r="AZ224" s="86">
        <f>tbl_Actual_costs_quantities34[[#This Row],[Chimney Duct Cleaning Repair]]*BOQs!$L$15</f>
        <v>0</v>
      </c>
      <c r="BA224" s="76"/>
      <c r="BB224" s="37"/>
      <c r="BC224" s="89">
        <f>tbl_Actual_costs_quantities34[[#This Row],[Accessibility Adaptations]]*BOQs!$L$16</f>
        <v>0</v>
      </c>
      <c r="BD224" s="41"/>
      <c r="BE224" s="37"/>
      <c r="BF224" s="37"/>
    </row>
    <row r="225" spans="2:58" ht="25.15" customHeight="1" x14ac:dyDescent="0.25">
      <c r="B225" s="49">
        <v>221</v>
      </c>
      <c r="C225" s="37"/>
      <c r="D225" s="41"/>
      <c r="E225" s="40"/>
      <c r="F225" s="87" t="str">
        <f>IF(tbl_Actual_costs_quantities34[[#This Row],[House Code]]&lt;&gt;"",INDEX(tbl_Assessment[],MATCH(tbl_Actual_costs_quantities34[[#This Row],[House Code]],tbl_Assessment[House Code],0),3),"")</f>
        <v/>
      </c>
      <c r="G225" s="116" t="str">
        <f>IF(tbl_Actual_costs_quantities34[[#This Row],[House Code]]&lt;&gt;"",INDEX(tbl_Assessment[],MATCH(tbl_Actual_costs_quantities34[[#This Row],[House Code]],tbl_Assessment[House Code],0),9),"")</f>
        <v/>
      </c>
      <c r="H225" s="41"/>
      <c r="I225" s="41"/>
      <c r="J225" s="41"/>
      <c r="K225" s="116"/>
      <c r="L225" s="117" t="str">
        <f>IF(tbl_Actual_costs_quantities34[[#This Row],[House Code]]&lt;&gt;"",tbl_Actual_costs_quantities34[[#This Row],[Total cost]]/INDEX(tbl_estimated_costs_quantities[],MATCH(tbl_Actual_costs_quantities34[[#This Row],[House Code]],tbl_estimated_costs_quantities[House Code],0),7),"")</f>
        <v/>
      </c>
      <c r="M22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5" s="75"/>
      <c r="O225" s="37"/>
      <c r="P225" s="86">
        <f>tbl_Actual_costs_quantities34[[#This Row],[Site Preparation]]*BOQs!$L$3</f>
        <v>0</v>
      </c>
      <c r="Q225" s="76"/>
      <c r="R225" s="37"/>
      <c r="S225" s="86">
        <f>tbl_Actual_costs_quantities34[[#This Row],[Demolition Removal Unsafe Structures]]*BOQs!$L$4</f>
        <v>0</v>
      </c>
      <c r="T225" s="76"/>
      <c r="U225" s="37"/>
      <c r="V225" s="86">
        <f>tbl_Actual_costs_quantities34[[#This Row],[Concrete Works]]*BOQs!$L$5</f>
        <v>0</v>
      </c>
      <c r="W225" s="76"/>
      <c r="X225" s="37"/>
      <c r="Y225" s="86">
        <f>tbl_Actual_costs_quantities34[[#This Row],[Closure External Openings Walls Windows]]*BOQs!$L$6</f>
        <v>0</v>
      </c>
      <c r="Z225" s="76"/>
      <c r="AA225" s="37"/>
      <c r="AB225" s="86">
        <f>tbl_Actual_costs_quantities34[[#This Row],[Plastering Painting]]*BOQs!$L$7</f>
        <v>0</v>
      </c>
      <c r="AC225" s="76"/>
      <c r="AD225" s="37"/>
      <c r="AE225" s="86">
        <f>tbl_Actual_costs_quantities34[[#This Row],[Floor Repairs]]*BOQs!$L$8</f>
        <v>0</v>
      </c>
      <c r="AF225" s="76"/>
      <c r="AG225" s="37"/>
      <c r="AH225" s="86">
        <f>tbl_Actual_costs_quantities34[[#This Row],[Doors Replacement Repair]]*BOQs!$L$9</f>
        <v>0</v>
      </c>
      <c r="AI225" s="76"/>
      <c r="AJ225" s="37"/>
      <c r="AK225" s="86">
        <f>tbl_Actual_costs_quantities34[[#This Row],[Windows Replacement Repair]]*BOQs!$L$10</f>
        <v>0</v>
      </c>
      <c r="AL225" s="76"/>
      <c r="AM225" s="37"/>
      <c r="AN225" s="86">
        <f>tbl_Actual_costs_quantities34[[#This Row],[Bathroom Rehabilitation]]*BOQs!$L$11</f>
        <v>0</v>
      </c>
      <c r="AO225" s="76"/>
      <c r="AP225" s="37"/>
      <c r="AQ225" s="86">
        <f>tbl_Actual_costs_quantities34[[#This Row],[Ceramic Tile Works WASH]]*BOQs!$L$12</f>
        <v>0</v>
      </c>
      <c r="AR225" s="76"/>
      <c r="AS225" s="37"/>
      <c r="AT225" s="86">
        <f>tbl_Actual_costs_quantities34[[#This Row],[Electrical Repairs Lighting]]*BOQs!$L$13</f>
        <v>0</v>
      </c>
      <c r="AU225" s="76"/>
      <c r="AV225" s="37"/>
      <c r="AW225" s="86">
        <f>tbl_Actual_costs_quantities34[[#This Row],[Roof Insulation Leak Sealing]]*BOQs!$L$14</f>
        <v>0</v>
      </c>
      <c r="AX225" s="76"/>
      <c r="AY225" s="37"/>
      <c r="AZ225" s="86">
        <f>tbl_Actual_costs_quantities34[[#This Row],[Chimney Duct Cleaning Repair]]*BOQs!$L$15</f>
        <v>0</v>
      </c>
      <c r="BA225" s="76"/>
      <c r="BB225" s="37"/>
      <c r="BC225" s="89">
        <f>tbl_Actual_costs_quantities34[[#This Row],[Accessibility Adaptations]]*BOQs!$L$16</f>
        <v>0</v>
      </c>
      <c r="BD225" s="41"/>
      <c r="BE225" s="37"/>
      <c r="BF225" s="37"/>
    </row>
    <row r="226" spans="2:58" ht="25.15" customHeight="1" x14ac:dyDescent="0.25">
      <c r="B226" s="49">
        <v>222</v>
      </c>
      <c r="C226" s="37"/>
      <c r="D226" s="41"/>
      <c r="E226" s="40"/>
      <c r="F226" s="87" t="str">
        <f>IF(tbl_Actual_costs_quantities34[[#This Row],[House Code]]&lt;&gt;"",INDEX(tbl_Assessment[],MATCH(tbl_Actual_costs_quantities34[[#This Row],[House Code]],tbl_Assessment[House Code],0),3),"")</f>
        <v/>
      </c>
      <c r="G226" s="116" t="str">
        <f>IF(tbl_Actual_costs_quantities34[[#This Row],[House Code]]&lt;&gt;"",INDEX(tbl_Assessment[],MATCH(tbl_Actual_costs_quantities34[[#This Row],[House Code]],tbl_Assessment[House Code],0),9),"")</f>
        <v/>
      </c>
      <c r="H226" s="41"/>
      <c r="I226" s="41"/>
      <c r="J226" s="41"/>
      <c r="K226" s="116"/>
      <c r="L226" s="117" t="str">
        <f>IF(tbl_Actual_costs_quantities34[[#This Row],[House Code]]&lt;&gt;"",tbl_Actual_costs_quantities34[[#This Row],[Total cost]]/INDEX(tbl_estimated_costs_quantities[],MATCH(tbl_Actual_costs_quantities34[[#This Row],[House Code]],tbl_estimated_costs_quantities[House Code],0),7),"")</f>
        <v/>
      </c>
      <c r="M22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6" s="75"/>
      <c r="O226" s="37"/>
      <c r="P226" s="86">
        <f>tbl_Actual_costs_quantities34[[#This Row],[Site Preparation]]*BOQs!$L$3</f>
        <v>0</v>
      </c>
      <c r="Q226" s="76"/>
      <c r="R226" s="37"/>
      <c r="S226" s="86">
        <f>tbl_Actual_costs_quantities34[[#This Row],[Demolition Removal Unsafe Structures]]*BOQs!$L$4</f>
        <v>0</v>
      </c>
      <c r="T226" s="76"/>
      <c r="U226" s="37"/>
      <c r="V226" s="86">
        <f>tbl_Actual_costs_quantities34[[#This Row],[Concrete Works]]*BOQs!$L$5</f>
        <v>0</v>
      </c>
      <c r="W226" s="76"/>
      <c r="X226" s="37"/>
      <c r="Y226" s="86">
        <f>tbl_Actual_costs_quantities34[[#This Row],[Closure External Openings Walls Windows]]*BOQs!$L$6</f>
        <v>0</v>
      </c>
      <c r="Z226" s="76"/>
      <c r="AA226" s="37"/>
      <c r="AB226" s="86">
        <f>tbl_Actual_costs_quantities34[[#This Row],[Plastering Painting]]*BOQs!$L$7</f>
        <v>0</v>
      </c>
      <c r="AC226" s="76"/>
      <c r="AD226" s="37"/>
      <c r="AE226" s="86">
        <f>tbl_Actual_costs_quantities34[[#This Row],[Floor Repairs]]*BOQs!$L$8</f>
        <v>0</v>
      </c>
      <c r="AF226" s="76"/>
      <c r="AG226" s="37"/>
      <c r="AH226" s="86">
        <f>tbl_Actual_costs_quantities34[[#This Row],[Doors Replacement Repair]]*BOQs!$L$9</f>
        <v>0</v>
      </c>
      <c r="AI226" s="76"/>
      <c r="AJ226" s="37"/>
      <c r="AK226" s="86">
        <f>tbl_Actual_costs_quantities34[[#This Row],[Windows Replacement Repair]]*BOQs!$L$10</f>
        <v>0</v>
      </c>
      <c r="AL226" s="76"/>
      <c r="AM226" s="37"/>
      <c r="AN226" s="86">
        <f>tbl_Actual_costs_quantities34[[#This Row],[Bathroom Rehabilitation]]*BOQs!$L$11</f>
        <v>0</v>
      </c>
      <c r="AO226" s="76"/>
      <c r="AP226" s="37"/>
      <c r="AQ226" s="86">
        <f>tbl_Actual_costs_quantities34[[#This Row],[Ceramic Tile Works WASH]]*BOQs!$L$12</f>
        <v>0</v>
      </c>
      <c r="AR226" s="76"/>
      <c r="AS226" s="37"/>
      <c r="AT226" s="86">
        <f>tbl_Actual_costs_quantities34[[#This Row],[Electrical Repairs Lighting]]*BOQs!$L$13</f>
        <v>0</v>
      </c>
      <c r="AU226" s="76"/>
      <c r="AV226" s="37"/>
      <c r="AW226" s="86">
        <f>tbl_Actual_costs_quantities34[[#This Row],[Roof Insulation Leak Sealing]]*BOQs!$L$14</f>
        <v>0</v>
      </c>
      <c r="AX226" s="76"/>
      <c r="AY226" s="37"/>
      <c r="AZ226" s="86">
        <f>tbl_Actual_costs_quantities34[[#This Row],[Chimney Duct Cleaning Repair]]*BOQs!$L$15</f>
        <v>0</v>
      </c>
      <c r="BA226" s="76"/>
      <c r="BB226" s="37"/>
      <c r="BC226" s="89">
        <f>tbl_Actual_costs_quantities34[[#This Row],[Accessibility Adaptations]]*BOQs!$L$16</f>
        <v>0</v>
      </c>
      <c r="BD226" s="41"/>
      <c r="BE226" s="37"/>
      <c r="BF226" s="37"/>
    </row>
    <row r="227" spans="2:58" ht="25.15" customHeight="1" x14ac:dyDescent="0.25">
      <c r="B227" s="49">
        <v>223</v>
      </c>
      <c r="C227" s="37"/>
      <c r="D227" s="41"/>
      <c r="E227" s="40"/>
      <c r="F227" s="87" t="str">
        <f>IF(tbl_Actual_costs_quantities34[[#This Row],[House Code]]&lt;&gt;"",INDEX(tbl_Assessment[],MATCH(tbl_Actual_costs_quantities34[[#This Row],[House Code]],tbl_Assessment[House Code],0),3),"")</f>
        <v/>
      </c>
      <c r="G227" s="116" t="str">
        <f>IF(tbl_Actual_costs_quantities34[[#This Row],[House Code]]&lt;&gt;"",INDEX(tbl_Assessment[],MATCH(tbl_Actual_costs_quantities34[[#This Row],[House Code]],tbl_Assessment[House Code],0),9),"")</f>
        <v/>
      </c>
      <c r="H227" s="41"/>
      <c r="I227" s="41"/>
      <c r="J227" s="41"/>
      <c r="K227" s="116"/>
      <c r="L227" s="117" t="str">
        <f>IF(tbl_Actual_costs_quantities34[[#This Row],[House Code]]&lt;&gt;"",tbl_Actual_costs_quantities34[[#This Row],[Total cost]]/INDEX(tbl_estimated_costs_quantities[],MATCH(tbl_Actual_costs_quantities34[[#This Row],[House Code]],tbl_estimated_costs_quantities[House Code],0),7),"")</f>
        <v/>
      </c>
      <c r="M22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7" s="75"/>
      <c r="O227" s="37"/>
      <c r="P227" s="86">
        <f>tbl_Actual_costs_quantities34[[#This Row],[Site Preparation]]*BOQs!$L$3</f>
        <v>0</v>
      </c>
      <c r="Q227" s="76"/>
      <c r="R227" s="37"/>
      <c r="S227" s="86">
        <f>tbl_Actual_costs_quantities34[[#This Row],[Demolition Removal Unsafe Structures]]*BOQs!$L$4</f>
        <v>0</v>
      </c>
      <c r="T227" s="76"/>
      <c r="U227" s="37"/>
      <c r="V227" s="86">
        <f>tbl_Actual_costs_quantities34[[#This Row],[Concrete Works]]*BOQs!$L$5</f>
        <v>0</v>
      </c>
      <c r="W227" s="76"/>
      <c r="X227" s="37"/>
      <c r="Y227" s="86">
        <f>tbl_Actual_costs_quantities34[[#This Row],[Closure External Openings Walls Windows]]*BOQs!$L$6</f>
        <v>0</v>
      </c>
      <c r="Z227" s="76"/>
      <c r="AA227" s="37"/>
      <c r="AB227" s="86">
        <f>tbl_Actual_costs_quantities34[[#This Row],[Plastering Painting]]*BOQs!$L$7</f>
        <v>0</v>
      </c>
      <c r="AC227" s="76"/>
      <c r="AD227" s="37"/>
      <c r="AE227" s="86">
        <f>tbl_Actual_costs_quantities34[[#This Row],[Floor Repairs]]*BOQs!$L$8</f>
        <v>0</v>
      </c>
      <c r="AF227" s="76"/>
      <c r="AG227" s="37"/>
      <c r="AH227" s="86">
        <f>tbl_Actual_costs_quantities34[[#This Row],[Doors Replacement Repair]]*BOQs!$L$9</f>
        <v>0</v>
      </c>
      <c r="AI227" s="76"/>
      <c r="AJ227" s="37"/>
      <c r="AK227" s="86">
        <f>tbl_Actual_costs_quantities34[[#This Row],[Windows Replacement Repair]]*BOQs!$L$10</f>
        <v>0</v>
      </c>
      <c r="AL227" s="76"/>
      <c r="AM227" s="37"/>
      <c r="AN227" s="86">
        <f>tbl_Actual_costs_quantities34[[#This Row],[Bathroom Rehabilitation]]*BOQs!$L$11</f>
        <v>0</v>
      </c>
      <c r="AO227" s="76"/>
      <c r="AP227" s="37"/>
      <c r="AQ227" s="86">
        <f>tbl_Actual_costs_quantities34[[#This Row],[Ceramic Tile Works WASH]]*BOQs!$L$12</f>
        <v>0</v>
      </c>
      <c r="AR227" s="76"/>
      <c r="AS227" s="37"/>
      <c r="AT227" s="86">
        <f>tbl_Actual_costs_quantities34[[#This Row],[Electrical Repairs Lighting]]*BOQs!$L$13</f>
        <v>0</v>
      </c>
      <c r="AU227" s="76"/>
      <c r="AV227" s="37"/>
      <c r="AW227" s="86">
        <f>tbl_Actual_costs_quantities34[[#This Row],[Roof Insulation Leak Sealing]]*BOQs!$L$14</f>
        <v>0</v>
      </c>
      <c r="AX227" s="76"/>
      <c r="AY227" s="37"/>
      <c r="AZ227" s="86">
        <f>tbl_Actual_costs_quantities34[[#This Row],[Chimney Duct Cleaning Repair]]*BOQs!$L$15</f>
        <v>0</v>
      </c>
      <c r="BA227" s="76"/>
      <c r="BB227" s="37"/>
      <c r="BC227" s="89">
        <f>tbl_Actual_costs_quantities34[[#This Row],[Accessibility Adaptations]]*BOQs!$L$16</f>
        <v>0</v>
      </c>
      <c r="BD227" s="41"/>
      <c r="BE227" s="37"/>
      <c r="BF227" s="37"/>
    </row>
    <row r="228" spans="2:58" ht="25.15" customHeight="1" x14ac:dyDescent="0.25">
      <c r="B228" s="49">
        <v>224</v>
      </c>
      <c r="C228" s="37"/>
      <c r="D228" s="41"/>
      <c r="E228" s="40"/>
      <c r="F228" s="87" t="str">
        <f>IF(tbl_Actual_costs_quantities34[[#This Row],[House Code]]&lt;&gt;"",INDEX(tbl_Assessment[],MATCH(tbl_Actual_costs_quantities34[[#This Row],[House Code]],tbl_Assessment[House Code],0),3),"")</f>
        <v/>
      </c>
      <c r="G228" s="116" t="str">
        <f>IF(tbl_Actual_costs_quantities34[[#This Row],[House Code]]&lt;&gt;"",INDEX(tbl_Assessment[],MATCH(tbl_Actual_costs_quantities34[[#This Row],[House Code]],tbl_Assessment[House Code],0),9),"")</f>
        <v/>
      </c>
      <c r="H228" s="41"/>
      <c r="I228" s="41"/>
      <c r="J228" s="41"/>
      <c r="K228" s="116"/>
      <c r="L228" s="117" t="str">
        <f>IF(tbl_Actual_costs_quantities34[[#This Row],[House Code]]&lt;&gt;"",tbl_Actual_costs_quantities34[[#This Row],[Total cost]]/INDEX(tbl_estimated_costs_quantities[],MATCH(tbl_Actual_costs_quantities34[[#This Row],[House Code]],tbl_estimated_costs_quantities[House Code],0),7),"")</f>
        <v/>
      </c>
      <c r="M22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8" s="75"/>
      <c r="O228" s="37"/>
      <c r="P228" s="86">
        <f>tbl_Actual_costs_quantities34[[#This Row],[Site Preparation]]*BOQs!$L$3</f>
        <v>0</v>
      </c>
      <c r="Q228" s="76"/>
      <c r="R228" s="37"/>
      <c r="S228" s="86">
        <f>tbl_Actual_costs_quantities34[[#This Row],[Demolition Removal Unsafe Structures]]*BOQs!$L$4</f>
        <v>0</v>
      </c>
      <c r="T228" s="76"/>
      <c r="U228" s="37"/>
      <c r="V228" s="86">
        <f>tbl_Actual_costs_quantities34[[#This Row],[Concrete Works]]*BOQs!$L$5</f>
        <v>0</v>
      </c>
      <c r="W228" s="76"/>
      <c r="X228" s="37"/>
      <c r="Y228" s="86">
        <f>tbl_Actual_costs_quantities34[[#This Row],[Closure External Openings Walls Windows]]*BOQs!$L$6</f>
        <v>0</v>
      </c>
      <c r="Z228" s="76"/>
      <c r="AA228" s="37"/>
      <c r="AB228" s="86">
        <f>tbl_Actual_costs_quantities34[[#This Row],[Plastering Painting]]*BOQs!$L$7</f>
        <v>0</v>
      </c>
      <c r="AC228" s="76"/>
      <c r="AD228" s="37"/>
      <c r="AE228" s="86">
        <f>tbl_Actual_costs_quantities34[[#This Row],[Floor Repairs]]*BOQs!$L$8</f>
        <v>0</v>
      </c>
      <c r="AF228" s="76"/>
      <c r="AG228" s="37"/>
      <c r="AH228" s="86">
        <f>tbl_Actual_costs_quantities34[[#This Row],[Doors Replacement Repair]]*BOQs!$L$9</f>
        <v>0</v>
      </c>
      <c r="AI228" s="76"/>
      <c r="AJ228" s="37"/>
      <c r="AK228" s="86">
        <f>tbl_Actual_costs_quantities34[[#This Row],[Windows Replacement Repair]]*BOQs!$L$10</f>
        <v>0</v>
      </c>
      <c r="AL228" s="76"/>
      <c r="AM228" s="37"/>
      <c r="AN228" s="86">
        <f>tbl_Actual_costs_quantities34[[#This Row],[Bathroom Rehabilitation]]*BOQs!$L$11</f>
        <v>0</v>
      </c>
      <c r="AO228" s="76"/>
      <c r="AP228" s="37"/>
      <c r="AQ228" s="86">
        <f>tbl_Actual_costs_quantities34[[#This Row],[Ceramic Tile Works WASH]]*BOQs!$L$12</f>
        <v>0</v>
      </c>
      <c r="AR228" s="76"/>
      <c r="AS228" s="37"/>
      <c r="AT228" s="86">
        <f>tbl_Actual_costs_quantities34[[#This Row],[Electrical Repairs Lighting]]*BOQs!$L$13</f>
        <v>0</v>
      </c>
      <c r="AU228" s="76"/>
      <c r="AV228" s="37"/>
      <c r="AW228" s="86">
        <f>tbl_Actual_costs_quantities34[[#This Row],[Roof Insulation Leak Sealing]]*BOQs!$L$14</f>
        <v>0</v>
      </c>
      <c r="AX228" s="76"/>
      <c r="AY228" s="37"/>
      <c r="AZ228" s="86">
        <f>tbl_Actual_costs_quantities34[[#This Row],[Chimney Duct Cleaning Repair]]*BOQs!$L$15</f>
        <v>0</v>
      </c>
      <c r="BA228" s="76"/>
      <c r="BB228" s="37"/>
      <c r="BC228" s="89">
        <f>tbl_Actual_costs_quantities34[[#This Row],[Accessibility Adaptations]]*BOQs!$L$16</f>
        <v>0</v>
      </c>
      <c r="BD228" s="41"/>
      <c r="BE228" s="37"/>
      <c r="BF228" s="37"/>
    </row>
    <row r="229" spans="2:58" ht="25.15" customHeight="1" x14ac:dyDescent="0.25">
      <c r="B229" s="49">
        <v>225</v>
      </c>
      <c r="C229" s="37"/>
      <c r="D229" s="41"/>
      <c r="E229" s="40"/>
      <c r="F229" s="87" t="str">
        <f>IF(tbl_Actual_costs_quantities34[[#This Row],[House Code]]&lt;&gt;"",INDEX(tbl_Assessment[],MATCH(tbl_Actual_costs_quantities34[[#This Row],[House Code]],tbl_Assessment[House Code],0),3),"")</f>
        <v/>
      </c>
      <c r="G229" s="116" t="str">
        <f>IF(tbl_Actual_costs_quantities34[[#This Row],[House Code]]&lt;&gt;"",INDEX(tbl_Assessment[],MATCH(tbl_Actual_costs_quantities34[[#This Row],[House Code]],tbl_Assessment[House Code],0),9),"")</f>
        <v/>
      </c>
      <c r="H229" s="41"/>
      <c r="I229" s="41"/>
      <c r="J229" s="41"/>
      <c r="K229" s="116"/>
      <c r="L229" s="117" t="str">
        <f>IF(tbl_Actual_costs_quantities34[[#This Row],[House Code]]&lt;&gt;"",tbl_Actual_costs_quantities34[[#This Row],[Total cost]]/INDEX(tbl_estimated_costs_quantities[],MATCH(tbl_Actual_costs_quantities34[[#This Row],[House Code]],tbl_estimated_costs_quantities[House Code],0),7),"")</f>
        <v/>
      </c>
      <c r="M22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29" s="75"/>
      <c r="O229" s="37"/>
      <c r="P229" s="86">
        <f>tbl_Actual_costs_quantities34[[#This Row],[Site Preparation]]*BOQs!$L$3</f>
        <v>0</v>
      </c>
      <c r="Q229" s="76"/>
      <c r="R229" s="37"/>
      <c r="S229" s="86">
        <f>tbl_Actual_costs_quantities34[[#This Row],[Demolition Removal Unsafe Structures]]*BOQs!$L$4</f>
        <v>0</v>
      </c>
      <c r="T229" s="76"/>
      <c r="U229" s="37"/>
      <c r="V229" s="86">
        <f>tbl_Actual_costs_quantities34[[#This Row],[Concrete Works]]*BOQs!$L$5</f>
        <v>0</v>
      </c>
      <c r="W229" s="76"/>
      <c r="X229" s="37"/>
      <c r="Y229" s="86">
        <f>tbl_Actual_costs_quantities34[[#This Row],[Closure External Openings Walls Windows]]*BOQs!$L$6</f>
        <v>0</v>
      </c>
      <c r="Z229" s="76"/>
      <c r="AA229" s="37"/>
      <c r="AB229" s="86">
        <f>tbl_Actual_costs_quantities34[[#This Row],[Plastering Painting]]*BOQs!$L$7</f>
        <v>0</v>
      </c>
      <c r="AC229" s="76"/>
      <c r="AD229" s="37"/>
      <c r="AE229" s="86">
        <f>tbl_Actual_costs_quantities34[[#This Row],[Floor Repairs]]*BOQs!$L$8</f>
        <v>0</v>
      </c>
      <c r="AF229" s="76"/>
      <c r="AG229" s="37"/>
      <c r="AH229" s="86">
        <f>tbl_Actual_costs_quantities34[[#This Row],[Doors Replacement Repair]]*BOQs!$L$9</f>
        <v>0</v>
      </c>
      <c r="AI229" s="76"/>
      <c r="AJ229" s="37"/>
      <c r="AK229" s="86">
        <f>tbl_Actual_costs_quantities34[[#This Row],[Windows Replacement Repair]]*BOQs!$L$10</f>
        <v>0</v>
      </c>
      <c r="AL229" s="76"/>
      <c r="AM229" s="37"/>
      <c r="AN229" s="86">
        <f>tbl_Actual_costs_quantities34[[#This Row],[Bathroom Rehabilitation]]*BOQs!$L$11</f>
        <v>0</v>
      </c>
      <c r="AO229" s="76"/>
      <c r="AP229" s="37"/>
      <c r="AQ229" s="86">
        <f>tbl_Actual_costs_quantities34[[#This Row],[Ceramic Tile Works WASH]]*BOQs!$L$12</f>
        <v>0</v>
      </c>
      <c r="AR229" s="76"/>
      <c r="AS229" s="37"/>
      <c r="AT229" s="86">
        <f>tbl_Actual_costs_quantities34[[#This Row],[Electrical Repairs Lighting]]*BOQs!$L$13</f>
        <v>0</v>
      </c>
      <c r="AU229" s="76"/>
      <c r="AV229" s="37"/>
      <c r="AW229" s="86">
        <f>tbl_Actual_costs_quantities34[[#This Row],[Roof Insulation Leak Sealing]]*BOQs!$L$14</f>
        <v>0</v>
      </c>
      <c r="AX229" s="76"/>
      <c r="AY229" s="37"/>
      <c r="AZ229" s="86">
        <f>tbl_Actual_costs_quantities34[[#This Row],[Chimney Duct Cleaning Repair]]*BOQs!$L$15</f>
        <v>0</v>
      </c>
      <c r="BA229" s="76"/>
      <c r="BB229" s="37"/>
      <c r="BC229" s="89">
        <f>tbl_Actual_costs_quantities34[[#This Row],[Accessibility Adaptations]]*BOQs!$L$16</f>
        <v>0</v>
      </c>
      <c r="BD229" s="41"/>
      <c r="BE229" s="37"/>
      <c r="BF229" s="37"/>
    </row>
    <row r="230" spans="2:58" ht="25.15" customHeight="1" x14ac:dyDescent="0.25">
      <c r="B230" s="49">
        <v>226</v>
      </c>
      <c r="C230" s="37"/>
      <c r="D230" s="41"/>
      <c r="E230" s="40"/>
      <c r="F230" s="87" t="str">
        <f>IF(tbl_Actual_costs_quantities34[[#This Row],[House Code]]&lt;&gt;"",INDEX(tbl_Assessment[],MATCH(tbl_Actual_costs_quantities34[[#This Row],[House Code]],tbl_Assessment[House Code],0),3),"")</f>
        <v/>
      </c>
      <c r="G230" s="116" t="str">
        <f>IF(tbl_Actual_costs_quantities34[[#This Row],[House Code]]&lt;&gt;"",INDEX(tbl_Assessment[],MATCH(tbl_Actual_costs_quantities34[[#This Row],[House Code]],tbl_Assessment[House Code],0),9),"")</f>
        <v/>
      </c>
      <c r="H230" s="41"/>
      <c r="I230" s="41"/>
      <c r="J230" s="41"/>
      <c r="K230" s="116"/>
      <c r="L230" s="117" t="str">
        <f>IF(tbl_Actual_costs_quantities34[[#This Row],[House Code]]&lt;&gt;"",tbl_Actual_costs_quantities34[[#This Row],[Total cost]]/INDEX(tbl_estimated_costs_quantities[],MATCH(tbl_Actual_costs_quantities34[[#This Row],[House Code]],tbl_estimated_costs_quantities[House Code],0),7),"")</f>
        <v/>
      </c>
      <c r="M23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0" s="75"/>
      <c r="O230" s="37"/>
      <c r="P230" s="86">
        <f>tbl_Actual_costs_quantities34[[#This Row],[Site Preparation]]*BOQs!$L$3</f>
        <v>0</v>
      </c>
      <c r="Q230" s="76"/>
      <c r="R230" s="37"/>
      <c r="S230" s="86">
        <f>tbl_Actual_costs_quantities34[[#This Row],[Demolition Removal Unsafe Structures]]*BOQs!$L$4</f>
        <v>0</v>
      </c>
      <c r="T230" s="76"/>
      <c r="U230" s="37"/>
      <c r="V230" s="86">
        <f>tbl_Actual_costs_quantities34[[#This Row],[Concrete Works]]*BOQs!$L$5</f>
        <v>0</v>
      </c>
      <c r="W230" s="76"/>
      <c r="X230" s="37"/>
      <c r="Y230" s="86">
        <f>tbl_Actual_costs_quantities34[[#This Row],[Closure External Openings Walls Windows]]*BOQs!$L$6</f>
        <v>0</v>
      </c>
      <c r="Z230" s="76"/>
      <c r="AA230" s="37"/>
      <c r="AB230" s="86">
        <f>tbl_Actual_costs_quantities34[[#This Row],[Plastering Painting]]*BOQs!$L$7</f>
        <v>0</v>
      </c>
      <c r="AC230" s="76"/>
      <c r="AD230" s="37"/>
      <c r="AE230" s="86">
        <f>tbl_Actual_costs_quantities34[[#This Row],[Floor Repairs]]*BOQs!$L$8</f>
        <v>0</v>
      </c>
      <c r="AF230" s="76"/>
      <c r="AG230" s="37"/>
      <c r="AH230" s="86">
        <f>tbl_Actual_costs_quantities34[[#This Row],[Doors Replacement Repair]]*BOQs!$L$9</f>
        <v>0</v>
      </c>
      <c r="AI230" s="76"/>
      <c r="AJ230" s="37"/>
      <c r="AK230" s="86">
        <f>tbl_Actual_costs_quantities34[[#This Row],[Windows Replacement Repair]]*BOQs!$L$10</f>
        <v>0</v>
      </c>
      <c r="AL230" s="76"/>
      <c r="AM230" s="37"/>
      <c r="AN230" s="86">
        <f>tbl_Actual_costs_quantities34[[#This Row],[Bathroom Rehabilitation]]*BOQs!$L$11</f>
        <v>0</v>
      </c>
      <c r="AO230" s="76"/>
      <c r="AP230" s="37"/>
      <c r="AQ230" s="86">
        <f>tbl_Actual_costs_quantities34[[#This Row],[Ceramic Tile Works WASH]]*BOQs!$L$12</f>
        <v>0</v>
      </c>
      <c r="AR230" s="76"/>
      <c r="AS230" s="37"/>
      <c r="AT230" s="86">
        <f>tbl_Actual_costs_quantities34[[#This Row],[Electrical Repairs Lighting]]*BOQs!$L$13</f>
        <v>0</v>
      </c>
      <c r="AU230" s="76"/>
      <c r="AV230" s="37"/>
      <c r="AW230" s="86">
        <f>tbl_Actual_costs_quantities34[[#This Row],[Roof Insulation Leak Sealing]]*BOQs!$L$14</f>
        <v>0</v>
      </c>
      <c r="AX230" s="76"/>
      <c r="AY230" s="37"/>
      <c r="AZ230" s="86">
        <f>tbl_Actual_costs_quantities34[[#This Row],[Chimney Duct Cleaning Repair]]*BOQs!$L$15</f>
        <v>0</v>
      </c>
      <c r="BA230" s="76"/>
      <c r="BB230" s="37"/>
      <c r="BC230" s="89">
        <f>tbl_Actual_costs_quantities34[[#This Row],[Accessibility Adaptations]]*BOQs!$L$16</f>
        <v>0</v>
      </c>
      <c r="BD230" s="41"/>
      <c r="BE230" s="37"/>
      <c r="BF230" s="37"/>
    </row>
    <row r="231" spans="2:58" ht="25.15" customHeight="1" x14ac:dyDescent="0.25">
      <c r="B231" s="49">
        <v>227</v>
      </c>
      <c r="C231" s="37"/>
      <c r="D231" s="41"/>
      <c r="E231" s="40"/>
      <c r="F231" s="87" t="str">
        <f>IF(tbl_Actual_costs_quantities34[[#This Row],[House Code]]&lt;&gt;"",INDEX(tbl_Assessment[],MATCH(tbl_Actual_costs_quantities34[[#This Row],[House Code]],tbl_Assessment[House Code],0),3),"")</f>
        <v/>
      </c>
      <c r="G231" s="116" t="str">
        <f>IF(tbl_Actual_costs_quantities34[[#This Row],[House Code]]&lt;&gt;"",INDEX(tbl_Assessment[],MATCH(tbl_Actual_costs_quantities34[[#This Row],[House Code]],tbl_Assessment[House Code],0),9),"")</f>
        <v/>
      </c>
      <c r="H231" s="41"/>
      <c r="I231" s="41"/>
      <c r="J231" s="41"/>
      <c r="K231" s="116"/>
      <c r="L231" s="117" t="str">
        <f>IF(tbl_Actual_costs_quantities34[[#This Row],[House Code]]&lt;&gt;"",tbl_Actual_costs_quantities34[[#This Row],[Total cost]]/INDEX(tbl_estimated_costs_quantities[],MATCH(tbl_Actual_costs_quantities34[[#This Row],[House Code]],tbl_estimated_costs_quantities[House Code],0),7),"")</f>
        <v/>
      </c>
      <c r="M23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1" s="75"/>
      <c r="O231" s="37"/>
      <c r="P231" s="86">
        <f>tbl_Actual_costs_quantities34[[#This Row],[Site Preparation]]*BOQs!$L$3</f>
        <v>0</v>
      </c>
      <c r="Q231" s="76"/>
      <c r="R231" s="37"/>
      <c r="S231" s="86">
        <f>tbl_Actual_costs_quantities34[[#This Row],[Demolition Removal Unsafe Structures]]*BOQs!$L$4</f>
        <v>0</v>
      </c>
      <c r="T231" s="76"/>
      <c r="U231" s="37"/>
      <c r="V231" s="86">
        <f>tbl_Actual_costs_quantities34[[#This Row],[Concrete Works]]*BOQs!$L$5</f>
        <v>0</v>
      </c>
      <c r="W231" s="76"/>
      <c r="X231" s="37"/>
      <c r="Y231" s="86">
        <f>tbl_Actual_costs_quantities34[[#This Row],[Closure External Openings Walls Windows]]*BOQs!$L$6</f>
        <v>0</v>
      </c>
      <c r="Z231" s="76"/>
      <c r="AA231" s="37"/>
      <c r="AB231" s="86">
        <f>tbl_Actual_costs_quantities34[[#This Row],[Plastering Painting]]*BOQs!$L$7</f>
        <v>0</v>
      </c>
      <c r="AC231" s="76"/>
      <c r="AD231" s="37"/>
      <c r="AE231" s="86">
        <f>tbl_Actual_costs_quantities34[[#This Row],[Floor Repairs]]*BOQs!$L$8</f>
        <v>0</v>
      </c>
      <c r="AF231" s="76"/>
      <c r="AG231" s="37"/>
      <c r="AH231" s="86">
        <f>tbl_Actual_costs_quantities34[[#This Row],[Doors Replacement Repair]]*BOQs!$L$9</f>
        <v>0</v>
      </c>
      <c r="AI231" s="76"/>
      <c r="AJ231" s="37"/>
      <c r="AK231" s="86">
        <f>tbl_Actual_costs_quantities34[[#This Row],[Windows Replacement Repair]]*BOQs!$L$10</f>
        <v>0</v>
      </c>
      <c r="AL231" s="76"/>
      <c r="AM231" s="37"/>
      <c r="AN231" s="86">
        <f>tbl_Actual_costs_quantities34[[#This Row],[Bathroom Rehabilitation]]*BOQs!$L$11</f>
        <v>0</v>
      </c>
      <c r="AO231" s="76"/>
      <c r="AP231" s="37"/>
      <c r="AQ231" s="86">
        <f>tbl_Actual_costs_quantities34[[#This Row],[Ceramic Tile Works WASH]]*BOQs!$L$12</f>
        <v>0</v>
      </c>
      <c r="AR231" s="76"/>
      <c r="AS231" s="37"/>
      <c r="AT231" s="86">
        <f>tbl_Actual_costs_quantities34[[#This Row],[Electrical Repairs Lighting]]*BOQs!$L$13</f>
        <v>0</v>
      </c>
      <c r="AU231" s="76"/>
      <c r="AV231" s="37"/>
      <c r="AW231" s="86">
        <f>tbl_Actual_costs_quantities34[[#This Row],[Roof Insulation Leak Sealing]]*BOQs!$L$14</f>
        <v>0</v>
      </c>
      <c r="AX231" s="76"/>
      <c r="AY231" s="37"/>
      <c r="AZ231" s="86">
        <f>tbl_Actual_costs_quantities34[[#This Row],[Chimney Duct Cleaning Repair]]*BOQs!$L$15</f>
        <v>0</v>
      </c>
      <c r="BA231" s="76"/>
      <c r="BB231" s="37"/>
      <c r="BC231" s="89">
        <f>tbl_Actual_costs_quantities34[[#This Row],[Accessibility Adaptations]]*BOQs!$L$16</f>
        <v>0</v>
      </c>
      <c r="BD231" s="41"/>
      <c r="BE231" s="37"/>
      <c r="BF231" s="37"/>
    </row>
    <row r="232" spans="2:58" ht="25.15" customHeight="1" x14ac:dyDescent="0.25">
      <c r="B232" s="49">
        <v>228</v>
      </c>
      <c r="C232" s="37"/>
      <c r="D232" s="41"/>
      <c r="E232" s="40"/>
      <c r="F232" s="87" t="str">
        <f>IF(tbl_Actual_costs_quantities34[[#This Row],[House Code]]&lt;&gt;"",INDEX(tbl_Assessment[],MATCH(tbl_Actual_costs_quantities34[[#This Row],[House Code]],tbl_Assessment[House Code],0),3),"")</f>
        <v/>
      </c>
      <c r="G232" s="116" t="str">
        <f>IF(tbl_Actual_costs_quantities34[[#This Row],[House Code]]&lt;&gt;"",INDEX(tbl_Assessment[],MATCH(tbl_Actual_costs_quantities34[[#This Row],[House Code]],tbl_Assessment[House Code],0),9),"")</f>
        <v/>
      </c>
      <c r="H232" s="41"/>
      <c r="I232" s="41"/>
      <c r="J232" s="41"/>
      <c r="K232" s="116"/>
      <c r="L232" s="117" t="str">
        <f>IF(tbl_Actual_costs_quantities34[[#This Row],[House Code]]&lt;&gt;"",tbl_Actual_costs_quantities34[[#This Row],[Total cost]]/INDEX(tbl_estimated_costs_quantities[],MATCH(tbl_Actual_costs_quantities34[[#This Row],[House Code]],tbl_estimated_costs_quantities[House Code],0),7),"")</f>
        <v/>
      </c>
      <c r="M23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2" s="75"/>
      <c r="O232" s="37"/>
      <c r="P232" s="86">
        <f>tbl_Actual_costs_quantities34[[#This Row],[Site Preparation]]*BOQs!$L$3</f>
        <v>0</v>
      </c>
      <c r="Q232" s="76"/>
      <c r="R232" s="37"/>
      <c r="S232" s="86">
        <f>tbl_Actual_costs_quantities34[[#This Row],[Demolition Removal Unsafe Structures]]*BOQs!$L$4</f>
        <v>0</v>
      </c>
      <c r="T232" s="76"/>
      <c r="U232" s="37"/>
      <c r="V232" s="86">
        <f>tbl_Actual_costs_quantities34[[#This Row],[Concrete Works]]*BOQs!$L$5</f>
        <v>0</v>
      </c>
      <c r="W232" s="76"/>
      <c r="X232" s="37"/>
      <c r="Y232" s="86">
        <f>tbl_Actual_costs_quantities34[[#This Row],[Closure External Openings Walls Windows]]*BOQs!$L$6</f>
        <v>0</v>
      </c>
      <c r="Z232" s="76"/>
      <c r="AA232" s="37"/>
      <c r="AB232" s="86">
        <f>tbl_Actual_costs_quantities34[[#This Row],[Plastering Painting]]*BOQs!$L$7</f>
        <v>0</v>
      </c>
      <c r="AC232" s="76"/>
      <c r="AD232" s="37"/>
      <c r="AE232" s="86">
        <f>tbl_Actual_costs_quantities34[[#This Row],[Floor Repairs]]*BOQs!$L$8</f>
        <v>0</v>
      </c>
      <c r="AF232" s="76"/>
      <c r="AG232" s="37"/>
      <c r="AH232" s="86">
        <f>tbl_Actual_costs_quantities34[[#This Row],[Doors Replacement Repair]]*BOQs!$L$9</f>
        <v>0</v>
      </c>
      <c r="AI232" s="76"/>
      <c r="AJ232" s="37"/>
      <c r="AK232" s="86">
        <f>tbl_Actual_costs_quantities34[[#This Row],[Windows Replacement Repair]]*BOQs!$L$10</f>
        <v>0</v>
      </c>
      <c r="AL232" s="76"/>
      <c r="AM232" s="37"/>
      <c r="AN232" s="86">
        <f>tbl_Actual_costs_quantities34[[#This Row],[Bathroom Rehabilitation]]*BOQs!$L$11</f>
        <v>0</v>
      </c>
      <c r="AO232" s="76"/>
      <c r="AP232" s="37"/>
      <c r="AQ232" s="86">
        <f>tbl_Actual_costs_quantities34[[#This Row],[Ceramic Tile Works WASH]]*BOQs!$L$12</f>
        <v>0</v>
      </c>
      <c r="AR232" s="76"/>
      <c r="AS232" s="37"/>
      <c r="AT232" s="86">
        <f>tbl_Actual_costs_quantities34[[#This Row],[Electrical Repairs Lighting]]*BOQs!$L$13</f>
        <v>0</v>
      </c>
      <c r="AU232" s="76"/>
      <c r="AV232" s="37"/>
      <c r="AW232" s="86">
        <f>tbl_Actual_costs_quantities34[[#This Row],[Roof Insulation Leak Sealing]]*BOQs!$L$14</f>
        <v>0</v>
      </c>
      <c r="AX232" s="76"/>
      <c r="AY232" s="37"/>
      <c r="AZ232" s="86">
        <f>tbl_Actual_costs_quantities34[[#This Row],[Chimney Duct Cleaning Repair]]*BOQs!$L$15</f>
        <v>0</v>
      </c>
      <c r="BA232" s="76"/>
      <c r="BB232" s="37"/>
      <c r="BC232" s="89">
        <f>tbl_Actual_costs_quantities34[[#This Row],[Accessibility Adaptations]]*BOQs!$L$16</f>
        <v>0</v>
      </c>
      <c r="BD232" s="41"/>
      <c r="BE232" s="37"/>
      <c r="BF232" s="37"/>
    </row>
    <row r="233" spans="2:58" ht="25.15" customHeight="1" x14ac:dyDescent="0.25">
      <c r="B233" s="49">
        <v>229</v>
      </c>
      <c r="C233" s="37"/>
      <c r="D233" s="41"/>
      <c r="E233" s="40"/>
      <c r="F233" s="87" t="str">
        <f>IF(tbl_Actual_costs_quantities34[[#This Row],[House Code]]&lt;&gt;"",INDEX(tbl_Assessment[],MATCH(tbl_Actual_costs_quantities34[[#This Row],[House Code]],tbl_Assessment[House Code],0),3),"")</f>
        <v/>
      </c>
      <c r="G233" s="116" t="str">
        <f>IF(tbl_Actual_costs_quantities34[[#This Row],[House Code]]&lt;&gt;"",INDEX(tbl_Assessment[],MATCH(tbl_Actual_costs_quantities34[[#This Row],[House Code]],tbl_Assessment[House Code],0),9),"")</f>
        <v/>
      </c>
      <c r="H233" s="41"/>
      <c r="I233" s="41"/>
      <c r="J233" s="41"/>
      <c r="K233" s="116"/>
      <c r="L233" s="117" t="str">
        <f>IF(tbl_Actual_costs_quantities34[[#This Row],[House Code]]&lt;&gt;"",tbl_Actual_costs_quantities34[[#This Row],[Total cost]]/INDEX(tbl_estimated_costs_quantities[],MATCH(tbl_Actual_costs_quantities34[[#This Row],[House Code]],tbl_estimated_costs_quantities[House Code],0),7),"")</f>
        <v/>
      </c>
      <c r="M23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3" s="75"/>
      <c r="O233" s="37"/>
      <c r="P233" s="86">
        <f>tbl_Actual_costs_quantities34[[#This Row],[Site Preparation]]*BOQs!$L$3</f>
        <v>0</v>
      </c>
      <c r="Q233" s="76"/>
      <c r="R233" s="37"/>
      <c r="S233" s="86">
        <f>tbl_Actual_costs_quantities34[[#This Row],[Demolition Removal Unsafe Structures]]*BOQs!$L$4</f>
        <v>0</v>
      </c>
      <c r="T233" s="76"/>
      <c r="U233" s="37"/>
      <c r="V233" s="86">
        <f>tbl_Actual_costs_quantities34[[#This Row],[Concrete Works]]*BOQs!$L$5</f>
        <v>0</v>
      </c>
      <c r="W233" s="76"/>
      <c r="X233" s="37"/>
      <c r="Y233" s="86">
        <f>tbl_Actual_costs_quantities34[[#This Row],[Closure External Openings Walls Windows]]*BOQs!$L$6</f>
        <v>0</v>
      </c>
      <c r="Z233" s="76"/>
      <c r="AA233" s="37"/>
      <c r="AB233" s="86">
        <f>tbl_Actual_costs_quantities34[[#This Row],[Plastering Painting]]*BOQs!$L$7</f>
        <v>0</v>
      </c>
      <c r="AC233" s="76"/>
      <c r="AD233" s="37"/>
      <c r="AE233" s="86">
        <f>tbl_Actual_costs_quantities34[[#This Row],[Floor Repairs]]*BOQs!$L$8</f>
        <v>0</v>
      </c>
      <c r="AF233" s="76"/>
      <c r="AG233" s="37"/>
      <c r="AH233" s="86">
        <f>tbl_Actual_costs_quantities34[[#This Row],[Doors Replacement Repair]]*BOQs!$L$9</f>
        <v>0</v>
      </c>
      <c r="AI233" s="76"/>
      <c r="AJ233" s="37"/>
      <c r="AK233" s="86">
        <f>tbl_Actual_costs_quantities34[[#This Row],[Windows Replacement Repair]]*BOQs!$L$10</f>
        <v>0</v>
      </c>
      <c r="AL233" s="76"/>
      <c r="AM233" s="37"/>
      <c r="AN233" s="86">
        <f>tbl_Actual_costs_quantities34[[#This Row],[Bathroom Rehabilitation]]*BOQs!$L$11</f>
        <v>0</v>
      </c>
      <c r="AO233" s="76"/>
      <c r="AP233" s="37"/>
      <c r="AQ233" s="86">
        <f>tbl_Actual_costs_quantities34[[#This Row],[Ceramic Tile Works WASH]]*BOQs!$L$12</f>
        <v>0</v>
      </c>
      <c r="AR233" s="76"/>
      <c r="AS233" s="37"/>
      <c r="AT233" s="86">
        <f>tbl_Actual_costs_quantities34[[#This Row],[Electrical Repairs Lighting]]*BOQs!$L$13</f>
        <v>0</v>
      </c>
      <c r="AU233" s="76"/>
      <c r="AV233" s="37"/>
      <c r="AW233" s="86">
        <f>tbl_Actual_costs_quantities34[[#This Row],[Roof Insulation Leak Sealing]]*BOQs!$L$14</f>
        <v>0</v>
      </c>
      <c r="AX233" s="76"/>
      <c r="AY233" s="37"/>
      <c r="AZ233" s="86">
        <f>tbl_Actual_costs_quantities34[[#This Row],[Chimney Duct Cleaning Repair]]*BOQs!$L$15</f>
        <v>0</v>
      </c>
      <c r="BA233" s="76"/>
      <c r="BB233" s="37"/>
      <c r="BC233" s="89">
        <f>tbl_Actual_costs_quantities34[[#This Row],[Accessibility Adaptations]]*BOQs!$L$16</f>
        <v>0</v>
      </c>
      <c r="BD233" s="41"/>
      <c r="BE233" s="37"/>
      <c r="BF233" s="37"/>
    </row>
    <row r="234" spans="2:58" ht="25.15" customHeight="1" x14ac:dyDescent="0.25">
      <c r="B234" s="49">
        <v>230</v>
      </c>
      <c r="C234" s="37"/>
      <c r="D234" s="41"/>
      <c r="E234" s="40"/>
      <c r="F234" s="87" t="str">
        <f>IF(tbl_Actual_costs_quantities34[[#This Row],[House Code]]&lt;&gt;"",INDEX(tbl_Assessment[],MATCH(tbl_Actual_costs_quantities34[[#This Row],[House Code]],tbl_Assessment[House Code],0),3),"")</f>
        <v/>
      </c>
      <c r="G234" s="116" t="str">
        <f>IF(tbl_Actual_costs_quantities34[[#This Row],[House Code]]&lt;&gt;"",INDEX(tbl_Assessment[],MATCH(tbl_Actual_costs_quantities34[[#This Row],[House Code]],tbl_Assessment[House Code],0),9),"")</f>
        <v/>
      </c>
      <c r="H234" s="41"/>
      <c r="I234" s="41"/>
      <c r="J234" s="41"/>
      <c r="K234" s="116"/>
      <c r="L234" s="117" t="str">
        <f>IF(tbl_Actual_costs_quantities34[[#This Row],[House Code]]&lt;&gt;"",tbl_Actual_costs_quantities34[[#This Row],[Total cost]]/INDEX(tbl_estimated_costs_quantities[],MATCH(tbl_Actual_costs_quantities34[[#This Row],[House Code]],tbl_estimated_costs_quantities[House Code],0),7),"")</f>
        <v/>
      </c>
      <c r="M23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4" s="75"/>
      <c r="O234" s="37"/>
      <c r="P234" s="86">
        <f>tbl_Actual_costs_quantities34[[#This Row],[Site Preparation]]*BOQs!$L$3</f>
        <v>0</v>
      </c>
      <c r="Q234" s="76"/>
      <c r="R234" s="37"/>
      <c r="S234" s="86">
        <f>tbl_Actual_costs_quantities34[[#This Row],[Demolition Removal Unsafe Structures]]*BOQs!$L$4</f>
        <v>0</v>
      </c>
      <c r="T234" s="76"/>
      <c r="U234" s="37"/>
      <c r="V234" s="86">
        <f>tbl_Actual_costs_quantities34[[#This Row],[Concrete Works]]*BOQs!$L$5</f>
        <v>0</v>
      </c>
      <c r="W234" s="76"/>
      <c r="X234" s="37"/>
      <c r="Y234" s="86">
        <f>tbl_Actual_costs_quantities34[[#This Row],[Closure External Openings Walls Windows]]*BOQs!$L$6</f>
        <v>0</v>
      </c>
      <c r="Z234" s="76"/>
      <c r="AA234" s="37"/>
      <c r="AB234" s="86">
        <f>tbl_Actual_costs_quantities34[[#This Row],[Plastering Painting]]*BOQs!$L$7</f>
        <v>0</v>
      </c>
      <c r="AC234" s="76"/>
      <c r="AD234" s="37"/>
      <c r="AE234" s="86">
        <f>tbl_Actual_costs_quantities34[[#This Row],[Floor Repairs]]*BOQs!$L$8</f>
        <v>0</v>
      </c>
      <c r="AF234" s="76"/>
      <c r="AG234" s="37"/>
      <c r="AH234" s="86">
        <f>tbl_Actual_costs_quantities34[[#This Row],[Doors Replacement Repair]]*BOQs!$L$9</f>
        <v>0</v>
      </c>
      <c r="AI234" s="76"/>
      <c r="AJ234" s="37"/>
      <c r="AK234" s="86">
        <f>tbl_Actual_costs_quantities34[[#This Row],[Windows Replacement Repair]]*BOQs!$L$10</f>
        <v>0</v>
      </c>
      <c r="AL234" s="76"/>
      <c r="AM234" s="37"/>
      <c r="AN234" s="86">
        <f>tbl_Actual_costs_quantities34[[#This Row],[Bathroom Rehabilitation]]*BOQs!$L$11</f>
        <v>0</v>
      </c>
      <c r="AO234" s="76"/>
      <c r="AP234" s="37"/>
      <c r="AQ234" s="86">
        <f>tbl_Actual_costs_quantities34[[#This Row],[Ceramic Tile Works WASH]]*BOQs!$L$12</f>
        <v>0</v>
      </c>
      <c r="AR234" s="76"/>
      <c r="AS234" s="37"/>
      <c r="AT234" s="86">
        <f>tbl_Actual_costs_quantities34[[#This Row],[Electrical Repairs Lighting]]*BOQs!$L$13</f>
        <v>0</v>
      </c>
      <c r="AU234" s="76"/>
      <c r="AV234" s="37"/>
      <c r="AW234" s="86">
        <f>tbl_Actual_costs_quantities34[[#This Row],[Roof Insulation Leak Sealing]]*BOQs!$L$14</f>
        <v>0</v>
      </c>
      <c r="AX234" s="76"/>
      <c r="AY234" s="37"/>
      <c r="AZ234" s="86">
        <f>tbl_Actual_costs_quantities34[[#This Row],[Chimney Duct Cleaning Repair]]*BOQs!$L$15</f>
        <v>0</v>
      </c>
      <c r="BA234" s="76"/>
      <c r="BB234" s="37"/>
      <c r="BC234" s="89">
        <f>tbl_Actual_costs_quantities34[[#This Row],[Accessibility Adaptations]]*BOQs!$L$16</f>
        <v>0</v>
      </c>
      <c r="BD234" s="41"/>
      <c r="BE234" s="37"/>
      <c r="BF234" s="37"/>
    </row>
    <row r="235" spans="2:58" ht="25.15" customHeight="1" x14ac:dyDescent="0.25">
      <c r="B235" s="49">
        <v>231</v>
      </c>
      <c r="C235" s="37"/>
      <c r="D235" s="41"/>
      <c r="E235" s="40"/>
      <c r="F235" s="87" t="str">
        <f>IF(tbl_Actual_costs_quantities34[[#This Row],[House Code]]&lt;&gt;"",INDEX(tbl_Assessment[],MATCH(tbl_Actual_costs_quantities34[[#This Row],[House Code]],tbl_Assessment[House Code],0),3),"")</f>
        <v/>
      </c>
      <c r="G235" s="116" t="str">
        <f>IF(tbl_Actual_costs_quantities34[[#This Row],[House Code]]&lt;&gt;"",INDEX(tbl_Assessment[],MATCH(tbl_Actual_costs_quantities34[[#This Row],[House Code]],tbl_Assessment[House Code],0),9),"")</f>
        <v/>
      </c>
      <c r="H235" s="41"/>
      <c r="I235" s="41"/>
      <c r="J235" s="41"/>
      <c r="K235" s="116"/>
      <c r="L235" s="117" t="str">
        <f>IF(tbl_Actual_costs_quantities34[[#This Row],[House Code]]&lt;&gt;"",tbl_Actual_costs_quantities34[[#This Row],[Total cost]]/INDEX(tbl_estimated_costs_quantities[],MATCH(tbl_Actual_costs_quantities34[[#This Row],[House Code]],tbl_estimated_costs_quantities[House Code],0),7),"")</f>
        <v/>
      </c>
      <c r="M23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5" s="75"/>
      <c r="O235" s="37"/>
      <c r="P235" s="86">
        <f>tbl_Actual_costs_quantities34[[#This Row],[Site Preparation]]*BOQs!$L$3</f>
        <v>0</v>
      </c>
      <c r="Q235" s="76"/>
      <c r="R235" s="37"/>
      <c r="S235" s="86">
        <f>tbl_Actual_costs_quantities34[[#This Row],[Demolition Removal Unsafe Structures]]*BOQs!$L$4</f>
        <v>0</v>
      </c>
      <c r="T235" s="76"/>
      <c r="U235" s="37"/>
      <c r="V235" s="86">
        <f>tbl_Actual_costs_quantities34[[#This Row],[Concrete Works]]*BOQs!$L$5</f>
        <v>0</v>
      </c>
      <c r="W235" s="76"/>
      <c r="X235" s="37"/>
      <c r="Y235" s="86">
        <f>tbl_Actual_costs_quantities34[[#This Row],[Closure External Openings Walls Windows]]*BOQs!$L$6</f>
        <v>0</v>
      </c>
      <c r="Z235" s="76"/>
      <c r="AA235" s="37"/>
      <c r="AB235" s="86">
        <f>tbl_Actual_costs_quantities34[[#This Row],[Plastering Painting]]*BOQs!$L$7</f>
        <v>0</v>
      </c>
      <c r="AC235" s="76"/>
      <c r="AD235" s="37"/>
      <c r="AE235" s="86">
        <f>tbl_Actual_costs_quantities34[[#This Row],[Floor Repairs]]*BOQs!$L$8</f>
        <v>0</v>
      </c>
      <c r="AF235" s="76"/>
      <c r="AG235" s="37"/>
      <c r="AH235" s="86">
        <f>tbl_Actual_costs_quantities34[[#This Row],[Doors Replacement Repair]]*BOQs!$L$9</f>
        <v>0</v>
      </c>
      <c r="AI235" s="76"/>
      <c r="AJ235" s="37"/>
      <c r="AK235" s="86">
        <f>tbl_Actual_costs_quantities34[[#This Row],[Windows Replacement Repair]]*BOQs!$L$10</f>
        <v>0</v>
      </c>
      <c r="AL235" s="76"/>
      <c r="AM235" s="37"/>
      <c r="AN235" s="86">
        <f>tbl_Actual_costs_quantities34[[#This Row],[Bathroom Rehabilitation]]*BOQs!$L$11</f>
        <v>0</v>
      </c>
      <c r="AO235" s="76"/>
      <c r="AP235" s="37"/>
      <c r="AQ235" s="86">
        <f>tbl_Actual_costs_quantities34[[#This Row],[Ceramic Tile Works WASH]]*BOQs!$L$12</f>
        <v>0</v>
      </c>
      <c r="AR235" s="76"/>
      <c r="AS235" s="37"/>
      <c r="AT235" s="86">
        <f>tbl_Actual_costs_quantities34[[#This Row],[Electrical Repairs Lighting]]*BOQs!$L$13</f>
        <v>0</v>
      </c>
      <c r="AU235" s="76"/>
      <c r="AV235" s="37"/>
      <c r="AW235" s="86">
        <f>tbl_Actual_costs_quantities34[[#This Row],[Roof Insulation Leak Sealing]]*BOQs!$L$14</f>
        <v>0</v>
      </c>
      <c r="AX235" s="76"/>
      <c r="AY235" s="37"/>
      <c r="AZ235" s="86">
        <f>tbl_Actual_costs_quantities34[[#This Row],[Chimney Duct Cleaning Repair]]*BOQs!$L$15</f>
        <v>0</v>
      </c>
      <c r="BA235" s="76"/>
      <c r="BB235" s="37"/>
      <c r="BC235" s="89">
        <f>tbl_Actual_costs_quantities34[[#This Row],[Accessibility Adaptations]]*BOQs!$L$16</f>
        <v>0</v>
      </c>
      <c r="BD235" s="41"/>
      <c r="BE235" s="37"/>
      <c r="BF235" s="37"/>
    </row>
    <row r="236" spans="2:58" ht="25.15" customHeight="1" x14ac:dyDescent="0.25">
      <c r="B236" s="49">
        <v>232</v>
      </c>
      <c r="C236" s="37"/>
      <c r="D236" s="41"/>
      <c r="E236" s="40"/>
      <c r="F236" s="87" t="str">
        <f>IF(tbl_Actual_costs_quantities34[[#This Row],[House Code]]&lt;&gt;"",INDEX(tbl_Assessment[],MATCH(tbl_Actual_costs_quantities34[[#This Row],[House Code]],tbl_Assessment[House Code],0),3),"")</f>
        <v/>
      </c>
      <c r="G236" s="116" t="str">
        <f>IF(tbl_Actual_costs_quantities34[[#This Row],[House Code]]&lt;&gt;"",INDEX(tbl_Assessment[],MATCH(tbl_Actual_costs_quantities34[[#This Row],[House Code]],tbl_Assessment[House Code],0),9),"")</f>
        <v/>
      </c>
      <c r="H236" s="41"/>
      <c r="I236" s="41"/>
      <c r="J236" s="41"/>
      <c r="K236" s="116"/>
      <c r="L236" s="117" t="str">
        <f>IF(tbl_Actual_costs_quantities34[[#This Row],[House Code]]&lt;&gt;"",tbl_Actual_costs_quantities34[[#This Row],[Total cost]]/INDEX(tbl_estimated_costs_quantities[],MATCH(tbl_Actual_costs_quantities34[[#This Row],[House Code]],tbl_estimated_costs_quantities[House Code],0),7),"")</f>
        <v/>
      </c>
      <c r="M23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6" s="75"/>
      <c r="O236" s="37"/>
      <c r="P236" s="86">
        <f>tbl_Actual_costs_quantities34[[#This Row],[Site Preparation]]*BOQs!$L$3</f>
        <v>0</v>
      </c>
      <c r="Q236" s="76"/>
      <c r="R236" s="37"/>
      <c r="S236" s="86">
        <f>tbl_Actual_costs_quantities34[[#This Row],[Demolition Removal Unsafe Structures]]*BOQs!$L$4</f>
        <v>0</v>
      </c>
      <c r="T236" s="76"/>
      <c r="U236" s="37"/>
      <c r="V236" s="86">
        <f>tbl_Actual_costs_quantities34[[#This Row],[Concrete Works]]*BOQs!$L$5</f>
        <v>0</v>
      </c>
      <c r="W236" s="76"/>
      <c r="X236" s="37"/>
      <c r="Y236" s="86">
        <f>tbl_Actual_costs_quantities34[[#This Row],[Closure External Openings Walls Windows]]*BOQs!$L$6</f>
        <v>0</v>
      </c>
      <c r="Z236" s="76"/>
      <c r="AA236" s="37"/>
      <c r="AB236" s="86">
        <f>tbl_Actual_costs_quantities34[[#This Row],[Plastering Painting]]*BOQs!$L$7</f>
        <v>0</v>
      </c>
      <c r="AC236" s="76"/>
      <c r="AD236" s="37"/>
      <c r="AE236" s="86">
        <f>tbl_Actual_costs_quantities34[[#This Row],[Floor Repairs]]*BOQs!$L$8</f>
        <v>0</v>
      </c>
      <c r="AF236" s="76"/>
      <c r="AG236" s="37"/>
      <c r="AH236" s="86">
        <f>tbl_Actual_costs_quantities34[[#This Row],[Doors Replacement Repair]]*BOQs!$L$9</f>
        <v>0</v>
      </c>
      <c r="AI236" s="76"/>
      <c r="AJ236" s="37"/>
      <c r="AK236" s="86">
        <f>tbl_Actual_costs_quantities34[[#This Row],[Windows Replacement Repair]]*BOQs!$L$10</f>
        <v>0</v>
      </c>
      <c r="AL236" s="76"/>
      <c r="AM236" s="37"/>
      <c r="AN236" s="86">
        <f>tbl_Actual_costs_quantities34[[#This Row],[Bathroom Rehabilitation]]*BOQs!$L$11</f>
        <v>0</v>
      </c>
      <c r="AO236" s="76"/>
      <c r="AP236" s="37"/>
      <c r="AQ236" s="86">
        <f>tbl_Actual_costs_quantities34[[#This Row],[Ceramic Tile Works WASH]]*BOQs!$L$12</f>
        <v>0</v>
      </c>
      <c r="AR236" s="76"/>
      <c r="AS236" s="37"/>
      <c r="AT236" s="86">
        <f>tbl_Actual_costs_quantities34[[#This Row],[Electrical Repairs Lighting]]*BOQs!$L$13</f>
        <v>0</v>
      </c>
      <c r="AU236" s="76"/>
      <c r="AV236" s="37"/>
      <c r="AW236" s="86">
        <f>tbl_Actual_costs_quantities34[[#This Row],[Roof Insulation Leak Sealing]]*BOQs!$L$14</f>
        <v>0</v>
      </c>
      <c r="AX236" s="76"/>
      <c r="AY236" s="37"/>
      <c r="AZ236" s="86">
        <f>tbl_Actual_costs_quantities34[[#This Row],[Chimney Duct Cleaning Repair]]*BOQs!$L$15</f>
        <v>0</v>
      </c>
      <c r="BA236" s="76"/>
      <c r="BB236" s="37"/>
      <c r="BC236" s="89">
        <f>tbl_Actual_costs_quantities34[[#This Row],[Accessibility Adaptations]]*BOQs!$L$16</f>
        <v>0</v>
      </c>
      <c r="BD236" s="41"/>
      <c r="BE236" s="37"/>
      <c r="BF236" s="37"/>
    </row>
    <row r="237" spans="2:58" ht="25.15" customHeight="1" x14ac:dyDescent="0.25">
      <c r="B237" s="49">
        <v>233</v>
      </c>
      <c r="C237" s="37"/>
      <c r="D237" s="41"/>
      <c r="E237" s="40"/>
      <c r="F237" s="87" t="str">
        <f>IF(tbl_Actual_costs_quantities34[[#This Row],[House Code]]&lt;&gt;"",INDEX(tbl_Assessment[],MATCH(tbl_Actual_costs_quantities34[[#This Row],[House Code]],tbl_Assessment[House Code],0),3),"")</f>
        <v/>
      </c>
      <c r="G237" s="116" t="str">
        <f>IF(tbl_Actual_costs_quantities34[[#This Row],[House Code]]&lt;&gt;"",INDEX(tbl_Assessment[],MATCH(tbl_Actual_costs_quantities34[[#This Row],[House Code]],tbl_Assessment[House Code],0),9),"")</f>
        <v/>
      </c>
      <c r="H237" s="41"/>
      <c r="I237" s="41"/>
      <c r="J237" s="41"/>
      <c r="K237" s="116"/>
      <c r="L237" s="117" t="str">
        <f>IF(tbl_Actual_costs_quantities34[[#This Row],[House Code]]&lt;&gt;"",tbl_Actual_costs_quantities34[[#This Row],[Total cost]]/INDEX(tbl_estimated_costs_quantities[],MATCH(tbl_Actual_costs_quantities34[[#This Row],[House Code]],tbl_estimated_costs_quantities[House Code],0),7),"")</f>
        <v/>
      </c>
      <c r="M23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7" s="75"/>
      <c r="O237" s="37"/>
      <c r="P237" s="86">
        <f>tbl_Actual_costs_quantities34[[#This Row],[Site Preparation]]*BOQs!$L$3</f>
        <v>0</v>
      </c>
      <c r="Q237" s="76"/>
      <c r="R237" s="37"/>
      <c r="S237" s="86">
        <f>tbl_Actual_costs_quantities34[[#This Row],[Demolition Removal Unsafe Structures]]*BOQs!$L$4</f>
        <v>0</v>
      </c>
      <c r="T237" s="76"/>
      <c r="U237" s="37"/>
      <c r="V237" s="86">
        <f>tbl_Actual_costs_quantities34[[#This Row],[Concrete Works]]*BOQs!$L$5</f>
        <v>0</v>
      </c>
      <c r="W237" s="76"/>
      <c r="X237" s="37"/>
      <c r="Y237" s="86">
        <f>tbl_Actual_costs_quantities34[[#This Row],[Closure External Openings Walls Windows]]*BOQs!$L$6</f>
        <v>0</v>
      </c>
      <c r="Z237" s="76"/>
      <c r="AA237" s="37"/>
      <c r="AB237" s="86">
        <f>tbl_Actual_costs_quantities34[[#This Row],[Plastering Painting]]*BOQs!$L$7</f>
        <v>0</v>
      </c>
      <c r="AC237" s="76"/>
      <c r="AD237" s="37"/>
      <c r="AE237" s="86">
        <f>tbl_Actual_costs_quantities34[[#This Row],[Floor Repairs]]*BOQs!$L$8</f>
        <v>0</v>
      </c>
      <c r="AF237" s="76"/>
      <c r="AG237" s="37"/>
      <c r="AH237" s="86">
        <f>tbl_Actual_costs_quantities34[[#This Row],[Doors Replacement Repair]]*BOQs!$L$9</f>
        <v>0</v>
      </c>
      <c r="AI237" s="76"/>
      <c r="AJ237" s="37"/>
      <c r="AK237" s="86">
        <f>tbl_Actual_costs_quantities34[[#This Row],[Windows Replacement Repair]]*BOQs!$L$10</f>
        <v>0</v>
      </c>
      <c r="AL237" s="76"/>
      <c r="AM237" s="37"/>
      <c r="AN237" s="86">
        <f>tbl_Actual_costs_quantities34[[#This Row],[Bathroom Rehabilitation]]*BOQs!$L$11</f>
        <v>0</v>
      </c>
      <c r="AO237" s="76"/>
      <c r="AP237" s="37"/>
      <c r="AQ237" s="86">
        <f>tbl_Actual_costs_quantities34[[#This Row],[Ceramic Tile Works WASH]]*BOQs!$L$12</f>
        <v>0</v>
      </c>
      <c r="AR237" s="76"/>
      <c r="AS237" s="37"/>
      <c r="AT237" s="86">
        <f>tbl_Actual_costs_quantities34[[#This Row],[Electrical Repairs Lighting]]*BOQs!$L$13</f>
        <v>0</v>
      </c>
      <c r="AU237" s="76"/>
      <c r="AV237" s="37"/>
      <c r="AW237" s="86">
        <f>tbl_Actual_costs_quantities34[[#This Row],[Roof Insulation Leak Sealing]]*BOQs!$L$14</f>
        <v>0</v>
      </c>
      <c r="AX237" s="76"/>
      <c r="AY237" s="37"/>
      <c r="AZ237" s="86">
        <f>tbl_Actual_costs_quantities34[[#This Row],[Chimney Duct Cleaning Repair]]*BOQs!$L$15</f>
        <v>0</v>
      </c>
      <c r="BA237" s="76"/>
      <c r="BB237" s="37"/>
      <c r="BC237" s="89">
        <f>tbl_Actual_costs_quantities34[[#This Row],[Accessibility Adaptations]]*BOQs!$L$16</f>
        <v>0</v>
      </c>
      <c r="BD237" s="41"/>
      <c r="BE237" s="37"/>
      <c r="BF237" s="37"/>
    </row>
    <row r="238" spans="2:58" ht="25.15" customHeight="1" x14ac:dyDescent="0.25">
      <c r="B238" s="49">
        <v>234</v>
      </c>
      <c r="C238" s="37"/>
      <c r="D238" s="41"/>
      <c r="E238" s="40"/>
      <c r="F238" s="87" t="str">
        <f>IF(tbl_Actual_costs_quantities34[[#This Row],[House Code]]&lt;&gt;"",INDEX(tbl_Assessment[],MATCH(tbl_Actual_costs_quantities34[[#This Row],[House Code]],tbl_Assessment[House Code],0),3),"")</f>
        <v/>
      </c>
      <c r="G238" s="116" t="str">
        <f>IF(tbl_Actual_costs_quantities34[[#This Row],[House Code]]&lt;&gt;"",INDEX(tbl_Assessment[],MATCH(tbl_Actual_costs_quantities34[[#This Row],[House Code]],tbl_Assessment[House Code],0),9),"")</f>
        <v/>
      </c>
      <c r="H238" s="41"/>
      <c r="I238" s="41"/>
      <c r="J238" s="41"/>
      <c r="K238" s="116"/>
      <c r="L238" s="117" t="str">
        <f>IF(tbl_Actual_costs_quantities34[[#This Row],[House Code]]&lt;&gt;"",tbl_Actual_costs_quantities34[[#This Row],[Total cost]]/INDEX(tbl_estimated_costs_quantities[],MATCH(tbl_Actual_costs_quantities34[[#This Row],[House Code]],tbl_estimated_costs_quantities[House Code],0),7),"")</f>
        <v/>
      </c>
      <c r="M23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8" s="75"/>
      <c r="O238" s="37"/>
      <c r="P238" s="86">
        <f>tbl_Actual_costs_quantities34[[#This Row],[Site Preparation]]*BOQs!$L$3</f>
        <v>0</v>
      </c>
      <c r="Q238" s="76"/>
      <c r="R238" s="37"/>
      <c r="S238" s="86">
        <f>tbl_Actual_costs_quantities34[[#This Row],[Demolition Removal Unsafe Structures]]*BOQs!$L$4</f>
        <v>0</v>
      </c>
      <c r="T238" s="76"/>
      <c r="U238" s="37"/>
      <c r="V238" s="86">
        <f>tbl_Actual_costs_quantities34[[#This Row],[Concrete Works]]*BOQs!$L$5</f>
        <v>0</v>
      </c>
      <c r="W238" s="76"/>
      <c r="X238" s="37"/>
      <c r="Y238" s="86">
        <f>tbl_Actual_costs_quantities34[[#This Row],[Closure External Openings Walls Windows]]*BOQs!$L$6</f>
        <v>0</v>
      </c>
      <c r="Z238" s="76"/>
      <c r="AA238" s="37"/>
      <c r="AB238" s="86">
        <f>tbl_Actual_costs_quantities34[[#This Row],[Plastering Painting]]*BOQs!$L$7</f>
        <v>0</v>
      </c>
      <c r="AC238" s="76"/>
      <c r="AD238" s="37"/>
      <c r="AE238" s="86">
        <f>tbl_Actual_costs_quantities34[[#This Row],[Floor Repairs]]*BOQs!$L$8</f>
        <v>0</v>
      </c>
      <c r="AF238" s="76"/>
      <c r="AG238" s="37"/>
      <c r="AH238" s="86">
        <f>tbl_Actual_costs_quantities34[[#This Row],[Doors Replacement Repair]]*BOQs!$L$9</f>
        <v>0</v>
      </c>
      <c r="AI238" s="76"/>
      <c r="AJ238" s="37"/>
      <c r="AK238" s="86">
        <f>tbl_Actual_costs_quantities34[[#This Row],[Windows Replacement Repair]]*BOQs!$L$10</f>
        <v>0</v>
      </c>
      <c r="AL238" s="76"/>
      <c r="AM238" s="37"/>
      <c r="AN238" s="86">
        <f>tbl_Actual_costs_quantities34[[#This Row],[Bathroom Rehabilitation]]*BOQs!$L$11</f>
        <v>0</v>
      </c>
      <c r="AO238" s="76"/>
      <c r="AP238" s="37"/>
      <c r="AQ238" s="86">
        <f>tbl_Actual_costs_quantities34[[#This Row],[Ceramic Tile Works WASH]]*BOQs!$L$12</f>
        <v>0</v>
      </c>
      <c r="AR238" s="76"/>
      <c r="AS238" s="37"/>
      <c r="AT238" s="86">
        <f>tbl_Actual_costs_quantities34[[#This Row],[Electrical Repairs Lighting]]*BOQs!$L$13</f>
        <v>0</v>
      </c>
      <c r="AU238" s="76"/>
      <c r="AV238" s="37"/>
      <c r="AW238" s="86">
        <f>tbl_Actual_costs_quantities34[[#This Row],[Roof Insulation Leak Sealing]]*BOQs!$L$14</f>
        <v>0</v>
      </c>
      <c r="AX238" s="76"/>
      <c r="AY238" s="37"/>
      <c r="AZ238" s="86">
        <f>tbl_Actual_costs_quantities34[[#This Row],[Chimney Duct Cleaning Repair]]*BOQs!$L$15</f>
        <v>0</v>
      </c>
      <c r="BA238" s="76"/>
      <c r="BB238" s="37"/>
      <c r="BC238" s="89">
        <f>tbl_Actual_costs_quantities34[[#This Row],[Accessibility Adaptations]]*BOQs!$L$16</f>
        <v>0</v>
      </c>
      <c r="BD238" s="41"/>
      <c r="BE238" s="37"/>
      <c r="BF238" s="37"/>
    </row>
    <row r="239" spans="2:58" ht="25.15" customHeight="1" x14ac:dyDescent="0.25">
      <c r="B239" s="49">
        <v>235</v>
      </c>
      <c r="C239" s="37"/>
      <c r="D239" s="41"/>
      <c r="E239" s="40"/>
      <c r="F239" s="87" t="str">
        <f>IF(tbl_Actual_costs_quantities34[[#This Row],[House Code]]&lt;&gt;"",INDEX(tbl_Assessment[],MATCH(tbl_Actual_costs_quantities34[[#This Row],[House Code]],tbl_Assessment[House Code],0),3),"")</f>
        <v/>
      </c>
      <c r="G239" s="116" t="str">
        <f>IF(tbl_Actual_costs_quantities34[[#This Row],[House Code]]&lt;&gt;"",INDEX(tbl_Assessment[],MATCH(tbl_Actual_costs_quantities34[[#This Row],[House Code]],tbl_Assessment[House Code],0),9),"")</f>
        <v/>
      </c>
      <c r="H239" s="41"/>
      <c r="I239" s="41"/>
      <c r="J239" s="41"/>
      <c r="K239" s="116"/>
      <c r="L239" s="117" t="str">
        <f>IF(tbl_Actual_costs_quantities34[[#This Row],[House Code]]&lt;&gt;"",tbl_Actual_costs_quantities34[[#This Row],[Total cost]]/INDEX(tbl_estimated_costs_quantities[],MATCH(tbl_Actual_costs_quantities34[[#This Row],[House Code]],tbl_estimated_costs_quantities[House Code],0),7),"")</f>
        <v/>
      </c>
      <c r="M23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39" s="75"/>
      <c r="O239" s="37"/>
      <c r="P239" s="86">
        <f>tbl_Actual_costs_quantities34[[#This Row],[Site Preparation]]*BOQs!$L$3</f>
        <v>0</v>
      </c>
      <c r="Q239" s="76"/>
      <c r="R239" s="37"/>
      <c r="S239" s="86">
        <f>tbl_Actual_costs_quantities34[[#This Row],[Demolition Removal Unsafe Structures]]*BOQs!$L$4</f>
        <v>0</v>
      </c>
      <c r="T239" s="76"/>
      <c r="U239" s="37"/>
      <c r="V239" s="86">
        <f>tbl_Actual_costs_quantities34[[#This Row],[Concrete Works]]*BOQs!$L$5</f>
        <v>0</v>
      </c>
      <c r="W239" s="76"/>
      <c r="X239" s="37"/>
      <c r="Y239" s="86">
        <f>tbl_Actual_costs_quantities34[[#This Row],[Closure External Openings Walls Windows]]*BOQs!$L$6</f>
        <v>0</v>
      </c>
      <c r="Z239" s="76"/>
      <c r="AA239" s="37"/>
      <c r="AB239" s="86">
        <f>tbl_Actual_costs_quantities34[[#This Row],[Plastering Painting]]*BOQs!$L$7</f>
        <v>0</v>
      </c>
      <c r="AC239" s="76"/>
      <c r="AD239" s="37"/>
      <c r="AE239" s="86">
        <f>tbl_Actual_costs_quantities34[[#This Row],[Floor Repairs]]*BOQs!$L$8</f>
        <v>0</v>
      </c>
      <c r="AF239" s="76"/>
      <c r="AG239" s="37"/>
      <c r="AH239" s="86">
        <f>tbl_Actual_costs_quantities34[[#This Row],[Doors Replacement Repair]]*BOQs!$L$9</f>
        <v>0</v>
      </c>
      <c r="AI239" s="76"/>
      <c r="AJ239" s="37"/>
      <c r="AK239" s="86">
        <f>tbl_Actual_costs_quantities34[[#This Row],[Windows Replacement Repair]]*BOQs!$L$10</f>
        <v>0</v>
      </c>
      <c r="AL239" s="76"/>
      <c r="AM239" s="37"/>
      <c r="AN239" s="86">
        <f>tbl_Actual_costs_quantities34[[#This Row],[Bathroom Rehabilitation]]*BOQs!$L$11</f>
        <v>0</v>
      </c>
      <c r="AO239" s="76"/>
      <c r="AP239" s="37"/>
      <c r="AQ239" s="86">
        <f>tbl_Actual_costs_quantities34[[#This Row],[Ceramic Tile Works WASH]]*BOQs!$L$12</f>
        <v>0</v>
      </c>
      <c r="AR239" s="76"/>
      <c r="AS239" s="37"/>
      <c r="AT239" s="86">
        <f>tbl_Actual_costs_quantities34[[#This Row],[Electrical Repairs Lighting]]*BOQs!$L$13</f>
        <v>0</v>
      </c>
      <c r="AU239" s="76"/>
      <c r="AV239" s="37"/>
      <c r="AW239" s="86">
        <f>tbl_Actual_costs_quantities34[[#This Row],[Roof Insulation Leak Sealing]]*BOQs!$L$14</f>
        <v>0</v>
      </c>
      <c r="AX239" s="76"/>
      <c r="AY239" s="37"/>
      <c r="AZ239" s="86">
        <f>tbl_Actual_costs_quantities34[[#This Row],[Chimney Duct Cleaning Repair]]*BOQs!$L$15</f>
        <v>0</v>
      </c>
      <c r="BA239" s="76"/>
      <c r="BB239" s="37"/>
      <c r="BC239" s="89">
        <f>tbl_Actual_costs_quantities34[[#This Row],[Accessibility Adaptations]]*BOQs!$L$16</f>
        <v>0</v>
      </c>
      <c r="BD239" s="41"/>
      <c r="BE239" s="37"/>
      <c r="BF239" s="37"/>
    </row>
    <row r="240" spans="2:58" ht="25.15" customHeight="1" x14ac:dyDescent="0.25">
      <c r="B240" s="49">
        <v>236</v>
      </c>
      <c r="C240" s="37"/>
      <c r="D240" s="41"/>
      <c r="E240" s="40"/>
      <c r="F240" s="87" t="str">
        <f>IF(tbl_Actual_costs_quantities34[[#This Row],[House Code]]&lt;&gt;"",INDEX(tbl_Assessment[],MATCH(tbl_Actual_costs_quantities34[[#This Row],[House Code]],tbl_Assessment[House Code],0),3),"")</f>
        <v/>
      </c>
      <c r="G240" s="116" t="str">
        <f>IF(tbl_Actual_costs_quantities34[[#This Row],[House Code]]&lt;&gt;"",INDEX(tbl_Assessment[],MATCH(tbl_Actual_costs_quantities34[[#This Row],[House Code]],tbl_Assessment[House Code],0),9),"")</f>
        <v/>
      </c>
      <c r="H240" s="41"/>
      <c r="I240" s="41"/>
      <c r="J240" s="41"/>
      <c r="K240" s="116"/>
      <c r="L240" s="117" t="str">
        <f>IF(tbl_Actual_costs_quantities34[[#This Row],[House Code]]&lt;&gt;"",tbl_Actual_costs_quantities34[[#This Row],[Total cost]]/INDEX(tbl_estimated_costs_quantities[],MATCH(tbl_Actual_costs_quantities34[[#This Row],[House Code]],tbl_estimated_costs_quantities[House Code],0),7),"")</f>
        <v/>
      </c>
      <c r="M24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0" s="75"/>
      <c r="O240" s="37"/>
      <c r="P240" s="86">
        <f>tbl_Actual_costs_quantities34[[#This Row],[Site Preparation]]*BOQs!$L$3</f>
        <v>0</v>
      </c>
      <c r="Q240" s="76"/>
      <c r="R240" s="37"/>
      <c r="S240" s="86">
        <f>tbl_Actual_costs_quantities34[[#This Row],[Demolition Removal Unsafe Structures]]*BOQs!$L$4</f>
        <v>0</v>
      </c>
      <c r="T240" s="76"/>
      <c r="U240" s="37"/>
      <c r="V240" s="86">
        <f>tbl_Actual_costs_quantities34[[#This Row],[Concrete Works]]*BOQs!$L$5</f>
        <v>0</v>
      </c>
      <c r="W240" s="76"/>
      <c r="X240" s="37"/>
      <c r="Y240" s="86">
        <f>tbl_Actual_costs_quantities34[[#This Row],[Closure External Openings Walls Windows]]*BOQs!$L$6</f>
        <v>0</v>
      </c>
      <c r="Z240" s="76"/>
      <c r="AA240" s="37"/>
      <c r="AB240" s="86">
        <f>tbl_Actual_costs_quantities34[[#This Row],[Plastering Painting]]*BOQs!$L$7</f>
        <v>0</v>
      </c>
      <c r="AC240" s="76"/>
      <c r="AD240" s="37"/>
      <c r="AE240" s="86">
        <f>tbl_Actual_costs_quantities34[[#This Row],[Floor Repairs]]*BOQs!$L$8</f>
        <v>0</v>
      </c>
      <c r="AF240" s="76"/>
      <c r="AG240" s="37"/>
      <c r="AH240" s="86">
        <f>tbl_Actual_costs_quantities34[[#This Row],[Doors Replacement Repair]]*BOQs!$L$9</f>
        <v>0</v>
      </c>
      <c r="AI240" s="76"/>
      <c r="AJ240" s="37"/>
      <c r="AK240" s="86">
        <f>tbl_Actual_costs_quantities34[[#This Row],[Windows Replacement Repair]]*BOQs!$L$10</f>
        <v>0</v>
      </c>
      <c r="AL240" s="76"/>
      <c r="AM240" s="37"/>
      <c r="AN240" s="86">
        <f>tbl_Actual_costs_quantities34[[#This Row],[Bathroom Rehabilitation]]*BOQs!$L$11</f>
        <v>0</v>
      </c>
      <c r="AO240" s="76"/>
      <c r="AP240" s="37"/>
      <c r="AQ240" s="86">
        <f>tbl_Actual_costs_quantities34[[#This Row],[Ceramic Tile Works WASH]]*BOQs!$L$12</f>
        <v>0</v>
      </c>
      <c r="AR240" s="76"/>
      <c r="AS240" s="37"/>
      <c r="AT240" s="86">
        <f>tbl_Actual_costs_quantities34[[#This Row],[Electrical Repairs Lighting]]*BOQs!$L$13</f>
        <v>0</v>
      </c>
      <c r="AU240" s="76"/>
      <c r="AV240" s="37"/>
      <c r="AW240" s="86">
        <f>tbl_Actual_costs_quantities34[[#This Row],[Roof Insulation Leak Sealing]]*BOQs!$L$14</f>
        <v>0</v>
      </c>
      <c r="AX240" s="76"/>
      <c r="AY240" s="37"/>
      <c r="AZ240" s="86">
        <f>tbl_Actual_costs_quantities34[[#This Row],[Chimney Duct Cleaning Repair]]*BOQs!$L$15</f>
        <v>0</v>
      </c>
      <c r="BA240" s="76"/>
      <c r="BB240" s="37"/>
      <c r="BC240" s="89">
        <f>tbl_Actual_costs_quantities34[[#This Row],[Accessibility Adaptations]]*BOQs!$L$16</f>
        <v>0</v>
      </c>
      <c r="BD240" s="41"/>
      <c r="BE240" s="37"/>
      <c r="BF240" s="37"/>
    </row>
    <row r="241" spans="2:58" ht="25.15" customHeight="1" x14ac:dyDescent="0.25">
      <c r="B241" s="49">
        <v>237</v>
      </c>
      <c r="C241" s="37"/>
      <c r="D241" s="41"/>
      <c r="E241" s="40"/>
      <c r="F241" s="87" t="str">
        <f>IF(tbl_Actual_costs_quantities34[[#This Row],[House Code]]&lt;&gt;"",INDEX(tbl_Assessment[],MATCH(tbl_Actual_costs_quantities34[[#This Row],[House Code]],tbl_Assessment[House Code],0),3),"")</f>
        <v/>
      </c>
      <c r="G241" s="116" t="str">
        <f>IF(tbl_Actual_costs_quantities34[[#This Row],[House Code]]&lt;&gt;"",INDEX(tbl_Assessment[],MATCH(tbl_Actual_costs_quantities34[[#This Row],[House Code]],tbl_Assessment[House Code],0),9),"")</f>
        <v/>
      </c>
      <c r="H241" s="41"/>
      <c r="I241" s="41"/>
      <c r="J241" s="41"/>
      <c r="K241" s="116"/>
      <c r="L241" s="117" t="str">
        <f>IF(tbl_Actual_costs_quantities34[[#This Row],[House Code]]&lt;&gt;"",tbl_Actual_costs_quantities34[[#This Row],[Total cost]]/INDEX(tbl_estimated_costs_quantities[],MATCH(tbl_Actual_costs_quantities34[[#This Row],[House Code]],tbl_estimated_costs_quantities[House Code],0),7),"")</f>
        <v/>
      </c>
      <c r="M24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1" s="75"/>
      <c r="O241" s="37"/>
      <c r="P241" s="86">
        <f>tbl_Actual_costs_quantities34[[#This Row],[Site Preparation]]*BOQs!$L$3</f>
        <v>0</v>
      </c>
      <c r="Q241" s="76"/>
      <c r="R241" s="37"/>
      <c r="S241" s="86">
        <f>tbl_Actual_costs_quantities34[[#This Row],[Demolition Removal Unsafe Structures]]*BOQs!$L$4</f>
        <v>0</v>
      </c>
      <c r="T241" s="76"/>
      <c r="U241" s="37"/>
      <c r="V241" s="86">
        <f>tbl_Actual_costs_quantities34[[#This Row],[Concrete Works]]*BOQs!$L$5</f>
        <v>0</v>
      </c>
      <c r="W241" s="76"/>
      <c r="X241" s="37"/>
      <c r="Y241" s="86">
        <f>tbl_Actual_costs_quantities34[[#This Row],[Closure External Openings Walls Windows]]*BOQs!$L$6</f>
        <v>0</v>
      </c>
      <c r="Z241" s="76"/>
      <c r="AA241" s="37"/>
      <c r="AB241" s="86">
        <f>tbl_Actual_costs_quantities34[[#This Row],[Plastering Painting]]*BOQs!$L$7</f>
        <v>0</v>
      </c>
      <c r="AC241" s="76"/>
      <c r="AD241" s="37"/>
      <c r="AE241" s="86">
        <f>tbl_Actual_costs_quantities34[[#This Row],[Floor Repairs]]*BOQs!$L$8</f>
        <v>0</v>
      </c>
      <c r="AF241" s="76"/>
      <c r="AG241" s="37"/>
      <c r="AH241" s="86">
        <f>tbl_Actual_costs_quantities34[[#This Row],[Doors Replacement Repair]]*BOQs!$L$9</f>
        <v>0</v>
      </c>
      <c r="AI241" s="76"/>
      <c r="AJ241" s="37"/>
      <c r="AK241" s="86">
        <f>tbl_Actual_costs_quantities34[[#This Row],[Windows Replacement Repair]]*BOQs!$L$10</f>
        <v>0</v>
      </c>
      <c r="AL241" s="76"/>
      <c r="AM241" s="37"/>
      <c r="AN241" s="86">
        <f>tbl_Actual_costs_quantities34[[#This Row],[Bathroom Rehabilitation]]*BOQs!$L$11</f>
        <v>0</v>
      </c>
      <c r="AO241" s="76"/>
      <c r="AP241" s="37"/>
      <c r="AQ241" s="86">
        <f>tbl_Actual_costs_quantities34[[#This Row],[Ceramic Tile Works WASH]]*BOQs!$L$12</f>
        <v>0</v>
      </c>
      <c r="AR241" s="76"/>
      <c r="AS241" s="37"/>
      <c r="AT241" s="86">
        <f>tbl_Actual_costs_quantities34[[#This Row],[Electrical Repairs Lighting]]*BOQs!$L$13</f>
        <v>0</v>
      </c>
      <c r="AU241" s="76"/>
      <c r="AV241" s="37"/>
      <c r="AW241" s="86">
        <f>tbl_Actual_costs_quantities34[[#This Row],[Roof Insulation Leak Sealing]]*BOQs!$L$14</f>
        <v>0</v>
      </c>
      <c r="AX241" s="76"/>
      <c r="AY241" s="37"/>
      <c r="AZ241" s="86">
        <f>tbl_Actual_costs_quantities34[[#This Row],[Chimney Duct Cleaning Repair]]*BOQs!$L$15</f>
        <v>0</v>
      </c>
      <c r="BA241" s="76"/>
      <c r="BB241" s="37"/>
      <c r="BC241" s="89">
        <f>tbl_Actual_costs_quantities34[[#This Row],[Accessibility Adaptations]]*BOQs!$L$16</f>
        <v>0</v>
      </c>
      <c r="BD241" s="41"/>
      <c r="BE241" s="37"/>
      <c r="BF241" s="37"/>
    </row>
    <row r="242" spans="2:58" ht="25.15" customHeight="1" x14ac:dyDescent="0.25">
      <c r="B242" s="49">
        <v>238</v>
      </c>
      <c r="C242" s="37"/>
      <c r="D242" s="41"/>
      <c r="E242" s="40"/>
      <c r="F242" s="87" t="str">
        <f>IF(tbl_Actual_costs_quantities34[[#This Row],[House Code]]&lt;&gt;"",INDEX(tbl_Assessment[],MATCH(tbl_Actual_costs_quantities34[[#This Row],[House Code]],tbl_Assessment[House Code],0),3),"")</f>
        <v/>
      </c>
      <c r="G242" s="116" t="str">
        <f>IF(tbl_Actual_costs_quantities34[[#This Row],[House Code]]&lt;&gt;"",INDEX(tbl_Assessment[],MATCH(tbl_Actual_costs_quantities34[[#This Row],[House Code]],tbl_Assessment[House Code],0),9),"")</f>
        <v/>
      </c>
      <c r="H242" s="41"/>
      <c r="I242" s="41"/>
      <c r="J242" s="41"/>
      <c r="K242" s="116"/>
      <c r="L242" s="117" t="str">
        <f>IF(tbl_Actual_costs_quantities34[[#This Row],[House Code]]&lt;&gt;"",tbl_Actual_costs_quantities34[[#This Row],[Total cost]]/INDEX(tbl_estimated_costs_quantities[],MATCH(tbl_Actual_costs_quantities34[[#This Row],[House Code]],tbl_estimated_costs_quantities[House Code],0),7),"")</f>
        <v/>
      </c>
      <c r="M24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2" s="75"/>
      <c r="O242" s="37"/>
      <c r="P242" s="86">
        <f>tbl_Actual_costs_quantities34[[#This Row],[Site Preparation]]*BOQs!$L$3</f>
        <v>0</v>
      </c>
      <c r="Q242" s="76"/>
      <c r="R242" s="37"/>
      <c r="S242" s="86">
        <f>tbl_Actual_costs_quantities34[[#This Row],[Demolition Removal Unsafe Structures]]*BOQs!$L$4</f>
        <v>0</v>
      </c>
      <c r="T242" s="76"/>
      <c r="U242" s="37"/>
      <c r="V242" s="86">
        <f>tbl_Actual_costs_quantities34[[#This Row],[Concrete Works]]*BOQs!$L$5</f>
        <v>0</v>
      </c>
      <c r="W242" s="76"/>
      <c r="X242" s="37"/>
      <c r="Y242" s="86">
        <f>tbl_Actual_costs_quantities34[[#This Row],[Closure External Openings Walls Windows]]*BOQs!$L$6</f>
        <v>0</v>
      </c>
      <c r="Z242" s="76"/>
      <c r="AA242" s="37"/>
      <c r="AB242" s="86">
        <f>tbl_Actual_costs_quantities34[[#This Row],[Plastering Painting]]*BOQs!$L$7</f>
        <v>0</v>
      </c>
      <c r="AC242" s="76"/>
      <c r="AD242" s="37"/>
      <c r="AE242" s="86">
        <f>tbl_Actual_costs_quantities34[[#This Row],[Floor Repairs]]*BOQs!$L$8</f>
        <v>0</v>
      </c>
      <c r="AF242" s="76"/>
      <c r="AG242" s="37"/>
      <c r="AH242" s="86">
        <f>tbl_Actual_costs_quantities34[[#This Row],[Doors Replacement Repair]]*BOQs!$L$9</f>
        <v>0</v>
      </c>
      <c r="AI242" s="76"/>
      <c r="AJ242" s="37"/>
      <c r="AK242" s="86">
        <f>tbl_Actual_costs_quantities34[[#This Row],[Windows Replacement Repair]]*BOQs!$L$10</f>
        <v>0</v>
      </c>
      <c r="AL242" s="76"/>
      <c r="AM242" s="37"/>
      <c r="AN242" s="86">
        <f>tbl_Actual_costs_quantities34[[#This Row],[Bathroom Rehabilitation]]*BOQs!$L$11</f>
        <v>0</v>
      </c>
      <c r="AO242" s="76"/>
      <c r="AP242" s="37"/>
      <c r="AQ242" s="86">
        <f>tbl_Actual_costs_quantities34[[#This Row],[Ceramic Tile Works WASH]]*BOQs!$L$12</f>
        <v>0</v>
      </c>
      <c r="AR242" s="76"/>
      <c r="AS242" s="37"/>
      <c r="AT242" s="86">
        <f>tbl_Actual_costs_quantities34[[#This Row],[Electrical Repairs Lighting]]*BOQs!$L$13</f>
        <v>0</v>
      </c>
      <c r="AU242" s="76"/>
      <c r="AV242" s="37"/>
      <c r="AW242" s="86">
        <f>tbl_Actual_costs_quantities34[[#This Row],[Roof Insulation Leak Sealing]]*BOQs!$L$14</f>
        <v>0</v>
      </c>
      <c r="AX242" s="76"/>
      <c r="AY242" s="37"/>
      <c r="AZ242" s="86">
        <f>tbl_Actual_costs_quantities34[[#This Row],[Chimney Duct Cleaning Repair]]*BOQs!$L$15</f>
        <v>0</v>
      </c>
      <c r="BA242" s="76"/>
      <c r="BB242" s="37"/>
      <c r="BC242" s="89">
        <f>tbl_Actual_costs_quantities34[[#This Row],[Accessibility Adaptations]]*BOQs!$L$16</f>
        <v>0</v>
      </c>
      <c r="BD242" s="41"/>
      <c r="BE242" s="37"/>
      <c r="BF242" s="37"/>
    </row>
    <row r="243" spans="2:58" ht="25.15" customHeight="1" x14ac:dyDescent="0.25">
      <c r="B243" s="49">
        <v>239</v>
      </c>
      <c r="C243" s="37"/>
      <c r="D243" s="41"/>
      <c r="E243" s="40"/>
      <c r="F243" s="87" t="str">
        <f>IF(tbl_Actual_costs_quantities34[[#This Row],[House Code]]&lt;&gt;"",INDEX(tbl_Assessment[],MATCH(tbl_Actual_costs_quantities34[[#This Row],[House Code]],tbl_Assessment[House Code],0),3),"")</f>
        <v/>
      </c>
      <c r="G243" s="116" t="str">
        <f>IF(tbl_Actual_costs_quantities34[[#This Row],[House Code]]&lt;&gt;"",INDEX(tbl_Assessment[],MATCH(tbl_Actual_costs_quantities34[[#This Row],[House Code]],tbl_Assessment[House Code],0),9),"")</f>
        <v/>
      </c>
      <c r="H243" s="41"/>
      <c r="I243" s="41"/>
      <c r="J243" s="41"/>
      <c r="K243" s="116"/>
      <c r="L243" s="117" t="str">
        <f>IF(tbl_Actual_costs_quantities34[[#This Row],[House Code]]&lt;&gt;"",tbl_Actual_costs_quantities34[[#This Row],[Total cost]]/INDEX(tbl_estimated_costs_quantities[],MATCH(tbl_Actual_costs_quantities34[[#This Row],[House Code]],tbl_estimated_costs_quantities[House Code],0),7),"")</f>
        <v/>
      </c>
      <c r="M24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3" s="75"/>
      <c r="O243" s="37"/>
      <c r="P243" s="86">
        <f>tbl_Actual_costs_quantities34[[#This Row],[Site Preparation]]*BOQs!$L$3</f>
        <v>0</v>
      </c>
      <c r="Q243" s="76"/>
      <c r="R243" s="37"/>
      <c r="S243" s="86">
        <f>tbl_Actual_costs_quantities34[[#This Row],[Demolition Removal Unsafe Structures]]*BOQs!$L$4</f>
        <v>0</v>
      </c>
      <c r="T243" s="76"/>
      <c r="U243" s="37"/>
      <c r="V243" s="86">
        <f>tbl_Actual_costs_quantities34[[#This Row],[Concrete Works]]*BOQs!$L$5</f>
        <v>0</v>
      </c>
      <c r="W243" s="76"/>
      <c r="X243" s="37"/>
      <c r="Y243" s="86">
        <f>tbl_Actual_costs_quantities34[[#This Row],[Closure External Openings Walls Windows]]*BOQs!$L$6</f>
        <v>0</v>
      </c>
      <c r="Z243" s="76"/>
      <c r="AA243" s="37"/>
      <c r="AB243" s="86">
        <f>tbl_Actual_costs_quantities34[[#This Row],[Plastering Painting]]*BOQs!$L$7</f>
        <v>0</v>
      </c>
      <c r="AC243" s="76"/>
      <c r="AD243" s="37"/>
      <c r="AE243" s="86">
        <f>tbl_Actual_costs_quantities34[[#This Row],[Floor Repairs]]*BOQs!$L$8</f>
        <v>0</v>
      </c>
      <c r="AF243" s="76"/>
      <c r="AG243" s="37"/>
      <c r="AH243" s="86">
        <f>tbl_Actual_costs_quantities34[[#This Row],[Doors Replacement Repair]]*BOQs!$L$9</f>
        <v>0</v>
      </c>
      <c r="AI243" s="76"/>
      <c r="AJ243" s="37"/>
      <c r="AK243" s="86">
        <f>tbl_Actual_costs_quantities34[[#This Row],[Windows Replacement Repair]]*BOQs!$L$10</f>
        <v>0</v>
      </c>
      <c r="AL243" s="76"/>
      <c r="AM243" s="37"/>
      <c r="AN243" s="86">
        <f>tbl_Actual_costs_quantities34[[#This Row],[Bathroom Rehabilitation]]*BOQs!$L$11</f>
        <v>0</v>
      </c>
      <c r="AO243" s="76"/>
      <c r="AP243" s="37"/>
      <c r="AQ243" s="86">
        <f>tbl_Actual_costs_quantities34[[#This Row],[Ceramic Tile Works WASH]]*BOQs!$L$12</f>
        <v>0</v>
      </c>
      <c r="AR243" s="76"/>
      <c r="AS243" s="37"/>
      <c r="AT243" s="86">
        <f>tbl_Actual_costs_quantities34[[#This Row],[Electrical Repairs Lighting]]*BOQs!$L$13</f>
        <v>0</v>
      </c>
      <c r="AU243" s="76"/>
      <c r="AV243" s="37"/>
      <c r="AW243" s="86">
        <f>tbl_Actual_costs_quantities34[[#This Row],[Roof Insulation Leak Sealing]]*BOQs!$L$14</f>
        <v>0</v>
      </c>
      <c r="AX243" s="76"/>
      <c r="AY243" s="37"/>
      <c r="AZ243" s="86">
        <f>tbl_Actual_costs_quantities34[[#This Row],[Chimney Duct Cleaning Repair]]*BOQs!$L$15</f>
        <v>0</v>
      </c>
      <c r="BA243" s="76"/>
      <c r="BB243" s="37"/>
      <c r="BC243" s="89">
        <f>tbl_Actual_costs_quantities34[[#This Row],[Accessibility Adaptations]]*BOQs!$L$16</f>
        <v>0</v>
      </c>
      <c r="BD243" s="41"/>
      <c r="BE243" s="37"/>
      <c r="BF243" s="37"/>
    </row>
    <row r="244" spans="2:58" ht="25.15" customHeight="1" x14ac:dyDescent="0.25">
      <c r="B244" s="49">
        <v>240</v>
      </c>
      <c r="C244" s="37"/>
      <c r="D244" s="41"/>
      <c r="E244" s="40"/>
      <c r="F244" s="87" t="str">
        <f>IF(tbl_Actual_costs_quantities34[[#This Row],[House Code]]&lt;&gt;"",INDEX(tbl_Assessment[],MATCH(tbl_Actual_costs_quantities34[[#This Row],[House Code]],tbl_Assessment[House Code],0),3),"")</f>
        <v/>
      </c>
      <c r="G244" s="116" t="str">
        <f>IF(tbl_Actual_costs_quantities34[[#This Row],[House Code]]&lt;&gt;"",INDEX(tbl_Assessment[],MATCH(tbl_Actual_costs_quantities34[[#This Row],[House Code]],tbl_Assessment[House Code],0),9),"")</f>
        <v/>
      </c>
      <c r="H244" s="41"/>
      <c r="I244" s="41"/>
      <c r="J244" s="41"/>
      <c r="K244" s="116"/>
      <c r="L244" s="117" t="str">
        <f>IF(tbl_Actual_costs_quantities34[[#This Row],[House Code]]&lt;&gt;"",tbl_Actual_costs_quantities34[[#This Row],[Total cost]]/INDEX(tbl_estimated_costs_quantities[],MATCH(tbl_Actual_costs_quantities34[[#This Row],[House Code]],tbl_estimated_costs_quantities[House Code],0),7),"")</f>
        <v/>
      </c>
      <c r="M24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4" s="75"/>
      <c r="O244" s="37"/>
      <c r="P244" s="86">
        <f>tbl_Actual_costs_quantities34[[#This Row],[Site Preparation]]*BOQs!$L$3</f>
        <v>0</v>
      </c>
      <c r="Q244" s="76"/>
      <c r="R244" s="37"/>
      <c r="S244" s="86">
        <f>tbl_Actual_costs_quantities34[[#This Row],[Demolition Removal Unsafe Structures]]*BOQs!$L$4</f>
        <v>0</v>
      </c>
      <c r="T244" s="76"/>
      <c r="U244" s="37"/>
      <c r="V244" s="86">
        <f>tbl_Actual_costs_quantities34[[#This Row],[Concrete Works]]*BOQs!$L$5</f>
        <v>0</v>
      </c>
      <c r="W244" s="76"/>
      <c r="X244" s="37"/>
      <c r="Y244" s="86">
        <f>tbl_Actual_costs_quantities34[[#This Row],[Closure External Openings Walls Windows]]*BOQs!$L$6</f>
        <v>0</v>
      </c>
      <c r="Z244" s="76"/>
      <c r="AA244" s="37"/>
      <c r="AB244" s="86">
        <f>tbl_Actual_costs_quantities34[[#This Row],[Plastering Painting]]*BOQs!$L$7</f>
        <v>0</v>
      </c>
      <c r="AC244" s="76"/>
      <c r="AD244" s="37"/>
      <c r="AE244" s="86">
        <f>tbl_Actual_costs_quantities34[[#This Row],[Floor Repairs]]*BOQs!$L$8</f>
        <v>0</v>
      </c>
      <c r="AF244" s="76"/>
      <c r="AG244" s="37"/>
      <c r="AH244" s="86">
        <f>tbl_Actual_costs_quantities34[[#This Row],[Doors Replacement Repair]]*BOQs!$L$9</f>
        <v>0</v>
      </c>
      <c r="AI244" s="76"/>
      <c r="AJ244" s="37"/>
      <c r="AK244" s="86">
        <f>tbl_Actual_costs_quantities34[[#This Row],[Windows Replacement Repair]]*BOQs!$L$10</f>
        <v>0</v>
      </c>
      <c r="AL244" s="76"/>
      <c r="AM244" s="37"/>
      <c r="AN244" s="86">
        <f>tbl_Actual_costs_quantities34[[#This Row],[Bathroom Rehabilitation]]*BOQs!$L$11</f>
        <v>0</v>
      </c>
      <c r="AO244" s="76"/>
      <c r="AP244" s="37"/>
      <c r="AQ244" s="86">
        <f>tbl_Actual_costs_quantities34[[#This Row],[Ceramic Tile Works WASH]]*BOQs!$L$12</f>
        <v>0</v>
      </c>
      <c r="AR244" s="76"/>
      <c r="AS244" s="37"/>
      <c r="AT244" s="86">
        <f>tbl_Actual_costs_quantities34[[#This Row],[Electrical Repairs Lighting]]*BOQs!$L$13</f>
        <v>0</v>
      </c>
      <c r="AU244" s="76"/>
      <c r="AV244" s="37"/>
      <c r="AW244" s="86">
        <f>tbl_Actual_costs_quantities34[[#This Row],[Roof Insulation Leak Sealing]]*BOQs!$L$14</f>
        <v>0</v>
      </c>
      <c r="AX244" s="76"/>
      <c r="AY244" s="37"/>
      <c r="AZ244" s="86">
        <f>tbl_Actual_costs_quantities34[[#This Row],[Chimney Duct Cleaning Repair]]*BOQs!$L$15</f>
        <v>0</v>
      </c>
      <c r="BA244" s="76"/>
      <c r="BB244" s="37"/>
      <c r="BC244" s="89">
        <f>tbl_Actual_costs_quantities34[[#This Row],[Accessibility Adaptations]]*BOQs!$L$16</f>
        <v>0</v>
      </c>
      <c r="BD244" s="41"/>
      <c r="BE244" s="37"/>
      <c r="BF244" s="37"/>
    </row>
    <row r="245" spans="2:58" ht="25.15" customHeight="1" x14ac:dyDescent="0.25">
      <c r="B245" s="49">
        <v>241</v>
      </c>
      <c r="C245" s="37"/>
      <c r="D245" s="41"/>
      <c r="E245" s="40"/>
      <c r="F245" s="87" t="str">
        <f>IF(tbl_Actual_costs_quantities34[[#This Row],[House Code]]&lt;&gt;"",INDEX(tbl_Assessment[],MATCH(tbl_Actual_costs_quantities34[[#This Row],[House Code]],tbl_Assessment[House Code],0),3),"")</f>
        <v/>
      </c>
      <c r="G245" s="116" t="str">
        <f>IF(tbl_Actual_costs_quantities34[[#This Row],[House Code]]&lt;&gt;"",INDEX(tbl_Assessment[],MATCH(tbl_Actual_costs_quantities34[[#This Row],[House Code]],tbl_Assessment[House Code],0),9),"")</f>
        <v/>
      </c>
      <c r="H245" s="41"/>
      <c r="I245" s="41"/>
      <c r="J245" s="41"/>
      <c r="K245" s="116"/>
      <c r="L245" s="117" t="str">
        <f>IF(tbl_Actual_costs_quantities34[[#This Row],[House Code]]&lt;&gt;"",tbl_Actual_costs_quantities34[[#This Row],[Total cost]]/INDEX(tbl_estimated_costs_quantities[],MATCH(tbl_Actual_costs_quantities34[[#This Row],[House Code]],tbl_estimated_costs_quantities[House Code],0),7),"")</f>
        <v/>
      </c>
      <c r="M24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5" s="75"/>
      <c r="O245" s="37"/>
      <c r="P245" s="86">
        <f>tbl_Actual_costs_quantities34[[#This Row],[Site Preparation]]*BOQs!$L$3</f>
        <v>0</v>
      </c>
      <c r="Q245" s="76"/>
      <c r="R245" s="37"/>
      <c r="S245" s="86">
        <f>tbl_Actual_costs_quantities34[[#This Row],[Demolition Removal Unsafe Structures]]*BOQs!$L$4</f>
        <v>0</v>
      </c>
      <c r="T245" s="76"/>
      <c r="U245" s="37"/>
      <c r="V245" s="86">
        <f>tbl_Actual_costs_quantities34[[#This Row],[Concrete Works]]*BOQs!$L$5</f>
        <v>0</v>
      </c>
      <c r="W245" s="76"/>
      <c r="X245" s="37"/>
      <c r="Y245" s="86">
        <f>tbl_Actual_costs_quantities34[[#This Row],[Closure External Openings Walls Windows]]*BOQs!$L$6</f>
        <v>0</v>
      </c>
      <c r="Z245" s="76"/>
      <c r="AA245" s="37"/>
      <c r="AB245" s="86">
        <f>tbl_Actual_costs_quantities34[[#This Row],[Plastering Painting]]*BOQs!$L$7</f>
        <v>0</v>
      </c>
      <c r="AC245" s="76"/>
      <c r="AD245" s="37"/>
      <c r="AE245" s="86">
        <f>tbl_Actual_costs_quantities34[[#This Row],[Floor Repairs]]*BOQs!$L$8</f>
        <v>0</v>
      </c>
      <c r="AF245" s="76"/>
      <c r="AG245" s="37"/>
      <c r="AH245" s="86">
        <f>tbl_Actual_costs_quantities34[[#This Row],[Doors Replacement Repair]]*BOQs!$L$9</f>
        <v>0</v>
      </c>
      <c r="AI245" s="76"/>
      <c r="AJ245" s="37"/>
      <c r="AK245" s="86">
        <f>tbl_Actual_costs_quantities34[[#This Row],[Windows Replacement Repair]]*BOQs!$L$10</f>
        <v>0</v>
      </c>
      <c r="AL245" s="76"/>
      <c r="AM245" s="37"/>
      <c r="AN245" s="86">
        <f>tbl_Actual_costs_quantities34[[#This Row],[Bathroom Rehabilitation]]*BOQs!$L$11</f>
        <v>0</v>
      </c>
      <c r="AO245" s="76"/>
      <c r="AP245" s="37"/>
      <c r="AQ245" s="86">
        <f>tbl_Actual_costs_quantities34[[#This Row],[Ceramic Tile Works WASH]]*BOQs!$L$12</f>
        <v>0</v>
      </c>
      <c r="AR245" s="76"/>
      <c r="AS245" s="37"/>
      <c r="AT245" s="86">
        <f>tbl_Actual_costs_quantities34[[#This Row],[Electrical Repairs Lighting]]*BOQs!$L$13</f>
        <v>0</v>
      </c>
      <c r="AU245" s="76"/>
      <c r="AV245" s="37"/>
      <c r="AW245" s="86">
        <f>tbl_Actual_costs_quantities34[[#This Row],[Roof Insulation Leak Sealing]]*BOQs!$L$14</f>
        <v>0</v>
      </c>
      <c r="AX245" s="76"/>
      <c r="AY245" s="37"/>
      <c r="AZ245" s="86">
        <f>tbl_Actual_costs_quantities34[[#This Row],[Chimney Duct Cleaning Repair]]*BOQs!$L$15</f>
        <v>0</v>
      </c>
      <c r="BA245" s="76"/>
      <c r="BB245" s="37"/>
      <c r="BC245" s="89">
        <f>tbl_Actual_costs_quantities34[[#This Row],[Accessibility Adaptations]]*BOQs!$L$16</f>
        <v>0</v>
      </c>
      <c r="BD245" s="41"/>
      <c r="BE245" s="37"/>
      <c r="BF245" s="37"/>
    </row>
    <row r="246" spans="2:58" ht="25.15" customHeight="1" x14ac:dyDescent="0.25">
      <c r="B246" s="49">
        <v>242</v>
      </c>
      <c r="C246" s="37"/>
      <c r="D246" s="41"/>
      <c r="E246" s="40"/>
      <c r="F246" s="87" t="str">
        <f>IF(tbl_Actual_costs_quantities34[[#This Row],[House Code]]&lt;&gt;"",INDEX(tbl_Assessment[],MATCH(tbl_Actual_costs_quantities34[[#This Row],[House Code]],tbl_Assessment[House Code],0),3),"")</f>
        <v/>
      </c>
      <c r="G246" s="116" t="str">
        <f>IF(tbl_Actual_costs_quantities34[[#This Row],[House Code]]&lt;&gt;"",INDEX(tbl_Assessment[],MATCH(tbl_Actual_costs_quantities34[[#This Row],[House Code]],tbl_Assessment[House Code],0),9),"")</f>
        <v/>
      </c>
      <c r="H246" s="41"/>
      <c r="I246" s="41"/>
      <c r="J246" s="41"/>
      <c r="K246" s="116"/>
      <c r="L246" s="117" t="str">
        <f>IF(tbl_Actual_costs_quantities34[[#This Row],[House Code]]&lt;&gt;"",tbl_Actual_costs_quantities34[[#This Row],[Total cost]]/INDEX(tbl_estimated_costs_quantities[],MATCH(tbl_Actual_costs_quantities34[[#This Row],[House Code]],tbl_estimated_costs_quantities[House Code],0),7),"")</f>
        <v/>
      </c>
      <c r="M24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6" s="75"/>
      <c r="O246" s="37"/>
      <c r="P246" s="86">
        <f>tbl_Actual_costs_quantities34[[#This Row],[Site Preparation]]*BOQs!$L$3</f>
        <v>0</v>
      </c>
      <c r="Q246" s="76"/>
      <c r="R246" s="37"/>
      <c r="S246" s="86">
        <f>tbl_Actual_costs_quantities34[[#This Row],[Demolition Removal Unsafe Structures]]*BOQs!$L$4</f>
        <v>0</v>
      </c>
      <c r="T246" s="76"/>
      <c r="U246" s="37"/>
      <c r="V246" s="86">
        <f>tbl_Actual_costs_quantities34[[#This Row],[Concrete Works]]*BOQs!$L$5</f>
        <v>0</v>
      </c>
      <c r="W246" s="76"/>
      <c r="X246" s="37"/>
      <c r="Y246" s="86">
        <f>tbl_Actual_costs_quantities34[[#This Row],[Closure External Openings Walls Windows]]*BOQs!$L$6</f>
        <v>0</v>
      </c>
      <c r="Z246" s="76"/>
      <c r="AA246" s="37"/>
      <c r="AB246" s="86">
        <f>tbl_Actual_costs_quantities34[[#This Row],[Plastering Painting]]*BOQs!$L$7</f>
        <v>0</v>
      </c>
      <c r="AC246" s="76"/>
      <c r="AD246" s="37"/>
      <c r="AE246" s="86">
        <f>tbl_Actual_costs_quantities34[[#This Row],[Floor Repairs]]*BOQs!$L$8</f>
        <v>0</v>
      </c>
      <c r="AF246" s="76"/>
      <c r="AG246" s="37"/>
      <c r="AH246" s="86">
        <f>tbl_Actual_costs_quantities34[[#This Row],[Doors Replacement Repair]]*BOQs!$L$9</f>
        <v>0</v>
      </c>
      <c r="AI246" s="76"/>
      <c r="AJ246" s="37"/>
      <c r="AK246" s="86">
        <f>tbl_Actual_costs_quantities34[[#This Row],[Windows Replacement Repair]]*BOQs!$L$10</f>
        <v>0</v>
      </c>
      <c r="AL246" s="76"/>
      <c r="AM246" s="37"/>
      <c r="AN246" s="86">
        <f>tbl_Actual_costs_quantities34[[#This Row],[Bathroom Rehabilitation]]*BOQs!$L$11</f>
        <v>0</v>
      </c>
      <c r="AO246" s="76"/>
      <c r="AP246" s="37"/>
      <c r="AQ246" s="86">
        <f>tbl_Actual_costs_quantities34[[#This Row],[Ceramic Tile Works WASH]]*BOQs!$L$12</f>
        <v>0</v>
      </c>
      <c r="AR246" s="76"/>
      <c r="AS246" s="37"/>
      <c r="AT246" s="86">
        <f>tbl_Actual_costs_quantities34[[#This Row],[Electrical Repairs Lighting]]*BOQs!$L$13</f>
        <v>0</v>
      </c>
      <c r="AU246" s="76"/>
      <c r="AV246" s="37"/>
      <c r="AW246" s="86">
        <f>tbl_Actual_costs_quantities34[[#This Row],[Roof Insulation Leak Sealing]]*BOQs!$L$14</f>
        <v>0</v>
      </c>
      <c r="AX246" s="76"/>
      <c r="AY246" s="37"/>
      <c r="AZ246" s="86">
        <f>tbl_Actual_costs_quantities34[[#This Row],[Chimney Duct Cleaning Repair]]*BOQs!$L$15</f>
        <v>0</v>
      </c>
      <c r="BA246" s="76"/>
      <c r="BB246" s="37"/>
      <c r="BC246" s="89">
        <f>tbl_Actual_costs_quantities34[[#This Row],[Accessibility Adaptations]]*BOQs!$L$16</f>
        <v>0</v>
      </c>
      <c r="BD246" s="41"/>
      <c r="BE246" s="37"/>
      <c r="BF246" s="37"/>
    </row>
    <row r="247" spans="2:58" ht="25.15" customHeight="1" x14ac:dyDescent="0.25">
      <c r="B247" s="49">
        <v>243</v>
      </c>
      <c r="C247" s="37"/>
      <c r="D247" s="41"/>
      <c r="E247" s="40"/>
      <c r="F247" s="87" t="str">
        <f>IF(tbl_Actual_costs_quantities34[[#This Row],[House Code]]&lt;&gt;"",INDEX(tbl_Assessment[],MATCH(tbl_Actual_costs_quantities34[[#This Row],[House Code]],tbl_Assessment[House Code],0),3),"")</f>
        <v/>
      </c>
      <c r="G247" s="116" t="str">
        <f>IF(tbl_Actual_costs_quantities34[[#This Row],[House Code]]&lt;&gt;"",INDEX(tbl_Assessment[],MATCH(tbl_Actual_costs_quantities34[[#This Row],[House Code]],tbl_Assessment[House Code],0),9),"")</f>
        <v/>
      </c>
      <c r="H247" s="41"/>
      <c r="I247" s="41"/>
      <c r="J247" s="41"/>
      <c r="K247" s="116"/>
      <c r="L247" s="117" t="str">
        <f>IF(tbl_Actual_costs_quantities34[[#This Row],[House Code]]&lt;&gt;"",tbl_Actual_costs_quantities34[[#This Row],[Total cost]]/INDEX(tbl_estimated_costs_quantities[],MATCH(tbl_Actual_costs_quantities34[[#This Row],[House Code]],tbl_estimated_costs_quantities[House Code],0),7),"")</f>
        <v/>
      </c>
      <c r="M24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7" s="75"/>
      <c r="O247" s="37"/>
      <c r="P247" s="86">
        <f>tbl_Actual_costs_quantities34[[#This Row],[Site Preparation]]*BOQs!$L$3</f>
        <v>0</v>
      </c>
      <c r="Q247" s="76"/>
      <c r="R247" s="37"/>
      <c r="S247" s="86">
        <f>tbl_Actual_costs_quantities34[[#This Row],[Demolition Removal Unsafe Structures]]*BOQs!$L$4</f>
        <v>0</v>
      </c>
      <c r="T247" s="76"/>
      <c r="U247" s="37"/>
      <c r="V247" s="86">
        <f>tbl_Actual_costs_quantities34[[#This Row],[Concrete Works]]*BOQs!$L$5</f>
        <v>0</v>
      </c>
      <c r="W247" s="76"/>
      <c r="X247" s="37"/>
      <c r="Y247" s="86">
        <f>tbl_Actual_costs_quantities34[[#This Row],[Closure External Openings Walls Windows]]*BOQs!$L$6</f>
        <v>0</v>
      </c>
      <c r="Z247" s="76"/>
      <c r="AA247" s="37"/>
      <c r="AB247" s="86">
        <f>tbl_Actual_costs_quantities34[[#This Row],[Plastering Painting]]*BOQs!$L$7</f>
        <v>0</v>
      </c>
      <c r="AC247" s="76"/>
      <c r="AD247" s="37"/>
      <c r="AE247" s="86">
        <f>tbl_Actual_costs_quantities34[[#This Row],[Floor Repairs]]*BOQs!$L$8</f>
        <v>0</v>
      </c>
      <c r="AF247" s="76"/>
      <c r="AG247" s="37"/>
      <c r="AH247" s="86">
        <f>tbl_Actual_costs_quantities34[[#This Row],[Doors Replacement Repair]]*BOQs!$L$9</f>
        <v>0</v>
      </c>
      <c r="AI247" s="76"/>
      <c r="AJ247" s="37"/>
      <c r="AK247" s="86">
        <f>tbl_Actual_costs_quantities34[[#This Row],[Windows Replacement Repair]]*BOQs!$L$10</f>
        <v>0</v>
      </c>
      <c r="AL247" s="76"/>
      <c r="AM247" s="37"/>
      <c r="AN247" s="86">
        <f>tbl_Actual_costs_quantities34[[#This Row],[Bathroom Rehabilitation]]*BOQs!$L$11</f>
        <v>0</v>
      </c>
      <c r="AO247" s="76"/>
      <c r="AP247" s="37"/>
      <c r="AQ247" s="86">
        <f>tbl_Actual_costs_quantities34[[#This Row],[Ceramic Tile Works WASH]]*BOQs!$L$12</f>
        <v>0</v>
      </c>
      <c r="AR247" s="76"/>
      <c r="AS247" s="37"/>
      <c r="AT247" s="86">
        <f>tbl_Actual_costs_quantities34[[#This Row],[Electrical Repairs Lighting]]*BOQs!$L$13</f>
        <v>0</v>
      </c>
      <c r="AU247" s="76"/>
      <c r="AV247" s="37"/>
      <c r="AW247" s="86">
        <f>tbl_Actual_costs_quantities34[[#This Row],[Roof Insulation Leak Sealing]]*BOQs!$L$14</f>
        <v>0</v>
      </c>
      <c r="AX247" s="76"/>
      <c r="AY247" s="37"/>
      <c r="AZ247" s="86">
        <f>tbl_Actual_costs_quantities34[[#This Row],[Chimney Duct Cleaning Repair]]*BOQs!$L$15</f>
        <v>0</v>
      </c>
      <c r="BA247" s="76"/>
      <c r="BB247" s="37"/>
      <c r="BC247" s="89">
        <f>tbl_Actual_costs_quantities34[[#This Row],[Accessibility Adaptations]]*BOQs!$L$16</f>
        <v>0</v>
      </c>
      <c r="BD247" s="41"/>
      <c r="BE247" s="37"/>
      <c r="BF247" s="37"/>
    </row>
    <row r="248" spans="2:58" ht="25.15" customHeight="1" x14ac:dyDescent="0.25">
      <c r="B248" s="49">
        <v>244</v>
      </c>
      <c r="C248" s="37"/>
      <c r="D248" s="41"/>
      <c r="E248" s="40"/>
      <c r="F248" s="87" t="str">
        <f>IF(tbl_Actual_costs_quantities34[[#This Row],[House Code]]&lt;&gt;"",INDEX(tbl_Assessment[],MATCH(tbl_Actual_costs_quantities34[[#This Row],[House Code]],tbl_Assessment[House Code],0),3),"")</f>
        <v/>
      </c>
      <c r="G248" s="116" t="str">
        <f>IF(tbl_Actual_costs_quantities34[[#This Row],[House Code]]&lt;&gt;"",INDEX(tbl_Assessment[],MATCH(tbl_Actual_costs_quantities34[[#This Row],[House Code]],tbl_Assessment[House Code],0),9),"")</f>
        <v/>
      </c>
      <c r="H248" s="41"/>
      <c r="I248" s="41"/>
      <c r="J248" s="41"/>
      <c r="K248" s="116"/>
      <c r="L248" s="117" t="str">
        <f>IF(tbl_Actual_costs_quantities34[[#This Row],[House Code]]&lt;&gt;"",tbl_Actual_costs_quantities34[[#This Row],[Total cost]]/INDEX(tbl_estimated_costs_quantities[],MATCH(tbl_Actual_costs_quantities34[[#This Row],[House Code]],tbl_estimated_costs_quantities[House Code],0),7),"")</f>
        <v/>
      </c>
      <c r="M24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8" s="75"/>
      <c r="O248" s="37"/>
      <c r="P248" s="86">
        <f>tbl_Actual_costs_quantities34[[#This Row],[Site Preparation]]*BOQs!$L$3</f>
        <v>0</v>
      </c>
      <c r="Q248" s="76"/>
      <c r="R248" s="37"/>
      <c r="S248" s="86">
        <f>tbl_Actual_costs_quantities34[[#This Row],[Demolition Removal Unsafe Structures]]*BOQs!$L$4</f>
        <v>0</v>
      </c>
      <c r="T248" s="76"/>
      <c r="U248" s="37"/>
      <c r="V248" s="86">
        <f>tbl_Actual_costs_quantities34[[#This Row],[Concrete Works]]*BOQs!$L$5</f>
        <v>0</v>
      </c>
      <c r="W248" s="76"/>
      <c r="X248" s="37"/>
      <c r="Y248" s="86">
        <f>tbl_Actual_costs_quantities34[[#This Row],[Closure External Openings Walls Windows]]*BOQs!$L$6</f>
        <v>0</v>
      </c>
      <c r="Z248" s="76"/>
      <c r="AA248" s="37"/>
      <c r="AB248" s="86">
        <f>tbl_Actual_costs_quantities34[[#This Row],[Plastering Painting]]*BOQs!$L$7</f>
        <v>0</v>
      </c>
      <c r="AC248" s="76"/>
      <c r="AD248" s="37"/>
      <c r="AE248" s="86">
        <f>tbl_Actual_costs_quantities34[[#This Row],[Floor Repairs]]*BOQs!$L$8</f>
        <v>0</v>
      </c>
      <c r="AF248" s="76"/>
      <c r="AG248" s="37"/>
      <c r="AH248" s="86">
        <f>tbl_Actual_costs_quantities34[[#This Row],[Doors Replacement Repair]]*BOQs!$L$9</f>
        <v>0</v>
      </c>
      <c r="AI248" s="76"/>
      <c r="AJ248" s="37"/>
      <c r="AK248" s="86">
        <f>tbl_Actual_costs_quantities34[[#This Row],[Windows Replacement Repair]]*BOQs!$L$10</f>
        <v>0</v>
      </c>
      <c r="AL248" s="76"/>
      <c r="AM248" s="37"/>
      <c r="AN248" s="86">
        <f>tbl_Actual_costs_quantities34[[#This Row],[Bathroom Rehabilitation]]*BOQs!$L$11</f>
        <v>0</v>
      </c>
      <c r="AO248" s="76"/>
      <c r="AP248" s="37"/>
      <c r="AQ248" s="86">
        <f>tbl_Actual_costs_quantities34[[#This Row],[Ceramic Tile Works WASH]]*BOQs!$L$12</f>
        <v>0</v>
      </c>
      <c r="AR248" s="76"/>
      <c r="AS248" s="37"/>
      <c r="AT248" s="86">
        <f>tbl_Actual_costs_quantities34[[#This Row],[Electrical Repairs Lighting]]*BOQs!$L$13</f>
        <v>0</v>
      </c>
      <c r="AU248" s="76"/>
      <c r="AV248" s="37"/>
      <c r="AW248" s="86">
        <f>tbl_Actual_costs_quantities34[[#This Row],[Roof Insulation Leak Sealing]]*BOQs!$L$14</f>
        <v>0</v>
      </c>
      <c r="AX248" s="76"/>
      <c r="AY248" s="37"/>
      <c r="AZ248" s="86">
        <f>tbl_Actual_costs_quantities34[[#This Row],[Chimney Duct Cleaning Repair]]*BOQs!$L$15</f>
        <v>0</v>
      </c>
      <c r="BA248" s="76"/>
      <c r="BB248" s="37"/>
      <c r="BC248" s="89">
        <f>tbl_Actual_costs_quantities34[[#This Row],[Accessibility Adaptations]]*BOQs!$L$16</f>
        <v>0</v>
      </c>
      <c r="BD248" s="41"/>
      <c r="BE248" s="37"/>
      <c r="BF248" s="37"/>
    </row>
    <row r="249" spans="2:58" ht="25.15" customHeight="1" x14ac:dyDescent="0.25">
      <c r="B249" s="49">
        <v>245</v>
      </c>
      <c r="C249" s="37"/>
      <c r="D249" s="41"/>
      <c r="E249" s="40"/>
      <c r="F249" s="87" t="str">
        <f>IF(tbl_Actual_costs_quantities34[[#This Row],[House Code]]&lt;&gt;"",INDEX(tbl_Assessment[],MATCH(tbl_Actual_costs_quantities34[[#This Row],[House Code]],tbl_Assessment[House Code],0),3),"")</f>
        <v/>
      </c>
      <c r="G249" s="116" t="str">
        <f>IF(tbl_Actual_costs_quantities34[[#This Row],[House Code]]&lt;&gt;"",INDEX(tbl_Assessment[],MATCH(tbl_Actual_costs_quantities34[[#This Row],[House Code]],tbl_Assessment[House Code],0),9),"")</f>
        <v/>
      </c>
      <c r="H249" s="41"/>
      <c r="I249" s="41"/>
      <c r="J249" s="41"/>
      <c r="K249" s="116"/>
      <c r="L249" s="117" t="str">
        <f>IF(tbl_Actual_costs_quantities34[[#This Row],[House Code]]&lt;&gt;"",tbl_Actual_costs_quantities34[[#This Row],[Total cost]]/INDEX(tbl_estimated_costs_quantities[],MATCH(tbl_Actual_costs_quantities34[[#This Row],[House Code]],tbl_estimated_costs_quantities[House Code],0),7),"")</f>
        <v/>
      </c>
      <c r="M24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49" s="75"/>
      <c r="O249" s="37"/>
      <c r="P249" s="86">
        <f>tbl_Actual_costs_quantities34[[#This Row],[Site Preparation]]*BOQs!$L$3</f>
        <v>0</v>
      </c>
      <c r="Q249" s="76"/>
      <c r="R249" s="37"/>
      <c r="S249" s="86">
        <f>tbl_Actual_costs_quantities34[[#This Row],[Demolition Removal Unsafe Structures]]*BOQs!$L$4</f>
        <v>0</v>
      </c>
      <c r="T249" s="76"/>
      <c r="U249" s="37"/>
      <c r="V249" s="86">
        <f>tbl_Actual_costs_quantities34[[#This Row],[Concrete Works]]*BOQs!$L$5</f>
        <v>0</v>
      </c>
      <c r="W249" s="76"/>
      <c r="X249" s="37"/>
      <c r="Y249" s="86">
        <f>tbl_Actual_costs_quantities34[[#This Row],[Closure External Openings Walls Windows]]*BOQs!$L$6</f>
        <v>0</v>
      </c>
      <c r="Z249" s="76"/>
      <c r="AA249" s="37"/>
      <c r="AB249" s="86">
        <f>tbl_Actual_costs_quantities34[[#This Row],[Plastering Painting]]*BOQs!$L$7</f>
        <v>0</v>
      </c>
      <c r="AC249" s="76"/>
      <c r="AD249" s="37"/>
      <c r="AE249" s="86">
        <f>tbl_Actual_costs_quantities34[[#This Row],[Floor Repairs]]*BOQs!$L$8</f>
        <v>0</v>
      </c>
      <c r="AF249" s="76"/>
      <c r="AG249" s="37"/>
      <c r="AH249" s="86">
        <f>tbl_Actual_costs_quantities34[[#This Row],[Doors Replacement Repair]]*BOQs!$L$9</f>
        <v>0</v>
      </c>
      <c r="AI249" s="76"/>
      <c r="AJ249" s="37"/>
      <c r="AK249" s="86">
        <f>tbl_Actual_costs_quantities34[[#This Row],[Windows Replacement Repair]]*BOQs!$L$10</f>
        <v>0</v>
      </c>
      <c r="AL249" s="76"/>
      <c r="AM249" s="37"/>
      <c r="AN249" s="86">
        <f>tbl_Actual_costs_quantities34[[#This Row],[Bathroom Rehabilitation]]*BOQs!$L$11</f>
        <v>0</v>
      </c>
      <c r="AO249" s="76"/>
      <c r="AP249" s="37"/>
      <c r="AQ249" s="86">
        <f>tbl_Actual_costs_quantities34[[#This Row],[Ceramic Tile Works WASH]]*BOQs!$L$12</f>
        <v>0</v>
      </c>
      <c r="AR249" s="76"/>
      <c r="AS249" s="37"/>
      <c r="AT249" s="86">
        <f>tbl_Actual_costs_quantities34[[#This Row],[Electrical Repairs Lighting]]*BOQs!$L$13</f>
        <v>0</v>
      </c>
      <c r="AU249" s="76"/>
      <c r="AV249" s="37"/>
      <c r="AW249" s="86">
        <f>tbl_Actual_costs_quantities34[[#This Row],[Roof Insulation Leak Sealing]]*BOQs!$L$14</f>
        <v>0</v>
      </c>
      <c r="AX249" s="76"/>
      <c r="AY249" s="37"/>
      <c r="AZ249" s="86">
        <f>tbl_Actual_costs_quantities34[[#This Row],[Chimney Duct Cleaning Repair]]*BOQs!$L$15</f>
        <v>0</v>
      </c>
      <c r="BA249" s="76"/>
      <c r="BB249" s="37"/>
      <c r="BC249" s="89">
        <f>tbl_Actual_costs_quantities34[[#This Row],[Accessibility Adaptations]]*BOQs!$L$16</f>
        <v>0</v>
      </c>
      <c r="BD249" s="41"/>
      <c r="BE249" s="37"/>
      <c r="BF249" s="37"/>
    </row>
    <row r="250" spans="2:58" ht="25.15" customHeight="1" x14ac:dyDescent="0.25">
      <c r="B250" s="49">
        <v>246</v>
      </c>
      <c r="C250" s="37"/>
      <c r="D250" s="41"/>
      <c r="E250" s="40"/>
      <c r="F250" s="87" t="str">
        <f>IF(tbl_Actual_costs_quantities34[[#This Row],[House Code]]&lt;&gt;"",INDEX(tbl_Assessment[],MATCH(tbl_Actual_costs_quantities34[[#This Row],[House Code]],tbl_Assessment[House Code],0),3),"")</f>
        <v/>
      </c>
      <c r="G250" s="116" t="str">
        <f>IF(tbl_Actual_costs_quantities34[[#This Row],[House Code]]&lt;&gt;"",INDEX(tbl_Assessment[],MATCH(tbl_Actual_costs_quantities34[[#This Row],[House Code]],tbl_Assessment[House Code],0),9),"")</f>
        <v/>
      </c>
      <c r="H250" s="41"/>
      <c r="I250" s="41"/>
      <c r="J250" s="41"/>
      <c r="K250" s="116"/>
      <c r="L250" s="117" t="str">
        <f>IF(tbl_Actual_costs_quantities34[[#This Row],[House Code]]&lt;&gt;"",tbl_Actual_costs_quantities34[[#This Row],[Total cost]]/INDEX(tbl_estimated_costs_quantities[],MATCH(tbl_Actual_costs_quantities34[[#This Row],[House Code]],tbl_estimated_costs_quantities[House Code],0),7),"")</f>
        <v/>
      </c>
      <c r="M25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0" s="75"/>
      <c r="O250" s="37"/>
      <c r="P250" s="86">
        <f>tbl_Actual_costs_quantities34[[#This Row],[Site Preparation]]*BOQs!$L$3</f>
        <v>0</v>
      </c>
      <c r="Q250" s="76"/>
      <c r="R250" s="37"/>
      <c r="S250" s="86">
        <f>tbl_Actual_costs_quantities34[[#This Row],[Demolition Removal Unsafe Structures]]*BOQs!$L$4</f>
        <v>0</v>
      </c>
      <c r="T250" s="76"/>
      <c r="U250" s="37"/>
      <c r="V250" s="86">
        <f>tbl_Actual_costs_quantities34[[#This Row],[Concrete Works]]*BOQs!$L$5</f>
        <v>0</v>
      </c>
      <c r="W250" s="76"/>
      <c r="X250" s="37"/>
      <c r="Y250" s="86">
        <f>tbl_Actual_costs_quantities34[[#This Row],[Closure External Openings Walls Windows]]*BOQs!$L$6</f>
        <v>0</v>
      </c>
      <c r="Z250" s="76"/>
      <c r="AA250" s="37"/>
      <c r="AB250" s="86">
        <f>tbl_Actual_costs_quantities34[[#This Row],[Plastering Painting]]*BOQs!$L$7</f>
        <v>0</v>
      </c>
      <c r="AC250" s="76"/>
      <c r="AD250" s="37"/>
      <c r="AE250" s="86">
        <f>tbl_Actual_costs_quantities34[[#This Row],[Floor Repairs]]*BOQs!$L$8</f>
        <v>0</v>
      </c>
      <c r="AF250" s="76"/>
      <c r="AG250" s="37"/>
      <c r="AH250" s="86">
        <f>tbl_Actual_costs_quantities34[[#This Row],[Doors Replacement Repair]]*BOQs!$L$9</f>
        <v>0</v>
      </c>
      <c r="AI250" s="76"/>
      <c r="AJ250" s="37"/>
      <c r="AK250" s="86">
        <f>tbl_Actual_costs_quantities34[[#This Row],[Windows Replacement Repair]]*BOQs!$L$10</f>
        <v>0</v>
      </c>
      <c r="AL250" s="76"/>
      <c r="AM250" s="37"/>
      <c r="AN250" s="86">
        <f>tbl_Actual_costs_quantities34[[#This Row],[Bathroom Rehabilitation]]*BOQs!$L$11</f>
        <v>0</v>
      </c>
      <c r="AO250" s="76"/>
      <c r="AP250" s="37"/>
      <c r="AQ250" s="86">
        <f>tbl_Actual_costs_quantities34[[#This Row],[Ceramic Tile Works WASH]]*BOQs!$L$12</f>
        <v>0</v>
      </c>
      <c r="AR250" s="76"/>
      <c r="AS250" s="37"/>
      <c r="AT250" s="86">
        <f>tbl_Actual_costs_quantities34[[#This Row],[Electrical Repairs Lighting]]*BOQs!$L$13</f>
        <v>0</v>
      </c>
      <c r="AU250" s="76"/>
      <c r="AV250" s="37"/>
      <c r="AW250" s="86">
        <f>tbl_Actual_costs_quantities34[[#This Row],[Roof Insulation Leak Sealing]]*BOQs!$L$14</f>
        <v>0</v>
      </c>
      <c r="AX250" s="76"/>
      <c r="AY250" s="37"/>
      <c r="AZ250" s="86">
        <f>tbl_Actual_costs_quantities34[[#This Row],[Chimney Duct Cleaning Repair]]*BOQs!$L$15</f>
        <v>0</v>
      </c>
      <c r="BA250" s="76"/>
      <c r="BB250" s="37"/>
      <c r="BC250" s="89">
        <f>tbl_Actual_costs_quantities34[[#This Row],[Accessibility Adaptations]]*BOQs!$L$16</f>
        <v>0</v>
      </c>
      <c r="BD250" s="41"/>
      <c r="BE250" s="37"/>
      <c r="BF250" s="37"/>
    </row>
    <row r="251" spans="2:58" ht="25.15" customHeight="1" x14ac:dyDescent="0.25">
      <c r="B251" s="49">
        <v>247</v>
      </c>
      <c r="C251" s="37"/>
      <c r="D251" s="41"/>
      <c r="E251" s="40"/>
      <c r="F251" s="87" t="str">
        <f>IF(tbl_Actual_costs_quantities34[[#This Row],[House Code]]&lt;&gt;"",INDEX(tbl_Assessment[],MATCH(tbl_Actual_costs_quantities34[[#This Row],[House Code]],tbl_Assessment[House Code],0),3),"")</f>
        <v/>
      </c>
      <c r="G251" s="116" t="str">
        <f>IF(tbl_Actual_costs_quantities34[[#This Row],[House Code]]&lt;&gt;"",INDEX(tbl_Assessment[],MATCH(tbl_Actual_costs_quantities34[[#This Row],[House Code]],tbl_Assessment[House Code],0),9),"")</f>
        <v/>
      </c>
      <c r="H251" s="41"/>
      <c r="I251" s="41"/>
      <c r="J251" s="41"/>
      <c r="K251" s="116"/>
      <c r="L251" s="117" t="str">
        <f>IF(tbl_Actual_costs_quantities34[[#This Row],[House Code]]&lt;&gt;"",tbl_Actual_costs_quantities34[[#This Row],[Total cost]]/INDEX(tbl_estimated_costs_quantities[],MATCH(tbl_Actual_costs_quantities34[[#This Row],[House Code]],tbl_estimated_costs_quantities[House Code],0),7),"")</f>
        <v/>
      </c>
      <c r="M25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1" s="75"/>
      <c r="O251" s="37"/>
      <c r="P251" s="86">
        <f>tbl_Actual_costs_quantities34[[#This Row],[Site Preparation]]*BOQs!$L$3</f>
        <v>0</v>
      </c>
      <c r="Q251" s="76"/>
      <c r="R251" s="37"/>
      <c r="S251" s="86">
        <f>tbl_Actual_costs_quantities34[[#This Row],[Demolition Removal Unsafe Structures]]*BOQs!$L$4</f>
        <v>0</v>
      </c>
      <c r="T251" s="76"/>
      <c r="U251" s="37"/>
      <c r="V251" s="86">
        <f>tbl_Actual_costs_quantities34[[#This Row],[Concrete Works]]*BOQs!$L$5</f>
        <v>0</v>
      </c>
      <c r="W251" s="76"/>
      <c r="X251" s="37"/>
      <c r="Y251" s="86">
        <f>tbl_Actual_costs_quantities34[[#This Row],[Closure External Openings Walls Windows]]*BOQs!$L$6</f>
        <v>0</v>
      </c>
      <c r="Z251" s="76"/>
      <c r="AA251" s="37"/>
      <c r="AB251" s="86">
        <f>tbl_Actual_costs_quantities34[[#This Row],[Plastering Painting]]*BOQs!$L$7</f>
        <v>0</v>
      </c>
      <c r="AC251" s="76"/>
      <c r="AD251" s="37"/>
      <c r="AE251" s="86">
        <f>tbl_Actual_costs_quantities34[[#This Row],[Floor Repairs]]*BOQs!$L$8</f>
        <v>0</v>
      </c>
      <c r="AF251" s="76"/>
      <c r="AG251" s="37"/>
      <c r="AH251" s="86">
        <f>tbl_Actual_costs_quantities34[[#This Row],[Doors Replacement Repair]]*BOQs!$L$9</f>
        <v>0</v>
      </c>
      <c r="AI251" s="76"/>
      <c r="AJ251" s="37"/>
      <c r="AK251" s="86">
        <f>tbl_Actual_costs_quantities34[[#This Row],[Windows Replacement Repair]]*BOQs!$L$10</f>
        <v>0</v>
      </c>
      <c r="AL251" s="76"/>
      <c r="AM251" s="37"/>
      <c r="AN251" s="86">
        <f>tbl_Actual_costs_quantities34[[#This Row],[Bathroom Rehabilitation]]*BOQs!$L$11</f>
        <v>0</v>
      </c>
      <c r="AO251" s="76"/>
      <c r="AP251" s="37"/>
      <c r="AQ251" s="86">
        <f>tbl_Actual_costs_quantities34[[#This Row],[Ceramic Tile Works WASH]]*BOQs!$L$12</f>
        <v>0</v>
      </c>
      <c r="AR251" s="76"/>
      <c r="AS251" s="37"/>
      <c r="AT251" s="86">
        <f>tbl_Actual_costs_quantities34[[#This Row],[Electrical Repairs Lighting]]*BOQs!$L$13</f>
        <v>0</v>
      </c>
      <c r="AU251" s="76"/>
      <c r="AV251" s="37"/>
      <c r="AW251" s="86">
        <f>tbl_Actual_costs_quantities34[[#This Row],[Roof Insulation Leak Sealing]]*BOQs!$L$14</f>
        <v>0</v>
      </c>
      <c r="AX251" s="76"/>
      <c r="AY251" s="37"/>
      <c r="AZ251" s="86">
        <f>tbl_Actual_costs_quantities34[[#This Row],[Chimney Duct Cleaning Repair]]*BOQs!$L$15</f>
        <v>0</v>
      </c>
      <c r="BA251" s="76"/>
      <c r="BB251" s="37"/>
      <c r="BC251" s="89">
        <f>tbl_Actual_costs_quantities34[[#This Row],[Accessibility Adaptations]]*BOQs!$L$16</f>
        <v>0</v>
      </c>
      <c r="BD251" s="41"/>
      <c r="BE251" s="37"/>
      <c r="BF251" s="37"/>
    </row>
    <row r="252" spans="2:58" ht="25.15" customHeight="1" x14ac:dyDescent="0.25">
      <c r="B252" s="49">
        <v>248</v>
      </c>
      <c r="C252" s="37"/>
      <c r="D252" s="41"/>
      <c r="E252" s="40"/>
      <c r="F252" s="87" t="str">
        <f>IF(tbl_Actual_costs_quantities34[[#This Row],[House Code]]&lt;&gt;"",INDEX(tbl_Assessment[],MATCH(tbl_Actual_costs_quantities34[[#This Row],[House Code]],tbl_Assessment[House Code],0),3),"")</f>
        <v/>
      </c>
      <c r="G252" s="116" t="str">
        <f>IF(tbl_Actual_costs_quantities34[[#This Row],[House Code]]&lt;&gt;"",INDEX(tbl_Assessment[],MATCH(tbl_Actual_costs_quantities34[[#This Row],[House Code]],tbl_Assessment[House Code],0),9),"")</f>
        <v/>
      </c>
      <c r="H252" s="41"/>
      <c r="I252" s="41"/>
      <c r="J252" s="41"/>
      <c r="K252" s="116"/>
      <c r="L252" s="117" t="str">
        <f>IF(tbl_Actual_costs_quantities34[[#This Row],[House Code]]&lt;&gt;"",tbl_Actual_costs_quantities34[[#This Row],[Total cost]]/INDEX(tbl_estimated_costs_quantities[],MATCH(tbl_Actual_costs_quantities34[[#This Row],[House Code]],tbl_estimated_costs_quantities[House Code],0),7),"")</f>
        <v/>
      </c>
      <c r="M25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2" s="75"/>
      <c r="O252" s="37"/>
      <c r="P252" s="86">
        <f>tbl_Actual_costs_quantities34[[#This Row],[Site Preparation]]*BOQs!$L$3</f>
        <v>0</v>
      </c>
      <c r="Q252" s="76"/>
      <c r="R252" s="37"/>
      <c r="S252" s="86">
        <f>tbl_Actual_costs_quantities34[[#This Row],[Demolition Removal Unsafe Structures]]*BOQs!$L$4</f>
        <v>0</v>
      </c>
      <c r="T252" s="76"/>
      <c r="U252" s="37"/>
      <c r="V252" s="86">
        <f>tbl_Actual_costs_quantities34[[#This Row],[Concrete Works]]*BOQs!$L$5</f>
        <v>0</v>
      </c>
      <c r="W252" s="76"/>
      <c r="X252" s="37"/>
      <c r="Y252" s="86">
        <f>tbl_Actual_costs_quantities34[[#This Row],[Closure External Openings Walls Windows]]*BOQs!$L$6</f>
        <v>0</v>
      </c>
      <c r="Z252" s="76"/>
      <c r="AA252" s="37"/>
      <c r="AB252" s="86">
        <f>tbl_Actual_costs_quantities34[[#This Row],[Plastering Painting]]*BOQs!$L$7</f>
        <v>0</v>
      </c>
      <c r="AC252" s="76"/>
      <c r="AD252" s="37"/>
      <c r="AE252" s="86">
        <f>tbl_Actual_costs_quantities34[[#This Row],[Floor Repairs]]*BOQs!$L$8</f>
        <v>0</v>
      </c>
      <c r="AF252" s="76"/>
      <c r="AG252" s="37"/>
      <c r="AH252" s="86">
        <f>tbl_Actual_costs_quantities34[[#This Row],[Doors Replacement Repair]]*BOQs!$L$9</f>
        <v>0</v>
      </c>
      <c r="AI252" s="76"/>
      <c r="AJ252" s="37"/>
      <c r="AK252" s="86">
        <f>tbl_Actual_costs_quantities34[[#This Row],[Windows Replacement Repair]]*BOQs!$L$10</f>
        <v>0</v>
      </c>
      <c r="AL252" s="76"/>
      <c r="AM252" s="37"/>
      <c r="AN252" s="86">
        <f>tbl_Actual_costs_quantities34[[#This Row],[Bathroom Rehabilitation]]*BOQs!$L$11</f>
        <v>0</v>
      </c>
      <c r="AO252" s="76"/>
      <c r="AP252" s="37"/>
      <c r="AQ252" s="86">
        <f>tbl_Actual_costs_quantities34[[#This Row],[Ceramic Tile Works WASH]]*BOQs!$L$12</f>
        <v>0</v>
      </c>
      <c r="AR252" s="76"/>
      <c r="AS252" s="37"/>
      <c r="AT252" s="86">
        <f>tbl_Actual_costs_quantities34[[#This Row],[Electrical Repairs Lighting]]*BOQs!$L$13</f>
        <v>0</v>
      </c>
      <c r="AU252" s="76"/>
      <c r="AV252" s="37"/>
      <c r="AW252" s="86">
        <f>tbl_Actual_costs_quantities34[[#This Row],[Roof Insulation Leak Sealing]]*BOQs!$L$14</f>
        <v>0</v>
      </c>
      <c r="AX252" s="76"/>
      <c r="AY252" s="37"/>
      <c r="AZ252" s="86">
        <f>tbl_Actual_costs_quantities34[[#This Row],[Chimney Duct Cleaning Repair]]*BOQs!$L$15</f>
        <v>0</v>
      </c>
      <c r="BA252" s="76"/>
      <c r="BB252" s="37"/>
      <c r="BC252" s="89">
        <f>tbl_Actual_costs_quantities34[[#This Row],[Accessibility Adaptations]]*BOQs!$L$16</f>
        <v>0</v>
      </c>
      <c r="BD252" s="41"/>
      <c r="BE252" s="37"/>
      <c r="BF252" s="37"/>
    </row>
    <row r="253" spans="2:58" ht="25.15" customHeight="1" x14ac:dyDescent="0.25">
      <c r="B253" s="49">
        <v>249</v>
      </c>
      <c r="C253" s="37"/>
      <c r="D253" s="41"/>
      <c r="E253" s="40"/>
      <c r="F253" s="87" t="str">
        <f>IF(tbl_Actual_costs_quantities34[[#This Row],[House Code]]&lt;&gt;"",INDEX(tbl_Assessment[],MATCH(tbl_Actual_costs_quantities34[[#This Row],[House Code]],tbl_Assessment[House Code],0),3),"")</f>
        <v/>
      </c>
      <c r="G253" s="116" t="str">
        <f>IF(tbl_Actual_costs_quantities34[[#This Row],[House Code]]&lt;&gt;"",INDEX(tbl_Assessment[],MATCH(tbl_Actual_costs_quantities34[[#This Row],[House Code]],tbl_Assessment[House Code],0),9),"")</f>
        <v/>
      </c>
      <c r="H253" s="41"/>
      <c r="I253" s="41"/>
      <c r="J253" s="41"/>
      <c r="K253" s="116"/>
      <c r="L253" s="117" t="str">
        <f>IF(tbl_Actual_costs_quantities34[[#This Row],[House Code]]&lt;&gt;"",tbl_Actual_costs_quantities34[[#This Row],[Total cost]]/INDEX(tbl_estimated_costs_quantities[],MATCH(tbl_Actual_costs_quantities34[[#This Row],[House Code]],tbl_estimated_costs_quantities[House Code],0),7),"")</f>
        <v/>
      </c>
      <c r="M25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3" s="75"/>
      <c r="O253" s="37"/>
      <c r="P253" s="86">
        <f>tbl_Actual_costs_quantities34[[#This Row],[Site Preparation]]*BOQs!$L$3</f>
        <v>0</v>
      </c>
      <c r="Q253" s="76"/>
      <c r="R253" s="37"/>
      <c r="S253" s="86">
        <f>tbl_Actual_costs_quantities34[[#This Row],[Demolition Removal Unsafe Structures]]*BOQs!$L$4</f>
        <v>0</v>
      </c>
      <c r="T253" s="76"/>
      <c r="U253" s="37"/>
      <c r="V253" s="86">
        <f>tbl_Actual_costs_quantities34[[#This Row],[Concrete Works]]*BOQs!$L$5</f>
        <v>0</v>
      </c>
      <c r="W253" s="76"/>
      <c r="X253" s="37"/>
      <c r="Y253" s="86">
        <f>tbl_Actual_costs_quantities34[[#This Row],[Closure External Openings Walls Windows]]*BOQs!$L$6</f>
        <v>0</v>
      </c>
      <c r="Z253" s="76"/>
      <c r="AA253" s="37"/>
      <c r="AB253" s="86">
        <f>tbl_Actual_costs_quantities34[[#This Row],[Plastering Painting]]*BOQs!$L$7</f>
        <v>0</v>
      </c>
      <c r="AC253" s="76"/>
      <c r="AD253" s="37"/>
      <c r="AE253" s="86">
        <f>tbl_Actual_costs_quantities34[[#This Row],[Floor Repairs]]*BOQs!$L$8</f>
        <v>0</v>
      </c>
      <c r="AF253" s="76"/>
      <c r="AG253" s="37"/>
      <c r="AH253" s="86">
        <f>tbl_Actual_costs_quantities34[[#This Row],[Doors Replacement Repair]]*BOQs!$L$9</f>
        <v>0</v>
      </c>
      <c r="AI253" s="76"/>
      <c r="AJ253" s="37"/>
      <c r="AK253" s="86">
        <f>tbl_Actual_costs_quantities34[[#This Row],[Windows Replacement Repair]]*BOQs!$L$10</f>
        <v>0</v>
      </c>
      <c r="AL253" s="76"/>
      <c r="AM253" s="37"/>
      <c r="AN253" s="86">
        <f>tbl_Actual_costs_quantities34[[#This Row],[Bathroom Rehabilitation]]*BOQs!$L$11</f>
        <v>0</v>
      </c>
      <c r="AO253" s="76"/>
      <c r="AP253" s="37"/>
      <c r="AQ253" s="86">
        <f>tbl_Actual_costs_quantities34[[#This Row],[Ceramic Tile Works WASH]]*BOQs!$L$12</f>
        <v>0</v>
      </c>
      <c r="AR253" s="76"/>
      <c r="AS253" s="37"/>
      <c r="AT253" s="86">
        <f>tbl_Actual_costs_quantities34[[#This Row],[Electrical Repairs Lighting]]*BOQs!$L$13</f>
        <v>0</v>
      </c>
      <c r="AU253" s="76"/>
      <c r="AV253" s="37"/>
      <c r="AW253" s="86">
        <f>tbl_Actual_costs_quantities34[[#This Row],[Roof Insulation Leak Sealing]]*BOQs!$L$14</f>
        <v>0</v>
      </c>
      <c r="AX253" s="76"/>
      <c r="AY253" s="37"/>
      <c r="AZ253" s="86">
        <f>tbl_Actual_costs_quantities34[[#This Row],[Chimney Duct Cleaning Repair]]*BOQs!$L$15</f>
        <v>0</v>
      </c>
      <c r="BA253" s="76"/>
      <c r="BB253" s="37"/>
      <c r="BC253" s="89">
        <f>tbl_Actual_costs_quantities34[[#This Row],[Accessibility Adaptations]]*BOQs!$L$16</f>
        <v>0</v>
      </c>
      <c r="BD253" s="41"/>
      <c r="BE253" s="37"/>
      <c r="BF253" s="37"/>
    </row>
    <row r="254" spans="2:58" ht="25.15" customHeight="1" x14ac:dyDescent="0.25">
      <c r="B254" s="49">
        <v>250</v>
      </c>
      <c r="C254" s="37"/>
      <c r="D254" s="41"/>
      <c r="E254" s="40"/>
      <c r="F254" s="87" t="str">
        <f>IF(tbl_Actual_costs_quantities34[[#This Row],[House Code]]&lt;&gt;"",INDEX(tbl_Assessment[],MATCH(tbl_Actual_costs_quantities34[[#This Row],[House Code]],tbl_Assessment[House Code],0),3),"")</f>
        <v/>
      </c>
      <c r="G254" s="116" t="str">
        <f>IF(tbl_Actual_costs_quantities34[[#This Row],[House Code]]&lt;&gt;"",INDEX(tbl_Assessment[],MATCH(tbl_Actual_costs_quantities34[[#This Row],[House Code]],tbl_Assessment[House Code],0),9),"")</f>
        <v/>
      </c>
      <c r="H254" s="41"/>
      <c r="I254" s="41"/>
      <c r="J254" s="41"/>
      <c r="K254" s="116"/>
      <c r="L254" s="117" t="str">
        <f>IF(tbl_Actual_costs_quantities34[[#This Row],[House Code]]&lt;&gt;"",tbl_Actual_costs_quantities34[[#This Row],[Total cost]]/INDEX(tbl_estimated_costs_quantities[],MATCH(tbl_Actual_costs_quantities34[[#This Row],[House Code]],tbl_estimated_costs_quantities[House Code],0),7),"")</f>
        <v/>
      </c>
      <c r="M25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4" s="75"/>
      <c r="O254" s="37"/>
      <c r="P254" s="86">
        <f>tbl_Actual_costs_quantities34[[#This Row],[Site Preparation]]*BOQs!$L$3</f>
        <v>0</v>
      </c>
      <c r="Q254" s="76"/>
      <c r="R254" s="37"/>
      <c r="S254" s="86">
        <f>tbl_Actual_costs_quantities34[[#This Row],[Demolition Removal Unsafe Structures]]*BOQs!$L$4</f>
        <v>0</v>
      </c>
      <c r="T254" s="76"/>
      <c r="U254" s="37"/>
      <c r="V254" s="86">
        <f>tbl_Actual_costs_quantities34[[#This Row],[Concrete Works]]*BOQs!$L$5</f>
        <v>0</v>
      </c>
      <c r="W254" s="76"/>
      <c r="X254" s="37"/>
      <c r="Y254" s="86">
        <f>tbl_Actual_costs_quantities34[[#This Row],[Closure External Openings Walls Windows]]*BOQs!$L$6</f>
        <v>0</v>
      </c>
      <c r="Z254" s="76"/>
      <c r="AA254" s="37"/>
      <c r="AB254" s="86">
        <f>tbl_Actual_costs_quantities34[[#This Row],[Plastering Painting]]*BOQs!$L$7</f>
        <v>0</v>
      </c>
      <c r="AC254" s="76"/>
      <c r="AD254" s="37"/>
      <c r="AE254" s="86">
        <f>tbl_Actual_costs_quantities34[[#This Row],[Floor Repairs]]*BOQs!$L$8</f>
        <v>0</v>
      </c>
      <c r="AF254" s="76"/>
      <c r="AG254" s="37"/>
      <c r="AH254" s="86">
        <f>tbl_Actual_costs_quantities34[[#This Row],[Doors Replacement Repair]]*BOQs!$L$9</f>
        <v>0</v>
      </c>
      <c r="AI254" s="76"/>
      <c r="AJ254" s="37"/>
      <c r="AK254" s="86">
        <f>tbl_Actual_costs_quantities34[[#This Row],[Windows Replacement Repair]]*BOQs!$L$10</f>
        <v>0</v>
      </c>
      <c r="AL254" s="76"/>
      <c r="AM254" s="37"/>
      <c r="AN254" s="86">
        <f>tbl_Actual_costs_quantities34[[#This Row],[Bathroom Rehabilitation]]*BOQs!$L$11</f>
        <v>0</v>
      </c>
      <c r="AO254" s="76"/>
      <c r="AP254" s="37"/>
      <c r="AQ254" s="86">
        <f>tbl_Actual_costs_quantities34[[#This Row],[Ceramic Tile Works WASH]]*BOQs!$L$12</f>
        <v>0</v>
      </c>
      <c r="AR254" s="76"/>
      <c r="AS254" s="37"/>
      <c r="AT254" s="86">
        <f>tbl_Actual_costs_quantities34[[#This Row],[Electrical Repairs Lighting]]*BOQs!$L$13</f>
        <v>0</v>
      </c>
      <c r="AU254" s="76"/>
      <c r="AV254" s="37"/>
      <c r="AW254" s="86">
        <f>tbl_Actual_costs_quantities34[[#This Row],[Roof Insulation Leak Sealing]]*BOQs!$L$14</f>
        <v>0</v>
      </c>
      <c r="AX254" s="76"/>
      <c r="AY254" s="37"/>
      <c r="AZ254" s="86">
        <f>tbl_Actual_costs_quantities34[[#This Row],[Chimney Duct Cleaning Repair]]*BOQs!$L$15</f>
        <v>0</v>
      </c>
      <c r="BA254" s="76"/>
      <c r="BB254" s="37"/>
      <c r="BC254" s="89">
        <f>tbl_Actual_costs_quantities34[[#This Row],[Accessibility Adaptations]]*BOQs!$L$16</f>
        <v>0</v>
      </c>
      <c r="BD254" s="41"/>
      <c r="BE254" s="37"/>
      <c r="BF254" s="37"/>
    </row>
    <row r="255" spans="2:58" ht="25.15" customHeight="1" x14ac:dyDescent="0.25">
      <c r="B255" s="49">
        <v>251</v>
      </c>
      <c r="C255" s="37"/>
      <c r="D255" s="41"/>
      <c r="E255" s="40"/>
      <c r="F255" s="87" t="str">
        <f>IF(tbl_Actual_costs_quantities34[[#This Row],[House Code]]&lt;&gt;"",INDEX(tbl_Assessment[],MATCH(tbl_Actual_costs_quantities34[[#This Row],[House Code]],tbl_Assessment[House Code],0),3),"")</f>
        <v/>
      </c>
      <c r="G255" s="116" t="str">
        <f>IF(tbl_Actual_costs_quantities34[[#This Row],[House Code]]&lt;&gt;"",INDEX(tbl_Assessment[],MATCH(tbl_Actual_costs_quantities34[[#This Row],[House Code]],tbl_Assessment[House Code],0),9),"")</f>
        <v/>
      </c>
      <c r="H255" s="41"/>
      <c r="I255" s="41"/>
      <c r="J255" s="41"/>
      <c r="K255" s="116"/>
      <c r="L255" s="117" t="str">
        <f>IF(tbl_Actual_costs_quantities34[[#This Row],[House Code]]&lt;&gt;"",tbl_Actual_costs_quantities34[[#This Row],[Total cost]]/INDEX(tbl_estimated_costs_quantities[],MATCH(tbl_Actual_costs_quantities34[[#This Row],[House Code]],tbl_estimated_costs_quantities[House Code],0),7),"")</f>
        <v/>
      </c>
      <c r="M25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5" s="75"/>
      <c r="O255" s="37"/>
      <c r="P255" s="86">
        <f>tbl_Actual_costs_quantities34[[#This Row],[Site Preparation]]*BOQs!$L$3</f>
        <v>0</v>
      </c>
      <c r="Q255" s="76"/>
      <c r="R255" s="37"/>
      <c r="S255" s="86">
        <f>tbl_Actual_costs_quantities34[[#This Row],[Demolition Removal Unsafe Structures]]*BOQs!$L$4</f>
        <v>0</v>
      </c>
      <c r="T255" s="76"/>
      <c r="U255" s="37"/>
      <c r="V255" s="86">
        <f>tbl_Actual_costs_quantities34[[#This Row],[Concrete Works]]*BOQs!$L$5</f>
        <v>0</v>
      </c>
      <c r="W255" s="76"/>
      <c r="X255" s="37"/>
      <c r="Y255" s="86">
        <f>tbl_Actual_costs_quantities34[[#This Row],[Closure External Openings Walls Windows]]*BOQs!$L$6</f>
        <v>0</v>
      </c>
      <c r="Z255" s="76"/>
      <c r="AA255" s="37"/>
      <c r="AB255" s="86">
        <f>tbl_Actual_costs_quantities34[[#This Row],[Plastering Painting]]*BOQs!$L$7</f>
        <v>0</v>
      </c>
      <c r="AC255" s="76"/>
      <c r="AD255" s="37"/>
      <c r="AE255" s="86">
        <f>tbl_Actual_costs_quantities34[[#This Row],[Floor Repairs]]*BOQs!$L$8</f>
        <v>0</v>
      </c>
      <c r="AF255" s="76"/>
      <c r="AG255" s="37"/>
      <c r="AH255" s="86">
        <f>tbl_Actual_costs_quantities34[[#This Row],[Doors Replacement Repair]]*BOQs!$L$9</f>
        <v>0</v>
      </c>
      <c r="AI255" s="76"/>
      <c r="AJ255" s="37"/>
      <c r="AK255" s="86">
        <f>tbl_Actual_costs_quantities34[[#This Row],[Windows Replacement Repair]]*BOQs!$L$10</f>
        <v>0</v>
      </c>
      <c r="AL255" s="76"/>
      <c r="AM255" s="37"/>
      <c r="AN255" s="86">
        <f>tbl_Actual_costs_quantities34[[#This Row],[Bathroom Rehabilitation]]*BOQs!$L$11</f>
        <v>0</v>
      </c>
      <c r="AO255" s="76"/>
      <c r="AP255" s="37"/>
      <c r="AQ255" s="86">
        <f>tbl_Actual_costs_quantities34[[#This Row],[Ceramic Tile Works WASH]]*BOQs!$L$12</f>
        <v>0</v>
      </c>
      <c r="AR255" s="76"/>
      <c r="AS255" s="37"/>
      <c r="AT255" s="86">
        <f>tbl_Actual_costs_quantities34[[#This Row],[Electrical Repairs Lighting]]*BOQs!$L$13</f>
        <v>0</v>
      </c>
      <c r="AU255" s="76"/>
      <c r="AV255" s="37"/>
      <c r="AW255" s="86">
        <f>tbl_Actual_costs_quantities34[[#This Row],[Roof Insulation Leak Sealing]]*BOQs!$L$14</f>
        <v>0</v>
      </c>
      <c r="AX255" s="76"/>
      <c r="AY255" s="37"/>
      <c r="AZ255" s="86">
        <f>tbl_Actual_costs_quantities34[[#This Row],[Chimney Duct Cleaning Repair]]*BOQs!$L$15</f>
        <v>0</v>
      </c>
      <c r="BA255" s="76"/>
      <c r="BB255" s="37"/>
      <c r="BC255" s="89">
        <f>tbl_Actual_costs_quantities34[[#This Row],[Accessibility Adaptations]]*BOQs!$L$16</f>
        <v>0</v>
      </c>
      <c r="BD255" s="41"/>
      <c r="BE255" s="37"/>
      <c r="BF255" s="37"/>
    </row>
    <row r="256" spans="2:58" ht="25.15" customHeight="1" x14ac:dyDescent="0.25">
      <c r="B256" s="49">
        <v>252</v>
      </c>
      <c r="C256" s="37"/>
      <c r="D256" s="41"/>
      <c r="E256" s="40"/>
      <c r="F256" s="87" t="str">
        <f>IF(tbl_Actual_costs_quantities34[[#This Row],[House Code]]&lt;&gt;"",INDEX(tbl_Assessment[],MATCH(tbl_Actual_costs_quantities34[[#This Row],[House Code]],tbl_Assessment[House Code],0),3),"")</f>
        <v/>
      </c>
      <c r="G256" s="116" t="str">
        <f>IF(tbl_Actual_costs_quantities34[[#This Row],[House Code]]&lt;&gt;"",INDEX(tbl_Assessment[],MATCH(tbl_Actual_costs_quantities34[[#This Row],[House Code]],tbl_Assessment[House Code],0),9),"")</f>
        <v/>
      </c>
      <c r="H256" s="41"/>
      <c r="I256" s="41"/>
      <c r="J256" s="41"/>
      <c r="K256" s="116"/>
      <c r="L256" s="117" t="str">
        <f>IF(tbl_Actual_costs_quantities34[[#This Row],[House Code]]&lt;&gt;"",tbl_Actual_costs_quantities34[[#This Row],[Total cost]]/INDEX(tbl_estimated_costs_quantities[],MATCH(tbl_Actual_costs_quantities34[[#This Row],[House Code]],tbl_estimated_costs_quantities[House Code],0),7),"")</f>
        <v/>
      </c>
      <c r="M25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6" s="75"/>
      <c r="O256" s="37"/>
      <c r="P256" s="86">
        <f>tbl_Actual_costs_quantities34[[#This Row],[Site Preparation]]*BOQs!$L$3</f>
        <v>0</v>
      </c>
      <c r="Q256" s="76"/>
      <c r="R256" s="37"/>
      <c r="S256" s="86">
        <f>tbl_Actual_costs_quantities34[[#This Row],[Demolition Removal Unsafe Structures]]*BOQs!$L$4</f>
        <v>0</v>
      </c>
      <c r="T256" s="76"/>
      <c r="U256" s="37"/>
      <c r="V256" s="86">
        <f>tbl_Actual_costs_quantities34[[#This Row],[Concrete Works]]*BOQs!$L$5</f>
        <v>0</v>
      </c>
      <c r="W256" s="76"/>
      <c r="X256" s="37"/>
      <c r="Y256" s="86">
        <f>tbl_Actual_costs_quantities34[[#This Row],[Closure External Openings Walls Windows]]*BOQs!$L$6</f>
        <v>0</v>
      </c>
      <c r="Z256" s="76"/>
      <c r="AA256" s="37"/>
      <c r="AB256" s="86">
        <f>tbl_Actual_costs_quantities34[[#This Row],[Plastering Painting]]*BOQs!$L$7</f>
        <v>0</v>
      </c>
      <c r="AC256" s="76"/>
      <c r="AD256" s="37"/>
      <c r="AE256" s="86">
        <f>tbl_Actual_costs_quantities34[[#This Row],[Floor Repairs]]*BOQs!$L$8</f>
        <v>0</v>
      </c>
      <c r="AF256" s="76"/>
      <c r="AG256" s="37"/>
      <c r="AH256" s="86">
        <f>tbl_Actual_costs_quantities34[[#This Row],[Doors Replacement Repair]]*BOQs!$L$9</f>
        <v>0</v>
      </c>
      <c r="AI256" s="76"/>
      <c r="AJ256" s="37"/>
      <c r="AK256" s="86">
        <f>tbl_Actual_costs_quantities34[[#This Row],[Windows Replacement Repair]]*BOQs!$L$10</f>
        <v>0</v>
      </c>
      <c r="AL256" s="76"/>
      <c r="AM256" s="37"/>
      <c r="AN256" s="86">
        <f>tbl_Actual_costs_quantities34[[#This Row],[Bathroom Rehabilitation]]*BOQs!$L$11</f>
        <v>0</v>
      </c>
      <c r="AO256" s="76"/>
      <c r="AP256" s="37"/>
      <c r="AQ256" s="86">
        <f>tbl_Actual_costs_quantities34[[#This Row],[Ceramic Tile Works WASH]]*BOQs!$L$12</f>
        <v>0</v>
      </c>
      <c r="AR256" s="76"/>
      <c r="AS256" s="37"/>
      <c r="AT256" s="86">
        <f>tbl_Actual_costs_quantities34[[#This Row],[Electrical Repairs Lighting]]*BOQs!$L$13</f>
        <v>0</v>
      </c>
      <c r="AU256" s="76"/>
      <c r="AV256" s="37"/>
      <c r="AW256" s="86">
        <f>tbl_Actual_costs_quantities34[[#This Row],[Roof Insulation Leak Sealing]]*BOQs!$L$14</f>
        <v>0</v>
      </c>
      <c r="AX256" s="76"/>
      <c r="AY256" s="37"/>
      <c r="AZ256" s="86">
        <f>tbl_Actual_costs_quantities34[[#This Row],[Chimney Duct Cleaning Repair]]*BOQs!$L$15</f>
        <v>0</v>
      </c>
      <c r="BA256" s="76"/>
      <c r="BB256" s="37"/>
      <c r="BC256" s="89">
        <f>tbl_Actual_costs_quantities34[[#This Row],[Accessibility Adaptations]]*BOQs!$L$16</f>
        <v>0</v>
      </c>
      <c r="BD256" s="41"/>
      <c r="BE256" s="37"/>
      <c r="BF256" s="37"/>
    </row>
    <row r="257" spans="2:58" ht="25.15" customHeight="1" x14ac:dyDescent="0.25">
      <c r="B257" s="49">
        <v>253</v>
      </c>
      <c r="C257" s="37"/>
      <c r="D257" s="41"/>
      <c r="E257" s="40"/>
      <c r="F257" s="87" t="str">
        <f>IF(tbl_Actual_costs_quantities34[[#This Row],[House Code]]&lt;&gt;"",INDEX(tbl_Assessment[],MATCH(tbl_Actual_costs_quantities34[[#This Row],[House Code]],tbl_Assessment[House Code],0),3),"")</f>
        <v/>
      </c>
      <c r="G257" s="116" t="str">
        <f>IF(tbl_Actual_costs_quantities34[[#This Row],[House Code]]&lt;&gt;"",INDEX(tbl_Assessment[],MATCH(tbl_Actual_costs_quantities34[[#This Row],[House Code]],tbl_Assessment[House Code],0),9),"")</f>
        <v/>
      </c>
      <c r="H257" s="41"/>
      <c r="I257" s="41"/>
      <c r="J257" s="41"/>
      <c r="K257" s="116"/>
      <c r="L257" s="117" t="str">
        <f>IF(tbl_Actual_costs_quantities34[[#This Row],[House Code]]&lt;&gt;"",tbl_Actual_costs_quantities34[[#This Row],[Total cost]]/INDEX(tbl_estimated_costs_quantities[],MATCH(tbl_Actual_costs_quantities34[[#This Row],[House Code]],tbl_estimated_costs_quantities[House Code],0),7),"")</f>
        <v/>
      </c>
      <c r="M25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7" s="75"/>
      <c r="O257" s="37"/>
      <c r="P257" s="86">
        <f>tbl_Actual_costs_quantities34[[#This Row],[Site Preparation]]*BOQs!$L$3</f>
        <v>0</v>
      </c>
      <c r="Q257" s="76"/>
      <c r="R257" s="37"/>
      <c r="S257" s="86">
        <f>tbl_Actual_costs_quantities34[[#This Row],[Demolition Removal Unsafe Structures]]*BOQs!$L$4</f>
        <v>0</v>
      </c>
      <c r="T257" s="76"/>
      <c r="U257" s="37"/>
      <c r="V257" s="86">
        <f>tbl_Actual_costs_quantities34[[#This Row],[Concrete Works]]*BOQs!$L$5</f>
        <v>0</v>
      </c>
      <c r="W257" s="76"/>
      <c r="X257" s="37"/>
      <c r="Y257" s="86">
        <f>tbl_Actual_costs_quantities34[[#This Row],[Closure External Openings Walls Windows]]*BOQs!$L$6</f>
        <v>0</v>
      </c>
      <c r="Z257" s="76"/>
      <c r="AA257" s="37"/>
      <c r="AB257" s="86">
        <f>tbl_Actual_costs_quantities34[[#This Row],[Plastering Painting]]*BOQs!$L$7</f>
        <v>0</v>
      </c>
      <c r="AC257" s="76"/>
      <c r="AD257" s="37"/>
      <c r="AE257" s="86">
        <f>tbl_Actual_costs_quantities34[[#This Row],[Floor Repairs]]*BOQs!$L$8</f>
        <v>0</v>
      </c>
      <c r="AF257" s="76"/>
      <c r="AG257" s="37"/>
      <c r="AH257" s="86">
        <f>tbl_Actual_costs_quantities34[[#This Row],[Doors Replacement Repair]]*BOQs!$L$9</f>
        <v>0</v>
      </c>
      <c r="AI257" s="76"/>
      <c r="AJ257" s="37"/>
      <c r="AK257" s="86">
        <f>tbl_Actual_costs_quantities34[[#This Row],[Windows Replacement Repair]]*BOQs!$L$10</f>
        <v>0</v>
      </c>
      <c r="AL257" s="76"/>
      <c r="AM257" s="37"/>
      <c r="AN257" s="86">
        <f>tbl_Actual_costs_quantities34[[#This Row],[Bathroom Rehabilitation]]*BOQs!$L$11</f>
        <v>0</v>
      </c>
      <c r="AO257" s="76"/>
      <c r="AP257" s="37"/>
      <c r="AQ257" s="86">
        <f>tbl_Actual_costs_quantities34[[#This Row],[Ceramic Tile Works WASH]]*BOQs!$L$12</f>
        <v>0</v>
      </c>
      <c r="AR257" s="76"/>
      <c r="AS257" s="37"/>
      <c r="AT257" s="86">
        <f>tbl_Actual_costs_quantities34[[#This Row],[Electrical Repairs Lighting]]*BOQs!$L$13</f>
        <v>0</v>
      </c>
      <c r="AU257" s="76"/>
      <c r="AV257" s="37"/>
      <c r="AW257" s="86">
        <f>tbl_Actual_costs_quantities34[[#This Row],[Roof Insulation Leak Sealing]]*BOQs!$L$14</f>
        <v>0</v>
      </c>
      <c r="AX257" s="76"/>
      <c r="AY257" s="37"/>
      <c r="AZ257" s="86">
        <f>tbl_Actual_costs_quantities34[[#This Row],[Chimney Duct Cleaning Repair]]*BOQs!$L$15</f>
        <v>0</v>
      </c>
      <c r="BA257" s="76"/>
      <c r="BB257" s="37"/>
      <c r="BC257" s="89">
        <f>tbl_Actual_costs_quantities34[[#This Row],[Accessibility Adaptations]]*BOQs!$L$16</f>
        <v>0</v>
      </c>
      <c r="BD257" s="41"/>
      <c r="BE257" s="37"/>
      <c r="BF257" s="37"/>
    </row>
    <row r="258" spans="2:58" ht="25.15" customHeight="1" x14ac:dyDescent="0.25">
      <c r="B258" s="49">
        <v>254</v>
      </c>
      <c r="C258" s="37"/>
      <c r="D258" s="41"/>
      <c r="E258" s="40"/>
      <c r="F258" s="87" t="str">
        <f>IF(tbl_Actual_costs_quantities34[[#This Row],[House Code]]&lt;&gt;"",INDEX(tbl_Assessment[],MATCH(tbl_Actual_costs_quantities34[[#This Row],[House Code]],tbl_Assessment[House Code],0),3),"")</f>
        <v/>
      </c>
      <c r="G258" s="116" t="str">
        <f>IF(tbl_Actual_costs_quantities34[[#This Row],[House Code]]&lt;&gt;"",INDEX(tbl_Assessment[],MATCH(tbl_Actual_costs_quantities34[[#This Row],[House Code]],tbl_Assessment[House Code],0),9),"")</f>
        <v/>
      </c>
      <c r="H258" s="41"/>
      <c r="I258" s="41"/>
      <c r="J258" s="41"/>
      <c r="K258" s="116"/>
      <c r="L258" s="117" t="str">
        <f>IF(tbl_Actual_costs_quantities34[[#This Row],[House Code]]&lt;&gt;"",tbl_Actual_costs_quantities34[[#This Row],[Total cost]]/INDEX(tbl_estimated_costs_quantities[],MATCH(tbl_Actual_costs_quantities34[[#This Row],[House Code]],tbl_estimated_costs_quantities[House Code],0),7),"")</f>
        <v/>
      </c>
      <c r="M25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8" s="75"/>
      <c r="O258" s="37"/>
      <c r="P258" s="86">
        <f>tbl_Actual_costs_quantities34[[#This Row],[Site Preparation]]*BOQs!$L$3</f>
        <v>0</v>
      </c>
      <c r="Q258" s="76"/>
      <c r="R258" s="37"/>
      <c r="S258" s="86">
        <f>tbl_Actual_costs_quantities34[[#This Row],[Demolition Removal Unsafe Structures]]*BOQs!$L$4</f>
        <v>0</v>
      </c>
      <c r="T258" s="76"/>
      <c r="U258" s="37"/>
      <c r="V258" s="86">
        <f>tbl_Actual_costs_quantities34[[#This Row],[Concrete Works]]*BOQs!$L$5</f>
        <v>0</v>
      </c>
      <c r="W258" s="76"/>
      <c r="X258" s="37"/>
      <c r="Y258" s="86">
        <f>tbl_Actual_costs_quantities34[[#This Row],[Closure External Openings Walls Windows]]*BOQs!$L$6</f>
        <v>0</v>
      </c>
      <c r="Z258" s="76"/>
      <c r="AA258" s="37"/>
      <c r="AB258" s="86">
        <f>tbl_Actual_costs_quantities34[[#This Row],[Plastering Painting]]*BOQs!$L$7</f>
        <v>0</v>
      </c>
      <c r="AC258" s="76"/>
      <c r="AD258" s="37"/>
      <c r="AE258" s="86">
        <f>tbl_Actual_costs_quantities34[[#This Row],[Floor Repairs]]*BOQs!$L$8</f>
        <v>0</v>
      </c>
      <c r="AF258" s="76"/>
      <c r="AG258" s="37"/>
      <c r="AH258" s="86">
        <f>tbl_Actual_costs_quantities34[[#This Row],[Doors Replacement Repair]]*BOQs!$L$9</f>
        <v>0</v>
      </c>
      <c r="AI258" s="76"/>
      <c r="AJ258" s="37"/>
      <c r="AK258" s="86">
        <f>tbl_Actual_costs_quantities34[[#This Row],[Windows Replacement Repair]]*BOQs!$L$10</f>
        <v>0</v>
      </c>
      <c r="AL258" s="76"/>
      <c r="AM258" s="37"/>
      <c r="AN258" s="86">
        <f>tbl_Actual_costs_quantities34[[#This Row],[Bathroom Rehabilitation]]*BOQs!$L$11</f>
        <v>0</v>
      </c>
      <c r="AO258" s="76"/>
      <c r="AP258" s="37"/>
      <c r="AQ258" s="86">
        <f>tbl_Actual_costs_quantities34[[#This Row],[Ceramic Tile Works WASH]]*BOQs!$L$12</f>
        <v>0</v>
      </c>
      <c r="AR258" s="76"/>
      <c r="AS258" s="37"/>
      <c r="AT258" s="86">
        <f>tbl_Actual_costs_quantities34[[#This Row],[Electrical Repairs Lighting]]*BOQs!$L$13</f>
        <v>0</v>
      </c>
      <c r="AU258" s="76"/>
      <c r="AV258" s="37"/>
      <c r="AW258" s="86">
        <f>tbl_Actual_costs_quantities34[[#This Row],[Roof Insulation Leak Sealing]]*BOQs!$L$14</f>
        <v>0</v>
      </c>
      <c r="AX258" s="76"/>
      <c r="AY258" s="37"/>
      <c r="AZ258" s="86">
        <f>tbl_Actual_costs_quantities34[[#This Row],[Chimney Duct Cleaning Repair]]*BOQs!$L$15</f>
        <v>0</v>
      </c>
      <c r="BA258" s="76"/>
      <c r="BB258" s="37"/>
      <c r="BC258" s="89">
        <f>tbl_Actual_costs_quantities34[[#This Row],[Accessibility Adaptations]]*BOQs!$L$16</f>
        <v>0</v>
      </c>
      <c r="BD258" s="41"/>
      <c r="BE258" s="37"/>
      <c r="BF258" s="37"/>
    </row>
    <row r="259" spans="2:58" ht="25.15" customHeight="1" x14ac:dyDescent="0.25">
      <c r="B259" s="49">
        <v>255</v>
      </c>
      <c r="C259" s="37"/>
      <c r="D259" s="41"/>
      <c r="E259" s="40"/>
      <c r="F259" s="87" t="str">
        <f>IF(tbl_Actual_costs_quantities34[[#This Row],[House Code]]&lt;&gt;"",INDEX(tbl_Assessment[],MATCH(tbl_Actual_costs_quantities34[[#This Row],[House Code]],tbl_Assessment[House Code],0),3),"")</f>
        <v/>
      </c>
      <c r="G259" s="116" t="str">
        <f>IF(tbl_Actual_costs_quantities34[[#This Row],[House Code]]&lt;&gt;"",INDEX(tbl_Assessment[],MATCH(tbl_Actual_costs_quantities34[[#This Row],[House Code]],tbl_Assessment[House Code],0),9),"")</f>
        <v/>
      </c>
      <c r="H259" s="41"/>
      <c r="I259" s="41"/>
      <c r="J259" s="41"/>
      <c r="K259" s="116"/>
      <c r="L259" s="117" t="str">
        <f>IF(tbl_Actual_costs_quantities34[[#This Row],[House Code]]&lt;&gt;"",tbl_Actual_costs_quantities34[[#This Row],[Total cost]]/INDEX(tbl_estimated_costs_quantities[],MATCH(tbl_Actual_costs_quantities34[[#This Row],[House Code]],tbl_estimated_costs_quantities[House Code],0),7),"")</f>
        <v/>
      </c>
      <c r="M25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59" s="75"/>
      <c r="O259" s="37"/>
      <c r="P259" s="86">
        <f>tbl_Actual_costs_quantities34[[#This Row],[Site Preparation]]*BOQs!$L$3</f>
        <v>0</v>
      </c>
      <c r="Q259" s="76"/>
      <c r="R259" s="37"/>
      <c r="S259" s="86">
        <f>tbl_Actual_costs_quantities34[[#This Row],[Demolition Removal Unsafe Structures]]*BOQs!$L$4</f>
        <v>0</v>
      </c>
      <c r="T259" s="76"/>
      <c r="U259" s="37"/>
      <c r="V259" s="86">
        <f>tbl_Actual_costs_quantities34[[#This Row],[Concrete Works]]*BOQs!$L$5</f>
        <v>0</v>
      </c>
      <c r="W259" s="76"/>
      <c r="X259" s="37"/>
      <c r="Y259" s="86">
        <f>tbl_Actual_costs_quantities34[[#This Row],[Closure External Openings Walls Windows]]*BOQs!$L$6</f>
        <v>0</v>
      </c>
      <c r="Z259" s="76"/>
      <c r="AA259" s="37"/>
      <c r="AB259" s="86">
        <f>tbl_Actual_costs_quantities34[[#This Row],[Plastering Painting]]*BOQs!$L$7</f>
        <v>0</v>
      </c>
      <c r="AC259" s="76"/>
      <c r="AD259" s="37"/>
      <c r="AE259" s="86">
        <f>tbl_Actual_costs_quantities34[[#This Row],[Floor Repairs]]*BOQs!$L$8</f>
        <v>0</v>
      </c>
      <c r="AF259" s="76"/>
      <c r="AG259" s="37"/>
      <c r="AH259" s="86">
        <f>tbl_Actual_costs_quantities34[[#This Row],[Doors Replacement Repair]]*BOQs!$L$9</f>
        <v>0</v>
      </c>
      <c r="AI259" s="76"/>
      <c r="AJ259" s="37"/>
      <c r="AK259" s="86">
        <f>tbl_Actual_costs_quantities34[[#This Row],[Windows Replacement Repair]]*BOQs!$L$10</f>
        <v>0</v>
      </c>
      <c r="AL259" s="76"/>
      <c r="AM259" s="37"/>
      <c r="AN259" s="86">
        <f>tbl_Actual_costs_quantities34[[#This Row],[Bathroom Rehabilitation]]*BOQs!$L$11</f>
        <v>0</v>
      </c>
      <c r="AO259" s="76"/>
      <c r="AP259" s="37"/>
      <c r="AQ259" s="86">
        <f>tbl_Actual_costs_quantities34[[#This Row],[Ceramic Tile Works WASH]]*BOQs!$L$12</f>
        <v>0</v>
      </c>
      <c r="AR259" s="76"/>
      <c r="AS259" s="37"/>
      <c r="AT259" s="86">
        <f>tbl_Actual_costs_quantities34[[#This Row],[Electrical Repairs Lighting]]*BOQs!$L$13</f>
        <v>0</v>
      </c>
      <c r="AU259" s="76"/>
      <c r="AV259" s="37"/>
      <c r="AW259" s="86">
        <f>tbl_Actual_costs_quantities34[[#This Row],[Roof Insulation Leak Sealing]]*BOQs!$L$14</f>
        <v>0</v>
      </c>
      <c r="AX259" s="76"/>
      <c r="AY259" s="37"/>
      <c r="AZ259" s="86">
        <f>tbl_Actual_costs_quantities34[[#This Row],[Chimney Duct Cleaning Repair]]*BOQs!$L$15</f>
        <v>0</v>
      </c>
      <c r="BA259" s="76"/>
      <c r="BB259" s="37"/>
      <c r="BC259" s="89">
        <f>tbl_Actual_costs_quantities34[[#This Row],[Accessibility Adaptations]]*BOQs!$L$16</f>
        <v>0</v>
      </c>
      <c r="BD259" s="41"/>
      <c r="BE259" s="37"/>
      <c r="BF259" s="37"/>
    </row>
    <row r="260" spans="2:58" ht="25.15" customHeight="1" x14ac:dyDescent="0.25">
      <c r="B260" s="49">
        <v>256</v>
      </c>
      <c r="C260" s="37"/>
      <c r="D260" s="41"/>
      <c r="E260" s="40"/>
      <c r="F260" s="87" t="str">
        <f>IF(tbl_Actual_costs_quantities34[[#This Row],[House Code]]&lt;&gt;"",INDEX(tbl_Assessment[],MATCH(tbl_Actual_costs_quantities34[[#This Row],[House Code]],tbl_Assessment[House Code],0),3),"")</f>
        <v/>
      </c>
      <c r="G260" s="116" t="str">
        <f>IF(tbl_Actual_costs_quantities34[[#This Row],[House Code]]&lt;&gt;"",INDEX(tbl_Assessment[],MATCH(tbl_Actual_costs_quantities34[[#This Row],[House Code]],tbl_Assessment[House Code],0),9),"")</f>
        <v/>
      </c>
      <c r="H260" s="41"/>
      <c r="I260" s="41"/>
      <c r="J260" s="41"/>
      <c r="K260" s="116"/>
      <c r="L260" s="117" t="str">
        <f>IF(tbl_Actual_costs_quantities34[[#This Row],[House Code]]&lt;&gt;"",tbl_Actual_costs_quantities34[[#This Row],[Total cost]]/INDEX(tbl_estimated_costs_quantities[],MATCH(tbl_Actual_costs_quantities34[[#This Row],[House Code]],tbl_estimated_costs_quantities[House Code],0),7),"")</f>
        <v/>
      </c>
      <c r="M26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0" s="75"/>
      <c r="O260" s="37"/>
      <c r="P260" s="86">
        <f>tbl_Actual_costs_quantities34[[#This Row],[Site Preparation]]*BOQs!$L$3</f>
        <v>0</v>
      </c>
      <c r="Q260" s="76"/>
      <c r="R260" s="37"/>
      <c r="S260" s="86">
        <f>tbl_Actual_costs_quantities34[[#This Row],[Demolition Removal Unsafe Structures]]*BOQs!$L$4</f>
        <v>0</v>
      </c>
      <c r="T260" s="76"/>
      <c r="U260" s="37"/>
      <c r="V260" s="86">
        <f>tbl_Actual_costs_quantities34[[#This Row],[Concrete Works]]*BOQs!$L$5</f>
        <v>0</v>
      </c>
      <c r="W260" s="76"/>
      <c r="X260" s="37"/>
      <c r="Y260" s="86">
        <f>tbl_Actual_costs_quantities34[[#This Row],[Closure External Openings Walls Windows]]*BOQs!$L$6</f>
        <v>0</v>
      </c>
      <c r="Z260" s="76"/>
      <c r="AA260" s="37"/>
      <c r="AB260" s="86">
        <f>tbl_Actual_costs_quantities34[[#This Row],[Plastering Painting]]*BOQs!$L$7</f>
        <v>0</v>
      </c>
      <c r="AC260" s="76"/>
      <c r="AD260" s="37"/>
      <c r="AE260" s="86">
        <f>tbl_Actual_costs_quantities34[[#This Row],[Floor Repairs]]*BOQs!$L$8</f>
        <v>0</v>
      </c>
      <c r="AF260" s="76"/>
      <c r="AG260" s="37"/>
      <c r="AH260" s="86">
        <f>tbl_Actual_costs_quantities34[[#This Row],[Doors Replacement Repair]]*BOQs!$L$9</f>
        <v>0</v>
      </c>
      <c r="AI260" s="76"/>
      <c r="AJ260" s="37"/>
      <c r="AK260" s="86">
        <f>tbl_Actual_costs_quantities34[[#This Row],[Windows Replacement Repair]]*BOQs!$L$10</f>
        <v>0</v>
      </c>
      <c r="AL260" s="76"/>
      <c r="AM260" s="37"/>
      <c r="AN260" s="86">
        <f>tbl_Actual_costs_quantities34[[#This Row],[Bathroom Rehabilitation]]*BOQs!$L$11</f>
        <v>0</v>
      </c>
      <c r="AO260" s="76"/>
      <c r="AP260" s="37"/>
      <c r="AQ260" s="86">
        <f>tbl_Actual_costs_quantities34[[#This Row],[Ceramic Tile Works WASH]]*BOQs!$L$12</f>
        <v>0</v>
      </c>
      <c r="AR260" s="76"/>
      <c r="AS260" s="37"/>
      <c r="AT260" s="86">
        <f>tbl_Actual_costs_quantities34[[#This Row],[Electrical Repairs Lighting]]*BOQs!$L$13</f>
        <v>0</v>
      </c>
      <c r="AU260" s="76"/>
      <c r="AV260" s="37"/>
      <c r="AW260" s="86">
        <f>tbl_Actual_costs_quantities34[[#This Row],[Roof Insulation Leak Sealing]]*BOQs!$L$14</f>
        <v>0</v>
      </c>
      <c r="AX260" s="76"/>
      <c r="AY260" s="37"/>
      <c r="AZ260" s="86">
        <f>tbl_Actual_costs_quantities34[[#This Row],[Chimney Duct Cleaning Repair]]*BOQs!$L$15</f>
        <v>0</v>
      </c>
      <c r="BA260" s="76"/>
      <c r="BB260" s="37"/>
      <c r="BC260" s="89">
        <f>tbl_Actual_costs_quantities34[[#This Row],[Accessibility Adaptations]]*BOQs!$L$16</f>
        <v>0</v>
      </c>
      <c r="BD260" s="41"/>
      <c r="BE260" s="37"/>
      <c r="BF260" s="37"/>
    </row>
    <row r="261" spans="2:58" ht="25.15" customHeight="1" x14ac:dyDescent="0.25">
      <c r="B261" s="49">
        <v>257</v>
      </c>
      <c r="C261" s="37"/>
      <c r="D261" s="41"/>
      <c r="E261" s="40"/>
      <c r="F261" s="87" t="str">
        <f>IF(tbl_Actual_costs_quantities34[[#This Row],[House Code]]&lt;&gt;"",INDEX(tbl_Assessment[],MATCH(tbl_Actual_costs_quantities34[[#This Row],[House Code]],tbl_Assessment[House Code],0),3),"")</f>
        <v/>
      </c>
      <c r="G261" s="116" t="str">
        <f>IF(tbl_Actual_costs_quantities34[[#This Row],[House Code]]&lt;&gt;"",INDEX(tbl_Assessment[],MATCH(tbl_Actual_costs_quantities34[[#This Row],[House Code]],tbl_Assessment[House Code],0),9),"")</f>
        <v/>
      </c>
      <c r="H261" s="41"/>
      <c r="I261" s="41"/>
      <c r="J261" s="41"/>
      <c r="K261" s="116"/>
      <c r="L261" s="117" t="str">
        <f>IF(tbl_Actual_costs_quantities34[[#This Row],[House Code]]&lt;&gt;"",tbl_Actual_costs_quantities34[[#This Row],[Total cost]]/INDEX(tbl_estimated_costs_quantities[],MATCH(tbl_Actual_costs_quantities34[[#This Row],[House Code]],tbl_estimated_costs_quantities[House Code],0),7),"")</f>
        <v/>
      </c>
      <c r="M26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1" s="75"/>
      <c r="O261" s="37"/>
      <c r="P261" s="86">
        <f>tbl_Actual_costs_quantities34[[#This Row],[Site Preparation]]*BOQs!$L$3</f>
        <v>0</v>
      </c>
      <c r="Q261" s="76"/>
      <c r="R261" s="37"/>
      <c r="S261" s="86">
        <f>tbl_Actual_costs_quantities34[[#This Row],[Demolition Removal Unsafe Structures]]*BOQs!$L$4</f>
        <v>0</v>
      </c>
      <c r="T261" s="76"/>
      <c r="U261" s="37"/>
      <c r="V261" s="86">
        <f>tbl_Actual_costs_quantities34[[#This Row],[Concrete Works]]*BOQs!$L$5</f>
        <v>0</v>
      </c>
      <c r="W261" s="76"/>
      <c r="X261" s="37"/>
      <c r="Y261" s="86">
        <f>tbl_Actual_costs_quantities34[[#This Row],[Closure External Openings Walls Windows]]*BOQs!$L$6</f>
        <v>0</v>
      </c>
      <c r="Z261" s="76"/>
      <c r="AA261" s="37"/>
      <c r="AB261" s="86">
        <f>tbl_Actual_costs_quantities34[[#This Row],[Plastering Painting]]*BOQs!$L$7</f>
        <v>0</v>
      </c>
      <c r="AC261" s="76"/>
      <c r="AD261" s="37"/>
      <c r="AE261" s="86">
        <f>tbl_Actual_costs_quantities34[[#This Row],[Floor Repairs]]*BOQs!$L$8</f>
        <v>0</v>
      </c>
      <c r="AF261" s="76"/>
      <c r="AG261" s="37"/>
      <c r="AH261" s="86">
        <f>tbl_Actual_costs_quantities34[[#This Row],[Doors Replacement Repair]]*BOQs!$L$9</f>
        <v>0</v>
      </c>
      <c r="AI261" s="76"/>
      <c r="AJ261" s="37"/>
      <c r="AK261" s="86">
        <f>tbl_Actual_costs_quantities34[[#This Row],[Windows Replacement Repair]]*BOQs!$L$10</f>
        <v>0</v>
      </c>
      <c r="AL261" s="76"/>
      <c r="AM261" s="37"/>
      <c r="AN261" s="86">
        <f>tbl_Actual_costs_quantities34[[#This Row],[Bathroom Rehabilitation]]*BOQs!$L$11</f>
        <v>0</v>
      </c>
      <c r="AO261" s="76"/>
      <c r="AP261" s="37"/>
      <c r="AQ261" s="86">
        <f>tbl_Actual_costs_quantities34[[#This Row],[Ceramic Tile Works WASH]]*BOQs!$L$12</f>
        <v>0</v>
      </c>
      <c r="AR261" s="76"/>
      <c r="AS261" s="37"/>
      <c r="AT261" s="86">
        <f>tbl_Actual_costs_quantities34[[#This Row],[Electrical Repairs Lighting]]*BOQs!$L$13</f>
        <v>0</v>
      </c>
      <c r="AU261" s="76"/>
      <c r="AV261" s="37"/>
      <c r="AW261" s="86">
        <f>tbl_Actual_costs_quantities34[[#This Row],[Roof Insulation Leak Sealing]]*BOQs!$L$14</f>
        <v>0</v>
      </c>
      <c r="AX261" s="76"/>
      <c r="AY261" s="37"/>
      <c r="AZ261" s="86">
        <f>tbl_Actual_costs_quantities34[[#This Row],[Chimney Duct Cleaning Repair]]*BOQs!$L$15</f>
        <v>0</v>
      </c>
      <c r="BA261" s="76"/>
      <c r="BB261" s="37"/>
      <c r="BC261" s="89">
        <f>tbl_Actual_costs_quantities34[[#This Row],[Accessibility Adaptations]]*BOQs!$L$16</f>
        <v>0</v>
      </c>
      <c r="BD261" s="41"/>
      <c r="BE261" s="37"/>
      <c r="BF261" s="37"/>
    </row>
    <row r="262" spans="2:58" ht="25.15" customHeight="1" x14ac:dyDescent="0.25">
      <c r="B262" s="49">
        <v>258</v>
      </c>
      <c r="C262" s="37"/>
      <c r="D262" s="41"/>
      <c r="E262" s="40"/>
      <c r="F262" s="87" t="str">
        <f>IF(tbl_Actual_costs_quantities34[[#This Row],[House Code]]&lt;&gt;"",INDEX(tbl_Assessment[],MATCH(tbl_Actual_costs_quantities34[[#This Row],[House Code]],tbl_Assessment[House Code],0),3),"")</f>
        <v/>
      </c>
      <c r="G262" s="116" t="str">
        <f>IF(tbl_Actual_costs_quantities34[[#This Row],[House Code]]&lt;&gt;"",INDEX(tbl_Assessment[],MATCH(tbl_Actual_costs_quantities34[[#This Row],[House Code]],tbl_Assessment[House Code],0),9),"")</f>
        <v/>
      </c>
      <c r="H262" s="41"/>
      <c r="I262" s="41"/>
      <c r="J262" s="41"/>
      <c r="K262" s="116"/>
      <c r="L262" s="117" t="str">
        <f>IF(tbl_Actual_costs_quantities34[[#This Row],[House Code]]&lt;&gt;"",tbl_Actual_costs_quantities34[[#This Row],[Total cost]]/INDEX(tbl_estimated_costs_quantities[],MATCH(tbl_Actual_costs_quantities34[[#This Row],[House Code]],tbl_estimated_costs_quantities[House Code],0),7),"")</f>
        <v/>
      </c>
      <c r="M26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2" s="75"/>
      <c r="O262" s="37"/>
      <c r="P262" s="86">
        <f>tbl_Actual_costs_quantities34[[#This Row],[Site Preparation]]*BOQs!$L$3</f>
        <v>0</v>
      </c>
      <c r="Q262" s="76"/>
      <c r="R262" s="37"/>
      <c r="S262" s="86">
        <f>tbl_Actual_costs_quantities34[[#This Row],[Demolition Removal Unsafe Structures]]*BOQs!$L$4</f>
        <v>0</v>
      </c>
      <c r="T262" s="76"/>
      <c r="U262" s="37"/>
      <c r="V262" s="86">
        <f>tbl_Actual_costs_quantities34[[#This Row],[Concrete Works]]*BOQs!$L$5</f>
        <v>0</v>
      </c>
      <c r="W262" s="76"/>
      <c r="X262" s="37"/>
      <c r="Y262" s="86">
        <f>tbl_Actual_costs_quantities34[[#This Row],[Closure External Openings Walls Windows]]*BOQs!$L$6</f>
        <v>0</v>
      </c>
      <c r="Z262" s="76"/>
      <c r="AA262" s="37"/>
      <c r="AB262" s="86">
        <f>tbl_Actual_costs_quantities34[[#This Row],[Plastering Painting]]*BOQs!$L$7</f>
        <v>0</v>
      </c>
      <c r="AC262" s="76"/>
      <c r="AD262" s="37"/>
      <c r="AE262" s="86">
        <f>tbl_Actual_costs_quantities34[[#This Row],[Floor Repairs]]*BOQs!$L$8</f>
        <v>0</v>
      </c>
      <c r="AF262" s="76"/>
      <c r="AG262" s="37"/>
      <c r="AH262" s="86">
        <f>tbl_Actual_costs_quantities34[[#This Row],[Doors Replacement Repair]]*BOQs!$L$9</f>
        <v>0</v>
      </c>
      <c r="AI262" s="76"/>
      <c r="AJ262" s="37"/>
      <c r="AK262" s="86">
        <f>tbl_Actual_costs_quantities34[[#This Row],[Windows Replacement Repair]]*BOQs!$L$10</f>
        <v>0</v>
      </c>
      <c r="AL262" s="76"/>
      <c r="AM262" s="37"/>
      <c r="AN262" s="86">
        <f>tbl_Actual_costs_quantities34[[#This Row],[Bathroom Rehabilitation]]*BOQs!$L$11</f>
        <v>0</v>
      </c>
      <c r="AO262" s="76"/>
      <c r="AP262" s="37"/>
      <c r="AQ262" s="86">
        <f>tbl_Actual_costs_quantities34[[#This Row],[Ceramic Tile Works WASH]]*BOQs!$L$12</f>
        <v>0</v>
      </c>
      <c r="AR262" s="76"/>
      <c r="AS262" s="37"/>
      <c r="AT262" s="86">
        <f>tbl_Actual_costs_quantities34[[#This Row],[Electrical Repairs Lighting]]*BOQs!$L$13</f>
        <v>0</v>
      </c>
      <c r="AU262" s="76"/>
      <c r="AV262" s="37"/>
      <c r="AW262" s="86">
        <f>tbl_Actual_costs_quantities34[[#This Row],[Roof Insulation Leak Sealing]]*BOQs!$L$14</f>
        <v>0</v>
      </c>
      <c r="AX262" s="76"/>
      <c r="AY262" s="37"/>
      <c r="AZ262" s="86">
        <f>tbl_Actual_costs_quantities34[[#This Row],[Chimney Duct Cleaning Repair]]*BOQs!$L$15</f>
        <v>0</v>
      </c>
      <c r="BA262" s="76"/>
      <c r="BB262" s="37"/>
      <c r="BC262" s="89">
        <f>tbl_Actual_costs_quantities34[[#This Row],[Accessibility Adaptations]]*BOQs!$L$16</f>
        <v>0</v>
      </c>
      <c r="BD262" s="41"/>
      <c r="BE262" s="37"/>
      <c r="BF262" s="37"/>
    </row>
    <row r="263" spans="2:58" ht="25.15" customHeight="1" x14ac:dyDescent="0.25">
      <c r="B263" s="49">
        <v>259</v>
      </c>
      <c r="C263" s="37"/>
      <c r="D263" s="41"/>
      <c r="E263" s="40"/>
      <c r="F263" s="87" t="str">
        <f>IF(tbl_Actual_costs_quantities34[[#This Row],[House Code]]&lt;&gt;"",INDEX(tbl_Assessment[],MATCH(tbl_Actual_costs_quantities34[[#This Row],[House Code]],tbl_Assessment[House Code],0),3),"")</f>
        <v/>
      </c>
      <c r="G263" s="116" t="str">
        <f>IF(tbl_Actual_costs_quantities34[[#This Row],[House Code]]&lt;&gt;"",INDEX(tbl_Assessment[],MATCH(tbl_Actual_costs_quantities34[[#This Row],[House Code]],tbl_Assessment[House Code],0),9),"")</f>
        <v/>
      </c>
      <c r="H263" s="41"/>
      <c r="I263" s="41"/>
      <c r="J263" s="41"/>
      <c r="K263" s="116"/>
      <c r="L263" s="117" t="str">
        <f>IF(tbl_Actual_costs_quantities34[[#This Row],[House Code]]&lt;&gt;"",tbl_Actual_costs_quantities34[[#This Row],[Total cost]]/INDEX(tbl_estimated_costs_quantities[],MATCH(tbl_Actual_costs_quantities34[[#This Row],[House Code]],tbl_estimated_costs_quantities[House Code],0),7),"")</f>
        <v/>
      </c>
      <c r="M26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3" s="75"/>
      <c r="O263" s="37"/>
      <c r="P263" s="86">
        <f>tbl_Actual_costs_quantities34[[#This Row],[Site Preparation]]*BOQs!$L$3</f>
        <v>0</v>
      </c>
      <c r="Q263" s="76"/>
      <c r="R263" s="37"/>
      <c r="S263" s="86">
        <f>tbl_Actual_costs_quantities34[[#This Row],[Demolition Removal Unsafe Structures]]*BOQs!$L$4</f>
        <v>0</v>
      </c>
      <c r="T263" s="76"/>
      <c r="U263" s="37"/>
      <c r="V263" s="86">
        <f>tbl_Actual_costs_quantities34[[#This Row],[Concrete Works]]*BOQs!$L$5</f>
        <v>0</v>
      </c>
      <c r="W263" s="76"/>
      <c r="X263" s="37"/>
      <c r="Y263" s="86">
        <f>tbl_Actual_costs_quantities34[[#This Row],[Closure External Openings Walls Windows]]*BOQs!$L$6</f>
        <v>0</v>
      </c>
      <c r="Z263" s="76"/>
      <c r="AA263" s="37"/>
      <c r="AB263" s="86">
        <f>tbl_Actual_costs_quantities34[[#This Row],[Plastering Painting]]*BOQs!$L$7</f>
        <v>0</v>
      </c>
      <c r="AC263" s="76"/>
      <c r="AD263" s="37"/>
      <c r="AE263" s="86">
        <f>tbl_Actual_costs_quantities34[[#This Row],[Floor Repairs]]*BOQs!$L$8</f>
        <v>0</v>
      </c>
      <c r="AF263" s="76"/>
      <c r="AG263" s="37"/>
      <c r="AH263" s="86">
        <f>tbl_Actual_costs_quantities34[[#This Row],[Doors Replacement Repair]]*BOQs!$L$9</f>
        <v>0</v>
      </c>
      <c r="AI263" s="76"/>
      <c r="AJ263" s="37"/>
      <c r="AK263" s="86">
        <f>tbl_Actual_costs_quantities34[[#This Row],[Windows Replacement Repair]]*BOQs!$L$10</f>
        <v>0</v>
      </c>
      <c r="AL263" s="76"/>
      <c r="AM263" s="37"/>
      <c r="AN263" s="86">
        <f>tbl_Actual_costs_quantities34[[#This Row],[Bathroom Rehabilitation]]*BOQs!$L$11</f>
        <v>0</v>
      </c>
      <c r="AO263" s="76"/>
      <c r="AP263" s="37"/>
      <c r="AQ263" s="86">
        <f>tbl_Actual_costs_quantities34[[#This Row],[Ceramic Tile Works WASH]]*BOQs!$L$12</f>
        <v>0</v>
      </c>
      <c r="AR263" s="76"/>
      <c r="AS263" s="37"/>
      <c r="AT263" s="86">
        <f>tbl_Actual_costs_quantities34[[#This Row],[Electrical Repairs Lighting]]*BOQs!$L$13</f>
        <v>0</v>
      </c>
      <c r="AU263" s="76"/>
      <c r="AV263" s="37"/>
      <c r="AW263" s="86">
        <f>tbl_Actual_costs_quantities34[[#This Row],[Roof Insulation Leak Sealing]]*BOQs!$L$14</f>
        <v>0</v>
      </c>
      <c r="AX263" s="76"/>
      <c r="AY263" s="37"/>
      <c r="AZ263" s="86">
        <f>tbl_Actual_costs_quantities34[[#This Row],[Chimney Duct Cleaning Repair]]*BOQs!$L$15</f>
        <v>0</v>
      </c>
      <c r="BA263" s="76"/>
      <c r="BB263" s="37"/>
      <c r="BC263" s="89">
        <f>tbl_Actual_costs_quantities34[[#This Row],[Accessibility Adaptations]]*BOQs!$L$16</f>
        <v>0</v>
      </c>
      <c r="BD263" s="41"/>
      <c r="BE263" s="37"/>
      <c r="BF263" s="37"/>
    </row>
    <row r="264" spans="2:58" ht="25.15" customHeight="1" x14ac:dyDescent="0.25">
      <c r="B264" s="49">
        <v>260</v>
      </c>
      <c r="C264" s="37"/>
      <c r="D264" s="41"/>
      <c r="E264" s="40"/>
      <c r="F264" s="87" t="str">
        <f>IF(tbl_Actual_costs_quantities34[[#This Row],[House Code]]&lt;&gt;"",INDEX(tbl_Assessment[],MATCH(tbl_Actual_costs_quantities34[[#This Row],[House Code]],tbl_Assessment[House Code],0),3),"")</f>
        <v/>
      </c>
      <c r="G264" s="116" t="str">
        <f>IF(tbl_Actual_costs_quantities34[[#This Row],[House Code]]&lt;&gt;"",INDEX(tbl_Assessment[],MATCH(tbl_Actual_costs_quantities34[[#This Row],[House Code]],tbl_Assessment[House Code],0),9),"")</f>
        <v/>
      </c>
      <c r="H264" s="41"/>
      <c r="I264" s="41"/>
      <c r="J264" s="41"/>
      <c r="K264" s="116"/>
      <c r="L264" s="117" t="str">
        <f>IF(tbl_Actual_costs_quantities34[[#This Row],[House Code]]&lt;&gt;"",tbl_Actual_costs_quantities34[[#This Row],[Total cost]]/INDEX(tbl_estimated_costs_quantities[],MATCH(tbl_Actual_costs_quantities34[[#This Row],[House Code]],tbl_estimated_costs_quantities[House Code],0),7),"")</f>
        <v/>
      </c>
      <c r="M26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4" s="75"/>
      <c r="O264" s="37"/>
      <c r="P264" s="86">
        <f>tbl_Actual_costs_quantities34[[#This Row],[Site Preparation]]*BOQs!$L$3</f>
        <v>0</v>
      </c>
      <c r="Q264" s="76"/>
      <c r="R264" s="37"/>
      <c r="S264" s="86">
        <f>tbl_Actual_costs_quantities34[[#This Row],[Demolition Removal Unsafe Structures]]*BOQs!$L$4</f>
        <v>0</v>
      </c>
      <c r="T264" s="76"/>
      <c r="U264" s="37"/>
      <c r="V264" s="86">
        <f>tbl_Actual_costs_quantities34[[#This Row],[Concrete Works]]*BOQs!$L$5</f>
        <v>0</v>
      </c>
      <c r="W264" s="76"/>
      <c r="X264" s="37"/>
      <c r="Y264" s="86">
        <f>tbl_Actual_costs_quantities34[[#This Row],[Closure External Openings Walls Windows]]*BOQs!$L$6</f>
        <v>0</v>
      </c>
      <c r="Z264" s="76"/>
      <c r="AA264" s="37"/>
      <c r="AB264" s="86">
        <f>tbl_Actual_costs_quantities34[[#This Row],[Plastering Painting]]*BOQs!$L$7</f>
        <v>0</v>
      </c>
      <c r="AC264" s="76"/>
      <c r="AD264" s="37"/>
      <c r="AE264" s="86">
        <f>tbl_Actual_costs_quantities34[[#This Row],[Floor Repairs]]*BOQs!$L$8</f>
        <v>0</v>
      </c>
      <c r="AF264" s="76"/>
      <c r="AG264" s="37"/>
      <c r="AH264" s="86">
        <f>tbl_Actual_costs_quantities34[[#This Row],[Doors Replacement Repair]]*BOQs!$L$9</f>
        <v>0</v>
      </c>
      <c r="AI264" s="76"/>
      <c r="AJ264" s="37"/>
      <c r="AK264" s="86">
        <f>tbl_Actual_costs_quantities34[[#This Row],[Windows Replacement Repair]]*BOQs!$L$10</f>
        <v>0</v>
      </c>
      <c r="AL264" s="76"/>
      <c r="AM264" s="37"/>
      <c r="AN264" s="86">
        <f>tbl_Actual_costs_quantities34[[#This Row],[Bathroom Rehabilitation]]*BOQs!$L$11</f>
        <v>0</v>
      </c>
      <c r="AO264" s="76"/>
      <c r="AP264" s="37"/>
      <c r="AQ264" s="86">
        <f>tbl_Actual_costs_quantities34[[#This Row],[Ceramic Tile Works WASH]]*BOQs!$L$12</f>
        <v>0</v>
      </c>
      <c r="AR264" s="76"/>
      <c r="AS264" s="37"/>
      <c r="AT264" s="86">
        <f>tbl_Actual_costs_quantities34[[#This Row],[Electrical Repairs Lighting]]*BOQs!$L$13</f>
        <v>0</v>
      </c>
      <c r="AU264" s="76"/>
      <c r="AV264" s="37"/>
      <c r="AW264" s="86">
        <f>tbl_Actual_costs_quantities34[[#This Row],[Roof Insulation Leak Sealing]]*BOQs!$L$14</f>
        <v>0</v>
      </c>
      <c r="AX264" s="76"/>
      <c r="AY264" s="37"/>
      <c r="AZ264" s="86">
        <f>tbl_Actual_costs_quantities34[[#This Row],[Chimney Duct Cleaning Repair]]*BOQs!$L$15</f>
        <v>0</v>
      </c>
      <c r="BA264" s="76"/>
      <c r="BB264" s="37"/>
      <c r="BC264" s="89">
        <f>tbl_Actual_costs_quantities34[[#This Row],[Accessibility Adaptations]]*BOQs!$L$16</f>
        <v>0</v>
      </c>
      <c r="BD264" s="41"/>
      <c r="BE264" s="37"/>
      <c r="BF264" s="37"/>
    </row>
    <row r="265" spans="2:58" ht="25.15" customHeight="1" x14ac:dyDescent="0.25">
      <c r="B265" s="49">
        <v>261</v>
      </c>
      <c r="C265" s="37"/>
      <c r="D265" s="41"/>
      <c r="E265" s="40"/>
      <c r="F265" s="87" t="str">
        <f>IF(tbl_Actual_costs_quantities34[[#This Row],[House Code]]&lt;&gt;"",INDEX(tbl_Assessment[],MATCH(tbl_Actual_costs_quantities34[[#This Row],[House Code]],tbl_Assessment[House Code],0),3),"")</f>
        <v/>
      </c>
      <c r="G265" s="116" t="str">
        <f>IF(tbl_Actual_costs_quantities34[[#This Row],[House Code]]&lt;&gt;"",INDEX(tbl_Assessment[],MATCH(tbl_Actual_costs_quantities34[[#This Row],[House Code]],tbl_Assessment[House Code],0),9),"")</f>
        <v/>
      </c>
      <c r="H265" s="41"/>
      <c r="I265" s="41"/>
      <c r="J265" s="41"/>
      <c r="K265" s="116"/>
      <c r="L265" s="117" t="str">
        <f>IF(tbl_Actual_costs_quantities34[[#This Row],[House Code]]&lt;&gt;"",tbl_Actual_costs_quantities34[[#This Row],[Total cost]]/INDEX(tbl_estimated_costs_quantities[],MATCH(tbl_Actual_costs_quantities34[[#This Row],[House Code]],tbl_estimated_costs_quantities[House Code],0),7),"")</f>
        <v/>
      </c>
      <c r="M26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5" s="75"/>
      <c r="O265" s="37"/>
      <c r="P265" s="86">
        <f>tbl_Actual_costs_quantities34[[#This Row],[Site Preparation]]*BOQs!$L$3</f>
        <v>0</v>
      </c>
      <c r="Q265" s="76"/>
      <c r="R265" s="37"/>
      <c r="S265" s="86">
        <f>tbl_Actual_costs_quantities34[[#This Row],[Demolition Removal Unsafe Structures]]*BOQs!$L$4</f>
        <v>0</v>
      </c>
      <c r="T265" s="76"/>
      <c r="U265" s="37"/>
      <c r="V265" s="86">
        <f>tbl_Actual_costs_quantities34[[#This Row],[Concrete Works]]*BOQs!$L$5</f>
        <v>0</v>
      </c>
      <c r="W265" s="76"/>
      <c r="X265" s="37"/>
      <c r="Y265" s="86">
        <f>tbl_Actual_costs_quantities34[[#This Row],[Closure External Openings Walls Windows]]*BOQs!$L$6</f>
        <v>0</v>
      </c>
      <c r="Z265" s="76"/>
      <c r="AA265" s="37"/>
      <c r="AB265" s="86">
        <f>tbl_Actual_costs_quantities34[[#This Row],[Plastering Painting]]*BOQs!$L$7</f>
        <v>0</v>
      </c>
      <c r="AC265" s="76"/>
      <c r="AD265" s="37"/>
      <c r="AE265" s="86">
        <f>tbl_Actual_costs_quantities34[[#This Row],[Floor Repairs]]*BOQs!$L$8</f>
        <v>0</v>
      </c>
      <c r="AF265" s="76"/>
      <c r="AG265" s="37"/>
      <c r="AH265" s="86">
        <f>tbl_Actual_costs_quantities34[[#This Row],[Doors Replacement Repair]]*BOQs!$L$9</f>
        <v>0</v>
      </c>
      <c r="AI265" s="76"/>
      <c r="AJ265" s="37"/>
      <c r="AK265" s="86">
        <f>tbl_Actual_costs_quantities34[[#This Row],[Windows Replacement Repair]]*BOQs!$L$10</f>
        <v>0</v>
      </c>
      <c r="AL265" s="76"/>
      <c r="AM265" s="37"/>
      <c r="AN265" s="86">
        <f>tbl_Actual_costs_quantities34[[#This Row],[Bathroom Rehabilitation]]*BOQs!$L$11</f>
        <v>0</v>
      </c>
      <c r="AO265" s="76"/>
      <c r="AP265" s="37"/>
      <c r="AQ265" s="86">
        <f>tbl_Actual_costs_quantities34[[#This Row],[Ceramic Tile Works WASH]]*BOQs!$L$12</f>
        <v>0</v>
      </c>
      <c r="AR265" s="76"/>
      <c r="AS265" s="37"/>
      <c r="AT265" s="86">
        <f>tbl_Actual_costs_quantities34[[#This Row],[Electrical Repairs Lighting]]*BOQs!$L$13</f>
        <v>0</v>
      </c>
      <c r="AU265" s="76"/>
      <c r="AV265" s="37"/>
      <c r="AW265" s="86">
        <f>tbl_Actual_costs_quantities34[[#This Row],[Roof Insulation Leak Sealing]]*BOQs!$L$14</f>
        <v>0</v>
      </c>
      <c r="AX265" s="76"/>
      <c r="AY265" s="37"/>
      <c r="AZ265" s="86">
        <f>tbl_Actual_costs_quantities34[[#This Row],[Chimney Duct Cleaning Repair]]*BOQs!$L$15</f>
        <v>0</v>
      </c>
      <c r="BA265" s="76"/>
      <c r="BB265" s="37"/>
      <c r="BC265" s="89">
        <f>tbl_Actual_costs_quantities34[[#This Row],[Accessibility Adaptations]]*BOQs!$L$16</f>
        <v>0</v>
      </c>
      <c r="BD265" s="41"/>
      <c r="BE265" s="37"/>
      <c r="BF265" s="37"/>
    </row>
    <row r="266" spans="2:58" ht="25.15" customHeight="1" x14ac:dyDescent="0.25">
      <c r="B266" s="49">
        <v>262</v>
      </c>
      <c r="C266" s="37"/>
      <c r="D266" s="41"/>
      <c r="E266" s="40"/>
      <c r="F266" s="87" t="str">
        <f>IF(tbl_Actual_costs_quantities34[[#This Row],[House Code]]&lt;&gt;"",INDEX(tbl_Assessment[],MATCH(tbl_Actual_costs_quantities34[[#This Row],[House Code]],tbl_Assessment[House Code],0),3),"")</f>
        <v/>
      </c>
      <c r="G266" s="116" t="str">
        <f>IF(tbl_Actual_costs_quantities34[[#This Row],[House Code]]&lt;&gt;"",INDEX(tbl_Assessment[],MATCH(tbl_Actual_costs_quantities34[[#This Row],[House Code]],tbl_Assessment[House Code],0),9),"")</f>
        <v/>
      </c>
      <c r="H266" s="41"/>
      <c r="I266" s="41"/>
      <c r="J266" s="41"/>
      <c r="K266" s="116"/>
      <c r="L266" s="117" t="str">
        <f>IF(tbl_Actual_costs_quantities34[[#This Row],[House Code]]&lt;&gt;"",tbl_Actual_costs_quantities34[[#This Row],[Total cost]]/INDEX(tbl_estimated_costs_quantities[],MATCH(tbl_Actual_costs_quantities34[[#This Row],[House Code]],tbl_estimated_costs_quantities[House Code],0),7),"")</f>
        <v/>
      </c>
      <c r="M26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6" s="75"/>
      <c r="O266" s="37"/>
      <c r="P266" s="86">
        <f>tbl_Actual_costs_quantities34[[#This Row],[Site Preparation]]*BOQs!$L$3</f>
        <v>0</v>
      </c>
      <c r="Q266" s="76"/>
      <c r="R266" s="37"/>
      <c r="S266" s="86">
        <f>tbl_Actual_costs_quantities34[[#This Row],[Demolition Removal Unsafe Structures]]*BOQs!$L$4</f>
        <v>0</v>
      </c>
      <c r="T266" s="76"/>
      <c r="U266" s="37"/>
      <c r="V266" s="86">
        <f>tbl_Actual_costs_quantities34[[#This Row],[Concrete Works]]*BOQs!$L$5</f>
        <v>0</v>
      </c>
      <c r="W266" s="76"/>
      <c r="X266" s="37"/>
      <c r="Y266" s="86">
        <f>tbl_Actual_costs_quantities34[[#This Row],[Closure External Openings Walls Windows]]*BOQs!$L$6</f>
        <v>0</v>
      </c>
      <c r="Z266" s="76"/>
      <c r="AA266" s="37"/>
      <c r="AB266" s="86">
        <f>tbl_Actual_costs_quantities34[[#This Row],[Plastering Painting]]*BOQs!$L$7</f>
        <v>0</v>
      </c>
      <c r="AC266" s="76"/>
      <c r="AD266" s="37"/>
      <c r="AE266" s="86">
        <f>tbl_Actual_costs_quantities34[[#This Row],[Floor Repairs]]*BOQs!$L$8</f>
        <v>0</v>
      </c>
      <c r="AF266" s="76"/>
      <c r="AG266" s="37"/>
      <c r="AH266" s="86">
        <f>tbl_Actual_costs_quantities34[[#This Row],[Doors Replacement Repair]]*BOQs!$L$9</f>
        <v>0</v>
      </c>
      <c r="AI266" s="76"/>
      <c r="AJ266" s="37"/>
      <c r="AK266" s="86">
        <f>tbl_Actual_costs_quantities34[[#This Row],[Windows Replacement Repair]]*BOQs!$L$10</f>
        <v>0</v>
      </c>
      <c r="AL266" s="76"/>
      <c r="AM266" s="37"/>
      <c r="AN266" s="86">
        <f>tbl_Actual_costs_quantities34[[#This Row],[Bathroom Rehabilitation]]*BOQs!$L$11</f>
        <v>0</v>
      </c>
      <c r="AO266" s="76"/>
      <c r="AP266" s="37"/>
      <c r="AQ266" s="86">
        <f>tbl_Actual_costs_quantities34[[#This Row],[Ceramic Tile Works WASH]]*BOQs!$L$12</f>
        <v>0</v>
      </c>
      <c r="AR266" s="76"/>
      <c r="AS266" s="37"/>
      <c r="AT266" s="86">
        <f>tbl_Actual_costs_quantities34[[#This Row],[Electrical Repairs Lighting]]*BOQs!$L$13</f>
        <v>0</v>
      </c>
      <c r="AU266" s="76"/>
      <c r="AV266" s="37"/>
      <c r="AW266" s="86">
        <f>tbl_Actual_costs_quantities34[[#This Row],[Roof Insulation Leak Sealing]]*BOQs!$L$14</f>
        <v>0</v>
      </c>
      <c r="AX266" s="76"/>
      <c r="AY266" s="37"/>
      <c r="AZ266" s="86">
        <f>tbl_Actual_costs_quantities34[[#This Row],[Chimney Duct Cleaning Repair]]*BOQs!$L$15</f>
        <v>0</v>
      </c>
      <c r="BA266" s="76"/>
      <c r="BB266" s="37"/>
      <c r="BC266" s="89">
        <f>tbl_Actual_costs_quantities34[[#This Row],[Accessibility Adaptations]]*BOQs!$L$16</f>
        <v>0</v>
      </c>
      <c r="BD266" s="41"/>
      <c r="BE266" s="37"/>
      <c r="BF266" s="37"/>
    </row>
    <row r="267" spans="2:58" ht="25.15" customHeight="1" x14ac:dyDescent="0.25">
      <c r="B267" s="49">
        <v>263</v>
      </c>
      <c r="C267" s="37"/>
      <c r="D267" s="41"/>
      <c r="E267" s="40"/>
      <c r="F267" s="87" t="str">
        <f>IF(tbl_Actual_costs_quantities34[[#This Row],[House Code]]&lt;&gt;"",INDEX(tbl_Assessment[],MATCH(tbl_Actual_costs_quantities34[[#This Row],[House Code]],tbl_Assessment[House Code],0),3),"")</f>
        <v/>
      </c>
      <c r="G267" s="116" t="str">
        <f>IF(tbl_Actual_costs_quantities34[[#This Row],[House Code]]&lt;&gt;"",INDEX(tbl_Assessment[],MATCH(tbl_Actual_costs_quantities34[[#This Row],[House Code]],tbl_Assessment[House Code],0),9),"")</f>
        <v/>
      </c>
      <c r="H267" s="41"/>
      <c r="I267" s="41"/>
      <c r="J267" s="41"/>
      <c r="K267" s="116"/>
      <c r="L267" s="117" t="str">
        <f>IF(tbl_Actual_costs_quantities34[[#This Row],[House Code]]&lt;&gt;"",tbl_Actual_costs_quantities34[[#This Row],[Total cost]]/INDEX(tbl_estimated_costs_quantities[],MATCH(tbl_Actual_costs_quantities34[[#This Row],[House Code]],tbl_estimated_costs_quantities[House Code],0),7),"")</f>
        <v/>
      </c>
      <c r="M26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7" s="75"/>
      <c r="O267" s="37"/>
      <c r="P267" s="86">
        <f>tbl_Actual_costs_quantities34[[#This Row],[Site Preparation]]*BOQs!$L$3</f>
        <v>0</v>
      </c>
      <c r="Q267" s="76"/>
      <c r="R267" s="37"/>
      <c r="S267" s="86">
        <f>tbl_Actual_costs_quantities34[[#This Row],[Demolition Removal Unsafe Structures]]*BOQs!$L$4</f>
        <v>0</v>
      </c>
      <c r="T267" s="76"/>
      <c r="U267" s="37"/>
      <c r="V267" s="86">
        <f>tbl_Actual_costs_quantities34[[#This Row],[Concrete Works]]*BOQs!$L$5</f>
        <v>0</v>
      </c>
      <c r="W267" s="76"/>
      <c r="X267" s="37"/>
      <c r="Y267" s="86">
        <f>tbl_Actual_costs_quantities34[[#This Row],[Closure External Openings Walls Windows]]*BOQs!$L$6</f>
        <v>0</v>
      </c>
      <c r="Z267" s="76"/>
      <c r="AA267" s="37"/>
      <c r="AB267" s="86">
        <f>tbl_Actual_costs_quantities34[[#This Row],[Plastering Painting]]*BOQs!$L$7</f>
        <v>0</v>
      </c>
      <c r="AC267" s="76"/>
      <c r="AD267" s="37"/>
      <c r="AE267" s="86">
        <f>tbl_Actual_costs_quantities34[[#This Row],[Floor Repairs]]*BOQs!$L$8</f>
        <v>0</v>
      </c>
      <c r="AF267" s="76"/>
      <c r="AG267" s="37"/>
      <c r="AH267" s="86">
        <f>tbl_Actual_costs_quantities34[[#This Row],[Doors Replacement Repair]]*BOQs!$L$9</f>
        <v>0</v>
      </c>
      <c r="AI267" s="76"/>
      <c r="AJ267" s="37"/>
      <c r="AK267" s="86">
        <f>tbl_Actual_costs_quantities34[[#This Row],[Windows Replacement Repair]]*BOQs!$L$10</f>
        <v>0</v>
      </c>
      <c r="AL267" s="76"/>
      <c r="AM267" s="37"/>
      <c r="AN267" s="86">
        <f>tbl_Actual_costs_quantities34[[#This Row],[Bathroom Rehabilitation]]*BOQs!$L$11</f>
        <v>0</v>
      </c>
      <c r="AO267" s="76"/>
      <c r="AP267" s="37"/>
      <c r="AQ267" s="86">
        <f>tbl_Actual_costs_quantities34[[#This Row],[Ceramic Tile Works WASH]]*BOQs!$L$12</f>
        <v>0</v>
      </c>
      <c r="AR267" s="76"/>
      <c r="AS267" s="37"/>
      <c r="AT267" s="86">
        <f>tbl_Actual_costs_quantities34[[#This Row],[Electrical Repairs Lighting]]*BOQs!$L$13</f>
        <v>0</v>
      </c>
      <c r="AU267" s="76"/>
      <c r="AV267" s="37"/>
      <c r="AW267" s="86">
        <f>tbl_Actual_costs_quantities34[[#This Row],[Roof Insulation Leak Sealing]]*BOQs!$L$14</f>
        <v>0</v>
      </c>
      <c r="AX267" s="76"/>
      <c r="AY267" s="37"/>
      <c r="AZ267" s="86">
        <f>tbl_Actual_costs_quantities34[[#This Row],[Chimney Duct Cleaning Repair]]*BOQs!$L$15</f>
        <v>0</v>
      </c>
      <c r="BA267" s="76"/>
      <c r="BB267" s="37"/>
      <c r="BC267" s="89">
        <f>tbl_Actual_costs_quantities34[[#This Row],[Accessibility Adaptations]]*BOQs!$L$16</f>
        <v>0</v>
      </c>
      <c r="BD267" s="41"/>
      <c r="BE267" s="37"/>
      <c r="BF267" s="37"/>
    </row>
    <row r="268" spans="2:58" ht="25.15" customHeight="1" x14ac:dyDescent="0.25">
      <c r="B268" s="49">
        <v>264</v>
      </c>
      <c r="C268" s="37"/>
      <c r="D268" s="41"/>
      <c r="E268" s="40"/>
      <c r="F268" s="87" t="str">
        <f>IF(tbl_Actual_costs_quantities34[[#This Row],[House Code]]&lt;&gt;"",INDEX(tbl_Assessment[],MATCH(tbl_Actual_costs_quantities34[[#This Row],[House Code]],tbl_Assessment[House Code],0),3),"")</f>
        <v/>
      </c>
      <c r="G268" s="116" t="str">
        <f>IF(tbl_Actual_costs_quantities34[[#This Row],[House Code]]&lt;&gt;"",INDEX(tbl_Assessment[],MATCH(tbl_Actual_costs_quantities34[[#This Row],[House Code]],tbl_Assessment[House Code],0),9),"")</f>
        <v/>
      </c>
      <c r="H268" s="41"/>
      <c r="I268" s="41"/>
      <c r="J268" s="41"/>
      <c r="K268" s="116"/>
      <c r="L268" s="117" t="str">
        <f>IF(tbl_Actual_costs_quantities34[[#This Row],[House Code]]&lt;&gt;"",tbl_Actual_costs_quantities34[[#This Row],[Total cost]]/INDEX(tbl_estimated_costs_quantities[],MATCH(tbl_Actual_costs_quantities34[[#This Row],[House Code]],tbl_estimated_costs_quantities[House Code],0),7),"")</f>
        <v/>
      </c>
      <c r="M26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8" s="75"/>
      <c r="O268" s="37"/>
      <c r="P268" s="86">
        <f>tbl_Actual_costs_quantities34[[#This Row],[Site Preparation]]*BOQs!$L$3</f>
        <v>0</v>
      </c>
      <c r="Q268" s="76"/>
      <c r="R268" s="37"/>
      <c r="S268" s="86">
        <f>tbl_Actual_costs_quantities34[[#This Row],[Demolition Removal Unsafe Structures]]*BOQs!$L$4</f>
        <v>0</v>
      </c>
      <c r="T268" s="76"/>
      <c r="U268" s="37"/>
      <c r="V268" s="86">
        <f>tbl_Actual_costs_quantities34[[#This Row],[Concrete Works]]*BOQs!$L$5</f>
        <v>0</v>
      </c>
      <c r="W268" s="76"/>
      <c r="X268" s="37"/>
      <c r="Y268" s="86">
        <f>tbl_Actual_costs_quantities34[[#This Row],[Closure External Openings Walls Windows]]*BOQs!$L$6</f>
        <v>0</v>
      </c>
      <c r="Z268" s="76"/>
      <c r="AA268" s="37"/>
      <c r="AB268" s="86">
        <f>tbl_Actual_costs_quantities34[[#This Row],[Plastering Painting]]*BOQs!$L$7</f>
        <v>0</v>
      </c>
      <c r="AC268" s="76"/>
      <c r="AD268" s="37"/>
      <c r="AE268" s="86">
        <f>tbl_Actual_costs_quantities34[[#This Row],[Floor Repairs]]*BOQs!$L$8</f>
        <v>0</v>
      </c>
      <c r="AF268" s="76"/>
      <c r="AG268" s="37"/>
      <c r="AH268" s="86">
        <f>tbl_Actual_costs_quantities34[[#This Row],[Doors Replacement Repair]]*BOQs!$L$9</f>
        <v>0</v>
      </c>
      <c r="AI268" s="76"/>
      <c r="AJ268" s="37"/>
      <c r="AK268" s="86">
        <f>tbl_Actual_costs_quantities34[[#This Row],[Windows Replacement Repair]]*BOQs!$L$10</f>
        <v>0</v>
      </c>
      <c r="AL268" s="76"/>
      <c r="AM268" s="37"/>
      <c r="AN268" s="86">
        <f>tbl_Actual_costs_quantities34[[#This Row],[Bathroom Rehabilitation]]*BOQs!$L$11</f>
        <v>0</v>
      </c>
      <c r="AO268" s="76"/>
      <c r="AP268" s="37"/>
      <c r="AQ268" s="86">
        <f>tbl_Actual_costs_quantities34[[#This Row],[Ceramic Tile Works WASH]]*BOQs!$L$12</f>
        <v>0</v>
      </c>
      <c r="AR268" s="76"/>
      <c r="AS268" s="37"/>
      <c r="AT268" s="86">
        <f>tbl_Actual_costs_quantities34[[#This Row],[Electrical Repairs Lighting]]*BOQs!$L$13</f>
        <v>0</v>
      </c>
      <c r="AU268" s="76"/>
      <c r="AV268" s="37"/>
      <c r="AW268" s="86">
        <f>tbl_Actual_costs_quantities34[[#This Row],[Roof Insulation Leak Sealing]]*BOQs!$L$14</f>
        <v>0</v>
      </c>
      <c r="AX268" s="76"/>
      <c r="AY268" s="37"/>
      <c r="AZ268" s="86">
        <f>tbl_Actual_costs_quantities34[[#This Row],[Chimney Duct Cleaning Repair]]*BOQs!$L$15</f>
        <v>0</v>
      </c>
      <c r="BA268" s="76"/>
      <c r="BB268" s="37"/>
      <c r="BC268" s="89">
        <f>tbl_Actual_costs_quantities34[[#This Row],[Accessibility Adaptations]]*BOQs!$L$16</f>
        <v>0</v>
      </c>
      <c r="BD268" s="41"/>
      <c r="BE268" s="37"/>
      <c r="BF268" s="37"/>
    </row>
    <row r="269" spans="2:58" ht="25.15" customHeight="1" x14ac:dyDescent="0.25">
      <c r="B269" s="49">
        <v>265</v>
      </c>
      <c r="C269" s="37"/>
      <c r="D269" s="41"/>
      <c r="E269" s="40"/>
      <c r="F269" s="87" t="str">
        <f>IF(tbl_Actual_costs_quantities34[[#This Row],[House Code]]&lt;&gt;"",INDEX(tbl_Assessment[],MATCH(tbl_Actual_costs_quantities34[[#This Row],[House Code]],tbl_Assessment[House Code],0),3),"")</f>
        <v/>
      </c>
      <c r="G269" s="116" t="str">
        <f>IF(tbl_Actual_costs_quantities34[[#This Row],[House Code]]&lt;&gt;"",INDEX(tbl_Assessment[],MATCH(tbl_Actual_costs_quantities34[[#This Row],[House Code]],tbl_Assessment[House Code],0),9),"")</f>
        <v/>
      </c>
      <c r="H269" s="41"/>
      <c r="I269" s="41"/>
      <c r="J269" s="41"/>
      <c r="K269" s="116"/>
      <c r="L269" s="117" t="str">
        <f>IF(tbl_Actual_costs_quantities34[[#This Row],[House Code]]&lt;&gt;"",tbl_Actual_costs_quantities34[[#This Row],[Total cost]]/INDEX(tbl_estimated_costs_quantities[],MATCH(tbl_Actual_costs_quantities34[[#This Row],[House Code]],tbl_estimated_costs_quantities[House Code],0),7),"")</f>
        <v/>
      </c>
      <c r="M26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69" s="75"/>
      <c r="O269" s="37"/>
      <c r="P269" s="86">
        <f>tbl_Actual_costs_quantities34[[#This Row],[Site Preparation]]*BOQs!$L$3</f>
        <v>0</v>
      </c>
      <c r="Q269" s="76"/>
      <c r="R269" s="37"/>
      <c r="S269" s="86">
        <f>tbl_Actual_costs_quantities34[[#This Row],[Demolition Removal Unsafe Structures]]*BOQs!$L$4</f>
        <v>0</v>
      </c>
      <c r="T269" s="76"/>
      <c r="U269" s="37"/>
      <c r="V269" s="86">
        <f>tbl_Actual_costs_quantities34[[#This Row],[Concrete Works]]*BOQs!$L$5</f>
        <v>0</v>
      </c>
      <c r="W269" s="76"/>
      <c r="X269" s="37"/>
      <c r="Y269" s="86">
        <f>tbl_Actual_costs_quantities34[[#This Row],[Closure External Openings Walls Windows]]*BOQs!$L$6</f>
        <v>0</v>
      </c>
      <c r="Z269" s="76"/>
      <c r="AA269" s="37"/>
      <c r="AB269" s="86">
        <f>tbl_Actual_costs_quantities34[[#This Row],[Plastering Painting]]*BOQs!$L$7</f>
        <v>0</v>
      </c>
      <c r="AC269" s="76"/>
      <c r="AD269" s="37"/>
      <c r="AE269" s="86">
        <f>tbl_Actual_costs_quantities34[[#This Row],[Floor Repairs]]*BOQs!$L$8</f>
        <v>0</v>
      </c>
      <c r="AF269" s="76"/>
      <c r="AG269" s="37"/>
      <c r="AH269" s="86">
        <f>tbl_Actual_costs_quantities34[[#This Row],[Doors Replacement Repair]]*BOQs!$L$9</f>
        <v>0</v>
      </c>
      <c r="AI269" s="76"/>
      <c r="AJ269" s="37"/>
      <c r="AK269" s="86">
        <f>tbl_Actual_costs_quantities34[[#This Row],[Windows Replacement Repair]]*BOQs!$L$10</f>
        <v>0</v>
      </c>
      <c r="AL269" s="76"/>
      <c r="AM269" s="37"/>
      <c r="AN269" s="86">
        <f>tbl_Actual_costs_quantities34[[#This Row],[Bathroom Rehabilitation]]*BOQs!$L$11</f>
        <v>0</v>
      </c>
      <c r="AO269" s="76"/>
      <c r="AP269" s="37"/>
      <c r="AQ269" s="86">
        <f>tbl_Actual_costs_quantities34[[#This Row],[Ceramic Tile Works WASH]]*BOQs!$L$12</f>
        <v>0</v>
      </c>
      <c r="AR269" s="76"/>
      <c r="AS269" s="37"/>
      <c r="AT269" s="86">
        <f>tbl_Actual_costs_quantities34[[#This Row],[Electrical Repairs Lighting]]*BOQs!$L$13</f>
        <v>0</v>
      </c>
      <c r="AU269" s="76"/>
      <c r="AV269" s="37"/>
      <c r="AW269" s="86">
        <f>tbl_Actual_costs_quantities34[[#This Row],[Roof Insulation Leak Sealing]]*BOQs!$L$14</f>
        <v>0</v>
      </c>
      <c r="AX269" s="76"/>
      <c r="AY269" s="37"/>
      <c r="AZ269" s="86">
        <f>tbl_Actual_costs_quantities34[[#This Row],[Chimney Duct Cleaning Repair]]*BOQs!$L$15</f>
        <v>0</v>
      </c>
      <c r="BA269" s="76"/>
      <c r="BB269" s="37"/>
      <c r="BC269" s="89">
        <f>tbl_Actual_costs_quantities34[[#This Row],[Accessibility Adaptations]]*BOQs!$L$16</f>
        <v>0</v>
      </c>
      <c r="BD269" s="41"/>
      <c r="BE269" s="37"/>
      <c r="BF269" s="37"/>
    </row>
    <row r="270" spans="2:58" ht="25.15" customHeight="1" x14ac:dyDescent="0.25">
      <c r="B270" s="49">
        <v>266</v>
      </c>
      <c r="C270" s="37"/>
      <c r="D270" s="41"/>
      <c r="E270" s="40"/>
      <c r="F270" s="87" t="str">
        <f>IF(tbl_Actual_costs_quantities34[[#This Row],[House Code]]&lt;&gt;"",INDEX(tbl_Assessment[],MATCH(tbl_Actual_costs_quantities34[[#This Row],[House Code]],tbl_Assessment[House Code],0),3),"")</f>
        <v/>
      </c>
      <c r="G270" s="116" t="str">
        <f>IF(tbl_Actual_costs_quantities34[[#This Row],[House Code]]&lt;&gt;"",INDEX(tbl_Assessment[],MATCH(tbl_Actual_costs_quantities34[[#This Row],[House Code]],tbl_Assessment[House Code],0),9),"")</f>
        <v/>
      </c>
      <c r="H270" s="41"/>
      <c r="I270" s="41"/>
      <c r="J270" s="41"/>
      <c r="K270" s="116"/>
      <c r="L270" s="117" t="str">
        <f>IF(tbl_Actual_costs_quantities34[[#This Row],[House Code]]&lt;&gt;"",tbl_Actual_costs_quantities34[[#This Row],[Total cost]]/INDEX(tbl_estimated_costs_quantities[],MATCH(tbl_Actual_costs_quantities34[[#This Row],[House Code]],tbl_estimated_costs_quantities[House Code],0),7),"")</f>
        <v/>
      </c>
      <c r="M27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0" s="75"/>
      <c r="O270" s="37"/>
      <c r="P270" s="86">
        <f>tbl_Actual_costs_quantities34[[#This Row],[Site Preparation]]*BOQs!$L$3</f>
        <v>0</v>
      </c>
      <c r="Q270" s="76"/>
      <c r="R270" s="37"/>
      <c r="S270" s="86">
        <f>tbl_Actual_costs_quantities34[[#This Row],[Demolition Removal Unsafe Structures]]*BOQs!$L$4</f>
        <v>0</v>
      </c>
      <c r="T270" s="76"/>
      <c r="U270" s="37"/>
      <c r="V270" s="86">
        <f>tbl_Actual_costs_quantities34[[#This Row],[Concrete Works]]*BOQs!$L$5</f>
        <v>0</v>
      </c>
      <c r="W270" s="76"/>
      <c r="X270" s="37"/>
      <c r="Y270" s="86">
        <f>tbl_Actual_costs_quantities34[[#This Row],[Closure External Openings Walls Windows]]*BOQs!$L$6</f>
        <v>0</v>
      </c>
      <c r="Z270" s="76"/>
      <c r="AA270" s="37"/>
      <c r="AB270" s="86">
        <f>tbl_Actual_costs_quantities34[[#This Row],[Plastering Painting]]*BOQs!$L$7</f>
        <v>0</v>
      </c>
      <c r="AC270" s="76"/>
      <c r="AD270" s="37"/>
      <c r="AE270" s="86">
        <f>tbl_Actual_costs_quantities34[[#This Row],[Floor Repairs]]*BOQs!$L$8</f>
        <v>0</v>
      </c>
      <c r="AF270" s="76"/>
      <c r="AG270" s="37"/>
      <c r="AH270" s="86">
        <f>tbl_Actual_costs_quantities34[[#This Row],[Doors Replacement Repair]]*BOQs!$L$9</f>
        <v>0</v>
      </c>
      <c r="AI270" s="76"/>
      <c r="AJ270" s="37"/>
      <c r="AK270" s="86">
        <f>tbl_Actual_costs_quantities34[[#This Row],[Windows Replacement Repair]]*BOQs!$L$10</f>
        <v>0</v>
      </c>
      <c r="AL270" s="76"/>
      <c r="AM270" s="37"/>
      <c r="AN270" s="86">
        <f>tbl_Actual_costs_quantities34[[#This Row],[Bathroom Rehabilitation]]*BOQs!$L$11</f>
        <v>0</v>
      </c>
      <c r="AO270" s="76"/>
      <c r="AP270" s="37"/>
      <c r="AQ270" s="86">
        <f>tbl_Actual_costs_quantities34[[#This Row],[Ceramic Tile Works WASH]]*BOQs!$L$12</f>
        <v>0</v>
      </c>
      <c r="AR270" s="76"/>
      <c r="AS270" s="37"/>
      <c r="AT270" s="86">
        <f>tbl_Actual_costs_quantities34[[#This Row],[Electrical Repairs Lighting]]*BOQs!$L$13</f>
        <v>0</v>
      </c>
      <c r="AU270" s="76"/>
      <c r="AV270" s="37"/>
      <c r="AW270" s="86">
        <f>tbl_Actual_costs_quantities34[[#This Row],[Roof Insulation Leak Sealing]]*BOQs!$L$14</f>
        <v>0</v>
      </c>
      <c r="AX270" s="76"/>
      <c r="AY270" s="37"/>
      <c r="AZ270" s="86">
        <f>tbl_Actual_costs_quantities34[[#This Row],[Chimney Duct Cleaning Repair]]*BOQs!$L$15</f>
        <v>0</v>
      </c>
      <c r="BA270" s="76"/>
      <c r="BB270" s="37"/>
      <c r="BC270" s="89">
        <f>tbl_Actual_costs_quantities34[[#This Row],[Accessibility Adaptations]]*BOQs!$L$16</f>
        <v>0</v>
      </c>
      <c r="BD270" s="41"/>
      <c r="BE270" s="37"/>
      <c r="BF270" s="37"/>
    </row>
    <row r="271" spans="2:58" ht="25.15" customHeight="1" x14ac:dyDescent="0.25">
      <c r="B271" s="49">
        <v>267</v>
      </c>
      <c r="C271" s="37"/>
      <c r="D271" s="41"/>
      <c r="E271" s="40"/>
      <c r="F271" s="87" t="str">
        <f>IF(tbl_Actual_costs_quantities34[[#This Row],[House Code]]&lt;&gt;"",INDEX(tbl_Assessment[],MATCH(tbl_Actual_costs_quantities34[[#This Row],[House Code]],tbl_Assessment[House Code],0),3),"")</f>
        <v/>
      </c>
      <c r="G271" s="116" t="str">
        <f>IF(tbl_Actual_costs_quantities34[[#This Row],[House Code]]&lt;&gt;"",INDEX(tbl_Assessment[],MATCH(tbl_Actual_costs_quantities34[[#This Row],[House Code]],tbl_Assessment[House Code],0),9),"")</f>
        <v/>
      </c>
      <c r="H271" s="41"/>
      <c r="I271" s="41"/>
      <c r="J271" s="41"/>
      <c r="K271" s="116"/>
      <c r="L271" s="117" t="str">
        <f>IF(tbl_Actual_costs_quantities34[[#This Row],[House Code]]&lt;&gt;"",tbl_Actual_costs_quantities34[[#This Row],[Total cost]]/INDEX(tbl_estimated_costs_quantities[],MATCH(tbl_Actual_costs_quantities34[[#This Row],[House Code]],tbl_estimated_costs_quantities[House Code],0),7),"")</f>
        <v/>
      </c>
      <c r="M27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1" s="75"/>
      <c r="O271" s="37"/>
      <c r="P271" s="86">
        <f>tbl_Actual_costs_quantities34[[#This Row],[Site Preparation]]*BOQs!$L$3</f>
        <v>0</v>
      </c>
      <c r="Q271" s="76"/>
      <c r="R271" s="37"/>
      <c r="S271" s="86">
        <f>tbl_Actual_costs_quantities34[[#This Row],[Demolition Removal Unsafe Structures]]*BOQs!$L$4</f>
        <v>0</v>
      </c>
      <c r="T271" s="76"/>
      <c r="U271" s="37"/>
      <c r="V271" s="86">
        <f>tbl_Actual_costs_quantities34[[#This Row],[Concrete Works]]*BOQs!$L$5</f>
        <v>0</v>
      </c>
      <c r="W271" s="76"/>
      <c r="X271" s="37"/>
      <c r="Y271" s="86">
        <f>tbl_Actual_costs_quantities34[[#This Row],[Closure External Openings Walls Windows]]*BOQs!$L$6</f>
        <v>0</v>
      </c>
      <c r="Z271" s="76"/>
      <c r="AA271" s="37"/>
      <c r="AB271" s="86">
        <f>tbl_Actual_costs_quantities34[[#This Row],[Plastering Painting]]*BOQs!$L$7</f>
        <v>0</v>
      </c>
      <c r="AC271" s="76"/>
      <c r="AD271" s="37"/>
      <c r="AE271" s="86">
        <f>tbl_Actual_costs_quantities34[[#This Row],[Floor Repairs]]*BOQs!$L$8</f>
        <v>0</v>
      </c>
      <c r="AF271" s="76"/>
      <c r="AG271" s="37"/>
      <c r="AH271" s="86">
        <f>tbl_Actual_costs_quantities34[[#This Row],[Doors Replacement Repair]]*BOQs!$L$9</f>
        <v>0</v>
      </c>
      <c r="AI271" s="76"/>
      <c r="AJ271" s="37"/>
      <c r="AK271" s="86">
        <f>tbl_Actual_costs_quantities34[[#This Row],[Windows Replacement Repair]]*BOQs!$L$10</f>
        <v>0</v>
      </c>
      <c r="AL271" s="76"/>
      <c r="AM271" s="37"/>
      <c r="AN271" s="86">
        <f>tbl_Actual_costs_quantities34[[#This Row],[Bathroom Rehabilitation]]*BOQs!$L$11</f>
        <v>0</v>
      </c>
      <c r="AO271" s="76"/>
      <c r="AP271" s="37"/>
      <c r="AQ271" s="86">
        <f>tbl_Actual_costs_quantities34[[#This Row],[Ceramic Tile Works WASH]]*BOQs!$L$12</f>
        <v>0</v>
      </c>
      <c r="AR271" s="76"/>
      <c r="AS271" s="37"/>
      <c r="AT271" s="86">
        <f>tbl_Actual_costs_quantities34[[#This Row],[Electrical Repairs Lighting]]*BOQs!$L$13</f>
        <v>0</v>
      </c>
      <c r="AU271" s="76"/>
      <c r="AV271" s="37"/>
      <c r="AW271" s="86">
        <f>tbl_Actual_costs_quantities34[[#This Row],[Roof Insulation Leak Sealing]]*BOQs!$L$14</f>
        <v>0</v>
      </c>
      <c r="AX271" s="76"/>
      <c r="AY271" s="37"/>
      <c r="AZ271" s="86">
        <f>tbl_Actual_costs_quantities34[[#This Row],[Chimney Duct Cleaning Repair]]*BOQs!$L$15</f>
        <v>0</v>
      </c>
      <c r="BA271" s="76"/>
      <c r="BB271" s="37"/>
      <c r="BC271" s="89">
        <f>tbl_Actual_costs_quantities34[[#This Row],[Accessibility Adaptations]]*BOQs!$L$16</f>
        <v>0</v>
      </c>
      <c r="BD271" s="41"/>
      <c r="BE271" s="37"/>
      <c r="BF271" s="37"/>
    </row>
    <row r="272" spans="2:58" ht="25.15" customHeight="1" x14ac:dyDescent="0.25">
      <c r="B272" s="49">
        <v>268</v>
      </c>
      <c r="C272" s="37"/>
      <c r="D272" s="41"/>
      <c r="E272" s="40"/>
      <c r="F272" s="87" t="str">
        <f>IF(tbl_Actual_costs_quantities34[[#This Row],[House Code]]&lt;&gt;"",INDEX(tbl_Assessment[],MATCH(tbl_Actual_costs_quantities34[[#This Row],[House Code]],tbl_Assessment[House Code],0),3),"")</f>
        <v/>
      </c>
      <c r="G272" s="116" t="str">
        <f>IF(tbl_Actual_costs_quantities34[[#This Row],[House Code]]&lt;&gt;"",INDEX(tbl_Assessment[],MATCH(tbl_Actual_costs_quantities34[[#This Row],[House Code]],tbl_Assessment[House Code],0),9),"")</f>
        <v/>
      </c>
      <c r="H272" s="41"/>
      <c r="I272" s="41"/>
      <c r="J272" s="41"/>
      <c r="K272" s="116"/>
      <c r="L272" s="117" t="str">
        <f>IF(tbl_Actual_costs_quantities34[[#This Row],[House Code]]&lt;&gt;"",tbl_Actual_costs_quantities34[[#This Row],[Total cost]]/INDEX(tbl_estimated_costs_quantities[],MATCH(tbl_Actual_costs_quantities34[[#This Row],[House Code]],tbl_estimated_costs_quantities[House Code],0),7),"")</f>
        <v/>
      </c>
      <c r="M27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2" s="75"/>
      <c r="O272" s="37"/>
      <c r="P272" s="86">
        <f>tbl_Actual_costs_quantities34[[#This Row],[Site Preparation]]*BOQs!$L$3</f>
        <v>0</v>
      </c>
      <c r="Q272" s="76"/>
      <c r="R272" s="37"/>
      <c r="S272" s="86">
        <f>tbl_Actual_costs_quantities34[[#This Row],[Demolition Removal Unsafe Structures]]*BOQs!$L$4</f>
        <v>0</v>
      </c>
      <c r="T272" s="76"/>
      <c r="U272" s="37"/>
      <c r="V272" s="86">
        <f>tbl_Actual_costs_quantities34[[#This Row],[Concrete Works]]*BOQs!$L$5</f>
        <v>0</v>
      </c>
      <c r="W272" s="76"/>
      <c r="X272" s="37"/>
      <c r="Y272" s="86">
        <f>tbl_Actual_costs_quantities34[[#This Row],[Closure External Openings Walls Windows]]*BOQs!$L$6</f>
        <v>0</v>
      </c>
      <c r="Z272" s="76"/>
      <c r="AA272" s="37"/>
      <c r="AB272" s="86">
        <f>tbl_Actual_costs_quantities34[[#This Row],[Plastering Painting]]*BOQs!$L$7</f>
        <v>0</v>
      </c>
      <c r="AC272" s="76"/>
      <c r="AD272" s="37"/>
      <c r="AE272" s="86">
        <f>tbl_Actual_costs_quantities34[[#This Row],[Floor Repairs]]*BOQs!$L$8</f>
        <v>0</v>
      </c>
      <c r="AF272" s="76"/>
      <c r="AG272" s="37"/>
      <c r="AH272" s="86">
        <f>tbl_Actual_costs_quantities34[[#This Row],[Doors Replacement Repair]]*BOQs!$L$9</f>
        <v>0</v>
      </c>
      <c r="AI272" s="76"/>
      <c r="AJ272" s="37"/>
      <c r="AK272" s="86">
        <f>tbl_Actual_costs_quantities34[[#This Row],[Windows Replacement Repair]]*BOQs!$L$10</f>
        <v>0</v>
      </c>
      <c r="AL272" s="76"/>
      <c r="AM272" s="37"/>
      <c r="AN272" s="86">
        <f>tbl_Actual_costs_quantities34[[#This Row],[Bathroom Rehabilitation]]*BOQs!$L$11</f>
        <v>0</v>
      </c>
      <c r="AO272" s="76"/>
      <c r="AP272" s="37"/>
      <c r="AQ272" s="86">
        <f>tbl_Actual_costs_quantities34[[#This Row],[Ceramic Tile Works WASH]]*BOQs!$L$12</f>
        <v>0</v>
      </c>
      <c r="AR272" s="76"/>
      <c r="AS272" s="37"/>
      <c r="AT272" s="86">
        <f>tbl_Actual_costs_quantities34[[#This Row],[Electrical Repairs Lighting]]*BOQs!$L$13</f>
        <v>0</v>
      </c>
      <c r="AU272" s="76"/>
      <c r="AV272" s="37"/>
      <c r="AW272" s="86">
        <f>tbl_Actual_costs_quantities34[[#This Row],[Roof Insulation Leak Sealing]]*BOQs!$L$14</f>
        <v>0</v>
      </c>
      <c r="AX272" s="76"/>
      <c r="AY272" s="37"/>
      <c r="AZ272" s="86">
        <f>tbl_Actual_costs_quantities34[[#This Row],[Chimney Duct Cleaning Repair]]*BOQs!$L$15</f>
        <v>0</v>
      </c>
      <c r="BA272" s="76"/>
      <c r="BB272" s="37"/>
      <c r="BC272" s="89">
        <f>tbl_Actual_costs_quantities34[[#This Row],[Accessibility Adaptations]]*BOQs!$L$16</f>
        <v>0</v>
      </c>
      <c r="BD272" s="41"/>
      <c r="BE272" s="37"/>
      <c r="BF272" s="37"/>
    </row>
    <row r="273" spans="2:58" ht="25.15" customHeight="1" x14ac:dyDescent="0.25">
      <c r="B273" s="49">
        <v>269</v>
      </c>
      <c r="C273" s="37"/>
      <c r="D273" s="41"/>
      <c r="E273" s="40"/>
      <c r="F273" s="87" t="str">
        <f>IF(tbl_Actual_costs_quantities34[[#This Row],[House Code]]&lt;&gt;"",INDEX(tbl_Assessment[],MATCH(tbl_Actual_costs_quantities34[[#This Row],[House Code]],tbl_Assessment[House Code],0),3),"")</f>
        <v/>
      </c>
      <c r="G273" s="116" t="str">
        <f>IF(tbl_Actual_costs_quantities34[[#This Row],[House Code]]&lt;&gt;"",INDEX(tbl_Assessment[],MATCH(tbl_Actual_costs_quantities34[[#This Row],[House Code]],tbl_Assessment[House Code],0),9),"")</f>
        <v/>
      </c>
      <c r="H273" s="41"/>
      <c r="I273" s="41"/>
      <c r="J273" s="41"/>
      <c r="K273" s="116"/>
      <c r="L273" s="117" t="str">
        <f>IF(tbl_Actual_costs_quantities34[[#This Row],[House Code]]&lt;&gt;"",tbl_Actual_costs_quantities34[[#This Row],[Total cost]]/INDEX(tbl_estimated_costs_quantities[],MATCH(tbl_Actual_costs_quantities34[[#This Row],[House Code]],tbl_estimated_costs_quantities[House Code],0),7),"")</f>
        <v/>
      </c>
      <c r="M27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3" s="75"/>
      <c r="O273" s="37"/>
      <c r="P273" s="86">
        <f>tbl_Actual_costs_quantities34[[#This Row],[Site Preparation]]*BOQs!$L$3</f>
        <v>0</v>
      </c>
      <c r="Q273" s="76"/>
      <c r="R273" s="37"/>
      <c r="S273" s="86">
        <f>tbl_Actual_costs_quantities34[[#This Row],[Demolition Removal Unsafe Structures]]*BOQs!$L$4</f>
        <v>0</v>
      </c>
      <c r="T273" s="76"/>
      <c r="U273" s="37"/>
      <c r="V273" s="86">
        <f>tbl_Actual_costs_quantities34[[#This Row],[Concrete Works]]*BOQs!$L$5</f>
        <v>0</v>
      </c>
      <c r="W273" s="76"/>
      <c r="X273" s="37"/>
      <c r="Y273" s="86">
        <f>tbl_Actual_costs_quantities34[[#This Row],[Closure External Openings Walls Windows]]*BOQs!$L$6</f>
        <v>0</v>
      </c>
      <c r="Z273" s="76"/>
      <c r="AA273" s="37"/>
      <c r="AB273" s="86">
        <f>tbl_Actual_costs_quantities34[[#This Row],[Plastering Painting]]*BOQs!$L$7</f>
        <v>0</v>
      </c>
      <c r="AC273" s="76"/>
      <c r="AD273" s="37"/>
      <c r="AE273" s="86">
        <f>tbl_Actual_costs_quantities34[[#This Row],[Floor Repairs]]*BOQs!$L$8</f>
        <v>0</v>
      </c>
      <c r="AF273" s="76"/>
      <c r="AG273" s="37"/>
      <c r="AH273" s="86">
        <f>tbl_Actual_costs_quantities34[[#This Row],[Doors Replacement Repair]]*BOQs!$L$9</f>
        <v>0</v>
      </c>
      <c r="AI273" s="76"/>
      <c r="AJ273" s="37"/>
      <c r="AK273" s="86">
        <f>tbl_Actual_costs_quantities34[[#This Row],[Windows Replacement Repair]]*BOQs!$L$10</f>
        <v>0</v>
      </c>
      <c r="AL273" s="76"/>
      <c r="AM273" s="37"/>
      <c r="AN273" s="86">
        <f>tbl_Actual_costs_quantities34[[#This Row],[Bathroom Rehabilitation]]*BOQs!$L$11</f>
        <v>0</v>
      </c>
      <c r="AO273" s="76"/>
      <c r="AP273" s="37"/>
      <c r="AQ273" s="86">
        <f>tbl_Actual_costs_quantities34[[#This Row],[Ceramic Tile Works WASH]]*BOQs!$L$12</f>
        <v>0</v>
      </c>
      <c r="AR273" s="76"/>
      <c r="AS273" s="37"/>
      <c r="AT273" s="86">
        <f>tbl_Actual_costs_quantities34[[#This Row],[Electrical Repairs Lighting]]*BOQs!$L$13</f>
        <v>0</v>
      </c>
      <c r="AU273" s="76"/>
      <c r="AV273" s="37"/>
      <c r="AW273" s="86">
        <f>tbl_Actual_costs_quantities34[[#This Row],[Roof Insulation Leak Sealing]]*BOQs!$L$14</f>
        <v>0</v>
      </c>
      <c r="AX273" s="76"/>
      <c r="AY273" s="37"/>
      <c r="AZ273" s="86">
        <f>tbl_Actual_costs_quantities34[[#This Row],[Chimney Duct Cleaning Repair]]*BOQs!$L$15</f>
        <v>0</v>
      </c>
      <c r="BA273" s="76"/>
      <c r="BB273" s="37"/>
      <c r="BC273" s="89">
        <f>tbl_Actual_costs_quantities34[[#This Row],[Accessibility Adaptations]]*BOQs!$L$16</f>
        <v>0</v>
      </c>
      <c r="BD273" s="41"/>
      <c r="BE273" s="37"/>
      <c r="BF273" s="37"/>
    </row>
    <row r="274" spans="2:58" ht="25.15" customHeight="1" x14ac:dyDescent="0.25">
      <c r="B274" s="49">
        <v>270</v>
      </c>
      <c r="C274" s="37"/>
      <c r="D274" s="41"/>
      <c r="E274" s="40"/>
      <c r="F274" s="87" t="str">
        <f>IF(tbl_Actual_costs_quantities34[[#This Row],[House Code]]&lt;&gt;"",INDEX(tbl_Assessment[],MATCH(tbl_Actual_costs_quantities34[[#This Row],[House Code]],tbl_Assessment[House Code],0),3),"")</f>
        <v/>
      </c>
      <c r="G274" s="116" t="str">
        <f>IF(tbl_Actual_costs_quantities34[[#This Row],[House Code]]&lt;&gt;"",INDEX(tbl_Assessment[],MATCH(tbl_Actual_costs_quantities34[[#This Row],[House Code]],tbl_Assessment[House Code],0),9),"")</f>
        <v/>
      </c>
      <c r="H274" s="41"/>
      <c r="I274" s="41"/>
      <c r="J274" s="41"/>
      <c r="K274" s="116"/>
      <c r="L274" s="117" t="str">
        <f>IF(tbl_Actual_costs_quantities34[[#This Row],[House Code]]&lt;&gt;"",tbl_Actual_costs_quantities34[[#This Row],[Total cost]]/INDEX(tbl_estimated_costs_quantities[],MATCH(tbl_Actual_costs_quantities34[[#This Row],[House Code]],tbl_estimated_costs_quantities[House Code],0),7),"")</f>
        <v/>
      </c>
      <c r="M27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4" s="75"/>
      <c r="O274" s="37"/>
      <c r="P274" s="86">
        <f>tbl_Actual_costs_quantities34[[#This Row],[Site Preparation]]*BOQs!$L$3</f>
        <v>0</v>
      </c>
      <c r="Q274" s="76"/>
      <c r="R274" s="37"/>
      <c r="S274" s="86">
        <f>tbl_Actual_costs_quantities34[[#This Row],[Demolition Removal Unsafe Structures]]*BOQs!$L$4</f>
        <v>0</v>
      </c>
      <c r="T274" s="76"/>
      <c r="U274" s="37"/>
      <c r="V274" s="86">
        <f>tbl_Actual_costs_quantities34[[#This Row],[Concrete Works]]*BOQs!$L$5</f>
        <v>0</v>
      </c>
      <c r="W274" s="76"/>
      <c r="X274" s="37"/>
      <c r="Y274" s="86">
        <f>tbl_Actual_costs_quantities34[[#This Row],[Closure External Openings Walls Windows]]*BOQs!$L$6</f>
        <v>0</v>
      </c>
      <c r="Z274" s="76"/>
      <c r="AA274" s="37"/>
      <c r="AB274" s="86">
        <f>tbl_Actual_costs_quantities34[[#This Row],[Plastering Painting]]*BOQs!$L$7</f>
        <v>0</v>
      </c>
      <c r="AC274" s="76"/>
      <c r="AD274" s="37"/>
      <c r="AE274" s="86">
        <f>tbl_Actual_costs_quantities34[[#This Row],[Floor Repairs]]*BOQs!$L$8</f>
        <v>0</v>
      </c>
      <c r="AF274" s="76"/>
      <c r="AG274" s="37"/>
      <c r="AH274" s="86">
        <f>tbl_Actual_costs_quantities34[[#This Row],[Doors Replacement Repair]]*BOQs!$L$9</f>
        <v>0</v>
      </c>
      <c r="AI274" s="76"/>
      <c r="AJ274" s="37"/>
      <c r="AK274" s="86">
        <f>tbl_Actual_costs_quantities34[[#This Row],[Windows Replacement Repair]]*BOQs!$L$10</f>
        <v>0</v>
      </c>
      <c r="AL274" s="76"/>
      <c r="AM274" s="37"/>
      <c r="AN274" s="86">
        <f>tbl_Actual_costs_quantities34[[#This Row],[Bathroom Rehabilitation]]*BOQs!$L$11</f>
        <v>0</v>
      </c>
      <c r="AO274" s="76"/>
      <c r="AP274" s="37"/>
      <c r="AQ274" s="86">
        <f>tbl_Actual_costs_quantities34[[#This Row],[Ceramic Tile Works WASH]]*BOQs!$L$12</f>
        <v>0</v>
      </c>
      <c r="AR274" s="76"/>
      <c r="AS274" s="37"/>
      <c r="AT274" s="86">
        <f>tbl_Actual_costs_quantities34[[#This Row],[Electrical Repairs Lighting]]*BOQs!$L$13</f>
        <v>0</v>
      </c>
      <c r="AU274" s="76"/>
      <c r="AV274" s="37"/>
      <c r="AW274" s="86">
        <f>tbl_Actual_costs_quantities34[[#This Row],[Roof Insulation Leak Sealing]]*BOQs!$L$14</f>
        <v>0</v>
      </c>
      <c r="AX274" s="76"/>
      <c r="AY274" s="37"/>
      <c r="AZ274" s="86">
        <f>tbl_Actual_costs_quantities34[[#This Row],[Chimney Duct Cleaning Repair]]*BOQs!$L$15</f>
        <v>0</v>
      </c>
      <c r="BA274" s="76"/>
      <c r="BB274" s="37"/>
      <c r="BC274" s="89">
        <f>tbl_Actual_costs_quantities34[[#This Row],[Accessibility Adaptations]]*BOQs!$L$16</f>
        <v>0</v>
      </c>
      <c r="BD274" s="41"/>
      <c r="BE274" s="37"/>
      <c r="BF274" s="37"/>
    </row>
    <row r="275" spans="2:58" ht="25.15" customHeight="1" x14ac:dyDescent="0.25">
      <c r="B275" s="49">
        <v>271</v>
      </c>
      <c r="C275" s="37"/>
      <c r="D275" s="41"/>
      <c r="E275" s="40"/>
      <c r="F275" s="87" t="str">
        <f>IF(tbl_Actual_costs_quantities34[[#This Row],[House Code]]&lt;&gt;"",INDEX(tbl_Assessment[],MATCH(tbl_Actual_costs_quantities34[[#This Row],[House Code]],tbl_Assessment[House Code],0),3),"")</f>
        <v/>
      </c>
      <c r="G275" s="116" t="str">
        <f>IF(tbl_Actual_costs_quantities34[[#This Row],[House Code]]&lt;&gt;"",INDEX(tbl_Assessment[],MATCH(tbl_Actual_costs_quantities34[[#This Row],[House Code]],tbl_Assessment[House Code],0),9),"")</f>
        <v/>
      </c>
      <c r="H275" s="41"/>
      <c r="I275" s="41"/>
      <c r="J275" s="41"/>
      <c r="K275" s="116"/>
      <c r="L275" s="117" t="str">
        <f>IF(tbl_Actual_costs_quantities34[[#This Row],[House Code]]&lt;&gt;"",tbl_Actual_costs_quantities34[[#This Row],[Total cost]]/INDEX(tbl_estimated_costs_quantities[],MATCH(tbl_Actual_costs_quantities34[[#This Row],[House Code]],tbl_estimated_costs_quantities[House Code],0),7),"")</f>
        <v/>
      </c>
      <c r="M27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5" s="75"/>
      <c r="O275" s="37"/>
      <c r="P275" s="86">
        <f>tbl_Actual_costs_quantities34[[#This Row],[Site Preparation]]*BOQs!$L$3</f>
        <v>0</v>
      </c>
      <c r="Q275" s="76"/>
      <c r="R275" s="37"/>
      <c r="S275" s="86">
        <f>tbl_Actual_costs_quantities34[[#This Row],[Demolition Removal Unsafe Structures]]*BOQs!$L$4</f>
        <v>0</v>
      </c>
      <c r="T275" s="76"/>
      <c r="U275" s="37"/>
      <c r="V275" s="86">
        <f>tbl_Actual_costs_quantities34[[#This Row],[Concrete Works]]*BOQs!$L$5</f>
        <v>0</v>
      </c>
      <c r="W275" s="76"/>
      <c r="X275" s="37"/>
      <c r="Y275" s="86">
        <f>tbl_Actual_costs_quantities34[[#This Row],[Closure External Openings Walls Windows]]*BOQs!$L$6</f>
        <v>0</v>
      </c>
      <c r="Z275" s="76"/>
      <c r="AA275" s="37"/>
      <c r="AB275" s="86">
        <f>tbl_Actual_costs_quantities34[[#This Row],[Plastering Painting]]*BOQs!$L$7</f>
        <v>0</v>
      </c>
      <c r="AC275" s="76"/>
      <c r="AD275" s="37"/>
      <c r="AE275" s="86">
        <f>tbl_Actual_costs_quantities34[[#This Row],[Floor Repairs]]*BOQs!$L$8</f>
        <v>0</v>
      </c>
      <c r="AF275" s="76"/>
      <c r="AG275" s="37"/>
      <c r="AH275" s="86">
        <f>tbl_Actual_costs_quantities34[[#This Row],[Doors Replacement Repair]]*BOQs!$L$9</f>
        <v>0</v>
      </c>
      <c r="AI275" s="76"/>
      <c r="AJ275" s="37"/>
      <c r="AK275" s="86">
        <f>tbl_Actual_costs_quantities34[[#This Row],[Windows Replacement Repair]]*BOQs!$L$10</f>
        <v>0</v>
      </c>
      <c r="AL275" s="76"/>
      <c r="AM275" s="37"/>
      <c r="AN275" s="86">
        <f>tbl_Actual_costs_quantities34[[#This Row],[Bathroom Rehabilitation]]*BOQs!$L$11</f>
        <v>0</v>
      </c>
      <c r="AO275" s="76"/>
      <c r="AP275" s="37"/>
      <c r="AQ275" s="86">
        <f>tbl_Actual_costs_quantities34[[#This Row],[Ceramic Tile Works WASH]]*BOQs!$L$12</f>
        <v>0</v>
      </c>
      <c r="AR275" s="76"/>
      <c r="AS275" s="37"/>
      <c r="AT275" s="86">
        <f>tbl_Actual_costs_quantities34[[#This Row],[Electrical Repairs Lighting]]*BOQs!$L$13</f>
        <v>0</v>
      </c>
      <c r="AU275" s="76"/>
      <c r="AV275" s="37"/>
      <c r="AW275" s="86">
        <f>tbl_Actual_costs_quantities34[[#This Row],[Roof Insulation Leak Sealing]]*BOQs!$L$14</f>
        <v>0</v>
      </c>
      <c r="AX275" s="76"/>
      <c r="AY275" s="37"/>
      <c r="AZ275" s="86">
        <f>tbl_Actual_costs_quantities34[[#This Row],[Chimney Duct Cleaning Repair]]*BOQs!$L$15</f>
        <v>0</v>
      </c>
      <c r="BA275" s="76"/>
      <c r="BB275" s="37"/>
      <c r="BC275" s="89">
        <f>tbl_Actual_costs_quantities34[[#This Row],[Accessibility Adaptations]]*BOQs!$L$16</f>
        <v>0</v>
      </c>
      <c r="BD275" s="41"/>
      <c r="BE275" s="37"/>
      <c r="BF275" s="37"/>
    </row>
    <row r="276" spans="2:58" ht="25.15" customHeight="1" x14ac:dyDescent="0.25">
      <c r="B276" s="49">
        <v>272</v>
      </c>
      <c r="C276" s="37"/>
      <c r="D276" s="41"/>
      <c r="E276" s="40"/>
      <c r="F276" s="87" t="str">
        <f>IF(tbl_Actual_costs_quantities34[[#This Row],[House Code]]&lt;&gt;"",INDEX(tbl_Assessment[],MATCH(tbl_Actual_costs_quantities34[[#This Row],[House Code]],tbl_Assessment[House Code],0),3),"")</f>
        <v/>
      </c>
      <c r="G276" s="116" t="str">
        <f>IF(tbl_Actual_costs_quantities34[[#This Row],[House Code]]&lt;&gt;"",INDEX(tbl_Assessment[],MATCH(tbl_Actual_costs_quantities34[[#This Row],[House Code]],tbl_Assessment[House Code],0),9),"")</f>
        <v/>
      </c>
      <c r="H276" s="41"/>
      <c r="I276" s="41"/>
      <c r="J276" s="41"/>
      <c r="K276" s="116"/>
      <c r="L276" s="117" t="str">
        <f>IF(tbl_Actual_costs_quantities34[[#This Row],[House Code]]&lt;&gt;"",tbl_Actual_costs_quantities34[[#This Row],[Total cost]]/INDEX(tbl_estimated_costs_quantities[],MATCH(tbl_Actual_costs_quantities34[[#This Row],[House Code]],tbl_estimated_costs_quantities[House Code],0),7),"")</f>
        <v/>
      </c>
      <c r="M27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6" s="75"/>
      <c r="O276" s="37"/>
      <c r="P276" s="86">
        <f>tbl_Actual_costs_quantities34[[#This Row],[Site Preparation]]*BOQs!$L$3</f>
        <v>0</v>
      </c>
      <c r="Q276" s="76"/>
      <c r="R276" s="37"/>
      <c r="S276" s="86">
        <f>tbl_Actual_costs_quantities34[[#This Row],[Demolition Removal Unsafe Structures]]*BOQs!$L$4</f>
        <v>0</v>
      </c>
      <c r="T276" s="76"/>
      <c r="U276" s="37"/>
      <c r="V276" s="86">
        <f>tbl_Actual_costs_quantities34[[#This Row],[Concrete Works]]*BOQs!$L$5</f>
        <v>0</v>
      </c>
      <c r="W276" s="76"/>
      <c r="X276" s="37"/>
      <c r="Y276" s="86">
        <f>tbl_Actual_costs_quantities34[[#This Row],[Closure External Openings Walls Windows]]*BOQs!$L$6</f>
        <v>0</v>
      </c>
      <c r="Z276" s="76"/>
      <c r="AA276" s="37"/>
      <c r="AB276" s="86">
        <f>tbl_Actual_costs_quantities34[[#This Row],[Plastering Painting]]*BOQs!$L$7</f>
        <v>0</v>
      </c>
      <c r="AC276" s="76"/>
      <c r="AD276" s="37"/>
      <c r="AE276" s="86">
        <f>tbl_Actual_costs_quantities34[[#This Row],[Floor Repairs]]*BOQs!$L$8</f>
        <v>0</v>
      </c>
      <c r="AF276" s="76"/>
      <c r="AG276" s="37"/>
      <c r="AH276" s="86">
        <f>tbl_Actual_costs_quantities34[[#This Row],[Doors Replacement Repair]]*BOQs!$L$9</f>
        <v>0</v>
      </c>
      <c r="AI276" s="76"/>
      <c r="AJ276" s="37"/>
      <c r="AK276" s="86">
        <f>tbl_Actual_costs_quantities34[[#This Row],[Windows Replacement Repair]]*BOQs!$L$10</f>
        <v>0</v>
      </c>
      <c r="AL276" s="76"/>
      <c r="AM276" s="37"/>
      <c r="AN276" s="86">
        <f>tbl_Actual_costs_quantities34[[#This Row],[Bathroom Rehabilitation]]*BOQs!$L$11</f>
        <v>0</v>
      </c>
      <c r="AO276" s="76"/>
      <c r="AP276" s="37"/>
      <c r="AQ276" s="86">
        <f>tbl_Actual_costs_quantities34[[#This Row],[Ceramic Tile Works WASH]]*BOQs!$L$12</f>
        <v>0</v>
      </c>
      <c r="AR276" s="76"/>
      <c r="AS276" s="37"/>
      <c r="AT276" s="86">
        <f>tbl_Actual_costs_quantities34[[#This Row],[Electrical Repairs Lighting]]*BOQs!$L$13</f>
        <v>0</v>
      </c>
      <c r="AU276" s="76"/>
      <c r="AV276" s="37"/>
      <c r="AW276" s="86">
        <f>tbl_Actual_costs_quantities34[[#This Row],[Roof Insulation Leak Sealing]]*BOQs!$L$14</f>
        <v>0</v>
      </c>
      <c r="AX276" s="76"/>
      <c r="AY276" s="37"/>
      <c r="AZ276" s="86">
        <f>tbl_Actual_costs_quantities34[[#This Row],[Chimney Duct Cleaning Repair]]*BOQs!$L$15</f>
        <v>0</v>
      </c>
      <c r="BA276" s="76"/>
      <c r="BB276" s="37"/>
      <c r="BC276" s="89">
        <f>tbl_Actual_costs_quantities34[[#This Row],[Accessibility Adaptations]]*BOQs!$L$16</f>
        <v>0</v>
      </c>
      <c r="BD276" s="41"/>
      <c r="BE276" s="37"/>
      <c r="BF276" s="37"/>
    </row>
    <row r="277" spans="2:58" ht="25.15" customHeight="1" x14ac:dyDescent="0.25">
      <c r="B277" s="49">
        <v>273</v>
      </c>
      <c r="C277" s="37"/>
      <c r="D277" s="41"/>
      <c r="E277" s="40"/>
      <c r="F277" s="87" t="str">
        <f>IF(tbl_Actual_costs_quantities34[[#This Row],[House Code]]&lt;&gt;"",INDEX(tbl_Assessment[],MATCH(tbl_Actual_costs_quantities34[[#This Row],[House Code]],tbl_Assessment[House Code],0),3),"")</f>
        <v/>
      </c>
      <c r="G277" s="116" t="str">
        <f>IF(tbl_Actual_costs_quantities34[[#This Row],[House Code]]&lt;&gt;"",INDEX(tbl_Assessment[],MATCH(tbl_Actual_costs_quantities34[[#This Row],[House Code]],tbl_Assessment[House Code],0),9),"")</f>
        <v/>
      </c>
      <c r="H277" s="41"/>
      <c r="I277" s="41"/>
      <c r="J277" s="41"/>
      <c r="K277" s="116"/>
      <c r="L277" s="117" t="str">
        <f>IF(tbl_Actual_costs_quantities34[[#This Row],[House Code]]&lt;&gt;"",tbl_Actual_costs_quantities34[[#This Row],[Total cost]]/INDEX(tbl_estimated_costs_quantities[],MATCH(tbl_Actual_costs_quantities34[[#This Row],[House Code]],tbl_estimated_costs_quantities[House Code],0),7),"")</f>
        <v/>
      </c>
      <c r="M27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7" s="75"/>
      <c r="O277" s="37"/>
      <c r="P277" s="86">
        <f>tbl_Actual_costs_quantities34[[#This Row],[Site Preparation]]*BOQs!$L$3</f>
        <v>0</v>
      </c>
      <c r="Q277" s="76"/>
      <c r="R277" s="37"/>
      <c r="S277" s="86">
        <f>tbl_Actual_costs_quantities34[[#This Row],[Demolition Removal Unsafe Structures]]*BOQs!$L$4</f>
        <v>0</v>
      </c>
      <c r="T277" s="76"/>
      <c r="U277" s="37"/>
      <c r="V277" s="86">
        <f>tbl_Actual_costs_quantities34[[#This Row],[Concrete Works]]*BOQs!$L$5</f>
        <v>0</v>
      </c>
      <c r="W277" s="76"/>
      <c r="X277" s="37"/>
      <c r="Y277" s="86">
        <f>tbl_Actual_costs_quantities34[[#This Row],[Closure External Openings Walls Windows]]*BOQs!$L$6</f>
        <v>0</v>
      </c>
      <c r="Z277" s="76"/>
      <c r="AA277" s="37"/>
      <c r="AB277" s="86">
        <f>tbl_Actual_costs_quantities34[[#This Row],[Plastering Painting]]*BOQs!$L$7</f>
        <v>0</v>
      </c>
      <c r="AC277" s="76"/>
      <c r="AD277" s="37"/>
      <c r="AE277" s="86">
        <f>tbl_Actual_costs_quantities34[[#This Row],[Floor Repairs]]*BOQs!$L$8</f>
        <v>0</v>
      </c>
      <c r="AF277" s="76"/>
      <c r="AG277" s="37"/>
      <c r="AH277" s="86">
        <f>tbl_Actual_costs_quantities34[[#This Row],[Doors Replacement Repair]]*BOQs!$L$9</f>
        <v>0</v>
      </c>
      <c r="AI277" s="76"/>
      <c r="AJ277" s="37"/>
      <c r="AK277" s="86">
        <f>tbl_Actual_costs_quantities34[[#This Row],[Windows Replacement Repair]]*BOQs!$L$10</f>
        <v>0</v>
      </c>
      <c r="AL277" s="76"/>
      <c r="AM277" s="37"/>
      <c r="AN277" s="86">
        <f>tbl_Actual_costs_quantities34[[#This Row],[Bathroom Rehabilitation]]*BOQs!$L$11</f>
        <v>0</v>
      </c>
      <c r="AO277" s="76"/>
      <c r="AP277" s="37"/>
      <c r="AQ277" s="86">
        <f>tbl_Actual_costs_quantities34[[#This Row],[Ceramic Tile Works WASH]]*BOQs!$L$12</f>
        <v>0</v>
      </c>
      <c r="AR277" s="76"/>
      <c r="AS277" s="37"/>
      <c r="AT277" s="86">
        <f>tbl_Actual_costs_quantities34[[#This Row],[Electrical Repairs Lighting]]*BOQs!$L$13</f>
        <v>0</v>
      </c>
      <c r="AU277" s="76"/>
      <c r="AV277" s="37"/>
      <c r="AW277" s="86">
        <f>tbl_Actual_costs_quantities34[[#This Row],[Roof Insulation Leak Sealing]]*BOQs!$L$14</f>
        <v>0</v>
      </c>
      <c r="AX277" s="76"/>
      <c r="AY277" s="37"/>
      <c r="AZ277" s="86">
        <f>tbl_Actual_costs_quantities34[[#This Row],[Chimney Duct Cleaning Repair]]*BOQs!$L$15</f>
        <v>0</v>
      </c>
      <c r="BA277" s="76"/>
      <c r="BB277" s="37"/>
      <c r="BC277" s="89">
        <f>tbl_Actual_costs_quantities34[[#This Row],[Accessibility Adaptations]]*BOQs!$L$16</f>
        <v>0</v>
      </c>
      <c r="BD277" s="41"/>
      <c r="BE277" s="37"/>
      <c r="BF277" s="37"/>
    </row>
    <row r="278" spans="2:58" ht="25.15" customHeight="1" x14ac:dyDescent="0.25">
      <c r="B278" s="49">
        <v>274</v>
      </c>
      <c r="C278" s="37"/>
      <c r="D278" s="41"/>
      <c r="E278" s="40"/>
      <c r="F278" s="87" t="str">
        <f>IF(tbl_Actual_costs_quantities34[[#This Row],[House Code]]&lt;&gt;"",INDEX(tbl_Assessment[],MATCH(tbl_Actual_costs_quantities34[[#This Row],[House Code]],tbl_Assessment[House Code],0),3),"")</f>
        <v/>
      </c>
      <c r="G278" s="116" t="str">
        <f>IF(tbl_Actual_costs_quantities34[[#This Row],[House Code]]&lt;&gt;"",INDEX(tbl_Assessment[],MATCH(tbl_Actual_costs_quantities34[[#This Row],[House Code]],tbl_Assessment[House Code],0),9),"")</f>
        <v/>
      </c>
      <c r="H278" s="41"/>
      <c r="I278" s="41"/>
      <c r="J278" s="41"/>
      <c r="K278" s="116"/>
      <c r="L278" s="117" t="str">
        <f>IF(tbl_Actual_costs_quantities34[[#This Row],[House Code]]&lt;&gt;"",tbl_Actual_costs_quantities34[[#This Row],[Total cost]]/INDEX(tbl_estimated_costs_quantities[],MATCH(tbl_Actual_costs_quantities34[[#This Row],[House Code]],tbl_estimated_costs_quantities[House Code],0),7),"")</f>
        <v/>
      </c>
      <c r="M27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8" s="75"/>
      <c r="O278" s="37"/>
      <c r="P278" s="86">
        <f>tbl_Actual_costs_quantities34[[#This Row],[Site Preparation]]*BOQs!$L$3</f>
        <v>0</v>
      </c>
      <c r="Q278" s="76"/>
      <c r="R278" s="37"/>
      <c r="S278" s="86">
        <f>tbl_Actual_costs_quantities34[[#This Row],[Demolition Removal Unsafe Structures]]*BOQs!$L$4</f>
        <v>0</v>
      </c>
      <c r="T278" s="76"/>
      <c r="U278" s="37"/>
      <c r="V278" s="86">
        <f>tbl_Actual_costs_quantities34[[#This Row],[Concrete Works]]*BOQs!$L$5</f>
        <v>0</v>
      </c>
      <c r="W278" s="76"/>
      <c r="X278" s="37"/>
      <c r="Y278" s="86">
        <f>tbl_Actual_costs_quantities34[[#This Row],[Closure External Openings Walls Windows]]*BOQs!$L$6</f>
        <v>0</v>
      </c>
      <c r="Z278" s="76"/>
      <c r="AA278" s="37"/>
      <c r="AB278" s="86">
        <f>tbl_Actual_costs_quantities34[[#This Row],[Plastering Painting]]*BOQs!$L$7</f>
        <v>0</v>
      </c>
      <c r="AC278" s="76"/>
      <c r="AD278" s="37"/>
      <c r="AE278" s="86">
        <f>tbl_Actual_costs_quantities34[[#This Row],[Floor Repairs]]*BOQs!$L$8</f>
        <v>0</v>
      </c>
      <c r="AF278" s="76"/>
      <c r="AG278" s="37"/>
      <c r="AH278" s="86">
        <f>tbl_Actual_costs_quantities34[[#This Row],[Doors Replacement Repair]]*BOQs!$L$9</f>
        <v>0</v>
      </c>
      <c r="AI278" s="76"/>
      <c r="AJ278" s="37"/>
      <c r="AK278" s="86">
        <f>tbl_Actual_costs_quantities34[[#This Row],[Windows Replacement Repair]]*BOQs!$L$10</f>
        <v>0</v>
      </c>
      <c r="AL278" s="76"/>
      <c r="AM278" s="37"/>
      <c r="AN278" s="86">
        <f>tbl_Actual_costs_quantities34[[#This Row],[Bathroom Rehabilitation]]*BOQs!$L$11</f>
        <v>0</v>
      </c>
      <c r="AO278" s="76"/>
      <c r="AP278" s="37"/>
      <c r="AQ278" s="86">
        <f>tbl_Actual_costs_quantities34[[#This Row],[Ceramic Tile Works WASH]]*BOQs!$L$12</f>
        <v>0</v>
      </c>
      <c r="AR278" s="76"/>
      <c r="AS278" s="37"/>
      <c r="AT278" s="86">
        <f>tbl_Actual_costs_quantities34[[#This Row],[Electrical Repairs Lighting]]*BOQs!$L$13</f>
        <v>0</v>
      </c>
      <c r="AU278" s="76"/>
      <c r="AV278" s="37"/>
      <c r="AW278" s="86">
        <f>tbl_Actual_costs_quantities34[[#This Row],[Roof Insulation Leak Sealing]]*BOQs!$L$14</f>
        <v>0</v>
      </c>
      <c r="AX278" s="76"/>
      <c r="AY278" s="37"/>
      <c r="AZ278" s="86">
        <f>tbl_Actual_costs_quantities34[[#This Row],[Chimney Duct Cleaning Repair]]*BOQs!$L$15</f>
        <v>0</v>
      </c>
      <c r="BA278" s="76"/>
      <c r="BB278" s="37"/>
      <c r="BC278" s="89">
        <f>tbl_Actual_costs_quantities34[[#This Row],[Accessibility Adaptations]]*BOQs!$L$16</f>
        <v>0</v>
      </c>
      <c r="BD278" s="41"/>
      <c r="BE278" s="37"/>
      <c r="BF278" s="37"/>
    </row>
    <row r="279" spans="2:58" ht="25.15" customHeight="1" x14ac:dyDescent="0.25">
      <c r="B279" s="49">
        <v>275</v>
      </c>
      <c r="C279" s="37"/>
      <c r="D279" s="41"/>
      <c r="E279" s="40"/>
      <c r="F279" s="87" t="str">
        <f>IF(tbl_Actual_costs_quantities34[[#This Row],[House Code]]&lt;&gt;"",INDEX(tbl_Assessment[],MATCH(tbl_Actual_costs_quantities34[[#This Row],[House Code]],tbl_Assessment[House Code],0),3),"")</f>
        <v/>
      </c>
      <c r="G279" s="116" t="str">
        <f>IF(tbl_Actual_costs_quantities34[[#This Row],[House Code]]&lt;&gt;"",INDEX(tbl_Assessment[],MATCH(tbl_Actual_costs_quantities34[[#This Row],[House Code]],tbl_Assessment[House Code],0),9),"")</f>
        <v/>
      </c>
      <c r="H279" s="41"/>
      <c r="I279" s="41"/>
      <c r="J279" s="41"/>
      <c r="K279" s="116"/>
      <c r="L279" s="117" t="str">
        <f>IF(tbl_Actual_costs_quantities34[[#This Row],[House Code]]&lt;&gt;"",tbl_Actual_costs_quantities34[[#This Row],[Total cost]]/INDEX(tbl_estimated_costs_quantities[],MATCH(tbl_Actual_costs_quantities34[[#This Row],[House Code]],tbl_estimated_costs_quantities[House Code],0),7),"")</f>
        <v/>
      </c>
      <c r="M27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79" s="75"/>
      <c r="O279" s="37"/>
      <c r="P279" s="86">
        <f>tbl_Actual_costs_quantities34[[#This Row],[Site Preparation]]*BOQs!$L$3</f>
        <v>0</v>
      </c>
      <c r="Q279" s="76"/>
      <c r="R279" s="37"/>
      <c r="S279" s="86">
        <f>tbl_Actual_costs_quantities34[[#This Row],[Demolition Removal Unsafe Structures]]*BOQs!$L$4</f>
        <v>0</v>
      </c>
      <c r="T279" s="76"/>
      <c r="U279" s="37"/>
      <c r="V279" s="86">
        <f>tbl_Actual_costs_quantities34[[#This Row],[Concrete Works]]*BOQs!$L$5</f>
        <v>0</v>
      </c>
      <c r="W279" s="76"/>
      <c r="X279" s="37"/>
      <c r="Y279" s="86">
        <f>tbl_Actual_costs_quantities34[[#This Row],[Closure External Openings Walls Windows]]*BOQs!$L$6</f>
        <v>0</v>
      </c>
      <c r="Z279" s="76"/>
      <c r="AA279" s="37"/>
      <c r="AB279" s="86">
        <f>tbl_Actual_costs_quantities34[[#This Row],[Plastering Painting]]*BOQs!$L$7</f>
        <v>0</v>
      </c>
      <c r="AC279" s="76"/>
      <c r="AD279" s="37"/>
      <c r="AE279" s="86">
        <f>tbl_Actual_costs_quantities34[[#This Row],[Floor Repairs]]*BOQs!$L$8</f>
        <v>0</v>
      </c>
      <c r="AF279" s="76"/>
      <c r="AG279" s="37"/>
      <c r="AH279" s="86">
        <f>tbl_Actual_costs_quantities34[[#This Row],[Doors Replacement Repair]]*BOQs!$L$9</f>
        <v>0</v>
      </c>
      <c r="AI279" s="76"/>
      <c r="AJ279" s="37"/>
      <c r="AK279" s="86">
        <f>tbl_Actual_costs_quantities34[[#This Row],[Windows Replacement Repair]]*BOQs!$L$10</f>
        <v>0</v>
      </c>
      <c r="AL279" s="76"/>
      <c r="AM279" s="37"/>
      <c r="AN279" s="86">
        <f>tbl_Actual_costs_quantities34[[#This Row],[Bathroom Rehabilitation]]*BOQs!$L$11</f>
        <v>0</v>
      </c>
      <c r="AO279" s="76"/>
      <c r="AP279" s="37"/>
      <c r="AQ279" s="86">
        <f>tbl_Actual_costs_quantities34[[#This Row],[Ceramic Tile Works WASH]]*BOQs!$L$12</f>
        <v>0</v>
      </c>
      <c r="AR279" s="76"/>
      <c r="AS279" s="37"/>
      <c r="AT279" s="86">
        <f>tbl_Actual_costs_quantities34[[#This Row],[Electrical Repairs Lighting]]*BOQs!$L$13</f>
        <v>0</v>
      </c>
      <c r="AU279" s="76"/>
      <c r="AV279" s="37"/>
      <c r="AW279" s="86">
        <f>tbl_Actual_costs_quantities34[[#This Row],[Roof Insulation Leak Sealing]]*BOQs!$L$14</f>
        <v>0</v>
      </c>
      <c r="AX279" s="76"/>
      <c r="AY279" s="37"/>
      <c r="AZ279" s="86">
        <f>tbl_Actual_costs_quantities34[[#This Row],[Chimney Duct Cleaning Repair]]*BOQs!$L$15</f>
        <v>0</v>
      </c>
      <c r="BA279" s="76"/>
      <c r="BB279" s="37"/>
      <c r="BC279" s="89">
        <f>tbl_Actual_costs_quantities34[[#This Row],[Accessibility Adaptations]]*BOQs!$L$16</f>
        <v>0</v>
      </c>
      <c r="BD279" s="41"/>
      <c r="BE279" s="37"/>
      <c r="BF279" s="37"/>
    </row>
    <row r="280" spans="2:58" ht="25.15" customHeight="1" x14ac:dyDescent="0.25">
      <c r="B280" s="49">
        <v>276</v>
      </c>
      <c r="C280" s="37"/>
      <c r="D280" s="41"/>
      <c r="E280" s="40"/>
      <c r="F280" s="87" t="str">
        <f>IF(tbl_Actual_costs_quantities34[[#This Row],[House Code]]&lt;&gt;"",INDEX(tbl_Assessment[],MATCH(tbl_Actual_costs_quantities34[[#This Row],[House Code]],tbl_Assessment[House Code],0),3),"")</f>
        <v/>
      </c>
      <c r="G280" s="116" t="str">
        <f>IF(tbl_Actual_costs_quantities34[[#This Row],[House Code]]&lt;&gt;"",INDEX(tbl_Assessment[],MATCH(tbl_Actual_costs_quantities34[[#This Row],[House Code]],tbl_Assessment[House Code],0),9),"")</f>
        <v/>
      </c>
      <c r="H280" s="41"/>
      <c r="I280" s="41"/>
      <c r="J280" s="41"/>
      <c r="K280" s="116"/>
      <c r="L280" s="117" t="str">
        <f>IF(tbl_Actual_costs_quantities34[[#This Row],[House Code]]&lt;&gt;"",tbl_Actual_costs_quantities34[[#This Row],[Total cost]]/INDEX(tbl_estimated_costs_quantities[],MATCH(tbl_Actual_costs_quantities34[[#This Row],[House Code]],tbl_estimated_costs_quantities[House Code],0),7),"")</f>
        <v/>
      </c>
      <c r="M28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0" s="75"/>
      <c r="O280" s="37"/>
      <c r="P280" s="86">
        <f>tbl_Actual_costs_quantities34[[#This Row],[Site Preparation]]*BOQs!$L$3</f>
        <v>0</v>
      </c>
      <c r="Q280" s="76"/>
      <c r="R280" s="37"/>
      <c r="S280" s="86">
        <f>tbl_Actual_costs_quantities34[[#This Row],[Demolition Removal Unsafe Structures]]*BOQs!$L$4</f>
        <v>0</v>
      </c>
      <c r="T280" s="76"/>
      <c r="U280" s="37"/>
      <c r="V280" s="86">
        <f>tbl_Actual_costs_quantities34[[#This Row],[Concrete Works]]*BOQs!$L$5</f>
        <v>0</v>
      </c>
      <c r="W280" s="76"/>
      <c r="X280" s="37"/>
      <c r="Y280" s="86">
        <f>tbl_Actual_costs_quantities34[[#This Row],[Closure External Openings Walls Windows]]*BOQs!$L$6</f>
        <v>0</v>
      </c>
      <c r="Z280" s="76"/>
      <c r="AA280" s="37"/>
      <c r="AB280" s="86">
        <f>tbl_Actual_costs_quantities34[[#This Row],[Plastering Painting]]*BOQs!$L$7</f>
        <v>0</v>
      </c>
      <c r="AC280" s="76"/>
      <c r="AD280" s="37"/>
      <c r="AE280" s="86">
        <f>tbl_Actual_costs_quantities34[[#This Row],[Floor Repairs]]*BOQs!$L$8</f>
        <v>0</v>
      </c>
      <c r="AF280" s="76"/>
      <c r="AG280" s="37"/>
      <c r="AH280" s="86">
        <f>tbl_Actual_costs_quantities34[[#This Row],[Doors Replacement Repair]]*BOQs!$L$9</f>
        <v>0</v>
      </c>
      <c r="AI280" s="76"/>
      <c r="AJ280" s="37"/>
      <c r="AK280" s="86">
        <f>tbl_Actual_costs_quantities34[[#This Row],[Windows Replacement Repair]]*BOQs!$L$10</f>
        <v>0</v>
      </c>
      <c r="AL280" s="76"/>
      <c r="AM280" s="37"/>
      <c r="AN280" s="86">
        <f>tbl_Actual_costs_quantities34[[#This Row],[Bathroom Rehabilitation]]*BOQs!$L$11</f>
        <v>0</v>
      </c>
      <c r="AO280" s="76"/>
      <c r="AP280" s="37"/>
      <c r="AQ280" s="86">
        <f>tbl_Actual_costs_quantities34[[#This Row],[Ceramic Tile Works WASH]]*BOQs!$L$12</f>
        <v>0</v>
      </c>
      <c r="AR280" s="76"/>
      <c r="AS280" s="37"/>
      <c r="AT280" s="86">
        <f>tbl_Actual_costs_quantities34[[#This Row],[Electrical Repairs Lighting]]*BOQs!$L$13</f>
        <v>0</v>
      </c>
      <c r="AU280" s="76"/>
      <c r="AV280" s="37"/>
      <c r="AW280" s="86">
        <f>tbl_Actual_costs_quantities34[[#This Row],[Roof Insulation Leak Sealing]]*BOQs!$L$14</f>
        <v>0</v>
      </c>
      <c r="AX280" s="76"/>
      <c r="AY280" s="37"/>
      <c r="AZ280" s="86">
        <f>tbl_Actual_costs_quantities34[[#This Row],[Chimney Duct Cleaning Repair]]*BOQs!$L$15</f>
        <v>0</v>
      </c>
      <c r="BA280" s="76"/>
      <c r="BB280" s="37"/>
      <c r="BC280" s="89">
        <f>tbl_Actual_costs_quantities34[[#This Row],[Accessibility Adaptations]]*BOQs!$L$16</f>
        <v>0</v>
      </c>
      <c r="BD280" s="41"/>
      <c r="BE280" s="37"/>
      <c r="BF280" s="37"/>
    </row>
    <row r="281" spans="2:58" ht="25.15" customHeight="1" x14ac:dyDescent="0.25">
      <c r="B281" s="49">
        <v>277</v>
      </c>
      <c r="C281" s="37"/>
      <c r="D281" s="41"/>
      <c r="E281" s="40"/>
      <c r="F281" s="87" t="str">
        <f>IF(tbl_Actual_costs_quantities34[[#This Row],[House Code]]&lt;&gt;"",INDEX(tbl_Assessment[],MATCH(tbl_Actual_costs_quantities34[[#This Row],[House Code]],tbl_Assessment[House Code],0),3),"")</f>
        <v/>
      </c>
      <c r="G281" s="116" t="str">
        <f>IF(tbl_Actual_costs_quantities34[[#This Row],[House Code]]&lt;&gt;"",INDEX(tbl_Assessment[],MATCH(tbl_Actual_costs_quantities34[[#This Row],[House Code]],tbl_Assessment[House Code],0),9),"")</f>
        <v/>
      </c>
      <c r="H281" s="41"/>
      <c r="I281" s="41"/>
      <c r="J281" s="41"/>
      <c r="K281" s="116"/>
      <c r="L281" s="117" t="str">
        <f>IF(tbl_Actual_costs_quantities34[[#This Row],[House Code]]&lt;&gt;"",tbl_Actual_costs_quantities34[[#This Row],[Total cost]]/INDEX(tbl_estimated_costs_quantities[],MATCH(tbl_Actual_costs_quantities34[[#This Row],[House Code]],tbl_estimated_costs_quantities[House Code],0),7),"")</f>
        <v/>
      </c>
      <c r="M28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1" s="75"/>
      <c r="O281" s="37"/>
      <c r="P281" s="86">
        <f>tbl_Actual_costs_quantities34[[#This Row],[Site Preparation]]*BOQs!$L$3</f>
        <v>0</v>
      </c>
      <c r="Q281" s="76"/>
      <c r="R281" s="37"/>
      <c r="S281" s="86">
        <f>tbl_Actual_costs_quantities34[[#This Row],[Demolition Removal Unsafe Structures]]*BOQs!$L$4</f>
        <v>0</v>
      </c>
      <c r="T281" s="76"/>
      <c r="U281" s="37"/>
      <c r="V281" s="86">
        <f>tbl_Actual_costs_quantities34[[#This Row],[Concrete Works]]*BOQs!$L$5</f>
        <v>0</v>
      </c>
      <c r="W281" s="76"/>
      <c r="X281" s="37"/>
      <c r="Y281" s="86">
        <f>tbl_Actual_costs_quantities34[[#This Row],[Closure External Openings Walls Windows]]*BOQs!$L$6</f>
        <v>0</v>
      </c>
      <c r="Z281" s="76"/>
      <c r="AA281" s="37"/>
      <c r="AB281" s="86">
        <f>tbl_Actual_costs_quantities34[[#This Row],[Plastering Painting]]*BOQs!$L$7</f>
        <v>0</v>
      </c>
      <c r="AC281" s="76"/>
      <c r="AD281" s="37"/>
      <c r="AE281" s="86">
        <f>tbl_Actual_costs_quantities34[[#This Row],[Floor Repairs]]*BOQs!$L$8</f>
        <v>0</v>
      </c>
      <c r="AF281" s="76"/>
      <c r="AG281" s="37"/>
      <c r="AH281" s="86">
        <f>tbl_Actual_costs_quantities34[[#This Row],[Doors Replacement Repair]]*BOQs!$L$9</f>
        <v>0</v>
      </c>
      <c r="AI281" s="76"/>
      <c r="AJ281" s="37"/>
      <c r="AK281" s="86">
        <f>tbl_Actual_costs_quantities34[[#This Row],[Windows Replacement Repair]]*BOQs!$L$10</f>
        <v>0</v>
      </c>
      <c r="AL281" s="76"/>
      <c r="AM281" s="37"/>
      <c r="AN281" s="86">
        <f>tbl_Actual_costs_quantities34[[#This Row],[Bathroom Rehabilitation]]*BOQs!$L$11</f>
        <v>0</v>
      </c>
      <c r="AO281" s="76"/>
      <c r="AP281" s="37"/>
      <c r="AQ281" s="86">
        <f>tbl_Actual_costs_quantities34[[#This Row],[Ceramic Tile Works WASH]]*BOQs!$L$12</f>
        <v>0</v>
      </c>
      <c r="AR281" s="76"/>
      <c r="AS281" s="37"/>
      <c r="AT281" s="86">
        <f>tbl_Actual_costs_quantities34[[#This Row],[Electrical Repairs Lighting]]*BOQs!$L$13</f>
        <v>0</v>
      </c>
      <c r="AU281" s="76"/>
      <c r="AV281" s="37"/>
      <c r="AW281" s="86">
        <f>tbl_Actual_costs_quantities34[[#This Row],[Roof Insulation Leak Sealing]]*BOQs!$L$14</f>
        <v>0</v>
      </c>
      <c r="AX281" s="76"/>
      <c r="AY281" s="37"/>
      <c r="AZ281" s="86">
        <f>tbl_Actual_costs_quantities34[[#This Row],[Chimney Duct Cleaning Repair]]*BOQs!$L$15</f>
        <v>0</v>
      </c>
      <c r="BA281" s="76"/>
      <c r="BB281" s="37"/>
      <c r="BC281" s="89">
        <f>tbl_Actual_costs_quantities34[[#This Row],[Accessibility Adaptations]]*BOQs!$L$16</f>
        <v>0</v>
      </c>
      <c r="BD281" s="41"/>
      <c r="BE281" s="37"/>
      <c r="BF281" s="37"/>
    </row>
    <row r="282" spans="2:58" ht="25.15" customHeight="1" x14ac:dyDescent="0.25">
      <c r="B282" s="49">
        <v>278</v>
      </c>
      <c r="C282" s="37"/>
      <c r="D282" s="41"/>
      <c r="E282" s="40"/>
      <c r="F282" s="87" t="str">
        <f>IF(tbl_Actual_costs_quantities34[[#This Row],[House Code]]&lt;&gt;"",INDEX(tbl_Assessment[],MATCH(tbl_Actual_costs_quantities34[[#This Row],[House Code]],tbl_Assessment[House Code],0),3),"")</f>
        <v/>
      </c>
      <c r="G282" s="116" t="str">
        <f>IF(tbl_Actual_costs_quantities34[[#This Row],[House Code]]&lt;&gt;"",INDEX(tbl_Assessment[],MATCH(tbl_Actual_costs_quantities34[[#This Row],[House Code]],tbl_Assessment[House Code],0),9),"")</f>
        <v/>
      </c>
      <c r="H282" s="41"/>
      <c r="I282" s="41"/>
      <c r="J282" s="41"/>
      <c r="K282" s="116"/>
      <c r="L282" s="117" t="str">
        <f>IF(tbl_Actual_costs_quantities34[[#This Row],[House Code]]&lt;&gt;"",tbl_Actual_costs_quantities34[[#This Row],[Total cost]]/INDEX(tbl_estimated_costs_quantities[],MATCH(tbl_Actual_costs_quantities34[[#This Row],[House Code]],tbl_estimated_costs_quantities[House Code],0),7),"")</f>
        <v/>
      </c>
      <c r="M28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2" s="75"/>
      <c r="O282" s="37"/>
      <c r="P282" s="86">
        <f>tbl_Actual_costs_quantities34[[#This Row],[Site Preparation]]*BOQs!$L$3</f>
        <v>0</v>
      </c>
      <c r="Q282" s="76"/>
      <c r="R282" s="37"/>
      <c r="S282" s="86">
        <f>tbl_Actual_costs_quantities34[[#This Row],[Demolition Removal Unsafe Structures]]*BOQs!$L$4</f>
        <v>0</v>
      </c>
      <c r="T282" s="76"/>
      <c r="U282" s="37"/>
      <c r="V282" s="86">
        <f>tbl_Actual_costs_quantities34[[#This Row],[Concrete Works]]*BOQs!$L$5</f>
        <v>0</v>
      </c>
      <c r="W282" s="76"/>
      <c r="X282" s="37"/>
      <c r="Y282" s="86">
        <f>tbl_Actual_costs_quantities34[[#This Row],[Closure External Openings Walls Windows]]*BOQs!$L$6</f>
        <v>0</v>
      </c>
      <c r="Z282" s="76"/>
      <c r="AA282" s="37"/>
      <c r="AB282" s="86">
        <f>tbl_Actual_costs_quantities34[[#This Row],[Plastering Painting]]*BOQs!$L$7</f>
        <v>0</v>
      </c>
      <c r="AC282" s="76"/>
      <c r="AD282" s="37"/>
      <c r="AE282" s="86">
        <f>tbl_Actual_costs_quantities34[[#This Row],[Floor Repairs]]*BOQs!$L$8</f>
        <v>0</v>
      </c>
      <c r="AF282" s="76"/>
      <c r="AG282" s="37"/>
      <c r="AH282" s="86">
        <f>tbl_Actual_costs_quantities34[[#This Row],[Doors Replacement Repair]]*BOQs!$L$9</f>
        <v>0</v>
      </c>
      <c r="AI282" s="76"/>
      <c r="AJ282" s="37"/>
      <c r="AK282" s="86">
        <f>tbl_Actual_costs_quantities34[[#This Row],[Windows Replacement Repair]]*BOQs!$L$10</f>
        <v>0</v>
      </c>
      <c r="AL282" s="76"/>
      <c r="AM282" s="37"/>
      <c r="AN282" s="86">
        <f>tbl_Actual_costs_quantities34[[#This Row],[Bathroom Rehabilitation]]*BOQs!$L$11</f>
        <v>0</v>
      </c>
      <c r="AO282" s="76"/>
      <c r="AP282" s="37"/>
      <c r="AQ282" s="86">
        <f>tbl_Actual_costs_quantities34[[#This Row],[Ceramic Tile Works WASH]]*BOQs!$L$12</f>
        <v>0</v>
      </c>
      <c r="AR282" s="76"/>
      <c r="AS282" s="37"/>
      <c r="AT282" s="86">
        <f>tbl_Actual_costs_quantities34[[#This Row],[Electrical Repairs Lighting]]*BOQs!$L$13</f>
        <v>0</v>
      </c>
      <c r="AU282" s="76"/>
      <c r="AV282" s="37"/>
      <c r="AW282" s="86">
        <f>tbl_Actual_costs_quantities34[[#This Row],[Roof Insulation Leak Sealing]]*BOQs!$L$14</f>
        <v>0</v>
      </c>
      <c r="AX282" s="76"/>
      <c r="AY282" s="37"/>
      <c r="AZ282" s="86">
        <f>tbl_Actual_costs_quantities34[[#This Row],[Chimney Duct Cleaning Repair]]*BOQs!$L$15</f>
        <v>0</v>
      </c>
      <c r="BA282" s="76"/>
      <c r="BB282" s="37"/>
      <c r="BC282" s="89">
        <f>tbl_Actual_costs_quantities34[[#This Row],[Accessibility Adaptations]]*BOQs!$L$16</f>
        <v>0</v>
      </c>
      <c r="BD282" s="41"/>
      <c r="BE282" s="37"/>
      <c r="BF282" s="37"/>
    </row>
    <row r="283" spans="2:58" ht="25.15" customHeight="1" x14ac:dyDescent="0.25">
      <c r="B283" s="49">
        <v>279</v>
      </c>
      <c r="C283" s="37"/>
      <c r="D283" s="41"/>
      <c r="E283" s="40"/>
      <c r="F283" s="87" t="str">
        <f>IF(tbl_Actual_costs_quantities34[[#This Row],[House Code]]&lt;&gt;"",INDEX(tbl_Assessment[],MATCH(tbl_Actual_costs_quantities34[[#This Row],[House Code]],tbl_Assessment[House Code],0),3),"")</f>
        <v/>
      </c>
      <c r="G283" s="116" t="str">
        <f>IF(tbl_Actual_costs_quantities34[[#This Row],[House Code]]&lt;&gt;"",INDEX(tbl_Assessment[],MATCH(tbl_Actual_costs_quantities34[[#This Row],[House Code]],tbl_Assessment[House Code],0),9),"")</f>
        <v/>
      </c>
      <c r="H283" s="41"/>
      <c r="I283" s="41"/>
      <c r="J283" s="41"/>
      <c r="K283" s="116"/>
      <c r="L283" s="117" t="str">
        <f>IF(tbl_Actual_costs_quantities34[[#This Row],[House Code]]&lt;&gt;"",tbl_Actual_costs_quantities34[[#This Row],[Total cost]]/INDEX(tbl_estimated_costs_quantities[],MATCH(tbl_Actual_costs_quantities34[[#This Row],[House Code]],tbl_estimated_costs_quantities[House Code],0),7),"")</f>
        <v/>
      </c>
      <c r="M28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3" s="75"/>
      <c r="O283" s="37"/>
      <c r="P283" s="86">
        <f>tbl_Actual_costs_quantities34[[#This Row],[Site Preparation]]*BOQs!$L$3</f>
        <v>0</v>
      </c>
      <c r="Q283" s="76"/>
      <c r="R283" s="37"/>
      <c r="S283" s="86">
        <f>tbl_Actual_costs_quantities34[[#This Row],[Demolition Removal Unsafe Structures]]*BOQs!$L$4</f>
        <v>0</v>
      </c>
      <c r="T283" s="76"/>
      <c r="U283" s="37"/>
      <c r="V283" s="86">
        <f>tbl_Actual_costs_quantities34[[#This Row],[Concrete Works]]*BOQs!$L$5</f>
        <v>0</v>
      </c>
      <c r="W283" s="76"/>
      <c r="X283" s="37"/>
      <c r="Y283" s="86">
        <f>tbl_Actual_costs_quantities34[[#This Row],[Closure External Openings Walls Windows]]*BOQs!$L$6</f>
        <v>0</v>
      </c>
      <c r="Z283" s="76"/>
      <c r="AA283" s="37"/>
      <c r="AB283" s="86">
        <f>tbl_Actual_costs_quantities34[[#This Row],[Plastering Painting]]*BOQs!$L$7</f>
        <v>0</v>
      </c>
      <c r="AC283" s="76"/>
      <c r="AD283" s="37"/>
      <c r="AE283" s="86">
        <f>tbl_Actual_costs_quantities34[[#This Row],[Floor Repairs]]*BOQs!$L$8</f>
        <v>0</v>
      </c>
      <c r="AF283" s="76"/>
      <c r="AG283" s="37"/>
      <c r="AH283" s="86">
        <f>tbl_Actual_costs_quantities34[[#This Row],[Doors Replacement Repair]]*BOQs!$L$9</f>
        <v>0</v>
      </c>
      <c r="AI283" s="76"/>
      <c r="AJ283" s="37"/>
      <c r="AK283" s="86">
        <f>tbl_Actual_costs_quantities34[[#This Row],[Windows Replacement Repair]]*BOQs!$L$10</f>
        <v>0</v>
      </c>
      <c r="AL283" s="76"/>
      <c r="AM283" s="37"/>
      <c r="AN283" s="86">
        <f>tbl_Actual_costs_quantities34[[#This Row],[Bathroom Rehabilitation]]*BOQs!$L$11</f>
        <v>0</v>
      </c>
      <c r="AO283" s="76"/>
      <c r="AP283" s="37"/>
      <c r="AQ283" s="86">
        <f>tbl_Actual_costs_quantities34[[#This Row],[Ceramic Tile Works WASH]]*BOQs!$L$12</f>
        <v>0</v>
      </c>
      <c r="AR283" s="76"/>
      <c r="AS283" s="37"/>
      <c r="AT283" s="86">
        <f>tbl_Actual_costs_quantities34[[#This Row],[Electrical Repairs Lighting]]*BOQs!$L$13</f>
        <v>0</v>
      </c>
      <c r="AU283" s="76"/>
      <c r="AV283" s="37"/>
      <c r="AW283" s="86">
        <f>tbl_Actual_costs_quantities34[[#This Row],[Roof Insulation Leak Sealing]]*BOQs!$L$14</f>
        <v>0</v>
      </c>
      <c r="AX283" s="76"/>
      <c r="AY283" s="37"/>
      <c r="AZ283" s="86">
        <f>tbl_Actual_costs_quantities34[[#This Row],[Chimney Duct Cleaning Repair]]*BOQs!$L$15</f>
        <v>0</v>
      </c>
      <c r="BA283" s="76"/>
      <c r="BB283" s="37"/>
      <c r="BC283" s="89">
        <f>tbl_Actual_costs_quantities34[[#This Row],[Accessibility Adaptations]]*BOQs!$L$16</f>
        <v>0</v>
      </c>
      <c r="BD283" s="41"/>
      <c r="BE283" s="37"/>
      <c r="BF283" s="37"/>
    </row>
    <row r="284" spans="2:58" ht="25.15" customHeight="1" x14ac:dyDescent="0.25">
      <c r="B284" s="49">
        <v>280</v>
      </c>
      <c r="C284" s="37"/>
      <c r="D284" s="41"/>
      <c r="E284" s="40"/>
      <c r="F284" s="87" t="str">
        <f>IF(tbl_Actual_costs_quantities34[[#This Row],[House Code]]&lt;&gt;"",INDEX(tbl_Assessment[],MATCH(tbl_Actual_costs_quantities34[[#This Row],[House Code]],tbl_Assessment[House Code],0),3),"")</f>
        <v/>
      </c>
      <c r="G284" s="116" t="str">
        <f>IF(tbl_Actual_costs_quantities34[[#This Row],[House Code]]&lt;&gt;"",INDEX(tbl_Assessment[],MATCH(tbl_Actual_costs_quantities34[[#This Row],[House Code]],tbl_Assessment[House Code],0),9),"")</f>
        <v/>
      </c>
      <c r="H284" s="41"/>
      <c r="I284" s="41"/>
      <c r="J284" s="41"/>
      <c r="K284" s="116"/>
      <c r="L284" s="117" t="str">
        <f>IF(tbl_Actual_costs_quantities34[[#This Row],[House Code]]&lt;&gt;"",tbl_Actual_costs_quantities34[[#This Row],[Total cost]]/INDEX(tbl_estimated_costs_quantities[],MATCH(tbl_Actual_costs_quantities34[[#This Row],[House Code]],tbl_estimated_costs_quantities[House Code],0),7),"")</f>
        <v/>
      </c>
      <c r="M28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4" s="75"/>
      <c r="O284" s="37"/>
      <c r="P284" s="86">
        <f>tbl_Actual_costs_quantities34[[#This Row],[Site Preparation]]*BOQs!$L$3</f>
        <v>0</v>
      </c>
      <c r="Q284" s="76"/>
      <c r="R284" s="37"/>
      <c r="S284" s="86">
        <f>tbl_Actual_costs_quantities34[[#This Row],[Demolition Removal Unsafe Structures]]*BOQs!$L$4</f>
        <v>0</v>
      </c>
      <c r="T284" s="76"/>
      <c r="U284" s="37"/>
      <c r="V284" s="86">
        <f>tbl_Actual_costs_quantities34[[#This Row],[Concrete Works]]*BOQs!$L$5</f>
        <v>0</v>
      </c>
      <c r="W284" s="76"/>
      <c r="X284" s="37"/>
      <c r="Y284" s="86">
        <f>tbl_Actual_costs_quantities34[[#This Row],[Closure External Openings Walls Windows]]*BOQs!$L$6</f>
        <v>0</v>
      </c>
      <c r="Z284" s="76"/>
      <c r="AA284" s="37"/>
      <c r="AB284" s="86">
        <f>tbl_Actual_costs_quantities34[[#This Row],[Plastering Painting]]*BOQs!$L$7</f>
        <v>0</v>
      </c>
      <c r="AC284" s="76"/>
      <c r="AD284" s="37"/>
      <c r="AE284" s="86">
        <f>tbl_Actual_costs_quantities34[[#This Row],[Floor Repairs]]*BOQs!$L$8</f>
        <v>0</v>
      </c>
      <c r="AF284" s="76"/>
      <c r="AG284" s="37"/>
      <c r="AH284" s="86">
        <f>tbl_Actual_costs_quantities34[[#This Row],[Doors Replacement Repair]]*BOQs!$L$9</f>
        <v>0</v>
      </c>
      <c r="AI284" s="76"/>
      <c r="AJ284" s="37"/>
      <c r="AK284" s="86">
        <f>tbl_Actual_costs_quantities34[[#This Row],[Windows Replacement Repair]]*BOQs!$L$10</f>
        <v>0</v>
      </c>
      <c r="AL284" s="76"/>
      <c r="AM284" s="37"/>
      <c r="AN284" s="86">
        <f>tbl_Actual_costs_quantities34[[#This Row],[Bathroom Rehabilitation]]*BOQs!$L$11</f>
        <v>0</v>
      </c>
      <c r="AO284" s="76"/>
      <c r="AP284" s="37"/>
      <c r="AQ284" s="86">
        <f>tbl_Actual_costs_quantities34[[#This Row],[Ceramic Tile Works WASH]]*BOQs!$L$12</f>
        <v>0</v>
      </c>
      <c r="AR284" s="76"/>
      <c r="AS284" s="37"/>
      <c r="AT284" s="86">
        <f>tbl_Actual_costs_quantities34[[#This Row],[Electrical Repairs Lighting]]*BOQs!$L$13</f>
        <v>0</v>
      </c>
      <c r="AU284" s="76"/>
      <c r="AV284" s="37"/>
      <c r="AW284" s="86">
        <f>tbl_Actual_costs_quantities34[[#This Row],[Roof Insulation Leak Sealing]]*BOQs!$L$14</f>
        <v>0</v>
      </c>
      <c r="AX284" s="76"/>
      <c r="AY284" s="37"/>
      <c r="AZ284" s="86">
        <f>tbl_Actual_costs_quantities34[[#This Row],[Chimney Duct Cleaning Repair]]*BOQs!$L$15</f>
        <v>0</v>
      </c>
      <c r="BA284" s="76"/>
      <c r="BB284" s="37"/>
      <c r="BC284" s="89">
        <f>tbl_Actual_costs_quantities34[[#This Row],[Accessibility Adaptations]]*BOQs!$L$16</f>
        <v>0</v>
      </c>
      <c r="BD284" s="41"/>
      <c r="BE284" s="37"/>
      <c r="BF284" s="37"/>
    </row>
    <row r="285" spans="2:58" ht="25.15" customHeight="1" x14ac:dyDescent="0.25">
      <c r="B285" s="49">
        <v>281</v>
      </c>
      <c r="C285" s="37"/>
      <c r="D285" s="41"/>
      <c r="E285" s="40"/>
      <c r="F285" s="87" t="str">
        <f>IF(tbl_Actual_costs_quantities34[[#This Row],[House Code]]&lt;&gt;"",INDEX(tbl_Assessment[],MATCH(tbl_Actual_costs_quantities34[[#This Row],[House Code]],tbl_Assessment[House Code],0),3),"")</f>
        <v/>
      </c>
      <c r="G285" s="116" t="str">
        <f>IF(tbl_Actual_costs_quantities34[[#This Row],[House Code]]&lt;&gt;"",INDEX(tbl_Assessment[],MATCH(tbl_Actual_costs_quantities34[[#This Row],[House Code]],tbl_Assessment[House Code],0),9),"")</f>
        <v/>
      </c>
      <c r="H285" s="41"/>
      <c r="I285" s="41"/>
      <c r="J285" s="41"/>
      <c r="K285" s="116"/>
      <c r="L285" s="117" t="str">
        <f>IF(tbl_Actual_costs_quantities34[[#This Row],[House Code]]&lt;&gt;"",tbl_Actual_costs_quantities34[[#This Row],[Total cost]]/INDEX(tbl_estimated_costs_quantities[],MATCH(tbl_Actual_costs_quantities34[[#This Row],[House Code]],tbl_estimated_costs_quantities[House Code],0),7),"")</f>
        <v/>
      </c>
      <c r="M28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5" s="75"/>
      <c r="O285" s="37"/>
      <c r="P285" s="86">
        <f>tbl_Actual_costs_quantities34[[#This Row],[Site Preparation]]*BOQs!$L$3</f>
        <v>0</v>
      </c>
      <c r="Q285" s="76"/>
      <c r="R285" s="37"/>
      <c r="S285" s="86">
        <f>tbl_Actual_costs_quantities34[[#This Row],[Demolition Removal Unsafe Structures]]*BOQs!$L$4</f>
        <v>0</v>
      </c>
      <c r="T285" s="76"/>
      <c r="U285" s="37"/>
      <c r="V285" s="86">
        <f>tbl_Actual_costs_quantities34[[#This Row],[Concrete Works]]*BOQs!$L$5</f>
        <v>0</v>
      </c>
      <c r="W285" s="76"/>
      <c r="X285" s="37"/>
      <c r="Y285" s="86">
        <f>tbl_Actual_costs_quantities34[[#This Row],[Closure External Openings Walls Windows]]*BOQs!$L$6</f>
        <v>0</v>
      </c>
      <c r="Z285" s="76"/>
      <c r="AA285" s="37"/>
      <c r="AB285" s="86">
        <f>tbl_Actual_costs_quantities34[[#This Row],[Plastering Painting]]*BOQs!$L$7</f>
        <v>0</v>
      </c>
      <c r="AC285" s="76"/>
      <c r="AD285" s="37"/>
      <c r="AE285" s="86">
        <f>tbl_Actual_costs_quantities34[[#This Row],[Floor Repairs]]*BOQs!$L$8</f>
        <v>0</v>
      </c>
      <c r="AF285" s="76"/>
      <c r="AG285" s="37"/>
      <c r="AH285" s="86">
        <f>tbl_Actual_costs_quantities34[[#This Row],[Doors Replacement Repair]]*BOQs!$L$9</f>
        <v>0</v>
      </c>
      <c r="AI285" s="76"/>
      <c r="AJ285" s="37"/>
      <c r="AK285" s="86">
        <f>tbl_Actual_costs_quantities34[[#This Row],[Windows Replacement Repair]]*BOQs!$L$10</f>
        <v>0</v>
      </c>
      <c r="AL285" s="76"/>
      <c r="AM285" s="37"/>
      <c r="AN285" s="86">
        <f>tbl_Actual_costs_quantities34[[#This Row],[Bathroom Rehabilitation]]*BOQs!$L$11</f>
        <v>0</v>
      </c>
      <c r="AO285" s="76"/>
      <c r="AP285" s="37"/>
      <c r="AQ285" s="86">
        <f>tbl_Actual_costs_quantities34[[#This Row],[Ceramic Tile Works WASH]]*BOQs!$L$12</f>
        <v>0</v>
      </c>
      <c r="AR285" s="76"/>
      <c r="AS285" s="37"/>
      <c r="AT285" s="86">
        <f>tbl_Actual_costs_quantities34[[#This Row],[Electrical Repairs Lighting]]*BOQs!$L$13</f>
        <v>0</v>
      </c>
      <c r="AU285" s="76"/>
      <c r="AV285" s="37"/>
      <c r="AW285" s="86">
        <f>tbl_Actual_costs_quantities34[[#This Row],[Roof Insulation Leak Sealing]]*BOQs!$L$14</f>
        <v>0</v>
      </c>
      <c r="AX285" s="76"/>
      <c r="AY285" s="37"/>
      <c r="AZ285" s="86">
        <f>tbl_Actual_costs_quantities34[[#This Row],[Chimney Duct Cleaning Repair]]*BOQs!$L$15</f>
        <v>0</v>
      </c>
      <c r="BA285" s="76"/>
      <c r="BB285" s="37"/>
      <c r="BC285" s="89">
        <f>tbl_Actual_costs_quantities34[[#This Row],[Accessibility Adaptations]]*BOQs!$L$16</f>
        <v>0</v>
      </c>
      <c r="BD285" s="41"/>
      <c r="BE285" s="37"/>
      <c r="BF285" s="37"/>
    </row>
    <row r="286" spans="2:58" ht="25.15" customHeight="1" x14ac:dyDescent="0.25">
      <c r="B286" s="49">
        <v>282</v>
      </c>
      <c r="C286" s="37"/>
      <c r="D286" s="41"/>
      <c r="E286" s="40"/>
      <c r="F286" s="87" t="str">
        <f>IF(tbl_Actual_costs_quantities34[[#This Row],[House Code]]&lt;&gt;"",INDEX(tbl_Assessment[],MATCH(tbl_Actual_costs_quantities34[[#This Row],[House Code]],tbl_Assessment[House Code],0),3),"")</f>
        <v/>
      </c>
      <c r="G286" s="116" t="str">
        <f>IF(tbl_Actual_costs_quantities34[[#This Row],[House Code]]&lt;&gt;"",INDEX(tbl_Assessment[],MATCH(tbl_Actual_costs_quantities34[[#This Row],[House Code]],tbl_Assessment[House Code],0),9),"")</f>
        <v/>
      </c>
      <c r="H286" s="41"/>
      <c r="I286" s="41"/>
      <c r="J286" s="41"/>
      <c r="K286" s="116"/>
      <c r="L286" s="117" t="str">
        <f>IF(tbl_Actual_costs_quantities34[[#This Row],[House Code]]&lt;&gt;"",tbl_Actual_costs_quantities34[[#This Row],[Total cost]]/INDEX(tbl_estimated_costs_quantities[],MATCH(tbl_Actual_costs_quantities34[[#This Row],[House Code]],tbl_estimated_costs_quantities[House Code],0),7),"")</f>
        <v/>
      </c>
      <c r="M28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6" s="75"/>
      <c r="O286" s="37"/>
      <c r="P286" s="86">
        <f>tbl_Actual_costs_quantities34[[#This Row],[Site Preparation]]*BOQs!$L$3</f>
        <v>0</v>
      </c>
      <c r="Q286" s="76"/>
      <c r="R286" s="37"/>
      <c r="S286" s="86">
        <f>tbl_Actual_costs_quantities34[[#This Row],[Demolition Removal Unsafe Structures]]*BOQs!$L$4</f>
        <v>0</v>
      </c>
      <c r="T286" s="76"/>
      <c r="U286" s="37"/>
      <c r="V286" s="86">
        <f>tbl_Actual_costs_quantities34[[#This Row],[Concrete Works]]*BOQs!$L$5</f>
        <v>0</v>
      </c>
      <c r="W286" s="76"/>
      <c r="X286" s="37"/>
      <c r="Y286" s="86">
        <f>tbl_Actual_costs_quantities34[[#This Row],[Closure External Openings Walls Windows]]*BOQs!$L$6</f>
        <v>0</v>
      </c>
      <c r="Z286" s="76"/>
      <c r="AA286" s="37"/>
      <c r="AB286" s="86">
        <f>tbl_Actual_costs_quantities34[[#This Row],[Plastering Painting]]*BOQs!$L$7</f>
        <v>0</v>
      </c>
      <c r="AC286" s="76"/>
      <c r="AD286" s="37"/>
      <c r="AE286" s="86">
        <f>tbl_Actual_costs_quantities34[[#This Row],[Floor Repairs]]*BOQs!$L$8</f>
        <v>0</v>
      </c>
      <c r="AF286" s="76"/>
      <c r="AG286" s="37"/>
      <c r="AH286" s="86">
        <f>tbl_Actual_costs_quantities34[[#This Row],[Doors Replacement Repair]]*BOQs!$L$9</f>
        <v>0</v>
      </c>
      <c r="AI286" s="76"/>
      <c r="AJ286" s="37"/>
      <c r="AK286" s="86">
        <f>tbl_Actual_costs_quantities34[[#This Row],[Windows Replacement Repair]]*BOQs!$L$10</f>
        <v>0</v>
      </c>
      <c r="AL286" s="76"/>
      <c r="AM286" s="37"/>
      <c r="AN286" s="86">
        <f>tbl_Actual_costs_quantities34[[#This Row],[Bathroom Rehabilitation]]*BOQs!$L$11</f>
        <v>0</v>
      </c>
      <c r="AO286" s="76"/>
      <c r="AP286" s="37"/>
      <c r="AQ286" s="86">
        <f>tbl_Actual_costs_quantities34[[#This Row],[Ceramic Tile Works WASH]]*BOQs!$L$12</f>
        <v>0</v>
      </c>
      <c r="AR286" s="76"/>
      <c r="AS286" s="37"/>
      <c r="AT286" s="86">
        <f>tbl_Actual_costs_quantities34[[#This Row],[Electrical Repairs Lighting]]*BOQs!$L$13</f>
        <v>0</v>
      </c>
      <c r="AU286" s="76"/>
      <c r="AV286" s="37"/>
      <c r="AW286" s="86">
        <f>tbl_Actual_costs_quantities34[[#This Row],[Roof Insulation Leak Sealing]]*BOQs!$L$14</f>
        <v>0</v>
      </c>
      <c r="AX286" s="76"/>
      <c r="AY286" s="37"/>
      <c r="AZ286" s="86">
        <f>tbl_Actual_costs_quantities34[[#This Row],[Chimney Duct Cleaning Repair]]*BOQs!$L$15</f>
        <v>0</v>
      </c>
      <c r="BA286" s="76"/>
      <c r="BB286" s="37"/>
      <c r="BC286" s="89">
        <f>tbl_Actual_costs_quantities34[[#This Row],[Accessibility Adaptations]]*BOQs!$L$16</f>
        <v>0</v>
      </c>
      <c r="BD286" s="41"/>
      <c r="BE286" s="37"/>
      <c r="BF286" s="37"/>
    </row>
    <row r="287" spans="2:58" ht="25.15" customHeight="1" x14ac:dyDescent="0.25">
      <c r="B287" s="49">
        <v>283</v>
      </c>
      <c r="C287" s="37"/>
      <c r="D287" s="41"/>
      <c r="E287" s="40"/>
      <c r="F287" s="87" t="str">
        <f>IF(tbl_Actual_costs_quantities34[[#This Row],[House Code]]&lt;&gt;"",INDEX(tbl_Assessment[],MATCH(tbl_Actual_costs_quantities34[[#This Row],[House Code]],tbl_Assessment[House Code],0),3),"")</f>
        <v/>
      </c>
      <c r="G287" s="116" t="str">
        <f>IF(tbl_Actual_costs_quantities34[[#This Row],[House Code]]&lt;&gt;"",INDEX(tbl_Assessment[],MATCH(tbl_Actual_costs_quantities34[[#This Row],[House Code]],tbl_Assessment[House Code],0),9),"")</f>
        <v/>
      </c>
      <c r="H287" s="41"/>
      <c r="I287" s="41"/>
      <c r="J287" s="41"/>
      <c r="K287" s="116"/>
      <c r="L287" s="117" t="str">
        <f>IF(tbl_Actual_costs_quantities34[[#This Row],[House Code]]&lt;&gt;"",tbl_Actual_costs_quantities34[[#This Row],[Total cost]]/INDEX(tbl_estimated_costs_quantities[],MATCH(tbl_Actual_costs_quantities34[[#This Row],[House Code]],tbl_estimated_costs_quantities[House Code],0),7),"")</f>
        <v/>
      </c>
      <c r="M28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7" s="75"/>
      <c r="O287" s="37"/>
      <c r="P287" s="86">
        <f>tbl_Actual_costs_quantities34[[#This Row],[Site Preparation]]*BOQs!$L$3</f>
        <v>0</v>
      </c>
      <c r="Q287" s="76"/>
      <c r="R287" s="37"/>
      <c r="S287" s="86">
        <f>tbl_Actual_costs_quantities34[[#This Row],[Demolition Removal Unsafe Structures]]*BOQs!$L$4</f>
        <v>0</v>
      </c>
      <c r="T287" s="76"/>
      <c r="U287" s="37"/>
      <c r="V287" s="86">
        <f>tbl_Actual_costs_quantities34[[#This Row],[Concrete Works]]*BOQs!$L$5</f>
        <v>0</v>
      </c>
      <c r="W287" s="76"/>
      <c r="X287" s="37"/>
      <c r="Y287" s="86">
        <f>tbl_Actual_costs_quantities34[[#This Row],[Closure External Openings Walls Windows]]*BOQs!$L$6</f>
        <v>0</v>
      </c>
      <c r="Z287" s="76"/>
      <c r="AA287" s="37"/>
      <c r="AB287" s="86">
        <f>tbl_Actual_costs_quantities34[[#This Row],[Plastering Painting]]*BOQs!$L$7</f>
        <v>0</v>
      </c>
      <c r="AC287" s="76"/>
      <c r="AD287" s="37"/>
      <c r="AE287" s="86">
        <f>tbl_Actual_costs_quantities34[[#This Row],[Floor Repairs]]*BOQs!$L$8</f>
        <v>0</v>
      </c>
      <c r="AF287" s="76"/>
      <c r="AG287" s="37"/>
      <c r="AH287" s="86">
        <f>tbl_Actual_costs_quantities34[[#This Row],[Doors Replacement Repair]]*BOQs!$L$9</f>
        <v>0</v>
      </c>
      <c r="AI287" s="76"/>
      <c r="AJ287" s="37"/>
      <c r="AK287" s="86">
        <f>tbl_Actual_costs_quantities34[[#This Row],[Windows Replacement Repair]]*BOQs!$L$10</f>
        <v>0</v>
      </c>
      <c r="AL287" s="76"/>
      <c r="AM287" s="37"/>
      <c r="AN287" s="86">
        <f>tbl_Actual_costs_quantities34[[#This Row],[Bathroom Rehabilitation]]*BOQs!$L$11</f>
        <v>0</v>
      </c>
      <c r="AO287" s="76"/>
      <c r="AP287" s="37"/>
      <c r="AQ287" s="86">
        <f>tbl_Actual_costs_quantities34[[#This Row],[Ceramic Tile Works WASH]]*BOQs!$L$12</f>
        <v>0</v>
      </c>
      <c r="AR287" s="76"/>
      <c r="AS287" s="37"/>
      <c r="AT287" s="86">
        <f>tbl_Actual_costs_quantities34[[#This Row],[Electrical Repairs Lighting]]*BOQs!$L$13</f>
        <v>0</v>
      </c>
      <c r="AU287" s="76"/>
      <c r="AV287" s="37"/>
      <c r="AW287" s="86">
        <f>tbl_Actual_costs_quantities34[[#This Row],[Roof Insulation Leak Sealing]]*BOQs!$L$14</f>
        <v>0</v>
      </c>
      <c r="AX287" s="76"/>
      <c r="AY287" s="37"/>
      <c r="AZ287" s="86">
        <f>tbl_Actual_costs_quantities34[[#This Row],[Chimney Duct Cleaning Repair]]*BOQs!$L$15</f>
        <v>0</v>
      </c>
      <c r="BA287" s="76"/>
      <c r="BB287" s="37"/>
      <c r="BC287" s="89">
        <f>tbl_Actual_costs_quantities34[[#This Row],[Accessibility Adaptations]]*BOQs!$L$16</f>
        <v>0</v>
      </c>
      <c r="BD287" s="41"/>
      <c r="BE287" s="37"/>
      <c r="BF287" s="37"/>
    </row>
    <row r="288" spans="2:58" ht="25.15" customHeight="1" x14ac:dyDescent="0.25">
      <c r="B288" s="49">
        <v>284</v>
      </c>
      <c r="C288" s="37"/>
      <c r="D288" s="41"/>
      <c r="E288" s="40"/>
      <c r="F288" s="87" t="str">
        <f>IF(tbl_Actual_costs_quantities34[[#This Row],[House Code]]&lt;&gt;"",INDEX(tbl_Assessment[],MATCH(tbl_Actual_costs_quantities34[[#This Row],[House Code]],tbl_Assessment[House Code],0),3),"")</f>
        <v/>
      </c>
      <c r="G288" s="116" t="str">
        <f>IF(tbl_Actual_costs_quantities34[[#This Row],[House Code]]&lt;&gt;"",INDEX(tbl_Assessment[],MATCH(tbl_Actual_costs_quantities34[[#This Row],[House Code]],tbl_Assessment[House Code],0),9),"")</f>
        <v/>
      </c>
      <c r="H288" s="41"/>
      <c r="I288" s="41"/>
      <c r="J288" s="41"/>
      <c r="K288" s="116"/>
      <c r="L288" s="117" t="str">
        <f>IF(tbl_Actual_costs_quantities34[[#This Row],[House Code]]&lt;&gt;"",tbl_Actual_costs_quantities34[[#This Row],[Total cost]]/INDEX(tbl_estimated_costs_quantities[],MATCH(tbl_Actual_costs_quantities34[[#This Row],[House Code]],tbl_estimated_costs_quantities[House Code],0),7),"")</f>
        <v/>
      </c>
      <c r="M28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8" s="75"/>
      <c r="O288" s="37"/>
      <c r="P288" s="86">
        <f>tbl_Actual_costs_quantities34[[#This Row],[Site Preparation]]*BOQs!$L$3</f>
        <v>0</v>
      </c>
      <c r="Q288" s="76"/>
      <c r="R288" s="37"/>
      <c r="S288" s="86">
        <f>tbl_Actual_costs_quantities34[[#This Row],[Demolition Removal Unsafe Structures]]*BOQs!$L$4</f>
        <v>0</v>
      </c>
      <c r="T288" s="76"/>
      <c r="U288" s="37"/>
      <c r="V288" s="86">
        <f>tbl_Actual_costs_quantities34[[#This Row],[Concrete Works]]*BOQs!$L$5</f>
        <v>0</v>
      </c>
      <c r="W288" s="76"/>
      <c r="X288" s="37"/>
      <c r="Y288" s="86">
        <f>tbl_Actual_costs_quantities34[[#This Row],[Closure External Openings Walls Windows]]*BOQs!$L$6</f>
        <v>0</v>
      </c>
      <c r="Z288" s="76"/>
      <c r="AA288" s="37"/>
      <c r="AB288" s="86">
        <f>tbl_Actual_costs_quantities34[[#This Row],[Plastering Painting]]*BOQs!$L$7</f>
        <v>0</v>
      </c>
      <c r="AC288" s="76"/>
      <c r="AD288" s="37"/>
      <c r="AE288" s="86">
        <f>tbl_Actual_costs_quantities34[[#This Row],[Floor Repairs]]*BOQs!$L$8</f>
        <v>0</v>
      </c>
      <c r="AF288" s="76"/>
      <c r="AG288" s="37"/>
      <c r="AH288" s="86">
        <f>tbl_Actual_costs_quantities34[[#This Row],[Doors Replacement Repair]]*BOQs!$L$9</f>
        <v>0</v>
      </c>
      <c r="AI288" s="76"/>
      <c r="AJ288" s="37"/>
      <c r="AK288" s="86">
        <f>tbl_Actual_costs_quantities34[[#This Row],[Windows Replacement Repair]]*BOQs!$L$10</f>
        <v>0</v>
      </c>
      <c r="AL288" s="76"/>
      <c r="AM288" s="37"/>
      <c r="AN288" s="86">
        <f>tbl_Actual_costs_quantities34[[#This Row],[Bathroom Rehabilitation]]*BOQs!$L$11</f>
        <v>0</v>
      </c>
      <c r="AO288" s="76"/>
      <c r="AP288" s="37"/>
      <c r="AQ288" s="86">
        <f>tbl_Actual_costs_quantities34[[#This Row],[Ceramic Tile Works WASH]]*BOQs!$L$12</f>
        <v>0</v>
      </c>
      <c r="AR288" s="76"/>
      <c r="AS288" s="37"/>
      <c r="AT288" s="86">
        <f>tbl_Actual_costs_quantities34[[#This Row],[Electrical Repairs Lighting]]*BOQs!$L$13</f>
        <v>0</v>
      </c>
      <c r="AU288" s="76"/>
      <c r="AV288" s="37"/>
      <c r="AW288" s="86">
        <f>tbl_Actual_costs_quantities34[[#This Row],[Roof Insulation Leak Sealing]]*BOQs!$L$14</f>
        <v>0</v>
      </c>
      <c r="AX288" s="76"/>
      <c r="AY288" s="37"/>
      <c r="AZ288" s="86">
        <f>tbl_Actual_costs_quantities34[[#This Row],[Chimney Duct Cleaning Repair]]*BOQs!$L$15</f>
        <v>0</v>
      </c>
      <c r="BA288" s="76"/>
      <c r="BB288" s="37"/>
      <c r="BC288" s="89">
        <f>tbl_Actual_costs_quantities34[[#This Row],[Accessibility Adaptations]]*BOQs!$L$16</f>
        <v>0</v>
      </c>
      <c r="BD288" s="41"/>
      <c r="BE288" s="37"/>
      <c r="BF288" s="37"/>
    </row>
    <row r="289" spans="2:58" ht="25.15" customHeight="1" x14ac:dyDescent="0.25">
      <c r="B289" s="49">
        <v>285</v>
      </c>
      <c r="C289" s="37"/>
      <c r="D289" s="41"/>
      <c r="E289" s="40"/>
      <c r="F289" s="87" t="str">
        <f>IF(tbl_Actual_costs_quantities34[[#This Row],[House Code]]&lt;&gt;"",INDEX(tbl_Assessment[],MATCH(tbl_Actual_costs_quantities34[[#This Row],[House Code]],tbl_Assessment[House Code],0),3),"")</f>
        <v/>
      </c>
      <c r="G289" s="116" t="str">
        <f>IF(tbl_Actual_costs_quantities34[[#This Row],[House Code]]&lt;&gt;"",INDEX(tbl_Assessment[],MATCH(tbl_Actual_costs_quantities34[[#This Row],[House Code]],tbl_Assessment[House Code],0),9),"")</f>
        <v/>
      </c>
      <c r="H289" s="41"/>
      <c r="I289" s="41"/>
      <c r="J289" s="41"/>
      <c r="K289" s="116"/>
      <c r="L289" s="117" t="str">
        <f>IF(tbl_Actual_costs_quantities34[[#This Row],[House Code]]&lt;&gt;"",tbl_Actual_costs_quantities34[[#This Row],[Total cost]]/INDEX(tbl_estimated_costs_quantities[],MATCH(tbl_Actual_costs_quantities34[[#This Row],[House Code]],tbl_estimated_costs_quantities[House Code],0),7),"")</f>
        <v/>
      </c>
      <c r="M28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89" s="75"/>
      <c r="O289" s="37"/>
      <c r="P289" s="86">
        <f>tbl_Actual_costs_quantities34[[#This Row],[Site Preparation]]*BOQs!$L$3</f>
        <v>0</v>
      </c>
      <c r="Q289" s="76"/>
      <c r="R289" s="37"/>
      <c r="S289" s="86">
        <f>tbl_Actual_costs_quantities34[[#This Row],[Demolition Removal Unsafe Structures]]*BOQs!$L$4</f>
        <v>0</v>
      </c>
      <c r="T289" s="76"/>
      <c r="U289" s="37"/>
      <c r="V289" s="86">
        <f>tbl_Actual_costs_quantities34[[#This Row],[Concrete Works]]*BOQs!$L$5</f>
        <v>0</v>
      </c>
      <c r="W289" s="76"/>
      <c r="X289" s="37"/>
      <c r="Y289" s="86">
        <f>tbl_Actual_costs_quantities34[[#This Row],[Closure External Openings Walls Windows]]*BOQs!$L$6</f>
        <v>0</v>
      </c>
      <c r="Z289" s="76"/>
      <c r="AA289" s="37"/>
      <c r="AB289" s="86">
        <f>tbl_Actual_costs_quantities34[[#This Row],[Plastering Painting]]*BOQs!$L$7</f>
        <v>0</v>
      </c>
      <c r="AC289" s="76"/>
      <c r="AD289" s="37"/>
      <c r="AE289" s="86">
        <f>tbl_Actual_costs_quantities34[[#This Row],[Floor Repairs]]*BOQs!$L$8</f>
        <v>0</v>
      </c>
      <c r="AF289" s="76"/>
      <c r="AG289" s="37"/>
      <c r="AH289" s="86">
        <f>tbl_Actual_costs_quantities34[[#This Row],[Doors Replacement Repair]]*BOQs!$L$9</f>
        <v>0</v>
      </c>
      <c r="AI289" s="76"/>
      <c r="AJ289" s="37"/>
      <c r="AK289" s="86">
        <f>tbl_Actual_costs_quantities34[[#This Row],[Windows Replacement Repair]]*BOQs!$L$10</f>
        <v>0</v>
      </c>
      <c r="AL289" s="76"/>
      <c r="AM289" s="37"/>
      <c r="AN289" s="86">
        <f>tbl_Actual_costs_quantities34[[#This Row],[Bathroom Rehabilitation]]*BOQs!$L$11</f>
        <v>0</v>
      </c>
      <c r="AO289" s="76"/>
      <c r="AP289" s="37"/>
      <c r="AQ289" s="86">
        <f>tbl_Actual_costs_quantities34[[#This Row],[Ceramic Tile Works WASH]]*BOQs!$L$12</f>
        <v>0</v>
      </c>
      <c r="AR289" s="76"/>
      <c r="AS289" s="37"/>
      <c r="AT289" s="86">
        <f>tbl_Actual_costs_quantities34[[#This Row],[Electrical Repairs Lighting]]*BOQs!$L$13</f>
        <v>0</v>
      </c>
      <c r="AU289" s="76"/>
      <c r="AV289" s="37"/>
      <c r="AW289" s="86">
        <f>tbl_Actual_costs_quantities34[[#This Row],[Roof Insulation Leak Sealing]]*BOQs!$L$14</f>
        <v>0</v>
      </c>
      <c r="AX289" s="76"/>
      <c r="AY289" s="37"/>
      <c r="AZ289" s="86">
        <f>tbl_Actual_costs_quantities34[[#This Row],[Chimney Duct Cleaning Repair]]*BOQs!$L$15</f>
        <v>0</v>
      </c>
      <c r="BA289" s="76"/>
      <c r="BB289" s="37"/>
      <c r="BC289" s="89">
        <f>tbl_Actual_costs_quantities34[[#This Row],[Accessibility Adaptations]]*BOQs!$L$16</f>
        <v>0</v>
      </c>
      <c r="BD289" s="41"/>
      <c r="BE289" s="37"/>
      <c r="BF289" s="37"/>
    </row>
    <row r="290" spans="2:58" ht="25.15" customHeight="1" x14ac:dyDescent="0.25">
      <c r="B290" s="49">
        <v>286</v>
      </c>
      <c r="C290" s="37"/>
      <c r="D290" s="41"/>
      <c r="E290" s="40"/>
      <c r="F290" s="87" t="str">
        <f>IF(tbl_Actual_costs_quantities34[[#This Row],[House Code]]&lt;&gt;"",INDEX(tbl_Assessment[],MATCH(tbl_Actual_costs_quantities34[[#This Row],[House Code]],tbl_Assessment[House Code],0),3),"")</f>
        <v/>
      </c>
      <c r="G290" s="116" t="str">
        <f>IF(tbl_Actual_costs_quantities34[[#This Row],[House Code]]&lt;&gt;"",INDEX(tbl_Assessment[],MATCH(tbl_Actual_costs_quantities34[[#This Row],[House Code]],tbl_Assessment[House Code],0),9),"")</f>
        <v/>
      </c>
      <c r="H290" s="41"/>
      <c r="I290" s="41"/>
      <c r="J290" s="41"/>
      <c r="K290" s="116"/>
      <c r="L290" s="117" t="str">
        <f>IF(tbl_Actual_costs_quantities34[[#This Row],[House Code]]&lt;&gt;"",tbl_Actual_costs_quantities34[[#This Row],[Total cost]]/INDEX(tbl_estimated_costs_quantities[],MATCH(tbl_Actual_costs_quantities34[[#This Row],[House Code]],tbl_estimated_costs_quantities[House Code],0),7),"")</f>
        <v/>
      </c>
      <c r="M29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0" s="75"/>
      <c r="O290" s="37"/>
      <c r="P290" s="86">
        <f>tbl_Actual_costs_quantities34[[#This Row],[Site Preparation]]*BOQs!$L$3</f>
        <v>0</v>
      </c>
      <c r="Q290" s="76"/>
      <c r="R290" s="37"/>
      <c r="S290" s="86">
        <f>tbl_Actual_costs_quantities34[[#This Row],[Demolition Removal Unsafe Structures]]*BOQs!$L$4</f>
        <v>0</v>
      </c>
      <c r="T290" s="76"/>
      <c r="U290" s="37"/>
      <c r="V290" s="86">
        <f>tbl_Actual_costs_quantities34[[#This Row],[Concrete Works]]*BOQs!$L$5</f>
        <v>0</v>
      </c>
      <c r="W290" s="76"/>
      <c r="X290" s="37"/>
      <c r="Y290" s="86">
        <f>tbl_Actual_costs_quantities34[[#This Row],[Closure External Openings Walls Windows]]*BOQs!$L$6</f>
        <v>0</v>
      </c>
      <c r="Z290" s="76"/>
      <c r="AA290" s="37"/>
      <c r="AB290" s="86">
        <f>tbl_Actual_costs_quantities34[[#This Row],[Plastering Painting]]*BOQs!$L$7</f>
        <v>0</v>
      </c>
      <c r="AC290" s="76"/>
      <c r="AD290" s="37"/>
      <c r="AE290" s="86">
        <f>tbl_Actual_costs_quantities34[[#This Row],[Floor Repairs]]*BOQs!$L$8</f>
        <v>0</v>
      </c>
      <c r="AF290" s="76"/>
      <c r="AG290" s="37"/>
      <c r="AH290" s="86">
        <f>tbl_Actual_costs_quantities34[[#This Row],[Doors Replacement Repair]]*BOQs!$L$9</f>
        <v>0</v>
      </c>
      <c r="AI290" s="76"/>
      <c r="AJ290" s="37"/>
      <c r="AK290" s="86">
        <f>tbl_Actual_costs_quantities34[[#This Row],[Windows Replacement Repair]]*BOQs!$L$10</f>
        <v>0</v>
      </c>
      <c r="AL290" s="76"/>
      <c r="AM290" s="37"/>
      <c r="AN290" s="86">
        <f>tbl_Actual_costs_quantities34[[#This Row],[Bathroom Rehabilitation]]*BOQs!$L$11</f>
        <v>0</v>
      </c>
      <c r="AO290" s="76"/>
      <c r="AP290" s="37"/>
      <c r="AQ290" s="86">
        <f>tbl_Actual_costs_quantities34[[#This Row],[Ceramic Tile Works WASH]]*BOQs!$L$12</f>
        <v>0</v>
      </c>
      <c r="AR290" s="76"/>
      <c r="AS290" s="37"/>
      <c r="AT290" s="86">
        <f>tbl_Actual_costs_quantities34[[#This Row],[Electrical Repairs Lighting]]*BOQs!$L$13</f>
        <v>0</v>
      </c>
      <c r="AU290" s="76"/>
      <c r="AV290" s="37"/>
      <c r="AW290" s="86">
        <f>tbl_Actual_costs_quantities34[[#This Row],[Roof Insulation Leak Sealing]]*BOQs!$L$14</f>
        <v>0</v>
      </c>
      <c r="AX290" s="76"/>
      <c r="AY290" s="37"/>
      <c r="AZ290" s="86">
        <f>tbl_Actual_costs_quantities34[[#This Row],[Chimney Duct Cleaning Repair]]*BOQs!$L$15</f>
        <v>0</v>
      </c>
      <c r="BA290" s="76"/>
      <c r="BB290" s="37"/>
      <c r="BC290" s="89">
        <f>tbl_Actual_costs_quantities34[[#This Row],[Accessibility Adaptations]]*BOQs!$L$16</f>
        <v>0</v>
      </c>
      <c r="BD290" s="41"/>
      <c r="BE290" s="37"/>
      <c r="BF290" s="37"/>
    </row>
    <row r="291" spans="2:58" ht="25.15" customHeight="1" x14ac:dyDescent="0.25">
      <c r="B291" s="49">
        <v>287</v>
      </c>
      <c r="C291" s="37"/>
      <c r="D291" s="41"/>
      <c r="E291" s="40"/>
      <c r="F291" s="87" t="str">
        <f>IF(tbl_Actual_costs_quantities34[[#This Row],[House Code]]&lt;&gt;"",INDEX(tbl_Assessment[],MATCH(tbl_Actual_costs_quantities34[[#This Row],[House Code]],tbl_Assessment[House Code],0),3),"")</f>
        <v/>
      </c>
      <c r="G291" s="116" t="str">
        <f>IF(tbl_Actual_costs_quantities34[[#This Row],[House Code]]&lt;&gt;"",INDEX(tbl_Assessment[],MATCH(tbl_Actual_costs_quantities34[[#This Row],[House Code]],tbl_Assessment[House Code],0),9),"")</f>
        <v/>
      </c>
      <c r="H291" s="41"/>
      <c r="I291" s="41"/>
      <c r="J291" s="41"/>
      <c r="K291" s="116"/>
      <c r="L291" s="117" t="str">
        <f>IF(tbl_Actual_costs_quantities34[[#This Row],[House Code]]&lt;&gt;"",tbl_Actual_costs_quantities34[[#This Row],[Total cost]]/INDEX(tbl_estimated_costs_quantities[],MATCH(tbl_Actual_costs_quantities34[[#This Row],[House Code]],tbl_estimated_costs_quantities[House Code],0),7),"")</f>
        <v/>
      </c>
      <c r="M29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1" s="75"/>
      <c r="O291" s="37"/>
      <c r="P291" s="86">
        <f>tbl_Actual_costs_quantities34[[#This Row],[Site Preparation]]*BOQs!$L$3</f>
        <v>0</v>
      </c>
      <c r="Q291" s="76"/>
      <c r="R291" s="37"/>
      <c r="S291" s="86">
        <f>tbl_Actual_costs_quantities34[[#This Row],[Demolition Removal Unsafe Structures]]*BOQs!$L$4</f>
        <v>0</v>
      </c>
      <c r="T291" s="76"/>
      <c r="U291" s="37"/>
      <c r="V291" s="86">
        <f>tbl_Actual_costs_quantities34[[#This Row],[Concrete Works]]*BOQs!$L$5</f>
        <v>0</v>
      </c>
      <c r="W291" s="76"/>
      <c r="X291" s="37"/>
      <c r="Y291" s="86">
        <f>tbl_Actual_costs_quantities34[[#This Row],[Closure External Openings Walls Windows]]*BOQs!$L$6</f>
        <v>0</v>
      </c>
      <c r="Z291" s="76"/>
      <c r="AA291" s="37"/>
      <c r="AB291" s="86">
        <f>tbl_Actual_costs_quantities34[[#This Row],[Plastering Painting]]*BOQs!$L$7</f>
        <v>0</v>
      </c>
      <c r="AC291" s="76"/>
      <c r="AD291" s="37"/>
      <c r="AE291" s="86">
        <f>tbl_Actual_costs_quantities34[[#This Row],[Floor Repairs]]*BOQs!$L$8</f>
        <v>0</v>
      </c>
      <c r="AF291" s="76"/>
      <c r="AG291" s="37"/>
      <c r="AH291" s="86">
        <f>tbl_Actual_costs_quantities34[[#This Row],[Doors Replacement Repair]]*BOQs!$L$9</f>
        <v>0</v>
      </c>
      <c r="AI291" s="76"/>
      <c r="AJ291" s="37"/>
      <c r="AK291" s="86">
        <f>tbl_Actual_costs_quantities34[[#This Row],[Windows Replacement Repair]]*BOQs!$L$10</f>
        <v>0</v>
      </c>
      <c r="AL291" s="76"/>
      <c r="AM291" s="37"/>
      <c r="AN291" s="86">
        <f>tbl_Actual_costs_quantities34[[#This Row],[Bathroom Rehabilitation]]*BOQs!$L$11</f>
        <v>0</v>
      </c>
      <c r="AO291" s="76"/>
      <c r="AP291" s="37"/>
      <c r="AQ291" s="86">
        <f>tbl_Actual_costs_quantities34[[#This Row],[Ceramic Tile Works WASH]]*BOQs!$L$12</f>
        <v>0</v>
      </c>
      <c r="AR291" s="76"/>
      <c r="AS291" s="37"/>
      <c r="AT291" s="86">
        <f>tbl_Actual_costs_quantities34[[#This Row],[Electrical Repairs Lighting]]*BOQs!$L$13</f>
        <v>0</v>
      </c>
      <c r="AU291" s="76"/>
      <c r="AV291" s="37"/>
      <c r="AW291" s="86">
        <f>tbl_Actual_costs_quantities34[[#This Row],[Roof Insulation Leak Sealing]]*BOQs!$L$14</f>
        <v>0</v>
      </c>
      <c r="AX291" s="76"/>
      <c r="AY291" s="37"/>
      <c r="AZ291" s="86">
        <f>tbl_Actual_costs_quantities34[[#This Row],[Chimney Duct Cleaning Repair]]*BOQs!$L$15</f>
        <v>0</v>
      </c>
      <c r="BA291" s="76"/>
      <c r="BB291" s="37"/>
      <c r="BC291" s="89">
        <f>tbl_Actual_costs_quantities34[[#This Row],[Accessibility Adaptations]]*BOQs!$L$16</f>
        <v>0</v>
      </c>
      <c r="BD291" s="41"/>
      <c r="BE291" s="37"/>
      <c r="BF291" s="37"/>
    </row>
    <row r="292" spans="2:58" ht="25.15" customHeight="1" x14ac:dyDescent="0.25">
      <c r="B292" s="49">
        <v>288</v>
      </c>
      <c r="C292" s="37"/>
      <c r="D292" s="41"/>
      <c r="E292" s="40"/>
      <c r="F292" s="87" t="str">
        <f>IF(tbl_Actual_costs_quantities34[[#This Row],[House Code]]&lt;&gt;"",INDEX(tbl_Assessment[],MATCH(tbl_Actual_costs_quantities34[[#This Row],[House Code]],tbl_Assessment[House Code],0),3),"")</f>
        <v/>
      </c>
      <c r="G292" s="116" t="str">
        <f>IF(tbl_Actual_costs_quantities34[[#This Row],[House Code]]&lt;&gt;"",INDEX(tbl_Assessment[],MATCH(tbl_Actual_costs_quantities34[[#This Row],[House Code]],tbl_Assessment[House Code],0),9),"")</f>
        <v/>
      </c>
      <c r="H292" s="41"/>
      <c r="I292" s="41"/>
      <c r="J292" s="41"/>
      <c r="K292" s="116"/>
      <c r="L292" s="117" t="str">
        <f>IF(tbl_Actual_costs_quantities34[[#This Row],[House Code]]&lt;&gt;"",tbl_Actual_costs_quantities34[[#This Row],[Total cost]]/INDEX(tbl_estimated_costs_quantities[],MATCH(tbl_Actual_costs_quantities34[[#This Row],[House Code]],tbl_estimated_costs_quantities[House Code],0),7),"")</f>
        <v/>
      </c>
      <c r="M29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2" s="75"/>
      <c r="O292" s="37"/>
      <c r="P292" s="86">
        <f>tbl_Actual_costs_quantities34[[#This Row],[Site Preparation]]*BOQs!$L$3</f>
        <v>0</v>
      </c>
      <c r="Q292" s="76"/>
      <c r="R292" s="37"/>
      <c r="S292" s="86">
        <f>tbl_Actual_costs_quantities34[[#This Row],[Demolition Removal Unsafe Structures]]*BOQs!$L$4</f>
        <v>0</v>
      </c>
      <c r="T292" s="76"/>
      <c r="U292" s="37"/>
      <c r="V292" s="86">
        <f>tbl_Actual_costs_quantities34[[#This Row],[Concrete Works]]*BOQs!$L$5</f>
        <v>0</v>
      </c>
      <c r="W292" s="76"/>
      <c r="X292" s="37"/>
      <c r="Y292" s="86">
        <f>tbl_Actual_costs_quantities34[[#This Row],[Closure External Openings Walls Windows]]*BOQs!$L$6</f>
        <v>0</v>
      </c>
      <c r="Z292" s="76"/>
      <c r="AA292" s="37"/>
      <c r="AB292" s="86">
        <f>tbl_Actual_costs_quantities34[[#This Row],[Plastering Painting]]*BOQs!$L$7</f>
        <v>0</v>
      </c>
      <c r="AC292" s="76"/>
      <c r="AD292" s="37"/>
      <c r="AE292" s="86">
        <f>tbl_Actual_costs_quantities34[[#This Row],[Floor Repairs]]*BOQs!$L$8</f>
        <v>0</v>
      </c>
      <c r="AF292" s="76"/>
      <c r="AG292" s="37"/>
      <c r="AH292" s="86">
        <f>tbl_Actual_costs_quantities34[[#This Row],[Doors Replacement Repair]]*BOQs!$L$9</f>
        <v>0</v>
      </c>
      <c r="AI292" s="76"/>
      <c r="AJ292" s="37"/>
      <c r="AK292" s="86">
        <f>tbl_Actual_costs_quantities34[[#This Row],[Windows Replacement Repair]]*BOQs!$L$10</f>
        <v>0</v>
      </c>
      <c r="AL292" s="76"/>
      <c r="AM292" s="37"/>
      <c r="AN292" s="86">
        <f>tbl_Actual_costs_quantities34[[#This Row],[Bathroom Rehabilitation]]*BOQs!$L$11</f>
        <v>0</v>
      </c>
      <c r="AO292" s="76"/>
      <c r="AP292" s="37"/>
      <c r="AQ292" s="86">
        <f>tbl_Actual_costs_quantities34[[#This Row],[Ceramic Tile Works WASH]]*BOQs!$L$12</f>
        <v>0</v>
      </c>
      <c r="AR292" s="76"/>
      <c r="AS292" s="37"/>
      <c r="AT292" s="86">
        <f>tbl_Actual_costs_quantities34[[#This Row],[Electrical Repairs Lighting]]*BOQs!$L$13</f>
        <v>0</v>
      </c>
      <c r="AU292" s="76"/>
      <c r="AV292" s="37"/>
      <c r="AW292" s="86">
        <f>tbl_Actual_costs_quantities34[[#This Row],[Roof Insulation Leak Sealing]]*BOQs!$L$14</f>
        <v>0</v>
      </c>
      <c r="AX292" s="76"/>
      <c r="AY292" s="37"/>
      <c r="AZ292" s="86">
        <f>tbl_Actual_costs_quantities34[[#This Row],[Chimney Duct Cleaning Repair]]*BOQs!$L$15</f>
        <v>0</v>
      </c>
      <c r="BA292" s="76"/>
      <c r="BB292" s="37"/>
      <c r="BC292" s="89">
        <f>tbl_Actual_costs_quantities34[[#This Row],[Accessibility Adaptations]]*BOQs!$L$16</f>
        <v>0</v>
      </c>
      <c r="BD292" s="41"/>
      <c r="BE292" s="37"/>
      <c r="BF292" s="37"/>
    </row>
    <row r="293" spans="2:58" ht="25.15" customHeight="1" x14ac:dyDescent="0.25">
      <c r="B293" s="49">
        <v>289</v>
      </c>
      <c r="C293" s="37"/>
      <c r="D293" s="41"/>
      <c r="E293" s="40"/>
      <c r="F293" s="87" t="str">
        <f>IF(tbl_Actual_costs_quantities34[[#This Row],[House Code]]&lt;&gt;"",INDEX(tbl_Assessment[],MATCH(tbl_Actual_costs_quantities34[[#This Row],[House Code]],tbl_Assessment[House Code],0),3),"")</f>
        <v/>
      </c>
      <c r="G293" s="116" t="str">
        <f>IF(tbl_Actual_costs_quantities34[[#This Row],[House Code]]&lt;&gt;"",INDEX(tbl_Assessment[],MATCH(tbl_Actual_costs_quantities34[[#This Row],[House Code]],tbl_Assessment[House Code],0),9),"")</f>
        <v/>
      </c>
      <c r="H293" s="41"/>
      <c r="I293" s="41"/>
      <c r="J293" s="41"/>
      <c r="K293" s="116"/>
      <c r="L293" s="117" t="str">
        <f>IF(tbl_Actual_costs_quantities34[[#This Row],[House Code]]&lt;&gt;"",tbl_Actual_costs_quantities34[[#This Row],[Total cost]]/INDEX(tbl_estimated_costs_quantities[],MATCH(tbl_Actual_costs_quantities34[[#This Row],[House Code]],tbl_estimated_costs_quantities[House Code],0),7),"")</f>
        <v/>
      </c>
      <c r="M29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3" s="75"/>
      <c r="O293" s="37"/>
      <c r="P293" s="86">
        <f>tbl_Actual_costs_quantities34[[#This Row],[Site Preparation]]*BOQs!$L$3</f>
        <v>0</v>
      </c>
      <c r="Q293" s="76"/>
      <c r="R293" s="37"/>
      <c r="S293" s="86">
        <f>tbl_Actual_costs_quantities34[[#This Row],[Demolition Removal Unsafe Structures]]*BOQs!$L$4</f>
        <v>0</v>
      </c>
      <c r="T293" s="76"/>
      <c r="U293" s="37"/>
      <c r="V293" s="86">
        <f>tbl_Actual_costs_quantities34[[#This Row],[Concrete Works]]*BOQs!$L$5</f>
        <v>0</v>
      </c>
      <c r="W293" s="76"/>
      <c r="X293" s="37"/>
      <c r="Y293" s="86">
        <f>tbl_Actual_costs_quantities34[[#This Row],[Closure External Openings Walls Windows]]*BOQs!$L$6</f>
        <v>0</v>
      </c>
      <c r="Z293" s="76"/>
      <c r="AA293" s="37"/>
      <c r="AB293" s="86">
        <f>tbl_Actual_costs_quantities34[[#This Row],[Plastering Painting]]*BOQs!$L$7</f>
        <v>0</v>
      </c>
      <c r="AC293" s="76"/>
      <c r="AD293" s="37"/>
      <c r="AE293" s="86">
        <f>tbl_Actual_costs_quantities34[[#This Row],[Floor Repairs]]*BOQs!$L$8</f>
        <v>0</v>
      </c>
      <c r="AF293" s="76"/>
      <c r="AG293" s="37"/>
      <c r="AH293" s="86">
        <f>tbl_Actual_costs_quantities34[[#This Row],[Doors Replacement Repair]]*BOQs!$L$9</f>
        <v>0</v>
      </c>
      <c r="AI293" s="76"/>
      <c r="AJ293" s="37"/>
      <c r="AK293" s="86">
        <f>tbl_Actual_costs_quantities34[[#This Row],[Windows Replacement Repair]]*BOQs!$L$10</f>
        <v>0</v>
      </c>
      <c r="AL293" s="76"/>
      <c r="AM293" s="37"/>
      <c r="AN293" s="86">
        <f>tbl_Actual_costs_quantities34[[#This Row],[Bathroom Rehabilitation]]*BOQs!$L$11</f>
        <v>0</v>
      </c>
      <c r="AO293" s="76"/>
      <c r="AP293" s="37"/>
      <c r="AQ293" s="86">
        <f>tbl_Actual_costs_quantities34[[#This Row],[Ceramic Tile Works WASH]]*BOQs!$L$12</f>
        <v>0</v>
      </c>
      <c r="AR293" s="76"/>
      <c r="AS293" s="37"/>
      <c r="AT293" s="86">
        <f>tbl_Actual_costs_quantities34[[#This Row],[Electrical Repairs Lighting]]*BOQs!$L$13</f>
        <v>0</v>
      </c>
      <c r="AU293" s="76"/>
      <c r="AV293" s="37"/>
      <c r="AW293" s="86">
        <f>tbl_Actual_costs_quantities34[[#This Row],[Roof Insulation Leak Sealing]]*BOQs!$L$14</f>
        <v>0</v>
      </c>
      <c r="AX293" s="76"/>
      <c r="AY293" s="37"/>
      <c r="AZ293" s="86">
        <f>tbl_Actual_costs_quantities34[[#This Row],[Chimney Duct Cleaning Repair]]*BOQs!$L$15</f>
        <v>0</v>
      </c>
      <c r="BA293" s="76"/>
      <c r="BB293" s="37"/>
      <c r="BC293" s="89">
        <f>tbl_Actual_costs_quantities34[[#This Row],[Accessibility Adaptations]]*BOQs!$L$16</f>
        <v>0</v>
      </c>
      <c r="BD293" s="41"/>
      <c r="BE293" s="37"/>
      <c r="BF293" s="37"/>
    </row>
    <row r="294" spans="2:58" ht="25.15" customHeight="1" x14ac:dyDescent="0.25">
      <c r="B294" s="49">
        <v>290</v>
      </c>
      <c r="C294" s="37"/>
      <c r="D294" s="41"/>
      <c r="E294" s="40"/>
      <c r="F294" s="87" t="str">
        <f>IF(tbl_Actual_costs_quantities34[[#This Row],[House Code]]&lt;&gt;"",INDEX(tbl_Assessment[],MATCH(tbl_Actual_costs_quantities34[[#This Row],[House Code]],tbl_Assessment[House Code],0),3),"")</f>
        <v/>
      </c>
      <c r="G294" s="116" t="str">
        <f>IF(tbl_Actual_costs_quantities34[[#This Row],[House Code]]&lt;&gt;"",INDEX(tbl_Assessment[],MATCH(tbl_Actual_costs_quantities34[[#This Row],[House Code]],tbl_Assessment[House Code],0),9),"")</f>
        <v/>
      </c>
      <c r="H294" s="41"/>
      <c r="I294" s="41"/>
      <c r="J294" s="41"/>
      <c r="K294" s="116"/>
      <c r="L294" s="117" t="str">
        <f>IF(tbl_Actual_costs_quantities34[[#This Row],[House Code]]&lt;&gt;"",tbl_Actual_costs_quantities34[[#This Row],[Total cost]]/INDEX(tbl_estimated_costs_quantities[],MATCH(tbl_Actual_costs_quantities34[[#This Row],[House Code]],tbl_estimated_costs_quantities[House Code],0),7),"")</f>
        <v/>
      </c>
      <c r="M29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4" s="75"/>
      <c r="O294" s="37"/>
      <c r="P294" s="86">
        <f>tbl_Actual_costs_quantities34[[#This Row],[Site Preparation]]*BOQs!$L$3</f>
        <v>0</v>
      </c>
      <c r="Q294" s="76"/>
      <c r="R294" s="37"/>
      <c r="S294" s="86">
        <f>tbl_Actual_costs_quantities34[[#This Row],[Demolition Removal Unsafe Structures]]*BOQs!$L$4</f>
        <v>0</v>
      </c>
      <c r="T294" s="76"/>
      <c r="U294" s="37"/>
      <c r="V294" s="86">
        <f>tbl_Actual_costs_quantities34[[#This Row],[Concrete Works]]*BOQs!$L$5</f>
        <v>0</v>
      </c>
      <c r="W294" s="76"/>
      <c r="X294" s="37"/>
      <c r="Y294" s="86">
        <f>tbl_Actual_costs_quantities34[[#This Row],[Closure External Openings Walls Windows]]*BOQs!$L$6</f>
        <v>0</v>
      </c>
      <c r="Z294" s="76"/>
      <c r="AA294" s="37"/>
      <c r="AB294" s="86">
        <f>tbl_Actual_costs_quantities34[[#This Row],[Plastering Painting]]*BOQs!$L$7</f>
        <v>0</v>
      </c>
      <c r="AC294" s="76"/>
      <c r="AD294" s="37"/>
      <c r="AE294" s="86">
        <f>tbl_Actual_costs_quantities34[[#This Row],[Floor Repairs]]*BOQs!$L$8</f>
        <v>0</v>
      </c>
      <c r="AF294" s="76"/>
      <c r="AG294" s="37"/>
      <c r="AH294" s="86">
        <f>tbl_Actual_costs_quantities34[[#This Row],[Doors Replacement Repair]]*BOQs!$L$9</f>
        <v>0</v>
      </c>
      <c r="AI294" s="76"/>
      <c r="AJ294" s="37"/>
      <c r="AK294" s="86">
        <f>tbl_Actual_costs_quantities34[[#This Row],[Windows Replacement Repair]]*BOQs!$L$10</f>
        <v>0</v>
      </c>
      <c r="AL294" s="76"/>
      <c r="AM294" s="37"/>
      <c r="AN294" s="86">
        <f>tbl_Actual_costs_quantities34[[#This Row],[Bathroom Rehabilitation]]*BOQs!$L$11</f>
        <v>0</v>
      </c>
      <c r="AO294" s="76"/>
      <c r="AP294" s="37"/>
      <c r="AQ294" s="86">
        <f>tbl_Actual_costs_quantities34[[#This Row],[Ceramic Tile Works WASH]]*BOQs!$L$12</f>
        <v>0</v>
      </c>
      <c r="AR294" s="76"/>
      <c r="AS294" s="37"/>
      <c r="AT294" s="86">
        <f>tbl_Actual_costs_quantities34[[#This Row],[Electrical Repairs Lighting]]*BOQs!$L$13</f>
        <v>0</v>
      </c>
      <c r="AU294" s="76"/>
      <c r="AV294" s="37"/>
      <c r="AW294" s="86">
        <f>tbl_Actual_costs_quantities34[[#This Row],[Roof Insulation Leak Sealing]]*BOQs!$L$14</f>
        <v>0</v>
      </c>
      <c r="AX294" s="76"/>
      <c r="AY294" s="37"/>
      <c r="AZ294" s="86">
        <f>tbl_Actual_costs_quantities34[[#This Row],[Chimney Duct Cleaning Repair]]*BOQs!$L$15</f>
        <v>0</v>
      </c>
      <c r="BA294" s="76"/>
      <c r="BB294" s="37"/>
      <c r="BC294" s="89">
        <f>tbl_Actual_costs_quantities34[[#This Row],[Accessibility Adaptations]]*BOQs!$L$16</f>
        <v>0</v>
      </c>
      <c r="BD294" s="41"/>
      <c r="BE294" s="37"/>
      <c r="BF294" s="37"/>
    </row>
    <row r="295" spans="2:58" ht="25.15" customHeight="1" x14ac:dyDescent="0.25">
      <c r="B295" s="49">
        <v>291</v>
      </c>
      <c r="C295" s="37"/>
      <c r="D295" s="41"/>
      <c r="E295" s="40"/>
      <c r="F295" s="87" t="str">
        <f>IF(tbl_Actual_costs_quantities34[[#This Row],[House Code]]&lt;&gt;"",INDEX(tbl_Assessment[],MATCH(tbl_Actual_costs_quantities34[[#This Row],[House Code]],tbl_Assessment[House Code],0),3),"")</f>
        <v/>
      </c>
      <c r="G295" s="116" t="str">
        <f>IF(tbl_Actual_costs_quantities34[[#This Row],[House Code]]&lt;&gt;"",INDEX(tbl_Assessment[],MATCH(tbl_Actual_costs_quantities34[[#This Row],[House Code]],tbl_Assessment[House Code],0),9),"")</f>
        <v/>
      </c>
      <c r="H295" s="41"/>
      <c r="I295" s="41"/>
      <c r="J295" s="41"/>
      <c r="K295" s="116"/>
      <c r="L295" s="117" t="str">
        <f>IF(tbl_Actual_costs_quantities34[[#This Row],[House Code]]&lt;&gt;"",tbl_Actual_costs_quantities34[[#This Row],[Total cost]]/INDEX(tbl_estimated_costs_quantities[],MATCH(tbl_Actual_costs_quantities34[[#This Row],[House Code]],tbl_estimated_costs_quantities[House Code],0),7),"")</f>
        <v/>
      </c>
      <c r="M29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5" s="75"/>
      <c r="O295" s="37"/>
      <c r="P295" s="86">
        <f>tbl_Actual_costs_quantities34[[#This Row],[Site Preparation]]*BOQs!$L$3</f>
        <v>0</v>
      </c>
      <c r="Q295" s="76"/>
      <c r="R295" s="37"/>
      <c r="S295" s="86">
        <f>tbl_Actual_costs_quantities34[[#This Row],[Demolition Removal Unsafe Structures]]*BOQs!$L$4</f>
        <v>0</v>
      </c>
      <c r="T295" s="76"/>
      <c r="U295" s="37"/>
      <c r="V295" s="86">
        <f>tbl_Actual_costs_quantities34[[#This Row],[Concrete Works]]*BOQs!$L$5</f>
        <v>0</v>
      </c>
      <c r="W295" s="76"/>
      <c r="X295" s="37"/>
      <c r="Y295" s="86">
        <f>tbl_Actual_costs_quantities34[[#This Row],[Closure External Openings Walls Windows]]*BOQs!$L$6</f>
        <v>0</v>
      </c>
      <c r="Z295" s="76"/>
      <c r="AA295" s="37"/>
      <c r="AB295" s="86">
        <f>tbl_Actual_costs_quantities34[[#This Row],[Plastering Painting]]*BOQs!$L$7</f>
        <v>0</v>
      </c>
      <c r="AC295" s="76"/>
      <c r="AD295" s="37"/>
      <c r="AE295" s="86">
        <f>tbl_Actual_costs_quantities34[[#This Row],[Floor Repairs]]*BOQs!$L$8</f>
        <v>0</v>
      </c>
      <c r="AF295" s="76"/>
      <c r="AG295" s="37"/>
      <c r="AH295" s="86">
        <f>tbl_Actual_costs_quantities34[[#This Row],[Doors Replacement Repair]]*BOQs!$L$9</f>
        <v>0</v>
      </c>
      <c r="AI295" s="76"/>
      <c r="AJ295" s="37"/>
      <c r="AK295" s="86">
        <f>tbl_Actual_costs_quantities34[[#This Row],[Windows Replacement Repair]]*BOQs!$L$10</f>
        <v>0</v>
      </c>
      <c r="AL295" s="76"/>
      <c r="AM295" s="37"/>
      <c r="AN295" s="86">
        <f>tbl_Actual_costs_quantities34[[#This Row],[Bathroom Rehabilitation]]*BOQs!$L$11</f>
        <v>0</v>
      </c>
      <c r="AO295" s="76"/>
      <c r="AP295" s="37"/>
      <c r="AQ295" s="86">
        <f>tbl_Actual_costs_quantities34[[#This Row],[Ceramic Tile Works WASH]]*BOQs!$L$12</f>
        <v>0</v>
      </c>
      <c r="AR295" s="76"/>
      <c r="AS295" s="37"/>
      <c r="AT295" s="86">
        <f>tbl_Actual_costs_quantities34[[#This Row],[Electrical Repairs Lighting]]*BOQs!$L$13</f>
        <v>0</v>
      </c>
      <c r="AU295" s="76"/>
      <c r="AV295" s="37"/>
      <c r="AW295" s="86">
        <f>tbl_Actual_costs_quantities34[[#This Row],[Roof Insulation Leak Sealing]]*BOQs!$L$14</f>
        <v>0</v>
      </c>
      <c r="AX295" s="76"/>
      <c r="AY295" s="37"/>
      <c r="AZ295" s="86">
        <f>tbl_Actual_costs_quantities34[[#This Row],[Chimney Duct Cleaning Repair]]*BOQs!$L$15</f>
        <v>0</v>
      </c>
      <c r="BA295" s="76"/>
      <c r="BB295" s="37"/>
      <c r="BC295" s="89">
        <f>tbl_Actual_costs_quantities34[[#This Row],[Accessibility Adaptations]]*BOQs!$L$16</f>
        <v>0</v>
      </c>
      <c r="BD295" s="41"/>
      <c r="BE295" s="37"/>
      <c r="BF295" s="37"/>
    </row>
    <row r="296" spans="2:58" ht="25.15" customHeight="1" x14ac:dyDescent="0.25">
      <c r="B296" s="49">
        <v>292</v>
      </c>
      <c r="C296" s="37"/>
      <c r="D296" s="41"/>
      <c r="E296" s="40"/>
      <c r="F296" s="87" t="str">
        <f>IF(tbl_Actual_costs_quantities34[[#This Row],[House Code]]&lt;&gt;"",INDEX(tbl_Assessment[],MATCH(tbl_Actual_costs_quantities34[[#This Row],[House Code]],tbl_Assessment[House Code],0),3),"")</f>
        <v/>
      </c>
      <c r="G296" s="116" t="str">
        <f>IF(tbl_Actual_costs_quantities34[[#This Row],[House Code]]&lt;&gt;"",INDEX(tbl_Assessment[],MATCH(tbl_Actual_costs_quantities34[[#This Row],[House Code]],tbl_Assessment[House Code],0),9),"")</f>
        <v/>
      </c>
      <c r="H296" s="41"/>
      <c r="I296" s="41"/>
      <c r="J296" s="41"/>
      <c r="K296" s="116"/>
      <c r="L296" s="117" t="str">
        <f>IF(tbl_Actual_costs_quantities34[[#This Row],[House Code]]&lt;&gt;"",tbl_Actual_costs_quantities34[[#This Row],[Total cost]]/INDEX(tbl_estimated_costs_quantities[],MATCH(tbl_Actual_costs_quantities34[[#This Row],[House Code]],tbl_estimated_costs_quantities[House Code],0),7),"")</f>
        <v/>
      </c>
      <c r="M29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6" s="75"/>
      <c r="O296" s="37"/>
      <c r="P296" s="86">
        <f>tbl_Actual_costs_quantities34[[#This Row],[Site Preparation]]*BOQs!$L$3</f>
        <v>0</v>
      </c>
      <c r="Q296" s="76"/>
      <c r="R296" s="37"/>
      <c r="S296" s="86">
        <f>tbl_Actual_costs_quantities34[[#This Row],[Demolition Removal Unsafe Structures]]*BOQs!$L$4</f>
        <v>0</v>
      </c>
      <c r="T296" s="76"/>
      <c r="U296" s="37"/>
      <c r="V296" s="86">
        <f>tbl_Actual_costs_quantities34[[#This Row],[Concrete Works]]*BOQs!$L$5</f>
        <v>0</v>
      </c>
      <c r="W296" s="76"/>
      <c r="X296" s="37"/>
      <c r="Y296" s="86">
        <f>tbl_Actual_costs_quantities34[[#This Row],[Closure External Openings Walls Windows]]*BOQs!$L$6</f>
        <v>0</v>
      </c>
      <c r="Z296" s="76"/>
      <c r="AA296" s="37"/>
      <c r="AB296" s="86">
        <f>tbl_Actual_costs_quantities34[[#This Row],[Plastering Painting]]*BOQs!$L$7</f>
        <v>0</v>
      </c>
      <c r="AC296" s="76"/>
      <c r="AD296" s="37"/>
      <c r="AE296" s="86">
        <f>tbl_Actual_costs_quantities34[[#This Row],[Floor Repairs]]*BOQs!$L$8</f>
        <v>0</v>
      </c>
      <c r="AF296" s="76"/>
      <c r="AG296" s="37"/>
      <c r="AH296" s="86">
        <f>tbl_Actual_costs_quantities34[[#This Row],[Doors Replacement Repair]]*BOQs!$L$9</f>
        <v>0</v>
      </c>
      <c r="AI296" s="76"/>
      <c r="AJ296" s="37"/>
      <c r="AK296" s="86">
        <f>tbl_Actual_costs_quantities34[[#This Row],[Windows Replacement Repair]]*BOQs!$L$10</f>
        <v>0</v>
      </c>
      <c r="AL296" s="76"/>
      <c r="AM296" s="37"/>
      <c r="AN296" s="86">
        <f>tbl_Actual_costs_quantities34[[#This Row],[Bathroom Rehabilitation]]*BOQs!$L$11</f>
        <v>0</v>
      </c>
      <c r="AO296" s="76"/>
      <c r="AP296" s="37"/>
      <c r="AQ296" s="86">
        <f>tbl_Actual_costs_quantities34[[#This Row],[Ceramic Tile Works WASH]]*BOQs!$L$12</f>
        <v>0</v>
      </c>
      <c r="AR296" s="76"/>
      <c r="AS296" s="37"/>
      <c r="AT296" s="86">
        <f>tbl_Actual_costs_quantities34[[#This Row],[Electrical Repairs Lighting]]*BOQs!$L$13</f>
        <v>0</v>
      </c>
      <c r="AU296" s="76"/>
      <c r="AV296" s="37"/>
      <c r="AW296" s="86">
        <f>tbl_Actual_costs_quantities34[[#This Row],[Roof Insulation Leak Sealing]]*BOQs!$L$14</f>
        <v>0</v>
      </c>
      <c r="AX296" s="76"/>
      <c r="AY296" s="37"/>
      <c r="AZ296" s="86">
        <f>tbl_Actual_costs_quantities34[[#This Row],[Chimney Duct Cleaning Repair]]*BOQs!$L$15</f>
        <v>0</v>
      </c>
      <c r="BA296" s="76"/>
      <c r="BB296" s="37"/>
      <c r="BC296" s="89">
        <f>tbl_Actual_costs_quantities34[[#This Row],[Accessibility Adaptations]]*BOQs!$L$16</f>
        <v>0</v>
      </c>
      <c r="BD296" s="41"/>
      <c r="BE296" s="37"/>
      <c r="BF296" s="37"/>
    </row>
    <row r="297" spans="2:58" ht="25.15" customHeight="1" x14ac:dyDescent="0.25">
      <c r="B297" s="49">
        <v>293</v>
      </c>
      <c r="C297" s="37"/>
      <c r="D297" s="41"/>
      <c r="E297" s="40"/>
      <c r="F297" s="87" t="str">
        <f>IF(tbl_Actual_costs_quantities34[[#This Row],[House Code]]&lt;&gt;"",INDEX(tbl_Assessment[],MATCH(tbl_Actual_costs_quantities34[[#This Row],[House Code]],tbl_Assessment[House Code],0),3),"")</f>
        <v/>
      </c>
      <c r="G297" s="116" t="str">
        <f>IF(tbl_Actual_costs_quantities34[[#This Row],[House Code]]&lt;&gt;"",INDEX(tbl_Assessment[],MATCH(tbl_Actual_costs_quantities34[[#This Row],[House Code]],tbl_Assessment[House Code],0),9),"")</f>
        <v/>
      </c>
      <c r="H297" s="41"/>
      <c r="I297" s="41"/>
      <c r="J297" s="41"/>
      <c r="K297" s="116"/>
      <c r="L297" s="117" t="str">
        <f>IF(tbl_Actual_costs_quantities34[[#This Row],[House Code]]&lt;&gt;"",tbl_Actual_costs_quantities34[[#This Row],[Total cost]]/INDEX(tbl_estimated_costs_quantities[],MATCH(tbl_Actual_costs_quantities34[[#This Row],[House Code]],tbl_estimated_costs_quantities[House Code],0),7),"")</f>
        <v/>
      </c>
      <c r="M29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7" s="75"/>
      <c r="O297" s="37"/>
      <c r="P297" s="86">
        <f>tbl_Actual_costs_quantities34[[#This Row],[Site Preparation]]*BOQs!$L$3</f>
        <v>0</v>
      </c>
      <c r="Q297" s="76"/>
      <c r="R297" s="37"/>
      <c r="S297" s="86">
        <f>tbl_Actual_costs_quantities34[[#This Row],[Demolition Removal Unsafe Structures]]*BOQs!$L$4</f>
        <v>0</v>
      </c>
      <c r="T297" s="76"/>
      <c r="U297" s="37"/>
      <c r="V297" s="86">
        <f>tbl_Actual_costs_quantities34[[#This Row],[Concrete Works]]*BOQs!$L$5</f>
        <v>0</v>
      </c>
      <c r="W297" s="76"/>
      <c r="X297" s="37"/>
      <c r="Y297" s="86">
        <f>tbl_Actual_costs_quantities34[[#This Row],[Closure External Openings Walls Windows]]*BOQs!$L$6</f>
        <v>0</v>
      </c>
      <c r="Z297" s="76"/>
      <c r="AA297" s="37"/>
      <c r="AB297" s="86">
        <f>tbl_Actual_costs_quantities34[[#This Row],[Plastering Painting]]*BOQs!$L$7</f>
        <v>0</v>
      </c>
      <c r="AC297" s="76"/>
      <c r="AD297" s="37"/>
      <c r="AE297" s="86">
        <f>tbl_Actual_costs_quantities34[[#This Row],[Floor Repairs]]*BOQs!$L$8</f>
        <v>0</v>
      </c>
      <c r="AF297" s="76"/>
      <c r="AG297" s="37"/>
      <c r="AH297" s="86">
        <f>tbl_Actual_costs_quantities34[[#This Row],[Doors Replacement Repair]]*BOQs!$L$9</f>
        <v>0</v>
      </c>
      <c r="AI297" s="76"/>
      <c r="AJ297" s="37"/>
      <c r="AK297" s="86">
        <f>tbl_Actual_costs_quantities34[[#This Row],[Windows Replacement Repair]]*BOQs!$L$10</f>
        <v>0</v>
      </c>
      <c r="AL297" s="76"/>
      <c r="AM297" s="37"/>
      <c r="AN297" s="86">
        <f>tbl_Actual_costs_quantities34[[#This Row],[Bathroom Rehabilitation]]*BOQs!$L$11</f>
        <v>0</v>
      </c>
      <c r="AO297" s="76"/>
      <c r="AP297" s="37"/>
      <c r="AQ297" s="86">
        <f>tbl_Actual_costs_quantities34[[#This Row],[Ceramic Tile Works WASH]]*BOQs!$L$12</f>
        <v>0</v>
      </c>
      <c r="AR297" s="76"/>
      <c r="AS297" s="37"/>
      <c r="AT297" s="86">
        <f>tbl_Actual_costs_quantities34[[#This Row],[Electrical Repairs Lighting]]*BOQs!$L$13</f>
        <v>0</v>
      </c>
      <c r="AU297" s="76"/>
      <c r="AV297" s="37"/>
      <c r="AW297" s="86">
        <f>tbl_Actual_costs_quantities34[[#This Row],[Roof Insulation Leak Sealing]]*BOQs!$L$14</f>
        <v>0</v>
      </c>
      <c r="AX297" s="76"/>
      <c r="AY297" s="37"/>
      <c r="AZ297" s="86">
        <f>tbl_Actual_costs_quantities34[[#This Row],[Chimney Duct Cleaning Repair]]*BOQs!$L$15</f>
        <v>0</v>
      </c>
      <c r="BA297" s="76"/>
      <c r="BB297" s="37"/>
      <c r="BC297" s="89">
        <f>tbl_Actual_costs_quantities34[[#This Row],[Accessibility Adaptations]]*BOQs!$L$16</f>
        <v>0</v>
      </c>
      <c r="BD297" s="41"/>
      <c r="BE297" s="37"/>
      <c r="BF297" s="37"/>
    </row>
    <row r="298" spans="2:58" ht="25.15" customHeight="1" x14ac:dyDescent="0.25">
      <c r="B298" s="49">
        <v>294</v>
      </c>
      <c r="C298" s="37"/>
      <c r="D298" s="41"/>
      <c r="E298" s="40"/>
      <c r="F298" s="87" t="str">
        <f>IF(tbl_Actual_costs_quantities34[[#This Row],[House Code]]&lt;&gt;"",INDEX(tbl_Assessment[],MATCH(tbl_Actual_costs_quantities34[[#This Row],[House Code]],tbl_Assessment[House Code],0),3),"")</f>
        <v/>
      </c>
      <c r="G298" s="116" t="str">
        <f>IF(tbl_Actual_costs_quantities34[[#This Row],[House Code]]&lt;&gt;"",INDEX(tbl_Assessment[],MATCH(tbl_Actual_costs_quantities34[[#This Row],[House Code]],tbl_Assessment[House Code],0),9),"")</f>
        <v/>
      </c>
      <c r="H298" s="41"/>
      <c r="I298" s="41"/>
      <c r="J298" s="41"/>
      <c r="K298" s="116"/>
      <c r="L298" s="117" t="str">
        <f>IF(tbl_Actual_costs_quantities34[[#This Row],[House Code]]&lt;&gt;"",tbl_Actual_costs_quantities34[[#This Row],[Total cost]]/INDEX(tbl_estimated_costs_quantities[],MATCH(tbl_Actual_costs_quantities34[[#This Row],[House Code]],tbl_estimated_costs_quantities[House Code],0),7),"")</f>
        <v/>
      </c>
      <c r="M29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8" s="75"/>
      <c r="O298" s="37"/>
      <c r="P298" s="86">
        <f>tbl_Actual_costs_quantities34[[#This Row],[Site Preparation]]*BOQs!$L$3</f>
        <v>0</v>
      </c>
      <c r="Q298" s="76"/>
      <c r="R298" s="37"/>
      <c r="S298" s="86">
        <f>tbl_Actual_costs_quantities34[[#This Row],[Demolition Removal Unsafe Structures]]*BOQs!$L$4</f>
        <v>0</v>
      </c>
      <c r="T298" s="76"/>
      <c r="U298" s="37"/>
      <c r="V298" s="86">
        <f>tbl_Actual_costs_quantities34[[#This Row],[Concrete Works]]*BOQs!$L$5</f>
        <v>0</v>
      </c>
      <c r="W298" s="76"/>
      <c r="X298" s="37"/>
      <c r="Y298" s="86">
        <f>tbl_Actual_costs_quantities34[[#This Row],[Closure External Openings Walls Windows]]*BOQs!$L$6</f>
        <v>0</v>
      </c>
      <c r="Z298" s="76"/>
      <c r="AA298" s="37"/>
      <c r="AB298" s="86">
        <f>tbl_Actual_costs_quantities34[[#This Row],[Plastering Painting]]*BOQs!$L$7</f>
        <v>0</v>
      </c>
      <c r="AC298" s="76"/>
      <c r="AD298" s="37"/>
      <c r="AE298" s="86">
        <f>tbl_Actual_costs_quantities34[[#This Row],[Floor Repairs]]*BOQs!$L$8</f>
        <v>0</v>
      </c>
      <c r="AF298" s="76"/>
      <c r="AG298" s="37"/>
      <c r="AH298" s="86">
        <f>tbl_Actual_costs_quantities34[[#This Row],[Doors Replacement Repair]]*BOQs!$L$9</f>
        <v>0</v>
      </c>
      <c r="AI298" s="76"/>
      <c r="AJ298" s="37"/>
      <c r="AK298" s="86">
        <f>tbl_Actual_costs_quantities34[[#This Row],[Windows Replacement Repair]]*BOQs!$L$10</f>
        <v>0</v>
      </c>
      <c r="AL298" s="76"/>
      <c r="AM298" s="37"/>
      <c r="AN298" s="86">
        <f>tbl_Actual_costs_quantities34[[#This Row],[Bathroom Rehabilitation]]*BOQs!$L$11</f>
        <v>0</v>
      </c>
      <c r="AO298" s="76"/>
      <c r="AP298" s="37"/>
      <c r="AQ298" s="86">
        <f>tbl_Actual_costs_quantities34[[#This Row],[Ceramic Tile Works WASH]]*BOQs!$L$12</f>
        <v>0</v>
      </c>
      <c r="AR298" s="76"/>
      <c r="AS298" s="37"/>
      <c r="AT298" s="86">
        <f>tbl_Actual_costs_quantities34[[#This Row],[Electrical Repairs Lighting]]*BOQs!$L$13</f>
        <v>0</v>
      </c>
      <c r="AU298" s="76"/>
      <c r="AV298" s="37"/>
      <c r="AW298" s="86">
        <f>tbl_Actual_costs_quantities34[[#This Row],[Roof Insulation Leak Sealing]]*BOQs!$L$14</f>
        <v>0</v>
      </c>
      <c r="AX298" s="76"/>
      <c r="AY298" s="37"/>
      <c r="AZ298" s="86">
        <f>tbl_Actual_costs_quantities34[[#This Row],[Chimney Duct Cleaning Repair]]*BOQs!$L$15</f>
        <v>0</v>
      </c>
      <c r="BA298" s="76"/>
      <c r="BB298" s="37"/>
      <c r="BC298" s="89">
        <f>tbl_Actual_costs_quantities34[[#This Row],[Accessibility Adaptations]]*BOQs!$L$16</f>
        <v>0</v>
      </c>
      <c r="BD298" s="41"/>
      <c r="BE298" s="37"/>
      <c r="BF298" s="37"/>
    </row>
    <row r="299" spans="2:58" ht="25.15" customHeight="1" x14ac:dyDescent="0.25">
      <c r="B299" s="49">
        <v>295</v>
      </c>
      <c r="C299" s="37"/>
      <c r="D299" s="41"/>
      <c r="E299" s="40"/>
      <c r="F299" s="87" t="str">
        <f>IF(tbl_Actual_costs_quantities34[[#This Row],[House Code]]&lt;&gt;"",INDEX(tbl_Assessment[],MATCH(tbl_Actual_costs_quantities34[[#This Row],[House Code]],tbl_Assessment[House Code],0),3),"")</f>
        <v/>
      </c>
      <c r="G299" s="116" t="str">
        <f>IF(tbl_Actual_costs_quantities34[[#This Row],[House Code]]&lt;&gt;"",INDEX(tbl_Assessment[],MATCH(tbl_Actual_costs_quantities34[[#This Row],[House Code]],tbl_Assessment[House Code],0),9),"")</f>
        <v/>
      </c>
      <c r="H299" s="41"/>
      <c r="I299" s="41"/>
      <c r="J299" s="41"/>
      <c r="K299" s="116"/>
      <c r="L299" s="117" t="str">
        <f>IF(tbl_Actual_costs_quantities34[[#This Row],[House Code]]&lt;&gt;"",tbl_Actual_costs_quantities34[[#This Row],[Total cost]]/INDEX(tbl_estimated_costs_quantities[],MATCH(tbl_Actual_costs_quantities34[[#This Row],[House Code]],tbl_estimated_costs_quantities[House Code],0),7),"")</f>
        <v/>
      </c>
      <c r="M29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299" s="75"/>
      <c r="O299" s="37"/>
      <c r="P299" s="86">
        <f>tbl_Actual_costs_quantities34[[#This Row],[Site Preparation]]*BOQs!$L$3</f>
        <v>0</v>
      </c>
      <c r="Q299" s="76"/>
      <c r="R299" s="37"/>
      <c r="S299" s="86">
        <f>tbl_Actual_costs_quantities34[[#This Row],[Demolition Removal Unsafe Structures]]*BOQs!$L$4</f>
        <v>0</v>
      </c>
      <c r="T299" s="76"/>
      <c r="U299" s="37"/>
      <c r="V299" s="86">
        <f>tbl_Actual_costs_quantities34[[#This Row],[Concrete Works]]*BOQs!$L$5</f>
        <v>0</v>
      </c>
      <c r="W299" s="76"/>
      <c r="X299" s="37"/>
      <c r="Y299" s="86">
        <f>tbl_Actual_costs_quantities34[[#This Row],[Closure External Openings Walls Windows]]*BOQs!$L$6</f>
        <v>0</v>
      </c>
      <c r="Z299" s="76"/>
      <c r="AA299" s="37"/>
      <c r="AB299" s="86">
        <f>tbl_Actual_costs_quantities34[[#This Row],[Plastering Painting]]*BOQs!$L$7</f>
        <v>0</v>
      </c>
      <c r="AC299" s="76"/>
      <c r="AD299" s="37"/>
      <c r="AE299" s="86">
        <f>tbl_Actual_costs_quantities34[[#This Row],[Floor Repairs]]*BOQs!$L$8</f>
        <v>0</v>
      </c>
      <c r="AF299" s="76"/>
      <c r="AG299" s="37"/>
      <c r="AH299" s="86">
        <f>tbl_Actual_costs_quantities34[[#This Row],[Doors Replacement Repair]]*BOQs!$L$9</f>
        <v>0</v>
      </c>
      <c r="AI299" s="76"/>
      <c r="AJ299" s="37"/>
      <c r="AK299" s="86">
        <f>tbl_Actual_costs_quantities34[[#This Row],[Windows Replacement Repair]]*BOQs!$L$10</f>
        <v>0</v>
      </c>
      <c r="AL299" s="76"/>
      <c r="AM299" s="37"/>
      <c r="AN299" s="86">
        <f>tbl_Actual_costs_quantities34[[#This Row],[Bathroom Rehabilitation]]*BOQs!$L$11</f>
        <v>0</v>
      </c>
      <c r="AO299" s="76"/>
      <c r="AP299" s="37"/>
      <c r="AQ299" s="86">
        <f>tbl_Actual_costs_quantities34[[#This Row],[Ceramic Tile Works WASH]]*BOQs!$L$12</f>
        <v>0</v>
      </c>
      <c r="AR299" s="76"/>
      <c r="AS299" s="37"/>
      <c r="AT299" s="86">
        <f>tbl_Actual_costs_quantities34[[#This Row],[Electrical Repairs Lighting]]*BOQs!$L$13</f>
        <v>0</v>
      </c>
      <c r="AU299" s="76"/>
      <c r="AV299" s="37"/>
      <c r="AW299" s="86">
        <f>tbl_Actual_costs_quantities34[[#This Row],[Roof Insulation Leak Sealing]]*BOQs!$L$14</f>
        <v>0</v>
      </c>
      <c r="AX299" s="76"/>
      <c r="AY299" s="37"/>
      <c r="AZ299" s="86">
        <f>tbl_Actual_costs_quantities34[[#This Row],[Chimney Duct Cleaning Repair]]*BOQs!$L$15</f>
        <v>0</v>
      </c>
      <c r="BA299" s="76"/>
      <c r="BB299" s="37"/>
      <c r="BC299" s="89">
        <f>tbl_Actual_costs_quantities34[[#This Row],[Accessibility Adaptations]]*BOQs!$L$16</f>
        <v>0</v>
      </c>
      <c r="BD299" s="41"/>
      <c r="BE299" s="37"/>
      <c r="BF299" s="37"/>
    </row>
    <row r="300" spans="2:58" ht="25.15" customHeight="1" x14ac:dyDescent="0.25">
      <c r="B300" s="49">
        <v>296</v>
      </c>
      <c r="C300" s="37"/>
      <c r="D300" s="41"/>
      <c r="E300" s="40"/>
      <c r="F300" s="87" t="str">
        <f>IF(tbl_Actual_costs_quantities34[[#This Row],[House Code]]&lt;&gt;"",INDEX(tbl_Assessment[],MATCH(tbl_Actual_costs_quantities34[[#This Row],[House Code]],tbl_Assessment[House Code],0),3),"")</f>
        <v/>
      </c>
      <c r="G300" s="116" t="str">
        <f>IF(tbl_Actual_costs_quantities34[[#This Row],[House Code]]&lt;&gt;"",INDEX(tbl_Assessment[],MATCH(tbl_Actual_costs_quantities34[[#This Row],[House Code]],tbl_Assessment[House Code],0),9),"")</f>
        <v/>
      </c>
      <c r="H300" s="41"/>
      <c r="I300" s="41"/>
      <c r="J300" s="41"/>
      <c r="K300" s="116"/>
      <c r="L300" s="117" t="str">
        <f>IF(tbl_Actual_costs_quantities34[[#This Row],[House Code]]&lt;&gt;"",tbl_Actual_costs_quantities34[[#This Row],[Total cost]]/INDEX(tbl_estimated_costs_quantities[],MATCH(tbl_Actual_costs_quantities34[[#This Row],[House Code]],tbl_estimated_costs_quantities[House Code],0),7),"")</f>
        <v/>
      </c>
      <c r="M30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0" s="75"/>
      <c r="O300" s="37"/>
      <c r="P300" s="86">
        <f>tbl_Actual_costs_quantities34[[#This Row],[Site Preparation]]*BOQs!$L$3</f>
        <v>0</v>
      </c>
      <c r="Q300" s="76"/>
      <c r="R300" s="37"/>
      <c r="S300" s="86">
        <f>tbl_Actual_costs_quantities34[[#This Row],[Demolition Removal Unsafe Structures]]*BOQs!$L$4</f>
        <v>0</v>
      </c>
      <c r="T300" s="76"/>
      <c r="U300" s="37"/>
      <c r="V300" s="86">
        <f>tbl_Actual_costs_quantities34[[#This Row],[Concrete Works]]*BOQs!$L$5</f>
        <v>0</v>
      </c>
      <c r="W300" s="76"/>
      <c r="X300" s="37"/>
      <c r="Y300" s="86">
        <f>tbl_Actual_costs_quantities34[[#This Row],[Closure External Openings Walls Windows]]*BOQs!$L$6</f>
        <v>0</v>
      </c>
      <c r="Z300" s="76"/>
      <c r="AA300" s="37"/>
      <c r="AB300" s="86">
        <f>tbl_Actual_costs_quantities34[[#This Row],[Plastering Painting]]*BOQs!$L$7</f>
        <v>0</v>
      </c>
      <c r="AC300" s="76"/>
      <c r="AD300" s="37"/>
      <c r="AE300" s="86">
        <f>tbl_Actual_costs_quantities34[[#This Row],[Floor Repairs]]*BOQs!$L$8</f>
        <v>0</v>
      </c>
      <c r="AF300" s="76"/>
      <c r="AG300" s="37"/>
      <c r="AH300" s="86">
        <f>tbl_Actual_costs_quantities34[[#This Row],[Doors Replacement Repair]]*BOQs!$L$9</f>
        <v>0</v>
      </c>
      <c r="AI300" s="76"/>
      <c r="AJ300" s="37"/>
      <c r="AK300" s="86">
        <f>tbl_Actual_costs_quantities34[[#This Row],[Windows Replacement Repair]]*BOQs!$L$10</f>
        <v>0</v>
      </c>
      <c r="AL300" s="76"/>
      <c r="AM300" s="37"/>
      <c r="AN300" s="86">
        <f>tbl_Actual_costs_quantities34[[#This Row],[Bathroom Rehabilitation]]*BOQs!$L$11</f>
        <v>0</v>
      </c>
      <c r="AO300" s="76"/>
      <c r="AP300" s="37"/>
      <c r="AQ300" s="86">
        <f>tbl_Actual_costs_quantities34[[#This Row],[Ceramic Tile Works WASH]]*BOQs!$L$12</f>
        <v>0</v>
      </c>
      <c r="AR300" s="76"/>
      <c r="AS300" s="37"/>
      <c r="AT300" s="86">
        <f>tbl_Actual_costs_quantities34[[#This Row],[Electrical Repairs Lighting]]*BOQs!$L$13</f>
        <v>0</v>
      </c>
      <c r="AU300" s="76"/>
      <c r="AV300" s="37"/>
      <c r="AW300" s="86">
        <f>tbl_Actual_costs_quantities34[[#This Row],[Roof Insulation Leak Sealing]]*BOQs!$L$14</f>
        <v>0</v>
      </c>
      <c r="AX300" s="76"/>
      <c r="AY300" s="37"/>
      <c r="AZ300" s="86">
        <f>tbl_Actual_costs_quantities34[[#This Row],[Chimney Duct Cleaning Repair]]*BOQs!$L$15</f>
        <v>0</v>
      </c>
      <c r="BA300" s="76"/>
      <c r="BB300" s="37"/>
      <c r="BC300" s="89">
        <f>tbl_Actual_costs_quantities34[[#This Row],[Accessibility Adaptations]]*BOQs!$L$16</f>
        <v>0</v>
      </c>
      <c r="BD300" s="41"/>
      <c r="BE300" s="37"/>
      <c r="BF300" s="37"/>
    </row>
    <row r="301" spans="2:58" ht="25.15" customHeight="1" x14ac:dyDescent="0.25">
      <c r="B301" s="49">
        <v>297</v>
      </c>
      <c r="C301" s="37"/>
      <c r="D301" s="41"/>
      <c r="E301" s="40"/>
      <c r="F301" s="87" t="str">
        <f>IF(tbl_Actual_costs_quantities34[[#This Row],[House Code]]&lt;&gt;"",INDEX(tbl_Assessment[],MATCH(tbl_Actual_costs_quantities34[[#This Row],[House Code]],tbl_Assessment[House Code],0),3),"")</f>
        <v/>
      </c>
      <c r="G301" s="116" t="str">
        <f>IF(tbl_Actual_costs_quantities34[[#This Row],[House Code]]&lt;&gt;"",INDEX(tbl_Assessment[],MATCH(tbl_Actual_costs_quantities34[[#This Row],[House Code]],tbl_Assessment[House Code],0),9),"")</f>
        <v/>
      </c>
      <c r="H301" s="41"/>
      <c r="I301" s="41"/>
      <c r="J301" s="41"/>
      <c r="K301" s="116"/>
      <c r="L301" s="117" t="str">
        <f>IF(tbl_Actual_costs_quantities34[[#This Row],[House Code]]&lt;&gt;"",tbl_Actual_costs_quantities34[[#This Row],[Total cost]]/INDEX(tbl_estimated_costs_quantities[],MATCH(tbl_Actual_costs_quantities34[[#This Row],[House Code]],tbl_estimated_costs_quantities[House Code],0),7),"")</f>
        <v/>
      </c>
      <c r="M30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1" s="75"/>
      <c r="O301" s="37"/>
      <c r="P301" s="86">
        <f>tbl_Actual_costs_quantities34[[#This Row],[Site Preparation]]*BOQs!$L$3</f>
        <v>0</v>
      </c>
      <c r="Q301" s="76"/>
      <c r="R301" s="37"/>
      <c r="S301" s="86">
        <f>tbl_Actual_costs_quantities34[[#This Row],[Demolition Removal Unsafe Structures]]*BOQs!$L$4</f>
        <v>0</v>
      </c>
      <c r="T301" s="76"/>
      <c r="U301" s="37"/>
      <c r="V301" s="86">
        <f>tbl_Actual_costs_quantities34[[#This Row],[Concrete Works]]*BOQs!$L$5</f>
        <v>0</v>
      </c>
      <c r="W301" s="76"/>
      <c r="X301" s="37"/>
      <c r="Y301" s="86">
        <f>tbl_Actual_costs_quantities34[[#This Row],[Closure External Openings Walls Windows]]*BOQs!$L$6</f>
        <v>0</v>
      </c>
      <c r="Z301" s="76"/>
      <c r="AA301" s="37"/>
      <c r="AB301" s="86">
        <f>tbl_Actual_costs_quantities34[[#This Row],[Plastering Painting]]*BOQs!$L$7</f>
        <v>0</v>
      </c>
      <c r="AC301" s="76"/>
      <c r="AD301" s="37"/>
      <c r="AE301" s="86">
        <f>tbl_Actual_costs_quantities34[[#This Row],[Floor Repairs]]*BOQs!$L$8</f>
        <v>0</v>
      </c>
      <c r="AF301" s="76"/>
      <c r="AG301" s="37"/>
      <c r="AH301" s="86">
        <f>tbl_Actual_costs_quantities34[[#This Row],[Doors Replacement Repair]]*BOQs!$L$9</f>
        <v>0</v>
      </c>
      <c r="AI301" s="76"/>
      <c r="AJ301" s="37"/>
      <c r="AK301" s="86">
        <f>tbl_Actual_costs_quantities34[[#This Row],[Windows Replacement Repair]]*BOQs!$L$10</f>
        <v>0</v>
      </c>
      <c r="AL301" s="76"/>
      <c r="AM301" s="37"/>
      <c r="AN301" s="86">
        <f>tbl_Actual_costs_quantities34[[#This Row],[Bathroom Rehabilitation]]*BOQs!$L$11</f>
        <v>0</v>
      </c>
      <c r="AO301" s="76"/>
      <c r="AP301" s="37"/>
      <c r="AQ301" s="86">
        <f>tbl_Actual_costs_quantities34[[#This Row],[Ceramic Tile Works WASH]]*BOQs!$L$12</f>
        <v>0</v>
      </c>
      <c r="AR301" s="76"/>
      <c r="AS301" s="37"/>
      <c r="AT301" s="86">
        <f>tbl_Actual_costs_quantities34[[#This Row],[Electrical Repairs Lighting]]*BOQs!$L$13</f>
        <v>0</v>
      </c>
      <c r="AU301" s="76"/>
      <c r="AV301" s="37"/>
      <c r="AW301" s="86">
        <f>tbl_Actual_costs_quantities34[[#This Row],[Roof Insulation Leak Sealing]]*BOQs!$L$14</f>
        <v>0</v>
      </c>
      <c r="AX301" s="76"/>
      <c r="AY301" s="37"/>
      <c r="AZ301" s="86">
        <f>tbl_Actual_costs_quantities34[[#This Row],[Chimney Duct Cleaning Repair]]*BOQs!$L$15</f>
        <v>0</v>
      </c>
      <c r="BA301" s="76"/>
      <c r="BB301" s="37"/>
      <c r="BC301" s="89">
        <f>tbl_Actual_costs_quantities34[[#This Row],[Accessibility Adaptations]]*BOQs!$L$16</f>
        <v>0</v>
      </c>
      <c r="BD301" s="41"/>
      <c r="BE301" s="37"/>
      <c r="BF301" s="37"/>
    </row>
    <row r="302" spans="2:58" ht="25.15" customHeight="1" x14ac:dyDescent="0.25">
      <c r="B302" s="49">
        <v>298</v>
      </c>
      <c r="C302" s="37"/>
      <c r="D302" s="41"/>
      <c r="E302" s="40"/>
      <c r="F302" s="87" t="str">
        <f>IF(tbl_Actual_costs_quantities34[[#This Row],[House Code]]&lt;&gt;"",INDEX(tbl_Assessment[],MATCH(tbl_Actual_costs_quantities34[[#This Row],[House Code]],tbl_Assessment[House Code],0),3),"")</f>
        <v/>
      </c>
      <c r="G302" s="116" t="str">
        <f>IF(tbl_Actual_costs_quantities34[[#This Row],[House Code]]&lt;&gt;"",INDEX(tbl_Assessment[],MATCH(tbl_Actual_costs_quantities34[[#This Row],[House Code]],tbl_Assessment[House Code],0),9),"")</f>
        <v/>
      </c>
      <c r="H302" s="41"/>
      <c r="I302" s="41"/>
      <c r="J302" s="41"/>
      <c r="K302" s="116"/>
      <c r="L302" s="117" t="str">
        <f>IF(tbl_Actual_costs_quantities34[[#This Row],[House Code]]&lt;&gt;"",tbl_Actual_costs_quantities34[[#This Row],[Total cost]]/INDEX(tbl_estimated_costs_quantities[],MATCH(tbl_Actual_costs_quantities34[[#This Row],[House Code]],tbl_estimated_costs_quantities[House Code],0),7),"")</f>
        <v/>
      </c>
      <c r="M30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2" s="75"/>
      <c r="O302" s="37"/>
      <c r="P302" s="86">
        <f>tbl_Actual_costs_quantities34[[#This Row],[Site Preparation]]*BOQs!$L$3</f>
        <v>0</v>
      </c>
      <c r="Q302" s="76"/>
      <c r="R302" s="37"/>
      <c r="S302" s="86">
        <f>tbl_Actual_costs_quantities34[[#This Row],[Demolition Removal Unsafe Structures]]*BOQs!$L$4</f>
        <v>0</v>
      </c>
      <c r="T302" s="76"/>
      <c r="U302" s="37"/>
      <c r="V302" s="86">
        <f>tbl_Actual_costs_quantities34[[#This Row],[Concrete Works]]*BOQs!$L$5</f>
        <v>0</v>
      </c>
      <c r="W302" s="76"/>
      <c r="X302" s="37"/>
      <c r="Y302" s="86">
        <f>tbl_Actual_costs_quantities34[[#This Row],[Closure External Openings Walls Windows]]*BOQs!$L$6</f>
        <v>0</v>
      </c>
      <c r="Z302" s="76"/>
      <c r="AA302" s="37"/>
      <c r="AB302" s="86">
        <f>tbl_Actual_costs_quantities34[[#This Row],[Plastering Painting]]*BOQs!$L$7</f>
        <v>0</v>
      </c>
      <c r="AC302" s="76"/>
      <c r="AD302" s="37"/>
      <c r="AE302" s="86">
        <f>tbl_Actual_costs_quantities34[[#This Row],[Floor Repairs]]*BOQs!$L$8</f>
        <v>0</v>
      </c>
      <c r="AF302" s="76"/>
      <c r="AG302" s="37"/>
      <c r="AH302" s="86">
        <f>tbl_Actual_costs_quantities34[[#This Row],[Doors Replacement Repair]]*BOQs!$L$9</f>
        <v>0</v>
      </c>
      <c r="AI302" s="76"/>
      <c r="AJ302" s="37"/>
      <c r="AK302" s="86">
        <f>tbl_Actual_costs_quantities34[[#This Row],[Windows Replacement Repair]]*BOQs!$L$10</f>
        <v>0</v>
      </c>
      <c r="AL302" s="76"/>
      <c r="AM302" s="37"/>
      <c r="AN302" s="86">
        <f>tbl_Actual_costs_quantities34[[#This Row],[Bathroom Rehabilitation]]*BOQs!$L$11</f>
        <v>0</v>
      </c>
      <c r="AO302" s="76"/>
      <c r="AP302" s="37"/>
      <c r="AQ302" s="86">
        <f>tbl_Actual_costs_quantities34[[#This Row],[Ceramic Tile Works WASH]]*BOQs!$L$12</f>
        <v>0</v>
      </c>
      <c r="AR302" s="76"/>
      <c r="AS302" s="37"/>
      <c r="AT302" s="86">
        <f>tbl_Actual_costs_quantities34[[#This Row],[Electrical Repairs Lighting]]*BOQs!$L$13</f>
        <v>0</v>
      </c>
      <c r="AU302" s="76"/>
      <c r="AV302" s="37"/>
      <c r="AW302" s="86">
        <f>tbl_Actual_costs_quantities34[[#This Row],[Roof Insulation Leak Sealing]]*BOQs!$L$14</f>
        <v>0</v>
      </c>
      <c r="AX302" s="76"/>
      <c r="AY302" s="37"/>
      <c r="AZ302" s="86">
        <f>tbl_Actual_costs_quantities34[[#This Row],[Chimney Duct Cleaning Repair]]*BOQs!$L$15</f>
        <v>0</v>
      </c>
      <c r="BA302" s="76"/>
      <c r="BB302" s="37"/>
      <c r="BC302" s="89">
        <f>tbl_Actual_costs_quantities34[[#This Row],[Accessibility Adaptations]]*BOQs!$L$16</f>
        <v>0</v>
      </c>
      <c r="BD302" s="41"/>
      <c r="BE302" s="37"/>
      <c r="BF302" s="37"/>
    </row>
    <row r="303" spans="2:58" ht="25.15" customHeight="1" x14ac:dyDescent="0.25">
      <c r="B303" s="49">
        <v>299</v>
      </c>
      <c r="C303" s="37"/>
      <c r="D303" s="41"/>
      <c r="E303" s="40"/>
      <c r="F303" s="87" t="str">
        <f>IF(tbl_Actual_costs_quantities34[[#This Row],[House Code]]&lt;&gt;"",INDEX(tbl_Assessment[],MATCH(tbl_Actual_costs_quantities34[[#This Row],[House Code]],tbl_Assessment[House Code],0),3),"")</f>
        <v/>
      </c>
      <c r="G303" s="116" t="str">
        <f>IF(tbl_Actual_costs_quantities34[[#This Row],[House Code]]&lt;&gt;"",INDEX(tbl_Assessment[],MATCH(tbl_Actual_costs_quantities34[[#This Row],[House Code]],tbl_Assessment[House Code],0),9),"")</f>
        <v/>
      </c>
      <c r="H303" s="41"/>
      <c r="I303" s="41"/>
      <c r="J303" s="41"/>
      <c r="K303" s="116"/>
      <c r="L303" s="117" t="str">
        <f>IF(tbl_Actual_costs_quantities34[[#This Row],[House Code]]&lt;&gt;"",tbl_Actual_costs_quantities34[[#This Row],[Total cost]]/INDEX(tbl_estimated_costs_quantities[],MATCH(tbl_Actual_costs_quantities34[[#This Row],[House Code]],tbl_estimated_costs_quantities[House Code],0),7),"")</f>
        <v/>
      </c>
      <c r="M30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3" s="75"/>
      <c r="O303" s="37"/>
      <c r="P303" s="86">
        <f>tbl_Actual_costs_quantities34[[#This Row],[Site Preparation]]*BOQs!$L$3</f>
        <v>0</v>
      </c>
      <c r="Q303" s="76"/>
      <c r="R303" s="37"/>
      <c r="S303" s="86">
        <f>tbl_Actual_costs_quantities34[[#This Row],[Demolition Removal Unsafe Structures]]*BOQs!$L$4</f>
        <v>0</v>
      </c>
      <c r="T303" s="76"/>
      <c r="U303" s="37"/>
      <c r="V303" s="86">
        <f>tbl_Actual_costs_quantities34[[#This Row],[Concrete Works]]*BOQs!$L$5</f>
        <v>0</v>
      </c>
      <c r="W303" s="76"/>
      <c r="X303" s="37"/>
      <c r="Y303" s="86">
        <f>tbl_Actual_costs_quantities34[[#This Row],[Closure External Openings Walls Windows]]*BOQs!$L$6</f>
        <v>0</v>
      </c>
      <c r="Z303" s="76"/>
      <c r="AA303" s="37"/>
      <c r="AB303" s="86">
        <f>tbl_Actual_costs_quantities34[[#This Row],[Plastering Painting]]*BOQs!$L$7</f>
        <v>0</v>
      </c>
      <c r="AC303" s="76"/>
      <c r="AD303" s="37"/>
      <c r="AE303" s="86">
        <f>tbl_Actual_costs_quantities34[[#This Row],[Floor Repairs]]*BOQs!$L$8</f>
        <v>0</v>
      </c>
      <c r="AF303" s="76"/>
      <c r="AG303" s="37"/>
      <c r="AH303" s="86">
        <f>tbl_Actual_costs_quantities34[[#This Row],[Doors Replacement Repair]]*BOQs!$L$9</f>
        <v>0</v>
      </c>
      <c r="AI303" s="76"/>
      <c r="AJ303" s="37"/>
      <c r="AK303" s="86">
        <f>tbl_Actual_costs_quantities34[[#This Row],[Windows Replacement Repair]]*BOQs!$L$10</f>
        <v>0</v>
      </c>
      <c r="AL303" s="76"/>
      <c r="AM303" s="37"/>
      <c r="AN303" s="86">
        <f>tbl_Actual_costs_quantities34[[#This Row],[Bathroom Rehabilitation]]*BOQs!$L$11</f>
        <v>0</v>
      </c>
      <c r="AO303" s="76"/>
      <c r="AP303" s="37"/>
      <c r="AQ303" s="86">
        <f>tbl_Actual_costs_quantities34[[#This Row],[Ceramic Tile Works WASH]]*BOQs!$L$12</f>
        <v>0</v>
      </c>
      <c r="AR303" s="76"/>
      <c r="AS303" s="37"/>
      <c r="AT303" s="86">
        <f>tbl_Actual_costs_quantities34[[#This Row],[Electrical Repairs Lighting]]*BOQs!$L$13</f>
        <v>0</v>
      </c>
      <c r="AU303" s="76"/>
      <c r="AV303" s="37"/>
      <c r="AW303" s="86">
        <f>tbl_Actual_costs_quantities34[[#This Row],[Roof Insulation Leak Sealing]]*BOQs!$L$14</f>
        <v>0</v>
      </c>
      <c r="AX303" s="76"/>
      <c r="AY303" s="37"/>
      <c r="AZ303" s="86">
        <f>tbl_Actual_costs_quantities34[[#This Row],[Chimney Duct Cleaning Repair]]*BOQs!$L$15</f>
        <v>0</v>
      </c>
      <c r="BA303" s="76"/>
      <c r="BB303" s="37"/>
      <c r="BC303" s="89">
        <f>tbl_Actual_costs_quantities34[[#This Row],[Accessibility Adaptations]]*BOQs!$L$16</f>
        <v>0</v>
      </c>
      <c r="BD303" s="41"/>
      <c r="BE303" s="37"/>
      <c r="BF303" s="37"/>
    </row>
    <row r="304" spans="2:58" ht="25.15" customHeight="1" x14ac:dyDescent="0.25">
      <c r="B304" s="49">
        <v>300</v>
      </c>
      <c r="C304" s="37"/>
      <c r="D304" s="41"/>
      <c r="E304" s="40"/>
      <c r="F304" s="87" t="str">
        <f>IF(tbl_Actual_costs_quantities34[[#This Row],[House Code]]&lt;&gt;"",INDEX(tbl_Assessment[],MATCH(tbl_Actual_costs_quantities34[[#This Row],[House Code]],tbl_Assessment[House Code],0),3),"")</f>
        <v/>
      </c>
      <c r="G304" s="116" t="str">
        <f>IF(tbl_Actual_costs_quantities34[[#This Row],[House Code]]&lt;&gt;"",INDEX(tbl_Assessment[],MATCH(tbl_Actual_costs_quantities34[[#This Row],[House Code]],tbl_Assessment[House Code],0),9),"")</f>
        <v/>
      </c>
      <c r="H304" s="41"/>
      <c r="I304" s="41"/>
      <c r="J304" s="41"/>
      <c r="K304" s="116"/>
      <c r="L304" s="117" t="str">
        <f>IF(tbl_Actual_costs_quantities34[[#This Row],[House Code]]&lt;&gt;"",tbl_Actual_costs_quantities34[[#This Row],[Total cost]]/INDEX(tbl_estimated_costs_quantities[],MATCH(tbl_Actual_costs_quantities34[[#This Row],[House Code]],tbl_estimated_costs_quantities[House Code],0),7),"")</f>
        <v/>
      </c>
      <c r="M30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4" s="75"/>
      <c r="O304" s="37"/>
      <c r="P304" s="86">
        <f>tbl_Actual_costs_quantities34[[#This Row],[Site Preparation]]*BOQs!$L$3</f>
        <v>0</v>
      </c>
      <c r="Q304" s="76"/>
      <c r="R304" s="37"/>
      <c r="S304" s="86">
        <f>tbl_Actual_costs_quantities34[[#This Row],[Demolition Removal Unsafe Structures]]*BOQs!$L$4</f>
        <v>0</v>
      </c>
      <c r="T304" s="76"/>
      <c r="U304" s="37"/>
      <c r="V304" s="86">
        <f>tbl_Actual_costs_quantities34[[#This Row],[Concrete Works]]*BOQs!$L$5</f>
        <v>0</v>
      </c>
      <c r="W304" s="76"/>
      <c r="X304" s="37"/>
      <c r="Y304" s="86">
        <f>tbl_Actual_costs_quantities34[[#This Row],[Closure External Openings Walls Windows]]*BOQs!$L$6</f>
        <v>0</v>
      </c>
      <c r="Z304" s="76"/>
      <c r="AA304" s="37"/>
      <c r="AB304" s="86">
        <f>tbl_Actual_costs_quantities34[[#This Row],[Plastering Painting]]*BOQs!$L$7</f>
        <v>0</v>
      </c>
      <c r="AC304" s="76"/>
      <c r="AD304" s="37"/>
      <c r="AE304" s="86">
        <f>tbl_Actual_costs_quantities34[[#This Row],[Floor Repairs]]*BOQs!$L$8</f>
        <v>0</v>
      </c>
      <c r="AF304" s="76"/>
      <c r="AG304" s="37"/>
      <c r="AH304" s="86">
        <f>tbl_Actual_costs_quantities34[[#This Row],[Doors Replacement Repair]]*BOQs!$L$9</f>
        <v>0</v>
      </c>
      <c r="AI304" s="76"/>
      <c r="AJ304" s="37"/>
      <c r="AK304" s="86">
        <f>tbl_Actual_costs_quantities34[[#This Row],[Windows Replacement Repair]]*BOQs!$L$10</f>
        <v>0</v>
      </c>
      <c r="AL304" s="76"/>
      <c r="AM304" s="37"/>
      <c r="AN304" s="86">
        <f>tbl_Actual_costs_quantities34[[#This Row],[Bathroom Rehabilitation]]*BOQs!$L$11</f>
        <v>0</v>
      </c>
      <c r="AO304" s="76"/>
      <c r="AP304" s="37"/>
      <c r="AQ304" s="86">
        <f>tbl_Actual_costs_quantities34[[#This Row],[Ceramic Tile Works WASH]]*BOQs!$L$12</f>
        <v>0</v>
      </c>
      <c r="AR304" s="76"/>
      <c r="AS304" s="37"/>
      <c r="AT304" s="86">
        <f>tbl_Actual_costs_quantities34[[#This Row],[Electrical Repairs Lighting]]*BOQs!$L$13</f>
        <v>0</v>
      </c>
      <c r="AU304" s="76"/>
      <c r="AV304" s="37"/>
      <c r="AW304" s="86">
        <f>tbl_Actual_costs_quantities34[[#This Row],[Roof Insulation Leak Sealing]]*BOQs!$L$14</f>
        <v>0</v>
      </c>
      <c r="AX304" s="76"/>
      <c r="AY304" s="37"/>
      <c r="AZ304" s="86">
        <f>tbl_Actual_costs_quantities34[[#This Row],[Chimney Duct Cleaning Repair]]*BOQs!$L$15</f>
        <v>0</v>
      </c>
      <c r="BA304" s="76"/>
      <c r="BB304" s="37"/>
      <c r="BC304" s="89">
        <f>tbl_Actual_costs_quantities34[[#This Row],[Accessibility Adaptations]]*BOQs!$L$16</f>
        <v>0</v>
      </c>
      <c r="BD304" s="41"/>
      <c r="BE304" s="37"/>
      <c r="BF304" s="37"/>
    </row>
    <row r="305" spans="2:58" ht="25.15" customHeight="1" x14ac:dyDescent="0.25">
      <c r="B305" s="49">
        <v>301</v>
      </c>
      <c r="C305" s="37"/>
      <c r="D305" s="41"/>
      <c r="E305" s="40"/>
      <c r="F305" s="87" t="str">
        <f>IF(tbl_Actual_costs_quantities34[[#This Row],[House Code]]&lt;&gt;"",INDEX(tbl_Assessment[],MATCH(tbl_Actual_costs_quantities34[[#This Row],[House Code]],tbl_Assessment[House Code],0),3),"")</f>
        <v/>
      </c>
      <c r="G305" s="116" t="str">
        <f>IF(tbl_Actual_costs_quantities34[[#This Row],[House Code]]&lt;&gt;"",INDEX(tbl_Assessment[],MATCH(tbl_Actual_costs_quantities34[[#This Row],[House Code]],tbl_Assessment[House Code],0),9),"")</f>
        <v/>
      </c>
      <c r="H305" s="41"/>
      <c r="I305" s="41"/>
      <c r="J305" s="41"/>
      <c r="K305" s="116"/>
      <c r="L305" s="117" t="str">
        <f>IF(tbl_Actual_costs_quantities34[[#This Row],[House Code]]&lt;&gt;"",tbl_Actual_costs_quantities34[[#This Row],[Total cost]]/INDEX(tbl_estimated_costs_quantities[],MATCH(tbl_Actual_costs_quantities34[[#This Row],[House Code]],tbl_estimated_costs_quantities[House Code],0),7),"")</f>
        <v/>
      </c>
      <c r="M30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5" s="75"/>
      <c r="O305" s="37"/>
      <c r="P305" s="86">
        <f>tbl_Actual_costs_quantities34[[#This Row],[Site Preparation]]*BOQs!$L$3</f>
        <v>0</v>
      </c>
      <c r="Q305" s="76"/>
      <c r="R305" s="37"/>
      <c r="S305" s="86">
        <f>tbl_Actual_costs_quantities34[[#This Row],[Demolition Removal Unsafe Structures]]*BOQs!$L$4</f>
        <v>0</v>
      </c>
      <c r="T305" s="76"/>
      <c r="U305" s="37"/>
      <c r="V305" s="86">
        <f>tbl_Actual_costs_quantities34[[#This Row],[Concrete Works]]*BOQs!$L$5</f>
        <v>0</v>
      </c>
      <c r="W305" s="76"/>
      <c r="X305" s="37"/>
      <c r="Y305" s="86">
        <f>tbl_Actual_costs_quantities34[[#This Row],[Closure External Openings Walls Windows]]*BOQs!$L$6</f>
        <v>0</v>
      </c>
      <c r="Z305" s="76"/>
      <c r="AA305" s="37"/>
      <c r="AB305" s="86">
        <f>tbl_Actual_costs_quantities34[[#This Row],[Plastering Painting]]*BOQs!$L$7</f>
        <v>0</v>
      </c>
      <c r="AC305" s="76"/>
      <c r="AD305" s="37"/>
      <c r="AE305" s="86">
        <f>tbl_Actual_costs_quantities34[[#This Row],[Floor Repairs]]*BOQs!$L$8</f>
        <v>0</v>
      </c>
      <c r="AF305" s="76"/>
      <c r="AG305" s="37"/>
      <c r="AH305" s="86">
        <f>tbl_Actual_costs_quantities34[[#This Row],[Doors Replacement Repair]]*BOQs!$L$9</f>
        <v>0</v>
      </c>
      <c r="AI305" s="76"/>
      <c r="AJ305" s="37"/>
      <c r="AK305" s="86">
        <f>tbl_Actual_costs_quantities34[[#This Row],[Windows Replacement Repair]]*BOQs!$L$10</f>
        <v>0</v>
      </c>
      <c r="AL305" s="76"/>
      <c r="AM305" s="37"/>
      <c r="AN305" s="86">
        <f>tbl_Actual_costs_quantities34[[#This Row],[Bathroom Rehabilitation]]*BOQs!$L$11</f>
        <v>0</v>
      </c>
      <c r="AO305" s="76"/>
      <c r="AP305" s="37"/>
      <c r="AQ305" s="86">
        <f>tbl_Actual_costs_quantities34[[#This Row],[Ceramic Tile Works WASH]]*BOQs!$L$12</f>
        <v>0</v>
      </c>
      <c r="AR305" s="76"/>
      <c r="AS305" s="37"/>
      <c r="AT305" s="86">
        <f>tbl_Actual_costs_quantities34[[#This Row],[Electrical Repairs Lighting]]*BOQs!$L$13</f>
        <v>0</v>
      </c>
      <c r="AU305" s="76"/>
      <c r="AV305" s="37"/>
      <c r="AW305" s="86">
        <f>tbl_Actual_costs_quantities34[[#This Row],[Roof Insulation Leak Sealing]]*BOQs!$L$14</f>
        <v>0</v>
      </c>
      <c r="AX305" s="76"/>
      <c r="AY305" s="37"/>
      <c r="AZ305" s="86">
        <f>tbl_Actual_costs_quantities34[[#This Row],[Chimney Duct Cleaning Repair]]*BOQs!$L$15</f>
        <v>0</v>
      </c>
      <c r="BA305" s="76"/>
      <c r="BB305" s="37"/>
      <c r="BC305" s="89">
        <f>tbl_Actual_costs_quantities34[[#This Row],[Accessibility Adaptations]]*BOQs!$L$16</f>
        <v>0</v>
      </c>
      <c r="BD305" s="41"/>
      <c r="BE305" s="37"/>
      <c r="BF305" s="37"/>
    </row>
    <row r="306" spans="2:58" ht="25.15" customHeight="1" x14ac:dyDescent="0.25">
      <c r="B306" s="49">
        <v>302</v>
      </c>
      <c r="C306" s="37"/>
      <c r="D306" s="41"/>
      <c r="E306" s="40"/>
      <c r="F306" s="87" t="str">
        <f>IF(tbl_Actual_costs_quantities34[[#This Row],[House Code]]&lt;&gt;"",INDEX(tbl_Assessment[],MATCH(tbl_Actual_costs_quantities34[[#This Row],[House Code]],tbl_Assessment[House Code],0),3),"")</f>
        <v/>
      </c>
      <c r="G306" s="116" t="str">
        <f>IF(tbl_Actual_costs_quantities34[[#This Row],[House Code]]&lt;&gt;"",INDEX(tbl_Assessment[],MATCH(tbl_Actual_costs_quantities34[[#This Row],[House Code]],tbl_Assessment[House Code],0),9),"")</f>
        <v/>
      </c>
      <c r="H306" s="41"/>
      <c r="I306" s="41"/>
      <c r="J306" s="41"/>
      <c r="K306" s="116"/>
      <c r="L306" s="117" t="str">
        <f>IF(tbl_Actual_costs_quantities34[[#This Row],[House Code]]&lt;&gt;"",tbl_Actual_costs_quantities34[[#This Row],[Total cost]]/INDEX(tbl_estimated_costs_quantities[],MATCH(tbl_Actual_costs_quantities34[[#This Row],[House Code]],tbl_estimated_costs_quantities[House Code],0),7),"")</f>
        <v/>
      </c>
      <c r="M30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6" s="75"/>
      <c r="O306" s="37"/>
      <c r="P306" s="86">
        <f>tbl_Actual_costs_quantities34[[#This Row],[Site Preparation]]*BOQs!$L$3</f>
        <v>0</v>
      </c>
      <c r="Q306" s="76"/>
      <c r="R306" s="37"/>
      <c r="S306" s="86">
        <f>tbl_Actual_costs_quantities34[[#This Row],[Demolition Removal Unsafe Structures]]*BOQs!$L$4</f>
        <v>0</v>
      </c>
      <c r="T306" s="76"/>
      <c r="U306" s="37"/>
      <c r="V306" s="86">
        <f>tbl_Actual_costs_quantities34[[#This Row],[Concrete Works]]*BOQs!$L$5</f>
        <v>0</v>
      </c>
      <c r="W306" s="76"/>
      <c r="X306" s="37"/>
      <c r="Y306" s="86">
        <f>tbl_Actual_costs_quantities34[[#This Row],[Closure External Openings Walls Windows]]*BOQs!$L$6</f>
        <v>0</v>
      </c>
      <c r="Z306" s="76"/>
      <c r="AA306" s="37"/>
      <c r="AB306" s="86">
        <f>tbl_Actual_costs_quantities34[[#This Row],[Plastering Painting]]*BOQs!$L$7</f>
        <v>0</v>
      </c>
      <c r="AC306" s="76"/>
      <c r="AD306" s="37"/>
      <c r="AE306" s="86">
        <f>tbl_Actual_costs_quantities34[[#This Row],[Floor Repairs]]*BOQs!$L$8</f>
        <v>0</v>
      </c>
      <c r="AF306" s="76"/>
      <c r="AG306" s="37"/>
      <c r="AH306" s="86">
        <f>tbl_Actual_costs_quantities34[[#This Row],[Doors Replacement Repair]]*BOQs!$L$9</f>
        <v>0</v>
      </c>
      <c r="AI306" s="76"/>
      <c r="AJ306" s="37"/>
      <c r="AK306" s="86">
        <f>tbl_Actual_costs_quantities34[[#This Row],[Windows Replacement Repair]]*BOQs!$L$10</f>
        <v>0</v>
      </c>
      <c r="AL306" s="76"/>
      <c r="AM306" s="37"/>
      <c r="AN306" s="86">
        <f>tbl_Actual_costs_quantities34[[#This Row],[Bathroom Rehabilitation]]*BOQs!$L$11</f>
        <v>0</v>
      </c>
      <c r="AO306" s="76"/>
      <c r="AP306" s="37"/>
      <c r="AQ306" s="86">
        <f>tbl_Actual_costs_quantities34[[#This Row],[Ceramic Tile Works WASH]]*BOQs!$L$12</f>
        <v>0</v>
      </c>
      <c r="AR306" s="76"/>
      <c r="AS306" s="37"/>
      <c r="AT306" s="86">
        <f>tbl_Actual_costs_quantities34[[#This Row],[Electrical Repairs Lighting]]*BOQs!$L$13</f>
        <v>0</v>
      </c>
      <c r="AU306" s="76"/>
      <c r="AV306" s="37"/>
      <c r="AW306" s="86">
        <f>tbl_Actual_costs_quantities34[[#This Row],[Roof Insulation Leak Sealing]]*BOQs!$L$14</f>
        <v>0</v>
      </c>
      <c r="AX306" s="76"/>
      <c r="AY306" s="37"/>
      <c r="AZ306" s="86">
        <f>tbl_Actual_costs_quantities34[[#This Row],[Chimney Duct Cleaning Repair]]*BOQs!$L$15</f>
        <v>0</v>
      </c>
      <c r="BA306" s="76"/>
      <c r="BB306" s="37"/>
      <c r="BC306" s="89">
        <f>tbl_Actual_costs_quantities34[[#This Row],[Accessibility Adaptations]]*BOQs!$L$16</f>
        <v>0</v>
      </c>
      <c r="BD306" s="41"/>
      <c r="BE306" s="37"/>
      <c r="BF306" s="37"/>
    </row>
    <row r="307" spans="2:58" ht="25.15" customHeight="1" x14ac:dyDescent="0.25">
      <c r="B307" s="49">
        <v>303</v>
      </c>
      <c r="C307" s="37"/>
      <c r="D307" s="41"/>
      <c r="E307" s="40"/>
      <c r="F307" s="87" t="str">
        <f>IF(tbl_Actual_costs_quantities34[[#This Row],[House Code]]&lt;&gt;"",INDEX(tbl_Assessment[],MATCH(tbl_Actual_costs_quantities34[[#This Row],[House Code]],tbl_Assessment[House Code],0),3),"")</f>
        <v/>
      </c>
      <c r="G307" s="116" t="str">
        <f>IF(tbl_Actual_costs_quantities34[[#This Row],[House Code]]&lt;&gt;"",INDEX(tbl_Assessment[],MATCH(tbl_Actual_costs_quantities34[[#This Row],[House Code]],tbl_Assessment[House Code],0),9),"")</f>
        <v/>
      </c>
      <c r="H307" s="41"/>
      <c r="I307" s="41"/>
      <c r="J307" s="41"/>
      <c r="K307" s="116"/>
      <c r="L307" s="117" t="str">
        <f>IF(tbl_Actual_costs_quantities34[[#This Row],[House Code]]&lt;&gt;"",tbl_Actual_costs_quantities34[[#This Row],[Total cost]]/INDEX(tbl_estimated_costs_quantities[],MATCH(tbl_Actual_costs_quantities34[[#This Row],[House Code]],tbl_estimated_costs_quantities[House Code],0),7),"")</f>
        <v/>
      </c>
      <c r="M30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7" s="75"/>
      <c r="O307" s="37"/>
      <c r="P307" s="86">
        <f>tbl_Actual_costs_quantities34[[#This Row],[Site Preparation]]*BOQs!$L$3</f>
        <v>0</v>
      </c>
      <c r="Q307" s="76"/>
      <c r="R307" s="37"/>
      <c r="S307" s="86">
        <f>tbl_Actual_costs_quantities34[[#This Row],[Demolition Removal Unsafe Structures]]*BOQs!$L$4</f>
        <v>0</v>
      </c>
      <c r="T307" s="76"/>
      <c r="U307" s="37"/>
      <c r="V307" s="86">
        <f>tbl_Actual_costs_quantities34[[#This Row],[Concrete Works]]*BOQs!$L$5</f>
        <v>0</v>
      </c>
      <c r="W307" s="76"/>
      <c r="X307" s="37"/>
      <c r="Y307" s="86">
        <f>tbl_Actual_costs_quantities34[[#This Row],[Closure External Openings Walls Windows]]*BOQs!$L$6</f>
        <v>0</v>
      </c>
      <c r="Z307" s="76"/>
      <c r="AA307" s="37"/>
      <c r="AB307" s="86">
        <f>tbl_Actual_costs_quantities34[[#This Row],[Plastering Painting]]*BOQs!$L$7</f>
        <v>0</v>
      </c>
      <c r="AC307" s="76"/>
      <c r="AD307" s="37"/>
      <c r="AE307" s="86">
        <f>tbl_Actual_costs_quantities34[[#This Row],[Floor Repairs]]*BOQs!$L$8</f>
        <v>0</v>
      </c>
      <c r="AF307" s="76"/>
      <c r="AG307" s="37"/>
      <c r="AH307" s="86">
        <f>tbl_Actual_costs_quantities34[[#This Row],[Doors Replacement Repair]]*BOQs!$L$9</f>
        <v>0</v>
      </c>
      <c r="AI307" s="76"/>
      <c r="AJ307" s="37"/>
      <c r="AK307" s="86">
        <f>tbl_Actual_costs_quantities34[[#This Row],[Windows Replacement Repair]]*BOQs!$L$10</f>
        <v>0</v>
      </c>
      <c r="AL307" s="76"/>
      <c r="AM307" s="37"/>
      <c r="AN307" s="86">
        <f>tbl_Actual_costs_quantities34[[#This Row],[Bathroom Rehabilitation]]*BOQs!$L$11</f>
        <v>0</v>
      </c>
      <c r="AO307" s="76"/>
      <c r="AP307" s="37"/>
      <c r="AQ307" s="86">
        <f>tbl_Actual_costs_quantities34[[#This Row],[Ceramic Tile Works WASH]]*BOQs!$L$12</f>
        <v>0</v>
      </c>
      <c r="AR307" s="76"/>
      <c r="AS307" s="37"/>
      <c r="AT307" s="86">
        <f>tbl_Actual_costs_quantities34[[#This Row],[Electrical Repairs Lighting]]*BOQs!$L$13</f>
        <v>0</v>
      </c>
      <c r="AU307" s="76"/>
      <c r="AV307" s="37"/>
      <c r="AW307" s="86">
        <f>tbl_Actual_costs_quantities34[[#This Row],[Roof Insulation Leak Sealing]]*BOQs!$L$14</f>
        <v>0</v>
      </c>
      <c r="AX307" s="76"/>
      <c r="AY307" s="37"/>
      <c r="AZ307" s="86">
        <f>tbl_Actual_costs_quantities34[[#This Row],[Chimney Duct Cleaning Repair]]*BOQs!$L$15</f>
        <v>0</v>
      </c>
      <c r="BA307" s="76"/>
      <c r="BB307" s="37"/>
      <c r="BC307" s="89">
        <f>tbl_Actual_costs_quantities34[[#This Row],[Accessibility Adaptations]]*BOQs!$L$16</f>
        <v>0</v>
      </c>
      <c r="BD307" s="41"/>
      <c r="BE307" s="37"/>
      <c r="BF307" s="37"/>
    </row>
    <row r="308" spans="2:58" ht="25.15" customHeight="1" x14ac:dyDescent="0.25">
      <c r="B308" s="49">
        <v>304</v>
      </c>
      <c r="C308" s="37"/>
      <c r="D308" s="41"/>
      <c r="E308" s="40"/>
      <c r="F308" s="87" t="str">
        <f>IF(tbl_Actual_costs_quantities34[[#This Row],[House Code]]&lt;&gt;"",INDEX(tbl_Assessment[],MATCH(tbl_Actual_costs_quantities34[[#This Row],[House Code]],tbl_Assessment[House Code],0),3),"")</f>
        <v/>
      </c>
      <c r="G308" s="116" t="str">
        <f>IF(tbl_Actual_costs_quantities34[[#This Row],[House Code]]&lt;&gt;"",INDEX(tbl_Assessment[],MATCH(tbl_Actual_costs_quantities34[[#This Row],[House Code]],tbl_Assessment[House Code],0),9),"")</f>
        <v/>
      </c>
      <c r="H308" s="41"/>
      <c r="I308" s="41"/>
      <c r="J308" s="41"/>
      <c r="K308" s="116"/>
      <c r="L308" s="117" t="str">
        <f>IF(tbl_Actual_costs_quantities34[[#This Row],[House Code]]&lt;&gt;"",tbl_Actual_costs_quantities34[[#This Row],[Total cost]]/INDEX(tbl_estimated_costs_quantities[],MATCH(tbl_Actual_costs_quantities34[[#This Row],[House Code]],tbl_estimated_costs_quantities[House Code],0),7),"")</f>
        <v/>
      </c>
      <c r="M30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8" s="75"/>
      <c r="O308" s="37"/>
      <c r="P308" s="86">
        <f>tbl_Actual_costs_quantities34[[#This Row],[Site Preparation]]*BOQs!$L$3</f>
        <v>0</v>
      </c>
      <c r="Q308" s="76"/>
      <c r="R308" s="37"/>
      <c r="S308" s="86">
        <f>tbl_Actual_costs_quantities34[[#This Row],[Demolition Removal Unsafe Structures]]*BOQs!$L$4</f>
        <v>0</v>
      </c>
      <c r="T308" s="76"/>
      <c r="U308" s="37"/>
      <c r="V308" s="86">
        <f>tbl_Actual_costs_quantities34[[#This Row],[Concrete Works]]*BOQs!$L$5</f>
        <v>0</v>
      </c>
      <c r="W308" s="76"/>
      <c r="X308" s="37"/>
      <c r="Y308" s="86">
        <f>tbl_Actual_costs_quantities34[[#This Row],[Closure External Openings Walls Windows]]*BOQs!$L$6</f>
        <v>0</v>
      </c>
      <c r="Z308" s="76"/>
      <c r="AA308" s="37"/>
      <c r="AB308" s="86">
        <f>tbl_Actual_costs_quantities34[[#This Row],[Plastering Painting]]*BOQs!$L$7</f>
        <v>0</v>
      </c>
      <c r="AC308" s="76"/>
      <c r="AD308" s="37"/>
      <c r="AE308" s="86">
        <f>tbl_Actual_costs_quantities34[[#This Row],[Floor Repairs]]*BOQs!$L$8</f>
        <v>0</v>
      </c>
      <c r="AF308" s="76"/>
      <c r="AG308" s="37"/>
      <c r="AH308" s="86">
        <f>tbl_Actual_costs_quantities34[[#This Row],[Doors Replacement Repair]]*BOQs!$L$9</f>
        <v>0</v>
      </c>
      <c r="AI308" s="76"/>
      <c r="AJ308" s="37"/>
      <c r="AK308" s="86">
        <f>tbl_Actual_costs_quantities34[[#This Row],[Windows Replacement Repair]]*BOQs!$L$10</f>
        <v>0</v>
      </c>
      <c r="AL308" s="76"/>
      <c r="AM308" s="37"/>
      <c r="AN308" s="86">
        <f>tbl_Actual_costs_quantities34[[#This Row],[Bathroom Rehabilitation]]*BOQs!$L$11</f>
        <v>0</v>
      </c>
      <c r="AO308" s="76"/>
      <c r="AP308" s="37"/>
      <c r="AQ308" s="86">
        <f>tbl_Actual_costs_quantities34[[#This Row],[Ceramic Tile Works WASH]]*BOQs!$L$12</f>
        <v>0</v>
      </c>
      <c r="AR308" s="76"/>
      <c r="AS308" s="37"/>
      <c r="AT308" s="86">
        <f>tbl_Actual_costs_quantities34[[#This Row],[Electrical Repairs Lighting]]*BOQs!$L$13</f>
        <v>0</v>
      </c>
      <c r="AU308" s="76"/>
      <c r="AV308" s="37"/>
      <c r="AW308" s="86">
        <f>tbl_Actual_costs_quantities34[[#This Row],[Roof Insulation Leak Sealing]]*BOQs!$L$14</f>
        <v>0</v>
      </c>
      <c r="AX308" s="76"/>
      <c r="AY308" s="37"/>
      <c r="AZ308" s="86">
        <f>tbl_Actual_costs_quantities34[[#This Row],[Chimney Duct Cleaning Repair]]*BOQs!$L$15</f>
        <v>0</v>
      </c>
      <c r="BA308" s="76"/>
      <c r="BB308" s="37"/>
      <c r="BC308" s="89">
        <f>tbl_Actual_costs_quantities34[[#This Row],[Accessibility Adaptations]]*BOQs!$L$16</f>
        <v>0</v>
      </c>
      <c r="BD308" s="41"/>
      <c r="BE308" s="37"/>
      <c r="BF308" s="37"/>
    </row>
    <row r="309" spans="2:58" ht="25.15" customHeight="1" x14ac:dyDescent="0.25">
      <c r="B309" s="49">
        <v>305</v>
      </c>
      <c r="C309" s="37"/>
      <c r="D309" s="41"/>
      <c r="E309" s="40"/>
      <c r="F309" s="87" t="str">
        <f>IF(tbl_Actual_costs_quantities34[[#This Row],[House Code]]&lt;&gt;"",INDEX(tbl_Assessment[],MATCH(tbl_Actual_costs_quantities34[[#This Row],[House Code]],tbl_Assessment[House Code],0),3),"")</f>
        <v/>
      </c>
      <c r="G309" s="116" t="str">
        <f>IF(tbl_Actual_costs_quantities34[[#This Row],[House Code]]&lt;&gt;"",INDEX(tbl_Assessment[],MATCH(tbl_Actual_costs_quantities34[[#This Row],[House Code]],tbl_Assessment[House Code],0),9),"")</f>
        <v/>
      </c>
      <c r="H309" s="41"/>
      <c r="I309" s="41"/>
      <c r="J309" s="41"/>
      <c r="K309" s="116"/>
      <c r="L309" s="117" t="str">
        <f>IF(tbl_Actual_costs_quantities34[[#This Row],[House Code]]&lt;&gt;"",tbl_Actual_costs_quantities34[[#This Row],[Total cost]]/INDEX(tbl_estimated_costs_quantities[],MATCH(tbl_Actual_costs_quantities34[[#This Row],[House Code]],tbl_estimated_costs_quantities[House Code],0),7),"")</f>
        <v/>
      </c>
      <c r="M30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09" s="75"/>
      <c r="O309" s="37"/>
      <c r="P309" s="86">
        <f>tbl_Actual_costs_quantities34[[#This Row],[Site Preparation]]*BOQs!$L$3</f>
        <v>0</v>
      </c>
      <c r="Q309" s="76"/>
      <c r="R309" s="37"/>
      <c r="S309" s="86">
        <f>tbl_Actual_costs_quantities34[[#This Row],[Demolition Removal Unsafe Structures]]*BOQs!$L$4</f>
        <v>0</v>
      </c>
      <c r="T309" s="76"/>
      <c r="U309" s="37"/>
      <c r="V309" s="86">
        <f>tbl_Actual_costs_quantities34[[#This Row],[Concrete Works]]*BOQs!$L$5</f>
        <v>0</v>
      </c>
      <c r="W309" s="76"/>
      <c r="X309" s="37"/>
      <c r="Y309" s="86">
        <f>tbl_Actual_costs_quantities34[[#This Row],[Closure External Openings Walls Windows]]*BOQs!$L$6</f>
        <v>0</v>
      </c>
      <c r="Z309" s="76"/>
      <c r="AA309" s="37"/>
      <c r="AB309" s="86">
        <f>tbl_Actual_costs_quantities34[[#This Row],[Plastering Painting]]*BOQs!$L$7</f>
        <v>0</v>
      </c>
      <c r="AC309" s="76"/>
      <c r="AD309" s="37"/>
      <c r="AE309" s="86">
        <f>tbl_Actual_costs_quantities34[[#This Row],[Floor Repairs]]*BOQs!$L$8</f>
        <v>0</v>
      </c>
      <c r="AF309" s="76"/>
      <c r="AG309" s="37"/>
      <c r="AH309" s="86">
        <f>tbl_Actual_costs_quantities34[[#This Row],[Doors Replacement Repair]]*BOQs!$L$9</f>
        <v>0</v>
      </c>
      <c r="AI309" s="76"/>
      <c r="AJ309" s="37"/>
      <c r="AK309" s="86">
        <f>tbl_Actual_costs_quantities34[[#This Row],[Windows Replacement Repair]]*BOQs!$L$10</f>
        <v>0</v>
      </c>
      <c r="AL309" s="76"/>
      <c r="AM309" s="37"/>
      <c r="AN309" s="86">
        <f>tbl_Actual_costs_quantities34[[#This Row],[Bathroom Rehabilitation]]*BOQs!$L$11</f>
        <v>0</v>
      </c>
      <c r="AO309" s="76"/>
      <c r="AP309" s="37"/>
      <c r="AQ309" s="86">
        <f>tbl_Actual_costs_quantities34[[#This Row],[Ceramic Tile Works WASH]]*BOQs!$L$12</f>
        <v>0</v>
      </c>
      <c r="AR309" s="76"/>
      <c r="AS309" s="37"/>
      <c r="AT309" s="86">
        <f>tbl_Actual_costs_quantities34[[#This Row],[Electrical Repairs Lighting]]*BOQs!$L$13</f>
        <v>0</v>
      </c>
      <c r="AU309" s="76"/>
      <c r="AV309" s="37"/>
      <c r="AW309" s="86">
        <f>tbl_Actual_costs_quantities34[[#This Row],[Roof Insulation Leak Sealing]]*BOQs!$L$14</f>
        <v>0</v>
      </c>
      <c r="AX309" s="76"/>
      <c r="AY309" s="37"/>
      <c r="AZ309" s="86">
        <f>tbl_Actual_costs_quantities34[[#This Row],[Chimney Duct Cleaning Repair]]*BOQs!$L$15</f>
        <v>0</v>
      </c>
      <c r="BA309" s="76"/>
      <c r="BB309" s="37"/>
      <c r="BC309" s="89">
        <f>tbl_Actual_costs_quantities34[[#This Row],[Accessibility Adaptations]]*BOQs!$L$16</f>
        <v>0</v>
      </c>
      <c r="BD309" s="41"/>
      <c r="BE309" s="37"/>
      <c r="BF309" s="37"/>
    </row>
    <row r="310" spans="2:58" ht="25.15" customHeight="1" x14ac:dyDescent="0.25">
      <c r="B310" s="49">
        <v>306</v>
      </c>
      <c r="C310" s="37"/>
      <c r="D310" s="41"/>
      <c r="E310" s="40"/>
      <c r="F310" s="87" t="str">
        <f>IF(tbl_Actual_costs_quantities34[[#This Row],[House Code]]&lt;&gt;"",INDEX(tbl_Assessment[],MATCH(tbl_Actual_costs_quantities34[[#This Row],[House Code]],tbl_Assessment[House Code],0),3),"")</f>
        <v/>
      </c>
      <c r="G310" s="116" t="str">
        <f>IF(tbl_Actual_costs_quantities34[[#This Row],[House Code]]&lt;&gt;"",INDEX(tbl_Assessment[],MATCH(tbl_Actual_costs_quantities34[[#This Row],[House Code]],tbl_Assessment[House Code],0),9),"")</f>
        <v/>
      </c>
      <c r="H310" s="41"/>
      <c r="I310" s="41"/>
      <c r="J310" s="41"/>
      <c r="K310" s="116"/>
      <c r="L310" s="117" t="str">
        <f>IF(tbl_Actual_costs_quantities34[[#This Row],[House Code]]&lt;&gt;"",tbl_Actual_costs_quantities34[[#This Row],[Total cost]]/INDEX(tbl_estimated_costs_quantities[],MATCH(tbl_Actual_costs_quantities34[[#This Row],[House Code]],tbl_estimated_costs_quantities[House Code],0),7),"")</f>
        <v/>
      </c>
      <c r="M31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0" s="75"/>
      <c r="O310" s="37"/>
      <c r="P310" s="86">
        <f>tbl_Actual_costs_quantities34[[#This Row],[Site Preparation]]*BOQs!$L$3</f>
        <v>0</v>
      </c>
      <c r="Q310" s="76"/>
      <c r="R310" s="37"/>
      <c r="S310" s="86">
        <f>tbl_Actual_costs_quantities34[[#This Row],[Demolition Removal Unsafe Structures]]*BOQs!$L$4</f>
        <v>0</v>
      </c>
      <c r="T310" s="76"/>
      <c r="U310" s="37"/>
      <c r="V310" s="86">
        <f>tbl_Actual_costs_quantities34[[#This Row],[Concrete Works]]*BOQs!$L$5</f>
        <v>0</v>
      </c>
      <c r="W310" s="76"/>
      <c r="X310" s="37"/>
      <c r="Y310" s="86">
        <f>tbl_Actual_costs_quantities34[[#This Row],[Closure External Openings Walls Windows]]*BOQs!$L$6</f>
        <v>0</v>
      </c>
      <c r="Z310" s="76"/>
      <c r="AA310" s="37"/>
      <c r="AB310" s="86">
        <f>tbl_Actual_costs_quantities34[[#This Row],[Plastering Painting]]*BOQs!$L$7</f>
        <v>0</v>
      </c>
      <c r="AC310" s="76"/>
      <c r="AD310" s="37"/>
      <c r="AE310" s="86">
        <f>tbl_Actual_costs_quantities34[[#This Row],[Floor Repairs]]*BOQs!$L$8</f>
        <v>0</v>
      </c>
      <c r="AF310" s="76"/>
      <c r="AG310" s="37"/>
      <c r="AH310" s="86">
        <f>tbl_Actual_costs_quantities34[[#This Row],[Doors Replacement Repair]]*BOQs!$L$9</f>
        <v>0</v>
      </c>
      <c r="AI310" s="76"/>
      <c r="AJ310" s="37"/>
      <c r="AK310" s="86">
        <f>tbl_Actual_costs_quantities34[[#This Row],[Windows Replacement Repair]]*BOQs!$L$10</f>
        <v>0</v>
      </c>
      <c r="AL310" s="76"/>
      <c r="AM310" s="37"/>
      <c r="AN310" s="86">
        <f>tbl_Actual_costs_quantities34[[#This Row],[Bathroom Rehabilitation]]*BOQs!$L$11</f>
        <v>0</v>
      </c>
      <c r="AO310" s="76"/>
      <c r="AP310" s="37"/>
      <c r="AQ310" s="86">
        <f>tbl_Actual_costs_quantities34[[#This Row],[Ceramic Tile Works WASH]]*BOQs!$L$12</f>
        <v>0</v>
      </c>
      <c r="AR310" s="76"/>
      <c r="AS310" s="37"/>
      <c r="AT310" s="86">
        <f>tbl_Actual_costs_quantities34[[#This Row],[Electrical Repairs Lighting]]*BOQs!$L$13</f>
        <v>0</v>
      </c>
      <c r="AU310" s="76"/>
      <c r="AV310" s="37"/>
      <c r="AW310" s="86">
        <f>tbl_Actual_costs_quantities34[[#This Row],[Roof Insulation Leak Sealing]]*BOQs!$L$14</f>
        <v>0</v>
      </c>
      <c r="AX310" s="76"/>
      <c r="AY310" s="37"/>
      <c r="AZ310" s="86">
        <f>tbl_Actual_costs_quantities34[[#This Row],[Chimney Duct Cleaning Repair]]*BOQs!$L$15</f>
        <v>0</v>
      </c>
      <c r="BA310" s="76"/>
      <c r="BB310" s="37"/>
      <c r="BC310" s="89">
        <f>tbl_Actual_costs_quantities34[[#This Row],[Accessibility Adaptations]]*BOQs!$L$16</f>
        <v>0</v>
      </c>
      <c r="BD310" s="41"/>
      <c r="BE310" s="37"/>
      <c r="BF310" s="37"/>
    </row>
    <row r="311" spans="2:58" ht="25.15" customHeight="1" x14ac:dyDescent="0.25">
      <c r="B311" s="49">
        <v>307</v>
      </c>
      <c r="C311" s="37"/>
      <c r="D311" s="41"/>
      <c r="E311" s="40"/>
      <c r="F311" s="87" t="str">
        <f>IF(tbl_Actual_costs_quantities34[[#This Row],[House Code]]&lt;&gt;"",INDEX(tbl_Assessment[],MATCH(tbl_Actual_costs_quantities34[[#This Row],[House Code]],tbl_Assessment[House Code],0),3),"")</f>
        <v/>
      </c>
      <c r="G311" s="116" t="str">
        <f>IF(tbl_Actual_costs_quantities34[[#This Row],[House Code]]&lt;&gt;"",INDEX(tbl_Assessment[],MATCH(tbl_Actual_costs_quantities34[[#This Row],[House Code]],tbl_Assessment[House Code],0),9),"")</f>
        <v/>
      </c>
      <c r="H311" s="41"/>
      <c r="I311" s="41"/>
      <c r="J311" s="41"/>
      <c r="K311" s="116"/>
      <c r="L311" s="117" t="str">
        <f>IF(tbl_Actual_costs_quantities34[[#This Row],[House Code]]&lt;&gt;"",tbl_Actual_costs_quantities34[[#This Row],[Total cost]]/INDEX(tbl_estimated_costs_quantities[],MATCH(tbl_Actual_costs_quantities34[[#This Row],[House Code]],tbl_estimated_costs_quantities[House Code],0),7),"")</f>
        <v/>
      </c>
      <c r="M31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1" s="75"/>
      <c r="O311" s="37"/>
      <c r="P311" s="86">
        <f>tbl_Actual_costs_quantities34[[#This Row],[Site Preparation]]*BOQs!$L$3</f>
        <v>0</v>
      </c>
      <c r="Q311" s="76"/>
      <c r="R311" s="37"/>
      <c r="S311" s="86">
        <f>tbl_Actual_costs_quantities34[[#This Row],[Demolition Removal Unsafe Structures]]*BOQs!$L$4</f>
        <v>0</v>
      </c>
      <c r="T311" s="76"/>
      <c r="U311" s="37"/>
      <c r="V311" s="86">
        <f>tbl_Actual_costs_quantities34[[#This Row],[Concrete Works]]*BOQs!$L$5</f>
        <v>0</v>
      </c>
      <c r="W311" s="76"/>
      <c r="X311" s="37"/>
      <c r="Y311" s="86">
        <f>tbl_Actual_costs_quantities34[[#This Row],[Closure External Openings Walls Windows]]*BOQs!$L$6</f>
        <v>0</v>
      </c>
      <c r="Z311" s="76"/>
      <c r="AA311" s="37"/>
      <c r="AB311" s="86">
        <f>tbl_Actual_costs_quantities34[[#This Row],[Plastering Painting]]*BOQs!$L$7</f>
        <v>0</v>
      </c>
      <c r="AC311" s="76"/>
      <c r="AD311" s="37"/>
      <c r="AE311" s="86">
        <f>tbl_Actual_costs_quantities34[[#This Row],[Floor Repairs]]*BOQs!$L$8</f>
        <v>0</v>
      </c>
      <c r="AF311" s="76"/>
      <c r="AG311" s="37"/>
      <c r="AH311" s="86">
        <f>tbl_Actual_costs_quantities34[[#This Row],[Doors Replacement Repair]]*BOQs!$L$9</f>
        <v>0</v>
      </c>
      <c r="AI311" s="76"/>
      <c r="AJ311" s="37"/>
      <c r="AK311" s="86">
        <f>tbl_Actual_costs_quantities34[[#This Row],[Windows Replacement Repair]]*BOQs!$L$10</f>
        <v>0</v>
      </c>
      <c r="AL311" s="76"/>
      <c r="AM311" s="37"/>
      <c r="AN311" s="86">
        <f>tbl_Actual_costs_quantities34[[#This Row],[Bathroom Rehabilitation]]*BOQs!$L$11</f>
        <v>0</v>
      </c>
      <c r="AO311" s="76"/>
      <c r="AP311" s="37"/>
      <c r="AQ311" s="86">
        <f>tbl_Actual_costs_quantities34[[#This Row],[Ceramic Tile Works WASH]]*BOQs!$L$12</f>
        <v>0</v>
      </c>
      <c r="AR311" s="76"/>
      <c r="AS311" s="37"/>
      <c r="AT311" s="86">
        <f>tbl_Actual_costs_quantities34[[#This Row],[Electrical Repairs Lighting]]*BOQs!$L$13</f>
        <v>0</v>
      </c>
      <c r="AU311" s="76"/>
      <c r="AV311" s="37"/>
      <c r="AW311" s="86">
        <f>tbl_Actual_costs_quantities34[[#This Row],[Roof Insulation Leak Sealing]]*BOQs!$L$14</f>
        <v>0</v>
      </c>
      <c r="AX311" s="76"/>
      <c r="AY311" s="37"/>
      <c r="AZ311" s="86">
        <f>tbl_Actual_costs_quantities34[[#This Row],[Chimney Duct Cleaning Repair]]*BOQs!$L$15</f>
        <v>0</v>
      </c>
      <c r="BA311" s="76"/>
      <c r="BB311" s="37"/>
      <c r="BC311" s="89">
        <f>tbl_Actual_costs_quantities34[[#This Row],[Accessibility Adaptations]]*BOQs!$L$16</f>
        <v>0</v>
      </c>
      <c r="BD311" s="41"/>
      <c r="BE311" s="37"/>
      <c r="BF311" s="37"/>
    </row>
    <row r="312" spans="2:58" ht="25.15" customHeight="1" x14ac:dyDescent="0.25">
      <c r="B312" s="49">
        <v>308</v>
      </c>
      <c r="C312" s="37"/>
      <c r="D312" s="41"/>
      <c r="E312" s="40"/>
      <c r="F312" s="87" t="str">
        <f>IF(tbl_Actual_costs_quantities34[[#This Row],[House Code]]&lt;&gt;"",INDEX(tbl_Assessment[],MATCH(tbl_Actual_costs_quantities34[[#This Row],[House Code]],tbl_Assessment[House Code],0),3),"")</f>
        <v/>
      </c>
      <c r="G312" s="116" t="str">
        <f>IF(tbl_Actual_costs_quantities34[[#This Row],[House Code]]&lt;&gt;"",INDEX(tbl_Assessment[],MATCH(tbl_Actual_costs_quantities34[[#This Row],[House Code]],tbl_Assessment[House Code],0),9),"")</f>
        <v/>
      </c>
      <c r="H312" s="41"/>
      <c r="I312" s="41"/>
      <c r="J312" s="41"/>
      <c r="K312" s="116"/>
      <c r="L312" s="117" t="str">
        <f>IF(tbl_Actual_costs_quantities34[[#This Row],[House Code]]&lt;&gt;"",tbl_Actual_costs_quantities34[[#This Row],[Total cost]]/INDEX(tbl_estimated_costs_quantities[],MATCH(tbl_Actual_costs_quantities34[[#This Row],[House Code]],tbl_estimated_costs_quantities[House Code],0),7),"")</f>
        <v/>
      </c>
      <c r="M31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2" s="75"/>
      <c r="O312" s="37"/>
      <c r="P312" s="86">
        <f>tbl_Actual_costs_quantities34[[#This Row],[Site Preparation]]*BOQs!$L$3</f>
        <v>0</v>
      </c>
      <c r="Q312" s="76"/>
      <c r="R312" s="37"/>
      <c r="S312" s="86">
        <f>tbl_Actual_costs_quantities34[[#This Row],[Demolition Removal Unsafe Structures]]*BOQs!$L$4</f>
        <v>0</v>
      </c>
      <c r="T312" s="76"/>
      <c r="U312" s="37"/>
      <c r="V312" s="86">
        <f>tbl_Actual_costs_quantities34[[#This Row],[Concrete Works]]*BOQs!$L$5</f>
        <v>0</v>
      </c>
      <c r="W312" s="76"/>
      <c r="X312" s="37"/>
      <c r="Y312" s="86">
        <f>tbl_Actual_costs_quantities34[[#This Row],[Closure External Openings Walls Windows]]*BOQs!$L$6</f>
        <v>0</v>
      </c>
      <c r="Z312" s="76"/>
      <c r="AA312" s="37"/>
      <c r="AB312" s="86">
        <f>tbl_Actual_costs_quantities34[[#This Row],[Plastering Painting]]*BOQs!$L$7</f>
        <v>0</v>
      </c>
      <c r="AC312" s="76"/>
      <c r="AD312" s="37"/>
      <c r="AE312" s="86">
        <f>tbl_Actual_costs_quantities34[[#This Row],[Floor Repairs]]*BOQs!$L$8</f>
        <v>0</v>
      </c>
      <c r="AF312" s="76"/>
      <c r="AG312" s="37"/>
      <c r="AH312" s="86">
        <f>tbl_Actual_costs_quantities34[[#This Row],[Doors Replacement Repair]]*BOQs!$L$9</f>
        <v>0</v>
      </c>
      <c r="AI312" s="76"/>
      <c r="AJ312" s="37"/>
      <c r="AK312" s="86">
        <f>tbl_Actual_costs_quantities34[[#This Row],[Windows Replacement Repair]]*BOQs!$L$10</f>
        <v>0</v>
      </c>
      <c r="AL312" s="76"/>
      <c r="AM312" s="37"/>
      <c r="AN312" s="86">
        <f>tbl_Actual_costs_quantities34[[#This Row],[Bathroom Rehabilitation]]*BOQs!$L$11</f>
        <v>0</v>
      </c>
      <c r="AO312" s="76"/>
      <c r="AP312" s="37"/>
      <c r="AQ312" s="86">
        <f>tbl_Actual_costs_quantities34[[#This Row],[Ceramic Tile Works WASH]]*BOQs!$L$12</f>
        <v>0</v>
      </c>
      <c r="AR312" s="76"/>
      <c r="AS312" s="37"/>
      <c r="AT312" s="86">
        <f>tbl_Actual_costs_quantities34[[#This Row],[Electrical Repairs Lighting]]*BOQs!$L$13</f>
        <v>0</v>
      </c>
      <c r="AU312" s="76"/>
      <c r="AV312" s="37"/>
      <c r="AW312" s="86">
        <f>tbl_Actual_costs_quantities34[[#This Row],[Roof Insulation Leak Sealing]]*BOQs!$L$14</f>
        <v>0</v>
      </c>
      <c r="AX312" s="76"/>
      <c r="AY312" s="37"/>
      <c r="AZ312" s="86">
        <f>tbl_Actual_costs_quantities34[[#This Row],[Chimney Duct Cleaning Repair]]*BOQs!$L$15</f>
        <v>0</v>
      </c>
      <c r="BA312" s="76"/>
      <c r="BB312" s="37"/>
      <c r="BC312" s="89">
        <f>tbl_Actual_costs_quantities34[[#This Row],[Accessibility Adaptations]]*BOQs!$L$16</f>
        <v>0</v>
      </c>
      <c r="BD312" s="41"/>
      <c r="BE312" s="37"/>
      <c r="BF312" s="37"/>
    </row>
    <row r="313" spans="2:58" ht="25.15" customHeight="1" x14ac:dyDescent="0.25">
      <c r="B313" s="49">
        <v>309</v>
      </c>
      <c r="C313" s="37"/>
      <c r="D313" s="41"/>
      <c r="E313" s="40"/>
      <c r="F313" s="87" t="str">
        <f>IF(tbl_Actual_costs_quantities34[[#This Row],[House Code]]&lt;&gt;"",INDEX(tbl_Assessment[],MATCH(tbl_Actual_costs_quantities34[[#This Row],[House Code]],tbl_Assessment[House Code],0),3),"")</f>
        <v/>
      </c>
      <c r="G313" s="116" t="str">
        <f>IF(tbl_Actual_costs_quantities34[[#This Row],[House Code]]&lt;&gt;"",INDEX(tbl_Assessment[],MATCH(tbl_Actual_costs_quantities34[[#This Row],[House Code]],tbl_Assessment[House Code],0),9),"")</f>
        <v/>
      </c>
      <c r="H313" s="41"/>
      <c r="I313" s="41"/>
      <c r="J313" s="41"/>
      <c r="K313" s="116"/>
      <c r="L313" s="117" t="str">
        <f>IF(tbl_Actual_costs_quantities34[[#This Row],[House Code]]&lt;&gt;"",tbl_Actual_costs_quantities34[[#This Row],[Total cost]]/INDEX(tbl_estimated_costs_quantities[],MATCH(tbl_Actual_costs_quantities34[[#This Row],[House Code]],tbl_estimated_costs_quantities[House Code],0),7),"")</f>
        <v/>
      </c>
      <c r="M31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3" s="75"/>
      <c r="O313" s="37"/>
      <c r="P313" s="86">
        <f>tbl_Actual_costs_quantities34[[#This Row],[Site Preparation]]*BOQs!$L$3</f>
        <v>0</v>
      </c>
      <c r="Q313" s="76"/>
      <c r="R313" s="37"/>
      <c r="S313" s="86">
        <f>tbl_Actual_costs_quantities34[[#This Row],[Demolition Removal Unsafe Structures]]*BOQs!$L$4</f>
        <v>0</v>
      </c>
      <c r="T313" s="76"/>
      <c r="U313" s="37"/>
      <c r="V313" s="86">
        <f>tbl_Actual_costs_quantities34[[#This Row],[Concrete Works]]*BOQs!$L$5</f>
        <v>0</v>
      </c>
      <c r="W313" s="76"/>
      <c r="X313" s="37"/>
      <c r="Y313" s="86">
        <f>tbl_Actual_costs_quantities34[[#This Row],[Closure External Openings Walls Windows]]*BOQs!$L$6</f>
        <v>0</v>
      </c>
      <c r="Z313" s="76"/>
      <c r="AA313" s="37"/>
      <c r="AB313" s="86">
        <f>tbl_Actual_costs_quantities34[[#This Row],[Plastering Painting]]*BOQs!$L$7</f>
        <v>0</v>
      </c>
      <c r="AC313" s="76"/>
      <c r="AD313" s="37"/>
      <c r="AE313" s="86">
        <f>tbl_Actual_costs_quantities34[[#This Row],[Floor Repairs]]*BOQs!$L$8</f>
        <v>0</v>
      </c>
      <c r="AF313" s="76"/>
      <c r="AG313" s="37"/>
      <c r="AH313" s="86">
        <f>tbl_Actual_costs_quantities34[[#This Row],[Doors Replacement Repair]]*BOQs!$L$9</f>
        <v>0</v>
      </c>
      <c r="AI313" s="76"/>
      <c r="AJ313" s="37"/>
      <c r="AK313" s="86">
        <f>tbl_Actual_costs_quantities34[[#This Row],[Windows Replacement Repair]]*BOQs!$L$10</f>
        <v>0</v>
      </c>
      <c r="AL313" s="76"/>
      <c r="AM313" s="37"/>
      <c r="AN313" s="86">
        <f>tbl_Actual_costs_quantities34[[#This Row],[Bathroom Rehabilitation]]*BOQs!$L$11</f>
        <v>0</v>
      </c>
      <c r="AO313" s="76"/>
      <c r="AP313" s="37"/>
      <c r="AQ313" s="86">
        <f>tbl_Actual_costs_quantities34[[#This Row],[Ceramic Tile Works WASH]]*BOQs!$L$12</f>
        <v>0</v>
      </c>
      <c r="AR313" s="76"/>
      <c r="AS313" s="37"/>
      <c r="AT313" s="86">
        <f>tbl_Actual_costs_quantities34[[#This Row],[Electrical Repairs Lighting]]*BOQs!$L$13</f>
        <v>0</v>
      </c>
      <c r="AU313" s="76"/>
      <c r="AV313" s="37"/>
      <c r="AW313" s="86">
        <f>tbl_Actual_costs_quantities34[[#This Row],[Roof Insulation Leak Sealing]]*BOQs!$L$14</f>
        <v>0</v>
      </c>
      <c r="AX313" s="76"/>
      <c r="AY313" s="37"/>
      <c r="AZ313" s="86">
        <f>tbl_Actual_costs_quantities34[[#This Row],[Chimney Duct Cleaning Repair]]*BOQs!$L$15</f>
        <v>0</v>
      </c>
      <c r="BA313" s="76"/>
      <c r="BB313" s="37"/>
      <c r="BC313" s="89">
        <f>tbl_Actual_costs_quantities34[[#This Row],[Accessibility Adaptations]]*BOQs!$L$16</f>
        <v>0</v>
      </c>
      <c r="BD313" s="41"/>
      <c r="BE313" s="37"/>
      <c r="BF313" s="37"/>
    </row>
    <row r="314" spans="2:58" ht="25.15" customHeight="1" x14ac:dyDescent="0.25">
      <c r="B314" s="49">
        <v>310</v>
      </c>
      <c r="C314" s="37"/>
      <c r="D314" s="41"/>
      <c r="E314" s="40"/>
      <c r="F314" s="87" t="str">
        <f>IF(tbl_Actual_costs_quantities34[[#This Row],[House Code]]&lt;&gt;"",INDEX(tbl_Assessment[],MATCH(tbl_Actual_costs_quantities34[[#This Row],[House Code]],tbl_Assessment[House Code],0),3),"")</f>
        <v/>
      </c>
      <c r="G314" s="116" t="str">
        <f>IF(tbl_Actual_costs_quantities34[[#This Row],[House Code]]&lt;&gt;"",INDEX(tbl_Assessment[],MATCH(tbl_Actual_costs_quantities34[[#This Row],[House Code]],tbl_Assessment[House Code],0),9),"")</f>
        <v/>
      </c>
      <c r="H314" s="41"/>
      <c r="I314" s="41"/>
      <c r="J314" s="41"/>
      <c r="K314" s="116"/>
      <c r="L314" s="117" t="str">
        <f>IF(tbl_Actual_costs_quantities34[[#This Row],[House Code]]&lt;&gt;"",tbl_Actual_costs_quantities34[[#This Row],[Total cost]]/INDEX(tbl_estimated_costs_quantities[],MATCH(tbl_Actual_costs_quantities34[[#This Row],[House Code]],tbl_estimated_costs_quantities[House Code],0),7),"")</f>
        <v/>
      </c>
      <c r="M31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4" s="75"/>
      <c r="O314" s="37"/>
      <c r="P314" s="86">
        <f>tbl_Actual_costs_quantities34[[#This Row],[Site Preparation]]*BOQs!$L$3</f>
        <v>0</v>
      </c>
      <c r="Q314" s="76"/>
      <c r="R314" s="37"/>
      <c r="S314" s="86">
        <f>tbl_Actual_costs_quantities34[[#This Row],[Demolition Removal Unsafe Structures]]*BOQs!$L$4</f>
        <v>0</v>
      </c>
      <c r="T314" s="76"/>
      <c r="U314" s="37"/>
      <c r="V314" s="86">
        <f>tbl_Actual_costs_quantities34[[#This Row],[Concrete Works]]*BOQs!$L$5</f>
        <v>0</v>
      </c>
      <c r="W314" s="76"/>
      <c r="X314" s="37"/>
      <c r="Y314" s="86">
        <f>tbl_Actual_costs_quantities34[[#This Row],[Closure External Openings Walls Windows]]*BOQs!$L$6</f>
        <v>0</v>
      </c>
      <c r="Z314" s="76"/>
      <c r="AA314" s="37"/>
      <c r="AB314" s="86">
        <f>tbl_Actual_costs_quantities34[[#This Row],[Plastering Painting]]*BOQs!$L$7</f>
        <v>0</v>
      </c>
      <c r="AC314" s="76"/>
      <c r="AD314" s="37"/>
      <c r="AE314" s="86">
        <f>tbl_Actual_costs_quantities34[[#This Row],[Floor Repairs]]*BOQs!$L$8</f>
        <v>0</v>
      </c>
      <c r="AF314" s="76"/>
      <c r="AG314" s="37"/>
      <c r="AH314" s="86">
        <f>tbl_Actual_costs_quantities34[[#This Row],[Doors Replacement Repair]]*BOQs!$L$9</f>
        <v>0</v>
      </c>
      <c r="AI314" s="76"/>
      <c r="AJ314" s="37"/>
      <c r="AK314" s="86">
        <f>tbl_Actual_costs_quantities34[[#This Row],[Windows Replacement Repair]]*BOQs!$L$10</f>
        <v>0</v>
      </c>
      <c r="AL314" s="76"/>
      <c r="AM314" s="37"/>
      <c r="AN314" s="86">
        <f>tbl_Actual_costs_quantities34[[#This Row],[Bathroom Rehabilitation]]*BOQs!$L$11</f>
        <v>0</v>
      </c>
      <c r="AO314" s="76"/>
      <c r="AP314" s="37"/>
      <c r="AQ314" s="86">
        <f>tbl_Actual_costs_quantities34[[#This Row],[Ceramic Tile Works WASH]]*BOQs!$L$12</f>
        <v>0</v>
      </c>
      <c r="AR314" s="76"/>
      <c r="AS314" s="37"/>
      <c r="AT314" s="86">
        <f>tbl_Actual_costs_quantities34[[#This Row],[Electrical Repairs Lighting]]*BOQs!$L$13</f>
        <v>0</v>
      </c>
      <c r="AU314" s="76"/>
      <c r="AV314" s="37"/>
      <c r="AW314" s="86">
        <f>tbl_Actual_costs_quantities34[[#This Row],[Roof Insulation Leak Sealing]]*BOQs!$L$14</f>
        <v>0</v>
      </c>
      <c r="AX314" s="76"/>
      <c r="AY314" s="37"/>
      <c r="AZ314" s="86">
        <f>tbl_Actual_costs_quantities34[[#This Row],[Chimney Duct Cleaning Repair]]*BOQs!$L$15</f>
        <v>0</v>
      </c>
      <c r="BA314" s="76"/>
      <c r="BB314" s="37"/>
      <c r="BC314" s="89">
        <f>tbl_Actual_costs_quantities34[[#This Row],[Accessibility Adaptations]]*BOQs!$L$16</f>
        <v>0</v>
      </c>
      <c r="BD314" s="41"/>
      <c r="BE314" s="37"/>
      <c r="BF314" s="37"/>
    </row>
    <row r="315" spans="2:58" ht="25.15" customHeight="1" x14ac:dyDescent="0.25">
      <c r="B315" s="49">
        <v>311</v>
      </c>
      <c r="C315" s="37"/>
      <c r="D315" s="41"/>
      <c r="E315" s="40"/>
      <c r="F315" s="87" t="str">
        <f>IF(tbl_Actual_costs_quantities34[[#This Row],[House Code]]&lt;&gt;"",INDEX(tbl_Assessment[],MATCH(tbl_Actual_costs_quantities34[[#This Row],[House Code]],tbl_Assessment[House Code],0),3),"")</f>
        <v/>
      </c>
      <c r="G315" s="116" t="str">
        <f>IF(tbl_Actual_costs_quantities34[[#This Row],[House Code]]&lt;&gt;"",INDEX(tbl_Assessment[],MATCH(tbl_Actual_costs_quantities34[[#This Row],[House Code]],tbl_Assessment[House Code],0),9),"")</f>
        <v/>
      </c>
      <c r="H315" s="41"/>
      <c r="I315" s="41"/>
      <c r="J315" s="41"/>
      <c r="K315" s="116"/>
      <c r="L315" s="117" t="str">
        <f>IF(tbl_Actual_costs_quantities34[[#This Row],[House Code]]&lt;&gt;"",tbl_Actual_costs_quantities34[[#This Row],[Total cost]]/INDEX(tbl_estimated_costs_quantities[],MATCH(tbl_Actual_costs_quantities34[[#This Row],[House Code]],tbl_estimated_costs_quantities[House Code],0),7),"")</f>
        <v/>
      </c>
      <c r="M31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5" s="75"/>
      <c r="O315" s="37"/>
      <c r="P315" s="86">
        <f>tbl_Actual_costs_quantities34[[#This Row],[Site Preparation]]*BOQs!$L$3</f>
        <v>0</v>
      </c>
      <c r="Q315" s="76"/>
      <c r="R315" s="37"/>
      <c r="S315" s="86">
        <f>tbl_Actual_costs_quantities34[[#This Row],[Demolition Removal Unsafe Structures]]*BOQs!$L$4</f>
        <v>0</v>
      </c>
      <c r="T315" s="76"/>
      <c r="U315" s="37"/>
      <c r="V315" s="86">
        <f>tbl_Actual_costs_quantities34[[#This Row],[Concrete Works]]*BOQs!$L$5</f>
        <v>0</v>
      </c>
      <c r="W315" s="76"/>
      <c r="X315" s="37"/>
      <c r="Y315" s="86">
        <f>tbl_Actual_costs_quantities34[[#This Row],[Closure External Openings Walls Windows]]*BOQs!$L$6</f>
        <v>0</v>
      </c>
      <c r="Z315" s="76"/>
      <c r="AA315" s="37"/>
      <c r="AB315" s="86">
        <f>tbl_Actual_costs_quantities34[[#This Row],[Plastering Painting]]*BOQs!$L$7</f>
        <v>0</v>
      </c>
      <c r="AC315" s="76"/>
      <c r="AD315" s="37"/>
      <c r="AE315" s="86">
        <f>tbl_Actual_costs_quantities34[[#This Row],[Floor Repairs]]*BOQs!$L$8</f>
        <v>0</v>
      </c>
      <c r="AF315" s="76"/>
      <c r="AG315" s="37"/>
      <c r="AH315" s="86">
        <f>tbl_Actual_costs_quantities34[[#This Row],[Doors Replacement Repair]]*BOQs!$L$9</f>
        <v>0</v>
      </c>
      <c r="AI315" s="76"/>
      <c r="AJ315" s="37"/>
      <c r="AK315" s="86">
        <f>tbl_Actual_costs_quantities34[[#This Row],[Windows Replacement Repair]]*BOQs!$L$10</f>
        <v>0</v>
      </c>
      <c r="AL315" s="76"/>
      <c r="AM315" s="37"/>
      <c r="AN315" s="86">
        <f>tbl_Actual_costs_quantities34[[#This Row],[Bathroom Rehabilitation]]*BOQs!$L$11</f>
        <v>0</v>
      </c>
      <c r="AO315" s="76"/>
      <c r="AP315" s="37"/>
      <c r="AQ315" s="86">
        <f>tbl_Actual_costs_quantities34[[#This Row],[Ceramic Tile Works WASH]]*BOQs!$L$12</f>
        <v>0</v>
      </c>
      <c r="AR315" s="76"/>
      <c r="AS315" s="37"/>
      <c r="AT315" s="86">
        <f>tbl_Actual_costs_quantities34[[#This Row],[Electrical Repairs Lighting]]*BOQs!$L$13</f>
        <v>0</v>
      </c>
      <c r="AU315" s="76"/>
      <c r="AV315" s="37"/>
      <c r="AW315" s="86">
        <f>tbl_Actual_costs_quantities34[[#This Row],[Roof Insulation Leak Sealing]]*BOQs!$L$14</f>
        <v>0</v>
      </c>
      <c r="AX315" s="76"/>
      <c r="AY315" s="37"/>
      <c r="AZ315" s="86">
        <f>tbl_Actual_costs_quantities34[[#This Row],[Chimney Duct Cleaning Repair]]*BOQs!$L$15</f>
        <v>0</v>
      </c>
      <c r="BA315" s="76"/>
      <c r="BB315" s="37"/>
      <c r="BC315" s="89">
        <f>tbl_Actual_costs_quantities34[[#This Row],[Accessibility Adaptations]]*BOQs!$L$16</f>
        <v>0</v>
      </c>
      <c r="BD315" s="41"/>
      <c r="BE315" s="37"/>
      <c r="BF315" s="37"/>
    </row>
    <row r="316" spans="2:58" ht="25.15" customHeight="1" x14ac:dyDescent="0.25">
      <c r="B316" s="49">
        <v>312</v>
      </c>
      <c r="C316" s="37"/>
      <c r="D316" s="41"/>
      <c r="E316" s="40"/>
      <c r="F316" s="87" t="str">
        <f>IF(tbl_Actual_costs_quantities34[[#This Row],[House Code]]&lt;&gt;"",INDEX(tbl_Assessment[],MATCH(tbl_Actual_costs_quantities34[[#This Row],[House Code]],tbl_Assessment[House Code],0),3),"")</f>
        <v/>
      </c>
      <c r="G316" s="116" t="str">
        <f>IF(tbl_Actual_costs_quantities34[[#This Row],[House Code]]&lt;&gt;"",INDEX(tbl_Assessment[],MATCH(tbl_Actual_costs_quantities34[[#This Row],[House Code]],tbl_Assessment[House Code],0),9),"")</f>
        <v/>
      </c>
      <c r="H316" s="41"/>
      <c r="I316" s="41"/>
      <c r="J316" s="41"/>
      <c r="K316" s="116"/>
      <c r="L316" s="117" t="str">
        <f>IF(tbl_Actual_costs_quantities34[[#This Row],[House Code]]&lt;&gt;"",tbl_Actual_costs_quantities34[[#This Row],[Total cost]]/INDEX(tbl_estimated_costs_quantities[],MATCH(tbl_Actual_costs_quantities34[[#This Row],[House Code]],tbl_estimated_costs_quantities[House Code],0),7),"")</f>
        <v/>
      </c>
      <c r="M31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6" s="75"/>
      <c r="O316" s="37"/>
      <c r="P316" s="86">
        <f>tbl_Actual_costs_quantities34[[#This Row],[Site Preparation]]*BOQs!$L$3</f>
        <v>0</v>
      </c>
      <c r="Q316" s="76"/>
      <c r="R316" s="37"/>
      <c r="S316" s="86">
        <f>tbl_Actual_costs_quantities34[[#This Row],[Demolition Removal Unsafe Structures]]*BOQs!$L$4</f>
        <v>0</v>
      </c>
      <c r="T316" s="76"/>
      <c r="U316" s="37"/>
      <c r="V316" s="86">
        <f>tbl_Actual_costs_quantities34[[#This Row],[Concrete Works]]*BOQs!$L$5</f>
        <v>0</v>
      </c>
      <c r="W316" s="76"/>
      <c r="X316" s="37"/>
      <c r="Y316" s="86">
        <f>tbl_Actual_costs_quantities34[[#This Row],[Closure External Openings Walls Windows]]*BOQs!$L$6</f>
        <v>0</v>
      </c>
      <c r="Z316" s="76"/>
      <c r="AA316" s="37"/>
      <c r="AB316" s="86">
        <f>tbl_Actual_costs_quantities34[[#This Row],[Plastering Painting]]*BOQs!$L$7</f>
        <v>0</v>
      </c>
      <c r="AC316" s="76"/>
      <c r="AD316" s="37"/>
      <c r="AE316" s="86">
        <f>tbl_Actual_costs_quantities34[[#This Row],[Floor Repairs]]*BOQs!$L$8</f>
        <v>0</v>
      </c>
      <c r="AF316" s="76"/>
      <c r="AG316" s="37"/>
      <c r="AH316" s="86">
        <f>tbl_Actual_costs_quantities34[[#This Row],[Doors Replacement Repair]]*BOQs!$L$9</f>
        <v>0</v>
      </c>
      <c r="AI316" s="76"/>
      <c r="AJ316" s="37"/>
      <c r="AK316" s="86">
        <f>tbl_Actual_costs_quantities34[[#This Row],[Windows Replacement Repair]]*BOQs!$L$10</f>
        <v>0</v>
      </c>
      <c r="AL316" s="76"/>
      <c r="AM316" s="37"/>
      <c r="AN316" s="86">
        <f>tbl_Actual_costs_quantities34[[#This Row],[Bathroom Rehabilitation]]*BOQs!$L$11</f>
        <v>0</v>
      </c>
      <c r="AO316" s="76"/>
      <c r="AP316" s="37"/>
      <c r="AQ316" s="86">
        <f>tbl_Actual_costs_quantities34[[#This Row],[Ceramic Tile Works WASH]]*BOQs!$L$12</f>
        <v>0</v>
      </c>
      <c r="AR316" s="76"/>
      <c r="AS316" s="37"/>
      <c r="AT316" s="86">
        <f>tbl_Actual_costs_quantities34[[#This Row],[Electrical Repairs Lighting]]*BOQs!$L$13</f>
        <v>0</v>
      </c>
      <c r="AU316" s="76"/>
      <c r="AV316" s="37"/>
      <c r="AW316" s="86">
        <f>tbl_Actual_costs_quantities34[[#This Row],[Roof Insulation Leak Sealing]]*BOQs!$L$14</f>
        <v>0</v>
      </c>
      <c r="AX316" s="76"/>
      <c r="AY316" s="37"/>
      <c r="AZ316" s="86">
        <f>tbl_Actual_costs_quantities34[[#This Row],[Chimney Duct Cleaning Repair]]*BOQs!$L$15</f>
        <v>0</v>
      </c>
      <c r="BA316" s="76"/>
      <c r="BB316" s="37"/>
      <c r="BC316" s="89">
        <f>tbl_Actual_costs_quantities34[[#This Row],[Accessibility Adaptations]]*BOQs!$L$16</f>
        <v>0</v>
      </c>
      <c r="BD316" s="41"/>
      <c r="BE316" s="37"/>
      <c r="BF316" s="37"/>
    </row>
    <row r="317" spans="2:58" ht="25.15" customHeight="1" x14ac:dyDescent="0.25">
      <c r="B317" s="49">
        <v>313</v>
      </c>
      <c r="C317" s="37"/>
      <c r="D317" s="41"/>
      <c r="E317" s="40"/>
      <c r="F317" s="87" t="str">
        <f>IF(tbl_Actual_costs_quantities34[[#This Row],[House Code]]&lt;&gt;"",INDEX(tbl_Assessment[],MATCH(tbl_Actual_costs_quantities34[[#This Row],[House Code]],tbl_Assessment[House Code],0),3),"")</f>
        <v/>
      </c>
      <c r="G317" s="116" t="str">
        <f>IF(tbl_Actual_costs_quantities34[[#This Row],[House Code]]&lt;&gt;"",INDEX(tbl_Assessment[],MATCH(tbl_Actual_costs_quantities34[[#This Row],[House Code]],tbl_Assessment[House Code],0),9),"")</f>
        <v/>
      </c>
      <c r="H317" s="41"/>
      <c r="I317" s="41"/>
      <c r="J317" s="41"/>
      <c r="K317" s="116"/>
      <c r="L317" s="117" t="str">
        <f>IF(tbl_Actual_costs_quantities34[[#This Row],[House Code]]&lt;&gt;"",tbl_Actual_costs_quantities34[[#This Row],[Total cost]]/INDEX(tbl_estimated_costs_quantities[],MATCH(tbl_Actual_costs_quantities34[[#This Row],[House Code]],tbl_estimated_costs_quantities[House Code],0),7),"")</f>
        <v/>
      </c>
      <c r="M31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7" s="75"/>
      <c r="O317" s="37"/>
      <c r="P317" s="86">
        <f>tbl_Actual_costs_quantities34[[#This Row],[Site Preparation]]*BOQs!$L$3</f>
        <v>0</v>
      </c>
      <c r="Q317" s="76"/>
      <c r="R317" s="37"/>
      <c r="S317" s="86">
        <f>tbl_Actual_costs_quantities34[[#This Row],[Demolition Removal Unsafe Structures]]*BOQs!$L$4</f>
        <v>0</v>
      </c>
      <c r="T317" s="76"/>
      <c r="U317" s="37"/>
      <c r="V317" s="86">
        <f>tbl_Actual_costs_quantities34[[#This Row],[Concrete Works]]*BOQs!$L$5</f>
        <v>0</v>
      </c>
      <c r="W317" s="76"/>
      <c r="X317" s="37"/>
      <c r="Y317" s="86">
        <f>tbl_Actual_costs_quantities34[[#This Row],[Closure External Openings Walls Windows]]*BOQs!$L$6</f>
        <v>0</v>
      </c>
      <c r="Z317" s="76"/>
      <c r="AA317" s="37"/>
      <c r="AB317" s="86">
        <f>tbl_Actual_costs_quantities34[[#This Row],[Plastering Painting]]*BOQs!$L$7</f>
        <v>0</v>
      </c>
      <c r="AC317" s="76"/>
      <c r="AD317" s="37"/>
      <c r="AE317" s="86">
        <f>tbl_Actual_costs_quantities34[[#This Row],[Floor Repairs]]*BOQs!$L$8</f>
        <v>0</v>
      </c>
      <c r="AF317" s="76"/>
      <c r="AG317" s="37"/>
      <c r="AH317" s="86">
        <f>tbl_Actual_costs_quantities34[[#This Row],[Doors Replacement Repair]]*BOQs!$L$9</f>
        <v>0</v>
      </c>
      <c r="AI317" s="76"/>
      <c r="AJ317" s="37"/>
      <c r="AK317" s="86">
        <f>tbl_Actual_costs_quantities34[[#This Row],[Windows Replacement Repair]]*BOQs!$L$10</f>
        <v>0</v>
      </c>
      <c r="AL317" s="76"/>
      <c r="AM317" s="37"/>
      <c r="AN317" s="86">
        <f>tbl_Actual_costs_quantities34[[#This Row],[Bathroom Rehabilitation]]*BOQs!$L$11</f>
        <v>0</v>
      </c>
      <c r="AO317" s="76"/>
      <c r="AP317" s="37"/>
      <c r="AQ317" s="86">
        <f>tbl_Actual_costs_quantities34[[#This Row],[Ceramic Tile Works WASH]]*BOQs!$L$12</f>
        <v>0</v>
      </c>
      <c r="AR317" s="76"/>
      <c r="AS317" s="37"/>
      <c r="AT317" s="86">
        <f>tbl_Actual_costs_quantities34[[#This Row],[Electrical Repairs Lighting]]*BOQs!$L$13</f>
        <v>0</v>
      </c>
      <c r="AU317" s="76"/>
      <c r="AV317" s="37"/>
      <c r="AW317" s="86">
        <f>tbl_Actual_costs_quantities34[[#This Row],[Roof Insulation Leak Sealing]]*BOQs!$L$14</f>
        <v>0</v>
      </c>
      <c r="AX317" s="76"/>
      <c r="AY317" s="37"/>
      <c r="AZ317" s="86">
        <f>tbl_Actual_costs_quantities34[[#This Row],[Chimney Duct Cleaning Repair]]*BOQs!$L$15</f>
        <v>0</v>
      </c>
      <c r="BA317" s="76"/>
      <c r="BB317" s="37"/>
      <c r="BC317" s="89">
        <f>tbl_Actual_costs_quantities34[[#This Row],[Accessibility Adaptations]]*BOQs!$L$16</f>
        <v>0</v>
      </c>
      <c r="BD317" s="41"/>
      <c r="BE317" s="37"/>
      <c r="BF317" s="37"/>
    </row>
    <row r="318" spans="2:58" ht="25.15" customHeight="1" x14ac:dyDescent="0.25">
      <c r="B318" s="49">
        <v>314</v>
      </c>
      <c r="C318" s="37"/>
      <c r="D318" s="41"/>
      <c r="E318" s="40"/>
      <c r="F318" s="87" t="str">
        <f>IF(tbl_Actual_costs_quantities34[[#This Row],[House Code]]&lt;&gt;"",INDEX(tbl_Assessment[],MATCH(tbl_Actual_costs_quantities34[[#This Row],[House Code]],tbl_Assessment[House Code],0),3),"")</f>
        <v/>
      </c>
      <c r="G318" s="116" t="str">
        <f>IF(tbl_Actual_costs_quantities34[[#This Row],[House Code]]&lt;&gt;"",INDEX(tbl_Assessment[],MATCH(tbl_Actual_costs_quantities34[[#This Row],[House Code]],tbl_Assessment[House Code],0),9),"")</f>
        <v/>
      </c>
      <c r="H318" s="41"/>
      <c r="I318" s="41"/>
      <c r="J318" s="41"/>
      <c r="K318" s="116"/>
      <c r="L318" s="117" t="str">
        <f>IF(tbl_Actual_costs_quantities34[[#This Row],[House Code]]&lt;&gt;"",tbl_Actual_costs_quantities34[[#This Row],[Total cost]]/INDEX(tbl_estimated_costs_quantities[],MATCH(tbl_Actual_costs_quantities34[[#This Row],[House Code]],tbl_estimated_costs_quantities[House Code],0),7),"")</f>
        <v/>
      </c>
      <c r="M31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8" s="75"/>
      <c r="O318" s="37"/>
      <c r="P318" s="86">
        <f>tbl_Actual_costs_quantities34[[#This Row],[Site Preparation]]*BOQs!$L$3</f>
        <v>0</v>
      </c>
      <c r="Q318" s="76"/>
      <c r="R318" s="37"/>
      <c r="S318" s="86">
        <f>tbl_Actual_costs_quantities34[[#This Row],[Demolition Removal Unsafe Structures]]*BOQs!$L$4</f>
        <v>0</v>
      </c>
      <c r="T318" s="76"/>
      <c r="U318" s="37"/>
      <c r="V318" s="86">
        <f>tbl_Actual_costs_quantities34[[#This Row],[Concrete Works]]*BOQs!$L$5</f>
        <v>0</v>
      </c>
      <c r="W318" s="76"/>
      <c r="X318" s="37"/>
      <c r="Y318" s="86">
        <f>tbl_Actual_costs_quantities34[[#This Row],[Closure External Openings Walls Windows]]*BOQs!$L$6</f>
        <v>0</v>
      </c>
      <c r="Z318" s="76"/>
      <c r="AA318" s="37"/>
      <c r="AB318" s="86">
        <f>tbl_Actual_costs_quantities34[[#This Row],[Plastering Painting]]*BOQs!$L$7</f>
        <v>0</v>
      </c>
      <c r="AC318" s="76"/>
      <c r="AD318" s="37"/>
      <c r="AE318" s="86">
        <f>tbl_Actual_costs_quantities34[[#This Row],[Floor Repairs]]*BOQs!$L$8</f>
        <v>0</v>
      </c>
      <c r="AF318" s="76"/>
      <c r="AG318" s="37"/>
      <c r="AH318" s="86">
        <f>tbl_Actual_costs_quantities34[[#This Row],[Doors Replacement Repair]]*BOQs!$L$9</f>
        <v>0</v>
      </c>
      <c r="AI318" s="76"/>
      <c r="AJ318" s="37"/>
      <c r="AK318" s="86">
        <f>tbl_Actual_costs_quantities34[[#This Row],[Windows Replacement Repair]]*BOQs!$L$10</f>
        <v>0</v>
      </c>
      <c r="AL318" s="76"/>
      <c r="AM318" s="37"/>
      <c r="AN318" s="86">
        <f>tbl_Actual_costs_quantities34[[#This Row],[Bathroom Rehabilitation]]*BOQs!$L$11</f>
        <v>0</v>
      </c>
      <c r="AO318" s="76"/>
      <c r="AP318" s="37"/>
      <c r="AQ318" s="86">
        <f>tbl_Actual_costs_quantities34[[#This Row],[Ceramic Tile Works WASH]]*BOQs!$L$12</f>
        <v>0</v>
      </c>
      <c r="AR318" s="76"/>
      <c r="AS318" s="37"/>
      <c r="AT318" s="86">
        <f>tbl_Actual_costs_quantities34[[#This Row],[Electrical Repairs Lighting]]*BOQs!$L$13</f>
        <v>0</v>
      </c>
      <c r="AU318" s="76"/>
      <c r="AV318" s="37"/>
      <c r="AW318" s="86">
        <f>tbl_Actual_costs_quantities34[[#This Row],[Roof Insulation Leak Sealing]]*BOQs!$L$14</f>
        <v>0</v>
      </c>
      <c r="AX318" s="76"/>
      <c r="AY318" s="37"/>
      <c r="AZ318" s="86">
        <f>tbl_Actual_costs_quantities34[[#This Row],[Chimney Duct Cleaning Repair]]*BOQs!$L$15</f>
        <v>0</v>
      </c>
      <c r="BA318" s="76"/>
      <c r="BB318" s="37"/>
      <c r="BC318" s="89">
        <f>tbl_Actual_costs_quantities34[[#This Row],[Accessibility Adaptations]]*BOQs!$L$16</f>
        <v>0</v>
      </c>
      <c r="BD318" s="41"/>
      <c r="BE318" s="37"/>
      <c r="BF318" s="37"/>
    </row>
    <row r="319" spans="2:58" ht="25.15" customHeight="1" x14ac:dyDescent="0.25">
      <c r="B319" s="49">
        <v>315</v>
      </c>
      <c r="C319" s="37"/>
      <c r="D319" s="41"/>
      <c r="E319" s="40"/>
      <c r="F319" s="87" t="str">
        <f>IF(tbl_Actual_costs_quantities34[[#This Row],[House Code]]&lt;&gt;"",INDEX(tbl_Assessment[],MATCH(tbl_Actual_costs_quantities34[[#This Row],[House Code]],tbl_Assessment[House Code],0),3),"")</f>
        <v/>
      </c>
      <c r="G319" s="116" t="str">
        <f>IF(tbl_Actual_costs_quantities34[[#This Row],[House Code]]&lt;&gt;"",INDEX(tbl_Assessment[],MATCH(tbl_Actual_costs_quantities34[[#This Row],[House Code]],tbl_Assessment[House Code],0),9),"")</f>
        <v/>
      </c>
      <c r="H319" s="41"/>
      <c r="I319" s="41"/>
      <c r="J319" s="41"/>
      <c r="K319" s="116"/>
      <c r="L319" s="117" t="str">
        <f>IF(tbl_Actual_costs_quantities34[[#This Row],[House Code]]&lt;&gt;"",tbl_Actual_costs_quantities34[[#This Row],[Total cost]]/INDEX(tbl_estimated_costs_quantities[],MATCH(tbl_Actual_costs_quantities34[[#This Row],[House Code]],tbl_estimated_costs_quantities[House Code],0),7),"")</f>
        <v/>
      </c>
      <c r="M31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19" s="75"/>
      <c r="O319" s="37"/>
      <c r="P319" s="86">
        <f>tbl_Actual_costs_quantities34[[#This Row],[Site Preparation]]*BOQs!$L$3</f>
        <v>0</v>
      </c>
      <c r="Q319" s="76"/>
      <c r="R319" s="37"/>
      <c r="S319" s="86">
        <f>tbl_Actual_costs_quantities34[[#This Row],[Demolition Removal Unsafe Structures]]*BOQs!$L$4</f>
        <v>0</v>
      </c>
      <c r="T319" s="76"/>
      <c r="U319" s="37"/>
      <c r="V319" s="86">
        <f>tbl_Actual_costs_quantities34[[#This Row],[Concrete Works]]*BOQs!$L$5</f>
        <v>0</v>
      </c>
      <c r="W319" s="76"/>
      <c r="X319" s="37"/>
      <c r="Y319" s="86">
        <f>tbl_Actual_costs_quantities34[[#This Row],[Closure External Openings Walls Windows]]*BOQs!$L$6</f>
        <v>0</v>
      </c>
      <c r="Z319" s="76"/>
      <c r="AA319" s="37"/>
      <c r="AB319" s="86">
        <f>tbl_Actual_costs_quantities34[[#This Row],[Plastering Painting]]*BOQs!$L$7</f>
        <v>0</v>
      </c>
      <c r="AC319" s="76"/>
      <c r="AD319" s="37"/>
      <c r="AE319" s="86">
        <f>tbl_Actual_costs_quantities34[[#This Row],[Floor Repairs]]*BOQs!$L$8</f>
        <v>0</v>
      </c>
      <c r="AF319" s="76"/>
      <c r="AG319" s="37"/>
      <c r="AH319" s="86">
        <f>tbl_Actual_costs_quantities34[[#This Row],[Doors Replacement Repair]]*BOQs!$L$9</f>
        <v>0</v>
      </c>
      <c r="AI319" s="76"/>
      <c r="AJ319" s="37"/>
      <c r="AK319" s="86">
        <f>tbl_Actual_costs_quantities34[[#This Row],[Windows Replacement Repair]]*BOQs!$L$10</f>
        <v>0</v>
      </c>
      <c r="AL319" s="76"/>
      <c r="AM319" s="37"/>
      <c r="AN319" s="86">
        <f>tbl_Actual_costs_quantities34[[#This Row],[Bathroom Rehabilitation]]*BOQs!$L$11</f>
        <v>0</v>
      </c>
      <c r="AO319" s="76"/>
      <c r="AP319" s="37"/>
      <c r="AQ319" s="86">
        <f>tbl_Actual_costs_quantities34[[#This Row],[Ceramic Tile Works WASH]]*BOQs!$L$12</f>
        <v>0</v>
      </c>
      <c r="AR319" s="76"/>
      <c r="AS319" s="37"/>
      <c r="AT319" s="86">
        <f>tbl_Actual_costs_quantities34[[#This Row],[Electrical Repairs Lighting]]*BOQs!$L$13</f>
        <v>0</v>
      </c>
      <c r="AU319" s="76"/>
      <c r="AV319" s="37"/>
      <c r="AW319" s="86">
        <f>tbl_Actual_costs_quantities34[[#This Row],[Roof Insulation Leak Sealing]]*BOQs!$L$14</f>
        <v>0</v>
      </c>
      <c r="AX319" s="76"/>
      <c r="AY319" s="37"/>
      <c r="AZ319" s="86">
        <f>tbl_Actual_costs_quantities34[[#This Row],[Chimney Duct Cleaning Repair]]*BOQs!$L$15</f>
        <v>0</v>
      </c>
      <c r="BA319" s="76"/>
      <c r="BB319" s="37"/>
      <c r="BC319" s="89">
        <f>tbl_Actual_costs_quantities34[[#This Row],[Accessibility Adaptations]]*BOQs!$L$16</f>
        <v>0</v>
      </c>
      <c r="BD319" s="41"/>
      <c r="BE319" s="37"/>
      <c r="BF319" s="37"/>
    </row>
    <row r="320" spans="2:58" ht="25.15" customHeight="1" x14ac:dyDescent="0.25">
      <c r="B320" s="49">
        <v>316</v>
      </c>
      <c r="C320" s="37"/>
      <c r="D320" s="41"/>
      <c r="E320" s="40"/>
      <c r="F320" s="87" t="str">
        <f>IF(tbl_Actual_costs_quantities34[[#This Row],[House Code]]&lt;&gt;"",INDEX(tbl_Assessment[],MATCH(tbl_Actual_costs_quantities34[[#This Row],[House Code]],tbl_Assessment[House Code],0),3),"")</f>
        <v/>
      </c>
      <c r="G320" s="116" t="str">
        <f>IF(tbl_Actual_costs_quantities34[[#This Row],[House Code]]&lt;&gt;"",INDEX(tbl_Assessment[],MATCH(tbl_Actual_costs_quantities34[[#This Row],[House Code]],tbl_Assessment[House Code],0),9),"")</f>
        <v/>
      </c>
      <c r="H320" s="41"/>
      <c r="I320" s="41"/>
      <c r="J320" s="41"/>
      <c r="K320" s="116"/>
      <c r="L320" s="117" t="str">
        <f>IF(tbl_Actual_costs_quantities34[[#This Row],[House Code]]&lt;&gt;"",tbl_Actual_costs_quantities34[[#This Row],[Total cost]]/INDEX(tbl_estimated_costs_quantities[],MATCH(tbl_Actual_costs_quantities34[[#This Row],[House Code]],tbl_estimated_costs_quantities[House Code],0),7),"")</f>
        <v/>
      </c>
      <c r="M32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0" s="75"/>
      <c r="O320" s="37"/>
      <c r="P320" s="86">
        <f>tbl_Actual_costs_quantities34[[#This Row],[Site Preparation]]*BOQs!$L$3</f>
        <v>0</v>
      </c>
      <c r="Q320" s="76"/>
      <c r="R320" s="37"/>
      <c r="S320" s="86">
        <f>tbl_Actual_costs_quantities34[[#This Row],[Demolition Removal Unsafe Structures]]*BOQs!$L$4</f>
        <v>0</v>
      </c>
      <c r="T320" s="76"/>
      <c r="U320" s="37"/>
      <c r="V320" s="86">
        <f>tbl_Actual_costs_quantities34[[#This Row],[Concrete Works]]*BOQs!$L$5</f>
        <v>0</v>
      </c>
      <c r="W320" s="76"/>
      <c r="X320" s="37"/>
      <c r="Y320" s="86">
        <f>tbl_Actual_costs_quantities34[[#This Row],[Closure External Openings Walls Windows]]*BOQs!$L$6</f>
        <v>0</v>
      </c>
      <c r="Z320" s="76"/>
      <c r="AA320" s="37"/>
      <c r="AB320" s="86">
        <f>tbl_Actual_costs_quantities34[[#This Row],[Plastering Painting]]*BOQs!$L$7</f>
        <v>0</v>
      </c>
      <c r="AC320" s="76"/>
      <c r="AD320" s="37"/>
      <c r="AE320" s="86">
        <f>tbl_Actual_costs_quantities34[[#This Row],[Floor Repairs]]*BOQs!$L$8</f>
        <v>0</v>
      </c>
      <c r="AF320" s="76"/>
      <c r="AG320" s="37"/>
      <c r="AH320" s="86">
        <f>tbl_Actual_costs_quantities34[[#This Row],[Doors Replacement Repair]]*BOQs!$L$9</f>
        <v>0</v>
      </c>
      <c r="AI320" s="76"/>
      <c r="AJ320" s="37"/>
      <c r="AK320" s="86">
        <f>tbl_Actual_costs_quantities34[[#This Row],[Windows Replacement Repair]]*BOQs!$L$10</f>
        <v>0</v>
      </c>
      <c r="AL320" s="76"/>
      <c r="AM320" s="37"/>
      <c r="AN320" s="86">
        <f>tbl_Actual_costs_quantities34[[#This Row],[Bathroom Rehabilitation]]*BOQs!$L$11</f>
        <v>0</v>
      </c>
      <c r="AO320" s="76"/>
      <c r="AP320" s="37"/>
      <c r="AQ320" s="86">
        <f>tbl_Actual_costs_quantities34[[#This Row],[Ceramic Tile Works WASH]]*BOQs!$L$12</f>
        <v>0</v>
      </c>
      <c r="AR320" s="76"/>
      <c r="AS320" s="37"/>
      <c r="AT320" s="86">
        <f>tbl_Actual_costs_quantities34[[#This Row],[Electrical Repairs Lighting]]*BOQs!$L$13</f>
        <v>0</v>
      </c>
      <c r="AU320" s="76"/>
      <c r="AV320" s="37"/>
      <c r="AW320" s="86">
        <f>tbl_Actual_costs_quantities34[[#This Row],[Roof Insulation Leak Sealing]]*BOQs!$L$14</f>
        <v>0</v>
      </c>
      <c r="AX320" s="76"/>
      <c r="AY320" s="37"/>
      <c r="AZ320" s="86">
        <f>tbl_Actual_costs_quantities34[[#This Row],[Chimney Duct Cleaning Repair]]*BOQs!$L$15</f>
        <v>0</v>
      </c>
      <c r="BA320" s="76"/>
      <c r="BB320" s="37"/>
      <c r="BC320" s="89">
        <f>tbl_Actual_costs_quantities34[[#This Row],[Accessibility Adaptations]]*BOQs!$L$16</f>
        <v>0</v>
      </c>
      <c r="BD320" s="41"/>
      <c r="BE320" s="37"/>
      <c r="BF320" s="37"/>
    </row>
    <row r="321" spans="2:58" ht="25.15" customHeight="1" x14ac:dyDescent="0.25">
      <c r="B321" s="49">
        <v>317</v>
      </c>
      <c r="C321" s="37"/>
      <c r="D321" s="41"/>
      <c r="E321" s="40"/>
      <c r="F321" s="87" t="str">
        <f>IF(tbl_Actual_costs_quantities34[[#This Row],[House Code]]&lt;&gt;"",INDEX(tbl_Assessment[],MATCH(tbl_Actual_costs_quantities34[[#This Row],[House Code]],tbl_Assessment[House Code],0),3),"")</f>
        <v/>
      </c>
      <c r="G321" s="116" t="str">
        <f>IF(tbl_Actual_costs_quantities34[[#This Row],[House Code]]&lt;&gt;"",INDEX(tbl_Assessment[],MATCH(tbl_Actual_costs_quantities34[[#This Row],[House Code]],tbl_Assessment[House Code],0),9),"")</f>
        <v/>
      </c>
      <c r="H321" s="41"/>
      <c r="I321" s="41"/>
      <c r="J321" s="41"/>
      <c r="K321" s="116"/>
      <c r="L321" s="117" t="str">
        <f>IF(tbl_Actual_costs_quantities34[[#This Row],[House Code]]&lt;&gt;"",tbl_Actual_costs_quantities34[[#This Row],[Total cost]]/INDEX(tbl_estimated_costs_quantities[],MATCH(tbl_Actual_costs_quantities34[[#This Row],[House Code]],tbl_estimated_costs_quantities[House Code],0),7),"")</f>
        <v/>
      </c>
      <c r="M32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1" s="75"/>
      <c r="O321" s="37"/>
      <c r="P321" s="86">
        <f>tbl_Actual_costs_quantities34[[#This Row],[Site Preparation]]*BOQs!$L$3</f>
        <v>0</v>
      </c>
      <c r="Q321" s="76"/>
      <c r="R321" s="37"/>
      <c r="S321" s="86">
        <f>tbl_Actual_costs_quantities34[[#This Row],[Demolition Removal Unsafe Structures]]*BOQs!$L$4</f>
        <v>0</v>
      </c>
      <c r="T321" s="76"/>
      <c r="U321" s="37"/>
      <c r="V321" s="86">
        <f>tbl_Actual_costs_quantities34[[#This Row],[Concrete Works]]*BOQs!$L$5</f>
        <v>0</v>
      </c>
      <c r="W321" s="76"/>
      <c r="X321" s="37"/>
      <c r="Y321" s="86">
        <f>tbl_Actual_costs_quantities34[[#This Row],[Closure External Openings Walls Windows]]*BOQs!$L$6</f>
        <v>0</v>
      </c>
      <c r="Z321" s="76"/>
      <c r="AA321" s="37"/>
      <c r="AB321" s="86">
        <f>tbl_Actual_costs_quantities34[[#This Row],[Plastering Painting]]*BOQs!$L$7</f>
        <v>0</v>
      </c>
      <c r="AC321" s="76"/>
      <c r="AD321" s="37"/>
      <c r="AE321" s="86">
        <f>tbl_Actual_costs_quantities34[[#This Row],[Floor Repairs]]*BOQs!$L$8</f>
        <v>0</v>
      </c>
      <c r="AF321" s="76"/>
      <c r="AG321" s="37"/>
      <c r="AH321" s="86">
        <f>tbl_Actual_costs_quantities34[[#This Row],[Doors Replacement Repair]]*BOQs!$L$9</f>
        <v>0</v>
      </c>
      <c r="AI321" s="76"/>
      <c r="AJ321" s="37"/>
      <c r="AK321" s="86">
        <f>tbl_Actual_costs_quantities34[[#This Row],[Windows Replacement Repair]]*BOQs!$L$10</f>
        <v>0</v>
      </c>
      <c r="AL321" s="76"/>
      <c r="AM321" s="37"/>
      <c r="AN321" s="86">
        <f>tbl_Actual_costs_quantities34[[#This Row],[Bathroom Rehabilitation]]*BOQs!$L$11</f>
        <v>0</v>
      </c>
      <c r="AO321" s="76"/>
      <c r="AP321" s="37"/>
      <c r="AQ321" s="86">
        <f>tbl_Actual_costs_quantities34[[#This Row],[Ceramic Tile Works WASH]]*BOQs!$L$12</f>
        <v>0</v>
      </c>
      <c r="AR321" s="76"/>
      <c r="AS321" s="37"/>
      <c r="AT321" s="86">
        <f>tbl_Actual_costs_quantities34[[#This Row],[Electrical Repairs Lighting]]*BOQs!$L$13</f>
        <v>0</v>
      </c>
      <c r="AU321" s="76"/>
      <c r="AV321" s="37"/>
      <c r="AW321" s="86">
        <f>tbl_Actual_costs_quantities34[[#This Row],[Roof Insulation Leak Sealing]]*BOQs!$L$14</f>
        <v>0</v>
      </c>
      <c r="AX321" s="76"/>
      <c r="AY321" s="37"/>
      <c r="AZ321" s="86">
        <f>tbl_Actual_costs_quantities34[[#This Row],[Chimney Duct Cleaning Repair]]*BOQs!$L$15</f>
        <v>0</v>
      </c>
      <c r="BA321" s="76"/>
      <c r="BB321" s="37"/>
      <c r="BC321" s="89">
        <f>tbl_Actual_costs_quantities34[[#This Row],[Accessibility Adaptations]]*BOQs!$L$16</f>
        <v>0</v>
      </c>
      <c r="BD321" s="41"/>
      <c r="BE321" s="37"/>
      <c r="BF321" s="37"/>
    </row>
    <row r="322" spans="2:58" ht="25.15" customHeight="1" x14ac:dyDescent="0.25">
      <c r="B322" s="49">
        <v>318</v>
      </c>
      <c r="C322" s="37"/>
      <c r="D322" s="41"/>
      <c r="E322" s="40"/>
      <c r="F322" s="87" t="str">
        <f>IF(tbl_Actual_costs_quantities34[[#This Row],[House Code]]&lt;&gt;"",INDEX(tbl_Assessment[],MATCH(tbl_Actual_costs_quantities34[[#This Row],[House Code]],tbl_Assessment[House Code],0),3),"")</f>
        <v/>
      </c>
      <c r="G322" s="116" t="str">
        <f>IF(tbl_Actual_costs_quantities34[[#This Row],[House Code]]&lt;&gt;"",INDEX(tbl_Assessment[],MATCH(tbl_Actual_costs_quantities34[[#This Row],[House Code]],tbl_Assessment[House Code],0),9),"")</f>
        <v/>
      </c>
      <c r="H322" s="41"/>
      <c r="I322" s="41"/>
      <c r="J322" s="41"/>
      <c r="K322" s="116"/>
      <c r="L322" s="117" t="str">
        <f>IF(tbl_Actual_costs_quantities34[[#This Row],[House Code]]&lt;&gt;"",tbl_Actual_costs_quantities34[[#This Row],[Total cost]]/INDEX(tbl_estimated_costs_quantities[],MATCH(tbl_Actual_costs_quantities34[[#This Row],[House Code]],tbl_estimated_costs_quantities[House Code],0),7),"")</f>
        <v/>
      </c>
      <c r="M32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2" s="75"/>
      <c r="O322" s="37"/>
      <c r="P322" s="86">
        <f>tbl_Actual_costs_quantities34[[#This Row],[Site Preparation]]*BOQs!$L$3</f>
        <v>0</v>
      </c>
      <c r="Q322" s="76"/>
      <c r="R322" s="37"/>
      <c r="S322" s="86">
        <f>tbl_Actual_costs_quantities34[[#This Row],[Demolition Removal Unsafe Structures]]*BOQs!$L$4</f>
        <v>0</v>
      </c>
      <c r="T322" s="76"/>
      <c r="U322" s="37"/>
      <c r="V322" s="86">
        <f>tbl_Actual_costs_quantities34[[#This Row],[Concrete Works]]*BOQs!$L$5</f>
        <v>0</v>
      </c>
      <c r="W322" s="76"/>
      <c r="X322" s="37"/>
      <c r="Y322" s="86">
        <f>tbl_Actual_costs_quantities34[[#This Row],[Closure External Openings Walls Windows]]*BOQs!$L$6</f>
        <v>0</v>
      </c>
      <c r="Z322" s="76"/>
      <c r="AA322" s="37"/>
      <c r="AB322" s="86">
        <f>tbl_Actual_costs_quantities34[[#This Row],[Plastering Painting]]*BOQs!$L$7</f>
        <v>0</v>
      </c>
      <c r="AC322" s="76"/>
      <c r="AD322" s="37"/>
      <c r="AE322" s="86">
        <f>tbl_Actual_costs_quantities34[[#This Row],[Floor Repairs]]*BOQs!$L$8</f>
        <v>0</v>
      </c>
      <c r="AF322" s="76"/>
      <c r="AG322" s="37"/>
      <c r="AH322" s="86">
        <f>tbl_Actual_costs_quantities34[[#This Row],[Doors Replacement Repair]]*BOQs!$L$9</f>
        <v>0</v>
      </c>
      <c r="AI322" s="76"/>
      <c r="AJ322" s="37"/>
      <c r="AK322" s="86">
        <f>tbl_Actual_costs_quantities34[[#This Row],[Windows Replacement Repair]]*BOQs!$L$10</f>
        <v>0</v>
      </c>
      <c r="AL322" s="76"/>
      <c r="AM322" s="37"/>
      <c r="AN322" s="86">
        <f>tbl_Actual_costs_quantities34[[#This Row],[Bathroom Rehabilitation]]*BOQs!$L$11</f>
        <v>0</v>
      </c>
      <c r="AO322" s="76"/>
      <c r="AP322" s="37"/>
      <c r="AQ322" s="86">
        <f>tbl_Actual_costs_quantities34[[#This Row],[Ceramic Tile Works WASH]]*BOQs!$L$12</f>
        <v>0</v>
      </c>
      <c r="AR322" s="76"/>
      <c r="AS322" s="37"/>
      <c r="AT322" s="86">
        <f>tbl_Actual_costs_quantities34[[#This Row],[Electrical Repairs Lighting]]*BOQs!$L$13</f>
        <v>0</v>
      </c>
      <c r="AU322" s="76"/>
      <c r="AV322" s="37"/>
      <c r="AW322" s="86">
        <f>tbl_Actual_costs_quantities34[[#This Row],[Roof Insulation Leak Sealing]]*BOQs!$L$14</f>
        <v>0</v>
      </c>
      <c r="AX322" s="76"/>
      <c r="AY322" s="37"/>
      <c r="AZ322" s="86">
        <f>tbl_Actual_costs_quantities34[[#This Row],[Chimney Duct Cleaning Repair]]*BOQs!$L$15</f>
        <v>0</v>
      </c>
      <c r="BA322" s="76"/>
      <c r="BB322" s="37"/>
      <c r="BC322" s="89">
        <f>tbl_Actual_costs_quantities34[[#This Row],[Accessibility Adaptations]]*BOQs!$L$16</f>
        <v>0</v>
      </c>
      <c r="BD322" s="41"/>
      <c r="BE322" s="37"/>
      <c r="BF322" s="37"/>
    </row>
    <row r="323" spans="2:58" ht="25.15" customHeight="1" x14ac:dyDescent="0.25">
      <c r="B323" s="49">
        <v>319</v>
      </c>
      <c r="C323" s="37"/>
      <c r="D323" s="41"/>
      <c r="E323" s="40"/>
      <c r="F323" s="87" t="str">
        <f>IF(tbl_Actual_costs_quantities34[[#This Row],[House Code]]&lt;&gt;"",INDEX(tbl_Assessment[],MATCH(tbl_Actual_costs_quantities34[[#This Row],[House Code]],tbl_Assessment[House Code],0),3),"")</f>
        <v/>
      </c>
      <c r="G323" s="116" t="str">
        <f>IF(tbl_Actual_costs_quantities34[[#This Row],[House Code]]&lt;&gt;"",INDEX(tbl_Assessment[],MATCH(tbl_Actual_costs_quantities34[[#This Row],[House Code]],tbl_Assessment[House Code],0),9),"")</f>
        <v/>
      </c>
      <c r="H323" s="41"/>
      <c r="I323" s="41"/>
      <c r="J323" s="41"/>
      <c r="K323" s="116"/>
      <c r="L323" s="117" t="str">
        <f>IF(tbl_Actual_costs_quantities34[[#This Row],[House Code]]&lt;&gt;"",tbl_Actual_costs_quantities34[[#This Row],[Total cost]]/INDEX(tbl_estimated_costs_quantities[],MATCH(tbl_Actual_costs_quantities34[[#This Row],[House Code]],tbl_estimated_costs_quantities[House Code],0),7),"")</f>
        <v/>
      </c>
      <c r="M32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3" s="75"/>
      <c r="O323" s="37"/>
      <c r="P323" s="86">
        <f>tbl_Actual_costs_quantities34[[#This Row],[Site Preparation]]*BOQs!$L$3</f>
        <v>0</v>
      </c>
      <c r="Q323" s="76"/>
      <c r="R323" s="37"/>
      <c r="S323" s="86">
        <f>tbl_Actual_costs_quantities34[[#This Row],[Demolition Removal Unsafe Structures]]*BOQs!$L$4</f>
        <v>0</v>
      </c>
      <c r="T323" s="76"/>
      <c r="U323" s="37"/>
      <c r="V323" s="86">
        <f>tbl_Actual_costs_quantities34[[#This Row],[Concrete Works]]*BOQs!$L$5</f>
        <v>0</v>
      </c>
      <c r="W323" s="76"/>
      <c r="X323" s="37"/>
      <c r="Y323" s="86">
        <f>tbl_Actual_costs_quantities34[[#This Row],[Closure External Openings Walls Windows]]*BOQs!$L$6</f>
        <v>0</v>
      </c>
      <c r="Z323" s="76"/>
      <c r="AA323" s="37"/>
      <c r="AB323" s="86">
        <f>tbl_Actual_costs_quantities34[[#This Row],[Plastering Painting]]*BOQs!$L$7</f>
        <v>0</v>
      </c>
      <c r="AC323" s="76"/>
      <c r="AD323" s="37"/>
      <c r="AE323" s="86">
        <f>tbl_Actual_costs_quantities34[[#This Row],[Floor Repairs]]*BOQs!$L$8</f>
        <v>0</v>
      </c>
      <c r="AF323" s="76"/>
      <c r="AG323" s="37"/>
      <c r="AH323" s="86">
        <f>tbl_Actual_costs_quantities34[[#This Row],[Doors Replacement Repair]]*BOQs!$L$9</f>
        <v>0</v>
      </c>
      <c r="AI323" s="76"/>
      <c r="AJ323" s="37"/>
      <c r="AK323" s="86">
        <f>tbl_Actual_costs_quantities34[[#This Row],[Windows Replacement Repair]]*BOQs!$L$10</f>
        <v>0</v>
      </c>
      <c r="AL323" s="76"/>
      <c r="AM323" s="37"/>
      <c r="AN323" s="86">
        <f>tbl_Actual_costs_quantities34[[#This Row],[Bathroom Rehabilitation]]*BOQs!$L$11</f>
        <v>0</v>
      </c>
      <c r="AO323" s="76"/>
      <c r="AP323" s="37"/>
      <c r="AQ323" s="86">
        <f>tbl_Actual_costs_quantities34[[#This Row],[Ceramic Tile Works WASH]]*BOQs!$L$12</f>
        <v>0</v>
      </c>
      <c r="AR323" s="76"/>
      <c r="AS323" s="37"/>
      <c r="AT323" s="86">
        <f>tbl_Actual_costs_quantities34[[#This Row],[Electrical Repairs Lighting]]*BOQs!$L$13</f>
        <v>0</v>
      </c>
      <c r="AU323" s="76"/>
      <c r="AV323" s="37"/>
      <c r="AW323" s="86">
        <f>tbl_Actual_costs_quantities34[[#This Row],[Roof Insulation Leak Sealing]]*BOQs!$L$14</f>
        <v>0</v>
      </c>
      <c r="AX323" s="76"/>
      <c r="AY323" s="37"/>
      <c r="AZ323" s="86">
        <f>tbl_Actual_costs_quantities34[[#This Row],[Chimney Duct Cleaning Repair]]*BOQs!$L$15</f>
        <v>0</v>
      </c>
      <c r="BA323" s="76"/>
      <c r="BB323" s="37"/>
      <c r="BC323" s="89">
        <f>tbl_Actual_costs_quantities34[[#This Row],[Accessibility Adaptations]]*BOQs!$L$16</f>
        <v>0</v>
      </c>
      <c r="BD323" s="41"/>
      <c r="BE323" s="37"/>
      <c r="BF323" s="37"/>
    </row>
    <row r="324" spans="2:58" ht="25.15" customHeight="1" x14ac:dyDescent="0.25">
      <c r="B324" s="49">
        <v>320</v>
      </c>
      <c r="C324" s="37"/>
      <c r="D324" s="41"/>
      <c r="E324" s="40"/>
      <c r="F324" s="87" t="str">
        <f>IF(tbl_Actual_costs_quantities34[[#This Row],[House Code]]&lt;&gt;"",INDEX(tbl_Assessment[],MATCH(tbl_Actual_costs_quantities34[[#This Row],[House Code]],tbl_Assessment[House Code],0),3),"")</f>
        <v/>
      </c>
      <c r="G324" s="116" t="str">
        <f>IF(tbl_Actual_costs_quantities34[[#This Row],[House Code]]&lt;&gt;"",INDEX(tbl_Assessment[],MATCH(tbl_Actual_costs_quantities34[[#This Row],[House Code]],tbl_Assessment[House Code],0),9),"")</f>
        <v/>
      </c>
      <c r="H324" s="41"/>
      <c r="I324" s="41"/>
      <c r="J324" s="41"/>
      <c r="K324" s="116"/>
      <c r="L324" s="117" t="str">
        <f>IF(tbl_Actual_costs_quantities34[[#This Row],[House Code]]&lt;&gt;"",tbl_Actual_costs_quantities34[[#This Row],[Total cost]]/INDEX(tbl_estimated_costs_quantities[],MATCH(tbl_Actual_costs_quantities34[[#This Row],[House Code]],tbl_estimated_costs_quantities[House Code],0),7),"")</f>
        <v/>
      </c>
      <c r="M32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4" s="75"/>
      <c r="O324" s="37"/>
      <c r="P324" s="86">
        <f>tbl_Actual_costs_quantities34[[#This Row],[Site Preparation]]*BOQs!$L$3</f>
        <v>0</v>
      </c>
      <c r="Q324" s="76"/>
      <c r="R324" s="37"/>
      <c r="S324" s="86">
        <f>tbl_Actual_costs_quantities34[[#This Row],[Demolition Removal Unsafe Structures]]*BOQs!$L$4</f>
        <v>0</v>
      </c>
      <c r="T324" s="76"/>
      <c r="U324" s="37"/>
      <c r="V324" s="86">
        <f>tbl_Actual_costs_quantities34[[#This Row],[Concrete Works]]*BOQs!$L$5</f>
        <v>0</v>
      </c>
      <c r="W324" s="76"/>
      <c r="X324" s="37"/>
      <c r="Y324" s="86">
        <f>tbl_Actual_costs_quantities34[[#This Row],[Closure External Openings Walls Windows]]*BOQs!$L$6</f>
        <v>0</v>
      </c>
      <c r="Z324" s="76"/>
      <c r="AA324" s="37"/>
      <c r="AB324" s="86">
        <f>tbl_Actual_costs_quantities34[[#This Row],[Plastering Painting]]*BOQs!$L$7</f>
        <v>0</v>
      </c>
      <c r="AC324" s="76"/>
      <c r="AD324" s="37"/>
      <c r="AE324" s="86">
        <f>tbl_Actual_costs_quantities34[[#This Row],[Floor Repairs]]*BOQs!$L$8</f>
        <v>0</v>
      </c>
      <c r="AF324" s="76"/>
      <c r="AG324" s="37"/>
      <c r="AH324" s="86">
        <f>tbl_Actual_costs_quantities34[[#This Row],[Doors Replacement Repair]]*BOQs!$L$9</f>
        <v>0</v>
      </c>
      <c r="AI324" s="76"/>
      <c r="AJ324" s="37"/>
      <c r="AK324" s="86">
        <f>tbl_Actual_costs_quantities34[[#This Row],[Windows Replacement Repair]]*BOQs!$L$10</f>
        <v>0</v>
      </c>
      <c r="AL324" s="76"/>
      <c r="AM324" s="37"/>
      <c r="AN324" s="86">
        <f>tbl_Actual_costs_quantities34[[#This Row],[Bathroom Rehabilitation]]*BOQs!$L$11</f>
        <v>0</v>
      </c>
      <c r="AO324" s="76"/>
      <c r="AP324" s="37"/>
      <c r="AQ324" s="86">
        <f>tbl_Actual_costs_quantities34[[#This Row],[Ceramic Tile Works WASH]]*BOQs!$L$12</f>
        <v>0</v>
      </c>
      <c r="AR324" s="76"/>
      <c r="AS324" s="37"/>
      <c r="AT324" s="86">
        <f>tbl_Actual_costs_quantities34[[#This Row],[Electrical Repairs Lighting]]*BOQs!$L$13</f>
        <v>0</v>
      </c>
      <c r="AU324" s="76"/>
      <c r="AV324" s="37"/>
      <c r="AW324" s="86">
        <f>tbl_Actual_costs_quantities34[[#This Row],[Roof Insulation Leak Sealing]]*BOQs!$L$14</f>
        <v>0</v>
      </c>
      <c r="AX324" s="76"/>
      <c r="AY324" s="37"/>
      <c r="AZ324" s="86">
        <f>tbl_Actual_costs_quantities34[[#This Row],[Chimney Duct Cleaning Repair]]*BOQs!$L$15</f>
        <v>0</v>
      </c>
      <c r="BA324" s="76"/>
      <c r="BB324" s="37"/>
      <c r="BC324" s="89">
        <f>tbl_Actual_costs_quantities34[[#This Row],[Accessibility Adaptations]]*BOQs!$L$16</f>
        <v>0</v>
      </c>
      <c r="BD324" s="41"/>
      <c r="BE324" s="37"/>
      <c r="BF324" s="37"/>
    </row>
    <row r="325" spans="2:58" ht="25.15" customHeight="1" x14ac:dyDescent="0.25">
      <c r="B325" s="49">
        <v>321</v>
      </c>
      <c r="C325" s="37"/>
      <c r="D325" s="41"/>
      <c r="E325" s="40"/>
      <c r="F325" s="87" t="str">
        <f>IF(tbl_Actual_costs_quantities34[[#This Row],[House Code]]&lt;&gt;"",INDEX(tbl_Assessment[],MATCH(tbl_Actual_costs_quantities34[[#This Row],[House Code]],tbl_Assessment[House Code],0),3),"")</f>
        <v/>
      </c>
      <c r="G325" s="116" t="str">
        <f>IF(tbl_Actual_costs_quantities34[[#This Row],[House Code]]&lt;&gt;"",INDEX(tbl_Assessment[],MATCH(tbl_Actual_costs_quantities34[[#This Row],[House Code]],tbl_Assessment[House Code],0),9),"")</f>
        <v/>
      </c>
      <c r="H325" s="41"/>
      <c r="I325" s="41"/>
      <c r="J325" s="41"/>
      <c r="K325" s="116"/>
      <c r="L325" s="117" t="str">
        <f>IF(tbl_Actual_costs_quantities34[[#This Row],[House Code]]&lt;&gt;"",tbl_Actual_costs_quantities34[[#This Row],[Total cost]]/INDEX(tbl_estimated_costs_quantities[],MATCH(tbl_Actual_costs_quantities34[[#This Row],[House Code]],tbl_estimated_costs_quantities[House Code],0),7),"")</f>
        <v/>
      </c>
      <c r="M32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5" s="75"/>
      <c r="O325" s="37"/>
      <c r="P325" s="86">
        <f>tbl_Actual_costs_quantities34[[#This Row],[Site Preparation]]*BOQs!$L$3</f>
        <v>0</v>
      </c>
      <c r="Q325" s="76"/>
      <c r="R325" s="37"/>
      <c r="S325" s="86">
        <f>tbl_Actual_costs_quantities34[[#This Row],[Demolition Removal Unsafe Structures]]*BOQs!$L$4</f>
        <v>0</v>
      </c>
      <c r="T325" s="76"/>
      <c r="U325" s="37"/>
      <c r="V325" s="86">
        <f>tbl_Actual_costs_quantities34[[#This Row],[Concrete Works]]*BOQs!$L$5</f>
        <v>0</v>
      </c>
      <c r="W325" s="76"/>
      <c r="X325" s="37"/>
      <c r="Y325" s="86">
        <f>tbl_Actual_costs_quantities34[[#This Row],[Closure External Openings Walls Windows]]*BOQs!$L$6</f>
        <v>0</v>
      </c>
      <c r="Z325" s="76"/>
      <c r="AA325" s="37"/>
      <c r="AB325" s="86">
        <f>tbl_Actual_costs_quantities34[[#This Row],[Plastering Painting]]*BOQs!$L$7</f>
        <v>0</v>
      </c>
      <c r="AC325" s="76"/>
      <c r="AD325" s="37"/>
      <c r="AE325" s="86">
        <f>tbl_Actual_costs_quantities34[[#This Row],[Floor Repairs]]*BOQs!$L$8</f>
        <v>0</v>
      </c>
      <c r="AF325" s="76"/>
      <c r="AG325" s="37"/>
      <c r="AH325" s="86">
        <f>tbl_Actual_costs_quantities34[[#This Row],[Doors Replacement Repair]]*BOQs!$L$9</f>
        <v>0</v>
      </c>
      <c r="AI325" s="76"/>
      <c r="AJ325" s="37"/>
      <c r="AK325" s="86">
        <f>tbl_Actual_costs_quantities34[[#This Row],[Windows Replacement Repair]]*BOQs!$L$10</f>
        <v>0</v>
      </c>
      <c r="AL325" s="76"/>
      <c r="AM325" s="37"/>
      <c r="AN325" s="86">
        <f>tbl_Actual_costs_quantities34[[#This Row],[Bathroom Rehabilitation]]*BOQs!$L$11</f>
        <v>0</v>
      </c>
      <c r="AO325" s="76"/>
      <c r="AP325" s="37"/>
      <c r="AQ325" s="86">
        <f>tbl_Actual_costs_quantities34[[#This Row],[Ceramic Tile Works WASH]]*BOQs!$L$12</f>
        <v>0</v>
      </c>
      <c r="AR325" s="76"/>
      <c r="AS325" s="37"/>
      <c r="AT325" s="86">
        <f>tbl_Actual_costs_quantities34[[#This Row],[Electrical Repairs Lighting]]*BOQs!$L$13</f>
        <v>0</v>
      </c>
      <c r="AU325" s="76"/>
      <c r="AV325" s="37"/>
      <c r="AW325" s="86">
        <f>tbl_Actual_costs_quantities34[[#This Row],[Roof Insulation Leak Sealing]]*BOQs!$L$14</f>
        <v>0</v>
      </c>
      <c r="AX325" s="76"/>
      <c r="AY325" s="37"/>
      <c r="AZ325" s="86">
        <f>tbl_Actual_costs_quantities34[[#This Row],[Chimney Duct Cleaning Repair]]*BOQs!$L$15</f>
        <v>0</v>
      </c>
      <c r="BA325" s="76"/>
      <c r="BB325" s="37"/>
      <c r="BC325" s="89">
        <f>tbl_Actual_costs_quantities34[[#This Row],[Accessibility Adaptations]]*BOQs!$L$16</f>
        <v>0</v>
      </c>
      <c r="BD325" s="41"/>
      <c r="BE325" s="37"/>
      <c r="BF325" s="37"/>
    </row>
    <row r="326" spans="2:58" ht="25.15" customHeight="1" x14ac:dyDescent="0.25">
      <c r="B326" s="49">
        <v>322</v>
      </c>
      <c r="C326" s="37"/>
      <c r="D326" s="41"/>
      <c r="E326" s="40"/>
      <c r="F326" s="87" t="str">
        <f>IF(tbl_Actual_costs_quantities34[[#This Row],[House Code]]&lt;&gt;"",INDEX(tbl_Assessment[],MATCH(tbl_Actual_costs_quantities34[[#This Row],[House Code]],tbl_Assessment[House Code],0),3),"")</f>
        <v/>
      </c>
      <c r="G326" s="116" t="str">
        <f>IF(tbl_Actual_costs_quantities34[[#This Row],[House Code]]&lt;&gt;"",INDEX(tbl_Assessment[],MATCH(tbl_Actual_costs_quantities34[[#This Row],[House Code]],tbl_Assessment[House Code],0),9),"")</f>
        <v/>
      </c>
      <c r="H326" s="41"/>
      <c r="I326" s="41"/>
      <c r="J326" s="41"/>
      <c r="K326" s="116"/>
      <c r="L326" s="117" t="str">
        <f>IF(tbl_Actual_costs_quantities34[[#This Row],[House Code]]&lt;&gt;"",tbl_Actual_costs_quantities34[[#This Row],[Total cost]]/INDEX(tbl_estimated_costs_quantities[],MATCH(tbl_Actual_costs_quantities34[[#This Row],[House Code]],tbl_estimated_costs_quantities[House Code],0),7),"")</f>
        <v/>
      </c>
      <c r="M32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6" s="75"/>
      <c r="O326" s="37"/>
      <c r="P326" s="86">
        <f>tbl_Actual_costs_quantities34[[#This Row],[Site Preparation]]*BOQs!$L$3</f>
        <v>0</v>
      </c>
      <c r="Q326" s="76"/>
      <c r="R326" s="37"/>
      <c r="S326" s="86">
        <f>tbl_Actual_costs_quantities34[[#This Row],[Demolition Removal Unsafe Structures]]*BOQs!$L$4</f>
        <v>0</v>
      </c>
      <c r="T326" s="76"/>
      <c r="U326" s="37"/>
      <c r="V326" s="86">
        <f>tbl_Actual_costs_quantities34[[#This Row],[Concrete Works]]*BOQs!$L$5</f>
        <v>0</v>
      </c>
      <c r="W326" s="76"/>
      <c r="X326" s="37"/>
      <c r="Y326" s="86">
        <f>tbl_Actual_costs_quantities34[[#This Row],[Closure External Openings Walls Windows]]*BOQs!$L$6</f>
        <v>0</v>
      </c>
      <c r="Z326" s="76"/>
      <c r="AA326" s="37"/>
      <c r="AB326" s="86">
        <f>tbl_Actual_costs_quantities34[[#This Row],[Plastering Painting]]*BOQs!$L$7</f>
        <v>0</v>
      </c>
      <c r="AC326" s="76"/>
      <c r="AD326" s="37"/>
      <c r="AE326" s="86">
        <f>tbl_Actual_costs_quantities34[[#This Row],[Floor Repairs]]*BOQs!$L$8</f>
        <v>0</v>
      </c>
      <c r="AF326" s="76"/>
      <c r="AG326" s="37"/>
      <c r="AH326" s="86">
        <f>tbl_Actual_costs_quantities34[[#This Row],[Doors Replacement Repair]]*BOQs!$L$9</f>
        <v>0</v>
      </c>
      <c r="AI326" s="76"/>
      <c r="AJ326" s="37"/>
      <c r="AK326" s="86">
        <f>tbl_Actual_costs_quantities34[[#This Row],[Windows Replacement Repair]]*BOQs!$L$10</f>
        <v>0</v>
      </c>
      <c r="AL326" s="76"/>
      <c r="AM326" s="37"/>
      <c r="AN326" s="86">
        <f>tbl_Actual_costs_quantities34[[#This Row],[Bathroom Rehabilitation]]*BOQs!$L$11</f>
        <v>0</v>
      </c>
      <c r="AO326" s="76"/>
      <c r="AP326" s="37"/>
      <c r="AQ326" s="86">
        <f>tbl_Actual_costs_quantities34[[#This Row],[Ceramic Tile Works WASH]]*BOQs!$L$12</f>
        <v>0</v>
      </c>
      <c r="AR326" s="76"/>
      <c r="AS326" s="37"/>
      <c r="AT326" s="86">
        <f>tbl_Actual_costs_quantities34[[#This Row],[Electrical Repairs Lighting]]*BOQs!$L$13</f>
        <v>0</v>
      </c>
      <c r="AU326" s="76"/>
      <c r="AV326" s="37"/>
      <c r="AW326" s="86">
        <f>tbl_Actual_costs_quantities34[[#This Row],[Roof Insulation Leak Sealing]]*BOQs!$L$14</f>
        <v>0</v>
      </c>
      <c r="AX326" s="76"/>
      <c r="AY326" s="37"/>
      <c r="AZ326" s="86">
        <f>tbl_Actual_costs_quantities34[[#This Row],[Chimney Duct Cleaning Repair]]*BOQs!$L$15</f>
        <v>0</v>
      </c>
      <c r="BA326" s="76"/>
      <c r="BB326" s="37"/>
      <c r="BC326" s="89">
        <f>tbl_Actual_costs_quantities34[[#This Row],[Accessibility Adaptations]]*BOQs!$L$16</f>
        <v>0</v>
      </c>
      <c r="BD326" s="41"/>
      <c r="BE326" s="37"/>
      <c r="BF326" s="37"/>
    </row>
    <row r="327" spans="2:58" ht="25.15" customHeight="1" x14ac:dyDescent="0.25">
      <c r="B327" s="49">
        <v>323</v>
      </c>
      <c r="C327" s="37"/>
      <c r="D327" s="41"/>
      <c r="E327" s="40"/>
      <c r="F327" s="87" t="str">
        <f>IF(tbl_Actual_costs_quantities34[[#This Row],[House Code]]&lt;&gt;"",INDEX(tbl_Assessment[],MATCH(tbl_Actual_costs_quantities34[[#This Row],[House Code]],tbl_Assessment[House Code],0),3),"")</f>
        <v/>
      </c>
      <c r="G327" s="116" t="str">
        <f>IF(tbl_Actual_costs_quantities34[[#This Row],[House Code]]&lt;&gt;"",INDEX(tbl_Assessment[],MATCH(tbl_Actual_costs_quantities34[[#This Row],[House Code]],tbl_Assessment[House Code],0),9),"")</f>
        <v/>
      </c>
      <c r="H327" s="41"/>
      <c r="I327" s="41"/>
      <c r="J327" s="41"/>
      <c r="K327" s="116"/>
      <c r="L327" s="117" t="str">
        <f>IF(tbl_Actual_costs_quantities34[[#This Row],[House Code]]&lt;&gt;"",tbl_Actual_costs_quantities34[[#This Row],[Total cost]]/INDEX(tbl_estimated_costs_quantities[],MATCH(tbl_Actual_costs_quantities34[[#This Row],[House Code]],tbl_estimated_costs_quantities[House Code],0),7),"")</f>
        <v/>
      </c>
      <c r="M32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7" s="75"/>
      <c r="O327" s="37"/>
      <c r="P327" s="86">
        <f>tbl_Actual_costs_quantities34[[#This Row],[Site Preparation]]*BOQs!$L$3</f>
        <v>0</v>
      </c>
      <c r="Q327" s="76"/>
      <c r="R327" s="37"/>
      <c r="S327" s="86">
        <f>tbl_Actual_costs_quantities34[[#This Row],[Demolition Removal Unsafe Structures]]*BOQs!$L$4</f>
        <v>0</v>
      </c>
      <c r="T327" s="76"/>
      <c r="U327" s="37"/>
      <c r="V327" s="86">
        <f>tbl_Actual_costs_quantities34[[#This Row],[Concrete Works]]*BOQs!$L$5</f>
        <v>0</v>
      </c>
      <c r="W327" s="76"/>
      <c r="X327" s="37"/>
      <c r="Y327" s="86">
        <f>tbl_Actual_costs_quantities34[[#This Row],[Closure External Openings Walls Windows]]*BOQs!$L$6</f>
        <v>0</v>
      </c>
      <c r="Z327" s="76"/>
      <c r="AA327" s="37"/>
      <c r="AB327" s="86">
        <f>tbl_Actual_costs_quantities34[[#This Row],[Plastering Painting]]*BOQs!$L$7</f>
        <v>0</v>
      </c>
      <c r="AC327" s="76"/>
      <c r="AD327" s="37"/>
      <c r="AE327" s="86">
        <f>tbl_Actual_costs_quantities34[[#This Row],[Floor Repairs]]*BOQs!$L$8</f>
        <v>0</v>
      </c>
      <c r="AF327" s="76"/>
      <c r="AG327" s="37"/>
      <c r="AH327" s="86">
        <f>tbl_Actual_costs_quantities34[[#This Row],[Doors Replacement Repair]]*BOQs!$L$9</f>
        <v>0</v>
      </c>
      <c r="AI327" s="76"/>
      <c r="AJ327" s="37"/>
      <c r="AK327" s="86">
        <f>tbl_Actual_costs_quantities34[[#This Row],[Windows Replacement Repair]]*BOQs!$L$10</f>
        <v>0</v>
      </c>
      <c r="AL327" s="76"/>
      <c r="AM327" s="37"/>
      <c r="AN327" s="86">
        <f>tbl_Actual_costs_quantities34[[#This Row],[Bathroom Rehabilitation]]*BOQs!$L$11</f>
        <v>0</v>
      </c>
      <c r="AO327" s="76"/>
      <c r="AP327" s="37"/>
      <c r="AQ327" s="86">
        <f>tbl_Actual_costs_quantities34[[#This Row],[Ceramic Tile Works WASH]]*BOQs!$L$12</f>
        <v>0</v>
      </c>
      <c r="AR327" s="76"/>
      <c r="AS327" s="37"/>
      <c r="AT327" s="86">
        <f>tbl_Actual_costs_quantities34[[#This Row],[Electrical Repairs Lighting]]*BOQs!$L$13</f>
        <v>0</v>
      </c>
      <c r="AU327" s="76"/>
      <c r="AV327" s="37"/>
      <c r="AW327" s="86">
        <f>tbl_Actual_costs_quantities34[[#This Row],[Roof Insulation Leak Sealing]]*BOQs!$L$14</f>
        <v>0</v>
      </c>
      <c r="AX327" s="76"/>
      <c r="AY327" s="37"/>
      <c r="AZ327" s="86">
        <f>tbl_Actual_costs_quantities34[[#This Row],[Chimney Duct Cleaning Repair]]*BOQs!$L$15</f>
        <v>0</v>
      </c>
      <c r="BA327" s="76"/>
      <c r="BB327" s="37"/>
      <c r="BC327" s="89">
        <f>tbl_Actual_costs_quantities34[[#This Row],[Accessibility Adaptations]]*BOQs!$L$16</f>
        <v>0</v>
      </c>
      <c r="BD327" s="41"/>
      <c r="BE327" s="37"/>
      <c r="BF327" s="37"/>
    </row>
    <row r="328" spans="2:58" ht="25.15" customHeight="1" x14ac:dyDescent="0.25">
      <c r="B328" s="49">
        <v>324</v>
      </c>
      <c r="C328" s="37"/>
      <c r="D328" s="41"/>
      <c r="E328" s="40"/>
      <c r="F328" s="87" t="str">
        <f>IF(tbl_Actual_costs_quantities34[[#This Row],[House Code]]&lt;&gt;"",INDEX(tbl_Assessment[],MATCH(tbl_Actual_costs_quantities34[[#This Row],[House Code]],tbl_Assessment[House Code],0),3),"")</f>
        <v/>
      </c>
      <c r="G328" s="116" t="str">
        <f>IF(tbl_Actual_costs_quantities34[[#This Row],[House Code]]&lt;&gt;"",INDEX(tbl_Assessment[],MATCH(tbl_Actual_costs_quantities34[[#This Row],[House Code]],tbl_Assessment[House Code],0),9),"")</f>
        <v/>
      </c>
      <c r="H328" s="41"/>
      <c r="I328" s="41"/>
      <c r="J328" s="41"/>
      <c r="K328" s="116"/>
      <c r="L328" s="117" t="str">
        <f>IF(tbl_Actual_costs_quantities34[[#This Row],[House Code]]&lt;&gt;"",tbl_Actual_costs_quantities34[[#This Row],[Total cost]]/INDEX(tbl_estimated_costs_quantities[],MATCH(tbl_Actual_costs_quantities34[[#This Row],[House Code]],tbl_estimated_costs_quantities[House Code],0),7),"")</f>
        <v/>
      </c>
      <c r="M32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8" s="75"/>
      <c r="O328" s="37"/>
      <c r="P328" s="86">
        <f>tbl_Actual_costs_quantities34[[#This Row],[Site Preparation]]*BOQs!$L$3</f>
        <v>0</v>
      </c>
      <c r="Q328" s="76"/>
      <c r="R328" s="37"/>
      <c r="S328" s="86">
        <f>tbl_Actual_costs_quantities34[[#This Row],[Demolition Removal Unsafe Structures]]*BOQs!$L$4</f>
        <v>0</v>
      </c>
      <c r="T328" s="76"/>
      <c r="U328" s="37"/>
      <c r="V328" s="86">
        <f>tbl_Actual_costs_quantities34[[#This Row],[Concrete Works]]*BOQs!$L$5</f>
        <v>0</v>
      </c>
      <c r="W328" s="76"/>
      <c r="X328" s="37"/>
      <c r="Y328" s="86">
        <f>tbl_Actual_costs_quantities34[[#This Row],[Closure External Openings Walls Windows]]*BOQs!$L$6</f>
        <v>0</v>
      </c>
      <c r="Z328" s="76"/>
      <c r="AA328" s="37"/>
      <c r="AB328" s="86">
        <f>tbl_Actual_costs_quantities34[[#This Row],[Plastering Painting]]*BOQs!$L$7</f>
        <v>0</v>
      </c>
      <c r="AC328" s="76"/>
      <c r="AD328" s="37"/>
      <c r="AE328" s="86">
        <f>tbl_Actual_costs_quantities34[[#This Row],[Floor Repairs]]*BOQs!$L$8</f>
        <v>0</v>
      </c>
      <c r="AF328" s="76"/>
      <c r="AG328" s="37"/>
      <c r="AH328" s="86">
        <f>tbl_Actual_costs_quantities34[[#This Row],[Doors Replacement Repair]]*BOQs!$L$9</f>
        <v>0</v>
      </c>
      <c r="AI328" s="76"/>
      <c r="AJ328" s="37"/>
      <c r="AK328" s="86">
        <f>tbl_Actual_costs_quantities34[[#This Row],[Windows Replacement Repair]]*BOQs!$L$10</f>
        <v>0</v>
      </c>
      <c r="AL328" s="76"/>
      <c r="AM328" s="37"/>
      <c r="AN328" s="86">
        <f>tbl_Actual_costs_quantities34[[#This Row],[Bathroom Rehabilitation]]*BOQs!$L$11</f>
        <v>0</v>
      </c>
      <c r="AO328" s="76"/>
      <c r="AP328" s="37"/>
      <c r="AQ328" s="86">
        <f>tbl_Actual_costs_quantities34[[#This Row],[Ceramic Tile Works WASH]]*BOQs!$L$12</f>
        <v>0</v>
      </c>
      <c r="AR328" s="76"/>
      <c r="AS328" s="37"/>
      <c r="AT328" s="86">
        <f>tbl_Actual_costs_quantities34[[#This Row],[Electrical Repairs Lighting]]*BOQs!$L$13</f>
        <v>0</v>
      </c>
      <c r="AU328" s="76"/>
      <c r="AV328" s="37"/>
      <c r="AW328" s="86">
        <f>tbl_Actual_costs_quantities34[[#This Row],[Roof Insulation Leak Sealing]]*BOQs!$L$14</f>
        <v>0</v>
      </c>
      <c r="AX328" s="76"/>
      <c r="AY328" s="37"/>
      <c r="AZ328" s="86">
        <f>tbl_Actual_costs_quantities34[[#This Row],[Chimney Duct Cleaning Repair]]*BOQs!$L$15</f>
        <v>0</v>
      </c>
      <c r="BA328" s="76"/>
      <c r="BB328" s="37"/>
      <c r="BC328" s="89">
        <f>tbl_Actual_costs_quantities34[[#This Row],[Accessibility Adaptations]]*BOQs!$L$16</f>
        <v>0</v>
      </c>
      <c r="BD328" s="41"/>
      <c r="BE328" s="37"/>
      <c r="BF328" s="37"/>
    </row>
    <row r="329" spans="2:58" ht="25.15" customHeight="1" x14ac:dyDescent="0.25">
      <c r="B329" s="49">
        <v>325</v>
      </c>
      <c r="C329" s="37"/>
      <c r="D329" s="41"/>
      <c r="E329" s="40"/>
      <c r="F329" s="87" t="str">
        <f>IF(tbl_Actual_costs_quantities34[[#This Row],[House Code]]&lt;&gt;"",INDEX(tbl_Assessment[],MATCH(tbl_Actual_costs_quantities34[[#This Row],[House Code]],tbl_Assessment[House Code],0),3),"")</f>
        <v/>
      </c>
      <c r="G329" s="116" t="str">
        <f>IF(tbl_Actual_costs_quantities34[[#This Row],[House Code]]&lt;&gt;"",INDEX(tbl_Assessment[],MATCH(tbl_Actual_costs_quantities34[[#This Row],[House Code]],tbl_Assessment[House Code],0),9),"")</f>
        <v/>
      </c>
      <c r="H329" s="41"/>
      <c r="I329" s="41"/>
      <c r="J329" s="41"/>
      <c r="K329" s="116"/>
      <c r="L329" s="117" t="str">
        <f>IF(tbl_Actual_costs_quantities34[[#This Row],[House Code]]&lt;&gt;"",tbl_Actual_costs_quantities34[[#This Row],[Total cost]]/INDEX(tbl_estimated_costs_quantities[],MATCH(tbl_Actual_costs_quantities34[[#This Row],[House Code]],tbl_estimated_costs_quantities[House Code],0),7),"")</f>
        <v/>
      </c>
      <c r="M32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29" s="75"/>
      <c r="O329" s="37"/>
      <c r="P329" s="86">
        <f>tbl_Actual_costs_quantities34[[#This Row],[Site Preparation]]*BOQs!$L$3</f>
        <v>0</v>
      </c>
      <c r="Q329" s="76"/>
      <c r="R329" s="37"/>
      <c r="S329" s="86">
        <f>tbl_Actual_costs_quantities34[[#This Row],[Demolition Removal Unsafe Structures]]*BOQs!$L$4</f>
        <v>0</v>
      </c>
      <c r="T329" s="76"/>
      <c r="U329" s="37"/>
      <c r="V329" s="86">
        <f>tbl_Actual_costs_quantities34[[#This Row],[Concrete Works]]*BOQs!$L$5</f>
        <v>0</v>
      </c>
      <c r="W329" s="76"/>
      <c r="X329" s="37"/>
      <c r="Y329" s="86">
        <f>tbl_Actual_costs_quantities34[[#This Row],[Closure External Openings Walls Windows]]*BOQs!$L$6</f>
        <v>0</v>
      </c>
      <c r="Z329" s="76"/>
      <c r="AA329" s="37"/>
      <c r="AB329" s="86">
        <f>tbl_Actual_costs_quantities34[[#This Row],[Plastering Painting]]*BOQs!$L$7</f>
        <v>0</v>
      </c>
      <c r="AC329" s="76"/>
      <c r="AD329" s="37"/>
      <c r="AE329" s="86">
        <f>tbl_Actual_costs_quantities34[[#This Row],[Floor Repairs]]*BOQs!$L$8</f>
        <v>0</v>
      </c>
      <c r="AF329" s="76"/>
      <c r="AG329" s="37"/>
      <c r="AH329" s="86">
        <f>tbl_Actual_costs_quantities34[[#This Row],[Doors Replacement Repair]]*BOQs!$L$9</f>
        <v>0</v>
      </c>
      <c r="AI329" s="76"/>
      <c r="AJ329" s="37"/>
      <c r="AK329" s="86">
        <f>tbl_Actual_costs_quantities34[[#This Row],[Windows Replacement Repair]]*BOQs!$L$10</f>
        <v>0</v>
      </c>
      <c r="AL329" s="76"/>
      <c r="AM329" s="37"/>
      <c r="AN329" s="86">
        <f>tbl_Actual_costs_quantities34[[#This Row],[Bathroom Rehabilitation]]*BOQs!$L$11</f>
        <v>0</v>
      </c>
      <c r="AO329" s="76"/>
      <c r="AP329" s="37"/>
      <c r="AQ329" s="86">
        <f>tbl_Actual_costs_quantities34[[#This Row],[Ceramic Tile Works WASH]]*BOQs!$L$12</f>
        <v>0</v>
      </c>
      <c r="AR329" s="76"/>
      <c r="AS329" s="37"/>
      <c r="AT329" s="86">
        <f>tbl_Actual_costs_quantities34[[#This Row],[Electrical Repairs Lighting]]*BOQs!$L$13</f>
        <v>0</v>
      </c>
      <c r="AU329" s="76"/>
      <c r="AV329" s="37"/>
      <c r="AW329" s="86">
        <f>tbl_Actual_costs_quantities34[[#This Row],[Roof Insulation Leak Sealing]]*BOQs!$L$14</f>
        <v>0</v>
      </c>
      <c r="AX329" s="76"/>
      <c r="AY329" s="37"/>
      <c r="AZ329" s="86">
        <f>tbl_Actual_costs_quantities34[[#This Row],[Chimney Duct Cleaning Repair]]*BOQs!$L$15</f>
        <v>0</v>
      </c>
      <c r="BA329" s="76"/>
      <c r="BB329" s="37"/>
      <c r="BC329" s="89">
        <f>tbl_Actual_costs_quantities34[[#This Row],[Accessibility Adaptations]]*BOQs!$L$16</f>
        <v>0</v>
      </c>
      <c r="BD329" s="41"/>
      <c r="BE329" s="37"/>
      <c r="BF329" s="37"/>
    </row>
    <row r="330" spans="2:58" ht="25.15" customHeight="1" x14ac:dyDescent="0.25">
      <c r="B330" s="49">
        <v>326</v>
      </c>
      <c r="C330" s="37"/>
      <c r="D330" s="41"/>
      <c r="E330" s="40"/>
      <c r="F330" s="87" t="str">
        <f>IF(tbl_Actual_costs_quantities34[[#This Row],[House Code]]&lt;&gt;"",INDEX(tbl_Assessment[],MATCH(tbl_Actual_costs_quantities34[[#This Row],[House Code]],tbl_Assessment[House Code],0),3),"")</f>
        <v/>
      </c>
      <c r="G330" s="116" t="str">
        <f>IF(tbl_Actual_costs_quantities34[[#This Row],[House Code]]&lt;&gt;"",INDEX(tbl_Assessment[],MATCH(tbl_Actual_costs_quantities34[[#This Row],[House Code]],tbl_Assessment[House Code],0),9),"")</f>
        <v/>
      </c>
      <c r="H330" s="41"/>
      <c r="I330" s="41"/>
      <c r="J330" s="41"/>
      <c r="K330" s="116"/>
      <c r="L330" s="117" t="str">
        <f>IF(tbl_Actual_costs_quantities34[[#This Row],[House Code]]&lt;&gt;"",tbl_Actual_costs_quantities34[[#This Row],[Total cost]]/INDEX(tbl_estimated_costs_quantities[],MATCH(tbl_Actual_costs_quantities34[[#This Row],[House Code]],tbl_estimated_costs_quantities[House Code],0),7),"")</f>
        <v/>
      </c>
      <c r="M33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0" s="75"/>
      <c r="O330" s="37"/>
      <c r="P330" s="86">
        <f>tbl_Actual_costs_quantities34[[#This Row],[Site Preparation]]*BOQs!$L$3</f>
        <v>0</v>
      </c>
      <c r="Q330" s="76"/>
      <c r="R330" s="37"/>
      <c r="S330" s="86">
        <f>tbl_Actual_costs_quantities34[[#This Row],[Demolition Removal Unsafe Structures]]*BOQs!$L$4</f>
        <v>0</v>
      </c>
      <c r="T330" s="76"/>
      <c r="U330" s="37"/>
      <c r="V330" s="86">
        <f>tbl_Actual_costs_quantities34[[#This Row],[Concrete Works]]*BOQs!$L$5</f>
        <v>0</v>
      </c>
      <c r="W330" s="76"/>
      <c r="X330" s="37"/>
      <c r="Y330" s="86">
        <f>tbl_Actual_costs_quantities34[[#This Row],[Closure External Openings Walls Windows]]*BOQs!$L$6</f>
        <v>0</v>
      </c>
      <c r="Z330" s="76"/>
      <c r="AA330" s="37"/>
      <c r="AB330" s="86">
        <f>tbl_Actual_costs_quantities34[[#This Row],[Plastering Painting]]*BOQs!$L$7</f>
        <v>0</v>
      </c>
      <c r="AC330" s="76"/>
      <c r="AD330" s="37"/>
      <c r="AE330" s="86">
        <f>tbl_Actual_costs_quantities34[[#This Row],[Floor Repairs]]*BOQs!$L$8</f>
        <v>0</v>
      </c>
      <c r="AF330" s="76"/>
      <c r="AG330" s="37"/>
      <c r="AH330" s="86">
        <f>tbl_Actual_costs_quantities34[[#This Row],[Doors Replacement Repair]]*BOQs!$L$9</f>
        <v>0</v>
      </c>
      <c r="AI330" s="76"/>
      <c r="AJ330" s="37"/>
      <c r="AK330" s="86">
        <f>tbl_Actual_costs_quantities34[[#This Row],[Windows Replacement Repair]]*BOQs!$L$10</f>
        <v>0</v>
      </c>
      <c r="AL330" s="76"/>
      <c r="AM330" s="37"/>
      <c r="AN330" s="86">
        <f>tbl_Actual_costs_quantities34[[#This Row],[Bathroom Rehabilitation]]*BOQs!$L$11</f>
        <v>0</v>
      </c>
      <c r="AO330" s="76"/>
      <c r="AP330" s="37"/>
      <c r="AQ330" s="86">
        <f>tbl_Actual_costs_quantities34[[#This Row],[Ceramic Tile Works WASH]]*BOQs!$L$12</f>
        <v>0</v>
      </c>
      <c r="AR330" s="76"/>
      <c r="AS330" s="37"/>
      <c r="AT330" s="86">
        <f>tbl_Actual_costs_quantities34[[#This Row],[Electrical Repairs Lighting]]*BOQs!$L$13</f>
        <v>0</v>
      </c>
      <c r="AU330" s="76"/>
      <c r="AV330" s="37"/>
      <c r="AW330" s="86">
        <f>tbl_Actual_costs_quantities34[[#This Row],[Roof Insulation Leak Sealing]]*BOQs!$L$14</f>
        <v>0</v>
      </c>
      <c r="AX330" s="76"/>
      <c r="AY330" s="37"/>
      <c r="AZ330" s="86">
        <f>tbl_Actual_costs_quantities34[[#This Row],[Chimney Duct Cleaning Repair]]*BOQs!$L$15</f>
        <v>0</v>
      </c>
      <c r="BA330" s="76"/>
      <c r="BB330" s="37"/>
      <c r="BC330" s="89">
        <f>tbl_Actual_costs_quantities34[[#This Row],[Accessibility Adaptations]]*BOQs!$L$16</f>
        <v>0</v>
      </c>
      <c r="BD330" s="41"/>
      <c r="BE330" s="37"/>
      <c r="BF330" s="37"/>
    </row>
    <row r="331" spans="2:58" ht="25.15" customHeight="1" x14ac:dyDescent="0.25">
      <c r="B331" s="49">
        <v>327</v>
      </c>
      <c r="C331" s="37"/>
      <c r="D331" s="41"/>
      <c r="E331" s="40"/>
      <c r="F331" s="87" t="str">
        <f>IF(tbl_Actual_costs_quantities34[[#This Row],[House Code]]&lt;&gt;"",INDEX(tbl_Assessment[],MATCH(tbl_Actual_costs_quantities34[[#This Row],[House Code]],tbl_Assessment[House Code],0),3),"")</f>
        <v/>
      </c>
      <c r="G331" s="116" t="str">
        <f>IF(tbl_Actual_costs_quantities34[[#This Row],[House Code]]&lt;&gt;"",INDEX(tbl_Assessment[],MATCH(tbl_Actual_costs_quantities34[[#This Row],[House Code]],tbl_Assessment[House Code],0),9),"")</f>
        <v/>
      </c>
      <c r="H331" s="41"/>
      <c r="I331" s="41"/>
      <c r="J331" s="41"/>
      <c r="K331" s="116"/>
      <c r="L331" s="117" t="str">
        <f>IF(tbl_Actual_costs_quantities34[[#This Row],[House Code]]&lt;&gt;"",tbl_Actual_costs_quantities34[[#This Row],[Total cost]]/INDEX(tbl_estimated_costs_quantities[],MATCH(tbl_Actual_costs_quantities34[[#This Row],[House Code]],tbl_estimated_costs_quantities[House Code],0),7),"")</f>
        <v/>
      </c>
      <c r="M33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1" s="75"/>
      <c r="O331" s="37"/>
      <c r="P331" s="86">
        <f>tbl_Actual_costs_quantities34[[#This Row],[Site Preparation]]*BOQs!$L$3</f>
        <v>0</v>
      </c>
      <c r="Q331" s="76"/>
      <c r="R331" s="37"/>
      <c r="S331" s="86">
        <f>tbl_Actual_costs_quantities34[[#This Row],[Demolition Removal Unsafe Structures]]*BOQs!$L$4</f>
        <v>0</v>
      </c>
      <c r="T331" s="76"/>
      <c r="U331" s="37"/>
      <c r="V331" s="86">
        <f>tbl_Actual_costs_quantities34[[#This Row],[Concrete Works]]*BOQs!$L$5</f>
        <v>0</v>
      </c>
      <c r="W331" s="76"/>
      <c r="X331" s="37"/>
      <c r="Y331" s="86">
        <f>tbl_Actual_costs_quantities34[[#This Row],[Closure External Openings Walls Windows]]*BOQs!$L$6</f>
        <v>0</v>
      </c>
      <c r="Z331" s="76"/>
      <c r="AA331" s="37"/>
      <c r="AB331" s="86">
        <f>tbl_Actual_costs_quantities34[[#This Row],[Plastering Painting]]*BOQs!$L$7</f>
        <v>0</v>
      </c>
      <c r="AC331" s="76"/>
      <c r="AD331" s="37"/>
      <c r="AE331" s="86">
        <f>tbl_Actual_costs_quantities34[[#This Row],[Floor Repairs]]*BOQs!$L$8</f>
        <v>0</v>
      </c>
      <c r="AF331" s="76"/>
      <c r="AG331" s="37"/>
      <c r="AH331" s="86">
        <f>tbl_Actual_costs_quantities34[[#This Row],[Doors Replacement Repair]]*BOQs!$L$9</f>
        <v>0</v>
      </c>
      <c r="AI331" s="76"/>
      <c r="AJ331" s="37"/>
      <c r="AK331" s="86">
        <f>tbl_Actual_costs_quantities34[[#This Row],[Windows Replacement Repair]]*BOQs!$L$10</f>
        <v>0</v>
      </c>
      <c r="AL331" s="76"/>
      <c r="AM331" s="37"/>
      <c r="AN331" s="86">
        <f>tbl_Actual_costs_quantities34[[#This Row],[Bathroom Rehabilitation]]*BOQs!$L$11</f>
        <v>0</v>
      </c>
      <c r="AO331" s="76"/>
      <c r="AP331" s="37"/>
      <c r="AQ331" s="86">
        <f>tbl_Actual_costs_quantities34[[#This Row],[Ceramic Tile Works WASH]]*BOQs!$L$12</f>
        <v>0</v>
      </c>
      <c r="AR331" s="76"/>
      <c r="AS331" s="37"/>
      <c r="AT331" s="86">
        <f>tbl_Actual_costs_quantities34[[#This Row],[Electrical Repairs Lighting]]*BOQs!$L$13</f>
        <v>0</v>
      </c>
      <c r="AU331" s="76"/>
      <c r="AV331" s="37"/>
      <c r="AW331" s="86">
        <f>tbl_Actual_costs_quantities34[[#This Row],[Roof Insulation Leak Sealing]]*BOQs!$L$14</f>
        <v>0</v>
      </c>
      <c r="AX331" s="76"/>
      <c r="AY331" s="37"/>
      <c r="AZ331" s="86">
        <f>tbl_Actual_costs_quantities34[[#This Row],[Chimney Duct Cleaning Repair]]*BOQs!$L$15</f>
        <v>0</v>
      </c>
      <c r="BA331" s="76"/>
      <c r="BB331" s="37"/>
      <c r="BC331" s="89">
        <f>tbl_Actual_costs_quantities34[[#This Row],[Accessibility Adaptations]]*BOQs!$L$16</f>
        <v>0</v>
      </c>
      <c r="BD331" s="41"/>
      <c r="BE331" s="37"/>
      <c r="BF331" s="37"/>
    </row>
    <row r="332" spans="2:58" ht="25.15" customHeight="1" x14ac:dyDescent="0.25">
      <c r="B332" s="49">
        <v>328</v>
      </c>
      <c r="C332" s="37"/>
      <c r="D332" s="41"/>
      <c r="E332" s="40"/>
      <c r="F332" s="87" t="str">
        <f>IF(tbl_Actual_costs_quantities34[[#This Row],[House Code]]&lt;&gt;"",INDEX(tbl_Assessment[],MATCH(tbl_Actual_costs_quantities34[[#This Row],[House Code]],tbl_Assessment[House Code],0),3),"")</f>
        <v/>
      </c>
      <c r="G332" s="116" t="str">
        <f>IF(tbl_Actual_costs_quantities34[[#This Row],[House Code]]&lt;&gt;"",INDEX(tbl_Assessment[],MATCH(tbl_Actual_costs_quantities34[[#This Row],[House Code]],tbl_Assessment[House Code],0),9),"")</f>
        <v/>
      </c>
      <c r="H332" s="41"/>
      <c r="I332" s="41"/>
      <c r="J332" s="41"/>
      <c r="K332" s="116"/>
      <c r="L332" s="117" t="str">
        <f>IF(tbl_Actual_costs_quantities34[[#This Row],[House Code]]&lt;&gt;"",tbl_Actual_costs_quantities34[[#This Row],[Total cost]]/INDEX(tbl_estimated_costs_quantities[],MATCH(tbl_Actual_costs_quantities34[[#This Row],[House Code]],tbl_estimated_costs_quantities[House Code],0),7),"")</f>
        <v/>
      </c>
      <c r="M33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2" s="75"/>
      <c r="O332" s="37"/>
      <c r="P332" s="86">
        <f>tbl_Actual_costs_quantities34[[#This Row],[Site Preparation]]*BOQs!$L$3</f>
        <v>0</v>
      </c>
      <c r="Q332" s="76"/>
      <c r="R332" s="37"/>
      <c r="S332" s="86">
        <f>tbl_Actual_costs_quantities34[[#This Row],[Demolition Removal Unsafe Structures]]*BOQs!$L$4</f>
        <v>0</v>
      </c>
      <c r="T332" s="76"/>
      <c r="U332" s="37"/>
      <c r="V332" s="86">
        <f>tbl_Actual_costs_quantities34[[#This Row],[Concrete Works]]*BOQs!$L$5</f>
        <v>0</v>
      </c>
      <c r="W332" s="76"/>
      <c r="X332" s="37"/>
      <c r="Y332" s="86">
        <f>tbl_Actual_costs_quantities34[[#This Row],[Closure External Openings Walls Windows]]*BOQs!$L$6</f>
        <v>0</v>
      </c>
      <c r="Z332" s="76"/>
      <c r="AA332" s="37"/>
      <c r="AB332" s="86">
        <f>tbl_Actual_costs_quantities34[[#This Row],[Plastering Painting]]*BOQs!$L$7</f>
        <v>0</v>
      </c>
      <c r="AC332" s="76"/>
      <c r="AD332" s="37"/>
      <c r="AE332" s="86">
        <f>tbl_Actual_costs_quantities34[[#This Row],[Floor Repairs]]*BOQs!$L$8</f>
        <v>0</v>
      </c>
      <c r="AF332" s="76"/>
      <c r="AG332" s="37"/>
      <c r="AH332" s="86">
        <f>tbl_Actual_costs_quantities34[[#This Row],[Doors Replacement Repair]]*BOQs!$L$9</f>
        <v>0</v>
      </c>
      <c r="AI332" s="76"/>
      <c r="AJ332" s="37"/>
      <c r="AK332" s="86">
        <f>tbl_Actual_costs_quantities34[[#This Row],[Windows Replacement Repair]]*BOQs!$L$10</f>
        <v>0</v>
      </c>
      <c r="AL332" s="76"/>
      <c r="AM332" s="37"/>
      <c r="AN332" s="86">
        <f>tbl_Actual_costs_quantities34[[#This Row],[Bathroom Rehabilitation]]*BOQs!$L$11</f>
        <v>0</v>
      </c>
      <c r="AO332" s="76"/>
      <c r="AP332" s="37"/>
      <c r="AQ332" s="86">
        <f>tbl_Actual_costs_quantities34[[#This Row],[Ceramic Tile Works WASH]]*BOQs!$L$12</f>
        <v>0</v>
      </c>
      <c r="AR332" s="76"/>
      <c r="AS332" s="37"/>
      <c r="AT332" s="86">
        <f>tbl_Actual_costs_quantities34[[#This Row],[Electrical Repairs Lighting]]*BOQs!$L$13</f>
        <v>0</v>
      </c>
      <c r="AU332" s="76"/>
      <c r="AV332" s="37"/>
      <c r="AW332" s="86">
        <f>tbl_Actual_costs_quantities34[[#This Row],[Roof Insulation Leak Sealing]]*BOQs!$L$14</f>
        <v>0</v>
      </c>
      <c r="AX332" s="76"/>
      <c r="AY332" s="37"/>
      <c r="AZ332" s="86">
        <f>tbl_Actual_costs_quantities34[[#This Row],[Chimney Duct Cleaning Repair]]*BOQs!$L$15</f>
        <v>0</v>
      </c>
      <c r="BA332" s="76"/>
      <c r="BB332" s="37"/>
      <c r="BC332" s="89">
        <f>tbl_Actual_costs_quantities34[[#This Row],[Accessibility Adaptations]]*BOQs!$L$16</f>
        <v>0</v>
      </c>
      <c r="BD332" s="41"/>
      <c r="BE332" s="37"/>
      <c r="BF332" s="37"/>
    </row>
    <row r="333" spans="2:58" ht="25.15" customHeight="1" x14ac:dyDescent="0.25">
      <c r="B333" s="49">
        <v>329</v>
      </c>
      <c r="C333" s="37"/>
      <c r="D333" s="41"/>
      <c r="E333" s="40"/>
      <c r="F333" s="87" t="str">
        <f>IF(tbl_Actual_costs_quantities34[[#This Row],[House Code]]&lt;&gt;"",INDEX(tbl_Assessment[],MATCH(tbl_Actual_costs_quantities34[[#This Row],[House Code]],tbl_Assessment[House Code],0),3),"")</f>
        <v/>
      </c>
      <c r="G333" s="116" t="str">
        <f>IF(tbl_Actual_costs_quantities34[[#This Row],[House Code]]&lt;&gt;"",INDEX(tbl_Assessment[],MATCH(tbl_Actual_costs_quantities34[[#This Row],[House Code]],tbl_Assessment[House Code],0),9),"")</f>
        <v/>
      </c>
      <c r="H333" s="41"/>
      <c r="I333" s="41"/>
      <c r="J333" s="41"/>
      <c r="K333" s="116"/>
      <c r="L333" s="117" t="str">
        <f>IF(tbl_Actual_costs_quantities34[[#This Row],[House Code]]&lt;&gt;"",tbl_Actual_costs_quantities34[[#This Row],[Total cost]]/INDEX(tbl_estimated_costs_quantities[],MATCH(tbl_Actual_costs_quantities34[[#This Row],[House Code]],tbl_estimated_costs_quantities[House Code],0),7),"")</f>
        <v/>
      </c>
      <c r="M33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3" s="75"/>
      <c r="O333" s="37"/>
      <c r="P333" s="86">
        <f>tbl_Actual_costs_quantities34[[#This Row],[Site Preparation]]*BOQs!$L$3</f>
        <v>0</v>
      </c>
      <c r="Q333" s="76"/>
      <c r="R333" s="37"/>
      <c r="S333" s="86">
        <f>tbl_Actual_costs_quantities34[[#This Row],[Demolition Removal Unsafe Structures]]*BOQs!$L$4</f>
        <v>0</v>
      </c>
      <c r="T333" s="76"/>
      <c r="U333" s="37"/>
      <c r="V333" s="86">
        <f>tbl_Actual_costs_quantities34[[#This Row],[Concrete Works]]*BOQs!$L$5</f>
        <v>0</v>
      </c>
      <c r="W333" s="76"/>
      <c r="X333" s="37"/>
      <c r="Y333" s="86">
        <f>tbl_Actual_costs_quantities34[[#This Row],[Closure External Openings Walls Windows]]*BOQs!$L$6</f>
        <v>0</v>
      </c>
      <c r="Z333" s="76"/>
      <c r="AA333" s="37"/>
      <c r="AB333" s="86">
        <f>tbl_Actual_costs_quantities34[[#This Row],[Plastering Painting]]*BOQs!$L$7</f>
        <v>0</v>
      </c>
      <c r="AC333" s="76"/>
      <c r="AD333" s="37"/>
      <c r="AE333" s="86">
        <f>tbl_Actual_costs_quantities34[[#This Row],[Floor Repairs]]*BOQs!$L$8</f>
        <v>0</v>
      </c>
      <c r="AF333" s="76"/>
      <c r="AG333" s="37"/>
      <c r="AH333" s="86">
        <f>tbl_Actual_costs_quantities34[[#This Row],[Doors Replacement Repair]]*BOQs!$L$9</f>
        <v>0</v>
      </c>
      <c r="AI333" s="76"/>
      <c r="AJ333" s="37"/>
      <c r="AK333" s="86">
        <f>tbl_Actual_costs_quantities34[[#This Row],[Windows Replacement Repair]]*BOQs!$L$10</f>
        <v>0</v>
      </c>
      <c r="AL333" s="76"/>
      <c r="AM333" s="37"/>
      <c r="AN333" s="86">
        <f>tbl_Actual_costs_quantities34[[#This Row],[Bathroom Rehabilitation]]*BOQs!$L$11</f>
        <v>0</v>
      </c>
      <c r="AO333" s="76"/>
      <c r="AP333" s="37"/>
      <c r="AQ333" s="86">
        <f>tbl_Actual_costs_quantities34[[#This Row],[Ceramic Tile Works WASH]]*BOQs!$L$12</f>
        <v>0</v>
      </c>
      <c r="AR333" s="76"/>
      <c r="AS333" s="37"/>
      <c r="AT333" s="86">
        <f>tbl_Actual_costs_quantities34[[#This Row],[Electrical Repairs Lighting]]*BOQs!$L$13</f>
        <v>0</v>
      </c>
      <c r="AU333" s="76"/>
      <c r="AV333" s="37"/>
      <c r="AW333" s="86">
        <f>tbl_Actual_costs_quantities34[[#This Row],[Roof Insulation Leak Sealing]]*BOQs!$L$14</f>
        <v>0</v>
      </c>
      <c r="AX333" s="76"/>
      <c r="AY333" s="37"/>
      <c r="AZ333" s="86">
        <f>tbl_Actual_costs_quantities34[[#This Row],[Chimney Duct Cleaning Repair]]*BOQs!$L$15</f>
        <v>0</v>
      </c>
      <c r="BA333" s="76"/>
      <c r="BB333" s="37"/>
      <c r="BC333" s="89">
        <f>tbl_Actual_costs_quantities34[[#This Row],[Accessibility Adaptations]]*BOQs!$L$16</f>
        <v>0</v>
      </c>
      <c r="BD333" s="41"/>
      <c r="BE333" s="37"/>
      <c r="BF333" s="37"/>
    </row>
    <row r="334" spans="2:58" ht="25.15" customHeight="1" x14ac:dyDescent="0.25">
      <c r="B334" s="49">
        <v>330</v>
      </c>
      <c r="C334" s="37"/>
      <c r="D334" s="41"/>
      <c r="E334" s="40"/>
      <c r="F334" s="87" t="str">
        <f>IF(tbl_Actual_costs_quantities34[[#This Row],[House Code]]&lt;&gt;"",INDEX(tbl_Assessment[],MATCH(tbl_Actual_costs_quantities34[[#This Row],[House Code]],tbl_Assessment[House Code],0),3),"")</f>
        <v/>
      </c>
      <c r="G334" s="116" t="str">
        <f>IF(tbl_Actual_costs_quantities34[[#This Row],[House Code]]&lt;&gt;"",INDEX(tbl_Assessment[],MATCH(tbl_Actual_costs_quantities34[[#This Row],[House Code]],tbl_Assessment[House Code],0),9),"")</f>
        <v/>
      </c>
      <c r="H334" s="41"/>
      <c r="I334" s="41"/>
      <c r="J334" s="41"/>
      <c r="K334" s="116"/>
      <c r="L334" s="117" t="str">
        <f>IF(tbl_Actual_costs_quantities34[[#This Row],[House Code]]&lt;&gt;"",tbl_Actual_costs_quantities34[[#This Row],[Total cost]]/INDEX(tbl_estimated_costs_quantities[],MATCH(tbl_Actual_costs_quantities34[[#This Row],[House Code]],tbl_estimated_costs_quantities[House Code],0),7),"")</f>
        <v/>
      </c>
      <c r="M33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4" s="75"/>
      <c r="O334" s="37"/>
      <c r="P334" s="86">
        <f>tbl_Actual_costs_quantities34[[#This Row],[Site Preparation]]*BOQs!$L$3</f>
        <v>0</v>
      </c>
      <c r="Q334" s="76"/>
      <c r="R334" s="37"/>
      <c r="S334" s="86">
        <f>tbl_Actual_costs_quantities34[[#This Row],[Demolition Removal Unsafe Structures]]*BOQs!$L$4</f>
        <v>0</v>
      </c>
      <c r="T334" s="76"/>
      <c r="U334" s="37"/>
      <c r="V334" s="86">
        <f>tbl_Actual_costs_quantities34[[#This Row],[Concrete Works]]*BOQs!$L$5</f>
        <v>0</v>
      </c>
      <c r="W334" s="76"/>
      <c r="X334" s="37"/>
      <c r="Y334" s="86">
        <f>tbl_Actual_costs_quantities34[[#This Row],[Closure External Openings Walls Windows]]*BOQs!$L$6</f>
        <v>0</v>
      </c>
      <c r="Z334" s="76"/>
      <c r="AA334" s="37"/>
      <c r="AB334" s="86">
        <f>tbl_Actual_costs_quantities34[[#This Row],[Plastering Painting]]*BOQs!$L$7</f>
        <v>0</v>
      </c>
      <c r="AC334" s="76"/>
      <c r="AD334" s="37"/>
      <c r="AE334" s="86">
        <f>tbl_Actual_costs_quantities34[[#This Row],[Floor Repairs]]*BOQs!$L$8</f>
        <v>0</v>
      </c>
      <c r="AF334" s="76"/>
      <c r="AG334" s="37"/>
      <c r="AH334" s="86">
        <f>tbl_Actual_costs_quantities34[[#This Row],[Doors Replacement Repair]]*BOQs!$L$9</f>
        <v>0</v>
      </c>
      <c r="AI334" s="76"/>
      <c r="AJ334" s="37"/>
      <c r="AK334" s="86">
        <f>tbl_Actual_costs_quantities34[[#This Row],[Windows Replacement Repair]]*BOQs!$L$10</f>
        <v>0</v>
      </c>
      <c r="AL334" s="76"/>
      <c r="AM334" s="37"/>
      <c r="AN334" s="86">
        <f>tbl_Actual_costs_quantities34[[#This Row],[Bathroom Rehabilitation]]*BOQs!$L$11</f>
        <v>0</v>
      </c>
      <c r="AO334" s="76"/>
      <c r="AP334" s="37"/>
      <c r="AQ334" s="86">
        <f>tbl_Actual_costs_quantities34[[#This Row],[Ceramic Tile Works WASH]]*BOQs!$L$12</f>
        <v>0</v>
      </c>
      <c r="AR334" s="76"/>
      <c r="AS334" s="37"/>
      <c r="AT334" s="86">
        <f>tbl_Actual_costs_quantities34[[#This Row],[Electrical Repairs Lighting]]*BOQs!$L$13</f>
        <v>0</v>
      </c>
      <c r="AU334" s="76"/>
      <c r="AV334" s="37"/>
      <c r="AW334" s="86">
        <f>tbl_Actual_costs_quantities34[[#This Row],[Roof Insulation Leak Sealing]]*BOQs!$L$14</f>
        <v>0</v>
      </c>
      <c r="AX334" s="76"/>
      <c r="AY334" s="37"/>
      <c r="AZ334" s="86">
        <f>tbl_Actual_costs_quantities34[[#This Row],[Chimney Duct Cleaning Repair]]*BOQs!$L$15</f>
        <v>0</v>
      </c>
      <c r="BA334" s="76"/>
      <c r="BB334" s="37"/>
      <c r="BC334" s="89">
        <f>tbl_Actual_costs_quantities34[[#This Row],[Accessibility Adaptations]]*BOQs!$L$16</f>
        <v>0</v>
      </c>
      <c r="BD334" s="41"/>
      <c r="BE334" s="37"/>
      <c r="BF334" s="37"/>
    </row>
    <row r="335" spans="2:58" ht="25.15" customHeight="1" x14ac:dyDescent="0.25">
      <c r="B335" s="49">
        <v>331</v>
      </c>
      <c r="C335" s="37"/>
      <c r="D335" s="41"/>
      <c r="E335" s="40"/>
      <c r="F335" s="87" t="str">
        <f>IF(tbl_Actual_costs_quantities34[[#This Row],[House Code]]&lt;&gt;"",INDEX(tbl_Assessment[],MATCH(tbl_Actual_costs_quantities34[[#This Row],[House Code]],tbl_Assessment[House Code],0),3),"")</f>
        <v/>
      </c>
      <c r="G335" s="116" t="str">
        <f>IF(tbl_Actual_costs_quantities34[[#This Row],[House Code]]&lt;&gt;"",INDEX(tbl_Assessment[],MATCH(tbl_Actual_costs_quantities34[[#This Row],[House Code]],tbl_Assessment[House Code],0),9),"")</f>
        <v/>
      </c>
      <c r="H335" s="41"/>
      <c r="I335" s="41"/>
      <c r="J335" s="41"/>
      <c r="K335" s="116"/>
      <c r="L335" s="117" t="str">
        <f>IF(tbl_Actual_costs_quantities34[[#This Row],[House Code]]&lt;&gt;"",tbl_Actual_costs_quantities34[[#This Row],[Total cost]]/INDEX(tbl_estimated_costs_quantities[],MATCH(tbl_Actual_costs_quantities34[[#This Row],[House Code]],tbl_estimated_costs_quantities[House Code],0),7),"")</f>
        <v/>
      </c>
      <c r="M33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5" s="75"/>
      <c r="O335" s="37"/>
      <c r="P335" s="86">
        <f>tbl_Actual_costs_quantities34[[#This Row],[Site Preparation]]*BOQs!$L$3</f>
        <v>0</v>
      </c>
      <c r="Q335" s="76"/>
      <c r="R335" s="37"/>
      <c r="S335" s="86">
        <f>tbl_Actual_costs_quantities34[[#This Row],[Demolition Removal Unsafe Structures]]*BOQs!$L$4</f>
        <v>0</v>
      </c>
      <c r="T335" s="76"/>
      <c r="U335" s="37"/>
      <c r="V335" s="86">
        <f>tbl_Actual_costs_quantities34[[#This Row],[Concrete Works]]*BOQs!$L$5</f>
        <v>0</v>
      </c>
      <c r="W335" s="76"/>
      <c r="X335" s="37"/>
      <c r="Y335" s="86">
        <f>tbl_Actual_costs_quantities34[[#This Row],[Closure External Openings Walls Windows]]*BOQs!$L$6</f>
        <v>0</v>
      </c>
      <c r="Z335" s="76"/>
      <c r="AA335" s="37"/>
      <c r="AB335" s="86">
        <f>tbl_Actual_costs_quantities34[[#This Row],[Plastering Painting]]*BOQs!$L$7</f>
        <v>0</v>
      </c>
      <c r="AC335" s="76"/>
      <c r="AD335" s="37"/>
      <c r="AE335" s="86">
        <f>tbl_Actual_costs_quantities34[[#This Row],[Floor Repairs]]*BOQs!$L$8</f>
        <v>0</v>
      </c>
      <c r="AF335" s="76"/>
      <c r="AG335" s="37"/>
      <c r="AH335" s="86">
        <f>tbl_Actual_costs_quantities34[[#This Row],[Doors Replacement Repair]]*BOQs!$L$9</f>
        <v>0</v>
      </c>
      <c r="AI335" s="76"/>
      <c r="AJ335" s="37"/>
      <c r="AK335" s="86">
        <f>tbl_Actual_costs_quantities34[[#This Row],[Windows Replacement Repair]]*BOQs!$L$10</f>
        <v>0</v>
      </c>
      <c r="AL335" s="76"/>
      <c r="AM335" s="37"/>
      <c r="AN335" s="86">
        <f>tbl_Actual_costs_quantities34[[#This Row],[Bathroom Rehabilitation]]*BOQs!$L$11</f>
        <v>0</v>
      </c>
      <c r="AO335" s="76"/>
      <c r="AP335" s="37"/>
      <c r="AQ335" s="86">
        <f>tbl_Actual_costs_quantities34[[#This Row],[Ceramic Tile Works WASH]]*BOQs!$L$12</f>
        <v>0</v>
      </c>
      <c r="AR335" s="76"/>
      <c r="AS335" s="37"/>
      <c r="AT335" s="86">
        <f>tbl_Actual_costs_quantities34[[#This Row],[Electrical Repairs Lighting]]*BOQs!$L$13</f>
        <v>0</v>
      </c>
      <c r="AU335" s="76"/>
      <c r="AV335" s="37"/>
      <c r="AW335" s="86">
        <f>tbl_Actual_costs_quantities34[[#This Row],[Roof Insulation Leak Sealing]]*BOQs!$L$14</f>
        <v>0</v>
      </c>
      <c r="AX335" s="76"/>
      <c r="AY335" s="37"/>
      <c r="AZ335" s="86">
        <f>tbl_Actual_costs_quantities34[[#This Row],[Chimney Duct Cleaning Repair]]*BOQs!$L$15</f>
        <v>0</v>
      </c>
      <c r="BA335" s="76"/>
      <c r="BB335" s="37"/>
      <c r="BC335" s="89">
        <f>tbl_Actual_costs_quantities34[[#This Row],[Accessibility Adaptations]]*BOQs!$L$16</f>
        <v>0</v>
      </c>
      <c r="BD335" s="41"/>
      <c r="BE335" s="37"/>
      <c r="BF335" s="37"/>
    </row>
    <row r="336" spans="2:58" ht="25.15" customHeight="1" x14ac:dyDescent="0.25">
      <c r="B336" s="49">
        <v>332</v>
      </c>
      <c r="C336" s="37"/>
      <c r="D336" s="41"/>
      <c r="E336" s="40"/>
      <c r="F336" s="87" t="str">
        <f>IF(tbl_Actual_costs_quantities34[[#This Row],[House Code]]&lt;&gt;"",INDEX(tbl_Assessment[],MATCH(tbl_Actual_costs_quantities34[[#This Row],[House Code]],tbl_Assessment[House Code],0),3),"")</f>
        <v/>
      </c>
      <c r="G336" s="116" t="str">
        <f>IF(tbl_Actual_costs_quantities34[[#This Row],[House Code]]&lt;&gt;"",INDEX(tbl_Assessment[],MATCH(tbl_Actual_costs_quantities34[[#This Row],[House Code]],tbl_Assessment[House Code],0),9),"")</f>
        <v/>
      </c>
      <c r="H336" s="41"/>
      <c r="I336" s="41"/>
      <c r="J336" s="41"/>
      <c r="K336" s="116"/>
      <c r="L336" s="117" t="str">
        <f>IF(tbl_Actual_costs_quantities34[[#This Row],[House Code]]&lt;&gt;"",tbl_Actual_costs_quantities34[[#This Row],[Total cost]]/INDEX(tbl_estimated_costs_quantities[],MATCH(tbl_Actual_costs_quantities34[[#This Row],[House Code]],tbl_estimated_costs_quantities[House Code],0),7),"")</f>
        <v/>
      </c>
      <c r="M33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6" s="75"/>
      <c r="O336" s="37"/>
      <c r="P336" s="86">
        <f>tbl_Actual_costs_quantities34[[#This Row],[Site Preparation]]*BOQs!$L$3</f>
        <v>0</v>
      </c>
      <c r="Q336" s="76"/>
      <c r="R336" s="37"/>
      <c r="S336" s="86">
        <f>tbl_Actual_costs_quantities34[[#This Row],[Demolition Removal Unsafe Structures]]*BOQs!$L$4</f>
        <v>0</v>
      </c>
      <c r="T336" s="76"/>
      <c r="U336" s="37"/>
      <c r="V336" s="86">
        <f>tbl_Actual_costs_quantities34[[#This Row],[Concrete Works]]*BOQs!$L$5</f>
        <v>0</v>
      </c>
      <c r="W336" s="76"/>
      <c r="X336" s="37"/>
      <c r="Y336" s="86">
        <f>tbl_Actual_costs_quantities34[[#This Row],[Closure External Openings Walls Windows]]*BOQs!$L$6</f>
        <v>0</v>
      </c>
      <c r="Z336" s="76"/>
      <c r="AA336" s="37"/>
      <c r="AB336" s="86">
        <f>tbl_Actual_costs_quantities34[[#This Row],[Plastering Painting]]*BOQs!$L$7</f>
        <v>0</v>
      </c>
      <c r="AC336" s="76"/>
      <c r="AD336" s="37"/>
      <c r="AE336" s="86">
        <f>tbl_Actual_costs_quantities34[[#This Row],[Floor Repairs]]*BOQs!$L$8</f>
        <v>0</v>
      </c>
      <c r="AF336" s="76"/>
      <c r="AG336" s="37"/>
      <c r="AH336" s="86">
        <f>tbl_Actual_costs_quantities34[[#This Row],[Doors Replacement Repair]]*BOQs!$L$9</f>
        <v>0</v>
      </c>
      <c r="AI336" s="76"/>
      <c r="AJ336" s="37"/>
      <c r="AK336" s="86">
        <f>tbl_Actual_costs_quantities34[[#This Row],[Windows Replacement Repair]]*BOQs!$L$10</f>
        <v>0</v>
      </c>
      <c r="AL336" s="76"/>
      <c r="AM336" s="37"/>
      <c r="AN336" s="86">
        <f>tbl_Actual_costs_quantities34[[#This Row],[Bathroom Rehabilitation]]*BOQs!$L$11</f>
        <v>0</v>
      </c>
      <c r="AO336" s="76"/>
      <c r="AP336" s="37"/>
      <c r="AQ336" s="86">
        <f>tbl_Actual_costs_quantities34[[#This Row],[Ceramic Tile Works WASH]]*BOQs!$L$12</f>
        <v>0</v>
      </c>
      <c r="AR336" s="76"/>
      <c r="AS336" s="37"/>
      <c r="AT336" s="86">
        <f>tbl_Actual_costs_quantities34[[#This Row],[Electrical Repairs Lighting]]*BOQs!$L$13</f>
        <v>0</v>
      </c>
      <c r="AU336" s="76"/>
      <c r="AV336" s="37"/>
      <c r="AW336" s="86">
        <f>tbl_Actual_costs_quantities34[[#This Row],[Roof Insulation Leak Sealing]]*BOQs!$L$14</f>
        <v>0</v>
      </c>
      <c r="AX336" s="76"/>
      <c r="AY336" s="37"/>
      <c r="AZ336" s="86">
        <f>tbl_Actual_costs_quantities34[[#This Row],[Chimney Duct Cleaning Repair]]*BOQs!$L$15</f>
        <v>0</v>
      </c>
      <c r="BA336" s="76"/>
      <c r="BB336" s="37"/>
      <c r="BC336" s="89">
        <f>tbl_Actual_costs_quantities34[[#This Row],[Accessibility Adaptations]]*BOQs!$L$16</f>
        <v>0</v>
      </c>
      <c r="BD336" s="41"/>
      <c r="BE336" s="37"/>
      <c r="BF336" s="37"/>
    </row>
    <row r="337" spans="2:58" ht="25.15" customHeight="1" x14ac:dyDescent="0.25">
      <c r="B337" s="49">
        <v>333</v>
      </c>
      <c r="C337" s="37"/>
      <c r="D337" s="41"/>
      <c r="E337" s="40"/>
      <c r="F337" s="87" t="str">
        <f>IF(tbl_Actual_costs_quantities34[[#This Row],[House Code]]&lt;&gt;"",INDEX(tbl_Assessment[],MATCH(tbl_Actual_costs_quantities34[[#This Row],[House Code]],tbl_Assessment[House Code],0),3),"")</f>
        <v/>
      </c>
      <c r="G337" s="116" t="str">
        <f>IF(tbl_Actual_costs_quantities34[[#This Row],[House Code]]&lt;&gt;"",INDEX(tbl_Assessment[],MATCH(tbl_Actual_costs_quantities34[[#This Row],[House Code]],tbl_Assessment[House Code],0),9),"")</f>
        <v/>
      </c>
      <c r="H337" s="41"/>
      <c r="I337" s="41"/>
      <c r="J337" s="41"/>
      <c r="K337" s="116"/>
      <c r="L337" s="117" t="str">
        <f>IF(tbl_Actual_costs_quantities34[[#This Row],[House Code]]&lt;&gt;"",tbl_Actual_costs_quantities34[[#This Row],[Total cost]]/INDEX(tbl_estimated_costs_quantities[],MATCH(tbl_Actual_costs_quantities34[[#This Row],[House Code]],tbl_estimated_costs_quantities[House Code],0),7),"")</f>
        <v/>
      </c>
      <c r="M33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7" s="75"/>
      <c r="O337" s="37"/>
      <c r="P337" s="86">
        <f>tbl_Actual_costs_quantities34[[#This Row],[Site Preparation]]*BOQs!$L$3</f>
        <v>0</v>
      </c>
      <c r="Q337" s="76"/>
      <c r="R337" s="37"/>
      <c r="S337" s="86">
        <f>tbl_Actual_costs_quantities34[[#This Row],[Demolition Removal Unsafe Structures]]*BOQs!$L$4</f>
        <v>0</v>
      </c>
      <c r="T337" s="76"/>
      <c r="U337" s="37"/>
      <c r="V337" s="86">
        <f>tbl_Actual_costs_quantities34[[#This Row],[Concrete Works]]*BOQs!$L$5</f>
        <v>0</v>
      </c>
      <c r="W337" s="76"/>
      <c r="X337" s="37"/>
      <c r="Y337" s="86">
        <f>tbl_Actual_costs_quantities34[[#This Row],[Closure External Openings Walls Windows]]*BOQs!$L$6</f>
        <v>0</v>
      </c>
      <c r="Z337" s="76"/>
      <c r="AA337" s="37"/>
      <c r="AB337" s="86">
        <f>tbl_Actual_costs_quantities34[[#This Row],[Plastering Painting]]*BOQs!$L$7</f>
        <v>0</v>
      </c>
      <c r="AC337" s="76"/>
      <c r="AD337" s="37"/>
      <c r="AE337" s="86">
        <f>tbl_Actual_costs_quantities34[[#This Row],[Floor Repairs]]*BOQs!$L$8</f>
        <v>0</v>
      </c>
      <c r="AF337" s="76"/>
      <c r="AG337" s="37"/>
      <c r="AH337" s="86">
        <f>tbl_Actual_costs_quantities34[[#This Row],[Doors Replacement Repair]]*BOQs!$L$9</f>
        <v>0</v>
      </c>
      <c r="AI337" s="76"/>
      <c r="AJ337" s="37"/>
      <c r="AK337" s="86">
        <f>tbl_Actual_costs_quantities34[[#This Row],[Windows Replacement Repair]]*BOQs!$L$10</f>
        <v>0</v>
      </c>
      <c r="AL337" s="76"/>
      <c r="AM337" s="37"/>
      <c r="AN337" s="86">
        <f>tbl_Actual_costs_quantities34[[#This Row],[Bathroom Rehabilitation]]*BOQs!$L$11</f>
        <v>0</v>
      </c>
      <c r="AO337" s="76"/>
      <c r="AP337" s="37"/>
      <c r="AQ337" s="86">
        <f>tbl_Actual_costs_quantities34[[#This Row],[Ceramic Tile Works WASH]]*BOQs!$L$12</f>
        <v>0</v>
      </c>
      <c r="AR337" s="76"/>
      <c r="AS337" s="37"/>
      <c r="AT337" s="86">
        <f>tbl_Actual_costs_quantities34[[#This Row],[Electrical Repairs Lighting]]*BOQs!$L$13</f>
        <v>0</v>
      </c>
      <c r="AU337" s="76"/>
      <c r="AV337" s="37"/>
      <c r="AW337" s="86">
        <f>tbl_Actual_costs_quantities34[[#This Row],[Roof Insulation Leak Sealing]]*BOQs!$L$14</f>
        <v>0</v>
      </c>
      <c r="AX337" s="76"/>
      <c r="AY337" s="37"/>
      <c r="AZ337" s="86">
        <f>tbl_Actual_costs_quantities34[[#This Row],[Chimney Duct Cleaning Repair]]*BOQs!$L$15</f>
        <v>0</v>
      </c>
      <c r="BA337" s="76"/>
      <c r="BB337" s="37"/>
      <c r="BC337" s="89">
        <f>tbl_Actual_costs_quantities34[[#This Row],[Accessibility Adaptations]]*BOQs!$L$16</f>
        <v>0</v>
      </c>
      <c r="BD337" s="41"/>
      <c r="BE337" s="37"/>
      <c r="BF337" s="37"/>
    </row>
    <row r="338" spans="2:58" ht="25.15" customHeight="1" x14ac:dyDescent="0.25">
      <c r="B338" s="49">
        <v>334</v>
      </c>
      <c r="C338" s="37"/>
      <c r="D338" s="41"/>
      <c r="E338" s="40"/>
      <c r="F338" s="87" t="str">
        <f>IF(tbl_Actual_costs_quantities34[[#This Row],[House Code]]&lt;&gt;"",INDEX(tbl_Assessment[],MATCH(tbl_Actual_costs_quantities34[[#This Row],[House Code]],tbl_Assessment[House Code],0),3),"")</f>
        <v/>
      </c>
      <c r="G338" s="116" t="str">
        <f>IF(tbl_Actual_costs_quantities34[[#This Row],[House Code]]&lt;&gt;"",INDEX(tbl_Assessment[],MATCH(tbl_Actual_costs_quantities34[[#This Row],[House Code]],tbl_Assessment[House Code],0),9),"")</f>
        <v/>
      </c>
      <c r="H338" s="41"/>
      <c r="I338" s="41"/>
      <c r="J338" s="41"/>
      <c r="K338" s="116"/>
      <c r="L338" s="117" t="str">
        <f>IF(tbl_Actual_costs_quantities34[[#This Row],[House Code]]&lt;&gt;"",tbl_Actual_costs_quantities34[[#This Row],[Total cost]]/INDEX(tbl_estimated_costs_quantities[],MATCH(tbl_Actual_costs_quantities34[[#This Row],[House Code]],tbl_estimated_costs_quantities[House Code],0),7),"")</f>
        <v/>
      </c>
      <c r="M33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8" s="75"/>
      <c r="O338" s="37"/>
      <c r="P338" s="86">
        <f>tbl_Actual_costs_quantities34[[#This Row],[Site Preparation]]*BOQs!$L$3</f>
        <v>0</v>
      </c>
      <c r="Q338" s="76"/>
      <c r="R338" s="37"/>
      <c r="S338" s="86">
        <f>tbl_Actual_costs_quantities34[[#This Row],[Demolition Removal Unsafe Structures]]*BOQs!$L$4</f>
        <v>0</v>
      </c>
      <c r="T338" s="76"/>
      <c r="U338" s="37"/>
      <c r="V338" s="86">
        <f>tbl_Actual_costs_quantities34[[#This Row],[Concrete Works]]*BOQs!$L$5</f>
        <v>0</v>
      </c>
      <c r="W338" s="76"/>
      <c r="X338" s="37"/>
      <c r="Y338" s="86">
        <f>tbl_Actual_costs_quantities34[[#This Row],[Closure External Openings Walls Windows]]*BOQs!$L$6</f>
        <v>0</v>
      </c>
      <c r="Z338" s="76"/>
      <c r="AA338" s="37"/>
      <c r="AB338" s="86">
        <f>tbl_Actual_costs_quantities34[[#This Row],[Plastering Painting]]*BOQs!$L$7</f>
        <v>0</v>
      </c>
      <c r="AC338" s="76"/>
      <c r="AD338" s="37"/>
      <c r="AE338" s="86">
        <f>tbl_Actual_costs_quantities34[[#This Row],[Floor Repairs]]*BOQs!$L$8</f>
        <v>0</v>
      </c>
      <c r="AF338" s="76"/>
      <c r="AG338" s="37"/>
      <c r="AH338" s="86">
        <f>tbl_Actual_costs_quantities34[[#This Row],[Doors Replacement Repair]]*BOQs!$L$9</f>
        <v>0</v>
      </c>
      <c r="AI338" s="76"/>
      <c r="AJ338" s="37"/>
      <c r="AK338" s="86">
        <f>tbl_Actual_costs_quantities34[[#This Row],[Windows Replacement Repair]]*BOQs!$L$10</f>
        <v>0</v>
      </c>
      <c r="AL338" s="76"/>
      <c r="AM338" s="37"/>
      <c r="AN338" s="86">
        <f>tbl_Actual_costs_quantities34[[#This Row],[Bathroom Rehabilitation]]*BOQs!$L$11</f>
        <v>0</v>
      </c>
      <c r="AO338" s="76"/>
      <c r="AP338" s="37"/>
      <c r="AQ338" s="86">
        <f>tbl_Actual_costs_quantities34[[#This Row],[Ceramic Tile Works WASH]]*BOQs!$L$12</f>
        <v>0</v>
      </c>
      <c r="AR338" s="76"/>
      <c r="AS338" s="37"/>
      <c r="AT338" s="86">
        <f>tbl_Actual_costs_quantities34[[#This Row],[Electrical Repairs Lighting]]*BOQs!$L$13</f>
        <v>0</v>
      </c>
      <c r="AU338" s="76"/>
      <c r="AV338" s="37"/>
      <c r="AW338" s="86">
        <f>tbl_Actual_costs_quantities34[[#This Row],[Roof Insulation Leak Sealing]]*BOQs!$L$14</f>
        <v>0</v>
      </c>
      <c r="AX338" s="76"/>
      <c r="AY338" s="37"/>
      <c r="AZ338" s="86">
        <f>tbl_Actual_costs_quantities34[[#This Row],[Chimney Duct Cleaning Repair]]*BOQs!$L$15</f>
        <v>0</v>
      </c>
      <c r="BA338" s="76"/>
      <c r="BB338" s="37"/>
      <c r="BC338" s="89">
        <f>tbl_Actual_costs_quantities34[[#This Row],[Accessibility Adaptations]]*BOQs!$L$16</f>
        <v>0</v>
      </c>
      <c r="BD338" s="41"/>
      <c r="BE338" s="37"/>
      <c r="BF338" s="37"/>
    </row>
    <row r="339" spans="2:58" ht="25.15" customHeight="1" x14ac:dyDescent="0.25">
      <c r="B339" s="49">
        <v>335</v>
      </c>
      <c r="C339" s="37"/>
      <c r="D339" s="41"/>
      <c r="E339" s="40"/>
      <c r="F339" s="87" t="str">
        <f>IF(tbl_Actual_costs_quantities34[[#This Row],[House Code]]&lt;&gt;"",INDEX(tbl_Assessment[],MATCH(tbl_Actual_costs_quantities34[[#This Row],[House Code]],tbl_Assessment[House Code],0),3),"")</f>
        <v/>
      </c>
      <c r="G339" s="116" t="str">
        <f>IF(tbl_Actual_costs_quantities34[[#This Row],[House Code]]&lt;&gt;"",INDEX(tbl_Assessment[],MATCH(tbl_Actual_costs_quantities34[[#This Row],[House Code]],tbl_Assessment[House Code],0),9),"")</f>
        <v/>
      </c>
      <c r="H339" s="41"/>
      <c r="I339" s="41"/>
      <c r="J339" s="41"/>
      <c r="K339" s="116"/>
      <c r="L339" s="117" t="str">
        <f>IF(tbl_Actual_costs_quantities34[[#This Row],[House Code]]&lt;&gt;"",tbl_Actual_costs_quantities34[[#This Row],[Total cost]]/INDEX(tbl_estimated_costs_quantities[],MATCH(tbl_Actual_costs_quantities34[[#This Row],[House Code]],tbl_estimated_costs_quantities[House Code],0),7),"")</f>
        <v/>
      </c>
      <c r="M33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39" s="75"/>
      <c r="O339" s="37"/>
      <c r="P339" s="86">
        <f>tbl_Actual_costs_quantities34[[#This Row],[Site Preparation]]*BOQs!$L$3</f>
        <v>0</v>
      </c>
      <c r="Q339" s="76"/>
      <c r="R339" s="37"/>
      <c r="S339" s="86">
        <f>tbl_Actual_costs_quantities34[[#This Row],[Demolition Removal Unsafe Structures]]*BOQs!$L$4</f>
        <v>0</v>
      </c>
      <c r="T339" s="76"/>
      <c r="U339" s="37"/>
      <c r="V339" s="86">
        <f>tbl_Actual_costs_quantities34[[#This Row],[Concrete Works]]*BOQs!$L$5</f>
        <v>0</v>
      </c>
      <c r="W339" s="76"/>
      <c r="X339" s="37"/>
      <c r="Y339" s="86">
        <f>tbl_Actual_costs_quantities34[[#This Row],[Closure External Openings Walls Windows]]*BOQs!$L$6</f>
        <v>0</v>
      </c>
      <c r="Z339" s="76"/>
      <c r="AA339" s="37"/>
      <c r="AB339" s="86">
        <f>tbl_Actual_costs_quantities34[[#This Row],[Plastering Painting]]*BOQs!$L$7</f>
        <v>0</v>
      </c>
      <c r="AC339" s="76"/>
      <c r="AD339" s="37"/>
      <c r="AE339" s="86">
        <f>tbl_Actual_costs_quantities34[[#This Row],[Floor Repairs]]*BOQs!$L$8</f>
        <v>0</v>
      </c>
      <c r="AF339" s="76"/>
      <c r="AG339" s="37"/>
      <c r="AH339" s="86">
        <f>tbl_Actual_costs_quantities34[[#This Row],[Doors Replacement Repair]]*BOQs!$L$9</f>
        <v>0</v>
      </c>
      <c r="AI339" s="76"/>
      <c r="AJ339" s="37"/>
      <c r="AK339" s="86">
        <f>tbl_Actual_costs_quantities34[[#This Row],[Windows Replacement Repair]]*BOQs!$L$10</f>
        <v>0</v>
      </c>
      <c r="AL339" s="76"/>
      <c r="AM339" s="37"/>
      <c r="AN339" s="86">
        <f>tbl_Actual_costs_quantities34[[#This Row],[Bathroom Rehabilitation]]*BOQs!$L$11</f>
        <v>0</v>
      </c>
      <c r="AO339" s="76"/>
      <c r="AP339" s="37"/>
      <c r="AQ339" s="86">
        <f>tbl_Actual_costs_quantities34[[#This Row],[Ceramic Tile Works WASH]]*BOQs!$L$12</f>
        <v>0</v>
      </c>
      <c r="AR339" s="76"/>
      <c r="AS339" s="37"/>
      <c r="AT339" s="86">
        <f>tbl_Actual_costs_quantities34[[#This Row],[Electrical Repairs Lighting]]*BOQs!$L$13</f>
        <v>0</v>
      </c>
      <c r="AU339" s="76"/>
      <c r="AV339" s="37"/>
      <c r="AW339" s="86">
        <f>tbl_Actual_costs_quantities34[[#This Row],[Roof Insulation Leak Sealing]]*BOQs!$L$14</f>
        <v>0</v>
      </c>
      <c r="AX339" s="76"/>
      <c r="AY339" s="37"/>
      <c r="AZ339" s="86">
        <f>tbl_Actual_costs_quantities34[[#This Row],[Chimney Duct Cleaning Repair]]*BOQs!$L$15</f>
        <v>0</v>
      </c>
      <c r="BA339" s="76"/>
      <c r="BB339" s="37"/>
      <c r="BC339" s="89">
        <f>tbl_Actual_costs_quantities34[[#This Row],[Accessibility Adaptations]]*BOQs!$L$16</f>
        <v>0</v>
      </c>
      <c r="BD339" s="41"/>
      <c r="BE339" s="37"/>
      <c r="BF339" s="37"/>
    </row>
    <row r="340" spans="2:58" ht="25.15" customHeight="1" x14ac:dyDescent="0.25">
      <c r="B340" s="49">
        <v>336</v>
      </c>
      <c r="C340" s="37"/>
      <c r="D340" s="41"/>
      <c r="E340" s="40"/>
      <c r="F340" s="87" t="str">
        <f>IF(tbl_Actual_costs_quantities34[[#This Row],[House Code]]&lt;&gt;"",INDEX(tbl_Assessment[],MATCH(tbl_Actual_costs_quantities34[[#This Row],[House Code]],tbl_Assessment[House Code],0),3),"")</f>
        <v/>
      </c>
      <c r="G340" s="116" t="str">
        <f>IF(tbl_Actual_costs_quantities34[[#This Row],[House Code]]&lt;&gt;"",INDEX(tbl_Assessment[],MATCH(tbl_Actual_costs_quantities34[[#This Row],[House Code]],tbl_Assessment[House Code],0),9),"")</f>
        <v/>
      </c>
      <c r="H340" s="41"/>
      <c r="I340" s="41"/>
      <c r="J340" s="41"/>
      <c r="K340" s="116"/>
      <c r="L340" s="117" t="str">
        <f>IF(tbl_Actual_costs_quantities34[[#This Row],[House Code]]&lt;&gt;"",tbl_Actual_costs_quantities34[[#This Row],[Total cost]]/INDEX(tbl_estimated_costs_quantities[],MATCH(tbl_Actual_costs_quantities34[[#This Row],[House Code]],tbl_estimated_costs_quantities[House Code],0),7),"")</f>
        <v/>
      </c>
      <c r="M34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0" s="75"/>
      <c r="O340" s="37"/>
      <c r="P340" s="86">
        <f>tbl_Actual_costs_quantities34[[#This Row],[Site Preparation]]*BOQs!$L$3</f>
        <v>0</v>
      </c>
      <c r="Q340" s="76"/>
      <c r="R340" s="37"/>
      <c r="S340" s="86">
        <f>tbl_Actual_costs_quantities34[[#This Row],[Demolition Removal Unsafe Structures]]*BOQs!$L$4</f>
        <v>0</v>
      </c>
      <c r="T340" s="76"/>
      <c r="U340" s="37"/>
      <c r="V340" s="86">
        <f>tbl_Actual_costs_quantities34[[#This Row],[Concrete Works]]*BOQs!$L$5</f>
        <v>0</v>
      </c>
      <c r="W340" s="76"/>
      <c r="X340" s="37"/>
      <c r="Y340" s="86">
        <f>tbl_Actual_costs_quantities34[[#This Row],[Closure External Openings Walls Windows]]*BOQs!$L$6</f>
        <v>0</v>
      </c>
      <c r="Z340" s="76"/>
      <c r="AA340" s="37"/>
      <c r="AB340" s="86">
        <f>tbl_Actual_costs_quantities34[[#This Row],[Plastering Painting]]*BOQs!$L$7</f>
        <v>0</v>
      </c>
      <c r="AC340" s="76"/>
      <c r="AD340" s="37"/>
      <c r="AE340" s="86">
        <f>tbl_Actual_costs_quantities34[[#This Row],[Floor Repairs]]*BOQs!$L$8</f>
        <v>0</v>
      </c>
      <c r="AF340" s="76"/>
      <c r="AG340" s="37"/>
      <c r="AH340" s="86">
        <f>tbl_Actual_costs_quantities34[[#This Row],[Doors Replacement Repair]]*BOQs!$L$9</f>
        <v>0</v>
      </c>
      <c r="AI340" s="76"/>
      <c r="AJ340" s="37"/>
      <c r="AK340" s="86">
        <f>tbl_Actual_costs_quantities34[[#This Row],[Windows Replacement Repair]]*BOQs!$L$10</f>
        <v>0</v>
      </c>
      <c r="AL340" s="76"/>
      <c r="AM340" s="37"/>
      <c r="AN340" s="86">
        <f>tbl_Actual_costs_quantities34[[#This Row],[Bathroom Rehabilitation]]*BOQs!$L$11</f>
        <v>0</v>
      </c>
      <c r="AO340" s="76"/>
      <c r="AP340" s="37"/>
      <c r="AQ340" s="86">
        <f>tbl_Actual_costs_quantities34[[#This Row],[Ceramic Tile Works WASH]]*BOQs!$L$12</f>
        <v>0</v>
      </c>
      <c r="AR340" s="76"/>
      <c r="AS340" s="37"/>
      <c r="AT340" s="86">
        <f>tbl_Actual_costs_quantities34[[#This Row],[Electrical Repairs Lighting]]*BOQs!$L$13</f>
        <v>0</v>
      </c>
      <c r="AU340" s="76"/>
      <c r="AV340" s="37"/>
      <c r="AW340" s="86">
        <f>tbl_Actual_costs_quantities34[[#This Row],[Roof Insulation Leak Sealing]]*BOQs!$L$14</f>
        <v>0</v>
      </c>
      <c r="AX340" s="76"/>
      <c r="AY340" s="37"/>
      <c r="AZ340" s="86">
        <f>tbl_Actual_costs_quantities34[[#This Row],[Chimney Duct Cleaning Repair]]*BOQs!$L$15</f>
        <v>0</v>
      </c>
      <c r="BA340" s="76"/>
      <c r="BB340" s="37"/>
      <c r="BC340" s="89">
        <f>tbl_Actual_costs_quantities34[[#This Row],[Accessibility Adaptations]]*BOQs!$L$16</f>
        <v>0</v>
      </c>
      <c r="BD340" s="41"/>
      <c r="BE340" s="37"/>
      <c r="BF340" s="37"/>
    </row>
    <row r="341" spans="2:58" ht="25.15" customHeight="1" x14ac:dyDescent="0.25">
      <c r="B341" s="49">
        <v>337</v>
      </c>
      <c r="C341" s="37"/>
      <c r="D341" s="41"/>
      <c r="E341" s="40"/>
      <c r="F341" s="87" t="str">
        <f>IF(tbl_Actual_costs_quantities34[[#This Row],[House Code]]&lt;&gt;"",INDEX(tbl_Assessment[],MATCH(tbl_Actual_costs_quantities34[[#This Row],[House Code]],tbl_Assessment[House Code],0),3),"")</f>
        <v/>
      </c>
      <c r="G341" s="116" t="str">
        <f>IF(tbl_Actual_costs_quantities34[[#This Row],[House Code]]&lt;&gt;"",INDEX(tbl_Assessment[],MATCH(tbl_Actual_costs_quantities34[[#This Row],[House Code]],tbl_Assessment[House Code],0),9),"")</f>
        <v/>
      </c>
      <c r="H341" s="41"/>
      <c r="I341" s="41"/>
      <c r="J341" s="41"/>
      <c r="K341" s="116"/>
      <c r="L341" s="117" t="str">
        <f>IF(tbl_Actual_costs_quantities34[[#This Row],[House Code]]&lt;&gt;"",tbl_Actual_costs_quantities34[[#This Row],[Total cost]]/INDEX(tbl_estimated_costs_quantities[],MATCH(tbl_Actual_costs_quantities34[[#This Row],[House Code]],tbl_estimated_costs_quantities[House Code],0),7),"")</f>
        <v/>
      </c>
      <c r="M34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1" s="75"/>
      <c r="O341" s="37"/>
      <c r="P341" s="86">
        <f>tbl_Actual_costs_quantities34[[#This Row],[Site Preparation]]*BOQs!$L$3</f>
        <v>0</v>
      </c>
      <c r="Q341" s="76"/>
      <c r="R341" s="37"/>
      <c r="S341" s="86">
        <f>tbl_Actual_costs_quantities34[[#This Row],[Demolition Removal Unsafe Structures]]*BOQs!$L$4</f>
        <v>0</v>
      </c>
      <c r="T341" s="76"/>
      <c r="U341" s="37"/>
      <c r="V341" s="86">
        <f>tbl_Actual_costs_quantities34[[#This Row],[Concrete Works]]*BOQs!$L$5</f>
        <v>0</v>
      </c>
      <c r="W341" s="76"/>
      <c r="X341" s="37"/>
      <c r="Y341" s="86">
        <f>tbl_Actual_costs_quantities34[[#This Row],[Closure External Openings Walls Windows]]*BOQs!$L$6</f>
        <v>0</v>
      </c>
      <c r="Z341" s="76"/>
      <c r="AA341" s="37"/>
      <c r="AB341" s="86">
        <f>tbl_Actual_costs_quantities34[[#This Row],[Plastering Painting]]*BOQs!$L$7</f>
        <v>0</v>
      </c>
      <c r="AC341" s="76"/>
      <c r="AD341" s="37"/>
      <c r="AE341" s="86">
        <f>tbl_Actual_costs_quantities34[[#This Row],[Floor Repairs]]*BOQs!$L$8</f>
        <v>0</v>
      </c>
      <c r="AF341" s="76"/>
      <c r="AG341" s="37"/>
      <c r="AH341" s="86">
        <f>tbl_Actual_costs_quantities34[[#This Row],[Doors Replacement Repair]]*BOQs!$L$9</f>
        <v>0</v>
      </c>
      <c r="AI341" s="76"/>
      <c r="AJ341" s="37"/>
      <c r="AK341" s="86">
        <f>tbl_Actual_costs_quantities34[[#This Row],[Windows Replacement Repair]]*BOQs!$L$10</f>
        <v>0</v>
      </c>
      <c r="AL341" s="76"/>
      <c r="AM341" s="37"/>
      <c r="AN341" s="86">
        <f>tbl_Actual_costs_quantities34[[#This Row],[Bathroom Rehabilitation]]*BOQs!$L$11</f>
        <v>0</v>
      </c>
      <c r="AO341" s="76"/>
      <c r="AP341" s="37"/>
      <c r="AQ341" s="86">
        <f>tbl_Actual_costs_quantities34[[#This Row],[Ceramic Tile Works WASH]]*BOQs!$L$12</f>
        <v>0</v>
      </c>
      <c r="AR341" s="76"/>
      <c r="AS341" s="37"/>
      <c r="AT341" s="86">
        <f>tbl_Actual_costs_quantities34[[#This Row],[Electrical Repairs Lighting]]*BOQs!$L$13</f>
        <v>0</v>
      </c>
      <c r="AU341" s="76"/>
      <c r="AV341" s="37"/>
      <c r="AW341" s="86">
        <f>tbl_Actual_costs_quantities34[[#This Row],[Roof Insulation Leak Sealing]]*BOQs!$L$14</f>
        <v>0</v>
      </c>
      <c r="AX341" s="76"/>
      <c r="AY341" s="37"/>
      <c r="AZ341" s="86">
        <f>tbl_Actual_costs_quantities34[[#This Row],[Chimney Duct Cleaning Repair]]*BOQs!$L$15</f>
        <v>0</v>
      </c>
      <c r="BA341" s="76"/>
      <c r="BB341" s="37"/>
      <c r="BC341" s="89">
        <f>tbl_Actual_costs_quantities34[[#This Row],[Accessibility Adaptations]]*BOQs!$L$16</f>
        <v>0</v>
      </c>
      <c r="BD341" s="41"/>
      <c r="BE341" s="37"/>
      <c r="BF341" s="37"/>
    </row>
    <row r="342" spans="2:58" ht="25.15" customHeight="1" x14ac:dyDescent="0.25">
      <c r="B342" s="49">
        <v>338</v>
      </c>
      <c r="C342" s="37"/>
      <c r="D342" s="41"/>
      <c r="E342" s="40"/>
      <c r="F342" s="87" t="str">
        <f>IF(tbl_Actual_costs_quantities34[[#This Row],[House Code]]&lt;&gt;"",INDEX(tbl_Assessment[],MATCH(tbl_Actual_costs_quantities34[[#This Row],[House Code]],tbl_Assessment[House Code],0),3),"")</f>
        <v/>
      </c>
      <c r="G342" s="116" t="str">
        <f>IF(tbl_Actual_costs_quantities34[[#This Row],[House Code]]&lt;&gt;"",INDEX(tbl_Assessment[],MATCH(tbl_Actual_costs_quantities34[[#This Row],[House Code]],tbl_Assessment[House Code],0),9),"")</f>
        <v/>
      </c>
      <c r="H342" s="41"/>
      <c r="I342" s="41"/>
      <c r="J342" s="41"/>
      <c r="K342" s="116"/>
      <c r="L342" s="117" t="str">
        <f>IF(tbl_Actual_costs_quantities34[[#This Row],[House Code]]&lt;&gt;"",tbl_Actual_costs_quantities34[[#This Row],[Total cost]]/INDEX(tbl_estimated_costs_quantities[],MATCH(tbl_Actual_costs_quantities34[[#This Row],[House Code]],tbl_estimated_costs_quantities[House Code],0),7),"")</f>
        <v/>
      </c>
      <c r="M34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2" s="75"/>
      <c r="O342" s="37"/>
      <c r="P342" s="86">
        <f>tbl_Actual_costs_quantities34[[#This Row],[Site Preparation]]*BOQs!$L$3</f>
        <v>0</v>
      </c>
      <c r="Q342" s="76"/>
      <c r="R342" s="37"/>
      <c r="S342" s="86">
        <f>tbl_Actual_costs_quantities34[[#This Row],[Demolition Removal Unsafe Structures]]*BOQs!$L$4</f>
        <v>0</v>
      </c>
      <c r="T342" s="76"/>
      <c r="U342" s="37"/>
      <c r="V342" s="86">
        <f>tbl_Actual_costs_quantities34[[#This Row],[Concrete Works]]*BOQs!$L$5</f>
        <v>0</v>
      </c>
      <c r="W342" s="76"/>
      <c r="X342" s="37"/>
      <c r="Y342" s="86">
        <f>tbl_Actual_costs_quantities34[[#This Row],[Closure External Openings Walls Windows]]*BOQs!$L$6</f>
        <v>0</v>
      </c>
      <c r="Z342" s="76"/>
      <c r="AA342" s="37"/>
      <c r="AB342" s="86">
        <f>tbl_Actual_costs_quantities34[[#This Row],[Plastering Painting]]*BOQs!$L$7</f>
        <v>0</v>
      </c>
      <c r="AC342" s="76"/>
      <c r="AD342" s="37"/>
      <c r="AE342" s="86">
        <f>tbl_Actual_costs_quantities34[[#This Row],[Floor Repairs]]*BOQs!$L$8</f>
        <v>0</v>
      </c>
      <c r="AF342" s="76"/>
      <c r="AG342" s="37"/>
      <c r="AH342" s="86">
        <f>tbl_Actual_costs_quantities34[[#This Row],[Doors Replacement Repair]]*BOQs!$L$9</f>
        <v>0</v>
      </c>
      <c r="AI342" s="76"/>
      <c r="AJ342" s="37"/>
      <c r="AK342" s="86">
        <f>tbl_Actual_costs_quantities34[[#This Row],[Windows Replacement Repair]]*BOQs!$L$10</f>
        <v>0</v>
      </c>
      <c r="AL342" s="76"/>
      <c r="AM342" s="37"/>
      <c r="AN342" s="86">
        <f>tbl_Actual_costs_quantities34[[#This Row],[Bathroom Rehabilitation]]*BOQs!$L$11</f>
        <v>0</v>
      </c>
      <c r="AO342" s="76"/>
      <c r="AP342" s="37"/>
      <c r="AQ342" s="86">
        <f>tbl_Actual_costs_quantities34[[#This Row],[Ceramic Tile Works WASH]]*BOQs!$L$12</f>
        <v>0</v>
      </c>
      <c r="AR342" s="76"/>
      <c r="AS342" s="37"/>
      <c r="AT342" s="86">
        <f>tbl_Actual_costs_quantities34[[#This Row],[Electrical Repairs Lighting]]*BOQs!$L$13</f>
        <v>0</v>
      </c>
      <c r="AU342" s="76"/>
      <c r="AV342" s="37"/>
      <c r="AW342" s="86">
        <f>tbl_Actual_costs_quantities34[[#This Row],[Roof Insulation Leak Sealing]]*BOQs!$L$14</f>
        <v>0</v>
      </c>
      <c r="AX342" s="76"/>
      <c r="AY342" s="37"/>
      <c r="AZ342" s="86">
        <f>tbl_Actual_costs_quantities34[[#This Row],[Chimney Duct Cleaning Repair]]*BOQs!$L$15</f>
        <v>0</v>
      </c>
      <c r="BA342" s="76"/>
      <c r="BB342" s="37"/>
      <c r="BC342" s="89">
        <f>tbl_Actual_costs_quantities34[[#This Row],[Accessibility Adaptations]]*BOQs!$L$16</f>
        <v>0</v>
      </c>
      <c r="BD342" s="41"/>
      <c r="BE342" s="37"/>
      <c r="BF342" s="37"/>
    </row>
    <row r="343" spans="2:58" ht="25.15" customHeight="1" x14ac:dyDescent="0.25">
      <c r="B343" s="49">
        <v>339</v>
      </c>
      <c r="C343" s="37"/>
      <c r="D343" s="41"/>
      <c r="E343" s="40"/>
      <c r="F343" s="87" t="str">
        <f>IF(tbl_Actual_costs_quantities34[[#This Row],[House Code]]&lt;&gt;"",INDEX(tbl_Assessment[],MATCH(tbl_Actual_costs_quantities34[[#This Row],[House Code]],tbl_Assessment[House Code],0),3),"")</f>
        <v/>
      </c>
      <c r="G343" s="116" t="str">
        <f>IF(tbl_Actual_costs_quantities34[[#This Row],[House Code]]&lt;&gt;"",INDEX(tbl_Assessment[],MATCH(tbl_Actual_costs_quantities34[[#This Row],[House Code]],tbl_Assessment[House Code],0),9),"")</f>
        <v/>
      </c>
      <c r="H343" s="41"/>
      <c r="I343" s="41"/>
      <c r="J343" s="41"/>
      <c r="K343" s="116"/>
      <c r="L343" s="117" t="str">
        <f>IF(tbl_Actual_costs_quantities34[[#This Row],[House Code]]&lt;&gt;"",tbl_Actual_costs_quantities34[[#This Row],[Total cost]]/INDEX(tbl_estimated_costs_quantities[],MATCH(tbl_Actual_costs_quantities34[[#This Row],[House Code]],tbl_estimated_costs_quantities[House Code],0),7),"")</f>
        <v/>
      </c>
      <c r="M34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3" s="75"/>
      <c r="O343" s="37"/>
      <c r="P343" s="86">
        <f>tbl_Actual_costs_quantities34[[#This Row],[Site Preparation]]*BOQs!$L$3</f>
        <v>0</v>
      </c>
      <c r="Q343" s="76"/>
      <c r="R343" s="37"/>
      <c r="S343" s="86">
        <f>tbl_Actual_costs_quantities34[[#This Row],[Demolition Removal Unsafe Structures]]*BOQs!$L$4</f>
        <v>0</v>
      </c>
      <c r="T343" s="76"/>
      <c r="U343" s="37"/>
      <c r="V343" s="86">
        <f>tbl_Actual_costs_quantities34[[#This Row],[Concrete Works]]*BOQs!$L$5</f>
        <v>0</v>
      </c>
      <c r="W343" s="76"/>
      <c r="X343" s="37"/>
      <c r="Y343" s="86">
        <f>tbl_Actual_costs_quantities34[[#This Row],[Closure External Openings Walls Windows]]*BOQs!$L$6</f>
        <v>0</v>
      </c>
      <c r="Z343" s="76"/>
      <c r="AA343" s="37"/>
      <c r="AB343" s="86">
        <f>tbl_Actual_costs_quantities34[[#This Row],[Plastering Painting]]*BOQs!$L$7</f>
        <v>0</v>
      </c>
      <c r="AC343" s="76"/>
      <c r="AD343" s="37"/>
      <c r="AE343" s="86">
        <f>tbl_Actual_costs_quantities34[[#This Row],[Floor Repairs]]*BOQs!$L$8</f>
        <v>0</v>
      </c>
      <c r="AF343" s="76"/>
      <c r="AG343" s="37"/>
      <c r="AH343" s="86">
        <f>tbl_Actual_costs_quantities34[[#This Row],[Doors Replacement Repair]]*BOQs!$L$9</f>
        <v>0</v>
      </c>
      <c r="AI343" s="76"/>
      <c r="AJ343" s="37"/>
      <c r="AK343" s="86">
        <f>tbl_Actual_costs_quantities34[[#This Row],[Windows Replacement Repair]]*BOQs!$L$10</f>
        <v>0</v>
      </c>
      <c r="AL343" s="76"/>
      <c r="AM343" s="37"/>
      <c r="AN343" s="86">
        <f>tbl_Actual_costs_quantities34[[#This Row],[Bathroom Rehabilitation]]*BOQs!$L$11</f>
        <v>0</v>
      </c>
      <c r="AO343" s="76"/>
      <c r="AP343" s="37"/>
      <c r="AQ343" s="86">
        <f>tbl_Actual_costs_quantities34[[#This Row],[Ceramic Tile Works WASH]]*BOQs!$L$12</f>
        <v>0</v>
      </c>
      <c r="AR343" s="76"/>
      <c r="AS343" s="37"/>
      <c r="AT343" s="86">
        <f>tbl_Actual_costs_quantities34[[#This Row],[Electrical Repairs Lighting]]*BOQs!$L$13</f>
        <v>0</v>
      </c>
      <c r="AU343" s="76"/>
      <c r="AV343" s="37"/>
      <c r="AW343" s="86">
        <f>tbl_Actual_costs_quantities34[[#This Row],[Roof Insulation Leak Sealing]]*BOQs!$L$14</f>
        <v>0</v>
      </c>
      <c r="AX343" s="76"/>
      <c r="AY343" s="37"/>
      <c r="AZ343" s="86">
        <f>tbl_Actual_costs_quantities34[[#This Row],[Chimney Duct Cleaning Repair]]*BOQs!$L$15</f>
        <v>0</v>
      </c>
      <c r="BA343" s="76"/>
      <c r="BB343" s="37"/>
      <c r="BC343" s="89">
        <f>tbl_Actual_costs_quantities34[[#This Row],[Accessibility Adaptations]]*BOQs!$L$16</f>
        <v>0</v>
      </c>
      <c r="BD343" s="41"/>
      <c r="BE343" s="37"/>
      <c r="BF343" s="37"/>
    </row>
    <row r="344" spans="2:58" ht="25.15" customHeight="1" x14ac:dyDescent="0.25">
      <c r="B344" s="49">
        <v>340</v>
      </c>
      <c r="C344" s="37"/>
      <c r="D344" s="41"/>
      <c r="E344" s="40"/>
      <c r="F344" s="87" t="str">
        <f>IF(tbl_Actual_costs_quantities34[[#This Row],[House Code]]&lt;&gt;"",INDEX(tbl_Assessment[],MATCH(tbl_Actual_costs_quantities34[[#This Row],[House Code]],tbl_Assessment[House Code],0),3),"")</f>
        <v/>
      </c>
      <c r="G344" s="116" t="str">
        <f>IF(tbl_Actual_costs_quantities34[[#This Row],[House Code]]&lt;&gt;"",INDEX(tbl_Assessment[],MATCH(tbl_Actual_costs_quantities34[[#This Row],[House Code]],tbl_Assessment[House Code],0),9),"")</f>
        <v/>
      </c>
      <c r="H344" s="41"/>
      <c r="I344" s="41"/>
      <c r="J344" s="41"/>
      <c r="K344" s="116"/>
      <c r="L344" s="117" t="str">
        <f>IF(tbl_Actual_costs_quantities34[[#This Row],[House Code]]&lt;&gt;"",tbl_Actual_costs_quantities34[[#This Row],[Total cost]]/INDEX(tbl_estimated_costs_quantities[],MATCH(tbl_Actual_costs_quantities34[[#This Row],[House Code]],tbl_estimated_costs_quantities[House Code],0),7),"")</f>
        <v/>
      </c>
      <c r="M34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4" s="75"/>
      <c r="O344" s="37"/>
      <c r="P344" s="86">
        <f>tbl_Actual_costs_quantities34[[#This Row],[Site Preparation]]*BOQs!$L$3</f>
        <v>0</v>
      </c>
      <c r="Q344" s="76"/>
      <c r="R344" s="37"/>
      <c r="S344" s="86">
        <f>tbl_Actual_costs_quantities34[[#This Row],[Demolition Removal Unsafe Structures]]*BOQs!$L$4</f>
        <v>0</v>
      </c>
      <c r="T344" s="76"/>
      <c r="U344" s="37"/>
      <c r="V344" s="86">
        <f>tbl_Actual_costs_quantities34[[#This Row],[Concrete Works]]*BOQs!$L$5</f>
        <v>0</v>
      </c>
      <c r="W344" s="76"/>
      <c r="X344" s="37"/>
      <c r="Y344" s="86">
        <f>tbl_Actual_costs_quantities34[[#This Row],[Closure External Openings Walls Windows]]*BOQs!$L$6</f>
        <v>0</v>
      </c>
      <c r="Z344" s="76"/>
      <c r="AA344" s="37"/>
      <c r="AB344" s="86">
        <f>tbl_Actual_costs_quantities34[[#This Row],[Plastering Painting]]*BOQs!$L$7</f>
        <v>0</v>
      </c>
      <c r="AC344" s="76"/>
      <c r="AD344" s="37"/>
      <c r="AE344" s="86">
        <f>tbl_Actual_costs_quantities34[[#This Row],[Floor Repairs]]*BOQs!$L$8</f>
        <v>0</v>
      </c>
      <c r="AF344" s="76"/>
      <c r="AG344" s="37"/>
      <c r="AH344" s="86">
        <f>tbl_Actual_costs_quantities34[[#This Row],[Doors Replacement Repair]]*BOQs!$L$9</f>
        <v>0</v>
      </c>
      <c r="AI344" s="76"/>
      <c r="AJ344" s="37"/>
      <c r="AK344" s="86">
        <f>tbl_Actual_costs_quantities34[[#This Row],[Windows Replacement Repair]]*BOQs!$L$10</f>
        <v>0</v>
      </c>
      <c r="AL344" s="76"/>
      <c r="AM344" s="37"/>
      <c r="AN344" s="86">
        <f>tbl_Actual_costs_quantities34[[#This Row],[Bathroom Rehabilitation]]*BOQs!$L$11</f>
        <v>0</v>
      </c>
      <c r="AO344" s="76"/>
      <c r="AP344" s="37"/>
      <c r="AQ344" s="86">
        <f>tbl_Actual_costs_quantities34[[#This Row],[Ceramic Tile Works WASH]]*BOQs!$L$12</f>
        <v>0</v>
      </c>
      <c r="AR344" s="76"/>
      <c r="AS344" s="37"/>
      <c r="AT344" s="86">
        <f>tbl_Actual_costs_quantities34[[#This Row],[Electrical Repairs Lighting]]*BOQs!$L$13</f>
        <v>0</v>
      </c>
      <c r="AU344" s="76"/>
      <c r="AV344" s="37"/>
      <c r="AW344" s="86">
        <f>tbl_Actual_costs_quantities34[[#This Row],[Roof Insulation Leak Sealing]]*BOQs!$L$14</f>
        <v>0</v>
      </c>
      <c r="AX344" s="76"/>
      <c r="AY344" s="37"/>
      <c r="AZ344" s="86">
        <f>tbl_Actual_costs_quantities34[[#This Row],[Chimney Duct Cleaning Repair]]*BOQs!$L$15</f>
        <v>0</v>
      </c>
      <c r="BA344" s="76"/>
      <c r="BB344" s="37"/>
      <c r="BC344" s="89">
        <f>tbl_Actual_costs_quantities34[[#This Row],[Accessibility Adaptations]]*BOQs!$L$16</f>
        <v>0</v>
      </c>
      <c r="BD344" s="41"/>
      <c r="BE344" s="37"/>
      <c r="BF344" s="37"/>
    </row>
    <row r="345" spans="2:58" ht="25.15" customHeight="1" x14ac:dyDescent="0.25">
      <c r="B345" s="49">
        <v>341</v>
      </c>
      <c r="C345" s="37"/>
      <c r="D345" s="41"/>
      <c r="E345" s="40"/>
      <c r="F345" s="87" t="str">
        <f>IF(tbl_Actual_costs_quantities34[[#This Row],[House Code]]&lt;&gt;"",INDEX(tbl_Assessment[],MATCH(tbl_Actual_costs_quantities34[[#This Row],[House Code]],tbl_Assessment[House Code],0),3),"")</f>
        <v/>
      </c>
      <c r="G345" s="116" t="str">
        <f>IF(tbl_Actual_costs_quantities34[[#This Row],[House Code]]&lt;&gt;"",INDEX(tbl_Assessment[],MATCH(tbl_Actual_costs_quantities34[[#This Row],[House Code]],tbl_Assessment[House Code],0),9),"")</f>
        <v/>
      </c>
      <c r="H345" s="41"/>
      <c r="I345" s="41"/>
      <c r="J345" s="41"/>
      <c r="K345" s="116"/>
      <c r="L345" s="117" t="str">
        <f>IF(tbl_Actual_costs_quantities34[[#This Row],[House Code]]&lt;&gt;"",tbl_Actual_costs_quantities34[[#This Row],[Total cost]]/INDEX(tbl_estimated_costs_quantities[],MATCH(tbl_Actual_costs_quantities34[[#This Row],[House Code]],tbl_estimated_costs_quantities[House Code],0),7),"")</f>
        <v/>
      </c>
      <c r="M34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5" s="75"/>
      <c r="O345" s="37"/>
      <c r="P345" s="86">
        <f>tbl_Actual_costs_quantities34[[#This Row],[Site Preparation]]*BOQs!$L$3</f>
        <v>0</v>
      </c>
      <c r="Q345" s="76"/>
      <c r="R345" s="37"/>
      <c r="S345" s="86">
        <f>tbl_Actual_costs_quantities34[[#This Row],[Demolition Removal Unsafe Structures]]*BOQs!$L$4</f>
        <v>0</v>
      </c>
      <c r="T345" s="76"/>
      <c r="U345" s="37"/>
      <c r="V345" s="86">
        <f>tbl_Actual_costs_quantities34[[#This Row],[Concrete Works]]*BOQs!$L$5</f>
        <v>0</v>
      </c>
      <c r="W345" s="76"/>
      <c r="X345" s="37"/>
      <c r="Y345" s="86">
        <f>tbl_Actual_costs_quantities34[[#This Row],[Closure External Openings Walls Windows]]*BOQs!$L$6</f>
        <v>0</v>
      </c>
      <c r="Z345" s="76"/>
      <c r="AA345" s="37"/>
      <c r="AB345" s="86">
        <f>tbl_Actual_costs_quantities34[[#This Row],[Plastering Painting]]*BOQs!$L$7</f>
        <v>0</v>
      </c>
      <c r="AC345" s="76"/>
      <c r="AD345" s="37"/>
      <c r="AE345" s="86">
        <f>tbl_Actual_costs_quantities34[[#This Row],[Floor Repairs]]*BOQs!$L$8</f>
        <v>0</v>
      </c>
      <c r="AF345" s="76"/>
      <c r="AG345" s="37"/>
      <c r="AH345" s="86">
        <f>tbl_Actual_costs_quantities34[[#This Row],[Doors Replacement Repair]]*BOQs!$L$9</f>
        <v>0</v>
      </c>
      <c r="AI345" s="76"/>
      <c r="AJ345" s="37"/>
      <c r="AK345" s="86">
        <f>tbl_Actual_costs_quantities34[[#This Row],[Windows Replacement Repair]]*BOQs!$L$10</f>
        <v>0</v>
      </c>
      <c r="AL345" s="76"/>
      <c r="AM345" s="37"/>
      <c r="AN345" s="86">
        <f>tbl_Actual_costs_quantities34[[#This Row],[Bathroom Rehabilitation]]*BOQs!$L$11</f>
        <v>0</v>
      </c>
      <c r="AO345" s="76"/>
      <c r="AP345" s="37"/>
      <c r="AQ345" s="86">
        <f>tbl_Actual_costs_quantities34[[#This Row],[Ceramic Tile Works WASH]]*BOQs!$L$12</f>
        <v>0</v>
      </c>
      <c r="AR345" s="76"/>
      <c r="AS345" s="37"/>
      <c r="AT345" s="86">
        <f>tbl_Actual_costs_quantities34[[#This Row],[Electrical Repairs Lighting]]*BOQs!$L$13</f>
        <v>0</v>
      </c>
      <c r="AU345" s="76"/>
      <c r="AV345" s="37"/>
      <c r="AW345" s="86">
        <f>tbl_Actual_costs_quantities34[[#This Row],[Roof Insulation Leak Sealing]]*BOQs!$L$14</f>
        <v>0</v>
      </c>
      <c r="AX345" s="76"/>
      <c r="AY345" s="37"/>
      <c r="AZ345" s="86">
        <f>tbl_Actual_costs_quantities34[[#This Row],[Chimney Duct Cleaning Repair]]*BOQs!$L$15</f>
        <v>0</v>
      </c>
      <c r="BA345" s="76"/>
      <c r="BB345" s="37"/>
      <c r="BC345" s="89">
        <f>tbl_Actual_costs_quantities34[[#This Row],[Accessibility Adaptations]]*BOQs!$L$16</f>
        <v>0</v>
      </c>
      <c r="BD345" s="41"/>
      <c r="BE345" s="37"/>
      <c r="BF345" s="37"/>
    </row>
    <row r="346" spans="2:58" ht="25.15" customHeight="1" x14ac:dyDescent="0.25">
      <c r="B346" s="49">
        <v>342</v>
      </c>
      <c r="C346" s="37"/>
      <c r="D346" s="41"/>
      <c r="E346" s="40"/>
      <c r="F346" s="87" t="str">
        <f>IF(tbl_Actual_costs_quantities34[[#This Row],[House Code]]&lt;&gt;"",INDEX(tbl_Assessment[],MATCH(tbl_Actual_costs_quantities34[[#This Row],[House Code]],tbl_Assessment[House Code],0),3),"")</f>
        <v/>
      </c>
      <c r="G346" s="116" t="str">
        <f>IF(tbl_Actual_costs_quantities34[[#This Row],[House Code]]&lt;&gt;"",INDEX(tbl_Assessment[],MATCH(tbl_Actual_costs_quantities34[[#This Row],[House Code]],tbl_Assessment[House Code],0),9),"")</f>
        <v/>
      </c>
      <c r="H346" s="41"/>
      <c r="I346" s="41"/>
      <c r="J346" s="41"/>
      <c r="K346" s="116"/>
      <c r="L346" s="117" t="str">
        <f>IF(tbl_Actual_costs_quantities34[[#This Row],[House Code]]&lt;&gt;"",tbl_Actual_costs_quantities34[[#This Row],[Total cost]]/INDEX(tbl_estimated_costs_quantities[],MATCH(tbl_Actual_costs_quantities34[[#This Row],[House Code]],tbl_estimated_costs_quantities[House Code],0),7),"")</f>
        <v/>
      </c>
      <c r="M34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6" s="75"/>
      <c r="O346" s="37"/>
      <c r="P346" s="86">
        <f>tbl_Actual_costs_quantities34[[#This Row],[Site Preparation]]*BOQs!$L$3</f>
        <v>0</v>
      </c>
      <c r="Q346" s="76"/>
      <c r="R346" s="37"/>
      <c r="S346" s="86">
        <f>tbl_Actual_costs_quantities34[[#This Row],[Demolition Removal Unsafe Structures]]*BOQs!$L$4</f>
        <v>0</v>
      </c>
      <c r="T346" s="76"/>
      <c r="U346" s="37"/>
      <c r="V346" s="86">
        <f>tbl_Actual_costs_quantities34[[#This Row],[Concrete Works]]*BOQs!$L$5</f>
        <v>0</v>
      </c>
      <c r="W346" s="76"/>
      <c r="X346" s="37"/>
      <c r="Y346" s="86">
        <f>tbl_Actual_costs_quantities34[[#This Row],[Closure External Openings Walls Windows]]*BOQs!$L$6</f>
        <v>0</v>
      </c>
      <c r="Z346" s="76"/>
      <c r="AA346" s="37"/>
      <c r="AB346" s="86">
        <f>tbl_Actual_costs_quantities34[[#This Row],[Plastering Painting]]*BOQs!$L$7</f>
        <v>0</v>
      </c>
      <c r="AC346" s="76"/>
      <c r="AD346" s="37"/>
      <c r="AE346" s="86">
        <f>tbl_Actual_costs_quantities34[[#This Row],[Floor Repairs]]*BOQs!$L$8</f>
        <v>0</v>
      </c>
      <c r="AF346" s="76"/>
      <c r="AG346" s="37"/>
      <c r="AH346" s="86">
        <f>tbl_Actual_costs_quantities34[[#This Row],[Doors Replacement Repair]]*BOQs!$L$9</f>
        <v>0</v>
      </c>
      <c r="AI346" s="76"/>
      <c r="AJ346" s="37"/>
      <c r="AK346" s="86">
        <f>tbl_Actual_costs_quantities34[[#This Row],[Windows Replacement Repair]]*BOQs!$L$10</f>
        <v>0</v>
      </c>
      <c r="AL346" s="76"/>
      <c r="AM346" s="37"/>
      <c r="AN346" s="86">
        <f>tbl_Actual_costs_quantities34[[#This Row],[Bathroom Rehabilitation]]*BOQs!$L$11</f>
        <v>0</v>
      </c>
      <c r="AO346" s="76"/>
      <c r="AP346" s="37"/>
      <c r="AQ346" s="86">
        <f>tbl_Actual_costs_quantities34[[#This Row],[Ceramic Tile Works WASH]]*BOQs!$L$12</f>
        <v>0</v>
      </c>
      <c r="AR346" s="76"/>
      <c r="AS346" s="37"/>
      <c r="AT346" s="86">
        <f>tbl_Actual_costs_quantities34[[#This Row],[Electrical Repairs Lighting]]*BOQs!$L$13</f>
        <v>0</v>
      </c>
      <c r="AU346" s="76"/>
      <c r="AV346" s="37"/>
      <c r="AW346" s="86">
        <f>tbl_Actual_costs_quantities34[[#This Row],[Roof Insulation Leak Sealing]]*BOQs!$L$14</f>
        <v>0</v>
      </c>
      <c r="AX346" s="76"/>
      <c r="AY346" s="37"/>
      <c r="AZ346" s="86">
        <f>tbl_Actual_costs_quantities34[[#This Row],[Chimney Duct Cleaning Repair]]*BOQs!$L$15</f>
        <v>0</v>
      </c>
      <c r="BA346" s="76"/>
      <c r="BB346" s="37"/>
      <c r="BC346" s="89">
        <f>tbl_Actual_costs_quantities34[[#This Row],[Accessibility Adaptations]]*BOQs!$L$16</f>
        <v>0</v>
      </c>
      <c r="BD346" s="41"/>
      <c r="BE346" s="37"/>
      <c r="BF346" s="37"/>
    </row>
    <row r="347" spans="2:58" ht="25.15" customHeight="1" x14ac:dyDescent="0.25">
      <c r="B347" s="49">
        <v>343</v>
      </c>
      <c r="C347" s="37"/>
      <c r="D347" s="41"/>
      <c r="E347" s="40"/>
      <c r="F347" s="87" t="str">
        <f>IF(tbl_Actual_costs_quantities34[[#This Row],[House Code]]&lt;&gt;"",INDEX(tbl_Assessment[],MATCH(tbl_Actual_costs_quantities34[[#This Row],[House Code]],tbl_Assessment[House Code],0),3),"")</f>
        <v/>
      </c>
      <c r="G347" s="116" t="str">
        <f>IF(tbl_Actual_costs_quantities34[[#This Row],[House Code]]&lt;&gt;"",INDEX(tbl_Assessment[],MATCH(tbl_Actual_costs_quantities34[[#This Row],[House Code]],tbl_Assessment[House Code],0),9),"")</f>
        <v/>
      </c>
      <c r="H347" s="41"/>
      <c r="I347" s="41"/>
      <c r="J347" s="41"/>
      <c r="K347" s="116"/>
      <c r="L347" s="117" t="str">
        <f>IF(tbl_Actual_costs_quantities34[[#This Row],[House Code]]&lt;&gt;"",tbl_Actual_costs_quantities34[[#This Row],[Total cost]]/INDEX(tbl_estimated_costs_quantities[],MATCH(tbl_Actual_costs_quantities34[[#This Row],[House Code]],tbl_estimated_costs_quantities[House Code],0),7),"")</f>
        <v/>
      </c>
      <c r="M34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7" s="75"/>
      <c r="O347" s="37"/>
      <c r="P347" s="86">
        <f>tbl_Actual_costs_quantities34[[#This Row],[Site Preparation]]*BOQs!$L$3</f>
        <v>0</v>
      </c>
      <c r="Q347" s="76"/>
      <c r="R347" s="37"/>
      <c r="S347" s="86">
        <f>tbl_Actual_costs_quantities34[[#This Row],[Demolition Removal Unsafe Structures]]*BOQs!$L$4</f>
        <v>0</v>
      </c>
      <c r="T347" s="76"/>
      <c r="U347" s="37"/>
      <c r="V347" s="86">
        <f>tbl_Actual_costs_quantities34[[#This Row],[Concrete Works]]*BOQs!$L$5</f>
        <v>0</v>
      </c>
      <c r="W347" s="76"/>
      <c r="X347" s="37"/>
      <c r="Y347" s="86">
        <f>tbl_Actual_costs_quantities34[[#This Row],[Closure External Openings Walls Windows]]*BOQs!$L$6</f>
        <v>0</v>
      </c>
      <c r="Z347" s="76"/>
      <c r="AA347" s="37"/>
      <c r="AB347" s="86">
        <f>tbl_Actual_costs_quantities34[[#This Row],[Plastering Painting]]*BOQs!$L$7</f>
        <v>0</v>
      </c>
      <c r="AC347" s="76"/>
      <c r="AD347" s="37"/>
      <c r="AE347" s="86">
        <f>tbl_Actual_costs_quantities34[[#This Row],[Floor Repairs]]*BOQs!$L$8</f>
        <v>0</v>
      </c>
      <c r="AF347" s="76"/>
      <c r="AG347" s="37"/>
      <c r="AH347" s="86">
        <f>tbl_Actual_costs_quantities34[[#This Row],[Doors Replacement Repair]]*BOQs!$L$9</f>
        <v>0</v>
      </c>
      <c r="AI347" s="76"/>
      <c r="AJ347" s="37"/>
      <c r="AK347" s="86">
        <f>tbl_Actual_costs_quantities34[[#This Row],[Windows Replacement Repair]]*BOQs!$L$10</f>
        <v>0</v>
      </c>
      <c r="AL347" s="76"/>
      <c r="AM347" s="37"/>
      <c r="AN347" s="86">
        <f>tbl_Actual_costs_quantities34[[#This Row],[Bathroom Rehabilitation]]*BOQs!$L$11</f>
        <v>0</v>
      </c>
      <c r="AO347" s="76"/>
      <c r="AP347" s="37"/>
      <c r="AQ347" s="86">
        <f>tbl_Actual_costs_quantities34[[#This Row],[Ceramic Tile Works WASH]]*BOQs!$L$12</f>
        <v>0</v>
      </c>
      <c r="AR347" s="76"/>
      <c r="AS347" s="37"/>
      <c r="AT347" s="86">
        <f>tbl_Actual_costs_quantities34[[#This Row],[Electrical Repairs Lighting]]*BOQs!$L$13</f>
        <v>0</v>
      </c>
      <c r="AU347" s="76"/>
      <c r="AV347" s="37"/>
      <c r="AW347" s="86">
        <f>tbl_Actual_costs_quantities34[[#This Row],[Roof Insulation Leak Sealing]]*BOQs!$L$14</f>
        <v>0</v>
      </c>
      <c r="AX347" s="76"/>
      <c r="AY347" s="37"/>
      <c r="AZ347" s="86">
        <f>tbl_Actual_costs_quantities34[[#This Row],[Chimney Duct Cleaning Repair]]*BOQs!$L$15</f>
        <v>0</v>
      </c>
      <c r="BA347" s="76"/>
      <c r="BB347" s="37"/>
      <c r="BC347" s="89">
        <f>tbl_Actual_costs_quantities34[[#This Row],[Accessibility Adaptations]]*BOQs!$L$16</f>
        <v>0</v>
      </c>
      <c r="BD347" s="41"/>
      <c r="BE347" s="37"/>
      <c r="BF347" s="37"/>
    </row>
    <row r="348" spans="2:58" ht="25.15" customHeight="1" x14ac:dyDescent="0.25">
      <c r="B348" s="49">
        <v>344</v>
      </c>
      <c r="C348" s="37"/>
      <c r="D348" s="41"/>
      <c r="E348" s="40"/>
      <c r="F348" s="87" t="str">
        <f>IF(tbl_Actual_costs_quantities34[[#This Row],[House Code]]&lt;&gt;"",INDEX(tbl_Assessment[],MATCH(tbl_Actual_costs_quantities34[[#This Row],[House Code]],tbl_Assessment[House Code],0),3),"")</f>
        <v/>
      </c>
      <c r="G348" s="116" t="str">
        <f>IF(tbl_Actual_costs_quantities34[[#This Row],[House Code]]&lt;&gt;"",INDEX(tbl_Assessment[],MATCH(tbl_Actual_costs_quantities34[[#This Row],[House Code]],tbl_Assessment[House Code],0),9),"")</f>
        <v/>
      </c>
      <c r="H348" s="41"/>
      <c r="I348" s="41"/>
      <c r="J348" s="41"/>
      <c r="K348" s="116"/>
      <c r="L348" s="117" t="str">
        <f>IF(tbl_Actual_costs_quantities34[[#This Row],[House Code]]&lt;&gt;"",tbl_Actual_costs_quantities34[[#This Row],[Total cost]]/INDEX(tbl_estimated_costs_quantities[],MATCH(tbl_Actual_costs_quantities34[[#This Row],[House Code]],tbl_estimated_costs_quantities[House Code],0),7),"")</f>
        <v/>
      </c>
      <c r="M34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8" s="75"/>
      <c r="O348" s="37"/>
      <c r="P348" s="86">
        <f>tbl_Actual_costs_quantities34[[#This Row],[Site Preparation]]*BOQs!$L$3</f>
        <v>0</v>
      </c>
      <c r="Q348" s="76"/>
      <c r="R348" s="37"/>
      <c r="S348" s="86">
        <f>tbl_Actual_costs_quantities34[[#This Row],[Demolition Removal Unsafe Structures]]*BOQs!$L$4</f>
        <v>0</v>
      </c>
      <c r="T348" s="76"/>
      <c r="U348" s="37"/>
      <c r="V348" s="86">
        <f>tbl_Actual_costs_quantities34[[#This Row],[Concrete Works]]*BOQs!$L$5</f>
        <v>0</v>
      </c>
      <c r="W348" s="76"/>
      <c r="X348" s="37"/>
      <c r="Y348" s="86">
        <f>tbl_Actual_costs_quantities34[[#This Row],[Closure External Openings Walls Windows]]*BOQs!$L$6</f>
        <v>0</v>
      </c>
      <c r="Z348" s="76"/>
      <c r="AA348" s="37"/>
      <c r="AB348" s="86">
        <f>tbl_Actual_costs_quantities34[[#This Row],[Plastering Painting]]*BOQs!$L$7</f>
        <v>0</v>
      </c>
      <c r="AC348" s="76"/>
      <c r="AD348" s="37"/>
      <c r="AE348" s="86">
        <f>tbl_Actual_costs_quantities34[[#This Row],[Floor Repairs]]*BOQs!$L$8</f>
        <v>0</v>
      </c>
      <c r="AF348" s="76"/>
      <c r="AG348" s="37"/>
      <c r="AH348" s="86">
        <f>tbl_Actual_costs_quantities34[[#This Row],[Doors Replacement Repair]]*BOQs!$L$9</f>
        <v>0</v>
      </c>
      <c r="AI348" s="76"/>
      <c r="AJ348" s="37"/>
      <c r="AK348" s="86">
        <f>tbl_Actual_costs_quantities34[[#This Row],[Windows Replacement Repair]]*BOQs!$L$10</f>
        <v>0</v>
      </c>
      <c r="AL348" s="76"/>
      <c r="AM348" s="37"/>
      <c r="AN348" s="86">
        <f>tbl_Actual_costs_quantities34[[#This Row],[Bathroom Rehabilitation]]*BOQs!$L$11</f>
        <v>0</v>
      </c>
      <c r="AO348" s="76"/>
      <c r="AP348" s="37"/>
      <c r="AQ348" s="86">
        <f>tbl_Actual_costs_quantities34[[#This Row],[Ceramic Tile Works WASH]]*BOQs!$L$12</f>
        <v>0</v>
      </c>
      <c r="AR348" s="76"/>
      <c r="AS348" s="37"/>
      <c r="AT348" s="86">
        <f>tbl_Actual_costs_quantities34[[#This Row],[Electrical Repairs Lighting]]*BOQs!$L$13</f>
        <v>0</v>
      </c>
      <c r="AU348" s="76"/>
      <c r="AV348" s="37"/>
      <c r="AW348" s="86">
        <f>tbl_Actual_costs_quantities34[[#This Row],[Roof Insulation Leak Sealing]]*BOQs!$L$14</f>
        <v>0</v>
      </c>
      <c r="AX348" s="76"/>
      <c r="AY348" s="37"/>
      <c r="AZ348" s="86">
        <f>tbl_Actual_costs_quantities34[[#This Row],[Chimney Duct Cleaning Repair]]*BOQs!$L$15</f>
        <v>0</v>
      </c>
      <c r="BA348" s="76"/>
      <c r="BB348" s="37"/>
      <c r="BC348" s="89">
        <f>tbl_Actual_costs_quantities34[[#This Row],[Accessibility Adaptations]]*BOQs!$L$16</f>
        <v>0</v>
      </c>
      <c r="BD348" s="41"/>
      <c r="BE348" s="37"/>
      <c r="BF348" s="37"/>
    </row>
    <row r="349" spans="2:58" ht="25.15" customHeight="1" x14ac:dyDescent="0.25">
      <c r="B349" s="49">
        <v>345</v>
      </c>
      <c r="C349" s="37"/>
      <c r="D349" s="41"/>
      <c r="E349" s="40"/>
      <c r="F349" s="87" t="str">
        <f>IF(tbl_Actual_costs_quantities34[[#This Row],[House Code]]&lt;&gt;"",INDEX(tbl_Assessment[],MATCH(tbl_Actual_costs_quantities34[[#This Row],[House Code]],tbl_Assessment[House Code],0),3),"")</f>
        <v/>
      </c>
      <c r="G349" s="116" t="str">
        <f>IF(tbl_Actual_costs_quantities34[[#This Row],[House Code]]&lt;&gt;"",INDEX(tbl_Assessment[],MATCH(tbl_Actual_costs_quantities34[[#This Row],[House Code]],tbl_Assessment[House Code],0),9),"")</f>
        <v/>
      </c>
      <c r="H349" s="41"/>
      <c r="I349" s="41"/>
      <c r="J349" s="41"/>
      <c r="K349" s="116"/>
      <c r="L349" s="117" t="str">
        <f>IF(tbl_Actual_costs_quantities34[[#This Row],[House Code]]&lt;&gt;"",tbl_Actual_costs_quantities34[[#This Row],[Total cost]]/INDEX(tbl_estimated_costs_quantities[],MATCH(tbl_Actual_costs_quantities34[[#This Row],[House Code]],tbl_estimated_costs_quantities[House Code],0),7),"")</f>
        <v/>
      </c>
      <c r="M34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49" s="75"/>
      <c r="O349" s="37"/>
      <c r="P349" s="86">
        <f>tbl_Actual_costs_quantities34[[#This Row],[Site Preparation]]*BOQs!$L$3</f>
        <v>0</v>
      </c>
      <c r="Q349" s="76"/>
      <c r="R349" s="37"/>
      <c r="S349" s="86">
        <f>tbl_Actual_costs_quantities34[[#This Row],[Demolition Removal Unsafe Structures]]*BOQs!$L$4</f>
        <v>0</v>
      </c>
      <c r="T349" s="76"/>
      <c r="U349" s="37"/>
      <c r="V349" s="86">
        <f>tbl_Actual_costs_quantities34[[#This Row],[Concrete Works]]*BOQs!$L$5</f>
        <v>0</v>
      </c>
      <c r="W349" s="76"/>
      <c r="X349" s="37"/>
      <c r="Y349" s="86">
        <f>tbl_Actual_costs_quantities34[[#This Row],[Closure External Openings Walls Windows]]*BOQs!$L$6</f>
        <v>0</v>
      </c>
      <c r="Z349" s="76"/>
      <c r="AA349" s="37"/>
      <c r="AB349" s="86">
        <f>tbl_Actual_costs_quantities34[[#This Row],[Plastering Painting]]*BOQs!$L$7</f>
        <v>0</v>
      </c>
      <c r="AC349" s="76"/>
      <c r="AD349" s="37"/>
      <c r="AE349" s="86">
        <f>tbl_Actual_costs_quantities34[[#This Row],[Floor Repairs]]*BOQs!$L$8</f>
        <v>0</v>
      </c>
      <c r="AF349" s="76"/>
      <c r="AG349" s="37"/>
      <c r="AH349" s="86">
        <f>tbl_Actual_costs_quantities34[[#This Row],[Doors Replacement Repair]]*BOQs!$L$9</f>
        <v>0</v>
      </c>
      <c r="AI349" s="76"/>
      <c r="AJ349" s="37"/>
      <c r="AK349" s="86">
        <f>tbl_Actual_costs_quantities34[[#This Row],[Windows Replacement Repair]]*BOQs!$L$10</f>
        <v>0</v>
      </c>
      <c r="AL349" s="76"/>
      <c r="AM349" s="37"/>
      <c r="AN349" s="86">
        <f>tbl_Actual_costs_quantities34[[#This Row],[Bathroom Rehabilitation]]*BOQs!$L$11</f>
        <v>0</v>
      </c>
      <c r="AO349" s="76"/>
      <c r="AP349" s="37"/>
      <c r="AQ349" s="86">
        <f>tbl_Actual_costs_quantities34[[#This Row],[Ceramic Tile Works WASH]]*BOQs!$L$12</f>
        <v>0</v>
      </c>
      <c r="AR349" s="76"/>
      <c r="AS349" s="37"/>
      <c r="AT349" s="86">
        <f>tbl_Actual_costs_quantities34[[#This Row],[Electrical Repairs Lighting]]*BOQs!$L$13</f>
        <v>0</v>
      </c>
      <c r="AU349" s="76"/>
      <c r="AV349" s="37"/>
      <c r="AW349" s="86">
        <f>tbl_Actual_costs_quantities34[[#This Row],[Roof Insulation Leak Sealing]]*BOQs!$L$14</f>
        <v>0</v>
      </c>
      <c r="AX349" s="76"/>
      <c r="AY349" s="37"/>
      <c r="AZ349" s="86">
        <f>tbl_Actual_costs_quantities34[[#This Row],[Chimney Duct Cleaning Repair]]*BOQs!$L$15</f>
        <v>0</v>
      </c>
      <c r="BA349" s="76"/>
      <c r="BB349" s="37"/>
      <c r="BC349" s="89">
        <f>tbl_Actual_costs_quantities34[[#This Row],[Accessibility Adaptations]]*BOQs!$L$16</f>
        <v>0</v>
      </c>
      <c r="BD349" s="41"/>
      <c r="BE349" s="37"/>
      <c r="BF349" s="37"/>
    </row>
    <row r="350" spans="2:58" ht="25.15" customHeight="1" x14ac:dyDescent="0.25">
      <c r="B350" s="49">
        <v>346</v>
      </c>
      <c r="C350" s="37"/>
      <c r="D350" s="41"/>
      <c r="E350" s="40"/>
      <c r="F350" s="87" t="str">
        <f>IF(tbl_Actual_costs_quantities34[[#This Row],[House Code]]&lt;&gt;"",INDEX(tbl_Assessment[],MATCH(tbl_Actual_costs_quantities34[[#This Row],[House Code]],tbl_Assessment[House Code],0),3),"")</f>
        <v/>
      </c>
      <c r="G350" s="116" t="str">
        <f>IF(tbl_Actual_costs_quantities34[[#This Row],[House Code]]&lt;&gt;"",INDEX(tbl_Assessment[],MATCH(tbl_Actual_costs_quantities34[[#This Row],[House Code]],tbl_Assessment[House Code],0),9),"")</f>
        <v/>
      </c>
      <c r="H350" s="41"/>
      <c r="I350" s="41"/>
      <c r="J350" s="41"/>
      <c r="K350" s="116"/>
      <c r="L350" s="117" t="str">
        <f>IF(tbl_Actual_costs_quantities34[[#This Row],[House Code]]&lt;&gt;"",tbl_Actual_costs_quantities34[[#This Row],[Total cost]]/INDEX(tbl_estimated_costs_quantities[],MATCH(tbl_Actual_costs_quantities34[[#This Row],[House Code]],tbl_estimated_costs_quantities[House Code],0),7),"")</f>
        <v/>
      </c>
      <c r="M35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0" s="75"/>
      <c r="O350" s="37"/>
      <c r="P350" s="86">
        <f>tbl_Actual_costs_quantities34[[#This Row],[Site Preparation]]*BOQs!$L$3</f>
        <v>0</v>
      </c>
      <c r="Q350" s="76"/>
      <c r="R350" s="37"/>
      <c r="S350" s="86">
        <f>tbl_Actual_costs_quantities34[[#This Row],[Demolition Removal Unsafe Structures]]*BOQs!$L$4</f>
        <v>0</v>
      </c>
      <c r="T350" s="76"/>
      <c r="U350" s="37"/>
      <c r="V350" s="86">
        <f>tbl_Actual_costs_quantities34[[#This Row],[Concrete Works]]*BOQs!$L$5</f>
        <v>0</v>
      </c>
      <c r="W350" s="76"/>
      <c r="X350" s="37"/>
      <c r="Y350" s="86">
        <f>tbl_Actual_costs_quantities34[[#This Row],[Closure External Openings Walls Windows]]*BOQs!$L$6</f>
        <v>0</v>
      </c>
      <c r="Z350" s="76"/>
      <c r="AA350" s="37"/>
      <c r="AB350" s="86">
        <f>tbl_Actual_costs_quantities34[[#This Row],[Plastering Painting]]*BOQs!$L$7</f>
        <v>0</v>
      </c>
      <c r="AC350" s="76"/>
      <c r="AD350" s="37"/>
      <c r="AE350" s="86">
        <f>tbl_Actual_costs_quantities34[[#This Row],[Floor Repairs]]*BOQs!$L$8</f>
        <v>0</v>
      </c>
      <c r="AF350" s="76"/>
      <c r="AG350" s="37"/>
      <c r="AH350" s="86">
        <f>tbl_Actual_costs_quantities34[[#This Row],[Doors Replacement Repair]]*BOQs!$L$9</f>
        <v>0</v>
      </c>
      <c r="AI350" s="76"/>
      <c r="AJ350" s="37"/>
      <c r="AK350" s="86">
        <f>tbl_Actual_costs_quantities34[[#This Row],[Windows Replacement Repair]]*BOQs!$L$10</f>
        <v>0</v>
      </c>
      <c r="AL350" s="76"/>
      <c r="AM350" s="37"/>
      <c r="AN350" s="86">
        <f>tbl_Actual_costs_quantities34[[#This Row],[Bathroom Rehabilitation]]*BOQs!$L$11</f>
        <v>0</v>
      </c>
      <c r="AO350" s="76"/>
      <c r="AP350" s="37"/>
      <c r="AQ350" s="86">
        <f>tbl_Actual_costs_quantities34[[#This Row],[Ceramic Tile Works WASH]]*BOQs!$L$12</f>
        <v>0</v>
      </c>
      <c r="AR350" s="76"/>
      <c r="AS350" s="37"/>
      <c r="AT350" s="86">
        <f>tbl_Actual_costs_quantities34[[#This Row],[Electrical Repairs Lighting]]*BOQs!$L$13</f>
        <v>0</v>
      </c>
      <c r="AU350" s="76"/>
      <c r="AV350" s="37"/>
      <c r="AW350" s="86">
        <f>tbl_Actual_costs_quantities34[[#This Row],[Roof Insulation Leak Sealing]]*BOQs!$L$14</f>
        <v>0</v>
      </c>
      <c r="AX350" s="76"/>
      <c r="AY350" s="37"/>
      <c r="AZ350" s="86">
        <f>tbl_Actual_costs_quantities34[[#This Row],[Chimney Duct Cleaning Repair]]*BOQs!$L$15</f>
        <v>0</v>
      </c>
      <c r="BA350" s="76"/>
      <c r="BB350" s="37"/>
      <c r="BC350" s="89">
        <f>tbl_Actual_costs_quantities34[[#This Row],[Accessibility Adaptations]]*BOQs!$L$16</f>
        <v>0</v>
      </c>
      <c r="BD350" s="41"/>
      <c r="BE350" s="37"/>
      <c r="BF350" s="37"/>
    </row>
    <row r="351" spans="2:58" ht="25.15" customHeight="1" x14ac:dyDescent="0.25">
      <c r="B351" s="49">
        <v>347</v>
      </c>
      <c r="C351" s="37"/>
      <c r="D351" s="41"/>
      <c r="E351" s="40"/>
      <c r="F351" s="87" t="str">
        <f>IF(tbl_Actual_costs_quantities34[[#This Row],[House Code]]&lt;&gt;"",INDEX(tbl_Assessment[],MATCH(tbl_Actual_costs_quantities34[[#This Row],[House Code]],tbl_Assessment[House Code],0),3),"")</f>
        <v/>
      </c>
      <c r="G351" s="116" t="str">
        <f>IF(tbl_Actual_costs_quantities34[[#This Row],[House Code]]&lt;&gt;"",INDEX(tbl_Assessment[],MATCH(tbl_Actual_costs_quantities34[[#This Row],[House Code]],tbl_Assessment[House Code],0),9),"")</f>
        <v/>
      </c>
      <c r="H351" s="41"/>
      <c r="I351" s="41"/>
      <c r="J351" s="41"/>
      <c r="K351" s="116"/>
      <c r="L351" s="117" t="str">
        <f>IF(tbl_Actual_costs_quantities34[[#This Row],[House Code]]&lt;&gt;"",tbl_Actual_costs_quantities34[[#This Row],[Total cost]]/INDEX(tbl_estimated_costs_quantities[],MATCH(tbl_Actual_costs_quantities34[[#This Row],[House Code]],tbl_estimated_costs_quantities[House Code],0),7),"")</f>
        <v/>
      </c>
      <c r="M35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1" s="75"/>
      <c r="O351" s="37"/>
      <c r="P351" s="86">
        <f>tbl_Actual_costs_quantities34[[#This Row],[Site Preparation]]*BOQs!$L$3</f>
        <v>0</v>
      </c>
      <c r="Q351" s="76"/>
      <c r="R351" s="37"/>
      <c r="S351" s="86">
        <f>tbl_Actual_costs_quantities34[[#This Row],[Demolition Removal Unsafe Structures]]*BOQs!$L$4</f>
        <v>0</v>
      </c>
      <c r="T351" s="76"/>
      <c r="U351" s="37"/>
      <c r="V351" s="86">
        <f>tbl_Actual_costs_quantities34[[#This Row],[Concrete Works]]*BOQs!$L$5</f>
        <v>0</v>
      </c>
      <c r="W351" s="76"/>
      <c r="X351" s="37"/>
      <c r="Y351" s="86">
        <f>tbl_Actual_costs_quantities34[[#This Row],[Closure External Openings Walls Windows]]*BOQs!$L$6</f>
        <v>0</v>
      </c>
      <c r="Z351" s="76"/>
      <c r="AA351" s="37"/>
      <c r="AB351" s="86">
        <f>tbl_Actual_costs_quantities34[[#This Row],[Plastering Painting]]*BOQs!$L$7</f>
        <v>0</v>
      </c>
      <c r="AC351" s="76"/>
      <c r="AD351" s="37"/>
      <c r="AE351" s="86">
        <f>tbl_Actual_costs_quantities34[[#This Row],[Floor Repairs]]*BOQs!$L$8</f>
        <v>0</v>
      </c>
      <c r="AF351" s="76"/>
      <c r="AG351" s="37"/>
      <c r="AH351" s="86">
        <f>tbl_Actual_costs_quantities34[[#This Row],[Doors Replacement Repair]]*BOQs!$L$9</f>
        <v>0</v>
      </c>
      <c r="AI351" s="76"/>
      <c r="AJ351" s="37"/>
      <c r="AK351" s="86">
        <f>tbl_Actual_costs_quantities34[[#This Row],[Windows Replacement Repair]]*BOQs!$L$10</f>
        <v>0</v>
      </c>
      <c r="AL351" s="76"/>
      <c r="AM351" s="37"/>
      <c r="AN351" s="86">
        <f>tbl_Actual_costs_quantities34[[#This Row],[Bathroom Rehabilitation]]*BOQs!$L$11</f>
        <v>0</v>
      </c>
      <c r="AO351" s="76"/>
      <c r="AP351" s="37"/>
      <c r="AQ351" s="86">
        <f>tbl_Actual_costs_quantities34[[#This Row],[Ceramic Tile Works WASH]]*BOQs!$L$12</f>
        <v>0</v>
      </c>
      <c r="AR351" s="76"/>
      <c r="AS351" s="37"/>
      <c r="AT351" s="86">
        <f>tbl_Actual_costs_quantities34[[#This Row],[Electrical Repairs Lighting]]*BOQs!$L$13</f>
        <v>0</v>
      </c>
      <c r="AU351" s="76"/>
      <c r="AV351" s="37"/>
      <c r="AW351" s="86">
        <f>tbl_Actual_costs_quantities34[[#This Row],[Roof Insulation Leak Sealing]]*BOQs!$L$14</f>
        <v>0</v>
      </c>
      <c r="AX351" s="76"/>
      <c r="AY351" s="37"/>
      <c r="AZ351" s="86">
        <f>tbl_Actual_costs_quantities34[[#This Row],[Chimney Duct Cleaning Repair]]*BOQs!$L$15</f>
        <v>0</v>
      </c>
      <c r="BA351" s="76"/>
      <c r="BB351" s="37"/>
      <c r="BC351" s="89">
        <f>tbl_Actual_costs_quantities34[[#This Row],[Accessibility Adaptations]]*BOQs!$L$16</f>
        <v>0</v>
      </c>
      <c r="BD351" s="41"/>
      <c r="BE351" s="37"/>
      <c r="BF351" s="37"/>
    </row>
    <row r="352" spans="2:58" ht="25.15" customHeight="1" x14ac:dyDescent="0.25">
      <c r="B352" s="49">
        <v>348</v>
      </c>
      <c r="C352" s="37"/>
      <c r="D352" s="41"/>
      <c r="E352" s="40"/>
      <c r="F352" s="87" t="str">
        <f>IF(tbl_Actual_costs_quantities34[[#This Row],[House Code]]&lt;&gt;"",INDEX(tbl_Assessment[],MATCH(tbl_Actual_costs_quantities34[[#This Row],[House Code]],tbl_Assessment[House Code],0),3),"")</f>
        <v/>
      </c>
      <c r="G352" s="116" t="str">
        <f>IF(tbl_Actual_costs_quantities34[[#This Row],[House Code]]&lt;&gt;"",INDEX(tbl_Assessment[],MATCH(tbl_Actual_costs_quantities34[[#This Row],[House Code]],tbl_Assessment[House Code],0),9),"")</f>
        <v/>
      </c>
      <c r="H352" s="41"/>
      <c r="I352" s="41"/>
      <c r="J352" s="41"/>
      <c r="K352" s="116"/>
      <c r="L352" s="117" t="str">
        <f>IF(tbl_Actual_costs_quantities34[[#This Row],[House Code]]&lt;&gt;"",tbl_Actual_costs_quantities34[[#This Row],[Total cost]]/INDEX(tbl_estimated_costs_quantities[],MATCH(tbl_Actual_costs_quantities34[[#This Row],[House Code]],tbl_estimated_costs_quantities[House Code],0),7),"")</f>
        <v/>
      </c>
      <c r="M35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2" s="75"/>
      <c r="O352" s="37"/>
      <c r="P352" s="86">
        <f>tbl_Actual_costs_quantities34[[#This Row],[Site Preparation]]*BOQs!$L$3</f>
        <v>0</v>
      </c>
      <c r="Q352" s="76"/>
      <c r="R352" s="37"/>
      <c r="S352" s="86">
        <f>tbl_Actual_costs_quantities34[[#This Row],[Demolition Removal Unsafe Structures]]*BOQs!$L$4</f>
        <v>0</v>
      </c>
      <c r="T352" s="76"/>
      <c r="U352" s="37"/>
      <c r="V352" s="86">
        <f>tbl_Actual_costs_quantities34[[#This Row],[Concrete Works]]*BOQs!$L$5</f>
        <v>0</v>
      </c>
      <c r="W352" s="76"/>
      <c r="X352" s="37"/>
      <c r="Y352" s="86">
        <f>tbl_Actual_costs_quantities34[[#This Row],[Closure External Openings Walls Windows]]*BOQs!$L$6</f>
        <v>0</v>
      </c>
      <c r="Z352" s="76"/>
      <c r="AA352" s="37"/>
      <c r="AB352" s="86">
        <f>tbl_Actual_costs_quantities34[[#This Row],[Plastering Painting]]*BOQs!$L$7</f>
        <v>0</v>
      </c>
      <c r="AC352" s="76"/>
      <c r="AD352" s="37"/>
      <c r="AE352" s="86">
        <f>tbl_Actual_costs_quantities34[[#This Row],[Floor Repairs]]*BOQs!$L$8</f>
        <v>0</v>
      </c>
      <c r="AF352" s="76"/>
      <c r="AG352" s="37"/>
      <c r="AH352" s="86">
        <f>tbl_Actual_costs_quantities34[[#This Row],[Doors Replacement Repair]]*BOQs!$L$9</f>
        <v>0</v>
      </c>
      <c r="AI352" s="76"/>
      <c r="AJ352" s="37"/>
      <c r="AK352" s="86">
        <f>tbl_Actual_costs_quantities34[[#This Row],[Windows Replacement Repair]]*BOQs!$L$10</f>
        <v>0</v>
      </c>
      <c r="AL352" s="76"/>
      <c r="AM352" s="37"/>
      <c r="AN352" s="86">
        <f>tbl_Actual_costs_quantities34[[#This Row],[Bathroom Rehabilitation]]*BOQs!$L$11</f>
        <v>0</v>
      </c>
      <c r="AO352" s="76"/>
      <c r="AP352" s="37"/>
      <c r="AQ352" s="86">
        <f>tbl_Actual_costs_quantities34[[#This Row],[Ceramic Tile Works WASH]]*BOQs!$L$12</f>
        <v>0</v>
      </c>
      <c r="AR352" s="76"/>
      <c r="AS352" s="37"/>
      <c r="AT352" s="86">
        <f>tbl_Actual_costs_quantities34[[#This Row],[Electrical Repairs Lighting]]*BOQs!$L$13</f>
        <v>0</v>
      </c>
      <c r="AU352" s="76"/>
      <c r="AV352" s="37"/>
      <c r="AW352" s="86">
        <f>tbl_Actual_costs_quantities34[[#This Row],[Roof Insulation Leak Sealing]]*BOQs!$L$14</f>
        <v>0</v>
      </c>
      <c r="AX352" s="76"/>
      <c r="AY352" s="37"/>
      <c r="AZ352" s="86">
        <f>tbl_Actual_costs_quantities34[[#This Row],[Chimney Duct Cleaning Repair]]*BOQs!$L$15</f>
        <v>0</v>
      </c>
      <c r="BA352" s="76"/>
      <c r="BB352" s="37"/>
      <c r="BC352" s="89">
        <f>tbl_Actual_costs_quantities34[[#This Row],[Accessibility Adaptations]]*BOQs!$L$16</f>
        <v>0</v>
      </c>
      <c r="BD352" s="41"/>
      <c r="BE352" s="37"/>
      <c r="BF352" s="37"/>
    </row>
    <row r="353" spans="2:58" ht="25.15" customHeight="1" x14ac:dyDescent="0.25">
      <c r="B353" s="49">
        <v>349</v>
      </c>
      <c r="C353" s="37"/>
      <c r="D353" s="41"/>
      <c r="E353" s="40"/>
      <c r="F353" s="87" t="str">
        <f>IF(tbl_Actual_costs_quantities34[[#This Row],[House Code]]&lt;&gt;"",INDEX(tbl_Assessment[],MATCH(tbl_Actual_costs_quantities34[[#This Row],[House Code]],tbl_Assessment[House Code],0),3),"")</f>
        <v/>
      </c>
      <c r="G353" s="116" t="str">
        <f>IF(tbl_Actual_costs_quantities34[[#This Row],[House Code]]&lt;&gt;"",INDEX(tbl_Assessment[],MATCH(tbl_Actual_costs_quantities34[[#This Row],[House Code]],tbl_Assessment[House Code],0),9),"")</f>
        <v/>
      </c>
      <c r="H353" s="41"/>
      <c r="I353" s="41"/>
      <c r="J353" s="41"/>
      <c r="K353" s="116"/>
      <c r="L353" s="117" t="str">
        <f>IF(tbl_Actual_costs_quantities34[[#This Row],[House Code]]&lt;&gt;"",tbl_Actual_costs_quantities34[[#This Row],[Total cost]]/INDEX(tbl_estimated_costs_quantities[],MATCH(tbl_Actual_costs_quantities34[[#This Row],[House Code]],tbl_estimated_costs_quantities[House Code],0),7),"")</f>
        <v/>
      </c>
      <c r="M35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3" s="75"/>
      <c r="O353" s="37"/>
      <c r="P353" s="86">
        <f>tbl_Actual_costs_quantities34[[#This Row],[Site Preparation]]*BOQs!$L$3</f>
        <v>0</v>
      </c>
      <c r="Q353" s="76"/>
      <c r="R353" s="37"/>
      <c r="S353" s="86">
        <f>tbl_Actual_costs_quantities34[[#This Row],[Demolition Removal Unsafe Structures]]*BOQs!$L$4</f>
        <v>0</v>
      </c>
      <c r="T353" s="76"/>
      <c r="U353" s="37"/>
      <c r="V353" s="86">
        <f>tbl_Actual_costs_quantities34[[#This Row],[Concrete Works]]*BOQs!$L$5</f>
        <v>0</v>
      </c>
      <c r="W353" s="76"/>
      <c r="X353" s="37"/>
      <c r="Y353" s="86">
        <f>tbl_Actual_costs_quantities34[[#This Row],[Closure External Openings Walls Windows]]*BOQs!$L$6</f>
        <v>0</v>
      </c>
      <c r="Z353" s="76"/>
      <c r="AA353" s="37"/>
      <c r="AB353" s="86">
        <f>tbl_Actual_costs_quantities34[[#This Row],[Plastering Painting]]*BOQs!$L$7</f>
        <v>0</v>
      </c>
      <c r="AC353" s="76"/>
      <c r="AD353" s="37"/>
      <c r="AE353" s="86">
        <f>tbl_Actual_costs_quantities34[[#This Row],[Floor Repairs]]*BOQs!$L$8</f>
        <v>0</v>
      </c>
      <c r="AF353" s="76"/>
      <c r="AG353" s="37"/>
      <c r="AH353" s="86">
        <f>tbl_Actual_costs_quantities34[[#This Row],[Doors Replacement Repair]]*BOQs!$L$9</f>
        <v>0</v>
      </c>
      <c r="AI353" s="76"/>
      <c r="AJ353" s="37"/>
      <c r="AK353" s="86">
        <f>tbl_Actual_costs_quantities34[[#This Row],[Windows Replacement Repair]]*BOQs!$L$10</f>
        <v>0</v>
      </c>
      <c r="AL353" s="76"/>
      <c r="AM353" s="37"/>
      <c r="AN353" s="86">
        <f>tbl_Actual_costs_quantities34[[#This Row],[Bathroom Rehabilitation]]*BOQs!$L$11</f>
        <v>0</v>
      </c>
      <c r="AO353" s="76"/>
      <c r="AP353" s="37"/>
      <c r="AQ353" s="86">
        <f>tbl_Actual_costs_quantities34[[#This Row],[Ceramic Tile Works WASH]]*BOQs!$L$12</f>
        <v>0</v>
      </c>
      <c r="AR353" s="76"/>
      <c r="AS353" s="37"/>
      <c r="AT353" s="86">
        <f>tbl_Actual_costs_quantities34[[#This Row],[Electrical Repairs Lighting]]*BOQs!$L$13</f>
        <v>0</v>
      </c>
      <c r="AU353" s="76"/>
      <c r="AV353" s="37"/>
      <c r="AW353" s="86">
        <f>tbl_Actual_costs_quantities34[[#This Row],[Roof Insulation Leak Sealing]]*BOQs!$L$14</f>
        <v>0</v>
      </c>
      <c r="AX353" s="76"/>
      <c r="AY353" s="37"/>
      <c r="AZ353" s="86">
        <f>tbl_Actual_costs_quantities34[[#This Row],[Chimney Duct Cleaning Repair]]*BOQs!$L$15</f>
        <v>0</v>
      </c>
      <c r="BA353" s="76"/>
      <c r="BB353" s="37"/>
      <c r="BC353" s="89">
        <f>tbl_Actual_costs_quantities34[[#This Row],[Accessibility Adaptations]]*BOQs!$L$16</f>
        <v>0</v>
      </c>
      <c r="BD353" s="41"/>
      <c r="BE353" s="37"/>
      <c r="BF353" s="37"/>
    </row>
    <row r="354" spans="2:58" ht="25.15" customHeight="1" x14ac:dyDescent="0.25">
      <c r="B354" s="49">
        <v>350</v>
      </c>
      <c r="C354" s="37"/>
      <c r="D354" s="41"/>
      <c r="E354" s="40"/>
      <c r="F354" s="87" t="str">
        <f>IF(tbl_Actual_costs_quantities34[[#This Row],[House Code]]&lt;&gt;"",INDEX(tbl_Assessment[],MATCH(tbl_Actual_costs_quantities34[[#This Row],[House Code]],tbl_Assessment[House Code],0),3),"")</f>
        <v/>
      </c>
      <c r="G354" s="116" t="str">
        <f>IF(tbl_Actual_costs_quantities34[[#This Row],[House Code]]&lt;&gt;"",INDEX(tbl_Assessment[],MATCH(tbl_Actual_costs_quantities34[[#This Row],[House Code]],tbl_Assessment[House Code],0),9),"")</f>
        <v/>
      </c>
      <c r="H354" s="41"/>
      <c r="I354" s="41"/>
      <c r="J354" s="41"/>
      <c r="K354" s="116"/>
      <c r="L354" s="117" t="str">
        <f>IF(tbl_Actual_costs_quantities34[[#This Row],[House Code]]&lt;&gt;"",tbl_Actual_costs_quantities34[[#This Row],[Total cost]]/INDEX(tbl_estimated_costs_quantities[],MATCH(tbl_Actual_costs_quantities34[[#This Row],[House Code]],tbl_estimated_costs_quantities[House Code],0),7),"")</f>
        <v/>
      </c>
      <c r="M35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4" s="75"/>
      <c r="O354" s="37"/>
      <c r="P354" s="86">
        <f>tbl_Actual_costs_quantities34[[#This Row],[Site Preparation]]*BOQs!$L$3</f>
        <v>0</v>
      </c>
      <c r="Q354" s="76"/>
      <c r="R354" s="37"/>
      <c r="S354" s="86">
        <f>tbl_Actual_costs_quantities34[[#This Row],[Demolition Removal Unsafe Structures]]*BOQs!$L$4</f>
        <v>0</v>
      </c>
      <c r="T354" s="76"/>
      <c r="U354" s="37"/>
      <c r="V354" s="86">
        <f>tbl_Actual_costs_quantities34[[#This Row],[Concrete Works]]*BOQs!$L$5</f>
        <v>0</v>
      </c>
      <c r="W354" s="76"/>
      <c r="X354" s="37"/>
      <c r="Y354" s="86">
        <f>tbl_Actual_costs_quantities34[[#This Row],[Closure External Openings Walls Windows]]*BOQs!$L$6</f>
        <v>0</v>
      </c>
      <c r="Z354" s="76"/>
      <c r="AA354" s="37"/>
      <c r="AB354" s="86">
        <f>tbl_Actual_costs_quantities34[[#This Row],[Plastering Painting]]*BOQs!$L$7</f>
        <v>0</v>
      </c>
      <c r="AC354" s="76"/>
      <c r="AD354" s="37"/>
      <c r="AE354" s="86">
        <f>tbl_Actual_costs_quantities34[[#This Row],[Floor Repairs]]*BOQs!$L$8</f>
        <v>0</v>
      </c>
      <c r="AF354" s="76"/>
      <c r="AG354" s="37"/>
      <c r="AH354" s="86">
        <f>tbl_Actual_costs_quantities34[[#This Row],[Doors Replacement Repair]]*BOQs!$L$9</f>
        <v>0</v>
      </c>
      <c r="AI354" s="76"/>
      <c r="AJ354" s="37"/>
      <c r="AK354" s="86">
        <f>tbl_Actual_costs_quantities34[[#This Row],[Windows Replacement Repair]]*BOQs!$L$10</f>
        <v>0</v>
      </c>
      <c r="AL354" s="76"/>
      <c r="AM354" s="37"/>
      <c r="AN354" s="86">
        <f>tbl_Actual_costs_quantities34[[#This Row],[Bathroom Rehabilitation]]*BOQs!$L$11</f>
        <v>0</v>
      </c>
      <c r="AO354" s="76"/>
      <c r="AP354" s="37"/>
      <c r="AQ354" s="86">
        <f>tbl_Actual_costs_quantities34[[#This Row],[Ceramic Tile Works WASH]]*BOQs!$L$12</f>
        <v>0</v>
      </c>
      <c r="AR354" s="76"/>
      <c r="AS354" s="37"/>
      <c r="AT354" s="86">
        <f>tbl_Actual_costs_quantities34[[#This Row],[Electrical Repairs Lighting]]*BOQs!$L$13</f>
        <v>0</v>
      </c>
      <c r="AU354" s="76"/>
      <c r="AV354" s="37"/>
      <c r="AW354" s="86">
        <f>tbl_Actual_costs_quantities34[[#This Row],[Roof Insulation Leak Sealing]]*BOQs!$L$14</f>
        <v>0</v>
      </c>
      <c r="AX354" s="76"/>
      <c r="AY354" s="37"/>
      <c r="AZ354" s="86">
        <f>tbl_Actual_costs_quantities34[[#This Row],[Chimney Duct Cleaning Repair]]*BOQs!$L$15</f>
        <v>0</v>
      </c>
      <c r="BA354" s="76"/>
      <c r="BB354" s="37"/>
      <c r="BC354" s="89">
        <f>tbl_Actual_costs_quantities34[[#This Row],[Accessibility Adaptations]]*BOQs!$L$16</f>
        <v>0</v>
      </c>
      <c r="BD354" s="41"/>
      <c r="BE354" s="37"/>
      <c r="BF354" s="37"/>
    </row>
    <row r="355" spans="2:58" ht="25.15" customHeight="1" x14ac:dyDescent="0.25">
      <c r="B355" s="49">
        <v>351</v>
      </c>
      <c r="C355" s="37"/>
      <c r="D355" s="41"/>
      <c r="E355" s="40"/>
      <c r="F355" s="87" t="str">
        <f>IF(tbl_Actual_costs_quantities34[[#This Row],[House Code]]&lt;&gt;"",INDEX(tbl_Assessment[],MATCH(tbl_Actual_costs_quantities34[[#This Row],[House Code]],tbl_Assessment[House Code],0),3),"")</f>
        <v/>
      </c>
      <c r="G355" s="116" t="str">
        <f>IF(tbl_Actual_costs_quantities34[[#This Row],[House Code]]&lt;&gt;"",INDEX(tbl_Assessment[],MATCH(tbl_Actual_costs_quantities34[[#This Row],[House Code]],tbl_Assessment[House Code],0),9),"")</f>
        <v/>
      </c>
      <c r="H355" s="41"/>
      <c r="I355" s="41"/>
      <c r="J355" s="41"/>
      <c r="K355" s="116"/>
      <c r="L355" s="117" t="str">
        <f>IF(tbl_Actual_costs_quantities34[[#This Row],[House Code]]&lt;&gt;"",tbl_Actual_costs_quantities34[[#This Row],[Total cost]]/INDEX(tbl_estimated_costs_quantities[],MATCH(tbl_Actual_costs_quantities34[[#This Row],[House Code]],tbl_estimated_costs_quantities[House Code],0),7),"")</f>
        <v/>
      </c>
      <c r="M35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5" s="75"/>
      <c r="O355" s="37"/>
      <c r="P355" s="86">
        <f>tbl_Actual_costs_quantities34[[#This Row],[Site Preparation]]*BOQs!$L$3</f>
        <v>0</v>
      </c>
      <c r="Q355" s="76"/>
      <c r="R355" s="37"/>
      <c r="S355" s="86">
        <f>tbl_Actual_costs_quantities34[[#This Row],[Demolition Removal Unsafe Structures]]*BOQs!$L$4</f>
        <v>0</v>
      </c>
      <c r="T355" s="76"/>
      <c r="U355" s="37"/>
      <c r="V355" s="86">
        <f>tbl_Actual_costs_quantities34[[#This Row],[Concrete Works]]*BOQs!$L$5</f>
        <v>0</v>
      </c>
      <c r="W355" s="76"/>
      <c r="X355" s="37"/>
      <c r="Y355" s="86">
        <f>tbl_Actual_costs_quantities34[[#This Row],[Closure External Openings Walls Windows]]*BOQs!$L$6</f>
        <v>0</v>
      </c>
      <c r="Z355" s="76"/>
      <c r="AA355" s="37"/>
      <c r="AB355" s="86">
        <f>tbl_Actual_costs_quantities34[[#This Row],[Plastering Painting]]*BOQs!$L$7</f>
        <v>0</v>
      </c>
      <c r="AC355" s="76"/>
      <c r="AD355" s="37"/>
      <c r="AE355" s="86">
        <f>tbl_Actual_costs_quantities34[[#This Row],[Floor Repairs]]*BOQs!$L$8</f>
        <v>0</v>
      </c>
      <c r="AF355" s="76"/>
      <c r="AG355" s="37"/>
      <c r="AH355" s="86">
        <f>tbl_Actual_costs_quantities34[[#This Row],[Doors Replacement Repair]]*BOQs!$L$9</f>
        <v>0</v>
      </c>
      <c r="AI355" s="76"/>
      <c r="AJ355" s="37"/>
      <c r="AK355" s="86">
        <f>tbl_Actual_costs_quantities34[[#This Row],[Windows Replacement Repair]]*BOQs!$L$10</f>
        <v>0</v>
      </c>
      <c r="AL355" s="76"/>
      <c r="AM355" s="37"/>
      <c r="AN355" s="86">
        <f>tbl_Actual_costs_quantities34[[#This Row],[Bathroom Rehabilitation]]*BOQs!$L$11</f>
        <v>0</v>
      </c>
      <c r="AO355" s="76"/>
      <c r="AP355" s="37"/>
      <c r="AQ355" s="86">
        <f>tbl_Actual_costs_quantities34[[#This Row],[Ceramic Tile Works WASH]]*BOQs!$L$12</f>
        <v>0</v>
      </c>
      <c r="AR355" s="76"/>
      <c r="AS355" s="37"/>
      <c r="AT355" s="86">
        <f>tbl_Actual_costs_quantities34[[#This Row],[Electrical Repairs Lighting]]*BOQs!$L$13</f>
        <v>0</v>
      </c>
      <c r="AU355" s="76"/>
      <c r="AV355" s="37"/>
      <c r="AW355" s="86">
        <f>tbl_Actual_costs_quantities34[[#This Row],[Roof Insulation Leak Sealing]]*BOQs!$L$14</f>
        <v>0</v>
      </c>
      <c r="AX355" s="76"/>
      <c r="AY355" s="37"/>
      <c r="AZ355" s="86">
        <f>tbl_Actual_costs_quantities34[[#This Row],[Chimney Duct Cleaning Repair]]*BOQs!$L$15</f>
        <v>0</v>
      </c>
      <c r="BA355" s="76"/>
      <c r="BB355" s="37"/>
      <c r="BC355" s="89">
        <f>tbl_Actual_costs_quantities34[[#This Row],[Accessibility Adaptations]]*BOQs!$L$16</f>
        <v>0</v>
      </c>
      <c r="BD355" s="41"/>
      <c r="BE355" s="37"/>
      <c r="BF355" s="37"/>
    </row>
    <row r="356" spans="2:58" ht="25.15" customHeight="1" x14ac:dyDescent="0.25">
      <c r="B356" s="49">
        <v>352</v>
      </c>
      <c r="C356" s="37"/>
      <c r="D356" s="41"/>
      <c r="E356" s="40"/>
      <c r="F356" s="87" t="str">
        <f>IF(tbl_Actual_costs_quantities34[[#This Row],[House Code]]&lt;&gt;"",INDEX(tbl_Assessment[],MATCH(tbl_Actual_costs_quantities34[[#This Row],[House Code]],tbl_Assessment[House Code],0),3),"")</f>
        <v/>
      </c>
      <c r="G356" s="116" t="str">
        <f>IF(tbl_Actual_costs_quantities34[[#This Row],[House Code]]&lt;&gt;"",INDEX(tbl_Assessment[],MATCH(tbl_Actual_costs_quantities34[[#This Row],[House Code]],tbl_Assessment[House Code],0),9),"")</f>
        <v/>
      </c>
      <c r="H356" s="41"/>
      <c r="I356" s="41"/>
      <c r="J356" s="41"/>
      <c r="K356" s="116"/>
      <c r="L356" s="117" t="str">
        <f>IF(tbl_Actual_costs_quantities34[[#This Row],[House Code]]&lt;&gt;"",tbl_Actual_costs_quantities34[[#This Row],[Total cost]]/INDEX(tbl_estimated_costs_quantities[],MATCH(tbl_Actual_costs_quantities34[[#This Row],[House Code]],tbl_estimated_costs_quantities[House Code],0),7),"")</f>
        <v/>
      </c>
      <c r="M35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6" s="75"/>
      <c r="O356" s="37"/>
      <c r="P356" s="86">
        <f>tbl_Actual_costs_quantities34[[#This Row],[Site Preparation]]*BOQs!$L$3</f>
        <v>0</v>
      </c>
      <c r="Q356" s="76"/>
      <c r="R356" s="37"/>
      <c r="S356" s="86">
        <f>tbl_Actual_costs_quantities34[[#This Row],[Demolition Removal Unsafe Structures]]*BOQs!$L$4</f>
        <v>0</v>
      </c>
      <c r="T356" s="76"/>
      <c r="U356" s="37"/>
      <c r="V356" s="86">
        <f>tbl_Actual_costs_quantities34[[#This Row],[Concrete Works]]*BOQs!$L$5</f>
        <v>0</v>
      </c>
      <c r="W356" s="76"/>
      <c r="X356" s="37"/>
      <c r="Y356" s="86">
        <f>tbl_Actual_costs_quantities34[[#This Row],[Closure External Openings Walls Windows]]*BOQs!$L$6</f>
        <v>0</v>
      </c>
      <c r="Z356" s="76"/>
      <c r="AA356" s="37"/>
      <c r="AB356" s="86">
        <f>tbl_Actual_costs_quantities34[[#This Row],[Plastering Painting]]*BOQs!$L$7</f>
        <v>0</v>
      </c>
      <c r="AC356" s="76"/>
      <c r="AD356" s="37"/>
      <c r="AE356" s="86">
        <f>tbl_Actual_costs_quantities34[[#This Row],[Floor Repairs]]*BOQs!$L$8</f>
        <v>0</v>
      </c>
      <c r="AF356" s="76"/>
      <c r="AG356" s="37"/>
      <c r="AH356" s="86">
        <f>tbl_Actual_costs_quantities34[[#This Row],[Doors Replacement Repair]]*BOQs!$L$9</f>
        <v>0</v>
      </c>
      <c r="AI356" s="76"/>
      <c r="AJ356" s="37"/>
      <c r="AK356" s="86">
        <f>tbl_Actual_costs_quantities34[[#This Row],[Windows Replacement Repair]]*BOQs!$L$10</f>
        <v>0</v>
      </c>
      <c r="AL356" s="76"/>
      <c r="AM356" s="37"/>
      <c r="AN356" s="86">
        <f>tbl_Actual_costs_quantities34[[#This Row],[Bathroom Rehabilitation]]*BOQs!$L$11</f>
        <v>0</v>
      </c>
      <c r="AO356" s="76"/>
      <c r="AP356" s="37"/>
      <c r="AQ356" s="86">
        <f>tbl_Actual_costs_quantities34[[#This Row],[Ceramic Tile Works WASH]]*BOQs!$L$12</f>
        <v>0</v>
      </c>
      <c r="AR356" s="76"/>
      <c r="AS356" s="37"/>
      <c r="AT356" s="86">
        <f>tbl_Actual_costs_quantities34[[#This Row],[Electrical Repairs Lighting]]*BOQs!$L$13</f>
        <v>0</v>
      </c>
      <c r="AU356" s="76"/>
      <c r="AV356" s="37"/>
      <c r="AW356" s="86">
        <f>tbl_Actual_costs_quantities34[[#This Row],[Roof Insulation Leak Sealing]]*BOQs!$L$14</f>
        <v>0</v>
      </c>
      <c r="AX356" s="76"/>
      <c r="AY356" s="37"/>
      <c r="AZ356" s="86">
        <f>tbl_Actual_costs_quantities34[[#This Row],[Chimney Duct Cleaning Repair]]*BOQs!$L$15</f>
        <v>0</v>
      </c>
      <c r="BA356" s="76"/>
      <c r="BB356" s="37"/>
      <c r="BC356" s="89">
        <f>tbl_Actual_costs_quantities34[[#This Row],[Accessibility Adaptations]]*BOQs!$L$16</f>
        <v>0</v>
      </c>
      <c r="BD356" s="41"/>
      <c r="BE356" s="37"/>
      <c r="BF356" s="37"/>
    </row>
    <row r="357" spans="2:58" ht="25.15" customHeight="1" x14ac:dyDescent="0.25">
      <c r="B357" s="49">
        <v>353</v>
      </c>
      <c r="C357" s="37"/>
      <c r="D357" s="41"/>
      <c r="E357" s="40"/>
      <c r="F357" s="87" t="str">
        <f>IF(tbl_Actual_costs_quantities34[[#This Row],[House Code]]&lt;&gt;"",INDEX(tbl_Assessment[],MATCH(tbl_Actual_costs_quantities34[[#This Row],[House Code]],tbl_Assessment[House Code],0),3),"")</f>
        <v/>
      </c>
      <c r="G357" s="116" t="str">
        <f>IF(tbl_Actual_costs_quantities34[[#This Row],[House Code]]&lt;&gt;"",INDEX(tbl_Assessment[],MATCH(tbl_Actual_costs_quantities34[[#This Row],[House Code]],tbl_Assessment[House Code],0),9),"")</f>
        <v/>
      </c>
      <c r="H357" s="41"/>
      <c r="I357" s="41"/>
      <c r="J357" s="41"/>
      <c r="K357" s="116"/>
      <c r="L357" s="117" t="str">
        <f>IF(tbl_Actual_costs_quantities34[[#This Row],[House Code]]&lt;&gt;"",tbl_Actual_costs_quantities34[[#This Row],[Total cost]]/INDEX(tbl_estimated_costs_quantities[],MATCH(tbl_Actual_costs_quantities34[[#This Row],[House Code]],tbl_estimated_costs_quantities[House Code],0),7),"")</f>
        <v/>
      </c>
      <c r="M35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7" s="75"/>
      <c r="O357" s="37"/>
      <c r="P357" s="86">
        <f>tbl_Actual_costs_quantities34[[#This Row],[Site Preparation]]*BOQs!$L$3</f>
        <v>0</v>
      </c>
      <c r="Q357" s="76"/>
      <c r="R357" s="37"/>
      <c r="S357" s="86">
        <f>tbl_Actual_costs_quantities34[[#This Row],[Demolition Removal Unsafe Structures]]*BOQs!$L$4</f>
        <v>0</v>
      </c>
      <c r="T357" s="76"/>
      <c r="U357" s="37"/>
      <c r="V357" s="86">
        <f>tbl_Actual_costs_quantities34[[#This Row],[Concrete Works]]*BOQs!$L$5</f>
        <v>0</v>
      </c>
      <c r="W357" s="76"/>
      <c r="X357" s="37"/>
      <c r="Y357" s="86">
        <f>tbl_Actual_costs_quantities34[[#This Row],[Closure External Openings Walls Windows]]*BOQs!$L$6</f>
        <v>0</v>
      </c>
      <c r="Z357" s="76"/>
      <c r="AA357" s="37"/>
      <c r="AB357" s="86">
        <f>tbl_Actual_costs_quantities34[[#This Row],[Plastering Painting]]*BOQs!$L$7</f>
        <v>0</v>
      </c>
      <c r="AC357" s="76"/>
      <c r="AD357" s="37"/>
      <c r="AE357" s="86">
        <f>tbl_Actual_costs_quantities34[[#This Row],[Floor Repairs]]*BOQs!$L$8</f>
        <v>0</v>
      </c>
      <c r="AF357" s="76"/>
      <c r="AG357" s="37"/>
      <c r="AH357" s="86">
        <f>tbl_Actual_costs_quantities34[[#This Row],[Doors Replacement Repair]]*BOQs!$L$9</f>
        <v>0</v>
      </c>
      <c r="AI357" s="76"/>
      <c r="AJ357" s="37"/>
      <c r="AK357" s="86">
        <f>tbl_Actual_costs_quantities34[[#This Row],[Windows Replacement Repair]]*BOQs!$L$10</f>
        <v>0</v>
      </c>
      <c r="AL357" s="76"/>
      <c r="AM357" s="37"/>
      <c r="AN357" s="86">
        <f>tbl_Actual_costs_quantities34[[#This Row],[Bathroom Rehabilitation]]*BOQs!$L$11</f>
        <v>0</v>
      </c>
      <c r="AO357" s="76"/>
      <c r="AP357" s="37"/>
      <c r="AQ357" s="86">
        <f>tbl_Actual_costs_quantities34[[#This Row],[Ceramic Tile Works WASH]]*BOQs!$L$12</f>
        <v>0</v>
      </c>
      <c r="AR357" s="76"/>
      <c r="AS357" s="37"/>
      <c r="AT357" s="86">
        <f>tbl_Actual_costs_quantities34[[#This Row],[Electrical Repairs Lighting]]*BOQs!$L$13</f>
        <v>0</v>
      </c>
      <c r="AU357" s="76"/>
      <c r="AV357" s="37"/>
      <c r="AW357" s="86">
        <f>tbl_Actual_costs_quantities34[[#This Row],[Roof Insulation Leak Sealing]]*BOQs!$L$14</f>
        <v>0</v>
      </c>
      <c r="AX357" s="76"/>
      <c r="AY357" s="37"/>
      <c r="AZ357" s="86">
        <f>tbl_Actual_costs_quantities34[[#This Row],[Chimney Duct Cleaning Repair]]*BOQs!$L$15</f>
        <v>0</v>
      </c>
      <c r="BA357" s="76"/>
      <c r="BB357" s="37"/>
      <c r="BC357" s="89">
        <f>tbl_Actual_costs_quantities34[[#This Row],[Accessibility Adaptations]]*BOQs!$L$16</f>
        <v>0</v>
      </c>
      <c r="BD357" s="41"/>
      <c r="BE357" s="37"/>
      <c r="BF357" s="37"/>
    </row>
    <row r="358" spans="2:58" ht="25.15" customHeight="1" x14ac:dyDescent="0.25">
      <c r="B358" s="49">
        <v>354</v>
      </c>
      <c r="C358" s="37"/>
      <c r="D358" s="41"/>
      <c r="E358" s="40"/>
      <c r="F358" s="87" t="str">
        <f>IF(tbl_Actual_costs_quantities34[[#This Row],[House Code]]&lt;&gt;"",INDEX(tbl_Assessment[],MATCH(tbl_Actual_costs_quantities34[[#This Row],[House Code]],tbl_Assessment[House Code],0),3),"")</f>
        <v/>
      </c>
      <c r="G358" s="116" t="str">
        <f>IF(tbl_Actual_costs_quantities34[[#This Row],[House Code]]&lt;&gt;"",INDEX(tbl_Assessment[],MATCH(tbl_Actual_costs_quantities34[[#This Row],[House Code]],tbl_Assessment[House Code],0),9),"")</f>
        <v/>
      </c>
      <c r="H358" s="41"/>
      <c r="I358" s="41"/>
      <c r="J358" s="41"/>
      <c r="K358" s="116"/>
      <c r="L358" s="117" t="str">
        <f>IF(tbl_Actual_costs_quantities34[[#This Row],[House Code]]&lt;&gt;"",tbl_Actual_costs_quantities34[[#This Row],[Total cost]]/INDEX(tbl_estimated_costs_quantities[],MATCH(tbl_Actual_costs_quantities34[[#This Row],[House Code]],tbl_estimated_costs_quantities[House Code],0),7),"")</f>
        <v/>
      </c>
      <c r="M35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8" s="75"/>
      <c r="O358" s="37"/>
      <c r="P358" s="86">
        <f>tbl_Actual_costs_quantities34[[#This Row],[Site Preparation]]*BOQs!$L$3</f>
        <v>0</v>
      </c>
      <c r="Q358" s="76"/>
      <c r="R358" s="37"/>
      <c r="S358" s="86">
        <f>tbl_Actual_costs_quantities34[[#This Row],[Demolition Removal Unsafe Structures]]*BOQs!$L$4</f>
        <v>0</v>
      </c>
      <c r="T358" s="76"/>
      <c r="U358" s="37"/>
      <c r="V358" s="86">
        <f>tbl_Actual_costs_quantities34[[#This Row],[Concrete Works]]*BOQs!$L$5</f>
        <v>0</v>
      </c>
      <c r="W358" s="76"/>
      <c r="X358" s="37"/>
      <c r="Y358" s="86">
        <f>tbl_Actual_costs_quantities34[[#This Row],[Closure External Openings Walls Windows]]*BOQs!$L$6</f>
        <v>0</v>
      </c>
      <c r="Z358" s="76"/>
      <c r="AA358" s="37"/>
      <c r="AB358" s="86">
        <f>tbl_Actual_costs_quantities34[[#This Row],[Plastering Painting]]*BOQs!$L$7</f>
        <v>0</v>
      </c>
      <c r="AC358" s="76"/>
      <c r="AD358" s="37"/>
      <c r="AE358" s="86">
        <f>tbl_Actual_costs_quantities34[[#This Row],[Floor Repairs]]*BOQs!$L$8</f>
        <v>0</v>
      </c>
      <c r="AF358" s="76"/>
      <c r="AG358" s="37"/>
      <c r="AH358" s="86">
        <f>tbl_Actual_costs_quantities34[[#This Row],[Doors Replacement Repair]]*BOQs!$L$9</f>
        <v>0</v>
      </c>
      <c r="AI358" s="76"/>
      <c r="AJ358" s="37"/>
      <c r="AK358" s="86">
        <f>tbl_Actual_costs_quantities34[[#This Row],[Windows Replacement Repair]]*BOQs!$L$10</f>
        <v>0</v>
      </c>
      <c r="AL358" s="76"/>
      <c r="AM358" s="37"/>
      <c r="AN358" s="86">
        <f>tbl_Actual_costs_quantities34[[#This Row],[Bathroom Rehabilitation]]*BOQs!$L$11</f>
        <v>0</v>
      </c>
      <c r="AO358" s="76"/>
      <c r="AP358" s="37"/>
      <c r="AQ358" s="86">
        <f>tbl_Actual_costs_quantities34[[#This Row],[Ceramic Tile Works WASH]]*BOQs!$L$12</f>
        <v>0</v>
      </c>
      <c r="AR358" s="76"/>
      <c r="AS358" s="37"/>
      <c r="AT358" s="86">
        <f>tbl_Actual_costs_quantities34[[#This Row],[Electrical Repairs Lighting]]*BOQs!$L$13</f>
        <v>0</v>
      </c>
      <c r="AU358" s="76"/>
      <c r="AV358" s="37"/>
      <c r="AW358" s="86">
        <f>tbl_Actual_costs_quantities34[[#This Row],[Roof Insulation Leak Sealing]]*BOQs!$L$14</f>
        <v>0</v>
      </c>
      <c r="AX358" s="76"/>
      <c r="AY358" s="37"/>
      <c r="AZ358" s="86">
        <f>tbl_Actual_costs_quantities34[[#This Row],[Chimney Duct Cleaning Repair]]*BOQs!$L$15</f>
        <v>0</v>
      </c>
      <c r="BA358" s="76"/>
      <c r="BB358" s="37"/>
      <c r="BC358" s="89">
        <f>tbl_Actual_costs_quantities34[[#This Row],[Accessibility Adaptations]]*BOQs!$L$16</f>
        <v>0</v>
      </c>
      <c r="BD358" s="41"/>
      <c r="BE358" s="37"/>
      <c r="BF358" s="37"/>
    </row>
    <row r="359" spans="2:58" ht="25.15" customHeight="1" x14ac:dyDescent="0.25">
      <c r="B359" s="49">
        <v>355</v>
      </c>
      <c r="C359" s="37"/>
      <c r="D359" s="41"/>
      <c r="E359" s="40"/>
      <c r="F359" s="87" t="str">
        <f>IF(tbl_Actual_costs_quantities34[[#This Row],[House Code]]&lt;&gt;"",INDEX(tbl_Assessment[],MATCH(tbl_Actual_costs_quantities34[[#This Row],[House Code]],tbl_Assessment[House Code],0),3),"")</f>
        <v/>
      </c>
      <c r="G359" s="116" t="str">
        <f>IF(tbl_Actual_costs_quantities34[[#This Row],[House Code]]&lt;&gt;"",INDEX(tbl_Assessment[],MATCH(tbl_Actual_costs_quantities34[[#This Row],[House Code]],tbl_Assessment[House Code],0),9),"")</f>
        <v/>
      </c>
      <c r="H359" s="41"/>
      <c r="I359" s="41"/>
      <c r="J359" s="41"/>
      <c r="K359" s="116"/>
      <c r="L359" s="117" t="str">
        <f>IF(tbl_Actual_costs_quantities34[[#This Row],[House Code]]&lt;&gt;"",tbl_Actual_costs_quantities34[[#This Row],[Total cost]]/INDEX(tbl_estimated_costs_quantities[],MATCH(tbl_Actual_costs_quantities34[[#This Row],[House Code]],tbl_estimated_costs_quantities[House Code],0),7),"")</f>
        <v/>
      </c>
      <c r="M35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59" s="75"/>
      <c r="O359" s="37"/>
      <c r="P359" s="86">
        <f>tbl_Actual_costs_quantities34[[#This Row],[Site Preparation]]*BOQs!$L$3</f>
        <v>0</v>
      </c>
      <c r="Q359" s="76"/>
      <c r="R359" s="37"/>
      <c r="S359" s="86">
        <f>tbl_Actual_costs_quantities34[[#This Row],[Demolition Removal Unsafe Structures]]*BOQs!$L$4</f>
        <v>0</v>
      </c>
      <c r="T359" s="76"/>
      <c r="U359" s="37"/>
      <c r="V359" s="86">
        <f>tbl_Actual_costs_quantities34[[#This Row],[Concrete Works]]*BOQs!$L$5</f>
        <v>0</v>
      </c>
      <c r="W359" s="76"/>
      <c r="X359" s="37"/>
      <c r="Y359" s="86">
        <f>tbl_Actual_costs_quantities34[[#This Row],[Closure External Openings Walls Windows]]*BOQs!$L$6</f>
        <v>0</v>
      </c>
      <c r="Z359" s="76"/>
      <c r="AA359" s="37"/>
      <c r="AB359" s="86">
        <f>tbl_Actual_costs_quantities34[[#This Row],[Plastering Painting]]*BOQs!$L$7</f>
        <v>0</v>
      </c>
      <c r="AC359" s="76"/>
      <c r="AD359" s="37"/>
      <c r="AE359" s="86">
        <f>tbl_Actual_costs_quantities34[[#This Row],[Floor Repairs]]*BOQs!$L$8</f>
        <v>0</v>
      </c>
      <c r="AF359" s="76"/>
      <c r="AG359" s="37"/>
      <c r="AH359" s="86">
        <f>tbl_Actual_costs_quantities34[[#This Row],[Doors Replacement Repair]]*BOQs!$L$9</f>
        <v>0</v>
      </c>
      <c r="AI359" s="76"/>
      <c r="AJ359" s="37"/>
      <c r="AK359" s="86">
        <f>tbl_Actual_costs_quantities34[[#This Row],[Windows Replacement Repair]]*BOQs!$L$10</f>
        <v>0</v>
      </c>
      <c r="AL359" s="76"/>
      <c r="AM359" s="37"/>
      <c r="AN359" s="86">
        <f>tbl_Actual_costs_quantities34[[#This Row],[Bathroom Rehabilitation]]*BOQs!$L$11</f>
        <v>0</v>
      </c>
      <c r="AO359" s="76"/>
      <c r="AP359" s="37"/>
      <c r="AQ359" s="86">
        <f>tbl_Actual_costs_quantities34[[#This Row],[Ceramic Tile Works WASH]]*BOQs!$L$12</f>
        <v>0</v>
      </c>
      <c r="AR359" s="76"/>
      <c r="AS359" s="37"/>
      <c r="AT359" s="86">
        <f>tbl_Actual_costs_quantities34[[#This Row],[Electrical Repairs Lighting]]*BOQs!$L$13</f>
        <v>0</v>
      </c>
      <c r="AU359" s="76"/>
      <c r="AV359" s="37"/>
      <c r="AW359" s="86">
        <f>tbl_Actual_costs_quantities34[[#This Row],[Roof Insulation Leak Sealing]]*BOQs!$L$14</f>
        <v>0</v>
      </c>
      <c r="AX359" s="76"/>
      <c r="AY359" s="37"/>
      <c r="AZ359" s="86">
        <f>tbl_Actual_costs_quantities34[[#This Row],[Chimney Duct Cleaning Repair]]*BOQs!$L$15</f>
        <v>0</v>
      </c>
      <c r="BA359" s="76"/>
      <c r="BB359" s="37"/>
      <c r="BC359" s="89">
        <f>tbl_Actual_costs_quantities34[[#This Row],[Accessibility Adaptations]]*BOQs!$L$16</f>
        <v>0</v>
      </c>
      <c r="BD359" s="41"/>
      <c r="BE359" s="37"/>
      <c r="BF359" s="37"/>
    </row>
    <row r="360" spans="2:58" ht="25.15" customHeight="1" x14ac:dyDescent="0.25">
      <c r="B360" s="49">
        <v>356</v>
      </c>
      <c r="C360" s="37"/>
      <c r="D360" s="41"/>
      <c r="E360" s="40"/>
      <c r="F360" s="87" t="str">
        <f>IF(tbl_Actual_costs_quantities34[[#This Row],[House Code]]&lt;&gt;"",INDEX(tbl_Assessment[],MATCH(tbl_Actual_costs_quantities34[[#This Row],[House Code]],tbl_Assessment[House Code],0),3),"")</f>
        <v/>
      </c>
      <c r="G360" s="116" t="str">
        <f>IF(tbl_Actual_costs_quantities34[[#This Row],[House Code]]&lt;&gt;"",INDEX(tbl_Assessment[],MATCH(tbl_Actual_costs_quantities34[[#This Row],[House Code]],tbl_Assessment[House Code],0),9),"")</f>
        <v/>
      </c>
      <c r="H360" s="41"/>
      <c r="I360" s="41"/>
      <c r="J360" s="41"/>
      <c r="K360" s="116"/>
      <c r="L360" s="117" t="str">
        <f>IF(tbl_Actual_costs_quantities34[[#This Row],[House Code]]&lt;&gt;"",tbl_Actual_costs_quantities34[[#This Row],[Total cost]]/INDEX(tbl_estimated_costs_quantities[],MATCH(tbl_Actual_costs_quantities34[[#This Row],[House Code]],tbl_estimated_costs_quantities[House Code],0),7),"")</f>
        <v/>
      </c>
      <c r="M36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0" s="75"/>
      <c r="O360" s="37"/>
      <c r="P360" s="86">
        <f>tbl_Actual_costs_quantities34[[#This Row],[Site Preparation]]*BOQs!$L$3</f>
        <v>0</v>
      </c>
      <c r="Q360" s="76"/>
      <c r="R360" s="37"/>
      <c r="S360" s="86">
        <f>tbl_Actual_costs_quantities34[[#This Row],[Demolition Removal Unsafe Structures]]*BOQs!$L$4</f>
        <v>0</v>
      </c>
      <c r="T360" s="76"/>
      <c r="U360" s="37"/>
      <c r="V360" s="86">
        <f>tbl_Actual_costs_quantities34[[#This Row],[Concrete Works]]*BOQs!$L$5</f>
        <v>0</v>
      </c>
      <c r="W360" s="76"/>
      <c r="X360" s="37"/>
      <c r="Y360" s="86">
        <f>tbl_Actual_costs_quantities34[[#This Row],[Closure External Openings Walls Windows]]*BOQs!$L$6</f>
        <v>0</v>
      </c>
      <c r="Z360" s="76"/>
      <c r="AA360" s="37"/>
      <c r="AB360" s="86">
        <f>tbl_Actual_costs_quantities34[[#This Row],[Plastering Painting]]*BOQs!$L$7</f>
        <v>0</v>
      </c>
      <c r="AC360" s="76"/>
      <c r="AD360" s="37"/>
      <c r="AE360" s="86">
        <f>tbl_Actual_costs_quantities34[[#This Row],[Floor Repairs]]*BOQs!$L$8</f>
        <v>0</v>
      </c>
      <c r="AF360" s="76"/>
      <c r="AG360" s="37"/>
      <c r="AH360" s="86">
        <f>tbl_Actual_costs_quantities34[[#This Row],[Doors Replacement Repair]]*BOQs!$L$9</f>
        <v>0</v>
      </c>
      <c r="AI360" s="76"/>
      <c r="AJ360" s="37"/>
      <c r="AK360" s="86">
        <f>tbl_Actual_costs_quantities34[[#This Row],[Windows Replacement Repair]]*BOQs!$L$10</f>
        <v>0</v>
      </c>
      <c r="AL360" s="76"/>
      <c r="AM360" s="37"/>
      <c r="AN360" s="86">
        <f>tbl_Actual_costs_quantities34[[#This Row],[Bathroom Rehabilitation]]*BOQs!$L$11</f>
        <v>0</v>
      </c>
      <c r="AO360" s="76"/>
      <c r="AP360" s="37"/>
      <c r="AQ360" s="86">
        <f>tbl_Actual_costs_quantities34[[#This Row],[Ceramic Tile Works WASH]]*BOQs!$L$12</f>
        <v>0</v>
      </c>
      <c r="AR360" s="76"/>
      <c r="AS360" s="37"/>
      <c r="AT360" s="86">
        <f>tbl_Actual_costs_quantities34[[#This Row],[Electrical Repairs Lighting]]*BOQs!$L$13</f>
        <v>0</v>
      </c>
      <c r="AU360" s="76"/>
      <c r="AV360" s="37"/>
      <c r="AW360" s="86">
        <f>tbl_Actual_costs_quantities34[[#This Row],[Roof Insulation Leak Sealing]]*BOQs!$L$14</f>
        <v>0</v>
      </c>
      <c r="AX360" s="76"/>
      <c r="AY360" s="37"/>
      <c r="AZ360" s="86">
        <f>tbl_Actual_costs_quantities34[[#This Row],[Chimney Duct Cleaning Repair]]*BOQs!$L$15</f>
        <v>0</v>
      </c>
      <c r="BA360" s="76"/>
      <c r="BB360" s="37"/>
      <c r="BC360" s="89">
        <f>tbl_Actual_costs_quantities34[[#This Row],[Accessibility Adaptations]]*BOQs!$L$16</f>
        <v>0</v>
      </c>
      <c r="BD360" s="41"/>
      <c r="BE360" s="37"/>
      <c r="BF360" s="37"/>
    </row>
    <row r="361" spans="2:58" ht="25.15" customHeight="1" x14ac:dyDescent="0.25">
      <c r="B361" s="49">
        <v>357</v>
      </c>
      <c r="C361" s="37"/>
      <c r="D361" s="41"/>
      <c r="E361" s="40"/>
      <c r="F361" s="87" t="str">
        <f>IF(tbl_Actual_costs_quantities34[[#This Row],[House Code]]&lt;&gt;"",INDEX(tbl_Assessment[],MATCH(tbl_Actual_costs_quantities34[[#This Row],[House Code]],tbl_Assessment[House Code],0),3),"")</f>
        <v/>
      </c>
      <c r="G361" s="116" t="str">
        <f>IF(tbl_Actual_costs_quantities34[[#This Row],[House Code]]&lt;&gt;"",INDEX(tbl_Assessment[],MATCH(tbl_Actual_costs_quantities34[[#This Row],[House Code]],tbl_Assessment[House Code],0),9),"")</f>
        <v/>
      </c>
      <c r="H361" s="41"/>
      <c r="I361" s="41"/>
      <c r="J361" s="41"/>
      <c r="K361" s="116"/>
      <c r="L361" s="117" t="str">
        <f>IF(tbl_Actual_costs_quantities34[[#This Row],[House Code]]&lt;&gt;"",tbl_Actual_costs_quantities34[[#This Row],[Total cost]]/INDEX(tbl_estimated_costs_quantities[],MATCH(tbl_Actual_costs_quantities34[[#This Row],[House Code]],tbl_estimated_costs_quantities[House Code],0),7),"")</f>
        <v/>
      </c>
      <c r="M36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1" s="75"/>
      <c r="O361" s="37"/>
      <c r="P361" s="86">
        <f>tbl_Actual_costs_quantities34[[#This Row],[Site Preparation]]*BOQs!$L$3</f>
        <v>0</v>
      </c>
      <c r="Q361" s="76"/>
      <c r="R361" s="37"/>
      <c r="S361" s="86">
        <f>tbl_Actual_costs_quantities34[[#This Row],[Demolition Removal Unsafe Structures]]*BOQs!$L$4</f>
        <v>0</v>
      </c>
      <c r="T361" s="76"/>
      <c r="U361" s="37"/>
      <c r="V361" s="86">
        <f>tbl_Actual_costs_quantities34[[#This Row],[Concrete Works]]*BOQs!$L$5</f>
        <v>0</v>
      </c>
      <c r="W361" s="76"/>
      <c r="X361" s="37"/>
      <c r="Y361" s="86">
        <f>tbl_Actual_costs_quantities34[[#This Row],[Closure External Openings Walls Windows]]*BOQs!$L$6</f>
        <v>0</v>
      </c>
      <c r="Z361" s="76"/>
      <c r="AA361" s="37"/>
      <c r="AB361" s="86">
        <f>tbl_Actual_costs_quantities34[[#This Row],[Plastering Painting]]*BOQs!$L$7</f>
        <v>0</v>
      </c>
      <c r="AC361" s="76"/>
      <c r="AD361" s="37"/>
      <c r="AE361" s="86">
        <f>tbl_Actual_costs_quantities34[[#This Row],[Floor Repairs]]*BOQs!$L$8</f>
        <v>0</v>
      </c>
      <c r="AF361" s="76"/>
      <c r="AG361" s="37"/>
      <c r="AH361" s="86">
        <f>tbl_Actual_costs_quantities34[[#This Row],[Doors Replacement Repair]]*BOQs!$L$9</f>
        <v>0</v>
      </c>
      <c r="AI361" s="76"/>
      <c r="AJ361" s="37"/>
      <c r="AK361" s="86">
        <f>tbl_Actual_costs_quantities34[[#This Row],[Windows Replacement Repair]]*BOQs!$L$10</f>
        <v>0</v>
      </c>
      <c r="AL361" s="76"/>
      <c r="AM361" s="37"/>
      <c r="AN361" s="86">
        <f>tbl_Actual_costs_quantities34[[#This Row],[Bathroom Rehabilitation]]*BOQs!$L$11</f>
        <v>0</v>
      </c>
      <c r="AO361" s="76"/>
      <c r="AP361" s="37"/>
      <c r="AQ361" s="86">
        <f>tbl_Actual_costs_quantities34[[#This Row],[Ceramic Tile Works WASH]]*BOQs!$L$12</f>
        <v>0</v>
      </c>
      <c r="AR361" s="76"/>
      <c r="AS361" s="37"/>
      <c r="AT361" s="86">
        <f>tbl_Actual_costs_quantities34[[#This Row],[Electrical Repairs Lighting]]*BOQs!$L$13</f>
        <v>0</v>
      </c>
      <c r="AU361" s="76"/>
      <c r="AV361" s="37"/>
      <c r="AW361" s="86">
        <f>tbl_Actual_costs_quantities34[[#This Row],[Roof Insulation Leak Sealing]]*BOQs!$L$14</f>
        <v>0</v>
      </c>
      <c r="AX361" s="76"/>
      <c r="AY361" s="37"/>
      <c r="AZ361" s="86">
        <f>tbl_Actual_costs_quantities34[[#This Row],[Chimney Duct Cleaning Repair]]*BOQs!$L$15</f>
        <v>0</v>
      </c>
      <c r="BA361" s="76"/>
      <c r="BB361" s="37"/>
      <c r="BC361" s="89">
        <f>tbl_Actual_costs_quantities34[[#This Row],[Accessibility Adaptations]]*BOQs!$L$16</f>
        <v>0</v>
      </c>
      <c r="BD361" s="41"/>
      <c r="BE361" s="37"/>
      <c r="BF361" s="37"/>
    </row>
    <row r="362" spans="2:58" ht="25.15" customHeight="1" x14ac:dyDescent="0.25">
      <c r="B362" s="49">
        <v>358</v>
      </c>
      <c r="C362" s="37"/>
      <c r="D362" s="41"/>
      <c r="E362" s="40"/>
      <c r="F362" s="87" t="str">
        <f>IF(tbl_Actual_costs_quantities34[[#This Row],[House Code]]&lt;&gt;"",INDEX(tbl_Assessment[],MATCH(tbl_Actual_costs_quantities34[[#This Row],[House Code]],tbl_Assessment[House Code],0),3),"")</f>
        <v/>
      </c>
      <c r="G362" s="116" t="str">
        <f>IF(tbl_Actual_costs_quantities34[[#This Row],[House Code]]&lt;&gt;"",INDEX(tbl_Assessment[],MATCH(tbl_Actual_costs_quantities34[[#This Row],[House Code]],tbl_Assessment[House Code],0),9),"")</f>
        <v/>
      </c>
      <c r="H362" s="41"/>
      <c r="I362" s="41"/>
      <c r="J362" s="41"/>
      <c r="K362" s="116"/>
      <c r="L362" s="117" t="str">
        <f>IF(tbl_Actual_costs_quantities34[[#This Row],[House Code]]&lt;&gt;"",tbl_Actual_costs_quantities34[[#This Row],[Total cost]]/INDEX(tbl_estimated_costs_quantities[],MATCH(tbl_Actual_costs_quantities34[[#This Row],[House Code]],tbl_estimated_costs_quantities[House Code],0),7),"")</f>
        <v/>
      </c>
      <c r="M36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2" s="75"/>
      <c r="O362" s="37"/>
      <c r="P362" s="86">
        <f>tbl_Actual_costs_quantities34[[#This Row],[Site Preparation]]*BOQs!$L$3</f>
        <v>0</v>
      </c>
      <c r="Q362" s="76"/>
      <c r="R362" s="37"/>
      <c r="S362" s="86">
        <f>tbl_Actual_costs_quantities34[[#This Row],[Demolition Removal Unsafe Structures]]*BOQs!$L$4</f>
        <v>0</v>
      </c>
      <c r="T362" s="76"/>
      <c r="U362" s="37"/>
      <c r="V362" s="86">
        <f>tbl_Actual_costs_quantities34[[#This Row],[Concrete Works]]*BOQs!$L$5</f>
        <v>0</v>
      </c>
      <c r="W362" s="76"/>
      <c r="X362" s="37"/>
      <c r="Y362" s="86">
        <f>tbl_Actual_costs_quantities34[[#This Row],[Closure External Openings Walls Windows]]*BOQs!$L$6</f>
        <v>0</v>
      </c>
      <c r="Z362" s="76"/>
      <c r="AA362" s="37"/>
      <c r="AB362" s="86">
        <f>tbl_Actual_costs_quantities34[[#This Row],[Plastering Painting]]*BOQs!$L$7</f>
        <v>0</v>
      </c>
      <c r="AC362" s="76"/>
      <c r="AD362" s="37"/>
      <c r="AE362" s="86">
        <f>tbl_Actual_costs_quantities34[[#This Row],[Floor Repairs]]*BOQs!$L$8</f>
        <v>0</v>
      </c>
      <c r="AF362" s="76"/>
      <c r="AG362" s="37"/>
      <c r="AH362" s="86">
        <f>tbl_Actual_costs_quantities34[[#This Row],[Doors Replacement Repair]]*BOQs!$L$9</f>
        <v>0</v>
      </c>
      <c r="AI362" s="76"/>
      <c r="AJ362" s="37"/>
      <c r="AK362" s="86">
        <f>tbl_Actual_costs_quantities34[[#This Row],[Windows Replacement Repair]]*BOQs!$L$10</f>
        <v>0</v>
      </c>
      <c r="AL362" s="76"/>
      <c r="AM362" s="37"/>
      <c r="AN362" s="86">
        <f>tbl_Actual_costs_quantities34[[#This Row],[Bathroom Rehabilitation]]*BOQs!$L$11</f>
        <v>0</v>
      </c>
      <c r="AO362" s="76"/>
      <c r="AP362" s="37"/>
      <c r="AQ362" s="86">
        <f>tbl_Actual_costs_quantities34[[#This Row],[Ceramic Tile Works WASH]]*BOQs!$L$12</f>
        <v>0</v>
      </c>
      <c r="AR362" s="76"/>
      <c r="AS362" s="37"/>
      <c r="AT362" s="86">
        <f>tbl_Actual_costs_quantities34[[#This Row],[Electrical Repairs Lighting]]*BOQs!$L$13</f>
        <v>0</v>
      </c>
      <c r="AU362" s="76"/>
      <c r="AV362" s="37"/>
      <c r="AW362" s="86">
        <f>tbl_Actual_costs_quantities34[[#This Row],[Roof Insulation Leak Sealing]]*BOQs!$L$14</f>
        <v>0</v>
      </c>
      <c r="AX362" s="76"/>
      <c r="AY362" s="37"/>
      <c r="AZ362" s="86">
        <f>tbl_Actual_costs_quantities34[[#This Row],[Chimney Duct Cleaning Repair]]*BOQs!$L$15</f>
        <v>0</v>
      </c>
      <c r="BA362" s="76"/>
      <c r="BB362" s="37"/>
      <c r="BC362" s="89">
        <f>tbl_Actual_costs_quantities34[[#This Row],[Accessibility Adaptations]]*BOQs!$L$16</f>
        <v>0</v>
      </c>
      <c r="BD362" s="41"/>
      <c r="BE362" s="37"/>
      <c r="BF362" s="37"/>
    </row>
    <row r="363" spans="2:58" ht="25.15" customHeight="1" x14ac:dyDescent="0.25">
      <c r="B363" s="49">
        <v>359</v>
      </c>
      <c r="C363" s="37"/>
      <c r="D363" s="41"/>
      <c r="E363" s="40"/>
      <c r="F363" s="87" t="str">
        <f>IF(tbl_Actual_costs_quantities34[[#This Row],[House Code]]&lt;&gt;"",INDEX(tbl_Assessment[],MATCH(tbl_Actual_costs_quantities34[[#This Row],[House Code]],tbl_Assessment[House Code],0),3),"")</f>
        <v/>
      </c>
      <c r="G363" s="116" t="str">
        <f>IF(tbl_Actual_costs_quantities34[[#This Row],[House Code]]&lt;&gt;"",INDEX(tbl_Assessment[],MATCH(tbl_Actual_costs_quantities34[[#This Row],[House Code]],tbl_Assessment[House Code],0),9),"")</f>
        <v/>
      </c>
      <c r="H363" s="41"/>
      <c r="I363" s="41"/>
      <c r="J363" s="41"/>
      <c r="K363" s="116"/>
      <c r="L363" s="117" t="str">
        <f>IF(tbl_Actual_costs_quantities34[[#This Row],[House Code]]&lt;&gt;"",tbl_Actual_costs_quantities34[[#This Row],[Total cost]]/INDEX(tbl_estimated_costs_quantities[],MATCH(tbl_Actual_costs_quantities34[[#This Row],[House Code]],tbl_estimated_costs_quantities[House Code],0),7),"")</f>
        <v/>
      </c>
      <c r="M36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3" s="75"/>
      <c r="O363" s="37"/>
      <c r="P363" s="86">
        <f>tbl_Actual_costs_quantities34[[#This Row],[Site Preparation]]*BOQs!$L$3</f>
        <v>0</v>
      </c>
      <c r="Q363" s="76"/>
      <c r="R363" s="37"/>
      <c r="S363" s="86">
        <f>tbl_Actual_costs_quantities34[[#This Row],[Demolition Removal Unsafe Structures]]*BOQs!$L$4</f>
        <v>0</v>
      </c>
      <c r="T363" s="76"/>
      <c r="U363" s="37"/>
      <c r="V363" s="86">
        <f>tbl_Actual_costs_quantities34[[#This Row],[Concrete Works]]*BOQs!$L$5</f>
        <v>0</v>
      </c>
      <c r="W363" s="76"/>
      <c r="X363" s="37"/>
      <c r="Y363" s="86">
        <f>tbl_Actual_costs_quantities34[[#This Row],[Closure External Openings Walls Windows]]*BOQs!$L$6</f>
        <v>0</v>
      </c>
      <c r="Z363" s="76"/>
      <c r="AA363" s="37"/>
      <c r="AB363" s="86">
        <f>tbl_Actual_costs_quantities34[[#This Row],[Plastering Painting]]*BOQs!$L$7</f>
        <v>0</v>
      </c>
      <c r="AC363" s="76"/>
      <c r="AD363" s="37"/>
      <c r="AE363" s="86">
        <f>tbl_Actual_costs_quantities34[[#This Row],[Floor Repairs]]*BOQs!$L$8</f>
        <v>0</v>
      </c>
      <c r="AF363" s="76"/>
      <c r="AG363" s="37"/>
      <c r="AH363" s="86">
        <f>tbl_Actual_costs_quantities34[[#This Row],[Doors Replacement Repair]]*BOQs!$L$9</f>
        <v>0</v>
      </c>
      <c r="AI363" s="76"/>
      <c r="AJ363" s="37"/>
      <c r="AK363" s="86">
        <f>tbl_Actual_costs_quantities34[[#This Row],[Windows Replacement Repair]]*BOQs!$L$10</f>
        <v>0</v>
      </c>
      <c r="AL363" s="76"/>
      <c r="AM363" s="37"/>
      <c r="AN363" s="86">
        <f>tbl_Actual_costs_quantities34[[#This Row],[Bathroom Rehabilitation]]*BOQs!$L$11</f>
        <v>0</v>
      </c>
      <c r="AO363" s="76"/>
      <c r="AP363" s="37"/>
      <c r="AQ363" s="86">
        <f>tbl_Actual_costs_quantities34[[#This Row],[Ceramic Tile Works WASH]]*BOQs!$L$12</f>
        <v>0</v>
      </c>
      <c r="AR363" s="76"/>
      <c r="AS363" s="37"/>
      <c r="AT363" s="86">
        <f>tbl_Actual_costs_quantities34[[#This Row],[Electrical Repairs Lighting]]*BOQs!$L$13</f>
        <v>0</v>
      </c>
      <c r="AU363" s="76"/>
      <c r="AV363" s="37"/>
      <c r="AW363" s="86">
        <f>tbl_Actual_costs_quantities34[[#This Row],[Roof Insulation Leak Sealing]]*BOQs!$L$14</f>
        <v>0</v>
      </c>
      <c r="AX363" s="76"/>
      <c r="AY363" s="37"/>
      <c r="AZ363" s="86">
        <f>tbl_Actual_costs_quantities34[[#This Row],[Chimney Duct Cleaning Repair]]*BOQs!$L$15</f>
        <v>0</v>
      </c>
      <c r="BA363" s="76"/>
      <c r="BB363" s="37"/>
      <c r="BC363" s="89">
        <f>tbl_Actual_costs_quantities34[[#This Row],[Accessibility Adaptations]]*BOQs!$L$16</f>
        <v>0</v>
      </c>
      <c r="BD363" s="41"/>
      <c r="BE363" s="37"/>
      <c r="BF363" s="37"/>
    </row>
    <row r="364" spans="2:58" ht="25.15" customHeight="1" x14ac:dyDescent="0.25">
      <c r="B364" s="49">
        <v>360</v>
      </c>
      <c r="C364" s="37"/>
      <c r="D364" s="41"/>
      <c r="E364" s="40"/>
      <c r="F364" s="87" t="str">
        <f>IF(tbl_Actual_costs_quantities34[[#This Row],[House Code]]&lt;&gt;"",INDEX(tbl_Assessment[],MATCH(tbl_Actual_costs_quantities34[[#This Row],[House Code]],tbl_Assessment[House Code],0),3),"")</f>
        <v/>
      </c>
      <c r="G364" s="116" t="str">
        <f>IF(tbl_Actual_costs_quantities34[[#This Row],[House Code]]&lt;&gt;"",INDEX(tbl_Assessment[],MATCH(tbl_Actual_costs_quantities34[[#This Row],[House Code]],tbl_Assessment[House Code],0),9),"")</f>
        <v/>
      </c>
      <c r="H364" s="41"/>
      <c r="I364" s="41"/>
      <c r="J364" s="41"/>
      <c r="K364" s="116"/>
      <c r="L364" s="117" t="str">
        <f>IF(tbl_Actual_costs_quantities34[[#This Row],[House Code]]&lt;&gt;"",tbl_Actual_costs_quantities34[[#This Row],[Total cost]]/INDEX(tbl_estimated_costs_quantities[],MATCH(tbl_Actual_costs_quantities34[[#This Row],[House Code]],tbl_estimated_costs_quantities[House Code],0),7),"")</f>
        <v/>
      </c>
      <c r="M36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4" s="75"/>
      <c r="O364" s="37"/>
      <c r="P364" s="86">
        <f>tbl_Actual_costs_quantities34[[#This Row],[Site Preparation]]*BOQs!$L$3</f>
        <v>0</v>
      </c>
      <c r="Q364" s="76"/>
      <c r="R364" s="37"/>
      <c r="S364" s="86">
        <f>tbl_Actual_costs_quantities34[[#This Row],[Demolition Removal Unsafe Structures]]*BOQs!$L$4</f>
        <v>0</v>
      </c>
      <c r="T364" s="76"/>
      <c r="U364" s="37"/>
      <c r="V364" s="86">
        <f>tbl_Actual_costs_quantities34[[#This Row],[Concrete Works]]*BOQs!$L$5</f>
        <v>0</v>
      </c>
      <c r="W364" s="76"/>
      <c r="X364" s="37"/>
      <c r="Y364" s="86">
        <f>tbl_Actual_costs_quantities34[[#This Row],[Closure External Openings Walls Windows]]*BOQs!$L$6</f>
        <v>0</v>
      </c>
      <c r="Z364" s="76"/>
      <c r="AA364" s="37"/>
      <c r="AB364" s="86">
        <f>tbl_Actual_costs_quantities34[[#This Row],[Plastering Painting]]*BOQs!$L$7</f>
        <v>0</v>
      </c>
      <c r="AC364" s="76"/>
      <c r="AD364" s="37"/>
      <c r="AE364" s="86">
        <f>tbl_Actual_costs_quantities34[[#This Row],[Floor Repairs]]*BOQs!$L$8</f>
        <v>0</v>
      </c>
      <c r="AF364" s="76"/>
      <c r="AG364" s="37"/>
      <c r="AH364" s="86">
        <f>tbl_Actual_costs_quantities34[[#This Row],[Doors Replacement Repair]]*BOQs!$L$9</f>
        <v>0</v>
      </c>
      <c r="AI364" s="76"/>
      <c r="AJ364" s="37"/>
      <c r="AK364" s="86">
        <f>tbl_Actual_costs_quantities34[[#This Row],[Windows Replacement Repair]]*BOQs!$L$10</f>
        <v>0</v>
      </c>
      <c r="AL364" s="76"/>
      <c r="AM364" s="37"/>
      <c r="AN364" s="86">
        <f>tbl_Actual_costs_quantities34[[#This Row],[Bathroom Rehabilitation]]*BOQs!$L$11</f>
        <v>0</v>
      </c>
      <c r="AO364" s="76"/>
      <c r="AP364" s="37"/>
      <c r="AQ364" s="86">
        <f>tbl_Actual_costs_quantities34[[#This Row],[Ceramic Tile Works WASH]]*BOQs!$L$12</f>
        <v>0</v>
      </c>
      <c r="AR364" s="76"/>
      <c r="AS364" s="37"/>
      <c r="AT364" s="86">
        <f>tbl_Actual_costs_quantities34[[#This Row],[Electrical Repairs Lighting]]*BOQs!$L$13</f>
        <v>0</v>
      </c>
      <c r="AU364" s="76"/>
      <c r="AV364" s="37"/>
      <c r="AW364" s="86">
        <f>tbl_Actual_costs_quantities34[[#This Row],[Roof Insulation Leak Sealing]]*BOQs!$L$14</f>
        <v>0</v>
      </c>
      <c r="AX364" s="76"/>
      <c r="AY364" s="37"/>
      <c r="AZ364" s="86">
        <f>tbl_Actual_costs_quantities34[[#This Row],[Chimney Duct Cleaning Repair]]*BOQs!$L$15</f>
        <v>0</v>
      </c>
      <c r="BA364" s="76"/>
      <c r="BB364" s="37"/>
      <c r="BC364" s="89">
        <f>tbl_Actual_costs_quantities34[[#This Row],[Accessibility Adaptations]]*BOQs!$L$16</f>
        <v>0</v>
      </c>
      <c r="BD364" s="41"/>
      <c r="BE364" s="37"/>
      <c r="BF364" s="37"/>
    </row>
    <row r="365" spans="2:58" ht="25.15" customHeight="1" x14ac:dyDescent="0.25">
      <c r="B365" s="49">
        <v>361</v>
      </c>
      <c r="C365" s="37"/>
      <c r="D365" s="41"/>
      <c r="E365" s="40"/>
      <c r="F365" s="87" t="str">
        <f>IF(tbl_Actual_costs_quantities34[[#This Row],[House Code]]&lt;&gt;"",INDEX(tbl_Assessment[],MATCH(tbl_Actual_costs_quantities34[[#This Row],[House Code]],tbl_Assessment[House Code],0),3),"")</f>
        <v/>
      </c>
      <c r="G365" s="116" t="str">
        <f>IF(tbl_Actual_costs_quantities34[[#This Row],[House Code]]&lt;&gt;"",INDEX(tbl_Assessment[],MATCH(tbl_Actual_costs_quantities34[[#This Row],[House Code]],tbl_Assessment[House Code],0),9),"")</f>
        <v/>
      </c>
      <c r="H365" s="41"/>
      <c r="I365" s="41"/>
      <c r="J365" s="41"/>
      <c r="K365" s="116"/>
      <c r="L365" s="117" t="str">
        <f>IF(tbl_Actual_costs_quantities34[[#This Row],[House Code]]&lt;&gt;"",tbl_Actual_costs_quantities34[[#This Row],[Total cost]]/INDEX(tbl_estimated_costs_quantities[],MATCH(tbl_Actual_costs_quantities34[[#This Row],[House Code]],tbl_estimated_costs_quantities[House Code],0),7),"")</f>
        <v/>
      </c>
      <c r="M36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5" s="75"/>
      <c r="O365" s="37"/>
      <c r="P365" s="86">
        <f>tbl_Actual_costs_quantities34[[#This Row],[Site Preparation]]*BOQs!$L$3</f>
        <v>0</v>
      </c>
      <c r="Q365" s="76"/>
      <c r="R365" s="37"/>
      <c r="S365" s="86">
        <f>tbl_Actual_costs_quantities34[[#This Row],[Demolition Removal Unsafe Structures]]*BOQs!$L$4</f>
        <v>0</v>
      </c>
      <c r="T365" s="76"/>
      <c r="U365" s="37"/>
      <c r="V365" s="86">
        <f>tbl_Actual_costs_quantities34[[#This Row],[Concrete Works]]*BOQs!$L$5</f>
        <v>0</v>
      </c>
      <c r="W365" s="76"/>
      <c r="X365" s="37"/>
      <c r="Y365" s="86">
        <f>tbl_Actual_costs_quantities34[[#This Row],[Closure External Openings Walls Windows]]*BOQs!$L$6</f>
        <v>0</v>
      </c>
      <c r="Z365" s="76"/>
      <c r="AA365" s="37"/>
      <c r="AB365" s="86">
        <f>tbl_Actual_costs_quantities34[[#This Row],[Plastering Painting]]*BOQs!$L$7</f>
        <v>0</v>
      </c>
      <c r="AC365" s="76"/>
      <c r="AD365" s="37"/>
      <c r="AE365" s="86">
        <f>tbl_Actual_costs_quantities34[[#This Row],[Floor Repairs]]*BOQs!$L$8</f>
        <v>0</v>
      </c>
      <c r="AF365" s="76"/>
      <c r="AG365" s="37"/>
      <c r="AH365" s="86">
        <f>tbl_Actual_costs_quantities34[[#This Row],[Doors Replacement Repair]]*BOQs!$L$9</f>
        <v>0</v>
      </c>
      <c r="AI365" s="76"/>
      <c r="AJ365" s="37"/>
      <c r="AK365" s="86">
        <f>tbl_Actual_costs_quantities34[[#This Row],[Windows Replacement Repair]]*BOQs!$L$10</f>
        <v>0</v>
      </c>
      <c r="AL365" s="76"/>
      <c r="AM365" s="37"/>
      <c r="AN365" s="86">
        <f>tbl_Actual_costs_quantities34[[#This Row],[Bathroom Rehabilitation]]*BOQs!$L$11</f>
        <v>0</v>
      </c>
      <c r="AO365" s="76"/>
      <c r="AP365" s="37"/>
      <c r="AQ365" s="86">
        <f>tbl_Actual_costs_quantities34[[#This Row],[Ceramic Tile Works WASH]]*BOQs!$L$12</f>
        <v>0</v>
      </c>
      <c r="AR365" s="76"/>
      <c r="AS365" s="37"/>
      <c r="AT365" s="86">
        <f>tbl_Actual_costs_quantities34[[#This Row],[Electrical Repairs Lighting]]*BOQs!$L$13</f>
        <v>0</v>
      </c>
      <c r="AU365" s="76"/>
      <c r="AV365" s="37"/>
      <c r="AW365" s="86">
        <f>tbl_Actual_costs_quantities34[[#This Row],[Roof Insulation Leak Sealing]]*BOQs!$L$14</f>
        <v>0</v>
      </c>
      <c r="AX365" s="76"/>
      <c r="AY365" s="37"/>
      <c r="AZ365" s="86">
        <f>tbl_Actual_costs_quantities34[[#This Row],[Chimney Duct Cleaning Repair]]*BOQs!$L$15</f>
        <v>0</v>
      </c>
      <c r="BA365" s="76"/>
      <c r="BB365" s="37"/>
      <c r="BC365" s="89">
        <f>tbl_Actual_costs_quantities34[[#This Row],[Accessibility Adaptations]]*BOQs!$L$16</f>
        <v>0</v>
      </c>
      <c r="BD365" s="41"/>
      <c r="BE365" s="37"/>
      <c r="BF365" s="37"/>
    </row>
    <row r="366" spans="2:58" ht="25.15" customHeight="1" x14ac:dyDescent="0.25">
      <c r="B366" s="49">
        <v>362</v>
      </c>
      <c r="C366" s="37"/>
      <c r="D366" s="41"/>
      <c r="E366" s="40"/>
      <c r="F366" s="87" t="str">
        <f>IF(tbl_Actual_costs_quantities34[[#This Row],[House Code]]&lt;&gt;"",INDEX(tbl_Assessment[],MATCH(tbl_Actual_costs_quantities34[[#This Row],[House Code]],tbl_Assessment[House Code],0),3),"")</f>
        <v/>
      </c>
      <c r="G366" s="116" t="str">
        <f>IF(tbl_Actual_costs_quantities34[[#This Row],[House Code]]&lt;&gt;"",INDEX(tbl_Assessment[],MATCH(tbl_Actual_costs_quantities34[[#This Row],[House Code]],tbl_Assessment[House Code],0),9),"")</f>
        <v/>
      </c>
      <c r="H366" s="41"/>
      <c r="I366" s="41"/>
      <c r="J366" s="41"/>
      <c r="K366" s="116"/>
      <c r="L366" s="117" t="str">
        <f>IF(tbl_Actual_costs_quantities34[[#This Row],[House Code]]&lt;&gt;"",tbl_Actual_costs_quantities34[[#This Row],[Total cost]]/INDEX(tbl_estimated_costs_quantities[],MATCH(tbl_Actual_costs_quantities34[[#This Row],[House Code]],tbl_estimated_costs_quantities[House Code],0),7),"")</f>
        <v/>
      </c>
      <c r="M36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6" s="75"/>
      <c r="O366" s="37"/>
      <c r="P366" s="86">
        <f>tbl_Actual_costs_quantities34[[#This Row],[Site Preparation]]*BOQs!$L$3</f>
        <v>0</v>
      </c>
      <c r="Q366" s="76"/>
      <c r="R366" s="37"/>
      <c r="S366" s="86">
        <f>tbl_Actual_costs_quantities34[[#This Row],[Demolition Removal Unsafe Structures]]*BOQs!$L$4</f>
        <v>0</v>
      </c>
      <c r="T366" s="76"/>
      <c r="U366" s="37"/>
      <c r="V366" s="86">
        <f>tbl_Actual_costs_quantities34[[#This Row],[Concrete Works]]*BOQs!$L$5</f>
        <v>0</v>
      </c>
      <c r="W366" s="76"/>
      <c r="X366" s="37"/>
      <c r="Y366" s="86">
        <f>tbl_Actual_costs_quantities34[[#This Row],[Closure External Openings Walls Windows]]*BOQs!$L$6</f>
        <v>0</v>
      </c>
      <c r="Z366" s="76"/>
      <c r="AA366" s="37"/>
      <c r="AB366" s="86">
        <f>tbl_Actual_costs_quantities34[[#This Row],[Plastering Painting]]*BOQs!$L$7</f>
        <v>0</v>
      </c>
      <c r="AC366" s="76"/>
      <c r="AD366" s="37"/>
      <c r="AE366" s="86">
        <f>tbl_Actual_costs_quantities34[[#This Row],[Floor Repairs]]*BOQs!$L$8</f>
        <v>0</v>
      </c>
      <c r="AF366" s="76"/>
      <c r="AG366" s="37"/>
      <c r="AH366" s="86">
        <f>tbl_Actual_costs_quantities34[[#This Row],[Doors Replacement Repair]]*BOQs!$L$9</f>
        <v>0</v>
      </c>
      <c r="AI366" s="76"/>
      <c r="AJ366" s="37"/>
      <c r="AK366" s="86">
        <f>tbl_Actual_costs_quantities34[[#This Row],[Windows Replacement Repair]]*BOQs!$L$10</f>
        <v>0</v>
      </c>
      <c r="AL366" s="76"/>
      <c r="AM366" s="37"/>
      <c r="AN366" s="86">
        <f>tbl_Actual_costs_quantities34[[#This Row],[Bathroom Rehabilitation]]*BOQs!$L$11</f>
        <v>0</v>
      </c>
      <c r="AO366" s="76"/>
      <c r="AP366" s="37"/>
      <c r="AQ366" s="86">
        <f>tbl_Actual_costs_quantities34[[#This Row],[Ceramic Tile Works WASH]]*BOQs!$L$12</f>
        <v>0</v>
      </c>
      <c r="AR366" s="76"/>
      <c r="AS366" s="37"/>
      <c r="AT366" s="86">
        <f>tbl_Actual_costs_quantities34[[#This Row],[Electrical Repairs Lighting]]*BOQs!$L$13</f>
        <v>0</v>
      </c>
      <c r="AU366" s="76"/>
      <c r="AV366" s="37"/>
      <c r="AW366" s="86">
        <f>tbl_Actual_costs_quantities34[[#This Row],[Roof Insulation Leak Sealing]]*BOQs!$L$14</f>
        <v>0</v>
      </c>
      <c r="AX366" s="76"/>
      <c r="AY366" s="37"/>
      <c r="AZ366" s="86">
        <f>tbl_Actual_costs_quantities34[[#This Row],[Chimney Duct Cleaning Repair]]*BOQs!$L$15</f>
        <v>0</v>
      </c>
      <c r="BA366" s="76"/>
      <c r="BB366" s="37"/>
      <c r="BC366" s="89">
        <f>tbl_Actual_costs_quantities34[[#This Row],[Accessibility Adaptations]]*BOQs!$L$16</f>
        <v>0</v>
      </c>
      <c r="BD366" s="41"/>
      <c r="BE366" s="37"/>
      <c r="BF366" s="37"/>
    </row>
    <row r="367" spans="2:58" ht="25.15" customHeight="1" x14ac:dyDescent="0.25">
      <c r="B367" s="49">
        <v>363</v>
      </c>
      <c r="C367" s="37"/>
      <c r="D367" s="41"/>
      <c r="E367" s="40"/>
      <c r="F367" s="87" t="str">
        <f>IF(tbl_Actual_costs_quantities34[[#This Row],[House Code]]&lt;&gt;"",INDEX(tbl_Assessment[],MATCH(tbl_Actual_costs_quantities34[[#This Row],[House Code]],tbl_Assessment[House Code],0),3),"")</f>
        <v/>
      </c>
      <c r="G367" s="116" t="str">
        <f>IF(tbl_Actual_costs_quantities34[[#This Row],[House Code]]&lt;&gt;"",INDEX(tbl_Assessment[],MATCH(tbl_Actual_costs_quantities34[[#This Row],[House Code]],tbl_Assessment[House Code],0),9),"")</f>
        <v/>
      </c>
      <c r="H367" s="41"/>
      <c r="I367" s="41"/>
      <c r="J367" s="41"/>
      <c r="K367" s="116"/>
      <c r="L367" s="117" t="str">
        <f>IF(tbl_Actual_costs_quantities34[[#This Row],[House Code]]&lt;&gt;"",tbl_Actual_costs_quantities34[[#This Row],[Total cost]]/INDEX(tbl_estimated_costs_quantities[],MATCH(tbl_Actual_costs_quantities34[[#This Row],[House Code]],tbl_estimated_costs_quantities[House Code],0),7),"")</f>
        <v/>
      </c>
      <c r="M36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7" s="75"/>
      <c r="O367" s="37"/>
      <c r="P367" s="86">
        <f>tbl_Actual_costs_quantities34[[#This Row],[Site Preparation]]*BOQs!$L$3</f>
        <v>0</v>
      </c>
      <c r="Q367" s="76"/>
      <c r="R367" s="37"/>
      <c r="S367" s="86">
        <f>tbl_Actual_costs_quantities34[[#This Row],[Demolition Removal Unsafe Structures]]*BOQs!$L$4</f>
        <v>0</v>
      </c>
      <c r="T367" s="76"/>
      <c r="U367" s="37"/>
      <c r="V367" s="86">
        <f>tbl_Actual_costs_quantities34[[#This Row],[Concrete Works]]*BOQs!$L$5</f>
        <v>0</v>
      </c>
      <c r="W367" s="76"/>
      <c r="X367" s="37"/>
      <c r="Y367" s="86">
        <f>tbl_Actual_costs_quantities34[[#This Row],[Closure External Openings Walls Windows]]*BOQs!$L$6</f>
        <v>0</v>
      </c>
      <c r="Z367" s="76"/>
      <c r="AA367" s="37"/>
      <c r="AB367" s="86">
        <f>tbl_Actual_costs_quantities34[[#This Row],[Plastering Painting]]*BOQs!$L$7</f>
        <v>0</v>
      </c>
      <c r="AC367" s="76"/>
      <c r="AD367" s="37"/>
      <c r="AE367" s="86">
        <f>tbl_Actual_costs_quantities34[[#This Row],[Floor Repairs]]*BOQs!$L$8</f>
        <v>0</v>
      </c>
      <c r="AF367" s="76"/>
      <c r="AG367" s="37"/>
      <c r="AH367" s="86">
        <f>tbl_Actual_costs_quantities34[[#This Row],[Doors Replacement Repair]]*BOQs!$L$9</f>
        <v>0</v>
      </c>
      <c r="AI367" s="76"/>
      <c r="AJ367" s="37"/>
      <c r="AK367" s="86">
        <f>tbl_Actual_costs_quantities34[[#This Row],[Windows Replacement Repair]]*BOQs!$L$10</f>
        <v>0</v>
      </c>
      <c r="AL367" s="76"/>
      <c r="AM367" s="37"/>
      <c r="AN367" s="86">
        <f>tbl_Actual_costs_quantities34[[#This Row],[Bathroom Rehabilitation]]*BOQs!$L$11</f>
        <v>0</v>
      </c>
      <c r="AO367" s="76"/>
      <c r="AP367" s="37"/>
      <c r="AQ367" s="86">
        <f>tbl_Actual_costs_quantities34[[#This Row],[Ceramic Tile Works WASH]]*BOQs!$L$12</f>
        <v>0</v>
      </c>
      <c r="AR367" s="76"/>
      <c r="AS367" s="37"/>
      <c r="AT367" s="86">
        <f>tbl_Actual_costs_quantities34[[#This Row],[Electrical Repairs Lighting]]*BOQs!$L$13</f>
        <v>0</v>
      </c>
      <c r="AU367" s="76"/>
      <c r="AV367" s="37"/>
      <c r="AW367" s="86">
        <f>tbl_Actual_costs_quantities34[[#This Row],[Roof Insulation Leak Sealing]]*BOQs!$L$14</f>
        <v>0</v>
      </c>
      <c r="AX367" s="76"/>
      <c r="AY367" s="37"/>
      <c r="AZ367" s="86">
        <f>tbl_Actual_costs_quantities34[[#This Row],[Chimney Duct Cleaning Repair]]*BOQs!$L$15</f>
        <v>0</v>
      </c>
      <c r="BA367" s="76"/>
      <c r="BB367" s="37"/>
      <c r="BC367" s="89">
        <f>tbl_Actual_costs_quantities34[[#This Row],[Accessibility Adaptations]]*BOQs!$L$16</f>
        <v>0</v>
      </c>
      <c r="BD367" s="41"/>
      <c r="BE367" s="37"/>
      <c r="BF367" s="37"/>
    </row>
    <row r="368" spans="2:58" ht="25.15" customHeight="1" x14ac:dyDescent="0.25">
      <c r="B368" s="49">
        <v>364</v>
      </c>
      <c r="C368" s="37"/>
      <c r="D368" s="41"/>
      <c r="E368" s="40"/>
      <c r="F368" s="87" t="str">
        <f>IF(tbl_Actual_costs_quantities34[[#This Row],[House Code]]&lt;&gt;"",INDEX(tbl_Assessment[],MATCH(tbl_Actual_costs_quantities34[[#This Row],[House Code]],tbl_Assessment[House Code],0),3),"")</f>
        <v/>
      </c>
      <c r="G368" s="116" t="str">
        <f>IF(tbl_Actual_costs_quantities34[[#This Row],[House Code]]&lt;&gt;"",INDEX(tbl_Assessment[],MATCH(tbl_Actual_costs_quantities34[[#This Row],[House Code]],tbl_Assessment[House Code],0),9),"")</f>
        <v/>
      </c>
      <c r="H368" s="41"/>
      <c r="I368" s="41"/>
      <c r="J368" s="41"/>
      <c r="K368" s="116"/>
      <c r="L368" s="117" t="str">
        <f>IF(tbl_Actual_costs_quantities34[[#This Row],[House Code]]&lt;&gt;"",tbl_Actual_costs_quantities34[[#This Row],[Total cost]]/INDEX(tbl_estimated_costs_quantities[],MATCH(tbl_Actual_costs_quantities34[[#This Row],[House Code]],tbl_estimated_costs_quantities[House Code],0),7),"")</f>
        <v/>
      </c>
      <c r="M36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8" s="75"/>
      <c r="O368" s="37"/>
      <c r="P368" s="86">
        <f>tbl_Actual_costs_quantities34[[#This Row],[Site Preparation]]*BOQs!$L$3</f>
        <v>0</v>
      </c>
      <c r="Q368" s="76"/>
      <c r="R368" s="37"/>
      <c r="S368" s="86">
        <f>tbl_Actual_costs_quantities34[[#This Row],[Demolition Removal Unsafe Structures]]*BOQs!$L$4</f>
        <v>0</v>
      </c>
      <c r="T368" s="76"/>
      <c r="U368" s="37"/>
      <c r="V368" s="86">
        <f>tbl_Actual_costs_quantities34[[#This Row],[Concrete Works]]*BOQs!$L$5</f>
        <v>0</v>
      </c>
      <c r="W368" s="76"/>
      <c r="X368" s="37"/>
      <c r="Y368" s="86">
        <f>tbl_Actual_costs_quantities34[[#This Row],[Closure External Openings Walls Windows]]*BOQs!$L$6</f>
        <v>0</v>
      </c>
      <c r="Z368" s="76"/>
      <c r="AA368" s="37"/>
      <c r="AB368" s="86">
        <f>tbl_Actual_costs_quantities34[[#This Row],[Plastering Painting]]*BOQs!$L$7</f>
        <v>0</v>
      </c>
      <c r="AC368" s="76"/>
      <c r="AD368" s="37"/>
      <c r="AE368" s="86">
        <f>tbl_Actual_costs_quantities34[[#This Row],[Floor Repairs]]*BOQs!$L$8</f>
        <v>0</v>
      </c>
      <c r="AF368" s="76"/>
      <c r="AG368" s="37"/>
      <c r="AH368" s="86">
        <f>tbl_Actual_costs_quantities34[[#This Row],[Doors Replacement Repair]]*BOQs!$L$9</f>
        <v>0</v>
      </c>
      <c r="AI368" s="76"/>
      <c r="AJ368" s="37"/>
      <c r="AK368" s="86">
        <f>tbl_Actual_costs_quantities34[[#This Row],[Windows Replacement Repair]]*BOQs!$L$10</f>
        <v>0</v>
      </c>
      <c r="AL368" s="76"/>
      <c r="AM368" s="37"/>
      <c r="AN368" s="86">
        <f>tbl_Actual_costs_quantities34[[#This Row],[Bathroom Rehabilitation]]*BOQs!$L$11</f>
        <v>0</v>
      </c>
      <c r="AO368" s="76"/>
      <c r="AP368" s="37"/>
      <c r="AQ368" s="86">
        <f>tbl_Actual_costs_quantities34[[#This Row],[Ceramic Tile Works WASH]]*BOQs!$L$12</f>
        <v>0</v>
      </c>
      <c r="AR368" s="76"/>
      <c r="AS368" s="37"/>
      <c r="AT368" s="86">
        <f>tbl_Actual_costs_quantities34[[#This Row],[Electrical Repairs Lighting]]*BOQs!$L$13</f>
        <v>0</v>
      </c>
      <c r="AU368" s="76"/>
      <c r="AV368" s="37"/>
      <c r="AW368" s="86">
        <f>tbl_Actual_costs_quantities34[[#This Row],[Roof Insulation Leak Sealing]]*BOQs!$L$14</f>
        <v>0</v>
      </c>
      <c r="AX368" s="76"/>
      <c r="AY368" s="37"/>
      <c r="AZ368" s="86">
        <f>tbl_Actual_costs_quantities34[[#This Row],[Chimney Duct Cleaning Repair]]*BOQs!$L$15</f>
        <v>0</v>
      </c>
      <c r="BA368" s="76"/>
      <c r="BB368" s="37"/>
      <c r="BC368" s="89">
        <f>tbl_Actual_costs_quantities34[[#This Row],[Accessibility Adaptations]]*BOQs!$L$16</f>
        <v>0</v>
      </c>
      <c r="BD368" s="41"/>
      <c r="BE368" s="37"/>
      <c r="BF368" s="37"/>
    </row>
    <row r="369" spans="2:58" ht="25.15" customHeight="1" x14ac:dyDescent="0.25">
      <c r="B369" s="49">
        <v>365</v>
      </c>
      <c r="C369" s="37"/>
      <c r="D369" s="41"/>
      <c r="E369" s="40"/>
      <c r="F369" s="87" t="str">
        <f>IF(tbl_Actual_costs_quantities34[[#This Row],[House Code]]&lt;&gt;"",INDEX(tbl_Assessment[],MATCH(tbl_Actual_costs_quantities34[[#This Row],[House Code]],tbl_Assessment[House Code],0),3),"")</f>
        <v/>
      </c>
      <c r="G369" s="116" t="str">
        <f>IF(tbl_Actual_costs_quantities34[[#This Row],[House Code]]&lt;&gt;"",INDEX(tbl_Assessment[],MATCH(tbl_Actual_costs_quantities34[[#This Row],[House Code]],tbl_Assessment[House Code],0),9),"")</f>
        <v/>
      </c>
      <c r="H369" s="41"/>
      <c r="I369" s="41"/>
      <c r="J369" s="41"/>
      <c r="K369" s="116"/>
      <c r="L369" s="117" t="str">
        <f>IF(tbl_Actual_costs_quantities34[[#This Row],[House Code]]&lt;&gt;"",tbl_Actual_costs_quantities34[[#This Row],[Total cost]]/INDEX(tbl_estimated_costs_quantities[],MATCH(tbl_Actual_costs_quantities34[[#This Row],[House Code]],tbl_estimated_costs_quantities[House Code],0),7),"")</f>
        <v/>
      </c>
      <c r="M36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69" s="75"/>
      <c r="O369" s="37"/>
      <c r="P369" s="86">
        <f>tbl_Actual_costs_quantities34[[#This Row],[Site Preparation]]*BOQs!$L$3</f>
        <v>0</v>
      </c>
      <c r="Q369" s="76"/>
      <c r="R369" s="37"/>
      <c r="S369" s="86">
        <f>tbl_Actual_costs_quantities34[[#This Row],[Demolition Removal Unsafe Structures]]*BOQs!$L$4</f>
        <v>0</v>
      </c>
      <c r="T369" s="76"/>
      <c r="U369" s="37"/>
      <c r="V369" s="86">
        <f>tbl_Actual_costs_quantities34[[#This Row],[Concrete Works]]*BOQs!$L$5</f>
        <v>0</v>
      </c>
      <c r="W369" s="76"/>
      <c r="X369" s="37"/>
      <c r="Y369" s="86">
        <f>tbl_Actual_costs_quantities34[[#This Row],[Closure External Openings Walls Windows]]*BOQs!$L$6</f>
        <v>0</v>
      </c>
      <c r="Z369" s="76"/>
      <c r="AA369" s="37"/>
      <c r="AB369" s="86">
        <f>tbl_Actual_costs_quantities34[[#This Row],[Plastering Painting]]*BOQs!$L$7</f>
        <v>0</v>
      </c>
      <c r="AC369" s="76"/>
      <c r="AD369" s="37"/>
      <c r="AE369" s="86">
        <f>tbl_Actual_costs_quantities34[[#This Row],[Floor Repairs]]*BOQs!$L$8</f>
        <v>0</v>
      </c>
      <c r="AF369" s="76"/>
      <c r="AG369" s="37"/>
      <c r="AH369" s="86">
        <f>tbl_Actual_costs_quantities34[[#This Row],[Doors Replacement Repair]]*BOQs!$L$9</f>
        <v>0</v>
      </c>
      <c r="AI369" s="76"/>
      <c r="AJ369" s="37"/>
      <c r="AK369" s="86">
        <f>tbl_Actual_costs_quantities34[[#This Row],[Windows Replacement Repair]]*BOQs!$L$10</f>
        <v>0</v>
      </c>
      <c r="AL369" s="76"/>
      <c r="AM369" s="37"/>
      <c r="AN369" s="86">
        <f>tbl_Actual_costs_quantities34[[#This Row],[Bathroom Rehabilitation]]*BOQs!$L$11</f>
        <v>0</v>
      </c>
      <c r="AO369" s="76"/>
      <c r="AP369" s="37"/>
      <c r="AQ369" s="86">
        <f>tbl_Actual_costs_quantities34[[#This Row],[Ceramic Tile Works WASH]]*BOQs!$L$12</f>
        <v>0</v>
      </c>
      <c r="AR369" s="76"/>
      <c r="AS369" s="37"/>
      <c r="AT369" s="86">
        <f>tbl_Actual_costs_quantities34[[#This Row],[Electrical Repairs Lighting]]*BOQs!$L$13</f>
        <v>0</v>
      </c>
      <c r="AU369" s="76"/>
      <c r="AV369" s="37"/>
      <c r="AW369" s="86">
        <f>tbl_Actual_costs_quantities34[[#This Row],[Roof Insulation Leak Sealing]]*BOQs!$L$14</f>
        <v>0</v>
      </c>
      <c r="AX369" s="76"/>
      <c r="AY369" s="37"/>
      <c r="AZ369" s="86">
        <f>tbl_Actual_costs_quantities34[[#This Row],[Chimney Duct Cleaning Repair]]*BOQs!$L$15</f>
        <v>0</v>
      </c>
      <c r="BA369" s="76"/>
      <c r="BB369" s="37"/>
      <c r="BC369" s="89">
        <f>tbl_Actual_costs_quantities34[[#This Row],[Accessibility Adaptations]]*BOQs!$L$16</f>
        <v>0</v>
      </c>
      <c r="BD369" s="41"/>
      <c r="BE369" s="37"/>
      <c r="BF369" s="37"/>
    </row>
    <row r="370" spans="2:58" ht="25.15" customHeight="1" x14ac:dyDescent="0.25">
      <c r="B370" s="49">
        <v>366</v>
      </c>
      <c r="C370" s="37"/>
      <c r="D370" s="41"/>
      <c r="E370" s="40"/>
      <c r="F370" s="87" t="str">
        <f>IF(tbl_Actual_costs_quantities34[[#This Row],[House Code]]&lt;&gt;"",INDEX(tbl_Assessment[],MATCH(tbl_Actual_costs_quantities34[[#This Row],[House Code]],tbl_Assessment[House Code],0),3),"")</f>
        <v/>
      </c>
      <c r="G370" s="116" t="str">
        <f>IF(tbl_Actual_costs_quantities34[[#This Row],[House Code]]&lt;&gt;"",INDEX(tbl_Assessment[],MATCH(tbl_Actual_costs_quantities34[[#This Row],[House Code]],tbl_Assessment[House Code],0),9),"")</f>
        <v/>
      </c>
      <c r="H370" s="41"/>
      <c r="I370" s="41"/>
      <c r="J370" s="41"/>
      <c r="K370" s="116"/>
      <c r="L370" s="117" t="str">
        <f>IF(tbl_Actual_costs_quantities34[[#This Row],[House Code]]&lt;&gt;"",tbl_Actual_costs_quantities34[[#This Row],[Total cost]]/INDEX(tbl_estimated_costs_quantities[],MATCH(tbl_Actual_costs_quantities34[[#This Row],[House Code]],tbl_estimated_costs_quantities[House Code],0),7),"")</f>
        <v/>
      </c>
      <c r="M37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0" s="75"/>
      <c r="O370" s="37"/>
      <c r="P370" s="86">
        <f>tbl_Actual_costs_quantities34[[#This Row],[Site Preparation]]*BOQs!$L$3</f>
        <v>0</v>
      </c>
      <c r="Q370" s="76"/>
      <c r="R370" s="37"/>
      <c r="S370" s="86">
        <f>tbl_Actual_costs_quantities34[[#This Row],[Demolition Removal Unsafe Structures]]*BOQs!$L$4</f>
        <v>0</v>
      </c>
      <c r="T370" s="76"/>
      <c r="U370" s="37"/>
      <c r="V370" s="86">
        <f>tbl_Actual_costs_quantities34[[#This Row],[Concrete Works]]*BOQs!$L$5</f>
        <v>0</v>
      </c>
      <c r="W370" s="76"/>
      <c r="X370" s="37"/>
      <c r="Y370" s="86">
        <f>tbl_Actual_costs_quantities34[[#This Row],[Closure External Openings Walls Windows]]*BOQs!$L$6</f>
        <v>0</v>
      </c>
      <c r="Z370" s="76"/>
      <c r="AA370" s="37"/>
      <c r="AB370" s="86">
        <f>tbl_Actual_costs_quantities34[[#This Row],[Plastering Painting]]*BOQs!$L$7</f>
        <v>0</v>
      </c>
      <c r="AC370" s="76"/>
      <c r="AD370" s="37"/>
      <c r="AE370" s="86">
        <f>tbl_Actual_costs_quantities34[[#This Row],[Floor Repairs]]*BOQs!$L$8</f>
        <v>0</v>
      </c>
      <c r="AF370" s="76"/>
      <c r="AG370" s="37"/>
      <c r="AH370" s="86">
        <f>tbl_Actual_costs_quantities34[[#This Row],[Doors Replacement Repair]]*BOQs!$L$9</f>
        <v>0</v>
      </c>
      <c r="AI370" s="76"/>
      <c r="AJ370" s="37"/>
      <c r="AK370" s="86">
        <f>tbl_Actual_costs_quantities34[[#This Row],[Windows Replacement Repair]]*BOQs!$L$10</f>
        <v>0</v>
      </c>
      <c r="AL370" s="76"/>
      <c r="AM370" s="37"/>
      <c r="AN370" s="86">
        <f>tbl_Actual_costs_quantities34[[#This Row],[Bathroom Rehabilitation]]*BOQs!$L$11</f>
        <v>0</v>
      </c>
      <c r="AO370" s="76"/>
      <c r="AP370" s="37"/>
      <c r="AQ370" s="86">
        <f>tbl_Actual_costs_quantities34[[#This Row],[Ceramic Tile Works WASH]]*BOQs!$L$12</f>
        <v>0</v>
      </c>
      <c r="AR370" s="76"/>
      <c r="AS370" s="37"/>
      <c r="AT370" s="86">
        <f>tbl_Actual_costs_quantities34[[#This Row],[Electrical Repairs Lighting]]*BOQs!$L$13</f>
        <v>0</v>
      </c>
      <c r="AU370" s="76"/>
      <c r="AV370" s="37"/>
      <c r="AW370" s="86">
        <f>tbl_Actual_costs_quantities34[[#This Row],[Roof Insulation Leak Sealing]]*BOQs!$L$14</f>
        <v>0</v>
      </c>
      <c r="AX370" s="76"/>
      <c r="AY370" s="37"/>
      <c r="AZ370" s="86">
        <f>tbl_Actual_costs_quantities34[[#This Row],[Chimney Duct Cleaning Repair]]*BOQs!$L$15</f>
        <v>0</v>
      </c>
      <c r="BA370" s="76"/>
      <c r="BB370" s="37"/>
      <c r="BC370" s="89">
        <f>tbl_Actual_costs_quantities34[[#This Row],[Accessibility Adaptations]]*BOQs!$L$16</f>
        <v>0</v>
      </c>
      <c r="BD370" s="41"/>
      <c r="BE370" s="37"/>
      <c r="BF370" s="37"/>
    </row>
    <row r="371" spans="2:58" ht="25.15" customHeight="1" x14ac:dyDescent="0.25">
      <c r="B371" s="49">
        <v>367</v>
      </c>
      <c r="C371" s="37"/>
      <c r="D371" s="41"/>
      <c r="E371" s="40"/>
      <c r="F371" s="87" t="str">
        <f>IF(tbl_Actual_costs_quantities34[[#This Row],[House Code]]&lt;&gt;"",INDEX(tbl_Assessment[],MATCH(tbl_Actual_costs_quantities34[[#This Row],[House Code]],tbl_Assessment[House Code],0),3),"")</f>
        <v/>
      </c>
      <c r="G371" s="116" t="str">
        <f>IF(tbl_Actual_costs_quantities34[[#This Row],[House Code]]&lt;&gt;"",INDEX(tbl_Assessment[],MATCH(tbl_Actual_costs_quantities34[[#This Row],[House Code]],tbl_Assessment[House Code],0),9),"")</f>
        <v/>
      </c>
      <c r="H371" s="41"/>
      <c r="I371" s="41"/>
      <c r="J371" s="41"/>
      <c r="K371" s="116"/>
      <c r="L371" s="117" t="str">
        <f>IF(tbl_Actual_costs_quantities34[[#This Row],[House Code]]&lt;&gt;"",tbl_Actual_costs_quantities34[[#This Row],[Total cost]]/INDEX(tbl_estimated_costs_quantities[],MATCH(tbl_Actual_costs_quantities34[[#This Row],[House Code]],tbl_estimated_costs_quantities[House Code],0),7),"")</f>
        <v/>
      </c>
      <c r="M37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1" s="75"/>
      <c r="O371" s="37"/>
      <c r="P371" s="86">
        <f>tbl_Actual_costs_quantities34[[#This Row],[Site Preparation]]*BOQs!$L$3</f>
        <v>0</v>
      </c>
      <c r="Q371" s="76"/>
      <c r="R371" s="37"/>
      <c r="S371" s="86">
        <f>tbl_Actual_costs_quantities34[[#This Row],[Demolition Removal Unsafe Structures]]*BOQs!$L$4</f>
        <v>0</v>
      </c>
      <c r="T371" s="76"/>
      <c r="U371" s="37"/>
      <c r="V371" s="86">
        <f>tbl_Actual_costs_quantities34[[#This Row],[Concrete Works]]*BOQs!$L$5</f>
        <v>0</v>
      </c>
      <c r="W371" s="76"/>
      <c r="X371" s="37"/>
      <c r="Y371" s="86">
        <f>tbl_Actual_costs_quantities34[[#This Row],[Closure External Openings Walls Windows]]*BOQs!$L$6</f>
        <v>0</v>
      </c>
      <c r="Z371" s="76"/>
      <c r="AA371" s="37"/>
      <c r="AB371" s="86">
        <f>tbl_Actual_costs_quantities34[[#This Row],[Plastering Painting]]*BOQs!$L$7</f>
        <v>0</v>
      </c>
      <c r="AC371" s="76"/>
      <c r="AD371" s="37"/>
      <c r="AE371" s="86">
        <f>tbl_Actual_costs_quantities34[[#This Row],[Floor Repairs]]*BOQs!$L$8</f>
        <v>0</v>
      </c>
      <c r="AF371" s="76"/>
      <c r="AG371" s="37"/>
      <c r="AH371" s="86">
        <f>tbl_Actual_costs_quantities34[[#This Row],[Doors Replacement Repair]]*BOQs!$L$9</f>
        <v>0</v>
      </c>
      <c r="AI371" s="76"/>
      <c r="AJ371" s="37"/>
      <c r="AK371" s="86">
        <f>tbl_Actual_costs_quantities34[[#This Row],[Windows Replacement Repair]]*BOQs!$L$10</f>
        <v>0</v>
      </c>
      <c r="AL371" s="76"/>
      <c r="AM371" s="37"/>
      <c r="AN371" s="86">
        <f>tbl_Actual_costs_quantities34[[#This Row],[Bathroom Rehabilitation]]*BOQs!$L$11</f>
        <v>0</v>
      </c>
      <c r="AO371" s="76"/>
      <c r="AP371" s="37"/>
      <c r="AQ371" s="86">
        <f>tbl_Actual_costs_quantities34[[#This Row],[Ceramic Tile Works WASH]]*BOQs!$L$12</f>
        <v>0</v>
      </c>
      <c r="AR371" s="76"/>
      <c r="AS371" s="37"/>
      <c r="AT371" s="86">
        <f>tbl_Actual_costs_quantities34[[#This Row],[Electrical Repairs Lighting]]*BOQs!$L$13</f>
        <v>0</v>
      </c>
      <c r="AU371" s="76"/>
      <c r="AV371" s="37"/>
      <c r="AW371" s="86">
        <f>tbl_Actual_costs_quantities34[[#This Row],[Roof Insulation Leak Sealing]]*BOQs!$L$14</f>
        <v>0</v>
      </c>
      <c r="AX371" s="76"/>
      <c r="AY371" s="37"/>
      <c r="AZ371" s="86">
        <f>tbl_Actual_costs_quantities34[[#This Row],[Chimney Duct Cleaning Repair]]*BOQs!$L$15</f>
        <v>0</v>
      </c>
      <c r="BA371" s="76"/>
      <c r="BB371" s="37"/>
      <c r="BC371" s="89">
        <f>tbl_Actual_costs_quantities34[[#This Row],[Accessibility Adaptations]]*BOQs!$L$16</f>
        <v>0</v>
      </c>
      <c r="BD371" s="41"/>
      <c r="BE371" s="37"/>
      <c r="BF371" s="37"/>
    </row>
    <row r="372" spans="2:58" ht="25.15" customHeight="1" x14ac:dyDescent="0.25">
      <c r="B372" s="49">
        <v>368</v>
      </c>
      <c r="C372" s="37"/>
      <c r="D372" s="41"/>
      <c r="E372" s="40"/>
      <c r="F372" s="87" t="str">
        <f>IF(tbl_Actual_costs_quantities34[[#This Row],[House Code]]&lt;&gt;"",INDEX(tbl_Assessment[],MATCH(tbl_Actual_costs_quantities34[[#This Row],[House Code]],tbl_Assessment[House Code],0),3),"")</f>
        <v/>
      </c>
      <c r="G372" s="116" t="str">
        <f>IF(tbl_Actual_costs_quantities34[[#This Row],[House Code]]&lt;&gt;"",INDEX(tbl_Assessment[],MATCH(tbl_Actual_costs_quantities34[[#This Row],[House Code]],tbl_Assessment[House Code],0),9),"")</f>
        <v/>
      </c>
      <c r="H372" s="41"/>
      <c r="I372" s="41"/>
      <c r="J372" s="41"/>
      <c r="K372" s="116"/>
      <c r="L372" s="117" t="str">
        <f>IF(tbl_Actual_costs_quantities34[[#This Row],[House Code]]&lt;&gt;"",tbl_Actual_costs_quantities34[[#This Row],[Total cost]]/INDEX(tbl_estimated_costs_quantities[],MATCH(tbl_Actual_costs_quantities34[[#This Row],[House Code]],tbl_estimated_costs_quantities[House Code],0),7),"")</f>
        <v/>
      </c>
      <c r="M37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2" s="75"/>
      <c r="O372" s="37"/>
      <c r="P372" s="86">
        <f>tbl_Actual_costs_quantities34[[#This Row],[Site Preparation]]*BOQs!$L$3</f>
        <v>0</v>
      </c>
      <c r="Q372" s="76"/>
      <c r="R372" s="37"/>
      <c r="S372" s="86">
        <f>tbl_Actual_costs_quantities34[[#This Row],[Demolition Removal Unsafe Structures]]*BOQs!$L$4</f>
        <v>0</v>
      </c>
      <c r="T372" s="76"/>
      <c r="U372" s="37"/>
      <c r="V372" s="86">
        <f>tbl_Actual_costs_quantities34[[#This Row],[Concrete Works]]*BOQs!$L$5</f>
        <v>0</v>
      </c>
      <c r="W372" s="76"/>
      <c r="X372" s="37"/>
      <c r="Y372" s="86">
        <f>tbl_Actual_costs_quantities34[[#This Row],[Closure External Openings Walls Windows]]*BOQs!$L$6</f>
        <v>0</v>
      </c>
      <c r="Z372" s="76"/>
      <c r="AA372" s="37"/>
      <c r="AB372" s="86">
        <f>tbl_Actual_costs_quantities34[[#This Row],[Plastering Painting]]*BOQs!$L$7</f>
        <v>0</v>
      </c>
      <c r="AC372" s="76"/>
      <c r="AD372" s="37"/>
      <c r="AE372" s="86">
        <f>tbl_Actual_costs_quantities34[[#This Row],[Floor Repairs]]*BOQs!$L$8</f>
        <v>0</v>
      </c>
      <c r="AF372" s="76"/>
      <c r="AG372" s="37"/>
      <c r="AH372" s="86">
        <f>tbl_Actual_costs_quantities34[[#This Row],[Doors Replacement Repair]]*BOQs!$L$9</f>
        <v>0</v>
      </c>
      <c r="AI372" s="76"/>
      <c r="AJ372" s="37"/>
      <c r="AK372" s="86">
        <f>tbl_Actual_costs_quantities34[[#This Row],[Windows Replacement Repair]]*BOQs!$L$10</f>
        <v>0</v>
      </c>
      <c r="AL372" s="76"/>
      <c r="AM372" s="37"/>
      <c r="AN372" s="86">
        <f>tbl_Actual_costs_quantities34[[#This Row],[Bathroom Rehabilitation]]*BOQs!$L$11</f>
        <v>0</v>
      </c>
      <c r="AO372" s="76"/>
      <c r="AP372" s="37"/>
      <c r="AQ372" s="86">
        <f>tbl_Actual_costs_quantities34[[#This Row],[Ceramic Tile Works WASH]]*BOQs!$L$12</f>
        <v>0</v>
      </c>
      <c r="AR372" s="76"/>
      <c r="AS372" s="37"/>
      <c r="AT372" s="86">
        <f>tbl_Actual_costs_quantities34[[#This Row],[Electrical Repairs Lighting]]*BOQs!$L$13</f>
        <v>0</v>
      </c>
      <c r="AU372" s="76"/>
      <c r="AV372" s="37"/>
      <c r="AW372" s="86">
        <f>tbl_Actual_costs_quantities34[[#This Row],[Roof Insulation Leak Sealing]]*BOQs!$L$14</f>
        <v>0</v>
      </c>
      <c r="AX372" s="76"/>
      <c r="AY372" s="37"/>
      <c r="AZ372" s="86">
        <f>tbl_Actual_costs_quantities34[[#This Row],[Chimney Duct Cleaning Repair]]*BOQs!$L$15</f>
        <v>0</v>
      </c>
      <c r="BA372" s="76"/>
      <c r="BB372" s="37"/>
      <c r="BC372" s="89">
        <f>tbl_Actual_costs_quantities34[[#This Row],[Accessibility Adaptations]]*BOQs!$L$16</f>
        <v>0</v>
      </c>
      <c r="BD372" s="41"/>
      <c r="BE372" s="37"/>
      <c r="BF372" s="37"/>
    </row>
    <row r="373" spans="2:58" ht="25.15" customHeight="1" x14ac:dyDescent="0.25">
      <c r="B373" s="49">
        <v>369</v>
      </c>
      <c r="C373" s="37"/>
      <c r="D373" s="41"/>
      <c r="E373" s="40"/>
      <c r="F373" s="87" t="str">
        <f>IF(tbl_Actual_costs_quantities34[[#This Row],[House Code]]&lt;&gt;"",INDEX(tbl_Assessment[],MATCH(tbl_Actual_costs_quantities34[[#This Row],[House Code]],tbl_Assessment[House Code],0),3),"")</f>
        <v/>
      </c>
      <c r="G373" s="116" t="str">
        <f>IF(tbl_Actual_costs_quantities34[[#This Row],[House Code]]&lt;&gt;"",INDEX(tbl_Assessment[],MATCH(tbl_Actual_costs_quantities34[[#This Row],[House Code]],tbl_Assessment[House Code],0),9),"")</f>
        <v/>
      </c>
      <c r="H373" s="41"/>
      <c r="I373" s="41"/>
      <c r="J373" s="41"/>
      <c r="K373" s="116"/>
      <c r="L373" s="117" t="str">
        <f>IF(tbl_Actual_costs_quantities34[[#This Row],[House Code]]&lt;&gt;"",tbl_Actual_costs_quantities34[[#This Row],[Total cost]]/INDEX(tbl_estimated_costs_quantities[],MATCH(tbl_Actual_costs_quantities34[[#This Row],[House Code]],tbl_estimated_costs_quantities[House Code],0),7),"")</f>
        <v/>
      </c>
      <c r="M37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3" s="75"/>
      <c r="O373" s="37"/>
      <c r="P373" s="86">
        <f>tbl_Actual_costs_quantities34[[#This Row],[Site Preparation]]*BOQs!$L$3</f>
        <v>0</v>
      </c>
      <c r="Q373" s="76"/>
      <c r="R373" s="37"/>
      <c r="S373" s="86">
        <f>tbl_Actual_costs_quantities34[[#This Row],[Demolition Removal Unsafe Structures]]*BOQs!$L$4</f>
        <v>0</v>
      </c>
      <c r="T373" s="76"/>
      <c r="U373" s="37"/>
      <c r="V373" s="86">
        <f>tbl_Actual_costs_quantities34[[#This Row],[Concrete Works]]*BOQs!$L$5</f>
        <v>0</v>
      </c>
      <c r="W373" s="76"/>
      <c r="X373" s="37"/>
      <c r="Y373" s="86">
        <f>tbl_Actual_costs_quantities34[[#This Row],[Closure External Openings Walls Windows]]*BOQs!$L$6</f>
        <v>0</v>
      </c>
      <c r="Z373" s="76"/>
      <c r="AA373" s="37"/>
      <c r="AB373" s="86">
        <f>tbl_Actual_costs_quantities34[[#This Row],[Plastering Painting]]*BOQs!$L$7</f>
        <v>0</v>
      </c>
      <c r="AC373" s="76"/>
      <c r="AD373" s="37"/>
      <c r="AE373" s="86">
        <f>tbl_Actual_costs_quantities34[[#This Row],[Floor Repairs]]*BOQs!$L$8</f>
        <v>0</v>
      </c>
      <c r="AF373" s="76"/>
      <c r="AG373" s="37"/>
      <c r="AH373" s="86">
        <f>tbl_Actual_costs_quantities34[[#This Row],[Doors Replacement Repair]]*BOQs!$L$9</f>
        <v>0</v>
      </c>
      <c r="AI373" s="76"/>
      <c r="AJ373" s="37"/>
      <c r="AK373" s="86">
        <f>tbl_Actual_costs_quantities34[[#This Row],[Windows Replacement Repair]]*BOQs!$L$10</f>
        <v>0</v>
      </c>
      <c r="AL373" s="76"/>
      <c r="AM373" s="37"/>
      <c r="AN373" s="86">
        <f>tbl_Actual_costs_quantities34[[#This Row],[Bathroom Rehabilitation]]*BOQs!$L$11</f>
        <v>0</v>
      </c>
      <c r="AO373" s="76"/>
      <c r="AP373" s="37"/>
      <c r="AQ373" s="86">
        <f>tbl_Actual_costs_quantities34[[#This Row],[Ceramic Tile Works WASH]]*BOQs!$L$12</f>
        <v>0</v>
      </c>
      <c r="AR373" s="76"/>
      <c r="AS373" s="37"/>
      <c r="AT373" s="86">
        <f>tbl_Actual_costs_quantities34[[#This Row],[Electrical Repairs Lighting]]*BOQs!$L$13</f>
        <v>0</v>
      </c>
      <c r="AU373" s="76"/>
      <c r="AV373" s="37"/>
      <c r="AW373" s="86">
        <f>tbl_Actual_costs_quantities34[[#This Row],[Roof Insulation Leak Sealing]]*BOQs!$L$14</f>
        <v>0</v>
      </c>
      <c r="AX373" s="76"/>
      <c r="AY373" s="37"/>
      <c r="AZ373" s="86">
        <f>tbl_Actual_costs_quantities34[[#This Row],[Chimney Duct Cleaning Repair]]*BOQs!$L$15</f>
        <v>0</v>
      </c>
      <c r="BA373" s="76"/>
      <c r="BB373" s="37"/>
      <c r="BC373" s="89">
        <f>tbl_Actual_costs_quantities34[[#This Row],[Accessibility Adaptations]]*BOQs!$L$16</f>
        <v>0</v>
      </c>
      <c r="BD373" s="41"/>
      <c r="BE373" s="37"/>
      <c r="BF373" s="37"/>
    </row>
    <row r="374" spans="2:58" ht="25.15" customHeight="1" x14ac:dyDescent="0.25">
      <c r="B374" s="49">
        <v>370</v>
      </c>
      <c r="C374" s="37"/>
      <c r="D374" s="41"/>
      <c r="E374" s="40"/>
      <c r="F374" s="87" t="str">
        <f>IF(tbl_Actual_costs_quantities34[[#This Row],[House Code]]&lt;&gt;"",INDEX(tbl_Assessment[],MATCH(tbl_Actual_costs_quantities34[[#This Row],[House Code]],tbl_Assessment[House Code],0),3),"")</f>
        <v/>
      </c>
      <c r="G374" s="116" t="str">
        <f>IF(tbl_Actual_costs_quantities34[[#This Row],[House Code]]&lt;&gt;"",INDEX(tbl_Assessment[],MATCH(tbl_Actual_costs_quantities34[[#This Row],[House Code]],tbl_Assessment[House Code],0),9),"")</f>
        <v/>
      </c>
      <c r="H374" s="41"/>
      <c r="I374" s="41"/>
      <c r="J374" s="41"/>
      <c r="K374" s="116"/>
      <c r="L374" s="117" t="str">
        <f>IF(tbl_Actual_costs_quantities34[[#This Row],[House Code]]&lt;&gt;"",tbl_Actual_costs_quantities34[[#This Row],[Total cost]]/INDEX(tbl_estimated_costs_quantities[],MATCH(tbl_Actual_costs_quantities34[[#This Row],[House Code]],tbl_estimated_costs_quantities[House Code],0),7),"")</f>
        <v/>
      </c>
      <c r="M37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4" s="75"/>
      <c r="O374" s="37"/>
      <c r="P374" s="86">
        <f>tbl_Actual_costs_quantities34[[#This Row],[Site Preparation]]*BOQs!$L$3</f>
        <v>0</v>
      </c>
      <c r="Q374" s="76"/>
      <c r="R374" s="37"/>
      <c r="S374" s="86">
        <f>tbl_Actual_costs_quantities34[[#This Row],[Demolition Removal Unsafe Structures]]*BOQs!$L$4</f>
        <v>0</v>
      </c>
      <c r="T374" s="76"/>
      <c r="U374" s="37"/>
      <c r="V374" s="86">
        <f>tbl_Actual_costs_quantities34[[#This Row],[Concrete Works]]*BOQs!$L$5</f>
        <v>0</v>
      </c>
      <c r="W374" s="76"/>
      <c r="X374" s="37"/>
      <c r="Y374" s="86">
        <f>tbl_Actual_costs_quantities34[[#This Row],[Closure External Openings Walls Windows]]*BOQs!$L$6</f>
        <v>0</v>
      </c>
      <c r="Z374" s="76"/>
      <c r="AA374" s="37"/>
      <c r="AB374" s="86">
        <f>tbl_Actual_costs_quantities34[[#This Row],[Plastering Painting]]*BOQs!$L$7</f>
        <v>0</v>
      </c>
      <c r="AC374" s="76"/>
      <c r="AD374" s="37"/>
      <c r="AE374" s="86">
        <f>tbl_Actual_costs_quantities34[[#This Row],[Floor Repairs]]*BOQs!$L$8</f>
        <v>0</v>
      </c>
      <c r="AF374" s="76"/>
      <c r="AG374" s="37"/>
      <c r="AH374" s="86">
        <f>tbl_Actual_costs_quantities34[[#This Row],[Doors Replacement Repair]]*BOQs!$L$9</f>
        <v>0</v>
      </c>
      <c r="AI374" s="76"/>
      <c r="AJ374" s="37"/>
      <c r="AK374" s="86">
        <f>tbl_Actual_costs_quantities34[[#This Row],[Windows Replacement Repair]]*BOQs!$L$10</f>
        <v>0</v>
      </c>
      <c r="AL374" s="76"/>
      <c r="AM374" s="37"/>
      <c r="AN374" s="86">
        <f>tbl_Actual_costs_quantities34[[#This Row],[Bathroom Rehabilitation]]*BOQs!$L$11</f>
        <v>0</v>
      </c>
      <c r="AO374" s="76"/>
      <c r="AP374" s="37"/>
      <c r="AQ374" s="86">
        <f>tbl_Actual_costs_quantities34[[#This Row],[Ceramic Tile Works WASH]]*BOQs!$L$12</f>
        <v>0</v>
      </c>
      <c r="AR374" s="76"/>
      <c r="AS374" s="37"/>
      <c r="AT374" s="86">
        <f>tbl_Actual_costs_quantities34[[#This Row],[Electrical Repairs Lighting]]*BOQs!$L$13</f>
        <v>0</v>
      </c>
      <c r="AU374" s="76"/>
      <c r="AV374" s="37"/>
      <c r="AW374" s="86">
        <f>tbl_Actual_costs_quantities34[[#This Row],[Roof Insulation Leak Sealing]]*BOQs!$L$14</f>
        <v>0</v>
      </c>
      <c r="AX374" s="76"/>
      <c r="AY374" s="37"/>
      <c r="AZ374" s="86">
        <f>tbl_Actual_costs_quantities34[[#This Row],[Chimney Duct Cleaning Repair]]*BOQs!$L$15</f>
        <v>0</v>
      </c>
      <c r="BA374" s="76"/>
      <c r="BB374" s="37"/>
      <c r="BC374" s="89">
        <f>tbl_Actual_costs_quantities34[[#This Row],[Accessibility Adaptations]]*BOQs!$L$16</f>
        <v>0</v>
      </c>
      <c r="BD374" s="41"/>
      <c r="BE374" s="37"/>
      <c r="BF374" s="37"/>
    </row>
    <row r="375" spans="2:58" ht="25.15" customHeight="1" x14ac:dyDescent="0.25">
      <c r="B375" s="49">
        <v>371</v>
      </c>
      <c r="C375" s="37"/>
      <c r="D375" s="41"/>
      <c r="E375" s="40"/>
      <c r="F375" s="87" t="str">
        <f>IF(tbl_Actual_costs_quantities34[[#This Row],[House Code]]&lt;&gt;"",INDEX(tbl_Assessment[],MATCH(tbl_Actual_costs_quantities34[[#This Row],[House Code]],tbl_Assessment[House Code],0),3),"")</f>
        <v/>
      </c>
      <c r="G375" s="116" t="str">
        <f>IF(tbl_Actual_costs_quantities34[[#This Row],[House Code]]&lt;&gt;"",INDEX(tbl_Assessment[],MATCH(tbl_Actual_costs_quantities34[[#This Row],[House Code]],tbl_Assessment[House Code],0),9),"")</f>
        <v/>
      </c>
      <c r="H375" s="41"/>
      <c r="I375" s="41"/>
      <c r="J375" s="41"/>
      <c r="K375" s="116"/>
      <c r="L375" s="117" t="str">
        <f>IF(tbl_Actual_costs_quantities34[[#This Row],[House Code]]&lt;&gt;"",tbl_Actual_costs_quantities34[[#This Row],[Total cost]]/INDEX(tbl_estimated_costs_quantities[],MATCH(tbl_Actual_costs_quantities34[[#This Row],[House Code]],tbl_estimated_costs_quantities[House Code],0),7),"")</f>
        <v/>
      </c>
      <c r="M37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5" s="75"/>
      <c r="O375" s="37"/>
      <c r="P375" s="86">
        <f>tbl_Actual_costs_quantities34[[#This Row],[Site Preparation]]*BOQs!$L$3</f>
        <v>0</v>
      </c>
      <c r="Q375" s="76"/>
      <c r="R375" s="37"/>
      <c r="S375" s="86">
        <f>tbl_Actual_costs_quantities34[[#This Row],[Demolition Removal Unsafe Structures]]*BOQs!$L$4</f>
        <v>0</v>
      </c>
      <c r="T375" s="76"/>
      <c r="U375" s="37"/>
      <c r="V375" s="86">
        <f>tbl_Actual_costs_quantities34[[#This Row],[Concrete Works]]*BOQs!$L$5</f>
        <v>0</v>
      </c>
      <c r="W375" s="76"/>
      <c r="X375" s="37"/>
      <c r="Y375" s="86">
        <f>tbl_Actual_costs_quantities34[[#This Row],[Closure External Openings Walls Windows]]*BOQs!$L$6</f>
        <v>0</v>
      </c>
      <c r="Z375" s="76"/>
      <c r="AA375" s="37"/>
      <c r="AB375" s="86">
        <f>tbl_Actual_costs_quantities34[[#This Row],[Plastering Painting]]*BOQs!$L$7</f>
        <v>0</v>
      </c>
      <c r="AC375" s="76"/>
      <c r="AD375" s="37"/>
      <c r="AE375" s="86">
        <f>tbl_Actual_costs_quantities34[[#This Row],[Floor Repairs]]*BOQs!$L$8</f>
        <v>0</v>
      </c>
      <c r="AF375" s="76"/>
      <c r="AG375" s="37"/>
      <c r="AH375" s="86">
        <f>tbl_Actual_costs_quantities34[[#This Row],[Doors Replacement Repair]]*BOQs!$L$9</f>
        <v>0</v>
      </c>
      <c r="AI375" s="76"/>
      <c r="AJ375" s="37"/>
      <c r="AK375" s="86">
        <f>tbl_Actual_costs_quantities34[[#This Row],[Windows Replacement Repair]]*BOQs!$L$10</f>
        <v>0</v>
      </c>
      <c r="AL375" s="76"/>
      <c r="AM375" s="37"/>
      <c r="AN375" s="86">
        <f>tbl_Actual_costs_quantities34[[#This Row],[Bathroom Rehabilitation]]*BOQs!$L$11</f>
        <v>0</v>
      </c>
      <c r="AO375" s="76"/>
      <c r="AP375" s="37"/>
      <c r="AQ375" s="86">
        <f>tbl_Actual_costs_quantities34[[#This Row],[Ceramic Tile Works WASH]]*BOQs!$L$12</f>
        <v>0</v>
      </c>
      <c r="AR375" s="76"/>
      <c r="AS375" s="37"/>
      <c r="AT375" s="86">
        <f>tbl_Actual_costs_quantities34[[#This Row],[Electrical Repairs Lighting]]*BOQs!$L$13</f>
        <v>0</v>
      </c>
      <c r="AU375" s="76"/>
      <c r="AV375" s="37"/>
      <c r="AW375" s="86">
        <f>tbl_Actual_costs_quantities34[[#This Row],[Roof Insulation Leak Sealing]]*BOQs!$L$14</f>
        <v>0</v>
      </c>
      <c r="AX375" s="76"/>
      <c r="AY375" s="37"/>
      <c r="AZ375" s="86">
        <f>tbl_Actual_costs_quantities34[[#This Row],[Chimney Duct Cleaning Repair]]*BOQs!$L$15</f>
        <v>0</v>
      </c>
      <c r="BA375" s="76"/>
      <c r="BB375" s="37"/>
      <c r="BC375" s="89">
        <f>tbl_Actual_costs_quantities34[[#This Row],[Accessibility Adaptations]]*BOQs!$L$16</f>
        <v>0</v>
      </c>
      <c r="BD375" s="41"/>
      <c r="BE375" s="37"/>
      <c r="BF375" s="37"/>
    </row>
    <row r="376" spans="2:58" ht="25.15" customHeight="1" x14ac:dyDescent="0.25">
      <c r="B376" s="49">
        <v>372</v>
      </c>
      <c r="C376" s="37"/>
      <c r="D376" s="41"/>
      <c r="E376" s="40"/>
      <c r="F376" s="87" t="str">
        <f>IF(tbl_Actual_costs_quantities34[[#This Row],[House Code]]&lt;&gt;"",INDEX(tbl_Assessment[],MATCH(tbl_Actual_costs_quantities34[[#This Row],[House Code]],tbl_Assessment[House Code],0),3),"")</f>
        <v/>
      </c>
      <c r="G376" s="116" t="str">
        <f>IF(tbl_Actual_costs_quantities34[[#This Row],[House Code]]&lt;&gt;"",INDEX(tbl_Assessment[],MATCH(tbl_Actual_costs_quantities34[[#This Row],[House Code]],tbl_Assessment[House Code],0),9),"")</f>
        <v/>
      </c>
      <c r="H376" s="41"/>
      <c r="I376" s="41"/>
      <c r="J376" s="41"/>
      <c r="K376" s="116"/>
      <c r="L376" s="117" t="str">
        <f>IF(tbl_Actual_costs_quantities34[[#This Row],[House Code]]&lt;&gt;"",tbl_Actual_costs_quantities34[[#This Row],[Total cost]]/INDEX(tbl_estimated_costs_quantities[],MATCH(tbl_Actual_costs_quantities34[[#This Row],[House Code]],tbl_estimated_costs_quantities[House Code],0),7),"")</f>
        <v/>
      </c>
      <c r="M37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6" s="75"/>
      <c r="O376" s="37"/>
      <c r="P376" s="86">
        <f>tbl_Actual_costs_quantities34[[#This Row],[Site Preparation]]*BOQs!$L$3</f>
        <v>0</v>
      </c>
      <c r="Q376" s="76"/>
      <c r="R376" s="37"/>
      <c r="S376" s="86">
        <f>tbl_Actual_costs_quantities34[[#This Row],[Demolition Removal Unsafe Structures]]*BOQs!$L$4</f>
        <v>0</v>
      </c>
      <c r="T376" s="76"/>
      <c r="U376" s="37"/>
      <c r="V376" s="86">
        <f>tbl_Actual_costs_quantities34[[#This Row],[Concrete Works]]*BOQs!$L$5</f>
        <v>0</v>
      </c>
      <c r="W376" s="76"/>
      <c r="X376" s="37"/>
      <c r="Y376" s="86">
        <f>tbl_Actual_costs_quantities34[[#This Row],[Closure External Openings Walls Windows]]*BOQs!$L$6</f>
        <v>0</v>
      </c>
      <c r="Z376" s="76"/>
      <c r="AA376" s="37"/>
      <c r="AB376" s="86">
        <f>tbl_Actual_costs_quantities34[[#This Row],[Plastering Painting]]*BOQs!$L$7</f>
        <v>0</v>
      </c>
      <c r="AC376" s="76"/>
      <c r="AD376" s="37"/>
      <c r="AE376" s="86">
        <f>tbl_Actual_costs_quantities34[[#This Row],[Floor Repairs]]*BOQs!$L$8</f>
        <v>0</v>
      </c>
      <c r="AF376" s="76"/>
      <c r="AG376" s="37"/>
      <c r="AH376" s="86">
        <f>tbl_Actual_costs_quantities34[[#This Row],[Doors Replacement Repair]]*BOQs!$L$9</f>
        <v>0</v>
      </c>
      <c r="AI376" s="76"/>
      <c r="AJ376" s="37"/>
      <c r="AK376" s="86">
        <f>tbl_Actual_costs_quantities34[[#This Row],[Windows Replacement Repair]]*BOQs!$L$10</f>
        <v>0</v>
      </c>
      <c r="AL376" s="76"/>
      <c r="AM376" s="37"/>
      <c r="AN376" s="86">
        <f>tbl_Actual_costs_quantities34[[#This Row],[Bathroom Rehabilitation]]*BOQs!$L$11</f>
        <v>0</v>
      </c>
      <c r="AO376" s="76"/>
      <c r="AP376" s="37"/>
      <c r="AQ376" s="86">
        <f>tbl_Actual_costs_quantities34[[#This Row],[Ceramic Tile Works WASH]]*BOQs!$L$12</f>
        <v>0</v>
      </c>
      <c r="AR376" s="76"/>
      <c r="AS376" s="37"/>
      <c r="AT376" s="86">
        <f>tbl_Actual_costs_quantities34[[#This Row],[Electrical Repairs Lighting]]*BOQs!$L$13</f>
        <v>0</v>
      </c>
      <c r="AU376" s="76"/>
      <c r="AV376" s="37"/>
      <c r="AW376" s="86">
        <f>tbl_Actual_costs_quantities34[[#This Row],[Roof Insulation Leak Sealing]]*BOQs!$L$14</f>
        <v>0</v>
      </c>
      <c r="AX376" s="76"/>
      <c r="AY376" s="37"/>
      <c r="AZ376" s="86">
        <f>tbl_Actual_costs_quantities34[[#This Row],[Chimney Duct Cleaning Repair]]*BOQs!$L$15</f>
        <v>0</v>
      </c>
      <c r="BA376" s="76"/>
      <c r="BB376" s="37"/>
      <c r="BC376" s="89">
        <f>tbl_Actual_costs_quantities34[[#This Row],[Accessibility Adaptations]]*BOQs!$L$16</f>
        <v>0</v>
      </c>
      <c r="BD376" s="41"/>
      <c r="BE376" s="37"/>
      <c r="BF376" s="37"/>
    </row>
    <row r="377" spans="2:58" ht="25.15" customHeight="1" x14ac:dyDescent="0.25">
      <c r="B377" s="49">
        <v>373</v>
      </c>
      <c r="C377" s="37"/>
      <c r="D377" s="41"/>
      <c r="E377" s="40"/>
      <c r="F377" s="87" t="str">
        <f>IF(tbl_Actual_costs_quantities34[[#This Row],[House Code]]&lt;&gt;"",INDEX(tbl_Assessment[],MATCH(tbl_Actual_costs_quantities34[[#This Row],[House Code]],tbl_Assessment[House Code],0),3),"")</f>
        <v/>
      </c>
      <c r="G377" s="116" t="str">
        <f>IF(tbl_Actual_costs_quantities34[[#This Row],[House Code]]&lt;&gt;"",INDEX(tbl_Assessment[],MATCH(tbl_Actual_costs_quantities34[[#This Row],[House Code]],tbl_Assessment[House Code],0),9),"")</f>
        <v/>
      </c>
      <c r="H377" s="41"/>
      <c r="I377" s="41"/>
      <c r="J377" s="41"/>
      <c r="K377" s="116"/>
      <c r="L377" s="117" t="str">
        <f>IF(tbl_Actual_costs_quantities34[[#This Row],[House Code]]&lt;&gt;"",tbl_Actual_costs_quantities34[[#This Row],[Total cost]]/INDEX(tbl_estimated_costs_quantities[],MATCH(tbl_Actual_costs_quantities34[[#This Row],[House Code]],tbl_estimated_costs_quantities[House Code],0),7),"")</f>
        <v/>
      </c>
      <c r="M37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7" s="75"/>
      <c r="O377" s="37"/>
      <c r="P377" s="86">
        <f>tbl_Actual_costs_quantities34[[#This Row],[Site Preparation]]*BOQs!$L$3</f>
        <v>0</v>
      </c>
      <c r="Q377" s="76"/>
      <c r="R377" s="37"/>
      <c r="S377" s="86">
        <f>tbl_Actual_costs_quantities34[[#This Row],[Demolition Removal Unsafe Structures]]*BOQs!$L$4</f>
        <v>0</v>
      </c>
      <c r="T377" s="76"/>
      <c r="U377" s="37"/>
      <c r="V377" s="86">
        <f>tbl_Actual_costs_quantities34[[#This Row],[Concrete Works]]*BOQs!$L$5</f>
        <v>0</v>
      </c>
      <c r="W377" s="76"/>
      <c r="X377" s="37"/>
      <c r="Y377" s="86">
        <f>tbl_Actual_costs_quantities34[[#This Row],[Closure External Openings Walls Windows]]*BOQs!$L$6</f>
        <v>0</v>
      </c>
      <c r="Z377" s="76"/>
      <c r="AA377" s="37"/>
      <c r="AB377" s="86">
        <f>tbl_Actual_costs_quantities34[[#This Row],[Plastering Painting]]*BOQs!$L$7</f>
        <v>0</v>
      </c>
      <c r="AC377" s="76"/>
      <c r="AD377" s="37"/>
      <c r="AE377" s="86">
        <f>tbl_Actual_costs_quantities34[[#This Row],[Floor Repairs]]*BOQs!$L$8</f>
        <v>0</v>
      </c>
      <c r="AF377" s="76"/>
      <c r="AG377" s="37"/>
      <c r="AH377" s="86">
        <f>tbl_Actual_costs_quantities34[[#This Row],[Doors Replacement Repair]]*BOQs!$L$9</f>
        <v>0</v>
      </c>
      <c r="AI377" s="76"/>
      <c r="AJ377" s="37"/>
      <c r="AK377" s="86">
        <f>tbl_Actual_costs_quantities34[[#This Row],[Windows Replacement Repair]]*BOQs!$L$10</f>
        <v>0</v>
      </c>
      <c r="AL377" s="76"/>
      <c r="AM377" s="37"/>
      <c r="AN377" s="86">
        <f>tbl_Actual_costs_quantities34[[#This Row],[Bathroom Rehabilitation]]*BOQs!$L$11</f>
        <v>0</v>
      </c>
      <c r="AO377" s="76"/>
      <c r="AP377" s="37"/>
      <c r="AQ377" s="86">
        <f>tbl_Actual_costs_quantities34[[#This Row],[Ceramic Tile Works WASH]]*BOQs!$L$12</f>
        <v>0</v>
      </c>
      <c r="AR377" s="76"/>
      <c r="AS377" s="37"/>
      <c r="AT377" s="86">
        <f>tbl_Actual_costs_quantities34[[#This Row],[Electrical Repairs Lighting]]*BOQs!$L$13</f>
        <v>0</v>
      </c>
      <c r="AU377" s="76"/>
      <c r="AV377" s="37"/>
      <c r="AW377" s="86">
        <f>tbl_Actual_costs_quantities34[[#This Row],[Roof Insulation Leak Sealing]]*BOQs!$L$14</f>
        <v>0</v>
      </c>
      <c r="AX377" s="76"/>
      <c r="AY377" s="37"/>
      <c r="AZ377" s="86">
        <f>tbl_Actual_costs_quantities34[[#This Row],[Chimney Duct Cleaning Repair]]*BOQs!$L$15</f>
        <v>0</v>
      </c>
      <c r="BA377" s="76"/>
      <c r="BB377" s="37"/>
      <c r="BC377" s="89">
        <f>tbl_Actual_costs_quantities34[[#This Row],[Accessibility Adaptations]]*BOQs!$L$16</f>
        <v>0</v>
      </c>
      <c r="BD377" s="41"/>
      <c r="BE377" s="37"/>
      <c r="BF377" s="37"/>
    </row>
    <row r="378" spans="2:58" ht="25.15" customHeight="1" x14ac:dyDescent="0.25">
      <c r="B378" s="49">
        <v>374</v>
      </c>
      <c r="C378" s="37"/>
      <c r="D378" s="41"/>
      <c r="E378" s="40"/>
      <c r="F378" s="87" t="str">
        <f>IF(tbl_Actual_costs_quantities34[[#This Row],[House Code]]&lt;&gt;"",INDEX(tbl_Assessment[],MATCH(tbl_Actual_costs_quantities34[[#This Row],[House Code]],tbl_Assessment[House Code],0),3),"")</f>
        <v/>
      </c>
      <c r="G378" s="116" t="str">
        <f>IF(tbl_Actual_costs_quantities34[[#This Row],[House Code]]&lt;&gt;"",INDEX(tbl_Assessment[],MATCH(tbl_Actual_costs_quantities34[[#This Row],[House Code]],tbl_Assessment[House Code],0),9),"")</f>
        <v/>
      </c>
      <c r="H378" s="41"/>
      <c r="I378" s="41"/>
      <c r="J378" s="41"/>
      <c r="K378" s="116"/>
      <c r="L378" s="117" t="str">
        <f>IF(tbl_Actual_costs_quantities34[[#This Row],[House Code]]&lt;&gt;"",tbl_Actual_costs_quantities34[[#This Row],[Total cost]]/INDEX(tbl_estimated_costs_quantities[],MATCH(tbl_Actual_costs_quantities34[[#This Row],[House Code]],tbl_estimated_costs_quantities[House Code],0),7),"")</f>
        <v/>
      </c>
      <c r="M37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8" s="75"/>
      <c r="O378" s="37"/>
      <c r="P378" s="86">
        <f>tbl_Actual_costs_quantities34[[#This Row],[Site Preparation]]*BOQs!$L$3</f>
        <v>0</v>
      </c>
      <c r="Q378" s="76"/>
      <c r="R378" s="37"/>
      <c r="S378" s="86">
        <f>tbl_Actual_costs_quantities34[[#This Row],[Demolition Removal Unsafe Structures]]*BOQs!$L$4</f>
        <v>0</v>
      </c>
      <c r="T378" s="76"/>
      <c r="U378" s="37"/>
      <c r="V378" s="86">
        <f>tbl_Actual_costs_quantities34[[#This Row],[Concrete Works]]*BOQs!$L$5</f>
        <v>0</v>
      </c>
      <c r="W378" s="76"/>
      <c r="X378" s="37"/>
      <c r="Y378" s="86">
        <f>tbl_Actual_costs_quantities34[[#This Row],[Closure External Openings Walls Windows]]*BOQs!$L$6</f>
        <v>0</v>
      </c>
      <c r="Z378" s="76"/>
      <c r="AA378" s="37"/>
      <c r="AB378" s="86">
        <f>tbl_Actual_costs_quantities34[[#This Row],[Plastering Painting]]*BOQs!$L$7</f>
        <v>0</v>
      </c>
      <c r="AC378" s="76"/>
      <c r="AD378" s="37"/>
      <c r="AE378" s="86">
        <f>tbl_Actual_costs_quantities34[[#This Row],[Floor Repairs]]*BOQs!$L$8</f>
        <v>0</v>
      </c>
      <c r="AF378" s="76"/>
      <c r="AG378" s="37"/>
      <c r="AH378" s="86">
        <f>tbl_Actual_costs_quantities34[[#This Row],[Doors Replacement Repair]]*BOQs!$L$9</f>
        <v>0</v>
      </c>
      <c r="AI378" s="76"/>
      <c r="AJ378" s="37"/>
      <c r="AK378" s="86">
        <f>tbl_Actual_costs_quantities34[[#This Row],[Windows Replacement Repair]]*BOQs!$L$10</f>
        <v>0</v>
      </c>
      <c r="AL378" s="76"/>
      <c r="AM378" s="37"/>
      <c r="AN378" s="86">
        <f>tbl_Actual_costs_quantities34[[#This Row],[Bathroom Rehabilitation]]*BOQs!$L$11</f>
        <v>0</v>
      </c>
      <c r="AO378" s="76"/>
      <c r="AP378" s="37"/>
      <c r="AQ378" s="86">
        <f>tbl_Actual_costs_quantities34[[#This Row],[Ceramic Tile Works WASH]]*BOQs!$L$12</f>
        <v>0</v>
      </c>
      <c r="AR378" s="76"/>
      <c r="AS378" s="37"/>
      <c r="AT378" s="86">
        <f>tbl_Actual_costs_quantities34[[#This Row],[Electrical Repairs Lighting]]*BOQs!$L$13</f>
        <v>0</v>
      </c>
      <c r="AU378" s="76"/>
      <c r="AV378" s="37"/>
      <c r="AW378" s="86">
        <f>tbl_Actual_costs_quantities34[[#This Row],[Roof Insulation Leak Sealing]]*BOQs!$L$14</f>
        <v>0</v>
      </c>
      <c r="AX378" s="76"/>
      <c r="AY378" s="37"/>
      <c r="AZ378" s="86">
        <f>tbl_Actual_costs_quantities34[[#This Row],[Chimney Duct Cleaning Repair]]*BOQs!$L$15</f>
        <v>0</v>
      </c>
      <c r="BA378" s="76"/>
      <c r="BB378" s="37"/>
      <c r="BC378" s="89">
        <f>tbl_Actual_costs_quantities34[[#This Row],[Accessibility Adaptations]]*BOQs!$L$16</f>
        <v>0</v>
      </c>
      <c r="BD378" s="41"/>
      <c r="BE378" s="37"/>
      <c r="BF378" s="37"/>
    </row>
    <row r="379" spans="2:58" ht="25.15" customHeight="1" x14ac:dyDescent="0.25">
      <c r="B379" s="49">
        <v>375</v>
      </c>
      <c r="C379" s="37"/>
      <c r="D379" s="41"/>
      <c r="E379" s="40"/>
      <c r="F379" s="87" t="str">
        <f>IF(tbl_Actual_costs_quantities34[[#This Row],[House Code]]&lt;&gt;"",INDEX(tbl_Assessment[],MATCH(tbl_Actual_costs_quantities34[[#This Row],[House Code]],tbl_Assessment[House Code],0),3),"")</f>
        <v/>
      </c>
      <c r="G379" s="116" t="str">
        <f>IF(tbl_Actual_costs_quantities34[[#This Row],[House Code]]&lt;&gt;"",INDEX(tbl_Assessment[],MATCH(tbl_Actual_costs_quantities34[[#This Row],[House Code]],tbl_Assessment[House Code],0),9),"")</f>
        <v/>
      </c>
      <c r="H379" s="41"/>
      <c r="I379" s="41"/>
      <c r="J379" s="41"/>
      <c r="K379" s="116"/>
      <c r="L379" s="117" t="str">
        <f>IF(tbl_Actual_costs_quantities34[[#This Row],[House Code]]&lt;&gt;"",tbl_Actual_costs_quantities34[[#This Row],[Total cost]]/INDEX(tbl_estimated_costs_quantities[],MATCH(tbl_Actual_costs_quantities34[[#This Row],[House Code]],tbl_estimated_costs_quantities[House Code],0),7),"")</f>
        <v/>
      </c>
      <c r="M37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79" s="75"/>
      <c r="O379" s="37"/>
      <c r="P379" s="86">
        <f>tbl_Actual_costs_quantities34[[#This Row],[Site Preparation]]*BOQs!$L$3</f>
        <v>0</v>
      </c>
      <c r="Q379" s="76"/>
      <c r="R379" s="37"/>
      <c r="S379" s="86">
        <f>tbl_Actual_costs_quantities34[[#This Row],[Demolition Removal Unsafe Structures]]*BOQs!$L$4</f>
        <v>0</v>
      </c>
      <c r="T379" s="76"/>
      <c r="U379" s="37"/>
      <c r="V379" s="86">
        <f>tbl_Actual_costs_quantities34[[#This Row],[Concrete Works]]*BOQs!$L$5</f>
        <v>0</v>
      </c>
      <c r="W379" s="76"/>
      <c r="X379" s="37"/>
      <c r="Y379" s="86">
        <f>tbl_Actual_costs_quantities34[[#This Row],[Closure External Openings Walls Windows]]*BOQs!$L$6</f>
        <v>0</v>
      </c>
      <c r="Z379" s="76"/>
      <c r="AA379" s="37"/>
      <c r="AB379" s="86">
        <f>tbl_Actual_costs_quantities34[[#This Row],[Plastering Painting]]*BOQs!$L$7</f>
        <v>0</v>
      </c>
      <c r="AC379" s="76"/>
      <c r="AD379" s="37"/>
      <c r="AE379" s="86">
        <f>tbl_Actual_costs_quantities34[[#This Row],[Floor Repairs]]*BOQs!$L$8</f>
        <v>0</v>
      </c>
      <c r="AF379" s="76"/>
      <c r="AG379" s="37"/>
      <c r="AH379" s="86">
        <f>tbl_Actual_costs_quantities34[[#This Row],[Doors Replacement Repair]]*BOQs!$L$9</f>
        <v>0</v>
      </c>
      <c r="AI379" s="76"/>
      <c r="AJ379" s="37"/>
      <c r="AK379" s="86">
        <f>tbl_Actual_costs_quantities34[[#This Row],[Windows Replacement Repair]]*BOQs!$L$10</f>
        <v>0</v>
      </c>
      <c r="AL379" s="76"/>
      <c r="AM379" s="37"/>
      <c r="AN379" s="86">
        <f>tbl_Actual_costs_quantities34[[#This Row],[Bathroom Rehabilitation]]*BOQs!$L$11</f>
        <v>0</v>
      </c>
      <c r="AO379" s="76"/>
      <c r="AP379" s="37"/>
      <c r="AQ379" s="86">
        <f>tbl_Actual_costs_quantities34[[#This Row],[Ceramic Tile Works WASH]]*BOQs!$L$12</f>
        <v>0</v>
      </c>
      <c r="AR379" s="76"/>
      <c r="AS379" s="37"/>
      <c r="AT379" s="86">
        <f>tbl_Actual_costs_quantities34[[#This Row],[Electrical Repairs Lighting]]*BOQs!$L$13</f>
        <v>0</v>
      </c>
      <c r="AU379" s="76"/>
      <c r="AV379" s="37"/>
      <c r="AW379" s="86">
        <f>tbl_Actual_costs_quantities34[[#This Row],[Roof Insulation Leak Sealing]]*BOQs!$L$14</f>
        <v>0</v>
      </c>
      <c r="AX379" s="76"/>
      <c r="AY379" s="37"/>
      <c r="AZ379" s="86">
        <f>tbl_Actual_costs_quantities34[[#This Row],[Chimney Duct Cleaning Repair]]*BOQs!$L$15</f>
        <v>0</v>
      </c>
      <c r="BA379" s="76"/>
      <c r="BB379" s="37"/>
      <c r="BC379" s="89">
        <f>tbl_Actual_costs_quantities34[[#This Row],[Accessibility Adaptations]]*BOQs!$L$16</f>
        <v>0</v>
      </c>
      <c r="BD379" s="41"/>
      <c r="BE379" s="37"/>
      <c r="BF379" s="37"/>
    </row>
    <row r="380" spans="2:58" ht="25.15" customHeight="1" x14ac:dyDescent="0.25">
      <c r="B380" s="49">
        <v>376</v>
      </c>
      <c r="C380" s="37"/>
      <c r="D380" s="41"/>
      <c r="E380" s="40"/>
      <c r="F380" s="87" t="str">
        <f>IF(tbl_Actual_costs_quantities34[[#This Row],[House Code]]&lt;&gt;"",INDEX(tbl_Assessment[],MATCH(tbl_Actual_costs_quantities34[[#This Row],[House Code]],tbl_Assessment[House Code],0),3),"")</f>
        <v/>
      </c>
      <c r="G380" s="116" t="str">
        <f>IF(tbl_Actual_costs_quantities34[[#This Row],[House Code]]&lt;&gt;"",INDEX(tbl_Assessment[],MATCH(tbl_Actual_costs_quantities34[[#This Row],[House Code]],tbl_Assessment[House Code],0),9),"")</f>
        <v/>
      </c>
      <c r="H380" s="41"/>
      <c r="I380" s="41"/>
      <c r="J380" s="41"/>
      <c r="K380" s="116"/>
      <c r="L380" s="117" t="str">
        <f>IF(tbl_Actual_costs_quantities34[[#This Row],[House Code]]&lt;&gt;"",tbl_Actual_costs_quantities34[[#This Row],[Total cost]]/INDEX(tbl_estimated_costs_quantities[],MATCH(tbl_Actual_costs_quantities34[[#This Row],[House Code]],tbl_estimated_costs_quantities[House Code],0),7),"")</f>
        <v/>
      </c>
      <c r="M38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0" s="75"/>
      <c r="O380" s="37"/>
      <c r="P380" s="86">
        <f>tbl_Actual_costs_quantities34[[#This Row],[Site Preparation]]*BOQs!$L$3</f>
        <v>0</v>
      </c>
      <c r="Q380" s="76"/>
      <c r="R380" s="37"/>
      <c r="S380" s="86">
        <f>tbl_Actual_costs_quantities34[[#This Row],[Demolition Removal Unsafe Structures]]*BOQs!$L$4</f>
        <v>0</v>
      </c>
      <c r="T380" s="76"/>
      <c r="U380" s="37"/>
      <c r="V380" s="86">
        <f>tbl_Actual_costs_quantities34[[#This Row],[Concrete Works]]*BOQs!$L$5</f>
        <v>0</v>
      </c>
      <c r="W380" s="76"/>
      <c r="X380" s="37"/>
      <c r="Y380" s="86">
        <f>tbl_Actual_costs_quantities34[[#This Row],[Closure External Openings Walls Windows]]*BOQs!$L$6</f>
        <v>0</v>
      </c>
      <c r="Z380" s="76"/>
      <c r="AA380" s="37"/>
      <c r="AB380" s="86">
        <f>tbl_Actual_costs_quantities34[[#This Row],[Plastering Painting]]*BOQs!$L$7</f>
        <v>0</v>
      </c>
      <c r="AC380" s="76"/>
      <c r="AD380" s="37"/>
      <c r="AE380" s="86">
        <f>tbl_Actual_costs_quantities34[[#This Row],[Floor Repairs]]*BOQs!$L$8</f>
        <v>0</v>
      </c>
      <c r="AF380" s="76"/>
      <c r="AG380" s="37"/>
      <c r="AH380" s="86">
        <f>tbl_Actual_costs_quantities34[[#This Row],[Doors Replacement Repair]]*BOQs!$L$9</f>
        <v>0</v>
      </c>
      <c r="AI380" s="76"/>
      <c r="AJ380" s="37"/>
      <c r="AK380" s="86">
        <f>tbl_Actual_costs_quantities34[[#This Row],[Windows Replacement Repair]]*BOQs!$L$10</f>
        <v>0</v>
      </c>
      <c r="AL380" s="76"/>
      <c r="AM380" s="37"/>
      <c r="AN380" s="86">
        <f>tbl_Actual_costs_quantities34[[#This Row],[Bathroom Rehabilitation]]*BOQs!$L$11</f>
        <v>0</v>
      </c>
      <c r="AO380" s="76"/>
      <c r="AP380" s="37"/>
      <c r="AQ380" s="86">
        <f>tbl_Actual_costs_quantities34[[#This Row],[Ceramic Tile Works WASH]]*BOQs!$L$12</f>
        <v>0</v>
      </c>
      <c r="AR380" s="76"/>
      <c r="AS380" s="37"/>
      <c r="AT380" s="86">
        <f>tbl_Actual_costs_quantities34[[#This Row],[Electrical Repairs Lighting]]*BOQs!$L$13</f>
        <v>0</v>
      </c>
      <c r="AU380" s="76"/>
      <c r="AV380" s="37"/>
      <c r="AW380" s="86">
        <f>tbl_Actual_costs_quantities34[[#This Row],[Roof Insulation Leak Sealing]]*BOQs!$L$14</f>
        <v>0</v>
      </c>
      <c r="AX380" s="76"/>
      <c r="AY380" s="37"/>
      <c r="AZ380" s="86">
        <f>tbl_Actual_costs_quantities34[[#This Row],[Chimney Duct Cleaning Repair]]*BOQs!$L$15</f>
        <v>0</v>
      </c>
      <c r="BA380" s="76"/>
      <c r="BB380" s="37"/>
      <c r="BC380" s="89">
        <f>tbl_Actual_costs_quantities34[[#This Row],[Accessibility Adaptations]]*BOQs!$L$16</f>
        <v>0</v>
      </c>
      <c r="BD380" s="41"/>
      <c r="BE380" s="37"/>
      <c r="BF380" s="37"/>
    </row>
    <row r="381" spans="2:58" ht="25.15" customHeight="1" x14ac:dyDescent="0.25">
      <c r="B381" s="49">
        <v>377</v>
      </c>
      <c r="C381" s="37"/>
      <c r="D381" s="41"/>
      <c r="E381" s="40"/>
      <c r="F381" s="87" t="str">
        <f>IF(tbl_Actual_costs_quantities34[[#This Row],[House Code]]&lt;&gt;"",INDEX(tbl_Assessment[],MATCH(tbl_Actual_costs_quantities34[[#This Row],[House Code]],tbl_Assessment[House Code],0),3),"")</f>
        <v/>
      </c>
      <c r="G381" s="116" t="str">
        <f>IF(tbl_Actual_costs_quantities34[[#This Row],[House Code]]&lt;&gt;"",INDEX(tbl_Assessment[],MATCH(tbl_Actual_costs_quantities34[[#This Row],[House Code]],tbl_Assessment[House Code],0),9),"")</f>
        <v/>
      </c>
      <c r="H381" s="41"/>
      <c r="I381" s="41"/>
      <c r="J381" s="41"/>
      <c r="K381" s="116"/>
      <c r="L381" s="117" t="str">
        <f>IF(tbl_Actual_costs_quantities34[[#This Row],[House Code]]&lt;&gt;"",tbl_Actual_costs_quantities34[[#This Row],[Total cost]]/INDEX(tbl_estimated_costs_quantities[],MATCH(tbl_Actual_costs_quantities34[[#This Row],[House Code]],tbl_estimated_costs_quantities[House Code],0),7),"")</f>
        <v/>
      </c>
      <c r="M38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1" s="75"/>
      <c r="O381" s="37"/>
      <c r="P381" s="86">
        <f>tbl_Actual_costs_quantities34[[#This Row],[Site Preparation]]*BOQs!$L$3</f>
        <v>0</v>
      </c>
      <c r="Q381" s="76"/>
      <c r="R381" s="37"/>
      <c r="S381" s="86">
        <f>tbl_Actual_costs_quantities34[[#This Row],[Demolition Removal Unsafe Structures]]*BOQs!$L$4</f>
        <v>0</v>
      </c>
      <c r="T381" s="76"/>
      <c r="U381" s="37"/>
      <c r="V381" s="86">
        <f>tbl_Actual_costs_quantities34[[#This Row],[Concrete Works]]*BOQs!$L$5</f>
        <v>0</v>
      </c>
      <c r="W381" s="76"/>
      <c r="X381" s="37"/>
      <c r="Y381" s="86">
        <f>tbl_Actual_costs_quantities34[[#This Row],[Closure External Openings Walls Windows]]*BOQs!$L$6</f>
        <v>0</v>
      </c>
      <c r="Z381" s="76"/>
      <c r="AA381" s="37"/>
      <c r="AB381" s="86">
        <f>tbl_Actual_costs_quantities34[[#This Row],[Plastering Painting]]*BOQs!$L$7</f>
        <v>0</v>
      </c>
      <c r="AC381" s="76"/>
      <c r="AD381" s="37"/>
      <c r="AE381" s="86">
        <f>tbl_Actual_costs_quantities34[[#This Row],[Floor Repairs]]*BOQs!$L$8</f>
        <v>0</v>
      </c>
      <c r="AF381" s="76"/>
      <c r="AG381" s="37"/>
      <c r="AH381" s="86">
        <f>tbl_Actual_costs_quantities34[[#This Row],[Doors Replacement Repair]]*BOQs!$L$9</f>
        <v>0</v>
      </c>
      <c r="AI381" s="76"/>
      <c r="AJ381" s="37"/>
      <c r="AK381" s="86">
        <f>tbl_Actual_costs_quantities34[[#This Row],[Windows Replacement Repair]]*BOQs!$L$10</f>
        <v>0</v>
      </c>
      <c r="AL381" s="76"/>
      <c r="AM381" s="37"/>
      <c r="AN381" s="86">
        <f>tbl_Actual_costs_quantities34[[#This Row],[Bathroom Rehabilitation]]*BOQs!$L$11</f>
        <v>0</v>
      </c>
      <c r="AO381" s="76"/>
      <c r="AP381" s="37"/>
      <c r="AQ381" s="86">
        <f>tbl_Actual_costs_quantities34[[#This Row],[Ceramic Tile Works WASH]]*BOQs!$L$12</f>
        <v>0</v>
      </c>
      <c r="AR381" s="76"/>
      <c r="AS381" s="37"/>
      <c r="AT381" s="86">
        <f>tbl_Actual_costs_quantities34[[#This Row],[Electrical Repairs Lighting]]*BOQs!$L$13</f>
        <v>0</v>
      </c>
      <c r="AU381" s="76"/>
      <c r="AV381" s="37"/>
      <c r="AW381" s="86">
        <f>tbl_Actual_costs_quantities34[[#This Row],[Roof Insulation Leak Sealing]]*BOQs!$L$14</f>
        <v>0</v>
      </c>
      <c r="AX381" s="76"/>
      <c r="AY381" s="37"/>
      <c r="AZ381" s="86">
        <f>tbl_Actual_costs_quantities34[[#This Row],[Chimney Duct Cleaning Repair]]*BOQs!$L$15</f>
        <v>0</v>
      </c>
      <c r="BA381" s="76"/>
      <c r="BB381" s="37"/>
      <c r="BC381" s="89">
        <f>tbl_Actual_costs_quantities34[[#This Row],[Accessibility Adaptations]]*BOQs!$L$16</f>
        <v>0</v>
      </c>
      <c r="BD381" s="41"/>
      <c r="BE381" s="37"/>
      <c r="BF381" s="37"/>
    </row>
    <row r="382" spans="2:58" ht="25.15" customHeight="1" x14ac:dyDescent="0.25">
      <c r="B382" s="49">
        <v>378</v>
      </c>
      <c r="C382" s="37"/>
      <c r="D382" s="41"/>
      <c r="E382" s="40"/>
      <c r="F382" s="87" t="str">
        <f>IF(tbl_Actual_costs_quantities34[[#This Row],[House Code]]&lt;&gt;"",INDEX(tbl_Assessment[],MATCH(tbl_Actual_costs_quantities34[[#This Row],[House Code]],tbl_Assessment[House Code],0),3),"")</f>
        <v/>
      </c>
      <c r="G382" s="116" t="str">
        <f>IF(tbl_Actual_costs_quantities34[[#This Row],[House Code]]&lt;&gt;"",INDEX(tbl_Assessment[],MATCH(tbl_Actual_costs_quantities34[[#This Row],[House Code]],tbl_Assessment[House Code],0),9),"")</f>
        <v/>
      </c>
      <c r="H382" s="41"/>
      <c r="I382" s="41"/>
      <c r="J382" s="41"/>
      <c r="K382" s="116"/>
      <c r="L382" s="117" t="str">
        <f>IF(tbl_Actual_costs_quantities34[[#This Row],[House Code]]&lt;&gt;"",tbl_Actual_costs_quantities34[[#This Row],[Total cost]]/INDEX(tbl_estimated_costs_quantities[],MATCH(tbl_Actual_costs_quantities34[[#This Row],[House Code]],tbl_estimated_costs_quantities[House Code],0),7),"")</f>
        <v/>
      </c>
      <c r="M38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2" s="75"/>
      <c r="O382" s="37"/>
      <c r="P382" s="86">
        <f>tbl_Actual_costs_quantities34[[#This Row],[Site Preparation]]*BOQs!$L$3</f>
        <v>0</v>
      </c>
      <c r="Q382" s="76"/>
      <c r="R382" s="37"/>
      <c r="S382" s="86">
        <f>tbl_Actual_costs_quantities34[[#This Row],[Demolition Removal Unsafe Structures]]*BOQs!$L$4</f>
        <v>0</v>
      </c>
      <c r="T382" s="76"/>
      <c r="U382" s="37"/>
      <c r="V382" s="86">
        <f>tbl_Actual_costs_quantities34[[#This Row],[Concrete Works]]*BOQs!$L$5</f>
        <v>0</v>
      </c>
      <c r="W382" s="76"/>
      <c r="X382" s="37"/>
      <c r="Y382" s="86">
        <f>tbl_Actual_costs_quantities34[[#This Row],[Closure External Openings Walls Windows]]*BOQs!$L$6</f>
        <v>0</v>
      </c>
      <c r="Z382" s="76"/>
      <c r="AA382" s="37"/>
      <c r="AB382" s="86">
        <f>tbl_Actual_costs_quantities34[[#This Row],[Plastering Painting]]*BOQs!$L$7</f>
        <v>0</v>
      </c>
      <c r="AC382" s="76"/>
      <c r="AD382" s="37"/>
      <c r="AE382" s="86">
        <f>tbl_Actual_costs_quantities34[[#This Row],[Floor Repairs]]*BOQs!$L$8</f>
        <v>0</v>
      </c>
      <c r="AF382" s="76"/>
      <c r="AG382" s="37"/>
      <c r="AH382" s="86">
        <f>tbl_Actual_costs_quantities34[[#This Row],[Doors Replacement Repair]]*BOQs!$L$9</f>
        <v>0</v>
      </c>
      <c r="AI382" s="76"/>
      <c r="AJ382" s="37"/>
      <c r="AK382" s="86">
        <f>tbl_Actual_costs_quantities34[[#This Row],[Windows Replacement Repair]]*BOQs!$L$10</f>
        <v>0</v>
      </c>
      <c r="AL382" s="76"/>
      <c r="AM382" s="37"/>
      <c r="AN382" s="86">
        <f>tbl_Actual_costs_quantities34[[#This Row],[Bathroom Rehabilitation]]*BOQs!$L$11</f>
        <v>0</v>
      </c>
      <c r="AO382" s="76"/>
      <c r="AP382" s="37"/>
      <c r="AQ382" s="86">
        <f>tbl_Actual_costs_quantities34[[#This Row],[Ceramic Tile Works WASH]]*BOQs!$L$12</f>
        <v>0</v>
      </c>
      <c r="AR382" s="76"/>
      <c r="AS382" s="37"/>
      <c r="AT382" s="86">
        <f>tbl_Actual_costs_quantities34[[#This Row],[Electrical Repairs Lighting]]*BOQs!$L$13</f>
        <v>0</v>
      </c>
      <c r="AU382" s="76"/>
      <c r="AV382" s="37"/>
      <c r="AW382" s="86">
        <f>tbl_Actual_costs_quantities34[[#This Row],[Roof Insulation Leak Sealing]]*BOQs!$L$14</f>
        <v>0</v>
      </c>
      <c r="AX382" s="76"/>
      <c r="AY382" s="37"/>
      <c r="AZ382" s="86">
        <f>tbl_Actual_costs_quantities34[[#This Row],[Chimney Duct Cleaning Repair]]*BOQs!$L$15</f>
        <v>0</v>
      </c>
      <c r="BA382" s="76"/>
      <c r="BB382" s="37"/>
      <c r="BC382" s="89">
        <f>tbl_Actual_costs_quantities34[[#This Row],[Accessibility Adaptations]]*BOQs!$L$16</f>
        <v>0</v>
      </c>
      <c r="BD382" s="41"/>
      <c r="BE382" s="37"/>
      <c r="BF382" s="37"/>
    </row>
    <row r="383" spans="2:58" ht="25.15" customHeight="1" x14ac:dyDescent="0.25">
      <c r="B383" s="49">
        <v>379</v>
      </c>
      <c r="C383" s="37"/>
      <c r="D383" s="41"/>
      <c r="E383" s="40"/>
      <c r="F383" s="87" t="str">
        <f>IF(tbl_Actual_costs_quantities34[[#This Row],[House Code]]&lt;&gt;"",INDEX(tbl_Assessment[],MATCH(tbl_Actual_costs_quantities34[[#This Row],[House Code]],tbl_Assessment[House Code],0),3),"")</f>
        <v/>
      </c>
      <c r="G383" s="116" t="str">
        <f>IF(tbl_Actual_costs_quantities34[[#This Row],[House Code]]&lt;&gt;"",INDEX(tbl_Assessment[],MATCH(tbl_Actual_costs_quantities34[[#This Row],[House Code]],tbl_Assessment[House Code],0),9),"")</f>
        <v/>
      </c>
      <c r="H383" s="41"/>
      <c r="I383" s="41"/>
      <c r="J383" s="41"/>
      <c r="K383" s="116"/>
      <c r="L383" s="117" t="str">
        <f>IF(tbl_Actual_costs_quantities34[[#This Row],[House Code]]&lt;&gt;"",tbl_Actual_costs_quantities34[[#This Row],[Total cost]]/INDEX(tbl_estimated_costs_quantities[],MATCH(tbl_Actual_costs_quantities34[[#This Row],[House Code]],tbl_estimated_costs_quantities[House Code],0),7),"")</f>
        <v/>
      </c>
      <c r="M38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3" s="75"/>
      <c r="O383" s="37"/>
      <c r="P383" s="86">
        <f>tbl_Actual_costs_quantities34[[#This Row],[Site Preparation]]*BOQs!$L$3</f>
        <v>0</v>
      </c>
      <c r="Q383" s="76"/>
      <c r="R383" s="37"/>
      <c r="S383" s="86">
        <f>tbl_Actual_costs_quantities34[[#This Row],[Demolition Removal Unsafe Structures]]*BOQs!$L$4</f>
        <v>0</v>
      </c>
      <c r="T383" s="76"/>
      <c r="U383" s="37"/>
      <c r="V383" s="86">
        <f>tbl_Actual_costs_quantities34[[#This Row],[Concrete Works]]*BOQs!$L$5</f>
        <v>0</v>
      </c>
      <c r="W383" s="76"/>
      <c r="X383" s="37"/>
      <c r="Y383" s="86">
        <f>tbl_Actual_costs_quantities34[[#This Row],[Closure External Openings Walls Windows]]*BOQs!$L$6</f>
        <v>0</v>
      </c>
      <c r="Z383" s="76"/>
      <c r="AA383" s="37"/>
      <c r="AB383" s="86">
        <f>tbl_Actual_costs_quantities34[[#This Row],[Plastering Painting]]*BOQs!$L$7</f>
        <v>0</v>
      </c>
      <c r="AC383" s="76"/>
      <c r="AD383" s="37"/>
      <c r="AE383" s="86">
        <f>tbl_Actual_costs_quantities34[[#This Row],[Floor Repairs]]*BOQs!$L$8</f>
        <v>0</v>
      </c>
      <c r="AF383" s="76"/>
      <c r="AG383" s="37"/>
      <c r="AH383" s="86">
        <f>tbl_Actual_costs_quantities34[[#This Row],[Doors Replacement Repair]]*BOQs!$L$9</f>
        <v>0</v>
      </c>
      <c r="AI383" s="76"/>
      <c r="AJ383" s="37"/>
      <c r="AK383" s="86">
        <f>tbl_Actual_costs_quantities34[[#This Row],[Windows Replacement Repair]]*BOQs!$L$10</f>
        <v>0</v>
      </c>
      <c r="AL383" s="76"/>
      <c r="AM383" s="37"/>
      <c r="AN383" s="86">
        <f>tbl_Actual_costs_quantities34[[#This Row],[Bathroom Rehabilitation]]*BOQs!$L$11</f>
        <v>0</v>
      </c>
      <c r="AO383" s="76"/>
      <c r="AP383" s="37"/>
      <c r="AQ383" s="86">
        <f>tbl_Actual_costs_quantities34[[#This Row],[Ceramic Tile Works WASH]]*BOQs!$L$12</f>
        <v>0</v>
      </c>
      <c r="AR383" s="76"/>
      <c r="AS383" s="37"/>
      <c r="AT383" s="86">
        <f>tbl_Actual_costs_quantities34[[#This Row],[Electrical Repairs Lighting]]*BOQs!$L$13</f>
        <v>0</v>
      </c>
      <c r="AU383" s="76"/>
      <c r="AV383" s="37"/>
      <c r="AW383" s="86">
        <f>tbl_Actual_costs_quantities34[[#This Row],[Roof Insulation Leak Sealing]]*BOQs!$L$14</f>
        <v>0</v>
      </c>
      <c r="AX383" s="76"/>
      <c r="AY383" s="37"/>
      <c r="AZ383" s="86">
        <f>tbl_Actual_costs_quantities34[[#This Row],[Chimney Duct Cleaning Repair]]*BOQs!$L$15</f>
        <v>0</v>
      </c>
      <c r="BA383" s="76"/>
      <c r="BB383" s="37"/>
      <c r="BC383" s="89">
        <f>tbl_Actual_costs_quantities34[[#This Row],[Accessibility Adaptations]]*BOQs!$L$16</f>
        <v>0</v>
      </c>
      <c r="BD383" s="41"/>
      <c r="BE383" s="37"/>
      <c r="BF383" s="37"/>
    </row>
    <row r="384" spans="2:58" ht="25.15" customHeight="1" x14ac:dyDescent="0.25">
      <c r="B384" s="49">
        <v>380</v>
      </c>
      <c r="C384" s="37"/>
      <c r="D384" s="41"/>
      <c r="E384" s="40"/>
      <c r="F384" s="87" t="str">
        <f>IF(tbl_Actual_costs_quantities34[[#This Row],[House Code]]&lt;&gt;"",INDEX(tbl_Assessment[],MATCH(tbl_Actual_costs_quantities34[[#This Row],[House Code]],tbl_Assessment[House Code],0),3),"")</f>
        <v/>
      </c>
      <c r="G384" s="116" t="str">
        <f>IF(tbl_Actual_costs_quantities34[[#This Row],[House Code]]&lt;&gt;"",INDEX(tbl_Assessment[],MATCH(tbl_Actual_costs_quantities34[[#This Row],[House Code]],tbl_Assessment[House Code],0),9),"")</f>
        <v/>
      </c>
      <c r="H384" s="41"/>
      <c r="I384" s="41"/>
      <c r="J384" s="41"/>
      <c r="K384" s="116"/>
      <c r="L384" s="117" t="str">
        <f>IF(tbl_Actual_costs_quantities34[[#This Row],[House Code]]&lt;&gt;"",tbl_Actual_costs_quantities34[[#This Row],[Total cost]]/INDEX(tbl_estimated_costs_quantities[],MATCH(tbl_Actual_costs_quantities34[[#This Row],[House Code]],tbl_estimated_costs_quantities[House Code],0),7),"")</f>
        <v/>
      </c>
      <c r="M38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4" s="75"/>
      <c r="O384" s="37"/>
      <c r="P384" s="86">
        <f>tbl_Actual_costs_quantities34[[#This Row],[Site Preparation]]*BOQs!$L$3</f>
        <v>0</v>
      </c>
      <c r="Q384" s="76"/>
      <c r="R384" s="37"/>
      <c r="S384" s="86">
        <f>tbl_Actual_costs_quantities34[[#This Row],[Demolition Removal Unsafe Structures]]*BOQs!$L$4</f>
        <v>0</v>
      </c>
      <c r="T384" s="76"/>
      <c r="U384" s="37"/>
      <c r="V384" s="86">
        <f>tbl_Actual_costs_quantities34[[#This Row],[Concrete Works]]*BOQs!$L$5</f>
        <v>0</v>
      </c>
      <c r="W384" s="76"/>
      <c r="X384" s="37"/>
      <c r="Y384" s="86">
        <f>tbl_Actual_costs_quantities34[[#This Row],[Closure External Openings Walls Windows]]*BOQs!$L$6</f>
        <v>0</v>
      </c>
      <c r="Z384" s="76"/>
      <c r="AA384" s="37"/>
      <c r="AB384" s="86">
        <f>tbl_Actual_costs_quantities34[[#This Row],[Plastering Painting]]*BOQs!$L$7</f>
        <v>0</v>
      </c>
      <c r="AC384" s="76"/>
      <c r="AD384" s="37"/>
      <c r="AE384" s="86">
        <f>tbl_Actual_costs_quantities34[[#This Row],[Floor Repairs]]*BOQs!$L$8</f>
        <v>0</v>
      </c>
      <c r="AF384" s="76"/>
      <c r="AG384" s="37"/>
      <c r="AH384" s="86">
        <f>tbl_Actual_costs_quantities34[[#This Row],[Doors Replacement Repair]]*BOQs!$L$9</f>
        <v>0</v>
      </c>
      <c r="AI384" s="76"/>
      <c r="AJ384" s="37"/>
      <c r="AK384" s="86">
        <f>tbl_Actual_costs_quantities34[[#This Row],[Windows Replacement Repair]]*BOQs!$L$10</f>
        <v>0</v>
      </c>
      <c r="AL384" s="76"/>
      <c r="AM384" s="37"/>
      <c r="AN384" s="86">
        <f>tbl_Actual_costs_quantities34[[#This Row],[Bathroom Rehabilitation]]*BOQs!$L$11</f>
        <v>0</v>
      </c>
      <c r="AO384" s="76"/>
      <c r="AP384" s="37"/>
      <c r="AQ384" s="86">
        <f>tbl_Actual_costs_quantities34[[#This Row],[Ceramic Tile Works WASH]]*BOQs!$L$12</f>
        <v>0</v>
      </c>
      <c r="AR384" s="76"/>
      <c r="AS384" s="37"/>
      <c r="AT384" s="86">
        <f>tbl_Actual_costs_quantities34[[#This Row],[Electrical Repairs Lighting]]*BOQs!$L$13</f>
        <v>0</v>
      </c>
      <c r="AU384" s="76"/>
      <c r="AV384" s="37"/>
      <c r="AW384" s="86">
        <f>tbl_Actual_costs_quantities34[[#This Row],[Roof Insulation Leak Sealing]]*BOQs!$L$14</f>
        <v>0</v>
      </c>
      <c r="AX384" s="76"/>
      <c r="AY384" s="37"/>
      <c r="AZ384" s="86">
        <f>tbl_Actual_costs_quantities34[[#This Row],[Chimney Duct Cleaning Repair]]*BOQs!$L$15</f>
        <v>0</v>
      </c>
      <c r="BA384" s="76"/>
      <c r="BB384" s="37"/>
      <c r="BC384" s="89">
        <f>tbl_Actual_costs_quantities34[[#This Row],[Accessibility Adaptations]]*BOQs!$L$16</f>
        <v>0</v>
      </c>
      <c r="BD384" s="41"/>
      <c r="BE384" s="37"/>
      <c r="BF384" s="37"/>
    </row>
    <row r="385" spans="2:58" ht="25.15" customHeight="1" x14ac:dyDescent="0.25">
      <c r="B385" s="49">
        <v>381</v>
      </c>
      <c r="C385" s="37"/>
      <c r="D385" s="41"/>
      <c r="E385" s="40"/>
      <c r="F385" s="87" t="str">
        <f>IF(tbl_Actual_costs_quantities34[[#This Row],[House Code]]&lt;&gt;"",INDEX(tbl_Assessment[],MATCH(tbl_Actual_costs_quantities34[[#This Row],[House Code]],tbl_Assessment[House Code],0),3),"")</f>
        <v/>
      </c>
      <c r="G385" s="116" t="str">
        <f>IF(tbl_Actual_costs_quantities34[[#This Row],[House Code]]&lt;&gt;"",INDEX(tbl_Assessment[],MATCH(tbl_Actual_costs_quantities34[[#This Row],[House Code]],tbl_Assessment[House Code],0),9),"")</f>
        <v/>
      </c>
      <c r="H385" s="41"/>
      <c r="I385" s="41"/>
      <c r="J385" s="41"/>
      <c r="K385" s="116"/>
      <c r="L385" s="117" t="str">
        <f>IF(tbl_Actual_costs_quantities34[[#This Row],[House Code]]&lt;&gt;"",tbl_Actual_costs_quantities34[[#This Row],[Total cost]]/INDEX(tbl_estimated_costs_quantities[],MATCH(tbl_Actual_costs_quantities34[[#This Row],[House Code]],tbl_estimated_costs_quantities[House Code],0),7),"")</f>
        <v/>
      </c>
      <c r="M38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5" s="75"/>
      <c r="O385" s="37"/>
      <c r="P385" s="86">
        <f>tbl_Actual_costs_quantities34[[#This Row],[Site Preparation]]*BOQs!$L$3</f>
        <v>0</v>
      </c>
      <c r="Q385" s="76"/>
      <c r="R385" s="37"/>
      <c r="S385" s="86">
        <f>tbl_Actual_costs_quantities34[[#This Row],[Demolition Removal Unsafe Structures]]*BOQs!$L$4</f>
        <v>0</v>
      </c>
      <c r="T385" s="76"/>
      <c r="U385" s="37"/>
      <c r="V385" s="86">
        <f>tbl_Actual_costs_quantities34[[#This Row],[Concrete Works]]*BOQs!$L$5</f>
        <v>0</v>
      </c>
      <c r="W385" s="76"/>
      <c r="X385" s="37"/>
      <c r="Y385" s="86">
        <f>tbl_Actual_costs_quantities34[[#This Row],[Closure External Openings Walls Windows]]*BOQs!$L$6</f>
        <v>0</v>
      </c>
      <c r="Z385" s="76"/>
      <c r="AA385" s="37"/>
      <c r="AB385" s="86">
        <f>tbl_Actual_costs_quantities34[[#This Row],[Plastering Painting]]*BOQs!$L$7</f>
        <v>0</v>
      </c>
      <c r="AC385" s="76"/>
      <c r="AD385" s="37"/>
      <c r="AE385" s="86">
        <f>tbl_Actual_costs_quantities34[[#This Row],[Floor Repairs]]*BOQs!$L$8</f>
        <v>0</v>
      </c>
      <c r="AF385" s="76"/>
      <c r="AG385" s="37"/>
      <c r="AH385" s="86">
        <f>tbl_Actual_costs_quantities34[[#This Row],[Doors Replacement Repair]]*BOQs!$L$9</f>
        <v>0</v>
      </c>
      <c r="AI385" s="76"/>
      <c r="AJ385" s="37"/>
      <c r="AK385" s="86">
        <f>tbl_Actual_costs_quantities34[[#This Row],[Windows Replacement Repair]]*BOQs!$L$10</f>
        <v>0</v>
      </c>
      <c r="AL385" s="76"/>
      <c r="AM385" s="37"/>
      <c r="AN385" s="86">
        <f>tbl_Actual_costs_quantities34[[#This Row],[Bathroom Rehabilitation]]*BOQs!$L$11</f>
        <v>0</v>
      </c>
      <c r="AO385" s="76"/>
      <c r="AP385" s="37"/>
      <c r="AQ385" s="86">
        <f>tbl_Actual_costs_quantities34[[#This Row],[Ceramic Tile Works WASH]]*BOQs!$L$12</f>
        <v>0</v>
      </c>
      <c r="AR385" s="76"/>
      <c r="AS385" s="37"/>
      <c r="AT385" s="86">
        <f>tbl_Actual_costs_quantities34[[#This Row],[Electrical Repairs Lighting]]*BOQs!$L$13</f>
        <v>0</v>
      </c>
      <c r="AU385" s="76"/>
      <c r="AV385" s="37"/>
      <c r="AW385" s="86">
        <f>tbl_Actual_costs_quantities34[[#This Row],[Roof Insulation Leak Sealing]]*BOQs!$L$14</f>
        <v>0</v>
      </c>
      <c r="AX385" s="76"/>
      <c r="AY385" s="37"/>
      <c r="AZ385" s="86">
        <f>tbl_Actual_costs_quantities34[[#This Row],[Chimney Duct Cleaning Repair]]*BOQs!$L$15</f>
        <v>0</v>
      </c>
      <c r="BA385" s="76"/>
      <c r="BB385" s="37"/>
      <c r="BC385" s="89">
        <f>tbl_Actual_costs_quantities34[[#This Row],[Accessibility Adaptations]]*BOQs!$L$16</f>
        <v>0</v>
      </c>
      <c r="BD385" s="41"/>
      <c r="BE385" s="37"/>
      <c r="BF385" s="37"/>
    </row>
    <row r="386" spans="2:58" ht="25.15" customHeight="1" x14ac:dyDescent="0.25">
      <c r="B386" s="49">
        <v>382</v>
      </c>
      <c r="C386" s="37"/>
      <c r="D386" s="41"/>
      <c r="E386" s="40"/>
      <c r="F386" s="87" t="str">
        <f>IF(tbl_Actual_costs_quantities34[[#This Row],[House Code]]&lt;&gt;"",INDEX(tbl_Assessment[],MATCH(tbl_Actual_costs_quantities34[[#This Row],[House Code]],tbl_Assessment[House Code],0),3),"")</f>
        <v/>
      </c>
      <c r="G386" s="116" t="str">
        <f>IF(tbl_Actual_costs_quantities34[[#This Row],[House Code]]&lt;&gt;"",INDEX(tbl_Assessment[],MATCH(tbl_Actual_costs_quantities34[[#This Row],[House Code]],tbl_Assessment[House Code],0),9),"")</f>
        <v/>
      </c>
      <c r="H386" s="41"/>
      <c r="I386" s="41"/>
      <c r="J386" s="41"/>
      <c r="K386" s="116"/>
      <c r="L386" s="117" t="str">
        <f>IF(tbl_Actual_costs_quantities34[[#This Row],[House Code]]&lt;&gt;"",tbl_Actual_costs_quantities34[[#This Row],[Total cost]]/INDEX(tbl_estimated_costs_quantities[],MATCH(tbl_Actual_costs_quantities34[[#This Row],[House Code]],tbl_estimated_costs_quantities[House Code],0),7),"")</f>
        <v/>
      </c>
      <c r="M38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6" s="75"/>
      <c r="O386" s="37"/>
      <c r="P386" s="86">
        <f>tbl_Actual_costs_quantities34[[#This Row],[Site Preparation]]*BOQs!$L$3</f>
        <v>0</v>
      </c>
      <c r="Q386" s="76"/>
      <c r="R386" s="37"/>
      <c r="S386" s="86">
        <f>tbl_Actual_costs_quantities34[[#This Row],[Demolition Removal Unsafe Structures]]*BOQs!$L$4</f>
        <v>0</v>
      </c>
      <c r="T386" s="76"/>
      <c r="U386" s="37"/>
      <c r="V386" s="86">
        <f>tbl_Actual_costs_quantities34[[#This Row],[Concrete Works]]*BOQs!$L$5</f>
        <v>0</v>
      </c>
      <c r="W386" s="76"/>
      <c r="X386" s="37"/>
      <c r="Y386" s="86">
        <f>tbl_Actual_costs_quantities34[[#This Row],[Closure External Openings Walls Windows]]*BOQs!$L$6</f>
        <v>0</v>
      </c>
      <c r="Z386" s="76"/>
      <c r="AA386" s="37"/>
      <c r="AB386" s="86">
        <f>tbl_Actual_costs_quantities34[[#This Row],[Plastering Painting]]*BOQs!$L$7</f>
        <v>0</v>
      </c>
      <c r="AC386" s="76"/>
      <c r="AD386" s="37"/>
      <c r="AE386" s="86">
        <f>tbl_Actual_costs_quantities34[[#This Row],[Floor Repairs]]*BOQs!$L$8</f>
        <v>0</v>
      </c>
      <c r="AF386" s="76"/>
      <c r="AG386" s="37"/>
      <c r="AH386" s="86">
        <f>tbl_Actual_costs_quantities34[[#This Row],[Doors Replacement Repair]]*BOQs!$L$9</f>
        <v>0</v>
      </c>
      <c r="AI386" s="76"/>
      <c r="AJ386" s="37"/>
      <c r="AK386" s="86">
        <f>tbl_Actual_costs_quantities34[[#This Row],[Windows Replacement Repair]]*BOQs!$L$10</f>
        <v>0</v>
      </c>
      <c r="AL386" s="76"/>
      <c r="AM386" s="37"/>
      <c r="AN386" s="86">
        <f>tbl_Actual_costs_quantities34[[#This Row],[Bathroom Rehabilitation]]*BOQs!$L$11</f>
        <v>0</v>
      </c>
      <c r="AO386" s="76"/>
      <c r="AP386" s="37"/>
      <c r="AQ386" s="86">
        <f>tbl_Actual_costs_quantities34[[#This Row],[Ceramic Tile Works WASH]]*BOQs!$L$12</f>
        <v>0</v>
      </c>
      <c r="AR386" s="76"/>
      <c r="AS386" s="37"/>
      <c r="AT386" s="86">
        <f>tbl_Actual_costs_quantities34[[#This Row],[Electrical Repairs Lighting]]*BOQs!$L$13</f>
        <v>0</v>
      </c>
      <c r="AU386" s="76"/>
      <c r="AV386" s="37"/>
      <c r="AW386" s="86">
        <f>tbl_Actual_costs_quantities34[[#This Row],[Roof Insulation Leak Sealing]]*BOQs!$L$14</f>
        <v>0</v>
      </c>
      <c r="AX386" s="76"/>
      <c r="AY386" s="37"/>
      <c r="AZ386" s="86">
        <f>tbl_Actual_costs_quantities34[[#This Row],[Chimney Duct Cleaning Repair]]*BOQs!$L$15</f>
        <v>0</v>
      </c>
      <c r="BA386" s="76"/>
      <c r="BB386" s="37"/>
      <c r="BC386" s="89">
        <f>tbl_Actual_costs_quantities34[[#This Row],[Accessibility Adaptations]]*BOQs!$L$16</f>
        <v>0</v>
      </c>
      <c r="BD386" s="41"/>
      <c r="BE386" s="37"/>
      <c r="BF386" s="37"/>
    </row>
    <row r="387" spans="2:58" ht="25.15" customHeight="1" x14ac:dyDescent="0.25">
      <c r="B387" s="49">
        <v>383</v>
      </c>
      <c r="C387" s="37"/>
      <c r="D387" s="41"/>
      <c r="E387" s="40"/>
      <c r="F387" s="87" t="str">
        <f>IF(tbl_Actual_costs_quantities34[[#This Row],[House Code]]&lt;&gt;"",INDEX(tbl_Assessment[],MATCH(tbl_Actual_costs_quantities34[[#This Row],[House Code]],tbl_Assessment[House Code],0),3),"")</f>
        <v/>
      </c>
      <c r="G387" s="116" t="str">
        <f>IF(tbl_Actual_costs_quantities34[[#This Row],[House Code]]&lt;&gt;"",INDEX(tbl_Assessment[],MATCH(tbl_Actual_costs_quantities34[[#This Row],[House Code]],tbl_Assessment[House Code],0),9),"")</f>
        <v/>
      </c>
      <c r="H387" s="41"/>
      <c r="I387" s="41"/>
      <c r="J387" s="41"/>
      <c r="K387" s="116"/>
      <c r="L387" s="117" t="str">
        <f>IF(tbl_Actual_costs_quantities34[[#This Row],[House Code]]&lt;&gt;"",tbl_Actual_costs_quantities34[[#This Row],[Total cost]]/INDEX(tbl_estimated_costs_quantities[],MATCH(tbl_Actual_costs_quantities34[[#This Row],[House Code]],tbl_estimated_costs_quantities[House Code],0),7),"")</f>
        <v/>
      </c>
      <c r="M38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7" s="75"/>
      <c r="O387" s="37"/>
      <c r="P387" s="86">
        <f>tbl_Actual_costs_quantities34[[#This Row],[Site Preparation]]*BOQs!$L$3</f>
        <v>0</v>
      </c>
      <c r="Q387" s="76"/>
      <c r="R387" s="37"/>
      <c r="S387" s="86">
        <f>tbl_Actual_costs_quantities34[[#This Row],[Demolition Removal Unsafe Structures]]*BOQs!$L$4</f>
        <v>0</v>
      </c>
      <c r="T387" s="76"/>
      <c r="U387" s="37"/>
      <c r="V387" s="86">
        <f>tbl_Actual_costs_quantities34[[#This Row],[Concrete Works]]*BOQs!$L$5</f>
        <v>0</v>
      </c>
      <c r="W387" s="76"/>
      <c r="X387" s="37"/>
      <c r="Y387" s="86">
        <f>tbl_Actual_costs_quantities34[[#This Row],[Closure External Openings Walls Windows]]*BOQs!$L$6</f>
        <v>0</v>
      </c>
      <c r="Z387" s="76"/>
      <c r="AA387" s="37"/>
      <c r="AB387" s="86">
        <f>tbl_Actual_costs_quantities34[[#This Row],[Plastering Painting]]*BOQs!$L$7</f>
        <v>0</v>
      </c>
      <c r="AC387" s="76"/>
      <c r="AD387" s="37"/>
      <c r="AE387" s="86">
        <f>tbl_Actual_costs_quantities34[[#This Row],[Floor Repairs]]*BOQs!$L$8</f>
        <v>0</v>
      </c>
      <c r="AF387" s="76"/>
      <c r="AG387" s="37"/>
      <c r="AH387" s="86">
        <f>tbl_Actual_costs_quantities34[[#This Row],[Doors Replacement Repair]]*BOQs!$L$9</f>
        <v>0</v>
      </c>
      <c r="AI387" s="76"/>
      <c r="AJ387" s="37"/>
      <c r="AK387" s="86">
        <f>tbl_Actual_costs_quantities34[[#This Row],[Windows Replacement Repair]]*BOQs!$L$10</f>
        <v>0</v>
      </c>
      <c r="AL387" s="76"/>
      <c r="AM387" s="37"/>
      <c r="AN387" s="86">
        <f>tbl_Actual_costs_quantities34[[#This Row],[Bathroom Rehabilitation]]*BOQs!$L$11</f>
        <v>0</v>
      </c>
      <c r="AO387" s="76"/>
      <c r="AP387" s="37"/>
      <c r="AQ387" s="86">
        <f>tbl_Actual_costs_quantities34[[#This Row],[Ceramic Tile Works WASH]]*BOQs!$L$12</f>
        <v>0</v>
      </c>
      <c r="AR387" s="76"/>
      <c r="AS387" s="37"/>
      <c r="AT387" s="86">
        <f>tbl_Actual_costs_quantities34[[#This Row],[Electrical Repairs Lighting]]*BOQs!$L$13</f>
        <v>0</v>
      </c>
      <c r="AU387" s="76"/>
      <c r="AV387" s="37"/>
      <c r="AW387" s="86">
        <f>tbl_Actual_costs_quantities34[[#This Row],[Roof Insulation Leak Sealing]]*BOQs!$L$14</f>
        <v>0</v>
      </c>
      <c r="AX387" s="76"/>
      <c r="AY387" s="37"/>
      <c r="AZ387" s="86">
        <f>tbl_Actual_costs_quantities34[[#This Row],[Chimney Duct Cleaning Repair]]*BOQs!$L$15</f>
        <v>0</v>
      </c>
      <c r="BA387" s="76"/>
      <c r="BB387" s="37"/>
      <c r="BC387" s="89">
        <f>tbl_Actual_costs_quantities34[[#This Row],[Accessibility Adaptations]]*BOQs!$L$16</f>
        <v>0</v>
      </c>
      <c r="BD387" s="41"/>
      <c r="BE387" s="37"/>
      <c r="BF387" s="37"/>
    </row>
    <row r="388" spans="2:58" ht="25.15" customHeight="1" x14ac:dyDescent="0.25">
      <c r="B388" s="49">
        <v>384</v>
      </c>
      <c r="C388" s="37"/>
      <c r="D388" s="41"/>
      <c r="E388" s="40"/>
      <c r="F388" s="87" t="str">
        <f>IF(tbl_Actual_costs_quantities34[[#This Row],[House Code]]&lt;&gt;"",INDEX(tbl_Assessment[],MATCH(tbl_Actual_costs_quantities34[[#This Row],[House Code]],tbl_Assessment[House Code],0),3),"")</f>
        <v/>
      </c>
      <c r="G388" s="116" t="str">
        <f>IF(tbl_Actual_costs_quantities34[[#This Row],[House Code]]&lt;&gt;"",INDEX(tbl_Assessment[],MATCH(tbl_Actual_costs_quantities34[[#This Row],[House Code]],tbl_Assessment[House Code],0),9),"")</f>
        <v/>
      </c>
      <c r="H388" s="41"/>
      <c r="I388" s="41"/>
      <c r="J388" s="41"/>
      <c r="K388" s="116"/>
      <c r="L388" s="117" t="str">
        <f>IF(tbl_Actual_costs_quantities34[[#This Row],[House Code]]&lt;&gt;"",tbl_Actual_costs_quantities34[[#This Row],[Total cost]]/INDEX(tbl_estimated_costs_quantities[],MATCH(tbl_Actual_costs_quantities34[[#This Row],[House Code]],tbl_estimated_costs_quantities[House Code],0),7),"")</f>
        <v/>
      </c>
      <c r="M38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8" s="75"/>
      <c r="O388" s="37"/>
      <c r="P388" s="86">
        <f>tbl_Actual_costs_quantities34[[#This Row],[Site Preparation]]*BOQs!$L$3</f>
        <v>0</v>
      </c>
      <c r="Q388" s="76"/>
      <c r="R388" s="37"/>
      <c r="S388" s="86">
        <f>tbl_Actual_costs_quantities34[[#This Row],[Demolition Removal Unsafe Structures]]*BOQs!$L$4</f>
        <v>0</v>
      </c>
      <c r="T388" s="76"/>
      <c r="U388" s="37"/>
      <c r="V388" s="86">
        <f>tbl_Actual_costs_quantities34[[#This Row],[Concrete Works]]*BOQs!$L$5</f>
        <v>0</v>
      </c>
      <c r="W388" s="76"/>
      <c r="X388" s="37"/>
      <c r="Y388" s="86">
        <f>tbl_Actual_costs_quantities34[[#This Row],[Closure External Openings Walls Windows]]*BOQs!$L$6</f>
        <v>0</v>
      </c>
      <c r="Z388" s="76"/>
      <c r="AA388" s="37"/>
      <c r="AB388" s="86">
        <f>tbl_Actual_costs_quantities34[[#This Row],[Plastering Painting]]*BOQs!$L$7</f>
        <v>0</v>
      </c>
      <c r="AC388" s="76"/>
      <c r="AD388" s="37"/>
      <c r="AE388" s="86">
        <f>tbl_Actual_costs_quantities34[[#This Row],[Floor Repairs]]*BOQs!$L$8</f>
        <v>0</v>
      </c>
      <c r="AF388" s="76"/>
      <c r="AG388" s="37"/>
      <c r="AH388" s="86">
        <f>tbl_Actual_costs_quantities34[[#This Row],[Doors Replacement Repair]]*BOQs!$L$9</f>
        <v>0</v>
      </c>
      <c r="AI388" s="76"/>
      <c r="AJ388" s="37"/>
      <c r="AK388" s="86">
        <f>tbl_Actual_costs_quantities34[[#This Row],[Windows Replacement Repair]]*BOQs!$L$10</f>
        <v>0</v>
      </c>
      <c r="AL388" s="76"/>
      <c r="AM388" s="37"/>
      <c r="AN388" s="86">
        <f>tbl_Actual_costs_quantities34[[#This Row],[Bathroom Rehabilitation]]*BOQs!$L$11</f>
        <v>0</v>
      </c>
      <c r="AO388" s="76"/>
      <c r="AP388" s="37"/>
      <c r="AQ388" s="86">
        <f>tbl_Actual_costs_quantities34[[#This Row],[Ceramic Tile Works WASH]]*BOQs!$L$12</f>
        <v>0</v>
      </c>
      <c r="AR388" s="76"/>
      <c r="AS388" s="37"/>
      <c r="AT388" s="86">
        <f>tbl_Actual_costs_quantities34[[#This Row],[Electrical Repairs Lighting]]*BOQs!$L$13</f>
        <v>0</v>
      </c>
      <c r="AU388" s="76"/>
      <c r="AV388" s="37"/>
      <c r="AW388" s="86">
        <f>tbl_Actual_costs_quantities34[[#This Row],[Roof Insulation Leak Sealing]]*BOQs!$L$14</f>
        <v>0</v>
      </c>
      <c r="AX388" s="76"/>
      <c r="AY388" s="37"/>
      <c r="AZ388" s="86">
        <f>tbl_Actual_costs_quantities34[[#This Row],[Chimney Duct Cleaning Repair]]*BOQs!$L$15</f>
        <v>0</v>
      </c>
      <c r="BA388" s="76"/>
      <c r="BB388" s="37"/>
      <c r="BC388" s="89">
        <f>tbl_Actual_costs_quantities34[[#This Row],[Accessibility Adaptations]]*BOQs!$L$16</f>
        <v>0</v>
      </c>
      <c r="BD388" s="41"/>
      <c r="BE388" s="37"/>
      <c r="BF388" s="37"/>
    </row>
    <row r="389" spans="2:58" ht="25.15" customHeight="1" x14ac:dyDescent="0.25">
      <c r="B389" s="49">
        <v>385</v>
      </c>
      <c r="C389" s="37"/>
      <c r="D389" s="41"/>
      <c r="E389" s="40"/>
      <c r="F389" s="87" t="str">
        <f>IF(tbl_Actual_costs_quantities34[[#This Row],[House Code]]&lt;&gt;"",INDEX(tbl_Assessment[],MATCH(tbl_Actual_costs_quantities34[[#This Row],[House Code]],tbl_Assessment[House Code],0),3),"")</f>
        <v/>
      </c>
      <c r="G389" s="116" t="str">
        <f>IF(tbl_Actual_costs_quantities34[[#This Row],[House Code]]&lt;&gt;"",INDEX(tbl_Assessment[],MATCH(tbl_Actual_costs_quantities34[[#This Row],[House Code]],tbl_Assessment[House Code],0),9),"")</f>
        <v/>
      </c>
      <c r="H389" s="41"/>
      <c r="I389" s="41"/>
      <c r="J389" s="41"/>
      <c r="K389" s="116"/>
      <c r="L389" s="117" t="str">
        <f>IF(tbl_Actual_costs_quantities34[[#This Row],[House Code]]&lt;&gt;"",tbl_Actual_costs_quantities34[[#This Row],[Total cost]]/INDEX(tbl_estimated_costs_quantities[],MATCH(tbl_Actual_costs_quantities34[[#This Row],[House Code]],tbl_estimated_costs_quantities[House Code],0),7),"")</f>
        <v/>
      </c>
      <c r="M38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89" s="75"/>
      <c r="O389" s="37"/>
      <c r="P389" s="86">
        <f>tbl_Actual_costs_quantities34[[#This Row],[Site Preparation]]*BOQs!$L$3</f>
        <v>0</v>
      </c>
      <c r="Q389" s="76"/>
      <c r="R389" s="37"/>
      <c r="S389" s="86">
        <f>tbl_Actual_costs_quantities34[[#This Row],[Demolition Removal Unsafe Structures]]*BOQs!$L$4</f>
        <v>0</v>
      </c>
      <c r="T389" s="76"/>
      <c r="U389" s="37"/>
      <c r="V389" s="86">
        <f>tbl_Actual_costs_quantities34[[#This Row],[Concrete Works]]*BOQs!$L$5</f>
        <v>0</v>
      </c>
      <c r="W389" s="76"/>
      <c r="X389" s="37"/>
      <c r="Y389" s="86">
        <f>tbl_Actual_costs_quantities34[[#This Row],[Closure External Openings Walls Windows]]*BOQs!$L$6</f>
        <v>0</v>
      </c>
      <c r="Z389" s="76"/>
      <c r="AA389" s="37"/>
      <c r="AB389" s="86">
        <f>tbl_Actual_costs_quantities34[[#This Row],[Plastering Painting]]*BOQs!$L$7</f>
        <v>0</v>
      </c>
      <c r="AC389" s="76"/>
      <c r="AD389" s="37"/>
      <c r="AE389" s="86">
        <f>tbl_Actual_costs_quantities34[[#This Row],[Floor Repairs]]*BOQs!$L$8</f>
        <v>0</v>
      </c>
      <c r="AF389" s="76"/>
      <c r="AG389" s="37"/>
      <c r="AH389" s="86">
        <f>tbl_Actual_costs_quantities34[[#This Row],[Doors Replacement Repair]]*BOQs!$L$9</f>
        <v>0</v>
      </c>
      <c r="AI389" s="76"/>
      <c r="AJ389" s="37"/>
      <c r="AK389" s="86">
        <f>tbl_Actual_costs_quantities34[[#This Row],[Windows Replacement Repair]]*BOQs!$L$10</f>
        <v>0</v>
      </c>
      <c r="AL389" s="76"/>
      <c r="AM389" s="37"/>
      <c r="AN389" s="86">
        <f>tbl_Actual_costs_quantities34[[#This Row],[Bathroom Rehabilitation]]*BOQs!$L$11</f>
        <v>0</v>
      </c>
      <c r="AO389" s="76"/>
      <c r="AP389" s="37"/>
      <c r="AQ389" s="86">
        <f>tbl_Actual_costs_quantities34[[#This Row],[Ceramic Tile Works WASH]]*BOQs!$L$12</f>
        <v>0</v>
      </c>
      <c r="AR389" s="76"/>
      <c r="AS389" s="37"/>
      <c r="AT389" s="86">
        <f>tbl_Actual_costs_quantities34[[#This Row],[Electrical Repairs Lighting]]*BOQs!$L$13</f>
        <v>0</v>
      </c>
      <c r="AU389" s="76"/>
      <c r="AV389" s="37"/>
      <c r="AW389" s="86">
        <f>tbl_Actual_costs_quantities34[[#This Row],[Roof Insulation Leak Sealing]]*BOQs!$L$14</f>
        <v>0</v>
      </c>
      <c r="AX389" s="76"/>
      <c r="AY389" s="37"/>
      <c r="AZ389" s="86">
        <f>tbl_Actual_costs_quantities34[[#This Row],[Chimney Duct Cleaning Repair]]*BOQs!$L$15</f>
        <v>0</v>
      </c>
      <c r="BA389" s="76"/>
      <c r="BB389" s="37"/>
      <c r="BC389" s="89">
        <f>tbl_Actual_costs_quantities34[[#This Row],[Accessibility Adaptations]]*BOQs!$L$16</f>
        <v>0</v>
      </c>
      <c r="BD389" s="41"/>
      <c r="BE389" s="37"/>
      <c r="BF389" s="37"/>
    </row>
    <row r="390" spans="2:58" ht="25.15" customHeight="1" x14ac:dyDescent="0.25">
      <c r="B390" s="49">
        <v>386</v>
      </c>
      <c r="C390" s="37"/>
      <c r="D390" s="41"/>
      <c r="E390" s="40"/>
      <c r="F390" s="87" t="str">
        <f>IF(tbl_Actual_costs_quantities34[[#This Row],[House Code]]&lt;&gt;"",INDEX(tbl_Assessment[],MATCH(tbl_Actual_costs_quantities34[[#This Row],[House Code]],tbl_Assessment[House Code],0),3),"")</f>
        <v/>
      </c>
      <c r="G390" s="116" t="str">
        <f>IF(tbl_Actual_costs_quantities34[[#This Row],[House Code]]&lt;&gt;"",INDEX(tbl_Assessment[],MATCH(tbl_Actual_costs_quantities34[[#This Row],[House Code]],tbl_Assessment[House Code],0),9),"")</f>
        <v/>
      </c>
      <c r="H390" s="41"/>
      <c r="I390" s="41"/>
      <c r="J390" s="41"/>
      <c r="K390" s="116"/>
      <c r="L390" s="117" t="str">
        <f>IF(tbl_Actual_costs_quantities34[[#This Row],[House Code]]&lt;&gt;"",tbl_Actual_costs_quantities34[[#This Row],[Total cost]]/INDEX(tbl_estimated_costs_quantities[],MATCH(tbl_Actual_costs_quantities34[[#This Row],[House Code]],tbl_estimated_costs_quantities[House Code],0),7),"")</f>
        <v/>
      </c>
      <c r="M39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0" s="75"/>
      <c r="O390" s="37"/>
      <c r="P390" s="86">
        <f>tbl_Actual_costs_quantities34[[#This Row],[Site Preparation]]*BOQs!$L$3</f>
        <v>0</v>
      </c>
      <c r="Q390" s="76"/>
      <c r="R390" s="37"/>
      <c r="S390" s="86">
        <f>tbl_Actual_costs_quantities34[[#This Row],[Demolition Removal Unsafe Structures]]*BOQs!$L$4</f>
        <v>0</v>
      </c>
      <c r="T390" s="76"/>
      <c r="U390" s="37"/>
      <c r="V390" s="86">
        <f>tbl_Actual_costs_quantities34[[#This Row],[Concrete Works]]*BOQs!$L$5</f>
        <v>0</v>
      </c>
      <c r="W390" s="76"/>
      <c r="X390" s="37"/>
      <c r="Y390" s="86">
        <f>tbl_Actual_costs_quantities34[[#This Row],[Closure External Openings Walls Windows]]*BOQs!$L$6</f>
        <v>0</v>
      </c>
      <c r="Z390" s="76"/>
      <c r="AA390" s="37"/>
      <c r="AB390" s="86">
        <f>tbl_Actual_costs_quantities34[[#This Row],[Plastering Painting]]*BOQs!$L$7</f>
        <v>0</v>
      </c>
      <c r="AC390" s="76"/>
      <c r="AD390" s="37"/>
      <c r="AE390" s="86">
        <f>tbl_Actual_costs_quantities34[[#This Row],[Floor Repairs]]*BOQs!$L$8</f>
        <v>0</v>
      </c>
      <c r="AF390" s="76"/>
      <c r="AG390" s="37"/>
      <c r="AH390" s="86">
        <f>tbl_Actual_costs_quantities34[[#This Row],[Doors Replacement Repair]]*BOQs!$L$9</f>
        <v>0</v>
      </c>
      <c r="AI390" s="76"/>
      <c r="AJ390" s="37"/>
      <c r="AK390" s="86">
        <f>tbl_Actual_costs_quantities34[[#This Row],[Windows Replacement Repair]]*BOQs!$L$10</f>
        <v>0</v>
      </c>
      <c r="AL390" s="76"/>
      <c r="AM390" s="37"/>
      <c r="AN390" s="86">
        <f>tbl_Actual_costs_quantities34[[#This Row],[Bathroom Rehabilitation]]*BOQs!$L$11</f>
        <v>0</v>
      </c>
      <c r="AO390" s="76"/>
      <c r="AP390" s="37"/>
      <c r="AQ390" s="86">
        <f>tbl_Actual_costs_quantities34[[#This Row],[Ceramic Tile Works WASH]]*BOQs!$L$12</f>
        <v>0</v>
      </c>
      <c r="AR390" s="76"/>
      <c r="AS390" s="37"/>
      <c r="AT390" s="86">
        <f>tbl_Actual_costs_quantities34[[#This Row],[Electrical Repairs Lighting]]*BOQs!$L$13</f>
        <v>0</v>
      </c>
      <c r="AU390" s="76"/>
      <c r="AV390" s="37"/>
      <c r="AW390" s="86">
        <f>tbl_Actual_costs_quantities34[[#This Row],[Roof Insulation Leak Sealing]]*BOQs!$L$14</f>
        <v>0</v>
      </c>
      <c r="AX390" s="76"/>
      <c r="AY390" s="37"/>
      <c r="AZ390" s="86">
        <f>tbl_Actual_costs_quantities34[[#This Row],[Chimney Duct Cleaning Repair]]*BOQs!$L$15</f>
        <v>0</v>
      </c>
      <c r="BA390" s="76"/>
      <c r="BB390" s="37"/>
      <c r="BC390" s="89">
        <f>tbl_Actual_costs_quantities34[[#This Row],[Accessibility Adaptations]]*BOQs!$L$16</f>
        <v>0</v>
      </c>
      <c r="BD390" s="41"/>
      <c r="BE390" s="37"/>
      <c r="BF390" s="37"/>
    </row>
    <row r="391" spans="2:58" ht="25.15" customHeight="1" x14ac:dyDescent="0.25">
      <c r="B391" s="49">
        <v>387</v>
      </c>
      <c r="C391" s="37"/>
      <c r="D391" s="41"/>
      <c r="E391" s="40"/>
      <c r="F391" s="87" t="str">
        <f>IF(tbl_Actual_costs_quantities34[[#This Row],[House Code]]&lt;&gt;"",INDEX(tbl_Assessment[],MATCH(tbl_Actual_costs_quantities34[[#This Row],[House Code]],tbl_Assessment[House Code],0),3),"")</f>
        <v/>
      </c>
      <c r="G391" s="116" t="str">
        <f>IF(tbl_Actual_costs_quantities34[[#This Row],[House Code]]&lt;&gt;"",INDEX(tbl_Assessment[],MATCH(tbl_Actual_costs_quantities34[[#This Row],[House Code]],tbl_Assessment[House Code],0),9),"")</f>
        <v/>
      </c>
      <c r="H391" s="41"/>
      <c r="I391" s="41"/>
      <c r="J391" s="41"/>
      <c r="K391" s="116"/>
      <c r="L391" s="117" t="str">
        <f>IF(tbl_Actual_costs_quantities34[[#This Row],[House Code]]&lt;&gt;"",tbl_Actual_costs_quantities34[[#This Row],[Total cost]]/INDEX(tbl_estimated_costs_quantities[],MATCH(tbl_Actual_costs_quantities34[[#This Row],[House Code]],tbl_estimated_costs_quantities[House Code],0),7),"")</f>
        <v/>
      </c>
      <c r="M39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1" s="75"/>
      <c r="O391" s="37"/>
      <c r="P391" s="86">
        <f>tbl_Actual_costs_quantities34[[#This Row],[Site Preparation]]*BOQs!$L$3</f>
        <v>0</v>
      </c>
      <c r="Q391" s="76"/>
      <c r="R391" s="37"/>
      <c r="S391" s="86">
        <f>tbl_Actual_costs_quantities34[[#This Row],[Demolition Removal Unsafe Structures]]*BOQs!$L$4</f>
        <v>0</v>
      </c>
      <c r="T391" s="76"/>
      <c r="U391" s="37"/>
      <c r="V391" s="86">
        <f>tbl_Actual_costs_quantities34[[#This Row],[Concrete Works]]*BOQs!$L$5</f>
        <v>0</v>
      </c>
      <c r="W391" s="76"/>
      <c r="X391" s="37"/>
      <c r="Y391" s="86">
        <f>tbl_Actual_costs_quantities34[[#This Row],[Closure External Openings Walls Windows]]*BOQs!$L$6</f>
        <v>0</v>
      </c>
      <c r="Z391" s="76"/>
      <c r="AA391" s="37"/>
      <c r="AB391" s="86">
        <f>tbl_Actual_costs_quantities34[[#This Row],[Plastering Painting]]*BOQs!$L$7</f>
        <v>0</v>
      </c>
      <c r="AC391" s="76"/>
      <c r="AD391" s="37"/>
      <c r="AE391" s="86">
        <f>tbl_Actual_costs_quantities34[[#This Row],[Floor Repairs]]*BOQs!$L$8</f>
        <v>0</v>
      </c>
      <c r="AF391" s="76"/>
      <c r="AG391" s="37"/>
      <c r="AH391" s="86">
        <f>tbl_Actual_costs_quantities34[[#This Row],[Doors Replacement Repair]]*BOQs!$L$9</f>
        <v>0</v>
      </c>
      <c r="AI391" s="76"/>
      <c r="AJ391" s="37"/>
      <c r="AK391" s="86">
        <f>tbl_Actual_costs_quantities34[[#This Row],[Windows Replacement Repair]]*BOQs!$L$10</f>
        <v>0</v>
      </c>
      <c r="AL391" s="76"/>
      <c r="AM391" s="37"/>
      <c r="AN391" s="86">
        <f>tbl_Actual_costs_quantities34[[#This Row],[Bathroom Rehabilitation]]*BOQs!$L$11</f>
        <v>0</v>
      </c>
      <c r="AO391" s="76"/>
      <c r="AP391" s="37"/>
      <c r="AQ391" s="86">
        <f>tbl_Actual_costs_quantities34[[#This Row],[Ceramic Tile Works WASH]]*BOQs!$L$12</f>
        <v>0</v>
      </c>
      <c r="AR391" s="76"/>
      <c r="AS391" s="37"/>
      <c r="AT391" s="86">
        <f>tbl_Actual_costs_quantities34[[#This Row],[Electrical Repairs Lighting]]*BOQs!$L$13</f>
        <v>0</v>
      </c>
      <c r="AU391" s="76"/>
      <c r="AV391" s="37"/>
      <c r="AW391" s="86">
        <f>tbl_Actual_costs_quantities34[[#This Row],[Roof Insulation Leak Sealing]]*BOQs!$L$14</f>
        <v>0</v>
      </c>
      <c r="AX391" s="76"/>
      <c r="AY391" s="37"/>
      <c r="AZ391" s="86">
        <f>tbl_Actual_costs_quantities34[[#This Row],[Chimney Duct Cleaning Repair]]*BOQs!$L$15</f>
        <v>0</v>
      </c>
      <c r="BA391" s="76"/>
      <c r="BB391" s="37"/>
      <c r="BC391" s="89">
        <f>tbl_Actual_costs_quantities34[[#This Row],[Accessibility Adaptations]]*BOQs!$L$16</f>
        <v>0</v>
      </c>
      <c r="BD391" s="41"/>
      <c r="BE391" s="37"/>
      <c r="BF391" s="37"/>
    </row>
    <row r="392" spans="2:58" ht="25.15" customHeight="1" x14ac:dyDescent="0.25">
      <c r="B392" s="49">
        <v>388</v>
      </c>
      <c r="C392" s="37"/>
      <c r="D392" s="41"/>
      <c r="E392" s="40"/>
      <c r="F392" s="87" t="str">
        <f>IF(tbl_Actual_costs_quantities34[[#This Row],[House Code]]&lt;&gt;"",INDEX(tbl_Assessment[],MATCH(tbl_Actual_costs_quantities34[[#This Row],[House Code]],tbl_Assessment[House Code],0),3),"")</f>
        <v/>
      </c>
      <c r="G392" s="116" t="str">
        <f>IF(tbl_Actual_costs_quantities34[[#This Row],[House Code]]&lt;&gt;"",INDEX(tbl_Assessment[],MATCH(tbl_Actual_costs_quantities34[[#This Row],[House Code]],tbl_Assessment[House Code],0),9),"")</f>
        <v/>
      </c>
      <c r="H392" s="41"/>
      <c r="I392" s="41"/>
      <c r="J392" s="41"/>
      <c r="K392" s="116"/>
      <c r="L392" s="117" t="str">
        <f>IF(tbl_Actual_costs_quantities34[[#This Row],[House Code]]&lt;&gt;"",tbl_Actual_costs_quantities34[[#This Row],[Total cost]]/INDEX(tbl_estimated_costs_quantities[],MATCH(tbl_Actual_costs_quantities34[[#This Row],[House Code]],tbl_estimated_costs_quantities[House Code],0),7),"")</f>
        <v/>
      </c>
      <c r="M39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2" s="75"/>
      <c r="O392" s="37"/>
      <c r="P392" s="86">
        <f>tbl_Actual_costs_quantities34[[#This Row],[Site Preparation]]*BOQs!$L$3</f>
        <v>0</v>
      </c>
      <c r="Q392" s="76"/>
      <c r="R392" s="37"/>
      <c r="S392" s="86">
        <f>tbl_Actual_costs_quantities34[[#This Row],[Demolition Removal Unsafe Structures]]*BOQs!$L$4</f>
        <v>0</v>
      </c>
      <c r="T392" s="76"/>
      <c r="U392" s="37"/>
      <c r="V392" s="86">
        <f>tbl_Actual_costs_quantities34[[#This Row],[Concrete Works]]*BOQs!$L$5</f>
        <v>0</v>
      </c>
      <c r="W392" s="76"/>
      <c r="X392" s="37"/>
      <c r="Y392" s="86">
        <f>tbl_Actual_costs_quantities34[[#This Row],[Closure External Openings Walls Windows]]*BOQs!$L$6</f>
        <v>0</v>
      </c>
      <c r="Z392" s="76"/>
      <c r="AA392" s="37"/>
      <c r="AB392" s="86">
        <f>tbl_Actual_costs_quantities34[[#This Row],[Plastering Painting]]*BOQs!$L$7</f>
        <v>0</v>
      </c>
      <c r="AC392" s="76"/>
      <c r="AD392" s="37"/>
      <c r="AE392" s="86">
        <f>tbl_Actual_costs_quantities34[[#This Row],[Floor Repairs]]*BOQs!$L$8</f>
        <v>0</v>
      </c>
      <c r="AF392" s="76"/>
      <c r="AG392" s="37"/>
      <c r="AH392" s="86">
        <f>tbl_Actual_costs_quantities34[[#This Row],[Doors Replacement Repair]]*BOQs!$L$9</f>
        <v>0</v>
      </c>
      <c r="AI392" s="76"/>
      <c r="AJ392" s="37"/>
      <c r="AK392" s="86">
        <f>tbl_Actual_costs_quantities34[[#This Row],[Windows Replacement Repair]]*BOQs!$L$10</f>
        <v>0</v>
      </c>
      <c r="AL392" s="76"/>
      <c r="AM392" s="37"/>
      <c r="AN392" s="86">
        <f>tbl_Actual_costs_quantities34[[#This Row],[Bathroom Rehabilitation]]*BOQs!$L$11</f>
        <v>0</v>
      </c>
      <c r="AO392" s="76"/>
      <c r="AP392" s="37"/>
      <c r="AQ392" s="86">
        <f>tbl_Actual_costs_quantities34[[#This Row],[Ceramic Tile Works WASH]]*BOQs!$L$12</f>
        <v>0</v>
      </c>
      <c r="AR392" s="76"/>
      <c r="AS392" s="37"/>
      <c r="AT392" s="86">
        <f>tbl_Actual_costs_quantities34[[#This Row],[Electrical Repairs Lighting]]*BOQs!$L$13</f>
        <v>0</v>
      </c>
      <c r="AU392" s="76"/>
      <c r="AV392" s="37"/>
      <c r="AW392" s="86">
        <f>tbl_Actual_costs_quantities34[[#This Row],[Roof Insulation Leak Sealing]]*BOQs!$L$14</f>
        <v>0</v>
      </c>
      <c r="AX392" s="76"/>
      <c r="AY392" s="37"/>
      <c r="AZ392" s="86">
        <f>tbl_Actual_costs_quantities34[[#This Row],[Chimney Duct Cleaning Repair]]*BOQs!$L$15</f>
        <v>0</v>
      </c>
      <c r="BA392" s="76"/>
      <c r="BB392" s="37"/>
      <c r="BC392" s="89">
        <f>tbl_Actual_costs_quantities34[[#This Row],[Accessibility Adaptations]]*BOQs!$L$16</f>
        <v>0</v>
      </c>
      <c r="BD392" s="41"/>
      <c r="BE392" s="37"/>
      <c r="BF392" s="37"/>
    </row>
    <row r="393" spans="2:58" ht="25.15" customHeight="1" x14ac:dyDescent="0.25">
      <c r="B393" s="49">
        <v>389</v>
      </c>
      <c r="C393" s="37"/>
      <c r="D393" s="41"/>
      <c r="E393" s="40"/>
      <c r="F393" s="87" t="str">
        <f>IF(tbl_Actual_costs_quantities34[[#This Row],[House Code]]&lt;&gt;"",INDEX(tbl_Assessment[],MATCH(tbl_Actual_costs_quantities34[[#This Row],[House Code]],tbl_Assessment[House Code],0),3),"")</f>
        <v/>
      </c>
      <c r="G393" s="116" t="str">
        <f>IF(tbl_Actual_costs_quantities34[[#This Row],[House Code]]&lt;&gt;"",INDEX(tbl_Assessment[],MATCH(tbl_Actual_costs_quantities34[[#This Row],[House Code]],tbl_Assessment[House Code],0),9),"")</f>
        <v/>
      </c>
      <c r="H393" s="41"/>
      <c r="I393" s="41"/>
      <c r="J393" s="41"/>
      <c r="K393" s="116"/>
      <c r="L393" s="117" t="str">
        <f>IF(tbl_Actual_costs_quantities34[[#This Row],[House Code]]&lt;&gt;"",tbl_Actual_costs_quantities34[[#This Row],[Total cost]]/INDEX(tbl_estimated_costs_quantities[],MATCH(tbl_Actual_costs_quantities34[[#This Row],[House Code]],tbl_estimated_costs_quantities[House Code],0),7),"")</f>
        <v/>
      </c>
      <c r="M39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3" s="75"/>
      <c r="O393" s="37"/>
      <c r="P393" s="86">
        <f>tbl_Actual_costs_quantities34[[#This Row],[Site Preparation]]*BOQs!$L$3</f>
        <v>0</v>
      </c>
      <c r="Q393" s="76"/>
      <c r="R393" s="37"/>
      <c r="S393" s="86">
        <f>tbl_Actual_costs_quantities34[[#This Row],[Demolition Removal Unsafe Structures]]*BOQs!$L$4</f>
        <v>0</v>
      </c>
      <c r="T393" s="76"/>
      <c r="U393" s="37"/>
      <c r="V393" s="86">
        <f>tbl_Actual_costs_quantities34[[#This Row],[Concrete Works]]*BOQs!$L$5</f>
        <v>0</v>
      </c>
      <c r="W393" s="76"/>
      <c r="X393" s="37"/>
      <c r="Y393" s="86">
        <f>tbl_Actual_costs_quantities34[[#This Row],[Closure External Openings Walls Windows]]*BOQs!$L$6</f>
        <v>0</v>
      </c>
      <c r="Z393" s="76"/>
      <c r="AA393" s="37"/>
      <c r="AB393" s="86">
        <f>tbl_Actual_costs_quantities34[[#This Row],[Plastering Painting]]*BOQs!$L$7</f>
        <v>0</v>
      </c>
      <c r="AC393" s="76"/>
      <c r="AD393" s="37"/>
      <c r="AE393" s="86">
        <f>tbl_Actual_costs_quantities34[[#This Row],[Floor Repairs]]*BOQs!$L$8</f>
        <v>0</v>
      </c>
      <c r="AF393" s="76"/>
      <c r="AG393" s="37"/>
      <c r="AH393" s="86">
        <f>tbl_Actual_costs_quantities34[[#This Row],[Doors Replacement Repair]]*BOQs!$L$9</f>
        <v>0</v>
      </c>
      <c r="AI393" s="76"/>
      <c r="AJ393" s="37"/>
      <c r="AK393" s="86">
        <f>tbl_Actual_costs_quantities34[[#This Row],[Windows Replacement Repair]]*BOQs!$L$10</f>
        <v>0</v>
      </c>
      <c r="AL393" s="76"/>
      <c r="AM393" s="37"/>
      <c r="AN393" s="86">
        <f>tbl_Actual_costs_quantities34[[#This Row],[Bathroom Rehabilitation]]*BOQs!$L$11</f>
        <v>0</v>
      </c>
      <c r="AO393" s="76"/>
      <c r="AP393" s="37"/>
      <c r="AQ393" s="86">
        <f>tbl_Actual_costs_quantities34[[#This Row],[Ceramic Tile Works WASH]]*BOQs!$L$12</f>
        <v>0</v>
      </c>
      <c r="AR393" s="76"/>
      <c r="AS393" s="37"/>
      <c r="AT393" s="86">
        <f>tbl_Actual_costs_quantities34[[#This Row],[Electrical Repairs Lighting]]*BOQs!$L$13</f>
        <v>0</v>
      </c>
      <c r="AU393" s="76"/>
      <c r="AV393" s="37"/>
      <c r="AW393" s="86">
        <f>tbl_Actual_costs_quantities34[[#This Row],[Roof Insulation Leak Sealing]]*BOQs!$L$14</f>
        <v>0</v>
      </c>
      <c r="AX393" s="76"/>
      <c r="AY393" s="37"/>
      <c r="AZ393" s="86">
        <f>tbl_Actual_costs_quantities34[[#This Row],[Chimney Duct Cleaning Repair]]*BOQs!$L$15</f>
        <v>0</v>
      </c>
      <c r="BA393" s="76"/>
      <c r="BB393" s="37"/>
      <c r="BC393" s="89">
        <f>tbl_Actual_costs_quantities34[[#This Row],[Accessibility Adaptations]]*BOQs!$L$16</f>
        <v>0</v>
      </c>
      <c r="BD393" s="41"/>
      <c r="BE393" s="37"/>
      <c r="BF393" s="37"/>
    </row>
    <row r="394" spans="2:58" ht="25.15" customHeight="1" x14ac:dyDescent="0.25">
      <c r="B394" s="49">
        <v>390</v>
      </c>
      <c r="C394" s="37"/>
      <c r="D394" s="41"/>
      <c r="E394" s="40"/>
      <c r="F394" s="87" t="str">
        <f>IF(tbl_Actual_costs_quantities34[[#This Row],[House Code]]&lt;&gt;"",INDEX(tbl_Assessment[],MATCH(tbl_Actual_costs_quantities34[[#This Row],[House Code]],tbl_Assessment[House Code],0),3),"")</f>
        <v/>
      </c>
      <c r="G394" s="116" t="str">
        <f>IF(tbl_Actual_costs_quantities34[[#This Row],[House Code]]&lt;&gt;"",INDEX(tbl_Assessment[],MATCH(tbl_Actual_costs_quantities34[[#This Row],[House Code]],tbl_Assessment[House Code],0),9),"")</f>
        <v/>
      </c>
      <c r="H394" s="41"/>
      <c r="I394" s="41"/>
      <c r="J394" s="41"/>
      <c r="K394" s="116"/>
      <c r="L394" s="117" t="str">
        <f>IF(tbl_Actual_costs_quantities34[[#This Row],[House Code]]&lt;&gt;"",tbl_Actual_costs_quantities34[[#This Row],[Total cost]]/INDEX(tbl_estimated_costs_quantities[],MATCH(tbl_Actual_costs_quantities34[[#This Row],[House Code]],tbl_estimated_costs_quantities[House Code],0),7),"")</f>
        <v/>
      </c>
      <c r="M39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4" s="75"/>
      <c r="O394" s="37"/>
      <c r="P394" s="86">
        <f>tbl_Actual_costs_quantities34[[#This Row],[Site Preparation]]*BOQs!$L$3</f>
        <v>0</v>
      </c>
      <c r="Q394" s="76"/>
      <c r="R394" s="37"/>
      <c r="S394" s="86">
        <f>tbl_Actual_costs_quantities34[[#This Row],[Demolition Removal Unsafe Structures]]*BOQs!$L$4</f>
        <v>0</v>
      </c>
      <c r="T394" s="76"/>
      <c r="U394" s="37"/>
      <c r="V394" s="86">
        <f>tbl_Actual_costs_quantities34[[#This Row],[Concrete Works]]*BOQs!$L$5</f>
        <v>0</v>
      </c>
      <c r="W394" s="76"/>
      <c r="X394" s="37"/>
      <c r="Y394" s="86">
        <f>tbl_Actual_costs_quantities34[[#This Row],[Closure External Openings Walls Windows]]*BOQs!$L$6</f>
        <v>0</v>
      </c>
      <c r="Z394" s="76"/>
      <c r="AA394" s="37"/>
      <c r="AB394" s="86">
        <f>tbl_Actual_costs_quantities34[[#This Row],[Plastering Painting]]*BOQs!$L$7</f>
        <v>0</v>
      </c>
      <c r="AC394" s="76"/>
      <c r="AD394" s="37"/>
      <c r="AE394" s="86">
        <f>tbl_Actual_costs_quantities34[[#This Row],[Floor Repairs]]*BOQs!$L$8</f>
        <v>0</v>
      </c>
      <c r="AF394" s="76"/>
      <c r="AG394" s="37"/>
      <c r="AH394" s="86">
        <f>tbl_Actual_costs_quantities34[[#This Row],[Doors Replacement Repair]]*BOQs!$L$9</f>
        <v>0</v>
      </c>
      <c r="AI394" s="76"/>
      <c r="AJ394" s="37"/>
      <c r="AK394" s="86">
        <f>tbl_Actual_costs_quantities34[[#This Row],[Windows Replacement Repair]]*BOQs!$L$10</f>
        <v>0</v>
      </c>
      <c r="AL394" s="76"/>
      <c r="AM394" s="37"/>
      <c r="AN394" s="86">
        <f>tbl_Actual_costs_quantities34[[#This Row],[Bathroom Rehabilitation]]*BOQs!$L$11</f>
        <v>0</v>
      </c>
      <c r="AO394" s="76"/>
      <c r="AP394" s="37"/>
      <c r="AQ394" s="86">
        <f>tbl_Actual_costs_quantities34[[#This Row],[Ceramic Tile Works WASH]]*BOQs!$L$12</f>
        <v>0</v>
      </c>
      <c r="AR394" s="76"/>
      <c r="AS394" s="37"/>
      <c r="AT394" s="86">
        <f>tbl_Actual_costs_quantities34[[#This Row],[Electrical Repairs Lighting]]*BOQs!$L$13</f>
        <v>0</v>
      </c>
      <c r="AU394" s="76"/>
      <c r="AV394" s="37"/>
      <c r="AW394" s="86">
        <f>tbl_Actual_costs_quantities34[[#This Row],[Roof Insulation Leak Sealing]]*BOQs!$L$14</f>
        <v>0</v>
      </c>
      <c r="AX394" s="76"/>
      <c r="AY394" s="37"/>
      <c r="AZ394" s="86">
        <f>tbl_Actual_costs_quantities34[[#This Row],[Chimney Duct Cleaning Repair]]*BOQs!$L$15</f>
        <v>0</v>
      </c>
      <c r="BA394" s="76"/>
      <c r="BB394" s="37"/>
      <c r="BC394" s="89">
        <f>tbl_Actual_costs_quantities34[[#This Row],[Accessibility Adaptations]]*BOQs!$L$16</f>
        <v>0</v>
      </c>
      <c r="BD394" s="41"/>
      <c r="BE394" s="37"/>
      <c r="BF394" s="37"/>
    </row>
    <row r="395" spans="2:58" ht="25.15" customHeight="1" x14ac:dyDescent="0.25">
      <c r="B395" s="49">
        <v>391</v>
      </c>
      <c r="C395" s="37"/>
      <c r="D395" s="41"/>
      <c r="E395" s="40"/>
      <c r="F395" s="87" t="str">
        <f>IF(tbl_Actual_costs_quantities34[[#This Row],[House Code]]&lt;&gt;"",INDEX(tbl_Assessment[],MATCH(tbl_Actual_costs_quantities34[[#This Row],[House Code]],tbl_Assessment[House Code],0),3),"")</f>
        <v/>
      </c>
      <c r="G395" s="116" t="str">
        <f>IF(tbl_Actual_costs_quantities34[[#This Row],[House Code]]&lt;&gt;"",INDEX(tbl_Assessment[],MATCH(tbl_Actual_costs_quantities34[[#This Row],[House Code]],tbl_Assessment[House Code],0),9),"")</f>
        <v/>
      </c>
      <c r="H395" s="41"/>
      <c r="I395" s="41"/>
      <c r="J395" s="41"/>
      <c r="K395" s="116"/>
      <c r="L395" s="117" t="str">
        <f>IF(tbl_Actual_costs_quantities34[[#This Row],[House Code]]&lt;&gt;"",tbl_Actual_costs_quantities34[[#This Row],[Total cost]]/INDEX(tbl_estimated_costs_quantities[],MATCH(tbl_Actual_costs_quantities34[[#This Row],[House Code]],tbl_estimated_costs_quantities[House Code],0),7),"")</f>
        <v/>
      </c>
      <c r="M39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5" s="75"/>
      <c r="O395" s="37"/>
      <c r="P395" s="86">
        <f>tbl_Actual_costs_quantities34[[#This Row],[Site Preparation]]*BOQs!$L$3</f>
        <v>0</v>
      </c>
      <c r="Q395" s="76"/>
      <c r="R395" s="37"/>
      <c r="S395" s="86">
        <f>tbl_Actual_costs_quantities34[[#This Row],[Demolition Removal Unsafe Structures]]*BOQs!$L$4</f>
        <v>0</v>
      </c>
      <c r="T395" s="76"/>
      <c r="U395" s="37"/>
      <c r="V395" s="86">
        <f>tbl_Actual_costs_quantities34[[#This Row],[Concrete Works]]*BOQs!$L$5</f>
        <v>0</v>
      </c>
      <c r="W395" s="76"/>
      <c r="X395" s="37"/>
      <c r="Y395" s="86">
        <f>tbl_Actual_costs_quantities34[[#This Row],[Closure External Openings Walls Windows]]*BOQs!$L$6</f>
        <v>0</v>
      </c>
      <c r="Z395" s="76"/>
      <c r="AA395" s="37"/>
      <c r="AB395" s="86">
        <f>tbl_Actual_costs_quantities34[[#This Row],[Plastering Painting]]*BOQs!$L$7</f>
        <v>0</v>
      </c>
      <c r="AC395" s="76"/>
      <c r="AD395" s="37"/>
      <c r="AE395" s="86">
        <f>tbl_Actual_costs_quantities34[[#This Row],[Floor Repairs]]*BOQs!$L$8</f>
        <v>0</v>
      </c>
      <c r="AF395" s="76"/>
      <c r="AG395" s="37"/>
      <c r="AH395" s="86">
        <f>tbl_Actual_costs_quantities34[[#This Row],[Doors Replacement Repair]]*BOQs!$L$9</f>
        <v>0</v>
      </c>
      <c r="AI395" s="76"/>
      <c r="AJ395" s="37"/>
      <c r="AK395" s="86">
        <f>tbl_Actual_costs_quantities34[[#This Row],[Windows Replacement Repair]]*BOQs!$L$10</f>
        <v>0</v>
      </c>
      <c r="AL395" s="76"/>
      <c r="AM395" s="37"/>
      <c r="AN395" s="86">
        <f>tbl_Actual_costs_quantities34[[#This Row],[Bathroom Rehabilitation]]*BOQs!$L$11</f>
        <v>0</v>
      </c>
      <c r="AO395" s="76"/>
      <c r="AP395" s="37"/>
      <c r="AQ395" s="86">
        <f>tbl_Actual_costs_quantities34[[#This Row],[Ceramic Tile Works WASH]]*BOQs!$L$12</f>
        <v>0</v>
      </c>
      <c r="AR395" s="76"/>
      <c r="AS395" s="37"/>
      <c r="AT395" s="86">
        <f>tbl_Actual_costs_quantities34[[#This Row],[Electrical Repairs Lighting]]*BOQs!$L$13</f>
        <v>0</v>
      </c>
      <c r="AU395" s="76"/>
      <c r="AV395" s="37"/>
      <c r="AW395" s="86">
        <f>tbl_Actual_costs_quantities34[[#This Row],[Roof Insulation Leak Sealing]]*BOQs!$L$14</f>
        <v>0</v>
      </c>
      <c r="AX395" s="76"/>
      <c r="AY395" s="37"/>
      <c r="AZ395" s="86">
        <f>tbl_Actual_costs_quantities34[[#This Row],[Chimney Duct Cleaning Repair]]*BOQs!$L$15</f>
        <v>0</v>
      </c>
      <c r="BA395" s="76"/>
      <c r="BB395" s="37"/>
      <c r="BC395" s="89">
        <f>tbl_Actual_costs_quantities34[[#This Row],[Accessibility Adaptations]]*BOQs!$L$16</f>
        <v>0</v>
      </c>
      <c r="BD395" s="41"/>
      <c r="BE395" s="37"/>
      <c r="BF395" s="37"/>
    </row>
    <row r="396" spans="2:58" ht="25.15" customHeight="1" x14ac:dyDescent="0.25">
      <c r="B396" s="49">
        <v>392</v>
      </c>
      <c r="C396" s="37"/>
      <c r="D396" s="41"/>
      <c r="E396" s="40"/>
      <c r="F396" s="87" t="str">
        <f>IF(tbl_Actual_costs_quantities34[[#This Row],[House Code]]&lt;&gt;"",INDEX(tbl_Assessment[],MATCH(tbl_Actual_costs_quantities34[[#This Row],[House Code]],tbl_Assessment[House Code],0),3),"")</f>
        <v/>
      </c>
      <c r="G396" s="116" t="str">
        <f>IF(tbl_Actual_costs_quantities34[[#This Row],[House Code]]&lt;&gt;"",INDEX(tbl_Assessment[],MATCH(tbl_Actual_costs_quantities34[[#This Row],[House Code]],tbl_Assessment[House Code],0),9),"")</f>
        <v/>
      </c>
      <c r="H396" s="41"/>
      <c r="I396" s="41"/>
      <c r="J396" s="41"/>
      <c r="K396" s="116"/>
      <c r="L396" s="117" t="str">
        <f>IF(tbl_Actual_costs_quantities34[[#This Row],[House Code]]&lt;&gt;"",tbl_Actual_costs_quantities34[[#This Row],[Total cost]]/INDEX(tbl_estimated_costs_quantities[],MATCH(tbl_Actual_costs_quantities34[[#This Row],[House Code]],tbl_estimated_costs_quantities[House Code],0),7),"")</f>
        <v/>
      </c>
      <c r="M39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6" s="75"/>
      <c r="O396" s="37"/>
      <c r="P396" s="86">
        <f>tbl_Actual_costs_quantities34[[#This Row],[Site Preparation]]*BOQs!$L$3</f>
        <v>0</v>
      </c>
      <c r="Q396" s="76"/>
      <c r="R396" s="37"/>
      <c r="S396" s="86">
        <f>tbl_Actual_costs_quantities34[[#This Row],[Demolition Removal Unsafe Structures]]*BOQs!$L$4</f>
        <v>0</v>
      </c>
      <c r="T396" s="76"/>
      <c r="U396" s="37"/>
      <c r="V396" s="86">
        <f>tbl_Actual_costs_quantities34[[#This Row],[Concrete Works]]*BOQs!$L$5</f>
        <v>0</v>
      </c>
      <c r="W396" s="76"/>
      <c r="X396" s="37"/>
      <c r="Y396" s="86">
        <f>tbl_Actual_costs_quantities34[[#This Row],[Closure External Openings Walls Windows]]*BOQs!$L$6</f>
        <v>0</v>
      </c>
      <c r="Z396" s="76"/>
      <c r="AA396" s="37"/>
      <c r="AB396" s="86">
        <f>tbl_Actual_costs_quantities34[[#This Row],[Plastering Painting]]*BOQs!$L$7</f>
        <v>0</v>
      </c>
      <c r="AC396" s="76"/>
      <c r="AD396" s="37"/>
      <c r="AE396" s="86">
        <f>tbl_Actual_costs_quantities34[[#This Row],[Floor Repairs]]*BOQs!$L$8</f>
        <v>0</v>
      </c>
      <c r="AF396" s="76"/>
      <c r="AG396" s="37"/>
      <c r="AH396" s="86">
        <f>tbl_Actual_costs_quantities34[[#This Row],[Doors Replacement Repair]]*BOQs!$L$9</f>
        <v>0</v>
      </c>
      <c r="AI396" s="76"/>
      <c r="AJ396" s="37"/>
      <c r="AK396" s="86">
        <f>tbl_Actual_costs_quantities34[[#This Row],[Windows Replacement Repair]]*BOQs!$L$10</f>
        <v>0</v>
      </c>
      <c r="AL396" s="76"/>
      <c r="AM396" s="37"/>
      <c r="AN396" s="86">
        <f>tbl_Actual_costs_quantities34[[#This Row],[Bathroom Rehabilitation]]*BOQs!$L$11</f>
        <v>0</v>
      </c>
      <c r="AO396" s="76"/>
      <c r="AP396" s="37"/>
      <c r="AQ396" s="86">
        <f>tbl_Actual_costs_quantities34[[#This Row],[Ceramic Tile Works WASH]]*BOQs!$L$12</f>
        <v>0</v>
      </c>
      <c r="AR396" s="76"/>
      <c r="AS396" s="37"/>
      <c r="AT396" s="86">
        <f>tbl_Actual_costs_quantities34[[#This Row],[Electrical Repairs Lighting]]*BOQs!$L$13</f>
        <v>0</v>
      </c>
      <c r="AU396" s="76"/>
      <c r="AV396" s="37"/>
      <c r="AW396" s="86">
        <f>tbl_Actual_costs_quantities34[[#This Row],[Roof Insulation Leak Sealing]]*BOQs!$L$14</f>
        <v>0</v>
      </c>
      <c r="AX396" s="76"/>
      <c r="AY396" s="37"/>
      <c r="AZ396" s="86">
        <f>tbl_Actual_costs_quantities34[[#This Row],[Chimney Duct Cleaning Repair]]*BOQs!$L$15</f>
        <v>0</v>
      </c>
      <c r="BA396" s="76"/>
      <c r="BB396" s="37"/>
      <c r="BC396" s="89">
        <f>tbl_Actual_costs_quantities34[[#This Row],[Accessibility Adaptations]]*BOQs!$L$16</f>
        <v>0</v>
      </c>
      <c r="BD396" s="41"/>
      <c r="BE396" s="37"/>
      <c r="BF396" s="37"/>
    </row>
    <row r="397" spans="2:58" ht="25.15" customHeight="1" x14ac:dyDescent="0.25">
      <c r="B397" s="49">
        <v>393</v>
      </c>
      <c r="C397" s="37"/>
      <c r="D397" s="41"/>
      <c r="E397" s="40"/>
      <c r="F397" s="87" t="str">
        <f>IF(tbl_Actual_costs_quantities34[[#This Row],[House Code]]&lt;&gt;"",INDEX(tbl_Assessment[],MATCH(tbl_Actual_costs_quantities34[[#This Row],[House Code]],tbl_Assessment[House Code],0),3),"")</f>
        <v/>
      </c>
      <c r="G397" s="116" t="str">
        <f>IF(tbl_Actual_costs_quantities34[[#This Row],[House Code]]&lt;&gt;"",INDEX(tbl_Assessment[],MATCH(tbl_Actual_costs_quantities34[[#This Row],[House Code]],tbl_Assessment[House Code],0),9),"")</f>
        <v/>
      </c>
      <c r="H397" s="41"/>
      <c r="I397" s="41"/>
      <c r="J397" s="41"/>
      <c r="K397" s="116"/>
      <c r="L397" s="117" t="str">
        <f>IF(tbl_Actual_costs_quantities34[[#This Row],[House Code]]&lt;&gt;"",tbl_Actual_costs_quantities34[[#This Row],[Total cost]]/INDEX(tbl_estimated_costs_quantities[],MATCH(tbl_Actual_costs_quantities34[[#This Row],[House Code]],tbl_estimated_costs_quantities[House Code],0),7),"")</f>
        <v/>
      </c>
      <c r="M39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7" s="75"/>
      <c r="O397" s="37"/>
      <c r="P397" s="86">
        <f>tbl_Actual_costs_quantities34[[#This Row],[Site Preparation]]*BOQs!$L$3</f>
        <v>0</v>
      </c>
      <c r="Q397" s="76"/>
      <c r="R397" s="37"/>
      <c r="S397" s="86">
        <f>tbl_Actual_costs_quantities34[[#This Row],[Demolition Removal Unsafe Structures]]*BOQs!$L$4</f>
        <v>0</v>
      </c>
      <c r="T397" s="76"/>
      <c r="U397" s="37"/>
      <c r="V397" s="86">
        <f>tbl_Actual_costs_quantities34[[#This Row],[Concrete Works]]*BOQs!$L$5</f>
        <v>0</v>
      </c>
      <c r="W397" s="76"/>
      <c r="X397" s="37"/>
      <c r="Y397" s="86">
        <f>tbl_Actual_costs_quantities34[[#This Row],[Closure External Openings Walls Windows]]*BOQs!$L$6</f>
        <v>0</v>
      </c>
      <c r="Z397" s="76"/>
      <c r="AA397" s="37"/>
      <c r="AB397" s="86">
        <f>tbl_Actual_costs_quantities34[[#This Row],[Plastering Painting]]*BOQs!$L$7</f>
        <v>0</v>
      </c>
      <c r="AC397" s="76"/>
      <c r="AD397" s="37"/>
      <c r="AE397" s="86">
        <f>tbl_Actual_costs_quantities34[[#This Row],[Floor Repairs]]*BOQs!$L$8</f>
        <v>0</v>
      </c>
      <c r="AF397" s="76"/>
      <c r="AG397" s="37"/>
      <c r="AH397" s="86">
        <f>tbl_Actual_costs_quantities34[[#This Row],[Doors Replacement Repair]]*BOQs!$L$9</f>
        <v>0</v>
      </c>
      <c r="AI397" s="76"/>
      <c r="AJ397" s="37"/>
      <c r="AK397" s="86">
        <f>tbl_Actual_costs_quantities34[[#This Row],[Windows Replacement Repair]]*BOQs!$L$10</f>
        <v>0</v>
      </c>
      <c r="AL397" s="76"/>
      <c r="AM397" s="37"/>
      <c r="AN397" s="86">
        <f>tbl_Actual_costs_quantities34[[#This Row],[Bathroom Rehabilitation]]*BOQs!$L$11</f>
        <v>0</v>
      </c>
      <c r="AO397" s="76"/>
      <c r="AP397" s="37"/>
      <c r="AQ397" s="86">
        <f>tbl_Actual_costs_quantities34[[#This Row],[Ceramic Tile Works WASH]]*BOQs!$L$12</f>
        <v>0</v>
      </c>
      <c r="AR397" s="76"/>
      <c r="AS397" s="37"/>
      <c r="AT397" s="86">
        <f>tbl_Actual_costs_quantities34[[#This Row],[Electrical Repairs Lighting]]*BOQs!$L$13</f>
        <v>0</v>
      </c>
      <c r="AU397" s="76"/>
      <c r="AV397" s="37"/>
      <c r="AW397" s="86">
        <f>tbl_Actual_costs_quantities34[[#This Row],[Roof Insulation Leak Sealing]]*BOQs!$L$14</f>
        <v>0</v>
      </c>
      <c r="AX397" s="76"/>
      <c r="AY397" s="37"/>
      <c r="AZ397" s="86">
        <f>tbl_Actual_costs_quantities34[[#This Row],[Chimney Duct Cleaning Repair]]*BOQs!$L$15</f>
        <v>0</v>
      </c>
      <c r="BA397" s="76"/>
      <c r="BB397" s="37"/>
      <c r="BC397" s="89">
        <f>tbl_Actual_costs_quantities34[[#This Row],[Accessibility Adaptations]]*BOQs!$L$16</f>
        <v>0</v>
      </c>
      <c r="BD397" s="41"/>
      <c r="BE397" s="37"/>
      <c r="BF397" s="37"/>
    </row>
    <row r="398" spans="2:58" ht="25.15" customHeight="1" x14ac:dyDescent="0.25">
      <c r="B398" s="49">
        <v>394</v>
      </c>
      <c r="C398" s="37"/>
      <c r="D398" s="41"/>
      <c r="E398" s="40"/>
      <c r="F398" s="87" t="str">
        <f>IF(tbl_Actual_costs_quantities34[[#This Row],[House Code]]&lt;&gt;"",INDEX(tbl_Assessment[],MATCH(tbl_Actual_costs_quantities34[[#This Row],[House Code]],tbl_Assessment[House Code],0),3),"")</f>
        <v/>
      </c>
      <c r="G398" s="116" t="str">
        <f>IF(tbl_Actual_costs_quantities34[[#This Row],[House Code]]&lt;&gt;"",INDEX(tbl_Assessment[],MATCH(tbl_Actual_costs_quantities34[[#This Row],[House Code]],tbl_Assessment[House Code],0),9),"")</f>
        <v/>
      </c>
      <c r="H398" s="41"/>
      <c r="I398" s="41"/>
      <c r="J398" s="41"/>
      <c r="K398" s="116"/>
      <c r="L398" s="117" t="str">
        <f>IF(tbl_Actual_costs_quantities34[[#This Row],[House Code]]&lt;&gt;"",tbl_Actual_costs_quantities34[[#This Row],[Total cost]]/INDEX(tbl_estimated_costs_quantities[],MATCH(tbl_Actual_costs_quantities34[[#This Row],[House Code]],tbl_estimated_costs_quantities[House Code],0),7),"")</f>
        <v/>
      </c>
      <c r="M39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8" s="75"/>
      <c r="O398" s="37"/>
      <c r="P398" s="86">
        <f>tbl_Actual_costs_quantities34[[#This Row],[Site Preparation]]*BOQs!$L$3</f>
        <v>0</v>
      </c>
      <c r="Q398" s="76"/>
      <c r="R398" s="37"/>
      <c r="S398" s="86">
        <f>tbl_Actual_costs_quantities34[[#This Row],[Demolition Removal Unsafe Structures]]*BOQs!$L$4</f>
        <v>0</v>
      </c>
      <c r="T398" s="76"/>
      <c r="U398" s="37"/>
      <c r="V398" s="86">
        <f>tbl_Actual_costs_quantities34[[#This Row],[Concrete Works]]*BOQs!$L$5</f>
        <v>0</v>
      </c>
      <c r="W398" s="76"/>
      <c r="X398" s="37"/>
      <c r="Y398" s="86">
        <f>tbl_Actual_costs_quantities34[[#This Row],[Closure External Openings Walls Windows]]*BOQs!$L$6</f>
        <v>0</v>
      </c>
      <c r="Z398" s="76"/>
      <c r="AA398" s="37"/>
      <c r="AB398" s="86">
        <f>tbl_Actual_costs_quantities34[[#This Row],[Plastering Painting]]*BOQs!$L$7</f>
        <v>0</v>
      </c>
      <c r="AC398" s="76"/>
      <c r="AD398" s="37"/>
      <c r="AE398" s="86">
        <f>tbl_Actual_costs_quantities34[[#This Row],[Floor Repairs]]*BOQs!$L$8</f>
        <v>0</v>
      </c>
      <c r="AF398" s="76"/>
      <c r="AG398" s="37"/>
      <c r="AH398" s="86">
        <f>tbl_Actual_costs_quantities34[[#This Row],[Doors Replacement Repair]]*BOQs!$L$9</f>
        <v>0</v>
      </c>
      <c r="AI398" s="76"/>
      <c r="AJ398" s="37"/>
      <c r="AK398" s="86">
        <f>tbl_Actual_costs_quantities34[[#This Row],[Windows Replacement Repair]]*BOQs!$L$10</f>
        <v>0</v>
      </c>
      <c r="AL398" s="76"/>
      <c r="AM398" s="37"/>
      <c r="AN398" s="86">
        <f>tbl_Actual_costs_quantities34[[#This Row],[Bathroom Rehabilitation]]*BOQs!$L$11</f>
        <v>0</v>
      </c>
      <c r="AO398" s="76"/>
      <c r="AP398" s="37"/>
      <c r="AQ398" s="86">
        <f>tbl_Actual_costs_quantities34[[#This Row],[Ceramic Tile Works WASH]]*BOQs!$L$12</f>
        <v>0</v>
      </c>
      <c r="AR398" s="76"/>
      <c r="AS398" s="37"/>
      <c r="AT398" s="86">
        <f>tbl_Actual_costs_quantities34[[#This Row],[Electrical Repairs Lighting]]*BOQs!$L$13</f>
        <v>0</v>
      </c>
      <c r="AU398" s="76"/>
      <c r="AV398" s="37"/>
      <c r="AW398" s="86">
        <f>tbl_Actual_costs_quantities34[[#This Row],[Roof Insulation Leak Sealing]]*BOQs!$L$14</f>
        <v>0</v>
      </c>
      <c r="AX398" s="76"/>
      <c r="AY398" s="37"/>
      <c r="AZ398" s="86">
        <f>tbl_Actual_costs_quantities34[[#This Row],[Chimney Duct Cleaning Repair]]*BOQs!$L$15</f>
        <v>0</v>
      </c>
      <c r="BA398" s="76"/>
      <c r="BB398" s="37"/>
      <c r="BC398" s="89">
        <f>tbl_Actual_costs_quantities34[[#This Row],[Accessibility Adaptations]]*BOQs!$L$16</f>
        <v>0</v>
      </c>
      <c r="BD398" s="41"/>
      <c r="BE398" s="37"/>
      <c r="BF398" s="37"/>
    </row>
    <row r="399" spans="2:58" ht="25.15" customHeight="1" x14ac:dyDescent="0.25">
      <c r="B399" s="49">
        <v>395</v>
      </c>
      <c r="C399" s="37"/>
      <c r="D399" s="41"/>
      <c r="E399" s="40"/>
      <c r="F399" s="87" t="str">
        <f>IF(tbl_Actual_costs_quantities34[[#This Row],[House Code]]&lt;&gt;"",INDEX(tbl_Assessment[],MATCH(tbl_Actual_costs_quantities34[[#This Row],[House Code]],tbl_Assessment[House Code],0),3),"")</f>
        <v/>
      </c>
      <c r="G399" s="116" t="str">
        <f>IF(tbl_Actual_costs_quantities34[[#This Row],[House Code]]&lt;&gt;"",INDEX(tbl_Assessment[],MATCH(tbl_Actual_costs_quantities34[[#This Row],[House Code]],tbl_Assessment[House Code],0),9),"")</f>
        <v/>
      </c>
      <c r="H399" s="41"/>
      <c r="I399" s="41"/>
      <c r="J399" s="41"/>
      <c r="K399" s="116"/>
      <c r="L399" s="117" t="str">
        <f>IF(tbl_Actual_costs_quantities34[[#This Row],[House Code]]&lt;&gt;"",tbl_Actual_costs_quantities34[[#This Row],[Total cost]]/INDEX(tbl_estimated_costs_quantities[],MATCH(tbl_Actual_costs_quantities34[[#This Row],[House Code]],tbl_estimated_costs_quantities[House Code],0),7),"")</f>
        <v/>
      </c>
      <c r="M39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399" s="75"/>
      <c r="O399" s="37"/>
      <c r="P399" s="86">
        <f>tbl_Actual_costs_quantities34[[#This Row],[Site Preparation]]*BOQs!$L$3</f>
        <v>0</v>
      </c>
      <c r="Q399" s="76"/>
      <c r="R399" s="37"/>
      <c r="S399" s="86">
        <f>tbl_Actual_costs_quantities34[[#This Row],[Demolition Removal Unsafe Structures]]*BOQs!$L$4</f>
        <v>0</v>
      </c>
      <c r="T399" s="76"/>
      <c r="U399" s="37"/>
      <c r="V399" s="86">
        <f>tbl_Actual_costs_quantities34[[#This Row],[Concrete Works]]*BOQs!$L$5</f>
        <v>0</v>
      </c>
      <c r="W399" s="76"/>
      <c r="X399" s="37"/>
      <c r="Y399" s="86">
        <f>tbl_Actual_costs_quantities34[[#This Row],[Closure External Openings Walls Windows]]*BOQs!$L$6</f>
        <v>0</v>
      </c>
      <c r="Z399" s="76"/>
      <c r="AA399" s="37"/>
      <c r="AB399" s="86">
        <f>tbl_Actual_costs_quantities34[[#This Row],[Plastering Painting]]*BOQs!$L$7</f>
        <v>0</v>
      </c>
      <c r="AC399" s="76"/>
      <c r="AD399" s="37"/>
      <c r="AE399" s="86">
        <f>tbl_Actual_costs_quantities34[[#This Row],[Floor Repairs]]*BOQs!$L$8</f>
        <v>0</v>
      </c>
      <c r="AF399" s="76"/>
      <c r="AG399" s="37"/>
      <c r="AH399" s="86">
        <f>tbl_Actual_costs_quantities34[[#This Row],[Doors Replacement Repair]]*BOQs!$L$9</f>
        <v>0</v>
      </c>
      <c r="AI399" s="76"/>
      <c r="AJ399" s="37"/>
      <c r="AK399" s="86">
        <f>tbl_Actual_costs_quantities34[[#This Row],[Windows Replacement Repair]]*BOQs!$L$10</f>
        <v>0</v>
      </c>
      <c r="AL399" s="76"/>
      <c r="AM399" s="37"/>
      <c r="AN399" s="86">
        <f>tbl_Actual_costs_quantities34[[#This Row],[Bathroom Rehabilitation]]*BOQs!$L$11</f>
        <v>0</v>
      </c>
      <c r="AO399" s="76"/>
      <c r="AP399" s="37"/>
      <c r="AQ399" s="86">
        <f>tbl_Actual_costs_quantities34[[#This Row],[Ceramic Tile Works WASH]]*BOQs!$L$12</f>
        <v>0</v>
      </c>
      <c r="AR399" s="76"/>
      <c r="AS399" s="37"/>
      <c r="AT399" s="86">
        <f>tbl_Actual_costs_quantities34[[#This Row],[Electrical Repairs Lighting]]*BOQs!$L$13</f>
        <v>0</v>
      </c>
      <c r="AU399" s="76"/>
      <c r="AV399" s="37"/>
      <c r="AW399" s="86">
        <f>tbl_Actual_costs_quantities34[[#This Row],[Roof Insulation Leak Sealing]]*BOQs!$L$14</f>
        <v>0</v>
      </c>
      <c r="AX399" s="76"/>
      <c r="AY399" s="37"/>
      <c r="AZ399" s="86">
        <f>tbl_Actual_costs_quantities34[[#This Row],[Chimney Duct Cleaning Repair]]*BOQs!$L$15</f>
        <v>0</v>
      </c>
      <c r="BA399" s="76"/>
      <c r="BB399" s="37"/>
      <c r="BC399" s="89">
        <f>tbl_Actual_costs_quantities34[[#This Row],[Accessibility Adaptations]]*BOQs!$L$16</f>
        <v>0</v>
      </c>
      <c r="BD399" s="41"/>
      <c r="BE399" s="37"/>
      <c r="BF399" s="37"/>
    </row>
    <row r="400" spans="2:58" ht="25.15" customHeight="1" x14ac:dyDescent="0.25">
      <c r="B400" s="49">
        <v>396</v>
      </c>
      <c r="C400" s="37"/>
      <c r="D400" s="41"/>
      <c r="E400" s="40"/>
      <c r="F400" s="87" t="str">
        <f>IF(tbl_Actual_costs_quantities34[[#This Row],[House Code]]&lt;&gt;"",INDEX(tbl_Assessment[],MATCH(tbl_Actual_costs_quantities34[[#This Row],[House Code]],tbl_Assessment[House Code],0),3),"")</f>
        <v/>
      </c>
      <c r="G400" s="116" t="str">
        <f>IF(tbl_Actual_costs_quantities34[[#This Row],[House Code]]&lt;&gt;"",INDEX(tbl_Assessment[],MATCH(tbl_Actual_costs_quantities34[[#This Row],[House Code]],tbl_Assessment[House Code],0),9),"")</f>
        <v/>
      </c>
      <c r="H400" s="41"/>
      <c r="I400" s="41"/>
      <c r="J400" s="41"/>
      <c r="K400" s="116"/>
      <c r="L400" s="117" t="str">
        <f>IF(tbl_Actual_costs_quantities34[[#This Row],[House Code]]&lt;&gt;"",tbl_Actual_costs_quantities34[[#This Row],[Total cost]]/INDEX(tbl_estimated_costs_quantities[],MATCH(tbl_Actual_costs_quantities34[[#This Row],[House Code]],tbl_estimated_costs_quantities[House Code],0),7),"")</f>
        <v/>
      </c>
      <c r="M40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0" s="75"/>
      <c r="O400" s="37"/>
      <c r="P400" s="86">
        <f>tbl_Actual_costs_quantities34[[#This Row],[Site Preparation]]*BOQs!$L$3</f>
        <v>0</v>
      </c>
      <c r="Q400" s="76"/>
      <c r="R400" s="37"/>
      <c r="S400" s="86">
        <f>tbl_Actual_costs_quantities34[[#This Row],[Demolition Removal Unsafe Structures]]*BOQs!$L$4</f>
        <v>0</v>
      </c>
      <c r="T400" s="76"/>
      <c r="U400" s="37"/>
      <c r="V400" s="86">
        <f>tbl_Actual_costs_quantities34[[#This Row],[Concrete Works]]*BOQs!$L$5</f>
        <v>0</v>
      </c>
      <c r="W400" s="76"/>
      <c r="X400" s="37"/>
      <c r="Y400" s="86">
        <f>tbl_Actual_costs_quantities34[[#This Row],[Closure External Openings Walls Windows]]*BOQs!$L$6</f>
        <v>0</v>
      </c>
      <c r="Z400" s="76"/>
      <c r="AA400" s="37"/>
      <c r="AB400" s="86">
        <f>tbl_Actual_costs_quantities34[[#This Row],[Plastering Painting]]*BOQs!$L$7</f>
        <v>0</v>
      </c>
      <c r="AC400" s="76"/>
      <c r="AD400" s="37"/>
      <c r="AE400" s="86">
        <f>tbl_Actual_costs_quantities34[[#This Row],[Floor Repairs]]*BOQs!$L$8</f>
        <v>0</v>
      </c>
      <c r="AF400" s="76"/>
      <c r="AG400" s="37"/>
      <c r="AH400" s="86">
        <f>tbl_Actual_costs_quantities34[[#This Row],[Doors Replacement Repair]]*BOQs!$L$9</f>
        <v>0</v>
      </c>
      <c r="AI400" s="76"/>
      <c r="AJ400" s="37"/>
      <c r="AK400" s="86">
        <f>tbl_Actual_costs_quantities34[[#This Row],[Windows Replacement Repair]]*BOQs!$L$10</f>
        <v>0</v>
      </c>
      <c r="AL400" s="76"/>
      <c r="AM400" s="37"/>
      <c r="AN400" s="86">
        <f>tbl_Actual_costs_quantities34[[#This Row],[Bathroom Rehabilitation]]*BOQs!$L$11</f>
        <v>0</v>
      </c>
      <c r="AO400" s="76"/>
      <c r="AP400" s="37"/>
      <c r="AQ400" s="86">
        <f>tbl_Actual_costs_quantities34[[#This Row],[Ceramic Tile Works WASH]]*BOQs!$L$12</f>
        <v>0</v>
      </c>
      <c r="AR400" s="76"/>
      <c r="AS400" s="37"/>
      <c r="AT400" s="86">
        <f>tbl_Actual_costs_quantities34[[#This Row],[Electrical Repairs Lighting]]*BOQs!$L$13</f>
        <v>0</v>
      </c>
      <c r="AU400" s="76"/>
      <c r="AV400" s="37"/>
      <c r="AW400" s="86">
        <f>tbl_Actual_costs_quantities34[[#This Row],[Roof Insulation Leak Sealing]]*BOQs!$L$14</f>
        <v>0</v>
      </c>
      <c r="AX400" s="76"/>
      <c r="AY400" s="37"/>
      <c r="AZ400" s="86">
        <f>tbl_Actual_costs_quantities34[[#This Row],[Chimney Duct Cleaning Repair]]*BOQs!$L$15</f>
        <v>0</v>
      </c>
      <c r="BA400" s="76"/>
      <c r="BB400" s="37"/>
      <c r="BC400" s="89">
        <f>tbl_Actual_costs_quantities34[[#This Row],[Accessibility Adaptations]]*BOQs!$L$16</f>
        <v>0</v>
      </c>
      <c r="BD400" s="41"/>
      <c r="BE400" s="37"/>
      <c r="BF400" s="37"/>
    </row>
    <row r="401" spans="2:58" ht="25.15" customHeight="1" x14ac:dyDescent="0.25">
      <c r="B401" s="49">
        <v>397</v>
      </c>
      <c r="C401" s="37"/>
      <c r="D401" s="41"/>
      <c r="E401" s="40"/>
      <c r="F401" s="87" t="str">
        <f>IF(tbl_Actual_costs_quantities34[[#This Row],[House Code]]&lt;&gt;"",INDEX(tbl_Assessment[],MATCH(tbl_Actual_costs_quantities34[[#This Row],[House Code]],tbl_Assessment[House Code],0),3),"")</f>
        <v/>
      </c>
      <c r="G401" s="116" t="str">
        <f>IF(tbl_Actual_costs_quantities34[[#This Row],[House Code]]&lt;&gt;"",INDEX(tbl_Assessment[],MATCH(tbl_Actual_costs_quantities34[[#This Row],[House Code]],tbl_Assessment[House Code],0),9),"")</f>
        <v/>
      </c>
      <c r="H401" s="41"/>
      <c r="I401" s="41"/>
      <c r="J401" s="41"/>
      <c r="K401" s="116"/>
      <c r="L401" s="117" t="str">
        <f>IF(tbl_Actual_costs_quantities34[[#This Row],[House Code]]&lt;&gt;"",tbl_Actual_costs_quantities34[[#This Row],[Total cost]]/INDEX(tbl_estimated_costs_quantities[],MATCH(tbl_Actual_costs_quantities34[[#This Row],[House Code]],tbl_estimated_costs_quantities[House Code],0),7),"")</f>
        <v/>
      </c>
      <c r="M40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1" s="75"/>
      <c r="O401" s="37"/>
      <c r="P401" s="86">
        <f>tbl_Actual_costs_quantities34[[#This Row],[Site Preparation]]*BOQs!$L$3</f>
        <v>0</v>
      </c>
      <c r="Q401" s="76"/>
      <c r="R401" s="37"/>
      <c r="S401" s="86">
        <f>tbl_Actual_costs_quantities34[[#This Row],[Demolition Removal Unsafe Structures]]*BOQs!$L$4</f>
        <v>0</v>
      </c>
      <c r="T401" s="76"/>
      <c r="U401" s="37"/>
      <c r="V401" s="86">
        <f>tbl_Actual_costs_quantities34[[#This Row],[Concrete Works]]*BOQs!$L$5</f>
        <v>0</v>
      </c>
      <c r="W401" s="76"/>
      <c r="X401" s="37"/>
      <c r="Y401" s="86">
        <f>tbl_Actual_costs_quantities34[[#This Row],[Closure External Openings Walls Windows]]*BOQs!$L$6</f>
        <v>0</v>
      </c>
      <c r="Z401" s="76"/>
      <c r="AA401" s="37"/>
      <c r="AB401" s="86">
        <f>tbl_Actual_costs_quantities34[[#This Row],[Plastering Painting]]*BOQs!$L$7</f>
        <v>0</v>
      </c>
      <c r="AC401" s="76"/>
      <c r="AD401" s="37"/>
      <c r="AE401" s="86">
        <f>tbl_Actual_costs_quantities34[[#This Row],[Floor Repairs]]*BOQs!$L$8</f>
        <v>0</v>
      </c>
      <c r="AF401" s="76"/>
      <c r="AG401" s="37"/>
      <c r="AH401" s="86">
        <f>tbl_Actual_costs_quantities34[[#This Row],[Doors Replacement Repair]]*BOQs!$L$9</f>
        <v>0</v>
      </c>
      <c r="AI401" s="76"/>
      <c r="AJ401" s="37"/>
      <c r="AK401" s="86">
        <f>tbl_Actual_costs_quantities34[[#This Row],[Windows Replacement Repair]]*BOQs!$L$10</f>
        <v>0</v>
      </c>
      <c r="AL401" s="76"/>
      <c r="AM401" s="37"/>
      <c r="AN401" s="86">
        <f>tbl_Actual_costs_quantities34[[#This Row],[Bathroom Rehabilitation]]*BOQs!$L$11</f>
        <v>0</v>
      </c>
      <c r="AO401" s="76"/>
      <c r="AP401" s="37"/>
      <c r="AQ401" s="86">
        <f>tbl_Actual_costs_quantities34[[#This Row],[Ceramic Tile Works WASH]]*BOQs!$L$12</f>
        <v>0</v>
      </c>
      <c r="AR401" s="76"/>
      <c r="AS401" s="37"/>
      <c r="AT401" s="86">
        <f>tbl_Actual_costs_quantities34[[#This Row],[Electrical Repairs Lighting]]*BOQs!$L$13</f>
        <v>0</v>
      </c>
      <c r="AU401" s="76"/>
      <c r="AV401" s="37"/>
      <c r="AW401" s="86">
        <f>tbl_Actual_costs_quantities34[[#This Row],[Roof Insulation Leak Sealing]]*BOQs!$L$14</f>
        <v>0</v>
      </c>
      <c r="AX401" s="76"/>
      <c r="AY401" s="37"/>
      <c r="AZ401" s="86">
        <f>tbl_Actual_costs_quantities34[[#This Row],[Chimney Duct Cleaning Repair]]*BOQs!$L$15</f>
        <v>0</v>
      </c>
      <c r="BA401" s="76"/>
      <c r="BB401" s="37"/>
      <c r="BC401" s="89">
        <f>tbl_Actual_costs_quantities34[[#This Row],[Accessibility Adaptations]]*BOQs!$L$16</f>
        <v>0</v>
      </c>
      <c r="BD401" s="41"/>
      <c r="BE401" s="37"/>
      <c r="BF401" s="37"/>
    </row>
    <row r="402" spans="2:58" ht="25.15" customHeight="1" x14ac:dyDescent="0.25">
      <c r="B402" s="49">
        <v>398</v>
      </c>
      <c r="C402" s="37"/>
      <c r="D402" s="41"/>
      <c r="E402" s="40"/>
      <c r="F402" s="87" t="str">
        <f>IF(tbl_Actual_costs_quantities34[[#This Row],[House Code]]&lt;&gt;"",INDEX(tbl_Assessment[],MATCH(tbl_Actual_costs_quantities34[[#This Row],[House Code]],tbl_Assessment[House Code],0),3),"")</f>
        <v/>
      </c>
      <c r="G402" s="116" t="str">
        <f>IF(tbl_Actual_costs_quantities34[[#This Row],[House Code]]&lt;&gt;"",INDEX(tbl_Assessment[],MATCH(tbl_Actual_costs_quantities34[[#This Row],[House Code]],tbl_Assessment[House Code],0),9),"")</f>
        <v/>
      </c>
      <c r="H402" s="41"/>
      <c r="I402" s="41"/>
      <c r="J402" s="41"/>
      <c r="K402" s="116"/>
      <c r="L402" s="117" t="str">
        <f>IF(tbl_Actual_costs_quantities34[[#This Row],[House Code]]&lt;&gt;"",tbl_Actual_costs_quantities34[[#This Row],[Total cost]]/INDEX(tbl_estimated_costs_quantities[],MATCH(tbl_Actual_costs_quantities34[[#This Row],[House Code]],tbl_estimated_costs_quantities[House Code],0),7),"")</f>
        <v/>
      </c>
      <c r="M40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2" s="75"/>
      <c r="O402" s="37"/>
      <c r="P402" s="86">
        <f>tbl_Actual_costs_quantities34[[#This Row],[Site Preparation]]*BOQs!$L$3</f>
        <v>0</v>
      </c>
      <c r="Q402" s="76"/>
      <c r="R402" s="37"/>
      <c r="S402" s="86">
        <f>tbl_Actual_costs_quantities34[[#This Row],[Demolition Removal Unsafe Structures]]*BOQs!$L$4</f>
        <v>0</v>
      </c>
      <c r="T402" s="76"/>
      <c r="U402" s="37"/>
      <c r="V402" s="86">
        <f>tbl_Actual_costs_quantities34[[#This Row],[Concrete Works]]*BOQs!$L$5</f>
        <v>0</v>
      </c>
      <c r="W402" s="76"/>
      <c r="X402" s="37"/>
      <c r="Y402" s="86">
        <f>tbl_Actual_costs_quantities34[[#This Row],[Closure External Openings Walls Windows]]*BOQs!$L$6</f>
        <v>0</v>
      </c>
      <c r="Z402" s="76"/>
      <c r="AA402" s="37"/>
      <c r="AB402" s="86">
        <f>tbl_Actual_costs_quantities34[[#This Row],[Plastering Painting]]*BOQs!$L$7</f>
        <v>0</v>
      </c>
      <c r="AC402" s="76"/>
      <c r="AD402" s="37"/>
      <c r="AE402" s="86">
        <f>tbl_Actual_costs_quantities34[[#This Row],[Floor Repairs]]*BOQs!$L$8</f>
        <v>0</v>
      </c>
      <c r="AF402" s="76"/>
      <c r="AG402" s="37"/>
      <c r="AH402" s="86">
        <f>tbl_Actual_costs_quantities34[[#This Row],[Doors Replacement Repair]]*BOQs!$L$9</f>
        <v>0</v>
      </c>
      <c r="AI402" s="76"/>
      <c r="AJ402" s="37"/>
      <c r="AK402" s="86">
        <f>tbl_Actual_costs_quantities34[[#This Row],[Windows Replacement Repair]]*BOQs!$L$10</f>
        <v>0</v>
      </c>
      <c r="AL402" s="76"/>
      <c r="AM402" s="37"/>
      <c r="AN402" s="86">
        <f>tbl_Actual_costs_quantities34[[#This Row],[Bathroom Rehabilitation]]*BOQs!$L$11</f>
        <v>0</v>
      </c>
      <c r="AO402" s="76"/>
      <c r="AP402" s="37"/>
      <c r="AQ402" s="86">
        <f>tbl_Actual_costs_quantities34[[#This Row],[Ceramic Tile Works WASH]]*BOQs!$L$12</f>
        <v>0</v>
      </c>
      <c r="AR402" s="76"/>
      <c r="AS402" s="37"/>
      <c r="AT402" s="86">
        <f>tbl_Actual_costs_quantities34[[#This Row],[Electrical Repairs Lighting]]*BOQs!$L$13</f>
        <v>0</v>
      </c>
      <c r="AU402" s="76"/>
      <c r="AV402" s="37"/>
      <c r="AW402" s="86">
        <f>tbl_Actual_costs_quantities34[[#This Row],[Roof Insulation Leak Sealing]]*BOQs!$L$14</f>
        <v>0</v>
      </c>
      <c r="AX402" s="76"/>
      <c r="AY402" s="37"/>
      <c r="AZ402" s="86">
        <f>tbl_Actual_costs_quantities34[[#This Row],[Chimney Duct Cleaning Repair]]*BOQs!$L$15</f>
        <v>0</v>
      </c>
      <c r="BA402" s="76"/>
      <c r="BB402" s="37"/>
      <c r="BC402" s="89">
        <f>tbl_Actual_costs_quantities34[[#This Row],[Accessibility Adaptations]]*BOQs!$L$16</f>
        <v>0</v>
      </c>
      <c r="BD402" s="41"/>
      <c r="BE402" s="37"/>
      <c r="BF402" s="37"/>
    </row>
    <row r="403" spans="2:58" ht="25.15" customHeight="1" x14ac:dyDescent="0.25">
      <c r="B403" s="49">
        <v>399</v>
      </c>
      <c r="C403" s="37"/>
      <c r="D403" s="41"/>
      <c r="E403" s="40"/>
      <c r="F403" s="87" t="str">
        <f>IF(tbl_Actual_costs_quantities34[[#This Row],[House Code]]&lt;&gt;"",INDEX(tbl_Assessment[],MATCH(tbl_Actual_costs_quantities34[[#This Row],[House Code]],tbl_Assessment[House Code],0),3),"")</f>
        <v/>
      </c>
      <c r="G403" s="116" t="str">
        <f>IF(tbl_Actual_costs_quantities34[[#This Row],[House Code]]&lt;&gt;"",INDEX(tbl_Assessment[],MATCH(tbl_Actual_costs_quantities34[[#This Row],[House Code]],tbl_Assessment[House Code],0),9),"")</f>
        <v/>
      </c>
      <c r="H403" s="41"/>
      <c r="I403" s="41"/>
      <c r="J403" s="41"/>
      <c r="K403" s="116"/>
      <c r="L403" s="117" t="str">
        <f>IF(tbl_Actual_costs_quantities34[[#This Row],[House Code]]&lt;&gt;"",tbl_Actual_costs_quantities34[[#This Row],[Total cost]]/INDEX(tbl_estimated_costs_quantities[],MATCH(tbl_Actual_costs_quantities34[[#This Row],[House Code]],tbl_estimated_costs_quantities[House Code],0),7),"")</f>
        <v/>
      </c>
      <c r="M40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3" s="75"/>
      <c r="O403" s="37"/>
      <c r="P403" s="86">
        <f>tbl_Actual_costs_quantities34[[#This Row],[Site Preparation]]*BOQs!$L$3</f>
        <v>0</v>
      </c>
      <c r="Q403" s="76"/>
      <c r="R403" s="37"/>
      <c r="S403" s="86">
        <f>tbl_Actual_costs_quantities34[[#This Row],[Demolition Removal Unsafe Structures]]*BOQs!$L$4</f>
        <v>0</v>
      </c>
      <c r="T403" s="76"/>
      <c r="U403" s="37"/>
      <c r="V403" s="86">
        <f>tbl_Actual_costs_quantities34[[#This Row],[Concrete Works]]*BOQs!$L$5</f>
        <v>0</v>
      </c>
      <c r="W403" s="76"/>
      <c r="X403" s="37"/>
      <c r="Y403" s="86">
        <f>tbl_Actual_costs_quantities34[[#This Row],[Closure External Openings Walls Windows]]*BOQs!$L$6</f>
        <v>0</v>
      </c>
      <c r="Z403" s="76"/>
      <c r="AA403" s="37"/>
      <c r="AB403" s="86">
        <f>tbl_Actual_costs_quantities34[[#This Row],[Plastering Painting]]*BOQs!$L$7</f>
        <v>0</v>
      </c>
      <c r="AC403" s="76"/>
      <c r="AD403" s="37"/>
      <c r="AE403" s="86">
        <f>tbl_Actual_costs_quantities34[[#This Row],[Floor Repairs]]*BOQs!$L$8</f>
        <v>0</v>
      </c>
      <c r="AF403" s="76"/>
      <c r="AG403" s="37"/>
      <c r="AH403" s="86">
        <f>tbl_Actual_costs_quantities34[[#This Row],[Doors Replacement Repair]]*BOQs!$L$9</f>
        <v>0</v>
      </c>
      <c r="AI403" s="76"/>
      <c r="AJ403" s="37"/>
      <c r="AK403" s="86">
        <f>tbl_Actual_costs_quantities34[[#This Row],[Windows Replacement Repair]]*BOQs!$L$10</f>
        <v>0</v>
      </c>
      <c r="AL403" s="76"/>
      <c r="AM403" s="37"/>
      <c r="AN403" s="86">
        <f>tbl_Actual_costs_quantities34[[#This Row],[Bathroom Rehabilitation]]*BOQs!$L$11</f>
        <v>0</v>
      </c>
      <c r="AO403" s="76"/>
      <c r="AP403" s="37"/>
      <c r="AQ403" s="86">
        <f>tbl_Actual_costs_quantities34[[#This Row],[Ceramic Tile Works WASH]]*BOQs!$L$12</f>
        <v>0</v>
      </c>
      <c r="AR403" s="76"/>
      <c r="AS403" s="37"/>
      <c r="AT403" s="86">
        <f>tbl_Actual_costs_quantities34[[#This Row],[Electrical Repairs Lighting]]*BOQs!$L$13</f>
        <v>0</v>
      </c>
      <c r="AU403" s="76"/>
      <c r="AV403" s="37"/>
      <c r="AW403" s="86">
        <f>tbl_Actual_costs_quantities34[[#This Row],[Roof Insulation Leak Sealing]]*BOQs!$L$14</f>
        <v>0</v>
      </c>
      <c r="AX403" s="76"/>
      <c r="AY403" s="37"/>
      <c r="AZ403" s="86">
        <f>tbl_Actual_costs_quantities34[[#This Row],[Chimney Duct Cleaning Repair]]*BOQs!$L$15</f>
        <v>0</v>
      </c>
      <c r="BA403" s="76"/>
      <c r="BB403" s="37"/>
      <c r="BC403" s="89">
        <f>tbl_Actual_costs_quantities34[[#This Row],[Accessibility Adaptations]]*BOQs!$L$16</f>
        <v>0</v>
      </c>
      <c r="BD403" s="41"/>
      <c r="BE403" s="37"/>
      <c r="BF403" s="37"/>
    </row>
    <row r="404" spans="2:58" ht="25.15" customHeight="1" x14ac:dyDescent="0.25">
      <c r="B404" s="49">
        <v>400</v>
      </c>
      <c r="C404" s="37"/>
      <c r="D404" s="41"/>
      <c r="E404" s="40"/>
      <c r="F404" s="87" t="str">
        <f>IF(tbl_Actual_costs_quantities34[[#This Row],[House Code]]&lt;&gt;"",INDEX(tbl_Assessment[],MATCH(tbl_Actual_costs_quantities34[[#This Row],[House Code]],tbl_Assessment[House Code],0),3),"")</f>
        <v/>
      </c>
      <c r="G404" s="116" t="str">
        <f>IF(tbl_Actual_costs_quantities34[[#This Row],[House Code]]&lt;&gt;"",INDEX(tbl_Assessment[],MATCH(tbl_Actual_costs_quantities34[[#This Row],[House Code]],tbl_Assessment[House Code],0),9),"")</f>
        <v/>
      </c>
      <c r="H404" s="41"/>
      <c r="I404" s="41"/>
      <c r="J404" s="41"/>
      <c r="K404" s="116"/>
      <c r="L404" s="117" t="str">
        <f>IF(tbl_Actual_costs_quantities34[[#This Row],[House Code]]&lt;&gt;"",tbl_Actual_costs_quantities34[[#This Row],[Total cost]]/INDEX(tbl_estimated_costs_quantities[],MATCH(tbl_Actual_costs_quantities34[[#This Row],[House Code]],tbl_estimated_costs_quantities[House Code],0),7),"")</f>
        <v/>
      </c>
      <c r="M40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4" s="75"/>
      <c r="O404" s="37"/>
      <c r="P404" s="86">
        <f>tbl_Actual_costs_quantities34[[#This Row],[Site Preparation]]*BOQs!$L$3</f>
        <v>0</v>
      </c>
      <c r="Q404" s="76"/>
      <c r="R404" s="37"/>
      <c r="S404" s="86">
        <f>tbl_Actual_costs_quantities34[[#This Row],[Demolition Removal Unsafe Structures]]*BOQs!$L$4</f>
        <v>0</v>
      </c>
      <c r="T404" s="76"/>
      <c r="U404" s="37"/>
      <c r="V404" s="86">
        <f>tbl_Actual_costs_quantities34[[#This Row],[Concrete Works]]*BOQs!$L$5</f>
        <v>0</v>
      </c>
      <c r="W404" s="76"/>
      <c r="X404" s="37"/>
      <c r="Y404" s="86">
        <f>tbl_Actual_costs_quantities34[[#This Row],[Closure External Openings Walls Windows]]*BOQs!$L$6</f>
        <v>0</v>
      </c>
      <c r="Z404" s="76"/>
      <c r="AA404" s="37"/>
      <c r="AB404" s="86">
        <f>tbl_Actual_costs_quantities34[[#This Row],[Plastering Painting]]*BOQs!$L$7</f>
        <v>0</v>
      </c>
      <c r="AC404" s="76"/>
      <c r="AD404" s="37"/>
      <c r="AE404" s="86">
        <f>tbl_Actual_costs_quantities34[[#This Row],[Floor Repairs]]*BOQs!$L$8</f>
        <v>0</v>
      </c>
      <c r="AF404" s="76"/>
      <c r="AG404" s="37"/>
      <c r="AH404" s="86">
        <f>tbl_Actual_costs_quantities34[[#This Row],[Doors Replacement Repair]]*BOQs!$L$9</f>
        <v>0</v>
      </c>
      <c r="AI404" s="76"/>
      <c r="AJ404" s="37"/>
      <c r="AK404" s="86">
        <f>tbl_Actual_costs_quantities34[[#This Row],[Windows Replacement Repair]]*BOQs!$L$10</f>
        <v>0</v>
      </c>
      <c r="AL404" s="76"/>
      <c r="AM404" s="37"/>
      <c r="AN404" s="86">
        <f>tbl_Actual_costs_quantities34[[#This Row],[Bathroom Rehabilitation]]*BOQs!$L$11</f>
        <v>0</v>
      </c>
      <c r="AO404" s="76"/>
      <c r="AP404" s="37"/>
      <c r="AQ404" s="86">
        <f>tbl_Actual_costs_quantities34[[#This Row],[Ceramic Tile Works WASH]]*BOQs!$L$12</f>
        <v>0</v>
      </c>
      <c r="AR404" s="76"/>
      <c r="AS404" s="37"/>
      <c r="AT404" s="86">
        <f>tbl_Actual_costs_quantities34[[#This Row],[Electrical Repairs Lighting]]*BOQs!$L$13</f>
        <v>0</v>
      </c>
      <c r="AU404" s="76"/>
      <c r="AV404" s="37"/>
      <c r="AW404" s="86">
        <f>tbl_Actual_costs_quantities34[[#This Row],[Roof Insulation Leak Sealing]]*BOQs!$L$14</f>
        <v>0</v>
      </c>
      <c r="AX404" s="76"/>
      <c r="AY404" s="37"/>
      <c r="AZ404" s="86">
        <f>tbl_Actual_costs_quantities34[[#This Row],[Chimney Duct Cleaning Repair]]*BOQs!$L$15</f>
        <v>0</v>
      </c>
      <c r="BA404" s="76"/>
      <c r="BB404" s="37"/>
      <c r="BC404" s="89">
        <f>tbl_Actual_costs_quantities34[[#This Row],[Accessibility Adaptations]]*BOQs!$L$16</f>
        <v>0</v>
      </c>
      <c r="BD404" s="41"/>
      <c r="BE404" s="37"/>
      <c r="BF404" s="37"/>
    </row>
    <row r="405" spans="2:58" ht="25.15" customHeight="1" x14ac:dyDescent="0.25">
      <c r="B405" s="49">
        <v>401</v>
      </c>
      <c r="C405" s="37"/>
      <c r="D405" s="41"/>
      <c r="E405" s="40"/>
      <c r="F405" s="87" t="str">
        <f>IF(tbl_Actual_costs_quantities34[[#This Row],[House Code]]&lt;&gt;"",INDEX(tbl_Assessment[],MATCH(tbl_Actual_costs_quantities34[[#This Row],[House Code]],tbl_Assessment[House Code],0),3),"")</f>
        <v/>
      </c>
      <c r="G405" s="116" t="str">
        <f>IF(tbl_Actual_costs_quantities34[[#This Row],[House Code]]&lt;&gt;"",INDEX(tbl_Assessment[],MATCH(tbl_Actual_costs_quantities34[[#This Row],[House Code]],tbl_Assessment[House Code],0),9),"")</f>
        <v/>
      </c>
      <c r="H405" s="41"/>
      <c r="I405" s="41"/>
      <c r="J405" s="41"/>
      <c r="K405" s="116"/>
      <c r="L405" s="117" t="str">
        <f>IF(tbl_Actual_costs_quantities34[[#This Row],[House Code]]&lt;&gt;"",tbl_Actual_costs_quantities34[[#This Row],[Total cost]]/INDEX(tbl_estimated_costs_quantities[],MATCH(tbl_Actual_costs_quantities34[[#This Row],[House Code]],tbl_estimated_costs_quantities[House Code],0),7),"")</f>
        <v/>
      </c>
      <c r="M40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5" s="75"/>
      <c r="O405" s="37"/>
      <c r="P405" s="86">
        <f>tbl_Actual_costs_quantities34[[#This Row],[Site Preparation]]*BOQs!$L$3</f>
        <v>0</v>
      </c>
      <c r="Q405" s="76"/>
      <c r="R405" s="37"/>
      <c r="S405" s="86">
        <f>tbl_Actual_costs_quantities34[[#This Row],[Demolition Removal Unsafe Structures]]*BOQs!$L$4</f>
        <v>0</v>
      </c>
      <c r="T405" s="76"/>
      <c r="U405" s="37"/>
      <c r="V405" s="86">
        <f>tbl_Actual_costs_quantities34[[#This Row],[Concrete Works]]*BOQs!$L$5</f>
        <v>0</v>
      </c>
      <c r="W405" s="76"/>
      <c r="X405" s="37"/>
      <c r="Y405" s="86">
        <f>tbl_Actual_costs_quantities34[[#This Row],[Closure External Openings Walls Windows]]*BOQs!$L$6</f>
        <v>0</v>
      </c>
      <c r="Z405" s="76"/>
      <c r="AA405" s="37"/>
      <c r="AB405" s="86">
        <f>tbl_Actual_costs_quantities34[[#This Row],[Plastering Painting]]*BOQs!$L$7</f>
        <v>0</v>
      </c>
      <c r="AC405" s="76"/>
      <c r="AD405" s="37"/>
      <c r="AE405" s="86">
        <f>tbl_Actual_costs_quantities34[[#This Row],[Floor Repairs]]*BOQs!$L$8</f>
        <v>0</v>
      </c>
      <c r="AF405" s="76"/>
      <c r="AG405" s="37"/>
      <c r="AH405" s="86">
        <f>tbl_Actual_costs_quantities34[[#This Row],[Doors Replacement Repair]]*BOQs!$L$9</f>
        <v>0</v>
      </c>
      <c r="AI405" s="76"/>
      <c r="AJ405" s="37"/>
      <c r="AK405" s="86">
        <f>tbl_Actual_costs_quantities34[[#This Row],[Windows Replacement Repair]]*BOQs!$L$10</f>
        <v>0</v>
      </c>
      <c r="AL405" s="76"/>
      <c r="AM405" s="37"/>
      <c r="AN405" s="86">
        <f>tbl_Actual_costs_quantities34[[#This Row],[Bathroom Rehabilitation]]*BOQs!$L$11</f>
        <v>0</v>
      </c>
      <c r="AO405" s="76"/>
      <c r="AP405" s="37"/>
      <c r="AQ405" s="86">
        <f>tbl_Actual_costs_quantities34[[#This Row],[Ceramic Tile Works WASH]]*BOQs!$L$12</f>
        <v>0</v>
      </c>
      <c r="AR405" s="76"/>
      <c r="AS405" s="37"/>
      <c r="AT405" s="86">
        <f>tbl_Actual_costs_quantities34[[#This Row],[Electrical Repairs Lighting]]*BOQs!$L$13</f>
        <v>0</v>
      </c>
      <c r="AU405" s="76"/>
      <c r="AV405" s="37"/>
      <c r="AW405" s="86">
        <f>tbl_Actual_costs_quantities34[[#This Row],[Roof Insulation Leak Sealing]]*BOQs!$L$14</f>
        <v>0</v>
      </c>
      <c r="AX405" s="76"/>
      <c r="AY405" s="37"/>
      <c r="AZ405" s="86">
        <f>tbl_Actual_costs_quantities34[[#This Row],[Chimney Duct Cleaning Repair]]*BOQs!$L$15</f>
        <v>0</v>
      </c>
      <c r="BA405" s="76"/>
      <c r="BB405" s="37"/>
      <c r="BC405" s="89">
        <f>tbl_Actual_costs_quantities34[[#This Row],[Accessibility Adaptations]]*BOQs!$L$16</f>
        <v>0</v>
      </c>
      <c r="BD405" s="41"/>
      <c r="BE405" s="37"/>
      <c r="BF405" s="37"/>
    </row>
    <row r="406" spans="2:58" ht="25.15" customHeight="1" x14ac:dyDescent="0.25">
      <c r="B406" s="49">
        <v>402</v>
      </c>
      <c r="C406" s="37"/>
      <c r="D406" s="41"/>
      <c r="E406" s="40"/>
      <c r="F406" s="87" t="str">
        <f>IF(tbl_Actual_costs_quantities34[[#This Row],[House Code]]&lt;&gt;"",INDEX(tbl_Assessment[],MATCH(tbl_Actual_costs_quantities34[[#This Row],[House Code]],tbl_Assessment[House Code],0),3),"")</f>
        <v/>
      </c>
      <c r="G406" s="116" t="str">
        <f>IF(tbl_Actual_costs_quantities34[[#This Row],[House Code]]&lt;&gt;"",INDEX(tbl_Assessment[],MATCH(tbl_Actual_costs_quantities34[[#This Row],[House Code]],tbl_Assessment[House Code],0),9),"")</f>
        <v/>
      </c>
      <c r="H406" s="41"/>
      <c r="I406" s="41"/>
      <c r="J406" s="41"/>
      <c r="K406" s="116"/>
      <c r="L406" s="117" t="str">
        <f>IF(tbl_Actual_costs_quantities34[[#This Row],[House Code]]&lt;&gt;"",tbl_Actual_costs_quantities34[[#This Row],[Total cost]]/INDEX(tbl_estimated_costs_quantities[],MATCH(tbl_Actual_costs_quantities34[[#This Row],[House Code]],tbl_estimated_costs_quantities[House Code],0),7),"")</f>
        <v/>
      </c>
      <c r="M40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6" s="75"/>
      <c r="O406" s="37"/>
      <c r="P406" s="86">
        <f>tbl_Actual_costs_quantities34[[#This Row],[Site Preparation]]*BOQs!$L$3</f>
        <v>0</v>
      </c>
      <c r="Q406" s="76"/>
      <c r="R406" s="37"/>
      <c r="S406" s="86">
        <f>tbl_Actual_costs_quantities34[[#This Row],[Demolition Removal Unsafe Structures]]*BOQs!$L$4</f>
        <v>0</v>
      </c>
      <c r="T406" s="76"/>
      <c r="U406" s="37"/>
      <c r="V406" s="86">
        <f>tbl_Actual_costs_quantities34[[#This Row],[Concrete Works]]*BOQs!$L$5</f>
        <v>0</v>
      </c>
      <c r="W406" s="76"/>
      <c r="X406" s="37"/>
      <c r="Y406" s="86">
        <f>tbl_Actual_costs_quantities34[[#This Row],[Closure External Openings Walls Windows]]*BOQs!$L$6</f>
        <v>0</v>
      </c>
      <c r="Z406" s="76"/>
      <c r="AA406" s="37"/>
      <c r="AB406" s="86">
        <f>tbl_Actual_costs_quantities34[[#This Row],[Plastering Painting]]*BOQs!$L$7</f>
        <v>0</v>
      </c>
      <c r="AC406" s="76"/>
      <c r="AD406" s="37"/>
      <c r="AE406" s="86">
        <f>tbl_Actual_costs_quantities34[[#This Row],[Floor Repairs]]*BOQs!$L$8</f>
        <v>0</v>
      </c>
      <c r="AF406" s="76"/>
      <c r="AG406" s="37"/>
      <c r="AH406" s="86">
        <f>tbl_Actual_costs_quantities34[[#This Row],[Doors Replacement Repair]]*BOQs!$L$9</f>
        <v>0</v>
      </c>
      <c r="AI406" s="76"/>
      <c r="AJ406" s="37"/>
      <c r="AK406" s="86">
        <f>tbl_Actual_costs_quantities34[[#This Row],[Windows Replacement Repair]]*BOQs!$L$10</f>
        <v>0</v>
      </c>
      <c r="AL406" s="76"/>
      <c r="AM406" s="37"/>
      <c r="AN406" s="86">
        <f>tbl_Actual_costs_quantities34[[#This Row],[Bathroom Rehabilitation]]*BOQs!$L$11</f>
        <v>0</v>
      </c>
      <c r="AO406" s="76"/>
      <c r="AP406" s="37"/>
      <c r="AQ406" s="86">
        <f>tbl_Actual_costs_quantities34[[#This Row],[Ceramic Tile Works WASH]]*BOQs!$L$12</f>
        <v>0</v>
      </c>
      <c r="AR406" s="76"/>
      <c r="AS406" s="37"/>
      <c r="AT406" s="86">
        <f>tbl_Actual_costs_quantities34[[#This Row],[Electrical Repairs Lighting]]*BOQs!$L$13</f>
        <v>0</v>
      </c>
      <c r="AU406" s="76"/>
      <c r="AV406" s="37"/>
      <c r="AW406" s="86">
        <f>tbl_Actual_costs_quantities34[[#This Row],[Roof Insulation Leak Sealing]]*BOQs!$L$14</f>
        <v>0</v>
      </c>
      <c r="AX406" s="76"/>
      <c r="AY406" s="37"/>
      <c r="AZ406" s="86">
        <f>tbl_Actual_costs_quantities34[[#This Row],[Chimney Duct Cleaning Repair]]*BOQs!$L$15</f>
        <v>0</v>
      </c>
      <c r="BA406" s="76"/>
      <c r="BB406" s="37"/>
      <c r="BC406" s="89">
        <f>tbl_Actual_costs_quantities34[[#This Row],[Accessibility Adaptations]]*BOQs!$L$16</f>
        <v>0</v>
      </c>
      <c r="BD406" s="41"/>
      <c r="BE406" s="37"/>
      <c r="BF406" s="37"/>
    </row>
    <row r="407" spans="2:58" ht="25.15" customHeight="1" x14ac:dyDescent="0.25">
      <c r="B407" s="49">
        <v>403</v>
      </c>
      <c r="C407" s="37"/>
      <c r="D407" s="41"/>
      <c r="E407" s="40"/>
      <c r="F407" s="87" t="str">
        <f>IF(tbl_Actual_costs_quantities34[[#This Row],[House Code]]&lt;&gt;"",INDEX(tbl_Assessment[],MATCH(tbl_Actual_costs_quantities34[[#This Row],[House Code]],tbl_Assessment[House Code],0),3),"")</f>
        <v/>
      </c>
      <c r="G407" s="116" t="str">
        <f>IF(tbl_Actual_costs_quantities34[[#This Row],[House Code]]&lt;&gt;"",INDEX(tbl_Assessment[],MATCH(tbl_Actual_costs_quantities34[[#This Row],[House Code]],tbl_Assessment[House Code],0),9),"")</f>
        <v/>
      </c>
      <c r="H407" s="41"/>
      <c r="I407" s="41"/>
      <c r="J407" s="41"/>
      <c r="K407" s="116"/>
      <c r="L407" s="117" t="str">
        <f>IF(tbl_Actual_costs_quantities34[[#This Row],[House Code]]&lt;&gt;"",tbl_Actual_costs_quantities34[[#This Row],[Total cost]]/INDEX(tbl_estimated_costs_quantities[],MATCH(tbl_Actual_costs_quantities34[[#This Row],[House Code]],tbl_estimated_costs_quantities[House Code],0),7),"")</f>
        <v/>
      </c>
      <c r="M40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7" s="75"/>
      <c r="O407" s="37"/>
      <c r="P407" s="86">
        <f>tbl_Actual_costs_quantities34[[#This Row],[Site Preparation]]*BOQs!$L$3</f>
        <v>0</v>
      </c>
      <c r="Q407" s="76"/>
      <c r="R407" s="37"/>
      <c r="S407" s="86">
        <f>tbl_Actual_costs_quantities34[[#This Row],[Demolition Removal Unsafe Structures]]*BOQs!$L$4</f>
        <v>0</v>
      </c>
      <c r="T407" s="76"/>
      <c r="U407" s="37"/>
      <c r="V407" s="86">
        <f>tbl_Actual_costs_quantities34[[#This Row],[Concrete Works]]*BOQs!$L$5</f>
        <v>0</v>
      </c>
      <c r="W407" s="76"/>
      <c r="X407" s="37"/>
      <c r="Y407" s="86">
        <f>tbl_Actual_costs_quantities34[[#This Row],[Closure External Openings Walls Windows]]*BOQs!$L$6</f>
        <v>0</v>
      </c>
      <c r="Z407" s="76"/>
      <c r="AA407" s="37"/>
      <c r="AB407" s="86">
        <f>tbl_Actual_costs_quantities34[[#This Row],[Plastering Painting]]*BOQs!$L$7</f>
        <v>0</v>
      </c>
      <c r="AC407" s="76"/>
      <c r="AD407" s="37"/>
      <c r="AE407" s="86">
        <f>tbl_Actual_costs_quantities34[[#This Row],[Floor Repairs]]*BOQs!$L$8</f>
        <v>0</v>
      </c>
      <c r="AF407" s="76"/>
      <c r="AG407" s="37"/>
      <c r="AH407" s="86">
        <f>tbl_Actual_costs_quantities34[[#This Row],[Doors Replacement Repair]]*BOQs!$L$9</f>
        <v>0</v>
      </c>
      <c r="AI407" s="76"/>
      <c r="AJ407" s="37"/>
      <c r="AK407" s="86">
        <f>tbl_Actual_costs_quantities34[[#This Row],[Windows Replacement Repair]]*BOQs!$L$10</f>
        <v>0</v>
      </c>
      <c r="AL407" s="76"/>
      <c r="AM407" s="37"/>
      <c r="AN407" s="86">
        <f>tbl_Actual_costs_quantities34[[#This Row],[Bathroom Rehabilitation]]*BOQs!$L$11</f>
        <v>0</v>
      </c>
      <c r="AO407" s="76"/>
      <c r="AP407" s="37"/>
      <c r="AQ407" s="86">
        <f>tbl_Actual_costs_quantities34[[#This Row],[Ceramic Tile Works WASH]]*BOQs!$L$12</f>
        <v>0</v>
      </c>
      <c r="AR407" s="76"/>
      <c r="AS407" s="37"/>
      <c r="AT407" s="86">
        <f>tbl_Actual_costs_quantities34[[#This Row],[Electrical Repairs Lighting]]*BOQs!$L$13</f>
        <v>0</v>
      </c>
      <c r="AU407" s="76"/>
      <c r="AV407" s="37"/>
      <c r="AW407" s="86">
        <f>tbl_Actual_costs_quantities34[[#This Row],[Roof Insulation Leak Sealing]]*BOQs!$L$14</f>
        <v>0</v>
      </c>
      <c r="AX407" s="76"/>
      <c r="AY407" s="37"/>
      <c r="AZ407" s="86">
        <f>tbl_Actual_costs_quantities34[[#This Row],[Chimney Duct Cleaning Repair]]*BOQs!$L$15</f>
        <v>0</v>
      </c>
      <c r="BA407" s="76"/>
      <c r="BB407" s="37"/>
      <c r="BC407" s="89">
        <f>tbl_Actual_costs_quantities34[[#This Row],[Accessibility Adaptations]]*BOQs!$L$16</f>
        <v>0</v>
      </c>
      <c r="BD407" s="41"/>
      <c r="BE407" s="37"/>
      <c r="BF407" s="37"/>
    </row>
    <row r="408" spans="2:58" ht="25.15" customHeight="1" x14ac:dyDescent="0.25">
      <c r="B408" s="49">
        <v>404</v>
      </c>
      <c r="C408" s="37"/>
      <c r="D408" s="41"/>
      <c r="E408" s="40"/>
      <c r="F408" s="87" t="str">
        <f>IF(tbl_Actual_costs_quantities34[[#This Row],[House Code]]&lt;&gt;"",INDEX(tbl_Assessment[],MATCH(tbl_Actual_costs_quantities34[[#This Row],[House Code]],tbl_Assessment[House Code],0),3),"")</f>
        <v/>
      </c>
      <c r="G408" s="116" t="str">
        <f>IF(tbl_Actual_costs_quantities34[[#This Row],[House Code]]&lt;&gt;"",INDEX(tbl_Assessment[],MATCH(tbl_Actual_costs_quantities34[[#This Row],[House Code]],tbl_Assessment[House Code],0),9),"")</f>
        <v/>
      </c>
      <c r="H408" s="41"/>
      <c r="I408" s="41"/>
      <c r="J408" s="41"/>
      <c r="K408" s="116"/>
      <c r="L408" s="117" t="str">
        <f>IF(tbl_Actual_costs_quantities34[[#This Row],[House Code]]&lt;&gt;"",tbl_Actual_costs_quantities34[[#This Row],[Total cost]]/INDEX(tbl_estimated_costs_quantities[],MATCH(tbl_Actual_costs_quantities34[[#This Row],[House Code]],tbl_estimated_costs_quantities[House Code],0),7),"")</f>
        <v/>
      </c>
      <c r="M40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8" s="75"/>
      <c r="O408" s="37"/>
      <c r="P408" s="86">
        <f>tbl_Actual_costs_quantities34[[#This Row],[Site Preparation]]*BOQs!$L$3</f>
        <v>0</v>
      </c>
      <c r="Q408" s="76"/>
      <c r="R408" s="37"/>
      <c r="S408" s="86">
        <f>tbl_Actual_costs_quantities34[[#This Row],[Demolition Removal Unsafe Structures]]*BOQs!$L$4</f>
        <v>0</v>
      </c>
      <c r="T408" s="76"/>
      <c r="U408" s="37"/>
      <c r="V408" s="86">
        <f>tbl_Actual_costs_quantities34[[#This Row],[Concrete Works]]*BOQs!$L$5</f>
        <v>0</v>
      </c>
      <c r="W408" s="76"/>
      <c r="X408" s="37"/>
      <c r="Y408" s="86">
        <f>tbl_Actual_costs_quantities34[[#This Row],[Closure External Openings Walls Windows]]*BOQs!$L$6</f>
        <v>0</v>
      </c>
      <c r="Z408" s="76"/>
      <c r="AA408" s="37"/>
      <c r="AB408" s="86">
        <f>tbl_Actual_costs_quantities34[[#This Row],[Plastering Painting]]*BOQs!$L$7</f>
        <v>0</v>
      </c>
      <c r="AC408" s="76"/>
      <c r="AD408" s="37"/>
      <c r="AE408" s="86">
        <f>tbl_Actual_costs_quantities34[[#This Row],[Floor Repairs]]*BOQs!$L$8</f>
        <v>0</v>
      </c>
      <c r="AF408" s="76"/>
      <c r="AG408" s="37"/>
      <c r="AH408" s="86">
        <f>tbl_Actual_costs_quantities34[[#This Row],[Doors Replacement Repair]]*BOQs!$L$9</f>
        <v>0</v>
      </c>
      <c r="AI408" s="76"/>
      <c r="AJ408" s="37"/>
      <c r="AK408" s="86">
        <f>tbl_Actual_costs_quantities34[[#This Row],[Windows Replacement Repair]]*BOQs!$L$10</f>
        <v>0</v>
      </c>
      <c r="AL408" s="76"/>
      <c r="AM408" s="37"/>
      <c r="AN408" s="86">
        <f>tbl_Actual_costs_quantities34[[#This Row],[Bathroom Rehabilitation]]*BOQs!$L$11</f>
        <v>0</v>
      </c>
      <c r="AO408" s="76"/>
      <c r="AP408" s="37"/>
      <c r="AQ408" s="86">
        <f>tbl_Actual_costs_quantities34[[#This Row],[Ceramic Tile Works WASH]]*BOQs!$L$12</f>
        <v>0</v>
      </c>
      <c r="AR408" s="76"/>
      <c r="AS408" s="37"/>
      <c r="AT408" s="86">
        <f>tbl_Actual_costs_quantities34[[#This Row],[Electrical Repairs Lighting]]*BOQs!$L$13</f>
        <v>0</v>
      </c>
      <c r="AU408" s="76"/>
      <c r="AV408" s="37"/>
      <c r="AW408" s="86">
        <f>tbl_Actual_costs_quantities34[[#This Row],[Roof Insulation Leak Sealing]]*BOQs!$L$14</f>
        <v>0</v>
      </c>
      <c r="AX408" s="76"/>
      <c r="AY408" s="37"/>
      <c r="AZ408" s="86">
        <f>tbl_Actual_costs_quantities34[[#This Row],[Chimney Duct Cleaning Repair]]*BOQs!$L$15</f>
        <v>0</v>
      </c>
      <c r="BA408" s="76"/>
      <c r="BB408" s="37"/>
      <c r="BC408" s="89">
        <f>tbl_Actual_costs_quantities34[[#This Row],[Accessibility Adaptations]]*BOQs!$L$16</f>
        <v>0</v>
      </c>
      <c r="BD408" s="41"/>
      <c r="BE408" s="37"/>
      <c r="BF408" s="37"/>
    </row>
    <row r="409" spans="2:58" ht="25.15" customHeight="1" x14ac:dyDescent="0.25">
      <c r="B409" s="49">
        <v>405</v>
      </c>
      <c r="C409" s="37"/>
      <c r="D409" s="41"/>
      <c r="E409" s="40"/>
      <c r="F409" s="87" t="str">
        <f>IF(tbl_Actual_costs_quantities34[[#This Row],[House Code]]&lt;&gt;"",INDEX(tbl_Assessment[],MATCH(tbl_Actual_costs_quantities34[[#This Row],[House Code]],tbl_Assessment[House Code],0),3),"")</f>
        <v/>
      </c>
      <c r="G409" s="116" t="str">
        <f>IF(tbl_Actual_costs_quantities34[[#This Row],[House Code]]&lt;&gt;"",INDEX(tbl_Assessment[],MATCH(tbl_Actual_costs_quantities34[[#This Row],[House Code]],tbl_Assessment[House Code],0),9),"")</f>
        <v/>
      </c>
      <c r="H409" s="41"/>
      <c r="I409" s="41"/>
      <c r="J409" s="41"/>
      <c r="K409" s="116"/>
      <c r="L409" s="117" t="str">
        <f>IF(tbl_Actual_costs_quantities34[[#This Row],[House Code]]&lt;&gt;"",tbl_Actual_costs_quantities34[[#This Row],[Total cost]]/INDEX(tbl_estimated_costs_quantities[],MATCH(tbl_Actual_costs_quantities34[[#This Row],[House Code]],tbl_estimated_costs_quantities[House Code],0),7),"")</f>
        <v/>
      </c>
      <c r="M40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09" s="75"/>
      <c r="O409" s="37"/>
      <c r="P409" s="86">
        <f>tbl_Actual_costs_quantities34[[#This Row],[Site Preparation]]*BOQs!$L$3</f>
        <v>0</v>
      </c>
      <c r="Q409" s="76"/>
      <c r="R409" s="37"/>
      <c r="S409" s="86">
        <f>tbl_Actual_costs_quantities34[[#This Row],[Demolition Removal Unsafe Structures]]*BOQs!$L$4</f>
        <v>0</v>
      </c>
      <c r="T409" s="76"/>
      <c r="U409" s="37"/>
      <c r="V409" s="86">
        <f>tbl_Actual_costs_quantities34[[#This Row],[Concrete Works]]*BOQs!$L$5</f>
        <v>0</v>
      </c>
      <c r="W409" s="76"/>
      <c r="X409" s="37"/>
      <c r="Y409" s="86">
        <f>tbl_Actual_costs_quantities34[[#This Row],[Closure External Openings Walls Windows]]*BOQs!$L$6</f>
        <v>0</v>
      </c>
      <c r="Z409" s="76"/>
      <c r="AA409" s="37"/>
      <c r="AB409" s="86">
        <f>tbl_Actual_costs_quantities34[[#This Row],[Plastering Painting]]*BOQs!$L$7</f>
        <v>0</v>
      </c>
      <c r="AC409" s="76"/>
      <c r="AD409" s="37"/>
      <c r="AE409" s="86">
        <f>tbl_Actual_costs_quantities34[[#This Row],[Floor Repairs]]*BOQs!$L$8</f>
        <v>0</v>
      </c>
      <c r="AF409" s="76"/>
      <c r="AG409" s="37"/>
      <c r="AH409" s="86">
        <f>tbl_Actual_costs_quantities34[[#This Row],[Doors Replacement Repair]]*BOQs!$L$9</f>
        <v>0</v>
      </c>
      <c r="AI409" s="76"/>
      <c r="AJ409" s="37"/>
      <c r="AK409" s="86">
        <f>tbl_Actual_costs_quantities34[[#This Row],[Windows Replacement Repair]]*BOQs!$L$10</f>
        <v>0</v>
      </c>
      <c r="AL409" s="76"/>
      <c r="AM409" s="37"/>
      <c r="AN409" s="86">
        <f>tbl_Actual_costs_quantities34[[#This Row],[Bathroom Rehabilitation]]*BOQs!$L$11</f>
        <v>0</v>
      </c>
      <c r="AO409" s="76"/>
      <c r="AP409" s="37"/>
      <c r="AQ409" s="86">
        <f>tbl_Actual_costs_quantities34[[#This Row],[Ceramic Tile Works WASH]]*BOQs!$L$12</f>
        <v>0</v>
      </c>
      <c r="AR409" s="76"/>
      <c r="AS409" s="37"/>
      <c r="AT409" s="86">
        <f>tbl_Actual_costs_quantities34[[#This Row],[Electrical Repairs Lighting]]*BOQs!$L$13</f>
        <v>0</v>
      </c>
      <c r="AU409" s="76"/>
      <c r="AV409" s="37"/>
      <c r="AW409" s="86">
        <f>tbl_Actual_costs_quantities34[[#This Row],[Roof Insulation Leak Sealing]]*BOQs!$L$14</f>
        <v>0</v>
      </c>
      <c r="AX409" s="76"/>
      <c r="AY409" s="37"/>
      <c r="AZ409" s="86">
        <f>tbl_Actual_costs_quantities34[[#This Row],[Chimney Duct Cleaning Repair]]*BOQs!$L$15</f>
        <v>0</v>
      </c>
      <c r="BA409" s="76"/>
      <c r="BB409" s="37"/>
      <c r="BC409" s="89">
        <f>tbl_Actual_costs_quantities34[[#This Row],[Accessibility Adaptations]]*BOQs!$L$16</f>
        <v>0</v>
      </c>
      <c r="BD409" s="41"/>
      <c r="BE409" s="37"/>
      <c r="BF409" s="37"/>
    </row>
    <row r="410" spans="2:58" ht="25.15" customHeight="1" x14ac:dyDescent="0.25">
      <c r="B410" s="49">
        <v>406</v>
      </c>
      <c r="C410" s="37"/>
      <c r="D410" s="41"/>
      <c r="E410" s="40"/>
      <c r="F410" s="87" t="str">
        <f>IF(tbl_Actual_costs_quantities34[[#This Row],[House Code]]&lt;&gt;"",INDEX(tbl_Assessment[],MATCH(tbl_Actual_costs_quantities34[[#This Row],[House Code]],tbl_Assessment[House Code],0),3),"")</f>
        <v/>
      </c>
      <c r="G410" s="116" t="str">
        <f>IF(tbl_Actual_costs_quantities34[[#This Row],[House Code]]&lt;&gt;"",INDEX(tbl_Assessment[],MATCH(tbl_Actual_costs_quantities34[[#This Row],[House Code]],tbl_Assessment[House Code],0),9),"")</f>
        <v/>
      </c>
      <c r="H410" s="41"/>
      <c r="I410" s="41"/>
      <c r="J410" s="41"/>
      <c r="K410" s="116"/>
      <c r="L410" s="117" t="str">
        <f>IF(tbl_Actual_costs_quantities34[[#This Row],[House Code]]&lt;&gt;"",tbl_Actual_costs_quantities34[[#This Row],[Total cost]]/INDEX(tbl_estimated_costs_quantities[],MATCH(tbl_Actual_costs_quantities34[[#This Row],[House Code]],tbl_estimated_costs_quantities[House Code],0),7),"")</f>
        <v/>
      </c>
      <c r="M41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0" s="75"/>
      <c r="O410" s="37"/>
      <c r="P410" s="86">
        <f>tbl_Actual_costs_quantities34[[#This Row],[Site Preparation]]*BOQs!$L$3</f>
        <v>0</v>
      </c>
      <c r="Q410" s="76"/>
      <c r="R410" s="37"/>
      <c r="S410" s="86">
        <f>tbl_Actual_costs_quantities34[[#This Row],[Demolition Removal Unsafe Structures]]*BOQs!$L$4</f>
        <v>0</v>
      </c>
      <c r="T410" s="76"/>
      <c r="U410" s="37"/>
      <c r="V410" s="86">
        <f>tbl_Actual_costs_quantities34[[#This Row],[Concrete Works]]*BOQs!$L$5</f>
        <v>0</v>
      </c>
      <c r="W410" s="76"/>
      <c r="X410" s="37"/>
      <c r="Y410" s="86">
        <f>tbl_Actual_costs_quantities34[[#This Row],[Closure External Openings Walls Windows]]*BOQs!$L$6</f>
        <v>0</v>
      </c>
      <c r="Z410" s="76"/>
      <c r="AA410" s="37"/>
      <c r="AB410" s="86">
        <f>tbl_Actual_costs_quantities34[[#This Row],[Plastering Painting]]*BOQs!$L$7</f>
        <v>0</v>
      </c>
      <c r="AC410" s="76"/>
      <c r="AD410" s="37"/>
      <c r="AE410" s="86">
        <f>tbl_Actual_costs_quantities34[[#This Row],[Floor Repairs]]*BOQs!$L$8</f>
        <v>0</v>
      </c>
      <c r="AF410" s="76"/>
      <c r="AG410" s="37"/>
      <c r="AH410" s="86">
        <f>tbl_Actual_costs_quantities34[[#This Row],[Doors Replacement Repair]]*BOQs!$L$9</f>
        <v>0</v>
      </c>
      <c r="AI410" s="76"/>
      <c r="AJ410" s="37"/>
      <c r="AK410" s="86">
        <f>tbl_Actual_costs_quantities34[[#This Row],[Windows Replacement Repair]]*BOQs!$L$10</f>
        <v>0</v>
      </c>
      <c r="AL410" s="76"/>
      <c r="AM410" s="37"/>
      <c r="AN410" s="86">
        <f>tbl_Actual_costs_quantities34[[#This Row],[Bathroom Rehabilitation]]*BOQs!$L$11</f>
        <v>0</v>
      </c>
      <c r="AO410" s="76"/>
      <c r="AP410" s="37"/>
      <c r="AQ410" s="86">
        <f>tbl_Actual_costs_quantities34[[#This Row],[Ceramic Tile Works WASH]]*BOQs!$L$12</f>
        <v>0</v>
      </c>
      <c r="AR410" s="76"/>
      <c r="AS410" s="37"/>
      <c r="AT410" s="86">
        <f>tbl_Actual_costs_quantities34[[#This Row],[Electrical Repairs Lighting]]*BOQs!$L$13</f>
        <v>0</v>
      </c>
      <c r="AU410" s="76"/>
      <c r="AV410" s="37"/>
      <c r="AW410" s="86">
        <f>tbl_Actual_costs_quantities34[[#This Row],[Roof Insulation Leak Sealing]]*BOQs!$L$14</f>
        <v>0</v>
      </c>
      <c r="AX410" s="76"/>
      <c r="AY410" s="37"/>
      <c r="AZ410" s="86">
        <f>tbl_Actual_costs_quantities34[[#This Row],[Chimney Duct Cleaning Repair]]*BOQs!$L$15</f>
        <v>0</v>
      </c>
      <c r="BA410" s="76"/>
      <c r="BB410" s="37"/>
      <c r="BC410" s="89">
        <f>tbl_Actual_costs_quantities34[[#This Row],[Accessibility Adaptations]]*BOQs!$L$16</f>
        <v>0</v>
      </c>
      <c r="BD410" s="41"/>
      <c r="BE410" s="37"/>
      <c r="BF410" s="37"/>
    </row>
    <row r="411" spans="2:58" ht="25.15" customHeight="1" x14ac:dyDescent="0.25">
      <c r="B411" s="49">
        <v>407</v>
      </c>
      <c r="C411" s="37"/>
      <c r="D411" s="41"/>
      <c r="E411" s="40"/>
      <c r="F411" s="87" t="str">
        <f>IF(tbl_Actual_costs_quantities34[[#This Row],[House Code]]&lt;&gt;"",INDEX(tbl_Assessment[],MATCH(tbl_Actual_costs_quantities34[[#This Row],[House Code]],tbl_Assessment[House Code],0),3),"")</f>
        <v/>
      </c>
      <c r="G411" s="116" t="str">
        <f>IF(tbl_Actual_costs_quantities34[[#This Row],[House Code]]&lt;&gt;"",INDEX(tbl_Assessment[],MATCH(tbl_Actual_costs_quantities34[[#This Row],[House Code]],tbl_Assessment[House Code],0),9),"")</f>
        <v/>
      </c>
      <c r="H411" s="41"/>
      <c r="I411" s="41"/>
      <c r="J411" s="41"/>
      <c r="K411" s="116"/>
      <c r="L411" s="117" t="str">
        <f>IF(tbl_Actual_costs_quantities34[[#This Row],[House Code]]&lt;&gt;"",tbl_Actual_costs_quantities34[[#This Row],[Total cost]]/INDEX(tbl_estimated_costs_quantities[],MATCH(tbl_Actual_costs_quantities34[[#This Row],[House Code]],tbl_estimated_costs_quantities[House Code],0),7),"")</f>
        <v/>
      </c>
      <c r="M41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1" s="75"/>
      <c r="O411" s="37"/>
      <c r="P411" s="86">
        <f>tbl_Actual_costs_quantities34[[#This Row],[Site Preparation]]*BOQs!$L$3</f>
        <v>0</v>
      </c>
      <c r="Q411" s="76"/>
      <c r="R411" s="37"/>
      <c r="S411" s="86">
        <f>tbl_Actual_costs_quantities34[[#This Row],[Demolition Removal Unsafe Structures]]*BOQs!$L$4</f>
        <v>0</v>
      </c>
      <c r="T411" s="76"/>
      <c r="U411" s="37"/>
      <c r="V411" s="86">
        <f>tbl_Actual_costs_quantities34[[#This Row],[Concrete Works]]*BOQs!$L$5</f>
        <v>0</v>
      </c>
      <c r="W411" s="76"/>
      <c r="X411" s="37"/>
      <c r="Y411" s="86">
        <f>tbl_Actual_costs_quantities34[[#This Row],[Closure External Openings Walls Windows]]*BOQs!$L$6</f>
        <v>0</v>
      </c>
      <c r="Z411" s="76"/>
      <c r="AA411" s="37"/>
      <c r="AB411" s="86">
        <f>tbl_Actual_costs_quantities34[[#This Row],[Plastering Painting]]*BOQs!$L$7</f>
        <v>0</v>
      </c>
      <c r="AC411" s="76"/>
      <c r="AD411" s="37"/>
      <c r="AE411" s="86">
        <f>tbl_Actual_costs_quantities34[[#This Row],[Floor Repairs]]*BOQs!$L$8</f>
        <v>0</v>
      </c>
      <c r="AF411" s="76"/>
      <c r="AG411" s="37"/>
      <c r="AH411" s="86">
        <f>tbl_Actual_costs_quantities34[[#This Row],[Doors Replacement Repair]]*BOQs!$L$9</f>
        <v>0</v>
      </c>
      <c r="AI411" s="76"/>
      <c r="AJ411" s="37"/>
      <c r="AK411" s="86">
        <f>tbl_Actual_costs_quantities34[[#This Row],[Windows Replacement Repair]]*BOQs!$L$10</f>
        <v>0</v>
      </c>
      <c r="AL411" s="76"/>
      <c r="AM411" s="37"/>
      <c r="AN411" s="86">
        <f>tbl_Actual_costs_quantities34[[#This Row],[Bathroom Rehabilitation]]*BOQs!$L$11</f>
        <v>0</v>
      </c>
      <c r="AO411" s="76"/>
      <c r="AP411" s="37"/>
      <c r="AQ411" s="86">
        <f>tbl_Actual_costs_quantities34[[#This Row],[Ceramic Tile Works WASH]]*BOQs!$L$12</f>
        <v>0</v>
      </c>
      <c r="AR411" s="76"/>
      <c r="AS411" s="37"/>
      <c r="AT411" s="86">
        <f>tbl_Actual_costs_quantities34[[#This Row],[Electrical Repairs Lighting]]*BOQs!$L$13</f>
        <v>0</v>
      </c>
      <c r="AU411" s="76"/>
      <c r="AV411" s="37"/>
      <c r="AW411" s="86">
        <f>tbl_Actual_costs_quantities34[[#This Row],[Roof Insulation Leak Sealing]]*BOQs!$L$14</f>
        <v>0</v>
      </c>
      <c r="AX411" s="76"/>
      <c r="AY411" s="37"/>
      <c r="AZ411" s="86">
        <f>tbl_Actual_costs_quantities34[[#This Row],[Chimney Duct Cleaning Repair]]*BOQs!$L$15</f>
        <v>0</v>
      </c>
      <c r="BA411" s="76"/>
      <c r="BB411" s="37"/>
      <c r="BC411" s="89">
        <f>tbl_Actual_costs_quantities34[[#This Row],[Accessibility Adaptations]]*BOQs!$L$16</f>
        <v>0</v>
      </c>
      <c r="BD411" s="41"/>
      <c r="BE411" s="37"/>
      <c r="BF411" s="37"/>
    </row>
    <row r="412" spans="2:58" ht="25.15" customHeight="1" x14ac:dyDescent="0.25">
      <c r="B412" s="49">
        <v>408</v>
      </c>
      <c r="C412" s="37"/>
      <c r="D412" s="41"/>
      <c r="E412" s="40"/>
      <c r="F412" s="87" t="str">
        <f>IF(tbl_Actual_costs_quantities34[[#This Row],[House Code]]&lt;&gt;"",INDEX(tbl_Assessment[],MATCH(tbl_Actual_costs_quantities34[[#This Row],[House Code]],tbl_Assessment[House Code],0),3),"")</f>
        <v/>
      </c>
      <c r="G412" s="116" t="str">
        <f>IF(tbl_Actual_costs_quantities34[[#This Row],[House Code]]&lt;&gt;"",INDEX(tbl_Assessment[],MATCH(tbl_Actual_costs_quantities34[[#This Row],[House Code]],tbl_Assessment[House Code],0),9),"")</f>
        <v/>
      </c>
      <c r="H412" s="41"/>
      <c r="I412" s="41"/>
      <c r="J412" s="41"/>
      <c r="K412" s="116"/>
      <c r="L412" s="117" t="str">
        <f>IF(tbl_Actual_costs_quantities34[[#This Row],[House Code]]&lt;&gt;"",tbl_Actual_costs_quantities34[[#This Row],[Total cost]]/INDEX(tbl_estimated_costs_quantities[],MATCH(tbl_Actual_costs_quantities34[[#This Row],[House Code]],tbl_estimated_costs_quantities[House Code],0),7),"")</f>
        <v/>
      </c>
      <c r="M41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2" s="75"/>
      <c r="O412" s="37"/>
      <c r="P412" s="86">
        <f>tbl_Actual_costs_quantities34[[#This Row],[Site Preparation]]*BOQs!$L$3</f>
        <v>0</v>
      </c>
      <c r="Q412" s="76"/>
      <c r="R412" s="37"/>
      <c r="S412" s="86">
        <f>tbl_Actual_costs_quantities34[[#This Row],[Demolition Removal Unsafe Structures]]*BOQs!$L$4</f>
        <v>0</v>
      </c>
      <c r="T412" s="76"/>
      <c r="U412" s="37"/>
      <c r="V412" s="86">
        <f>tbl_Actual_costs_quantities34[[#This Row],[Concrete Works]]*BOQs!$L$5</f>
        <v>0</v>
      </c>
      <c r="W412" s="76"/>
      <c r="X412" s="37"/>
      <c r="Y412" s="86">
        <f>tbl_Actual_costs_quantities34[[#This Row],[Closure External Openings Walls Windows]]*BOQs!$L$6</f>
        <v>0</v>
      </c>
      <c r="Z412" s="76"/>
      <c r="AA412" s="37"/>
      <c r="AB412" s="86">
        <f>tbl_Actual_costs_quantities34[[#This Row],[Plastering Painting]]*BOQs!$L$7</f>
        <v>0</v>
      </c>
      <c r="AC412" s="76"/>
      <c r="AD412" s="37"/>
      <c r="AE412" s="86">
        <f>tbl_Actual_costs_quantities34[[#This Row],[Floor Repairs]]*BOQs!$L$8</f>
        <v>0</v>
      </c>
      <c r="AF412" s="76"/>
      <c r="AG412" s="37"/>
      <c r="AH412" s="86">
        <f>tbl_Actual_costs_quantities34[[#This Row],[Doors Replacement Repair]]*BOQs!$L$9</f>
        <v>0</v>
      </c>
      <c r="AI412" s="76"/>
      <c r="AJ412" s="37"/>
      <c r="AK412" s="86">
        <f>tbl_Actual_costs_quantities34[[#This Row],[Windows Replacement Repair]]*BOQs!$L$10</f>
        <v>0</v>
      </c>
      <c r="AL412" s="76"/>
      <c r="AM412" s="37"/>
      <c r="AN412" s="86">
        <f>tbl_Actual_costs_quantities34[[#This Row],[Bathroom Rehabilitation]]*BOQs!$L$11</f>
        <v>0</v>
      </c>
      <c r="AO412" s="76"/>
      <c r="AP412" s="37"/>
      <c r="AQ412" s="86">
        <f>tbl_Actual_costs_quantities34[[#This Row],[Ceramic Tile Works WASH]]*BOQs!$L$12</f>
        <v>0</v>
      </c>
      <c r="AR412" s="76"/>
      <c r="AS412" s="37"/>
      <c r="AT412" s="86">
        <f>tbl_Actual_costs_quantities34[[#This Row],[Electrical Repairs Lighting]]*BOQs!$L$13</f>
        <v>0</v>
      </c>
      <c r="AU412" s="76"/>
      <c r="AV412" s="37"/>
      <c r="AW412" s="86">
        <f>tbl_Actual_costs_quantities34[[#This Row],[Roof Insulation Leak Sealing]]*BOQs!$L$14</f>
        <v>0</v>
      </c>
      <c r="AX412" s="76"/>
      <c r="AY412" s="37"/>
      <c r="AZ412" s="86">
        <f>tbl_Actual_costs_quantities34[[#This Row],[Chimney Duct Cleaning Repair]]*BOQs!$L$15</f>
        <v>0</v>
      </c>
      <c r="BA412" s="76"/>
      <c r="BB412" s="37"/>
      <c r="BC412" s="89">
        <f>tbl_Actual_costs_quantities34[[#This Row],[Accessibility Adaptations]]*BOQs!$L$16</f>
        <v>0</v>
      </c>
      <c r="BD412" s="41"/>
      <c r="BE412" s="37"/>
      <c r="BF412" s="37"/>
    </row>
    <row r="413" spans="2:58" ht="25.15" customHeight="1" x14ac:dyDescent="0.25">
      <c r="B413" s="49">
        <v>409</v>
      </c>
      <c r="C413" s="37"/>
      <c r="D413" s="41"/>
      <c r="E413" s="40"/>
      <c r="F413" s="87" t="str">
        <f>IF(tbl_Actual_costs_quantities34[[#This Row],[House Code]]&lt;&gt;"",INDEX(tbl_Assessment[],MATCH(tbl_Actual_costs_quantities34[[#This Row],[House Code]],tbl_Assessment[House Code],0),3),"")</f>
        <v/>
      </c>
      <c r="G413" s="116" t="str">
        <f>IF(tbl_Actual_costs_quantities34[[#This Row],[House Code]]&lt;&gt;"",INDEX(tbl_Assessment[],MATCH(tbl_Actual_costs_quantities34[[#This Row],[House Code]],tbl_Assessment[House Code],0),9),"")</f>
        <v/>
      </c>
      <c r="H413" s="41"/>
      <c r="I413" s="41"/>
      <c r="J413" s="41"/>
      <c r="K413" s="116"/>
      <c r="L413" s="117" t="str">
        <f>IF(tbl_Actual_costs_quantities34[[#This Row],[House Code]]&lt;&gt;"",tbl_Actual_costs_quantities34[[#This Row],[Total cost]]/INDEX(tbl_estimated_costs_quantities[],MATCH(tbl_Actual_costs_quantities34[[#This Row],[House Code]],tbl_estimated_costs_quantities[House Code],0),7),"")</f>
        <v/>
      </c>
      <c r="M41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3" s="75"/>
      <c r="O413" s="37"/>
      <c r="P413" s="86">
        <f>tbl_Actual_costs_quantities34[[#This Row],[Site Preparation]]*BOQs!$L$3</f>
        <v>0</v>
      </c>
      <c r="Q413" s="76"/>
      <c r="R413" s="37"/>
      <c r="S413" s="86">
        <f>tbl_Actual_costs_quantities34[[#This Row],[Demolition Removal Unsafe Structures]]*BOQs!$L$4</f>
        <v>0</v>
      </c>
      <c r="T413" s="76"/>
      <c r="U413" s="37"/>
      <c r="V413" s="86">
        <f>tbl_Actual_costs_quantities34[[#This Row],[Concrete Works]]*BOQs!$L$5</f>
        <v>0</v>
      </c>
      <c r="W413" s="76"/>
      <c r="X413" s="37"/>
      <c r="Y413" s="86">
        <f>tbl_Actual_costs_quantities34[[#This Row],[Closure External Openings Walls Windows]]*BOQs!$L$6</f>
        <v>0</v>
      </c>
      <c r="Z413" s="76"/>
      <c r="AA413" s="37"/>
      <c r="AB413" s="86">
        <f>tbl_Actual_costs_quantities34[[#This Row],[Plastering Painting]]*BOQs!$L$7</f>
        <v>0</v>
      </c>
      <c r="AC413" s="76"/>
      <c r="AD413" s="37"/>
      <c r="AE413" s="86">
        <f>tbl_Actual_costs_quantities34[[#This Row],[Floor Repairs]]*BOQs!$L$8</f>
        <v>0</v>
      </c>
      <c r="AF413" s="76"/>
      <c r="AG413" s="37"/>
      <c r="AH413" s="86">
        <f>tbl_Actual_costs_quantities34[[#This Row],[Doors Replacement Repair]]*BOQs!$L$9</f>
        <v>0</v>
      </c>
      <c r="AI413" s="76"/>
      <c r="AJ413" s="37"/>
      <c r="AK413" s="86">
        <f>tbl_Actual_costs_quantities34[[#This Row],[Windows Replacement Repair]]*BOQs!$L$10</f>
        <v>0</v>
      </c>
      <c r="AL413" s="76"/>
      <c r="AM413" s="37"/>
      <c r="AN413" s="86">
        <f>tbl_Actual_costs_quantities34[[#This Row],[Bathroom Rehabilitation]]*BOQs!$L$11</f>
        <v>0</v>
      </c>
      <c r="AO413" s="76"/>
      <c r="AP413" s="37"/>
      <c r="AQ413" s="86">
        <f>tbl_Actual_costs_quantities34[[#This Row],[Ceramic Tile Works WASH]]*BOQs!$L$12</f>
        <v>0</v>
      </c>
      <c r="AR413" s="76"/>
      <c r="AS413" s="37"/>
      <c r="AT413" s="86">
        <f>tbl_Actual_costs_quantities34[[#This Row],[Electrical Repairs Lighting]]*BOQs!$L$13</f>
        <v>0</v>
      </c>
      <c r="AU413" s="76"/>
      <c r="AV413" s="37"/>
      <c r="AW413" s="86">
        <f>tbl_Actual_costs_quantities34[[#This Row],[Roof Insulation Leak Sealing]]*BOQs!$L$14</f>
        <v>0</v>
      </c>
      <c r="AX413" s="76"/>
      <c r="AY413" s="37"/>
      <c r="AZ413" s="86">
        <f>tbl_Actual_costs_quantities34[[#This Row],[Chimney Duct Cleaning Repair]]*BOQs!$L$15</f>
        <v>0</v>
      </c>
      <c r="BA413" s="76"/>
      <c r="BB413" s="37"/>
      <c r="BC413" s="89">
        <f>tbl_Actual_costs_quantities34[[#This Row],[Accessibility Adaptations]]*BOQs!$L$16</f>
        <v>0</v>
      </c>
      <c r="BD413" s="41"/>
      <c r="BE413" s="37"/>
      <c r="BF413" s="37"/>
    </row>
    <row r="414" spans="2:58" ht="25.15" customHeight="1" x14ac:dyDescent="0.25">
      <c r="B414" s="49">
        <v>410</v>
      </c>
      <c r="C414" s="37"/>
      <c r="D414" s="41"/>
      <c r="E414" s="40"/>
      <c r="F414" s="87" t="str">
        <f>IF(tbl_Actual_costs_quantities34[[#This Row],[House Code]]&lt;&gt;"",INDEX(tbl_Assessment[],MATCH(tbl_Actual_costs_quantities34[[#This Row],[House Code]],tbl_Assessment[House Code],0),3),"")</f>
        <v/>
      </c>
      <c r="G414" s="116" t="str">
        <f>IF(tbl_Actual_costs_quantities34[[#This Row],[House Code]]&lt;&gt;"",INDEX(tbl_Assessment[],MATCH(tbl_Actual_costs_quantities34[[#This Row],[House Code]],tbl_Assessment[House Code],0),9),"")</f>
        <v/>
      </c>
      <c r="H414" s="41"/>
      <c r="I414" s="41"/>
      <c r="J414" s="41"/>
      <c r="K414" s="116"/>
      <c r="L414" s="117" t="str">
        <f>IF(tbl_Actual_costs_quantities34[[#This Row],[House Code]]&lt;&gt;"",tbl_Actual_costs_quantities34[[#This Row],[Total cost]]/INDEX(tbl_estimated_costs_quantities[],MATCH(tbl_Actual_costs_quantities34[[#This Row],[House Code]],tbl_estimated_costs_quantities[House Code],0),7),"")</f>
        <v/>
      </c>
      <c r="M41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4" s="75"/>
      <c r="O414" s="37"/>
      <c r="P414" s="86">
        <f>tbl_Actual_costs_quantities34[[#This Row],[Site Preparation]]*BOQs!$L$3</f>
        <v>0</v>
      </c>
      <c r="Q414" s="76"/>
      <c r="R414" s="37"/>
      <c r="S414" s="86">
        <f>tbl_Actual_costs_quantities34[[#This Row],[Demolition Removal Unsafe Structures]]*BOQs!$L$4</f>
        <v>0</v>
      </c>
      <c r="T414" s="76"/>
      <c r="U414" s="37"/>
      <c r="V414" s="86">
        <f>tbl_Actual_costs_quantities34[[#This Row],[Concrete Works]]*BOQs!$L$5</f>
        <v>0</v>
      </c>
      <c r="W414" s="76"/>
      <c r="X414" s="37"/>
      <c r="Y414" s="86">
        <f>tbl_Actual_costs_quantities34[[#This Row],[Closure External Openings Walls Windows]]*BOQs!$L$6</f>
        <v>0</v>
      </c>
      <c r="Z414" s="76"/>
      <c r="AA414" s="37"/>
      <c r="AB414" s="86">
        <f>tbl_Actual_costs_quantities34[[#This Row],[Plastering Painting]]*BOQs!$L$7</f>
        <v>0</v>
      </c>
      <c r="AC414" s="76"/>
      <c r="AD414" s="37"/>
      <c r="AE414" s="86">
        <f>tbl_Actual_costs_quantities34[[#This Row],[Floor Repairs]]*BOQs!$L$8</f>
        <v>0</v>
      </c>
      <c r="AF414" s="76"/>
      <c r="AG414" s="37"/>
      <c r="AH414" s="86">
        <f>tbl_Actual_costs_quantities34[[#This Row],[Doors Replacement Repair]]*BOQs!$L$9</f>
        <v>0</v>
      </c>
      <c r="AI414" s="76"/>
      <c r="AJ414" s="37"/>
      <c r="AK414" s="86">
        <f>tbl_Actual_costs_quantities34[[#This Row],[Windows Replacement Repair]]*BOQs!$L$10</f>
        <v>0</v>
      </c>
      <c r="AL414" s="76"/>
      <c r="AM414" s="37"/>
      <c r="AN414" s="86">
        <f>tbl_Actual_costs_quantities34[[#This Row],[Bathroom Rehabilitation]]*BOQs!$L$11</f>
        <v>0</v>
      </c>
      <c r="AO414" s="76"/>
      <c r="AP414" s="37"/>
      <c r="AQ414" s="86">
        <f>tbl_Actual_costs_quantities34[[#This Row],[Ceramic Tile Works WASH]]*BOQs!$L$12</f>
        <v>0</v>
      </c>
      <c r="AR414" s="76"/>
      <c r="AS414" s="37"/>
      <c r="AT414" s="86">
        <f>tbl_Actual_costs_quantities34[[#This Row],[Electrical Repairs Lighting]]*BOQs!$L$13</f>
        <v>0</v>
      </c>
      <c r="AU414" s="76"/>
      <c r="AV414" s="37"/>
      <c r="AW414" s="86">
        <f>tbl_Actual_costs_quantities34[[#This Row],[Roof Insulation Leak Sealing]]*BOQs!$L$14</f>
        <v>0</v>
      </c>
      <c r="AX414" s="76"/>
      <c r="AY414" s="37"/>
      <c r="AZ414" s="86">
        <f>tbl_Actual_costs_quantities34[[#This Row],[Chimney Duct Cleaning Repair]]*BOQs!$L$15</f>
        <v>0</v>
      </c>
      <c r="BA414" s="76"/>
      <c r="BB414" s="37"/>
      <c r="BC414" s="89">
        <f>tbl_Actual_costs_quantities34[[#This Row],[Accessibility Adaptations]]*BOQs!$L$16</f>
        <v>0</v>
      </c>
      <c r="BD414" s="41"/>
      <c r="BE414" s="37"/>
      <c r="BF414" s="37"/>
    </row>
    <row r="415" spans="2:58" ht="25.15" customHeight="1" x14ac:dyDescent="0.25">
      <c r="B415" s="49">
        <v>411</v>
      </c>
      <c r="C415" s="37"/>
      <c r="D415" s="41"/>
      <c r="E415" s="40"/>
      <c r="F415" s="87" t="str">
        <f>IF(tbl_Actual_costs_quantities34[[#This Row],[House Code]]&lt;&gt;"",INDEX(tbl_Assessment[],MATCH(tbl_Actual_costs_quantities34[[#This Row],[House Code]],tbl_Assessment[House Code],0),3),"")</f>
        <v/>
      </c>
      <c r="G415" s="116" t="str">
        <f>IF(tbl_Actual_costs_quantities34[[#This Row],[House Code]]&lt;&gt;"",INDEX(tbl_Assessment[],MATCH(tbl_Actual_costs_quantities34[[#This Row],[House Code]],tbl_Assessment[House Code],0),9),"")</f>
        <v/>
      </c>
      <c r="H415" s="41"/>
      <c r="I415" s="41"/>
      <c r="J415" s="41"/>
      <c r="K415" s="116"/>
      <c r="L415" s="117" t="str">
        <f>IF(tbl_Actual_costs_quantities34[[#This Row],[House Code]]&lt;&gt;"",tbl_Actual_costs_quantities34[[#This Row],[Total cost]]/INDEX(tbl_estimated_costs_quantities[],MATCH(tbl_Actual_costs_quantities34[[#This Row],[House Code]],tbl_estimated_costs_quantities[House Code],0),7),"")</f>
        <v/>
      </c>
      <c r="M41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5" s="75"/>
      <c r="O415" s="37"/>
      <c r="P415" s="86">
        <f>tbl_Actual_costs_quantities34[[#This Row],[Site Preparation]]*BOQs!$L$3</f>
        <v>0</v>
      </c>
      <c r="Q415" s="76"/>
      <c r="R415" s="37"/>
      <c r="S415" s="86">
        <f>tbl_Actual_costs_quantities34[[#This Row],[Demolition Removal Unsafe Structures]]*BOQs!$L$4</f>
        <v>0</v>
      </c>
      <c r="T415" s="76"/>
      <c r="U415" s="37"/>
      <c r="V415" s="86">
        <f>tbl_Actual_costs_quantities34[[#This Row],[Concrete Works]]*BOQs!$L$5</f>
        <v>0</v>
      </c>
      <c r="W415" s="76"/>
      <c r="X415" s="37"/>
      <c r="Y415" s="86">
        <f>tbl_Actual_costs_quantities34[[#This Row],[Closure External Openings Walls Windows]]*BOQs!$L$6</f>
        <v>0</v>
      </c>
      <c r="Z415" s="76"/>
      <c r="AA415" s="37"/>
      <c r="AB415" s="86">
        <f>tbl_Actual_costs_quantities34[[#This Row],[Plastering Painting]]*BOQs!$L$7</f>
        <v>0</v>
      </c>
      <c r="AC415" s="76"/>
      <c r="AD415" s="37"/>
      <c r="AE415" s="86">
        <f>tbl_Actual_costs_quantities34[[#This Row],[Floor Repairs]]*BOQs!$L$8</f>
        <v>0</v>
      </c>
      <c r="AF415" s="76"/>
      <c r="AG415" s="37"/>
      <c r="AH415" s="86">
        <f>tbl_Actual_costs_quantities34[[#This Row],[Doors Replacement Repair]]*BOQs!$L$9</f>
        <v>0</v>
      </c>
      <c r="AI415" s="76"/>
      <c r="AJ415" s="37"/>
      <c r="AK415" s="86">
        <f>tbl_Actual_costs_quantities34[[#This Row],[Windows Replacement Repair]]*BOQs!$L$10</f>
        <v>0</v>
      </c>
      <c r="AL415" s="76"/>
      <c r="AM415" s="37"/>
      <c r="AN415" s="86">
        <f>tbl_Actual_costs_quantities34[[#This Row],[Bathroom Rehabilitation]]*BOQs!$L$11</f>
        <v>0</v>
      </c>
      <c r="AO415" s="76"/>
      <c r="AP415" s="37"/>
      <c r="AQ415" s="86">
        <f>tbl_Actual_costs_quantities34[[#This Row],[Ceramic Tile Works WASH]]*BOQs!$L$12</f>
        <v>0</v>
      </c>
      <c r="AR415" s="76"/>
      <c r="AS415" s="37"/>
      <c r="AT415" s="86">
        <f>tbl_Actual_costs_quantities34[[#This Row],[Electrical Repairs Lighting]]*BOQs!$L$13</f>
        <v>0</v>
      </c>
      <c r="AU415" s="76"/>
      <c r="AV415" s="37"/>
      <c r="AW415" s="86">
        <f>tbl_Actual_costs_quantities34[[#This Row],[Roof Insulation Leak Sealing]]*BOQs!$L$14</f>
        <v>0</v>
      </c>
      <c r="AX415" s="76"/>
      <c r="AY415" s="37"/>
      <c r="AZ415" s="86">
        <f>tbl_Actual_costs_quantities34[[#This Row],[Chimney Duct Cleaning Repair]]*BOQs!$L$15</f>
        <v>0</v>
      </c>
      <c r="BA415" s="76"/>
      <c r="BB415" s="37"/>
      <c r="BC415" s="89">
        <f>tbl_Actual_costs_quantities34[[#This Row],[Accessibility Adaptations]]*BOQs!$L$16</f>
        <v>0</v>
      </c>
      <c r="BD415" s="41"/>
      <c r="BE415" s="37"/>
      <c r="BF415" s="37"/>
    </row>
    <row r="416" spans="2:58" ht="25.15" customHeight="1" x14ac:dyDescent="0.25">
      <c r="B416" s="49">
        <v>412</v>
      </c>
      <c r="C416" s="37"/>
      <c r="D416" s="41"/>
      <c r="E416" s="40"/>
      <c r="F416" s="87" t="str">
        <f>IF(tbl_Actual_costs_quantities34[[#This Row],[House Code]]&lt;&gt;"",INDEX(tbl_Assessment[],MATCH(tbl_Actual_costs_quantities34[[#This Row],[House Code]],tbl_Assessment[House Code],0),3),"")</f>
        <v/>
      </c>
      <c r="G416" s="116" t="str">
        <f>IF(tbl_Actual_costs_quantities34[[#This Row],[House Code]]&lt;&gt;"",INDEX(tbl_Assessment[],MATCH(tbl_Actual_costs_quantities34[[#This Row],[House Code]],tbl_Assessment[House Code],0),9),"")</f>
        <v/>
      </c>
      <c r="H416" s="41"/>
      <c r="I416" s="41"/>
      <c r="J416" s="41"/>
      <c r="K416" s="116"/>
      <c r="L416" s="117" t="str">
        <f>IF(tbl_Actual_costs_quantities34[[#This Row],[House Code]]&lt;&gt;"",tbl_Actual_costs_quantities34[[#This Row],[Total cost]]/INDEX(tbl_estimated_costs_quantities[],MATCH(tbl_Actual_costs_quantities34[[#This Row],[House Code]],tbl_estimated_costs_quantities[House Code],0),7),"")</f>
        <v/>
      </c>
      <c r="M41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6" s="75"/>
      <c r="O416" s="37"/>
      <c r="P416" s="86">
        <f>tbl_Actual_costs_quantities34[[#This Row],[Site Preparation]]*BOQs!$L$3</f>
        <v>0</v>
      </c>
      <c r="Q416" s="76"/>
      <c r="R416" s="37"/>
      <c r="S416" s="86">
        <f>tbl_Actual_costs_quantities34[[#This Row],[Demolition Removal Unsafe Structures]]*BOQs!$L$4</f>
        <v>0</v>
      </c>
      <c r="T416" s="76"/>
      <c r="U416" s="37"/>
      <c r="V416" s="86">
        <f>tbl_Actual_costs_quantities34[[#This Row],[Concrete Works]]*BOQs!$L$5</f>
        <v>0</v>
      </c>
      <c r="W416" s="76"/>
      <c r="X416" s="37"/>
      <c r="Y416" s="86">
        <f>tbl_Actual_costs_quantities34[[#This Row],[Closure External Openings Walls Windows]]*BOQs!$L$6</f>
        <v>0</v>
      </c>
      <c r="Z416" s="76"/>
      <c r="AA416" s="37"/>
      <c r="AB416" s="86">
        <f>tbl_Actual_costs_quantities34[[#This Row],[Plastering Painting]]*BOQs!$L$7</f>
        <v>0</v>
      </c>
      <c r="AC416" s="76"/>
      <c r="AD416" s="37"/>
      <c r="AE416" s="86">
        <f>tbl_Actual_costs_quantities34[[#This Row],[Floor Repairs]]*BOQs!$L$8</f>
        <v>0</v>
      </c>
      <c r="AF416" s="76"/>
      <c r="AG416" s="37"/>
      <c r="AH416" s="86">
        <f>tbl_Actual_costs_quantities34[[#This Row],[Doors Replacement Repair]]*BOQs!$L$9</f>
        <v>0</v>
      </c>
      <c r="AI416" s="76"/>
      <c r="AJ416" s="37"/>
      <c r="AK416" s="86">
        <f>tbl_Actual_costs_quantities34[[#This Row],[Windows Replacement Repair]]*BOQs!$L$10</f>
        <v>0</v>
      </c>
      <c r="AL416" s="76"/>
      <c r="AM416" s="37"/>
      <c r="AN416" s="86">
        <f>tbl_Actual_costs_quantities34[[#This Row],[Bathroom Rehabilitation]]*BOQs!$L$11</f>
        <v>0</v>
      </c>
      <c r="AO416" s="76"/>
      <c r="AP416" s="37"/>
      <c r="AQ416" s="86">
        <f>tbl_Actual_costs_quantities34[[#This Row],[Ceramic Tile Works WASH]]*BOQs!$L$12</f>
        <v>0</v>
      </c>
      <c r="AR416" s="76"/>
      <c r="AS416" s="37"/>
      <c r="AT416" s="86">
        <f>tbl_Actual_costs_quantities34[[#This Row],[Electrical Repairs Lighting]]*BOQs!$L$13</f>
        <v>0</v>
      </c>
      <c r="AU416" s="76"/>
      <c r="AV416" s="37"/>
      <c r="AW416" s="86">
        <f>tbl_Actual_costs_quantities34[[#This Row],[Roof Insulation Leak Sealing]]*BOQs!$L$14</f>
        <v>0</v>
      </c>
      <c r="AX416" s="76"/>
      <c r="AY416" s="37"/>
      <c r="AZ416" s="86">
        <f>tbl_Actual_costs_quantities34[[#This Row],[Chimney Duct Cleaning Repair]]*BOQs!$L$15</f>
        <v>0</v>
      </c>
      <c r="BA416" s="76"/>
      <c r="BB416" s="37"/>
      <c r="BC416" s="89">
        <f>tbl_Actual_costs_quantities34[[#This Row],[Accessibility Adaptations]]*BOQs!$L$16</f>
        <v>0</v>
      </c>
      <c r="BD416" s="41"/>
      <c r="BE416" s="37"/>
      <c r="BF416" s="37"/>
    </row>
    <row r="417" spans="2:58" ht="25.15" customHeight="1" x14ac:dyDescent="0.25">
      <c r="B417" s="49">
        <v>413</v>
      </c>
      <c r="C417" s="37"/>
      <c r="D417" s="41"/>
      <c r="E417" s="40"/>
      <c r="F417" s="87" t="str">
        <f>IF(tbl_Actual_costs_quantities34[[#This Row],[House Code]]&lt;&gt;"",INDEX(tbl_Assessment[],MATCH(tbl_Actual_costs_quantities34[[#This Row],[House Code]],tbl_Assessment[House Code],0),3),"")</f>
        <v/>
      </c>
      <c r="G417" s="116" t="str">
        <f>IF(tbl_Actual_costs_quantities34[[#This Row],[House Code]]&lt;&gt;"",INDEX(tbl_Assessment[],MATCH(tbl_Actual_costs_quantities34[[#This Row],[House Code]],tbl_Assessment[House Code],0),9),"")</f>
        <v/>
      </c>
      <c r="H417" s="41"/>
      <c r="I417" s="41"/>
      <c r="J417" s="41"/>
      <c r="K417" s="116"/>
      <c r="L417" s="117" t="str">
        <f>IF(tbl_Actual_costs_quantities34[[#This Row],[House Code]]&lt;&gt;"",tbl_Actual_costs_quantities34[[#This Row],[Total cost]]/INDEX(tbl_estimated_costs_quantities[],MATCH(tbl_Actual_costs_quantities34[[#This Row],[House Code]],tbl_estimated_costs_quantities[House Code],0),7),"")</f>
        <v/>
      </c>
      <c r="M41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7" s="75"/>
      <c r="O417" s="37"/>
      <c r="P417" s="86">
        <f>tbl_Actual_costs_quantities34[[#This Row],[Site Preparation]]*BOQs!$L$3</f>
        <v>0</v>
      </c>
      <c r="Q417" s="76"/>
      <c r="R417" s="37"/>
      <c r="S417" s="86">
        <f>tbl_Actual_costs_quantities34[[#This Row],[Demolition Removal Unsafe Structures]]*BOQs!$L$4</f>
        <v>0</v>
      </c>
      <c r="T417" s="76"/>
      <c r="U417" s="37"/>
      <c r="V417" s="86">
        <f>tbl_Actual_costs_quantities34[[#This Row],[Concrete Works]]*BOQs!$L$5</f>
        <v>0</v>
      </c>
      <c r="W417" s="76"/>
      <c r="X417" s="37"/>
      <c r="Y417" s="86">
        <f>tbl_Actual_costs_quantities34[[#This Row],[Closure External Openings Walls Windows]]*BOQs!$L$6</f>
        <v>0</v>
      </c>
      <c r="Z417" s="76"/>
      <c r="AA417" s="37"/>
      <c r="AB417" s="86">
        <f>tbl_Actual_costs_quantities34[[#This Row],[Plastering Painting]]*BOQs!$L$7</f>
        <v>0</v>
      </c>
      <c r="AC417" s="76"/>
      <c r="AD417" s="37"/>
      <c r="AE417" s="86">
        <f>tbl_Actual_costs_quantities34[[#This Row],[Floor Repairs]]*BOQs!$L$8</f>
        <v>0</v>
      </c>
      <c r="AF417" s="76"/>
      <c r="AG417" s="37"/>
      <c r="AH417" s="86">
        <f>tbl_Actual_costs_quantities34[[#This Row],[Doors Replacement Repair]]*BOQs!$L$9</f>
        <v>0</v>
      </c>
      <c r="AI417" s="76"/>
      <c r="AJ417" s="37"/>
      <c r="AK417" s="86">
        <f>tbl_Actual_costs_quantities34[[#This Row],[Windows Replacement Repair]]*BOQs!$L$10</f>
        <v>0</v>
      </c>
      <c r="AL417" s="76"/>
      <c r="AM417" s="37"/>
      <c r="AN417" s="86">
        <f>tbl_Actual_costs_quantities34[[#This Row],[Bathroom Rehabilitation]]*BOQs!$L$11</f>
        <v>0</v>
      </c>
      <c r="AO417" s="76"/>
      <c r="AP417" s="37"/>
      <c r="AQ417" s="86">
        <f>tbl_Actual_costs_quantities34[[#This Row],[Ceramic Tile Works WASH]]*BOQs!$L$12</f>
        <v>0</v>
      </c>
      <c r="AR417" s="76"/>
      <c r="AS417" s="37"/>
      <c r="AT417" s="86">
        <f>tbl_Actual_costs_quantities34[[#This Row],[Electrical Repairs Lighting]]*BOQs!$L$13</f>
        <v>0</v>
      </c>
      <c r="AU417" s="76"/>
      <c r="AV417" s="37"/>
      <c r="AW417" s="86">
        <f>tbl_Actual_costs_quantities34[[#This Row],[Roof Insulation Leak Sealing]]*BOQs!$L$14</f>
        <v>0</v>
      </c>
      <c r="AX417" s="76"/>
      <c r="AY417" s="37"/>
      <c r="AZ417" s="86">
        <f>tbl_Actual_costs_quantities34[[#This Row],[Chimney Duct Cleaning Repair]]*BOQs!$L$15</f>
        <v>0</v>
      </c>
      <c r="BA417" s="76"/>
      <c r="BB417" s="37"/>
      <c r="BC417" s="89">
        <f>tbl_Actual_costs_quantities34[[#This Row],[Accessibility Adaptations]]*BOQs!$L$16</f>
        <v>0</v>
      </c>
      <c r="BD417" s="41"/>
      <c r="BE417" s="37"/>
      <c r="BF417" s="37"/>
    </row>
    <row r="418" spans="2:58" ht="25.15" customHeight="1" x14ac:dyDescent="0.25">
      <c r="B418" s="49">
        <v>414</v>
      </c>
      <c r="C418" s="37"/>
      <c r="D418" s="41"/>
      <c r="E418" s="40"/>
      <c r="F418" s="87" t="str">
        <f>IF(tbl_Actual_costs_quantities34[[#This Row],[House Code]]&lt;&gt;"",INDEX(tbl_Assessment[],MATCH(tbl_Actual_costs_quantities34[[#This Row],[House Code]],tbl_Assessment[House Code],0),3),"")</f>
        <v/>
      </c>
      <c r="G418" s="116" t="str">
        <f>IF(tbl_Actual_costs_quantities34[[#This Row],[House Code]]&lt;&gt;"",INDEX(tbl_Assessment[],MATCH(tbl_Actual_costs_quantities34[[#This Row],[House Code]],tbl_Assessment[House Code],0),9),"")</f>
        <v/>
      </c>
      <c r="H418" s="41"/>
      <c r="I418" s="41"/>
      <c r="J418" s="41"/>
      <c r="K418" s="116"/>
      <c r="L418" s="117" t="str">
        <f>IF(tbl_Actual_costs_quantities34[[#This Row],[House Code]]&lt;&gt;"",tbl_Actual_costs_quantities34[[#This Row],[Total cost]]/INDEX(tbl_estimated_costs_quantities[],MATCH(tbl_Actual_costs_quantities34[[#This Row],[House Code]],tbl_estimated_costs_quantities[House Code],0),7),"")</f>
        <v/>
      </c>
      <c r="M41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8" s="75"/>
      <c r="O418" s="37"/>
      <c r="P418" s="86">
        <f>tbl_Actual_costs_quantities34[[#This Row],[Site Preparation]]*BOQs!$L$3</f>
        <v>0</v>
      </c>
      <c r="Q418" s="76"/>
      <c r="R418" s="37"/>
      <c r="S418" s="86">
        <f>tbl_Actual_costs_quantities34[[#This Row],[Demolition Removal Unsafe Structures]]*BOQs!$L$4</f>
        <v>0</v>
      </c>
      <c r="T418" s="76"/>
      <c r="U418" s="37"/>
      <c r="V418" s="86">
        <f>tbl_Actual_costs_quantities34[[#This Row],[Concrete Works]]*BOQs!$L$5</f>
        <v>0</v>
      </c>
      <c r="W418" s="76"/>
      <c r="X418" s="37"/>
      <c r="Y418" s="86">
        <f>tbl_Actual_costs_quantities34[[#This Row],[Closure External Openings Walls Windows]]*BOQs!$L$6</f>
        <v>0</v>
      </c>
      <c r="Z418" s="76"/>
      <c r="AA418" s="37"/>
      <c r="AB418" s="86">
        <f>tbl_Actual_costs_quantities34[[#This Row],[Plastering Painting]]*BOQs!$L$7</f>
        <v>0</v>
      </c>
      <c r="AC418" s="76"/>
      <c r="AD418" s="37"/>
      <c r="AE418" s="86">
        <f>tbl_Actual_costs_quantities34[[#This Row],[Floor Repairs]]*BOQs!$L$8</f>
        <v>0</v>
      </c>
      <c r="AF418" s="76"/>
      <c r="AG418" s="37"/>
      <c r="AH418" s="86">
        <f>tbl_Actual_costs_quantities34[[#This Row],[Doors Replacement Repair]]*BOQs!$L$9</f>
        <v>0</v>
      </c>
      <c r="AI418" s="76"/>
      <c r="AJ418" s="37"/>
      <c r="AK418" s="86">
        <f>tbl_Actual_costs_quantities34[[#This Row],[Windows Replacement Repair]]*BOQs!$L$10</f>
        <v>0</v>
      </c>
      <c r="AL418" s="76"/>
      <c r="AM418" s="37"/>
      <c r="AN418" s="86">
        <f>tbl_Actual_costs_quantities34[[#This Row],[Bathroom Rehabilitation]]*BOQs!$L$11</f>
        <v>0</v>
      </c>
      <c r="AO418" s="76"/>
      <c r="AP418" s="37"/>
      <c r="AQ418" s="86">
        <f>tbl_Actual_costs_quantities34[[#This Row],[Ceramic Tile Works WASH]]*BOQs!$L$12</f>
        <v>0</v>
      </c>
      <c r="AR418" s="76"/>
      <c r="AS418" s="37"/>
      <c r="AT418" s="86">
        <f>tbl_Actual_costs_quantities34[[#This Row],[Electrical Repairs Lighting]]*BOQs!$L$13</f>
        <v>0</v>
      </c>
      <c r="AU418" s="76"/>
      <c r="AV418" s="37"/>
      <c r="AW418" s="86">
        <f>tbl_Actual_costs_quantities34[[#This Row],[Roof Insulation Leak Sealing]]*BOQs!$L$14</f>
        <v>0</v>
      </c>
      <c r="AX418" s="76"/>
      <c r="AY418" s="37"/>
      <c r="AZ418" s="86">
        <f>tbl_Actual_costs_quantities34[[#This Row],[Chimney Duct Cleaning Repair]]*BOQs!$L$15</f>
        <v>0</v>
      </c>
      <c r="BA418" s="76"/>
      <c r="BB418" s="37"/>
      <c r="BC418" s="89">
        <f>tbl_Actual_costs_quantities34[[#This Row],[Accessibility Adaptations]]*BOQs!$L$16</f>
        <v>0</v>
      </c>
      <c r="BD418" s="41"/>
      <c r="BE418" s="37"/>
      <c r="BF418" s="37"/>
    </row>
    <row r="419" spans="2:58" ht="25.15" customHeight="1" x14ac:dyDescent="0.25">
      <c r="B419" s="49">
        <v>415</v>
      </c>
      <c r="C419" s="37"/>
      <c r="D419" s="41"/>
      <c r="E419" s="40"/>
      <c r="F419" s="87" t="str">
        <f>IF(tbl_Actual_costs_quantities34[[#This Row],[House Code]]&lt;&gt;"",INDEX(tbl_Assessment[],MATCH(tbl_Actual_costs_quantities34[[#This Row],[House Code]],tbl_Assessment[House Code],0),3),"")</f>
        <v/>
      </c>
      <c r="G419" s="116" t="str">
        <f>IF(tbl_Actual_costs_quantities34[[#This Row],[House Code]]&lt;&gt;"",INDEX(tbl_Assessment[],MATCH(tbl_Actual_costs_quantities34[[#This Row],[House Code]],tbl_Assessment[House Code],0),9),"")</f>
        <v/>
      </c>
      <c r="H419" s="41"/>
      <c r="I419" s="41"/>
      <c r="J419" s="41"/>
      <c r="K419" s="116"/>
      <c r="L419" s="117" t="str">
        <f>IF(tbl_Actual_costs_quantities34[[#This Row],[House Code]]&lt;&gt;"",tbl_Actual_costs_quantities34[[#This Row],[Total cost]]/INDEX(tbl_estimated_costs_quantities[],MATCH(tbl_Actual_costs_quantities34[[#This Row],[House Code]],tbl_estimated_costs_quantities[House Code],0),7),"")</f>
        <v/>
      </c>
      <c r="M41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19" s="75"/>
      <c r="O419" s="37"/>
      <c r="P419" s="86">
        <f>tbl_Actual_costs_quantities34[[#This Row],[Site Preparation]]*BOQs!$L$3</f>
        <v>0</v>
      </c>
      <c r="Q419" s="76"/>
      <c r="R419" s="37"/>
      <c r="S419" s="86">
        <f>tbl_Actual_costs_quantities34[[#This Row],[Demolition Removal Unsafe Structures]]*BOQs!$L$4</f>
        <v>0</v>
      </c>
      <c r="T419" s="76"/>
      <c r="U419" s="37"/>
      <c r="V419" s="86">
        <f>tbl_Actual_costs_quantities34[[#This Row],[Concrete Works]]*BOQs!$L$5</f>
        <v>0</v>
      </c>
      <c r="W419" s="76"/>
      <c r="X419" s="37"/>
      <c r="Y419" s="86">
        <f>tbl_Actual_costs_quantities34[[#This Row],[Closure External Openings Walls Windows]]*BOQs!$L$6</f>
        <v>0</v>
      </c>
      <c r="Z419" s="76"/>
      <c r="AA419" s="37"/>
      <c r="AB419" s="86">
        <f>tbl_Actual_costs_quantities34[[#This Row],[Plastering Painting]]*BOQs!$L$7</f>
        <v>0</v>
      </c>
      <c r="AC419" s="76"/>
      <c r="AD419" s="37"/>
      <c r="AE419" s="86">
        <f>tbl_Actual_costs_quantities34[[#This Row],[Floor Repairs]]*BOQs!$L$8</f>
        <v>0</v>
      </c>
      <c r="AF419" s="76"/>
      <c r="AG419" s="37"/>
      <c r="AH419" s="86">
        <f>tbl_Actual_costs_quantities34[[#This Row],[Doors Replacement Repair]]*BOQs!$L$9</f>
        <v>0</v>
      </c>
      <c r="AI419" s="76"/>
      <c r="AJ419" s="37"/>
      <c r="AK419" s="86">
        <f>tbl_Actual_costs_quantities34[[#This Row],[Windows Replacement Repair]]*BOQs!$L$10</f>
        <v>0</v>
      </c>
      <c r="AL419" s="76"/>
      <c r="AM419" s="37"/>
      <c r="AN419" s="86">
        <f>tbl_Actual_costs_quantities34[[#This Row],[Bathroom Rehabilitation]]*BOQs!$L$11</f>
        <v>0</v>
      </c>
      <c r="AO419" s="76"/>
      <c r="AP419" s="37"/>
      <c r="AQ419" s="86">
        <f>tbl_Actual_costs_quantities34[[#This Row],[Ceramic Tile Works WASH]]*BOQs!$L$12</f>
        <v>0</v>
      </c>
      <c r="AR419" s="76"/>
      <c r="AS419" s="37"/>
      <c r="AT419" s="86">
        <f>tbl_Actual_costs_quantities34[[#This Row],[Electrical Repairs Lighting]]*BOQs!$L$13</f>
        <v>0</v>
      </c>
      <c r="AU419" s="76"/>
      <c r="AV419" s="37"/>
      <c r="AW419" s="86">
        <f>tbl_Actual_costs_quantities34[[#This Row],[Roof Insulation Leak Sealing]]*BOQs!$L$14</f>
        <v>0</v>
      </c>
      <c r="AX419" s="76"/>
      <c r="AY419" s="37"/>
      <c r="AZ419" s="86">
        <f>tbl_Actual_costs_quantities34[[#This Row],[Chimney Duct Cleaning Repair]]*BOQs!$L$15</f>
        <v>0</v>
      </c>
      <c r="BA419" s="76"/>
      <c r="BB419" s="37"/>
      <c r="BC419" s="89">
        <f>tbl_Actual_costs_quantities34[[#This Row],[Accessibility Adaptations]]*BOQs!$L$16</f>
        <v>0</v>
      </c>
      <c r="BD419" s="41"/>
      <c r="BE419" s="37"/>
      <c r="BF419" s="37"/>
    </row>
    <row r="420" spans="2:58" ht="25.15" customHeight="1" x14ac:dyDescent="0.25">
      <c r="B420" s="49">
        <v>416</v>
      </c>
      <c r="C420" s="37"/>
      <c r="D420" s="41"/>
      <c r="E420" s="40"/>
      <c r="F420" s="87" t="str">
        <f>IF(tbl_Actual_costs_quantities34[[#This Row],[House Code]]&lt;&gt;"",INDEX(tbl_Assessment[],MATCH(tbl_Actual_costs_quantities34[[#This Row],[House Code]],tbl_Assessment[House Code],0),3),"")</f>
        <v/>
      </c>
      <c r="G420" s="116" t="str">
        <f>IF(tbl_Actual_costs_quantities34[[#This Row],[House Code]]&lt;&gt;"",INDEX(tbl_Assessment[],MATCH(tbl_Actual_costs_quantities34[[#This Row],[House Code]],tbl_Assessment[House Code],0),9),"")</f>
        <v/>
      </c>
      <c r="H420" s="41"/>
      <c r="I420" s="41"/>
      <c r="J420" s="41"/>
      <c r="K420" s="116"/>
      <c r="L420" s="117" t="str">
        <f>IF(tbl_Actual_costs_quantities34[[#This Row],[House Code]]&lt;&gt;"",tbl_Actual_costs_quantities34[[#This Row],[Total cost]]/INDEX(tbl_estimated_costs_quantities[],MATCH(tbl_Actual_costs_quantities34[[#This Row],[House Code]],tbl_estimated_costs_quantities[House Code],0),7),"")</f>
        <v/>
      </c>
      <c r="M42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0" s="75"/>
      <c r="O420" s="37"/>
      <c r="P420" s="86">
        <f>tbl_Actual_costs_quantities34[[#This Row],[Site Preparation]]*BOQs!$L$3</f>
        <v>0</v>
      </c>
      <c r="Q420" s="76"/>
      <c r="R420" s="37"/>
      <c r="S420" s="86">
        <f>tbl_Actual_costs_quantities34[[#This Row],[Demolition Removal Unsafe Structures]]*BOQs!$L$4</f>
        <v>0</v>
      </c>
      <c r="T420" s="76"/>
      <c r="U420" s="37"/>
      <c r="V420" s="86">
        <f>tbl_Actual_costs_quantities34[[#This Row],[Concrete Works]]*BOQs!$L$5</f>
        <v>0</v>
      </c>
      <c r="W420" s="76"/>
      <c r="X420" s="37"/>
      <c r="Y420" s="86">
        <f>tbl_Actual_costs_quantities34[[#This Row],[Closure External Openings Walls Windows]]*BOQs!$L$6</f>
        <v>0</v>
      </c>
      <c r="Z420" s="76"/>
      <c r="AA420" s="37"/>
      <c r="AB420" s="86">
        <f>tbl_Actual_costs_quantities34[[#This Row],[Plastering Painting]]*BOQs!$L$7</f>
        <v>0</v>
      </c>
      <c r="AC420" s="76"/>
      <c r="AD420" s="37"/>
      <c r="AE420" s="86">
        <f>tbl_Actual_costs_quantities34[[#This Row],[Floor Repairs]]*BOQs!$L$8</f>
        <v>0</v>
      </c>
      <c r="AF420" s="76"/>
      <c r="AG420" s="37"/>
      <c r="AH420" s="86">
        <f>tbl_Actual_costs_quantities34[[#This Row],[Doors Replacement Repair]]*BOQs!$L$9</f>
        <v>0</v>
      </c>
      <c r="AI420" s="76"/>
      <c r="AJ420" s="37"/>
      <c r="AK420" s="86">
        <f>tbl_Actual_costs_quantities34[[#This Row],[Windows Replacement Repair]]*BOQs!$L$10</f>
        <v>0</v>
      </c>
      <c r="AL420" s="76"/>
      <c r="AM420" s="37"/>
      <c r="AN420" s="86">
        <f>tbl_Actual_costs_quantities34[[#This Row],[Bathroom Rehabilitation]]*BOQs!$L$11</f>
        <v>0</v>
      </c>
      <c r="AO420" s="76"/>
      <c r="AP420" s="37"/>
      <c r="AQ420" s="86">
        <f>tbl_Actual_costs_quantities34[[#This Row],[Ceramic Tile Works WASH]]*BOQs!$L$12</f>
        <v>0</v>
      </c>
      <c r="AR420" s="76"/>
      <c r="AS420" s="37"/>
      <c r="AT420" s="86">
        <f>tbl_Actual_costs_quantities34[[#This Row],[Electrical Repairs Lighting]]*BOQs!$L$13</f>
        <v>0</v>
      </c>
      <c r="AU420" s="76"/>
      <c r="AV420" s="37"/>
      <c r="AW420" s="86">
        <f>tbl_Actual_costs_quantities34[[#This Row],[Roof Insulation Leak Sealing]]*BOQs!$L$14</f>
        <v>0</v>
      </c>
      <c r="AX420" s="76"/>
      <c r="AY420" s="37"/>
      <c r="AZ420" s="86">
        <f>tbl_Actual_costs_quantities34[[#This Row],[Chimney Duct Cleaning Repair]]*BOQs!$L$15</f>
        <v>0</v>
      </c>
      <c r="BA420" s="76"/>
      <c r="BB420" s="37"/>
      <c r="BC420" s="89">
        <f>tbl_Actual_costs_quantities34[[#This Row],[Accessibility Adaptations]]*BOQs!$L$16</f>
        <v>0</v>
      </c>
      <c r="BD420" s="41"/>
      <c r="BE420" s="37"/>
      <c r="BF420" s="37"/>
    </row>
    <row r="421" spans="2:58" ht="25.15" customHeight="1" x14ac:dyDescent="0.25">
      <c r="B421" s="49">
        <v>417</v>
      </c>
      <c r="C421" s="37"/>
      <c r="D421" s="41"/>
      <c r="E421" s="40"/>
      <c r="F421" s="87" t="str">
        <f>IF(tbl_Actual_costs_quantities34[[#This Row],[House Code]]&lt;&gt;"",INDEX(tbl_Assessment[],MATCH(tbl_Actual_costs_quantities34[[#This Row],[House Code]],tbl_Assessment[House Code],0),3),"")</f>
        <v/>
      </c>
      <c r="G421" s="116" t="str">
        <f>IF(tbl_Actual_costs_quantities34[[#This Row],[House Code]]&lt;&gt;"",INDEX(tbl_Assessment[],MATCH(tbl_Actual_costs_quantities34[[#This Row],[House Code]],tbl_Assessment[House Code],0),9),"")</f>
        <v/>
      </c>
      <c r="H421" s="41"/>
      <c r="I421" s="41"/>
      <c r="J421" s="41"/>
      <c r="K421" s="116"/>
      <c r="L421" s="117" t="str">
        <f>IF(tbl_Actual_costs_quantities34[[#This Row],[House Code]]&lt;&gt;"",tbl_Actual_costs_quantities34[[#This Row],[Total cost]]/INDEX(tbl_estimated_costs_quantities[],MATCH(tbl_Actual_costs_quantities34[[#This Row],[House Code]],tbl_estimated_costs_quantities[House Code],0),7),"")</f>
        <v/>
      </c>
      <c r="M42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1" s="75"/>
      <c r="O421" s="37"/>
      <c r="P421" s="86">
        <f>tbl_Actual_costs_quantities34[[#This Row],[Site Preparation]]*BOQs!$L$3</f>
        <v>0</v>
      </c>
      <c r="Q421" s="76"/>
      <c r="R421" s="37"/>
      <c r="S421" s="86">
        <f>tbl_Actual_costs_quantities34[[#This Row],[Demolition Removal Unsafe Structures]]*BOQs!$L$4</f>
        <v>0</v>
      </c>
      <c r="T421" s="76"/>
      <c r="U421" s="37"/>
      <c r="V421" s="86">
        <f>tbl_Actual_costs_quantities34[[#This Row],[Concrete Works]]*BOQs!$L$5</f>
        <v>0</v>
      </c>
      <c r="W421" s="76"/>
      <c r="X421" s="37"/>
      <c r="Y421" s="86">
        <f>tbl_Actual_costs_quantities34[[#This Row],[Closure External Openings Walls Windows]]*BOQs!$L$6</f>
        <v>0</v>
      </c>
      <c r="Z421" s="76"/>
      <c r="AA421" s="37"/>
      <c r="AB421" s="86">
        <f>tbl_Actual_costs_quantities34[[#This Row],[Plastering Painting]]*BOQs!$L$7</f>
        <v>0</v>
      </c>
      <c r="AC421" s="76"/>
      <c r="AD421" s="37"/>
      <c r="AE421" s="86">
        <f>tbl_Actual_costs_quantities34[[#This Row],[Floor Repairs]]*BOQs!$L$8</f>
        <v>0</v>
      </c>
      <c r="AF421" s="76"/>
      <c r="AG421" s="37"/>
      <c r="AH421" s="86">
        <f>tbl_Actual_costs_quantities34[[#This Row],[Doors Replacement Repair]]*BOQs!$L$9</f>
        <v>0</v>
      </c>
      <c r="AI421" s="76"/>
      <c r="AJ421" s="37"/>
      <c r="AK421" s="86">
        <f>tbl_Actual_costs_quantities34[[#This Row],[Windows Replacement Repair]]*BOQs!$L$10</f>
        <v>0</v>
      </c>
      <c r="AL421" s="76"/>
      <c r="AM421" s="37"/>
      <c r="AN421" s="86">
        <f>tbl_Actual_costs_quantities34[[#This Row],[Bathroom Rehabilitation]]*BOQs!$L$11</f>
        <v>0</v>
      </c>
      <c r="AO421" s="76"/>
      <c r="AP421" s="37"/>
      <c r="AQ421" s="86">
        <f>tbl_Actual_costs_quantities34[[#This Row],[Ceramic Tile Works WASH]]*BOQs!$L$12</f>
        <v>0</v>
      </c>
      <c r="AR421" s="76"/>
      <c r="AS421" s="37"/>
      <c r="AT421" s="86">
        <f>tbl_Actual_costs_quantities34[[#This Row],[Electrical Repairs Lighting]]*BOQs!$L$13</f>
        <v>0</v>
      </c>
      <c r="AU421" s="76"/>
      <c r="AV421" s="37"/>
      <c r="AW421" s="86">
        <f>tbl_Actual_costs_quantities34[[#This Row],[Roof Insulation Leak Sealing]]*BOQs!$L$14</f>
        <v>0</v>
      </c>
      <c r="AX421" s="76"/>
      <c r="AY421" s="37"/>
      <c r="AZ421" s="86">
        <f>tbl_Actual_costs_quantities34[[#This Row],[Chimney Duct Cleaning Repair]]*BOQs!$L$15</f>
        <v>0</v>
      </c>
      <c r="BA421" s="76"/>
      <c r="BB421" s="37"/>
      <c r="BC421" s="89">
        <f>tbl_Actual_costs_quantities34[[#This Row],[Accessibility Adaptations]]*BOQs!$L$16</f>
        <v>0</v>
      </c>
      <c r="BD421" s="41"/>
      <c r="BE421" s="37"/>
      <c r="BF421" s="37"/>
    </row>
    <row r="422" spans="2:58" ht="25.15" customHeight="1" x14ac:dyDescent="0.25">
      <c r="B422" s="49">
        <v>418</v>
      </c>
      <c r="C422" s="37"/>
      <c r="D422" s="41"/>
      <c r="E422" s="40"/>
      <c r="F422" s="87" t="str">
        <f>IF(tbl_Actual_costs_quantities34[[#This Row],[House Code]]&lt;&gt;"",INDEX(tbl_Assessment[],MATCH(tbl_Actual_costs_quantities34[[#This Row],[House Code]],tbl_Assessment[House Code],0),3),"")</f>
        <v/>
      </c>
      <c r="G422" s="116" t="str">
        <f>IF(tbl_Actual_costs_quantities34[[#This Row],[House Code]]&lt;&gt;"",INDEX(tbl_Assessment[],MATCH(tbl_Actual_costs_quantities34[[#This Row],[House Code]],tbl_Assessment[House Code],0),9),"")</f>
        <v/>
      </c>
      <c r="H422" s="41"/>
      <c r="I422" s="41"/>
      <c r="J422" s="41"/>
      <c r="K422" s="116"/>
      <c r="L422" s="117" t="str">
        <f>IF(tbl_Actual_costs_quantities34[[#This Row],[House Code]]&lt;&gt;"",tbl_Actual_costs_quantities34[[#This Row],[Total cost]]/INDEX(tbl_estimated_costs_quantities[],MATCH(tbl_Actual_costs_quantities34[[#This Row],[House Code]],tbl_estimated_costs_quantities[House Code],0),7),"")</f>
        <v/>
      </c>
      <c r="M42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2" s="75"/>
      <c r="O422" s="37"/>
      <c r="P422" s="86">
        <f>tbl_Actual_costs_quantities34[[#This Row],[Site Preparation]]*BOQs!$L$3</f>
        <v>0</v>
      </c>
      <c r="Q422" s="76"/>
      <c r="R422" s="37"/>
      <c r="S422" s="86">
        <f>tbl_Actual_costs_quantities34[[#This Row],[Demolition Removal Unsafe Structures]]*BOQs!$L$4</f>
        <v>0</v>
      </c>
      <c r="T422" s="76"/>
      <c r="U422" s="37"/>
      <c r="V422" s="86">
        <f>tbl_Actual_costs_quantities34[[#This Row],[Concrete Works]]*BOQs!$L$5</f>
        <v>0</v>
      </c>
      <c r="W422" s="76"/>
      <c r="X422" s="37"/>
      <c r="Y422" s="86">
        <f>tbl_Actual_costs_quantities34[[#This Row],[Closure External Openings Walls Windows]]*BOQs!$L$6</f>
        <v>0</v>
      </c>
      <c r="Z422" s="76"/>
      <c r="AA422" s="37"/>
      <c r="AB422" s="86">
        <f>tbl_Actual_costs_quantities34[[#This Row],[Plastering Painting]]*BOQs!$L$7</f>
        <v>0</v>
      </c>
      <c r="AC422" s="76"/>
      <c r="AD422" s="37"/>
      <c r="AE422" s="86">
        <f>tbl_Actual_costs_quantities34[[#This Row],[Floor Repairs]]*BOQs!$L$8</f>
        <v>0</v>
      </c>
      <c r="AF422" s="76"/>
      <c r="AG422" s="37"/>
      <c r="AH422" s="86">
        <f>tbl_Actual_costs_quantities34[[#This Row],[Doors Replacement Repair]]*BOQs!$L$9</f>
        <v>0</v>
      </c>
      <c r="AI422" s="76"/>
      <c r="AJ422" s="37"/>
      <c r="AK422" s="86">
        <f>tbl_Actual_costs_quantities34[[#This Row],[Windows Replacement Repair]]*BOQs!$L$10</f>
        <v>0</v>
      </c>
      <c r="AL422" s="76"/>
      <c r="AM422" s="37"/>
      <c r="AN422" s="86">
        <f>tbl_Actual_costs_quantities34[[#This Row],[Bathroom Rehabilitation]]*BOQs!$L$11</f>
        <v>0</v>
      </c>
      <c r="AO422" s="76"/>
      <c r="AP422" s="37"/>
      <c r="AQ422" s="86">
        <f>tbl_Actual_costs_quantities34[[#This Row],[Ceramic Tile Works WASH]]*BOQs!$L$12</f>
        <v>0</v>
      </c>
      <c r="AR422" s="76"/>
      <c r="AS422" s="37"/>
      <c r="AT422" s="86">
        <f>tbl_Actual_costs_quantities34[[#This Row],[Electrical Repairs Lighting]]*BOQs!$L$13</f>
        <v>0</v>
      </c>
      <c r="AU422" s="76"/>
      <c r="AV422" s="37"/>
      <c r="AW422" s="86">
        <f>tbl_Actual_costs_quantities34[[#This Row],[Roof Insulation Leak Sealing]]*BOQs!$L$14</f>
        <v>0</v>
      </c>
      <c r="AX422" s="76"/>
      <c r="AY422" s="37"/>
      <c r="AZ422" s="86">
        <f>tbl_Actual_costs_quantities34[[#This Row],[Chimney Duct Cleaning Repair]]*BOQs!$L$15</f>
        <v>0</v>
      </c>
      <c r="BA422" s="76"/>
      <c r="BB422" s="37"/>
      <c r="BC422" s="89">
        <f>tbl_Actual_costs_quantities34[[#This Row],[Accessibility Adaptations]]*BOQs!$L$16</f>
        <v>0</v>
      </c>
      <c r="BD422" s="41"/>
      <c r="BE422" s="37"/>
      <c r="BF422" s="37"/>
    </row>
    <row r="423" spans="2:58" ht="25.15" customHeight="1" x14ac:dyDescent="0.25">
      <c r="B423" s="49">
        <v>419</v>
      </c>
      <c r="C423" s="37"/>
      <c r="D423" s="41"/>
      <c r="E423" s="40"/>
      <c r="F423" s="87" t="str">
        <f>IF(tbl_Actual_costs_quantities34[[#This Row],[House Code]]&lt;&gt;"",INDEX(tbl_Assessment[],MATCH(tbl_Actual_costs_quantities34[[#This Row],[House Code]],tbl_Assessment[House Code],0),3),"")</f>
        <v/>
      </c>
      <c r="G423" s="116" t="str">
        <f>IF(tbl_Actual_costs_quantities34[[#This Row],[House Code]]&lt;&gt;"",INDEX(tbl_Assessment[],MATCH(tbl_Actual_costs_quantities34[[#This Row],[House Code]],tbl_Assessment[House Code],0),9),"")</f>
        <v/>
      </c>
      <c r="H423" s="41"/>
      <c r="I423" s="41"/>
      <c r="J423" s="41"/>
      <c r="K423" s="116"/>
      <c r="L423" s="117" t="str">
        <f>IF(tbl_Actual_costs_quantities34[[#This Row],[House Code]]&lt;&gt;"",tbl_Actual_costs_quantities34[[#This Row],[Total cost]]/INDEX(tbl_estimated_costs_quantities[],MATCH(tbl_Actual_costs_quantities34[[#This Row],[House Code]],tbl_estimated_costs_quantities[House Code],0),7),"")</f>
        <v/>
      </c>
      <c r="M42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3" s="75"/>
      <c r="O423" s="37"/>
      <c r="P423" s="86">
        <f>tbl_Actual_costs_quantities34[[#This Row],[Site Preparation]]*BOQs!$L$3</f>
        <v>0</v>
      </c>
      <c r="Q423" s="76"/>
      <c r="R423" s="37"/>
      <c r="S423" s="86">
        <f>tbl_Actual_costs_quantities34[[#This Row],[Demolition Removal Unsafe Structures]]*BOQs!$L$4</f>
        <v>0</v>
      </c>
      <c r="T423" s="76"/>
      <c r="U423" s="37"/>
      <c r="V423" s="86">
        <f>tbl_Actual_costs_quantities34[[#This Row],[Concrete Works]]*BOQs!$L$5</f>
        <v>0</v>
      </c>
      <c r="W423" s="76"/>
      <c r="X423" s="37"/>
      <c r="Y423" s="86">
        <f>tbl_Actual_costs_quantities34[[#This Row],[Closure External Openings Walls Windows]]*BOQs!$L$6</f>
        <v>0</v>
      </c>
      <c r="Z423" s="76"/>
      <c r="AA423" s="37"/>
      <c r="AB423" s="86">
        <f>tbl_Actual_costs_quantities34[[#This Row],[Plastering Painting]]*BOQs!$L$7</f>
        <v>0</v>
      </c>
      <c r="AC423" s="76"/>
      <c r="AD423" s="37"/>
      <c r="AE423" s="86">
        <f>tbl_Actual_costs_quantities34[[#This Row],[Floor Repairs]]*BOQs!$L$8</f>
        <v>0</v>
      </c>
      <c r="AF423" s="76"/>
      <c r="AG423" s="37"/>
      <c r="AH423" s="86">
        <f>tbl_Actual_costs_quantities34[[#This Row],[Doors Replacement Repair]]*BOQs!$L$9</f>
        <v>0</v>
      </c>
      <c r="AI423" s="76"/>
      <c r="AJ423" s="37"/>
      <c r="AK423" s="86">
        <f>tbl_Actual_costs_quantities34[[#This Row],[Windows Replacement Repair]]*BOQs!$L$10</f>
        <v>0</v>
      </c>
      <c r="AL423" s="76"/>
      <c r="AM423" s="37"/>
      <c r="AN423" s="86">
        <f>tbl_Actual_costs_quantities34[[#This Row],[Bathroom Rehabilitation]]*BOQs!$L$11</f>
        <v>0</v>
      </c>
      <c r="AO423" s="76"/>
      <c r="AP423" s="37"/>
      <c r="AQ423" s="86">
        <f>tbl_Actual_costs_quantities34[[#This Row],[Ceramic Tile Works WASH]]*BOQs!$L$12</f>
        <v>0</v>
      </c>
      <c r="AR423" s="76"/>
      <c r="AS423" s="37"/>
      <c r="AT423" s="86">
        <f>tbl_Actual_costs_quantities34[[#This Row],[Electrical Repairs Lighting]]*BOQs!$L$13</f>
        <v>0</v>
      </c>
      <c r="AU423" s="76"/>
      <c r="AV423" s="37"/>
      <c r="AW423" s="86">
        <f>tbl_Actual_costs_quantities34[[#This Row],[Roof Insulation Leak Sealing]]*BOQs!$L$14</f>
        <v>0</v>
      </c>
      <c r="AX423" s="76"/>
      <c r="AY423" s="37"/>
      <c r="AZ423" s="86">
        <f>tbl_Actual_costs_quantities34[[#This Row],[Chimney Duct Cleaning Repair]]*BOQs!$L$15</f>
        <v>0</v>
      </c>
      <c r="BA423" s="76"/>
      <c r="BB423" s="37"/>
      <c r="BC423" s="89">
        <f>tbl_Actual_costs_quantities34[[#This Row],[Accessibility Adaptations]]*BOQs!$L$16</f>
        <v>0</v>
      </c>
      <c r="BD423" s="41"/>
      <c r="BE423" s="37"/>
      <c r="BF423" s="37"/>
    </row>
    <row r="424" spans="2:58" ht="25.15" customHeight="1" x14ac:dyDescent="0.25">
      <c r="B424" s="49">
        <v>420</v>
      </c>
      <c r="C424" s="37"/>
      <c r="D424" s="41"/>
      <c r="E424" s="40"/>
      <c r="F424" s="87" t="str">
        <f>IF(tbl_Actual_costs_quantities34[[#This Row],[House Code]]&lt;&gt;"",INDEX(tbl_Assessment[],MATCH(tbl_Actual_costs_quantities34[[#This Row],[House Code]],tbl_Assessment[House Code],0),3),"")</f>
        <v/>
      </c>
      <c r="G424" s="116" t="str">
        <f>IF(tbl_Actual_costs_quantities34[[#This Row],[House Code]]&lt;&gt;"",INDEX(tbl_Assessment[],MATCH(tbl_Actual_costs_quantities34[[#This Row],[House Code]],tbl_Assessment[House Code],0),9),"")</f>
        <v/>
      </c>
      <c r="H424" s="41"/>
      <c r="I424" s="41"/>
      <c r="J424" s="41"/>
      <c r="K424" s="116"/>
      <c r="L424" s="117" t="str">
        <f>IF(tbl_Actual_costs_quantities34[[#This Row],[House Code]]&lt;&gt;"",tbl_Actual_costs_quantities34[[#This Row],[Total cost]]/INDEX(tbl_estimated_costs_quantities[],MATCH(tbl_Actual_costs_quantities34[[#This Row],[House Code]],tbl_estimated_costs_quantities[House Code],0),7),"")</f>
        <v/>
      </c>
      <c r="M42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4" s="75"/>
      <c r="O424" s="37"/>
      <c r="P424" s="86">
        <f>tbl_Actual_costs_quantities34[[#This Row],[Site Preparation]]*BOQs!$L$3</f>
        <v>0</v>
      </c>
      <c r="Q424" s="76"/>
      <c r="R424" s="37"/>
      <c r="S424" s="86">
        <f>tbl_Actual_costs_quantities34[[#This Row],[Demolition Removal Unsafe Structures]]*BOQs!$L$4</f>
        <v>0</v>
      </c>
      <c r="T424" s="76"/>
      <c r="U424" s="37"/>
      <c r="V424" s="86">
        <f>tbl_Actual_costs_quantities34[[#This Row],[Concrete Works]]*BOQs!$L$5</f>
        <v>0</v>
      </c>
      <c r="W424" s="76"/>
      <c r="X424" s="37"/>
      <c r="Y424" s="86">
        <f>tbl_Actual_costs_quantities34[[#This Row],[Closure External Openings Walls Windows]]*BOQs!$L$6</f>
        <v>0</v>
      </c>
      <c r="Z424" s="76"/>
      <c r="AA424" s="37"/>
      <c r="AB424" s="86">
        <f>tbl_Actual_costs_quantities34[[#This Row],[Plastering Painting]]*BOQs!$L$7</f>
        <v>0</v>
      </c>
      <c r="AC424" s="76"/>
      <c r="AD424" s="37"/>
      <c r="AE424" s="86">
        <f>tbl_Actual_costs_quantities34[[#This Row],[Floor Repairs]]*BOQs!$L$8</f>
        <v>0</v>
      </c>
      <c r="AF424" s="76"/>
      <c r="AG424" s="37"/>
      <c r="AH424" s="86">
        <f>tbl_Actual_costs_quantities34[[#This Row],[Doors Replacement Repair]]*BOQs!$L$9</f>
        <v>0</v>
      </c>
      <c r="AI424" s="76"/>
      <c r="AJ424" s="37"/>
      <c r="AK424" s="86">
        <f>tbl_Actual_costs_quantities34[[#This Row],[Windows Replacement Repair]]*BOQs!$L$10</f>
        <v>0</v>
      </c>
      <c r="AL424" s="76"/>
      <c r="AM424" s="37"/>
      <c r="AN424" s="86">
        <f>tbl_Actual_costs_quantities34[[#This Row],[Bathroom Rehabilitation]]*BOQs!$L$11</f>
        <v>0</v>
      </c>
      <c r="AO424" s="76"/>
      <c r="AP424" s="37"/>
      <c r="AQ424" s="86">
        <f>tbl_Actual_costs_quantities34[[#This Row],[Ceramic Tile Works WASH]]*BOQs!$L$12</f>
        <v>0</v>
      </c>
      <c r="AR424" s="76"/>
      <c r="AS424" s="37"/>
      <c r="AT424" s="86">
        <f>tbl_Actual_costs_quantities34[[#This Row],[Electrical Repairs Lighting]]*BOQs!$L$13</f>
        <v>0</v>
      </c>
      <c r="AU424" s="76"/>
      <c r="AV424" s="37"/>
      <c r="AW424" s="86">
        <f>tbl_Actual_costs_quantities34[[#This Row],[Roof Insulation Leak Sealing]]*BOQs!$L$14</f>
        <v>0</v>
      </c>
      <c r="AX424" s="76"/>
      <c r="AY424" s="37"/>
      <c r="AZ424" s="86">
        <f>tbl_Actual_costs_quantities34[[#This Row],[Chimney Duct Cleaning Repair]]*BOQs!$L$15</f>
        <v>0</v>
      </c>
      <c r="BA424" s="76"/>
      <c r="BB424" s="37"/>
      <c r="BC424" s="89">
        <f>tbl_Actual_costs_quantities34[[#This Row],[Accessibility Adaptations]]*BOQs!$L$16</f>
        <v>0</v>
      </c>
      <c r="BD424" s="41"/>
      <c r="BE424" s="37"/>
      <c r="BF424" s="37"/>
    </row>
    <row r="425" spans="2:58" ht="25.15" customHeight="1" x14ac:dyDescent="0.25">
      <c r="B425" s="49">
        <v>421</v>
      </c>
      <c r="C425" s="37"/>
      <c r="D425" s="41"/>
      <c r="E425" s="40"/>
      <c r="F425" s="87" t="str">
        <f>IF(tbl_Actual_costs_quantities34[[#This Row],[House Code]]&lt;&gt;"",INDEX(tbl_Assessment[],MATCH(tbl_Actual_costs_quantities34[[#This Row],[House Code]],tbl_Assessment[House Code],0),3),"")</f>
        <v/>
      </c>
      <c r="G425" s="116" t="str">
        <f>IF(tbl_Actual_costs_quantities34[[#This Row],[House Code]]&lt;&gt;"",INDEX(tbl_Assessment[],MATCH(tbl_Actual_costs_quantities34[[#This Row],[House Code]],tbl_Assessment[House Code],0),9),"")</f>
        <v/>
      </c>
      <c r="H425" s="41"/>
      <c r="I425" s="41"/>
      <c r="J425" s="41"/>
      <c r="K425" s="116"/>
      <c r="L425" s="117" t="str">
        <f>IF(tbl_Actual_costs_quantities34[[#This Row],[House Code]]&lt;&gt;"",tbl_Actual_costs_quantities34[[#This Row],[Total cost]]/INDEX(tbl_estimated_costs_quantities[],MATCH(tbl_Actual_costs_quantities34[[#This Row],[House Code]],tbl_estimated_costs_quantities[House Code],0),7),"")</f>
        <v/>
      </c>
      <c r="M42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5" s="75"/>
      <c r="O425" s="37"/>
      <c r="P425" s="86">
        <f>tbl_Actual_costs_quantities34[[#This Row],[Site Preparation]]*BOQs!$L$3</f>
        <v>0</v>
      </c>
      <c r="Q425" s="76"/>
      <c r="R425" s="37"/>
      <c r="S425" s="86">
        <f>tbl_Actual_costs_quantities34[[#This Row],[Demolition Removal Unsafe Structures]]*BOQs!$L$4</f>
        <v>0</v>
      </c>
      <c r="T425" s="76"/>
      <c r="U425" s="37"/>
      <c r="V425" s="86">
        <f>tbl_Actual_costs_quantities34[[#This Row],[Concrete Works]]*BOQs!$L$5</f>
        <v>0</v>
      </c>
      <c r="W425" s="76"/>
      <c r="X425" s="37"/>
      <c r="Y425" s="86">
        <f>tbl_Actual_costs_quantities34[[#This Row],[Closure External Openings Walls Windows]]*BOQs!$L$6</f>
        <v>0</v>
      </c>
      <c r="Z425" s="76"/>
      <c r="AA425" s="37"/>
      <c r="AB425" s="86">
        <f>tbl_Actual_costs_quantities34[[#This Row],[Plastering Painting]]*BOQs!$L$7</f>
        <v>0</v>
      </c>
      <c r="AC425" s="76"/>
      <c r="AD425" s="37"/>
      <c r="AE425" s="86">
        <f>tbl_Actual_costs_quantities34[[#This Row],[Floor Repairs]]*BOQs!$L$8</f>
        <v>0</v>
      </c>
      <c r="AF425" s="76"/>
      <c r="AG425" s="37"/>
      <c r="AH425" s="86">
        <f>tbl_Actual_costs_quantities34[[#This Row],[Doors Replacement Repair]]*BOQs!$L$9</f>
        <v>0</v>
      </c>
      <c r="AI425" s="76"/>
      <c r="AJ425" s="37"/>
      <c r="AK425" s="86">
        <f>tbl_Actual_costs_quantities34[[#This Row],[Windows Replacement Repair]]*BOQs!$L$10</f>
        <v>0</v>
      </c>
      <c r="AL425" s="76"/>
      <c r="AM425" s="37"/>
      <c r="AN425" s="86">
        <f>tbl_Actual_costs_quantities34[[#This Row],[Bathroom Rehabilitation]]*BOQs!$L$11</f>
        <v>0</v>
      </c>
      <c r="AO425" s="76"/>
      <c r="AP425" s="37"/>
      <c r="AQ425" s="86">
        <f>tbl_Actual_costs_quantities34[[#This Row],[Ceramic Tile Works WASH]]*BOQs!$L$12</f>
        <v>0</v>
      </c>
      <c r="AR425" s="76"/>
      <c r="AS425" s="37"/>
      <c r="AT425" s="86">
        <f>tbl_Actual_costs_quantities34[[#This Row],[Electrical Repairs Lighting]]*BOQs!$L$13</f>
        <v>0</v>
      </c>
      <c r="AU425" s="76"/>
      <c r="AV425" s="37"/>
      <c r="AW425" s="86">
        <f>tbl_Actual_costs_quantities34[[#This Row],[Roof Insulation Leak Sealing]]*BOQs!$L$14</f>
        <v>0</v>
      </c>
      <c r="AX425" s="76"/>
      <c r="AY425" s="37"/>
      <c r="AZ425" s="86">
        <f>tbl_Actual_costs_quantities34[[#This Row],[Chimney Duct Cleaning Repair]]*BOQs!$L$15</f>
        <v>0</v>
      </c>
      <c r="BA425" s="76"/>
      <c r="BB425" s="37"/>
      <c r="BC425" s="89">
        <f>tbl_Actual_costs_quantities34[[#This Row],[Accessibility Adaptations]]*BOQs!$L$16</f>
        <v>0</v>
      </c>
      <c r="BD425" s="41"/>
      <c r="BE425" s="37"/>
      <c r="BF425" s="37"/>
    </row>
    <row r="426" spans="2:58" ht="25.15" customHeight="1" x14ac:dyDescent="0.25">
      <c r="B426" s="49">
        <v>422</v>
      </c>
      <c r="C426" s="37"/>
      <c r="D426" s="41"/>
      <c r="E426" s="40"/>
      <c r="F426" s="87" t="str">
        <f>IF(tbl_Actual_costs_quantities34[[#This Row],[House Code]]&lt;&gt;"",INDEX(tbl_Assessment[],MATCH(tbl_Actual_costs_quantities34[[#This Row],[House Code]],tbl_Assessment[House Code],0),3),"")</f>
        <v/>
      </c>
      <c r="G426" s="116" t="str">
        <f>IF(tbl_Actual_costs_quantities34[[#This Row],[House Code]]&lt;&gt;"",INDEX(tbl_Assessment[],MATCH(tbl_Actual_costs_quantities34[[#This Row],[House Code]],tbl_Assessment[House Code],0),9),"")</f>
        <v/>
      </c>
      <c r="H426" s="41"/>
      <c r="I426" s="41"/>
      <c r="J426" s="41"/>
      <c r="K426" s="116"/>
      <c r="L426" s="117" t="str">
        <f>IF(tbl_Actual_costs_quantities34[[#This Row],[House Code]]&lt;&gt;"",tbl_Actual_costs_quantities34[[#This Row],[Total cost]]/INDEX(tbl_estimated_costs_quantities[],MATCH(tbl_Actual_costs_quantities34[[#This Row],[House Code]],tbl_estimated_costs_quantities[House Code],0),7),"")</f>
        <v/>
      </c>
      <c r="M42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6" s="75"/>
      <c r="O426" s="37"/>
      <c r="P426" s="86">
        <f>tbl_Actual_costs_quantities34[[#This Row],[Site Preparation]]*BOQs!$L$3</f>
        <v>0</v>
      </c>
      <c r="Q426" s="76"/>
      <c r="R426" s="37"/>
      <c r="S426" s="86">
        <f>tbl_Actual_costs_quantities34[[#This Row],[Demolition Removal Unsafe Structures]]*BOQs!$L$4</f>
        <v>0</v>
      </c>
      <c r="T426" s="76"/>
      <c r="U426" s="37"/>
      <c r="V426" s="86">
        <f>tbl_Actual_costs_quantities34[[#This Row],[Concrete Works]]*BOQs!$L$5</f>
        <v>0</v>
      </c>
      <c r="W426" s="76"/>
      <c r="X426" s="37"/>
      <c r="Y426" s="86">
        <f>tbl_Actual_costs_quantities34[[#This Row],[Closure External Openings Walls Windows]]*BOQs!$L$6</f>
        <v>0</v>
      </c>
      <c r="Z426" s="76"/>
      <c r="AA426" s="37"/>
      <c r="AB426" s="86">
        <f>tbl_Actual_costs_quantities34[[#This Row],[Plastering Painting]]*BOQs!$L$7</f>
        <v>0</v>
      </c>
      <c r="AC426" s="76"/>
      <c r="AD426" s="37"/>
      <c r="AE426" s="86">
        <f>tbl_Actual_costs_quantities34[[#This Row],[Floor Repairs]]*BOQs!$L$8</f>
        <v>0</v>
      </c>
      <c r="AF426" s="76"/>
      <c r="AG426" s="37"/>
      <c r="AH426" s="86">
        <f>tbl_Actual_costs_quantities34[[#This Row],[Doors Replacement Repair]]*BOQs!$L$9</f>
        <v>0</v>
      </c>
      <c r="AI426" s="76"/>
      <c r="AJ426" s="37"/>
      <c r="AK426" s="86">
        <f>tbl_Actual_costs_quantities34[[#This Row],[Windows Replacement Repair]]*BOQs!$L$10</f>
        <v>0</v>
      </c>
      <c r="AL426" s="76"/>
      <c r="AM426" s="37"/>
      <c r="AN426" s="86">
        <f>tbl_Actual_costs_quantities34[[#This Row],[Bathroom Rehabilitation]]*BOQs!$L$11</f>
        <v>0</v>
      </c>
      <c r="AO426" s="76"/>
      <c r="AP426" s="37"/>
      <c r="AQ426" s="86">
        <f>tbl_Actual_costs_quantities34[[#This Row],[Ceramic Tile Works WASH]]*BOQs!$L$12</f>
        <v>0</v>
      </c>
      <c r="AR426" s="76"/>
      <c r="AS426" s="37"/>
      <c r="AT426" s="86">
        <f>tbl_Actual_costs_quantities34[[#This Row],[Electrical Repairs Lighting]]*BOQs!$L$13</f>
        <v>0</v>
      </c>
      <c r="AU426" s="76"/>
      <c r="AV426" s="37"/>
      <c r="AW426" s="86">
        <f>tbl_Actual_costs_quantities34[[#This Row],[Roof Insulation Leak Sealing]]*BOQs!$L$14</f>
        <v>0</v>
      </c>
      <c r="AX426" s="76"/>
      <c r="AY426" s="37"/>
      <c r="AZ426" s="86">
        <f>tbl_Actual_costs_quantities34[[#This Row],[Chimney Duct Cleaning Repair]]*BOQs!$L$15</f>
        <v>0</v>
      </c>
      <c r="BA426" s="76"/>
      <c r="BB426" s="37"/>
      <c r="BC426" s="89">
        <f>tbl_Actual_costs_quantities34[[#This Row],[Accessibility Adaptations]]*BOQs!$L$16</f>
        <v>0</v>
      </c>
      <c r="BD426" s="41"/>
      <c r="BE426" s="37"/>
      <c r="BF426" s="37"/>
    </row>
    <row r="427" spans="2:58" ht="25.15" customHeight="1" x14ac:dyDescent="0.25">
      <c r="B427" s="49">
        <v>423</v>
      </c>
      <c r="C427" s="37"/>
      <c r="D427" s="41"/>
      <c r="E427" s="40"/>
      <c r="F427" s="87" t="str">
        <f>IF(tbl_Actual_costs_quantities34[[#This Row],[House Code]]&lt;&gt;"",INDEX(tbl_Assessment[],MATCH(tbl_Actual_costs_quantities34[[#This Row],[House Code]],tbl_Assessment[House Code],0),3),"")</f>
        <v/>
      </c>
      <c r="G427" s="116" t="str">
        <f>IF(tbl_Actual_costs_quantities34[[#This Row],[House Code]]&lt;&gt;"",INDEX(tbl_Assessment[],MATCH(tbl_Actual_costs_quantities34[[#This Row],[House Code]],tbl_Assessment[House Code],0),9),"")</f>
        <v/>
      </c>
      <c r="H427" s="41"/>
      <c r="I427" s="41"/>
      <c r="J427" s="41"/>
      <c r="K427" s="116"/>
      <c r="L427" s="117" t="str">
        <f>IF(tbl_Actual_costs_quantities34[[#This Row],[House Code]]&lt;&gt;"",tbl_Actual_costs_quantities34[[#This Row],[Total cost]]/INDEX(tbl_estimated_costs_quantities[],MATCH(tbl_Actual_costs_quantities34[[#This Row],[House Code]],tbl_estimated_costs_quantities[House Code],0),7),"")</f>
        <v/>
      </c>
      <c r="M42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7" s="75"/>
      <c r="O427" s="37"/>
      <c r="P427" s="86">
        <f>tbl_Actual_costs_quantities34[[#This Row],[Site Preparation]]*BOQs!$L$3</f>
        <v>0</v>
      </c>
      <c r="Q427" s="76"/>
      <c r="R427" s="37"/>
      <c r="S427" s="86">
        <f>tbl_Actual_costs_quantities34[[#This Row],[Demolition Removal Unsafe Structures]]*BOQs!$L$4</f>
        <v>0</v>
      </c>
      <c r="T427" s="76"/>
      <c r="U427" s="37"/>
      <c r="V427" s="86">
        <f>tbl_Actual_costs_quantities34[[#This Row],[Concrete Works]]*BOQs!$L$5</f>
        <v>0</v>
      </c>
      <c r="W427" s="76"/>
      <c r="X427" s="37"/>
      <c r="Y427" s="86">
        <f>tbl_Actual_costs_quantities34[[#This Row],[Closure External Openings Walls Windows]]*BOQs!$L$6</f>
        <v>0</v>
      </c>
      <c r="Z427" s="76"/>
      <c r="AA427" s="37"/>
      <c r="AB427" s="86">
        <f>tbl_Actual_costs_quantities34[[#This Row],[Plastering Painting]]*BOQs!$L$7</f>
        <v>0</v>
      </c>
      <c r="AC427" s="76"/>
      <c r="AD427" s="37"/>
      <c r="AE427" s="86">
        <f>tbl_Actual_costs_quantities34[[#This Row],[Floor Repairs]]*BOQs!$L$8</f>
        <v>0</v>
      </c>
      <c r="AF427" s="76"/>
      <c r="AG427" s="37"/>
      <c r="AH427" s="86">
        <f>tbl_Actual_costs_quantities34[[#This Row],[Doors Replacement Repair]]*BOQs!$L$9</f>
        <v>0</v>
      </c>
      <c r="AI427" s="76"/>
      <c r="AJ427" s="37"/>
      <c r="AK427" s="86">
        <f>tbl_Actual_costs_quantities34[[#This Row],[Windows Replacement Repair]]*BOQs!$L$10</f>
        <v>0</v>
      </c>
      <c r="AL427" s="76"/>
      <c r="AM427" s="37"/>
      <c r="AN427" s="86">
        <f>tbl_Actual_costs_quantities34[[#This Row],[Bathroom Rehabilitation]]*BOQs!$L$11</f>
        <v>0</v>
      </c>
      <c r="AO427" s="76"/>
      <c r="AP427" s="37"/>
      <c r="AQ427" s="86">
        <f>tbl_Actual_costs_quantities34[[#This Row],[Ceramic Tile Works WASH]]*BOQs!$L$12</f>
        <v>0</v>
      </c>
      <c r="AR427" s="76"/>
      <c r="AS427" s="37"/>
      <c r="AT427" s="86">
        <f>tbl_Actual_costs_quantities34[[#This Row],[Electrical Repairs Lighting]]*BOQs!$L$13</f>
        <v>0</v>
      </c>
      <c r="AU427" s="76"/>
      <c r="AV427" s="37"/>
      <c r="AW427" s="86">
        <f>tbl_Actual_costs_quantities34[[#This Row],[Roof Insulation Leak Sealing]]*BOQs!$L$14</f>
        <v>0</v>
      </c>
      <c r="AX427" s="76"/>
      <c r="AY427" s="37"/>
      <c r="AZ427" s="86">
        <f>tbl_Actual_costs_quantities34[[#This Row],[Chimney Duct Cleaning Repair]]*BOQs!$L$15</f>
        <v>0</v>
      </c>
      <c r="BA427" s="76"/>
      <c r="BB427" s="37"/>
      <c r="BC427" s="89">
        <f>tbl_Actual_costs_quantities34[[#This Row],[Accessibility Adaptations]]*BOQs!$L$16</f>
        <v>0</v>
      </c>
      <c r="BD427" s="41"/>
      <c r="BE427" s="37"/>
      <c r="BF427" s="37"/>
    </row>
    <row r="428" spans="2:58" ht="25.15" customHeight="1" x14ac:dyDescent="0.25">
      <c r="B428" s="49">
        <v>424</v>
      </c>
      <c r="C428" s="37"/>
      <c r="D428" s="41"/>
      <c r="E428" s="40"/>
      <c r="F428" s="87" t="str">
        <f>IF(tbl_Actual_costs_quantities34[[#This Row],[House Code]]&lt;&gt;"",INDEX(tbl_Assessment[],MATCH(tbl_Actual_costs_quantities34[[#This Row],[House Code]],tbl_Assessment[House Code],0),3),"")</f>
        <v/>
      </c>
      <c r="G428" s="116" t="str">
        <f>IF(tbl_Actual_costs_quantities34[[#This Row],[House Code]]&lt;&gt;"",INDEX(tbl_Assessment[],MATCH(tbl_Actual_costs_quantities34[[#This Row],[House Code]],tbl_Assessment[House Code],0),9),"")</f>
        <v/>
      </c>
      <c r="H428" s="41"/>
      <c r="I428" s="41"/>
      <c r="J428" s="41"/>
      <c r="K428" s="116"/>
      <c r="L428" s="117" t="str">
        <f>IF(tbl_Actual_costs_quantities34[[#This Row],[House Code]]&lt;&gt;"",tbl_Actual_costs_quantities34[[#This Row],[Total cost]]/INDEX(tbl_estimated_costs_quantities[],MATCH(tbl_Actual_costs_quantities34[[#This Row],[House Code]],tbl_estimated_costs_quantities[House Code],0),7),"")</f>
        <v/>
      </c>
      <c r="M42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8" s="75"/>
      <c r="O428" s="37"/>
      <c r="P428" s="86">
        <f>tbl_Actual_costs_quantities34[[#This Row],[Site Preparation]]*BOQs!$L$3</f>
        <v>0</v>
      </c>
      <c r="Q428" s="76"/>
      <c r="R428" s="37"/>
      <c r="S428" s="86">
        <f>tbl_Actual_costs_quantities34[[#This Row],[Demolition Removal Unsafe Structures]]*BOQs!$L$4</f>
        <v>0</v>
      </c>
      <c r="T428" s="76"/>
      <c r="U428" s="37"/>
      <c r="V428" s="86">
        <f>tbl_Actual_costs_quantities34[[#This Row],[Concrete Works]]*BOQs!$L$5</f>
        <v>0</v>
      </c>
      <c r="W428" s="76"/>
      <c r="X428" s="37"/>
      <c r="Y428" s="86">
        <f>tbl_Actual_costs_quantities34[[#This Row],[Closure External Openings Walls Windows]]*BOQs!$L$6</f>
        <v>0</v>
      </c>
      <c r="Z428" s="76"/>
      <c r="AA428" s="37"/>
      <c r="AB428" s="86">
        <f>tbl_Actual_costs_quantities34[[#This Row],[Plastering Painting]]*BOQs!$L$7</f>
        <v>0</v>
      </c>
      <c r="AC428" s="76"/>
      <c r="AD428" s="37"/>
      <c r="AE428" s="86">
        <f>tbl_Actual_costs_quantities34[[#This Row],[Floor Repairs]]*BOQs!$L$8</f>
        <v>0</v>
      </c>
      <c r="AF428" s="76"/>
      <c r="AG428" s="37"/>
      <c r="AH428" s="86">
        <f>tbl_Actual_costs_quantities34[[#This Row],[Doors Replacement Repair]]*BOQs!$L$9</f>
        <v>0</v>
      </c>
      <c r="AI428" s="76"/>
      <c r="AJ428" s="37"/>
      <c r="AK428" s="86">
        <f>tbl_Actual_costs_quantities34[[#This Row],[Windows Replacement Repair]]*BOQs!$L$10</f>
        <v>0</v>
      </c>
      <c r="AL428" s="76"/>
      <c r="AM428" s="37"/>
      <c r="AN428" s="86">
        <f>tbl_Actual_costs_quantities34[[#This Row],[Bathroom Rehabilitation]]*BOQs!$L$11</f>
        <v>0</v>
      </c>
      <c r="AO428" s="76"/>
      <c r="AP428" s="37"/>
      <c r="AQ428" s="86">
        <f>tbl_Actual_costs_quantities34[[#This Row],[Ceramic Tile Works WASH]]*BOQs!$L$12</f>
        <v>0</v>
      </c>
      <c r="AR428" s="76"/>
      <c r="AS428" s="37"/>
      <c r="AT428" s="86">
        <f>tbl_Actual_costs_quantities34[[#This Row],[Electrical Repairs Lighting]]*BOQs!$L$13</f>
        <v>0</v>
      </c>
      <c r="AU428" s="76"/>
      <c r="AV428" s="37"/>
      <c r="AW428" s="86">
        <f>tbl_Actual_costs_quantities34[[#This Row],[Roof Insulation Leak Sealing]]*BOQs!$L$14</f>
        <v>0</v>
      </c>
      <c r="AX428" s="76"/>
      <c r="AY428" s="37"/>
      <c r="AZ428" s="86">
        <f>tbl_Actual_costs_quantities34[[#This Row],[Chimney Duct Cleaning Repair]]*BOQs!$L$15</f>
        <v>0</v>
      </c>
      <c r="BA428" s="76"/>
      <c r="BB428" s="37"/>
      <c r="BC428" s="89">
        <f>tbl_Actual_costs_quantities34[[#This Row],[Accessibility Adaptations]]*BOQs!$L$16</f>
        <v>0</v>
      </c>
      <c r="BD428" s="41"/>
      <c r="BE428" s="37"/>
      <c r="BF428" s="37"/>
    </row>
    <row r="429" spans="2:58" ht="25.15" customHeight="1" x14ac:dyDescent="0.25">
      <c r="B429" s="49">
        <v>425</v>
      </c>
      <c r="C429" s="37"/>
      <c r="D429" s="41"/>
      <c r="E429" s="40"/>
      <c r="F429" s="87" t="str">
        <f>IF(tbl_Actual_costs_quantities34[[#This Row],[House Code]]&lt;&gt;"",INDEX(tbl_Assessment[],MATCH(tbl_Actual_costs_quantities34[[#This Row],[House Code]],tbl_Assessment[House Code],0),3),"")</f>
        <v/>
      </c>
      <c r="G429" s="116" t="str">
        <f>IF(tbl_Actual_costs_quantities34[[#This Row],[House Code]]&lt;&gt;"",INDEX(tbl_Assessment[],MATCH(tbl_Actual_costs_quantities34[[#This Row],[House Code]],tbl_Assessment[House Code],0),9),"")</f>
        <v/>
      </c>
      <c r="H429" s="41"/>
      <c r="I429" s="41"/>
      <c r="J429" s="41"/>
      <c r="K429" s="116"/>
      <c r="L429" s="117" t="str">
        <f>IF(tbl_Actual_costs_quantities34[[#This Row],[House Code]]&lt;&gt;"",tbl_Actual_costs_quantities34[[#This Row],[Total cost]]/INDEX(tbl_estimated_costs_quantities[],MATCH(tbl_Actual_costs_quantities34[[#This Row],[House Code]],tbl_estimated_costs_quantities[House Code],0),7),"")</f>
        <v/>
      </c>
      <c r="M42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29" s="75"/>
      <c r="O429" s="37"/>
      <c r="P429" s="86">
        <f>tbl_Actual_costs_quantities34[[#This Row],[Site Preparation]]*BOQs!$L$3</f>
        <v>0</v>
      </c>
      <c r="Q429" s="76"/>
      <c r="R429" s="37"/>
      <c r="S429" s="86">
        <f>tbl_Actual_costs_quantities34[[#This Row],[Demolition Removal Unsafe Structures]]*BOQs!$L$4</f>
        <v>0</v>
      </c>
      <c r="T429" s="76"/>
      <c r="U429" s="37"/>
      <c r="V429" s="86">
        <f>tbl_Actual_costs_quantities34[[#This Row],[Concrete Works]]*BOQs!$L$5</f>
        <v>0</v>
      </c>
      <c r="W429" s="76"/>
      <c r="X429" s="37"/>
      <c r="Y429" s="86">
        <f>tbl_Actual_costs_quantities34[[#This Row],[Closure External Openings Walls Windows]]*BOQs!$L$6</f>
        <v>0</v>
      </c>
      <c r="Z429" s="76"/>
      <c r="AA429" s="37"/>
      <c r="AB429" s="86">
        <f>tbl_Actual_costs_quantities34[[#This Row],[Plastering Painting]]*BOQs!$L$7</f>
        <v>0</v>
      </c>
      <c r="AC429" s="76"/>
      <c r="AD429" s="37"/>
      <c r="AE429" s="86">
        <f>tbl_Actual_costs_quantities34[[#This Row],[Floor Repairs]]*BOQs!$L$8</f>
        <v>0</v>
      </c>
      <c r="AF429" s="76"/>
      <c r="AG429" s="37"/>
      <c r="AH429" s="86">
        <f>tbl_Actual_costs_quantities34[[#This Row],[Doors Replacement Repair]]*BOQs!$L$9</f>
        <v>0</v>
      </c>
      <c r="AI429" s="76"/>
      <c r="AJ429" s="37"/>
      <c r="AK429" s="86">
        <f>tbl_Actual_costs_quantities34[[#This Row],[Windows Replacement Repair]]*BOQs!$L$10</f>
        <v>0</v>
      </c>
      <c r="AL429" s="76"/>
      <c r="AM429" s="37"/>
      <c r="AN429" s="86">
        <f>tbl_Actual_costs_quantities34[[#This Row],[Bathroom Rehabilitation]]*BOQs!$L$11</f>
        <v>0</v>
      </c>
      <c r="AO429" s="76"/>
      <c r="AP429" s="37"/>
      <c r="AQ429" s="86">
        <f>tbl_Actual_costs_quantities34[[#This Row],[Ceramic Tile Works WASH]]*BOQs!$L$12</f>
        <v>0</v>
      </c>
      <c r="AR429" s="76"/>
      <c r="AS429" s="37"/>
      <c r="AT429" s="86">
        <f>tbl_Actual_costs_quantities34[[#This Row],[Electrical Repairs Lighting]]*BOQs!$L$13</f>
        <v>0</v>
      </c>
      <c r="AU429" s="76"/>
      <c r="AV429" s="37"/>
      <c r="AW429" s="86">
        <f>tbl_Actual_costs_quantities34[[#This Row],[Roof Insulation Leak Sealing]]*BOQs!$L$14</f>
        <v>0</v>
      </c>
      <c r="AX429" s="76"/>
      <c r="AY429" s="37"/>
      <c r="AZ429" s="86">
        <f>tbl_Actual_costs_quantities34[[#This Row],[Chimney Duct Cleaning Repair]]*BOQs!$L$15</f>
        <v>0</v>
      </c>
      <c r="BA429" s="76"/>
      <c r="BB429" s="37"/>
      <c r="BC429" s="89">
        <f>tbl_Actual_costs_quantities34[[#This Row],[Accessibility Adaptations]]*BOQs!$L$16</f>
        <v>0</v>
      </c>
      <c r="BD429" s="41"/>
      <c r="BE429" s="37"/>
      <c r="BF429" s="37"/>
    </row>
    <row r="430" spans="2:58" ht="25.15" customHeight="1" x14ac:dyDescent="0.25">
      <c r="B430" s="49">
        <v>426</v>
      </c>
      <c r="C430" s="37"/>
      <c r="D430" s="41"/>
      <c r="E430" s="40"/>
      <c r="F430" s="87" t="str">
        <f>IF(tbl_Actual_costs_quantities34[[#This Row],[House Code]]&lt;&gt;"",INDEX(tbl_Assessment[],MATCH(tbl_Actual_costs_quantities34[[#This Row],[House Code]],tbl_Assessment[House Code],0),3),"")</f>
        <v/>
      </c>
      <c r="G430" s="116" t="str">
        <f>IF(tbl_Actual_costs_quantities34[[#This Row],[House Code]]&lt;&gt;"",INDEX(tbl_Assessment[],MATCH(tbl_Actual_costs_quantities34[[#This Row],[House Code]],tbl_Assessment[House Code],0),9),"")</f>
        <v/>
      </c>
      <c r="H430" s="41"/>
      <c r="I430" s="41"/>
      <c r="J430" s="41"/>
      <c r="K430" s="116"/>
      <c r="L430" s="117" t="str">
        <f>IF(tbl_Actual_costs_quantities34[[#This Row],[House Code]]&lt;&gt;"",tbl_Actual_costs_quantities34[[#This Row],[Total cost]]/INDEX(tbl_estimated_costs_quantities[],MATCH(tbl_Actual_costs_quantities34[[#This Row],[House Code]],tbl_estimated_costs_quantities[House Code],0),7),"")</f>
        <v/>
      </c>
      <c r="M43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0" s="75"/>
      <c r="O430" s="37"/>
      <c r="P430" s="86">
        <f>tbl_Actual_costs_quantities34[[#This Row],[Site Preparation]]*BOQs!$L$3</f>
        <v>0</v>
      </c>
      <c r="Q430" s="76"/>
      <c r="R430" s="37"/>
      <c r="S430" s="86">
        <f>tbl_Actual_costs_quantities34[[#This Row],[Demolition Removal Unsafe Structures]]*BOQs!$L$4</f>
        <v>0</v>
      </c>
      <c r="T430" s="76"/>
      <c r="U430" s="37"/>
      <c r="V430" s="86">
        <f>tbl_Actual_costs_quantities34[[#This Row],[Concrete Works]]*BOQs!$L$5</f>
        <v>0</v>
      </c>
      <c r="W430" s="76"/>
      <c r="X430" s="37"/>
      <c r="Y430" s="86">
        <f>tbl_Actual_costs_quantities34[[#This Row],[Closure External Openings Walls Windows]]*BOQs!$L$6</f>
        <v>0</v>
      </c>
      <c r="Z430" s="76"/>
      <c r="AA430" s="37"/>
      <c r="AB430" s="86">
        <f>tbl_Actual_costs_quantities34[[#This Row],[Plastering Painting]]*BOQs!$L$7</f>
        <v>0</v>
      </c>
      <c r="AC430" s="76"/>
      <c r="AD430" s="37"/>
      <c r="AE430" s="86">
        <f>tbl_Actual_costs_quantities34[[#This Row],[Floor Repairs]]*BOQs!$L$8</f>
        <v>0</v>
      </c>
      <c r="AF430" s="76"/>
      <c r="AG430" s="37"/>
      <c r="AH430" s="86">
        <f>tbl_Actual_costs_quantities34[[#This Row],[Doors Replacement Repair]]*BOQs!$L$9</f>
        <v>0</v>
      </c>
      <c r="AI430" s="76"/>
      <c r="AJ430" s="37"/>
      <c r="AK430" s="86">
        <f>tbl_Actual_costs_quantities34[[#This Row],[Windows Replacement Repair]]*BOQs!$L$10</f>
        <v>0</v>
      </c>
      <c r="AL430" s="76"/>
      <c r="AM430" s="37"/>
      <c r="AN430" s="86">
        <f>tbl_Actual_costs_quantities34[[#This Row],[Bathroom Rehabilitation]]*BOQs!$L$11</f>
        <v>0</v>
      </c>
      <c r="AO430" s="76"/>
      <c r="AP430" s="37"/>
      <c r="AQ430" s="86">
        <f>tbl_Actual_costs_quantities34[[#This Row],[Ceramic Tile Works WASH]]*BOQs!$L$12</f>
        <v>0</v>
      </c>
      <c r="AR430" s="76"/>
      <c r="AS430" s="37"/>
      <c r="AT430" s="86">
        <f>tbl_Actual_costs_quantities34[[#This Row],[Electrical Repairs Lighting]]*BOQs!$L$13</f>
        <v>0</v>
      </c>
      <c r="AU430" s="76"/>
      <c r="AV430" s="37"/>
      <c r="AW430" s="86">
        <f>tbl_Actual_costs_quantities34[[#This Row],[Roof Insulation Leak Sealing]]*BOQs!$L$14</f>
        <v>0</v>
      </c>
      <c r="AX430" s="76"/>
      <c r="AY430" s="37"/>
      <c r="AZ430" s="86">
        <f>tbl_Actual_costs_quantities34[[#This Row],[Chimney Duct Cleaning Repair]]*BOQs!$L$15</f>
        <v>0</v>
      </c>
      <c r="BA430" s="76"/>
      <c r="BB430" s="37"/>
      <c r="BC430" s="89">
        <f>tbl_Actual_costs_quantities34[[#This Row],[Accessibility Adaptations]]*BOQs!$L$16</f>
        <v>0</v>
      </c>
      <c r="BD430" s="41"/>
      <c r="BE430" s="37"/>
      <c r="BF430" s="37"/>
    </row>
    <row r="431" spans="2:58" ht="25.15" customHeight="1" x14ac:dyDescent="0.25">
      <c r="B431" s="49">
        <v>427</v>
      </c>
      <c r="C431" s="37"/>
      <c r="D431" s="41"/>
      <c r="E431" s="40"/>
      <c r="F431" s="87" t="str">
        <f>IF(tbl_Actual_costs_quantities34[[#This Row],[House Code]]&lt;&gt;"",INDEX(tbl_Assessment[],MATCH(tbl_Actual_costs_quantities34[[#This Row],[House Code]],tbl_Assessment[House Code],0),3),"")</f>
        <v/>
      </c>
      <c r="G431" s="116" t="str">
        <f>IF(tbl_Actual_costs_quantities34[[#This Row],[House Code]]&lt;&gt;"",INDEX(tbl_Assessment[],MATCH(tbl_Actual_costs_quantities34[[#This Row],[House Code]],tbl_Assessment[House Code],0),9),"")</f>
        <v/>
      </c>
      <c r="H431" s="41"/>
      <c r="I431" s="41"/>
      <c r="J431" s="41"/>
      <c r="K431" s="116"/>
      <c r="L431" s="117" t="str">
        <f>IF(tbl_Actual_costs_quantities34[[#This Row],[House Code]]&lt;&gt;"",tbl_Actual_costs_quantities34[[#This Row],[Total cost]]/INDEX(tbl_estimated_costs_quantities[],MATCH(tbl_Actual_costs_quantities34[[#This Row],[House Code]],tbl_estimated_costs_quantities[House Code],0),7),"")</f>
        <v/>
      </c>
      <c r="M43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1" s="75"/>
      <c r="O431" s="37"/>
      <c r="P431" s="86">
        <f>tbl_Actual_costs_quantities34[[#This Row],[Site Preparation]]*BOQs!$L$3</f>
        <v>0</v>
      </c>
      <c r="Q431" s="76"/>
      <c r="R431" s="37"/>
      <c r="S431" s="86">
        <f>tbl_Actual_costs_quantities34[[#This Row],[Demolition Removal Unsafe Structures]]*BOQs!$L$4</f>
        <v>0</v>
      </c>
      <c r="T431" s="76"/>
      <c r="U431" s="37"/>
      <c r="V431" s="86">
        <f>tbl_Actual_costs_quantities34[[#This Row],[Concrete Works]]*BOQs!$L$5</f>
        <v>0</v>
      </c>
      <c r="W431" s="76"/>
      <c r="X431" s="37"/>
      <c r="Y431" s="86">
        <f>tbl_Actual_costs_quantities34[[#This Row],[Closure External Openings Walls Windows]]*BOQs!$L$6</f>
        <v>0</v>
      </c>
      <c r="Z431" s="76"/>
      <c r="AA431" s="37"/>
      <c r="AB431" s="86">
        <f>tbl_Actual_costs_quantities34[[#This Row],[Plastering Painting]]*BOQs!$L$7</f>
        <v>0</v>
      </c>
      <c r="AC431" s="76"/>
      <c r="AD431" s="37"/>
      <c r="AE431" s="86">
        <f>tbl_Actual_costs_quantities34[[#This Row],[Floor Repairs]]*BOQs!$L$8</f>
        <v>0</v>
      </c>
      <c r="AF431" s="76"/>
      <c r="AG431" s="37"/>
      <c r="AH431" s="86">
        <f>tbl_Actual_costs_quantities34[[#This Row],[Doors Replacement Repair]]*BOQs!$L$9</f>
        <v>0</v>
      </c>
      <c r="AI431" s="76"/>
      <c r="AJ431" s="37"/>
      <c r="AK431" s="86">
        <f>tbl_Actual_costs_quantities34[[#This Row],[Windows Replacement Repair]]*BOQs!$L$10</f>
        <v>0</v>
      </c>
      <c r="AL431" s="76"/>
      <c r="AM431" s="37"/>
      <c r="AN431" s="86">
        <f>tbl_Actual_costs_quantities34[[#This Row],[Bathroom Rehabilitation]]*BOQs!$L$11</f>
        <v>0</v>
      </c>
      <c r="AO431" s="76"/>
      <c r="AP431" s="37"/>
      <c r="AQ431" s="86">
        <f>tbl_Actual_costs_quantities34[[#This Row],[Ceramic Tile Works WASH]]*BOQs!$L$12</f>
        <v>0</v>
      </c>
      <c r="AR431" s="76"/>
      <c r="AS431" s="37"/>
      <c r="AT431" s="86">
        <f>tbl_Actual_costs_quantities34[[#This Row],[Electrical Repairs Lighting]]*BOQs!$L$13</f>
        <v>0</v>
      </c>
      <c r="AU431" s="76"/>
      <c r="AV431" s="37"/>
      <c r="AW431" s="86">
        <f>tbl_Actual_costs_quantities34[[#This Row],[Roof Insulation Leak Sealing]]*BOQs!$L$14</f>
        <v>0</v>
      </c>
      <c r="AX431" s="76"/>
      <c r="AY431" s="37"/>
      <c r="AZ431" s="86">
        <f>tbl_Actual_costs_quantities34[[#This Row],[Chimney Duct Cleaning Repair]]*BOQs!$L$15</f>
        <v>0</v>
      </c>
      <c r="BA431" s="76"/>
      <c r="BB431" s="37"/>
      <c r="BC431" s="89">
        <f>tbl_Actual_costs_quantities34[[#This Row],[Accessibility Adaptations]]*BOQs!$L$16</f>
        <v>0</v>
      </c>
      <c r="BD431" s="41"/>
      <c r="BE431" s="37"/>
      <c r="BF431" s="37"/>
    </row>
    <row r="432" spans="2:58" ht="25.15" customHeight="1" x14ac:dyDescent="0.25">
      <c r="B432" s="49">
        <v>428</v>
      </c>
      <c r="C432" s="37"/>
      <c r="D432" s="41"/>
      <c r="E432" s="40"/>
      <c r="F432" s="87" t="str">
        <f>IF(tbl_Actual_costs_quantities34[[#This Row],[House Code]]&lt;&gt;"",INDEX(tbl_Assessment[],MATCH(tbl_Actual_costs_quantities34[[#This Row],[House Code]],tbl_Assessment[House Code],0),3),"")</f>
        <v/>
      </c>
      <c r="G432" s="116" t="str">
        <f>IF(tbl_Actual_costs_quantities34[[#This Row],[House Code]]&lt;&gt;"",INDEX(tbl_Assessment[],MATCH(tbl_Actual_costs_quantities34[[#This Row],[House Code]],tbl_Assessment[House Code],0),9),"")</f>
        <v/>
      </c>
      <c r="H432" s="41"/>
      <c r="I432" s="41"/>
      <c r="J432" s="41"/>
      <c r="K432" s="116"/>
      <c r="L432" s="117" t="str">
        <f>IF(tbl_Actual_costs_quantities34[[#This Row],[House Code]]&lt;&gt;"",tbl_Actual_costs_quantities34[[#This Row],[Total cost]]/INDEX(tbl_estimated_costs_quantities[],MATCH(tbl_Actual_costs_quantities34[[#This Row],[House Code]],tbl_estimated_costs_quantities[House Code],0),7),"")</f>
        <v/>
      </c>
      <c r="M43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2" s="75"/>
      <c r="O432" s="37"/>
      <c r="P432" s="86">
        <f>tbl_Actual_costs_quantities34[[#This Row],[Site Preparation]]*BOQs!$L$3</f>
        <v>0</v>
      </c>
      <c r="Q432" s="76"/>
      <c r="R432" s="37"/>
      <c r="S432" s="86">
        <f>tbl_Actual_costs_quantities34[[#This Row],[Demolition Removal Unsafe Structures]]*BOQs!$L$4</f>
        <v>0</v>
      </c>
      <c r="T432" s="76"/>
      <c r="U432" s="37"/>
      <c r="V432" s="86">
        <f>tbl_Actual_costs_quantities34[[#This Row],[Concrete Works]]*BOQs!$L$5</f>
        <v>0</v>
      </c>
      <c r="W432" s="76"/>
      <c r="X432" s="37"/>
      <c r="Y432" s="86">
        <f>tbl_Actual_costs_quantities34[[#This Row],[Closure External Openings Walls Windows]]*BOQs!$L$6</f>
        <v>0</v>
      </c>
      <c r="Z432" s="76"/>
      <c r="AA432" s="37"/>
      <c r="AB432" s="86">
        <f>tbl_Actual_costs_quantities34[[#This Row],[Plastering Painting]]*BOQs!$L$7</f>
        <v>0</v>
      </c>
      <c r="AC432" s="76"/>
      <c r="AD432" s="37"/>
      <c r="AE432" s="86">
        <f>tbl_Actual_costs_quantities34[[#This Row],[Floor Repairs]]*BOQs!$L$8</f>
        <v>0</v>
      </c>
      <c r="AF432" s="76"/>
      <c r="AG432" s="37"/>
      <c r="AH432" s="86">
        <f>tbl_Actual_costs_quantities34[[#This Row],[Doors Replacement Repair]]*BOQs!$L$9</f>
        <v>0</v>
      </c>
      <c r="AI432" s="76"/>
      <c r="AJ432" s="37"/>
      <c r="AK432" s="86">
        <f>tbl_Actual_costs_quantities34[[#This Row],[Windows Replacement Repair]]*BOQs!$L$10</f>
        <v>0</v>
      </c>
      <c r="AL432" s="76"/>
      <c r="AM432" s="37"/>
      <c r="AN432" s="86">
        <f>tbl_Actual_costs_quantities34[[#This Row],[Bathroom Rehabilitation]]*BOQs!$L$11</f>
        <v>0</v>
      </c>
      <c r="AO432" s="76"/>
      <c r="AP432" s="37"/>
      <c r="AQ432" s="86">
        <f>tbl_Actual_costs_quantities34[[#This Row],[Ceramic Tile Works WASH]]*BOQs!$L$12</f>
        <v>0</v>
      </c>
      <c r="AR432" s="76"/>
      <c r="AS432" s="37"/>
      <c r="AT432" s="86">
        <f>tbl_Actual_costs_quantities34[[#This Row],[Electrical Repairs Lighting]]*BOQs!$L$13</f>
        <v>0</v>
      </c>
      <c r="AU432" s="76"/>
      <c r="AV432" s="37"/>
      <c r="AW432" s="86">
        <f>tbl_Actual_costs_quantities34[[#This Row],[Roof Insulation Leak Sealing]]*BOQs!$L$14</f>
        <v>0</v>
      </c>
      <c r="AX432" s="76"/>
      <c r="AY432" s="37"/>
      <c r="AZ432" s="86">
        <f>tbl_Actual_costs_quantities34[[#This Row],[Chimney Duct Cleaning Repair]]*BOQs!$L$15</f>
        <v>0</v>
      </c>
      <c r="BA432" s="76"/>
      <c r="BB432" s="37"/>
      <c r="BC432" s="89">
        <f>tbl_Actual_costs_quantities34[[#This Row],[Accessibility Adaptations]]*BOQs!$L$16</f>
        <v>0</v>
      </c>
      <c r="BD432" s="41"/>
      <c r="BE432" s="37"/>
      <c r="BF432" s="37"/>
    </row>
    <row r="433" spans="2:58" ht="25.15" customHeight="1" x14ac:dyDescent="0.25">
      <c r="B433" s="49">
        <v>429</v>
      </c>
      <c r="C433" s="37"/>
      <c r="D433" s="41"/>
      <c r="E433" s="40"/>
      <c r="F433" s="87" t="str">
        <f>IF(tbl_Actual_costs_quantities34[[#This Row],[House Code]]&lt;&gt;"",INDEX(tbl_Assessment[],MATCH(tbl_Actual_costs_quantities34[[#This Row],[House Code]],tbl_Assessment[House Code],0),3),"")</f>
        <v/>
      </c>
      <c r="G433" s="116" t="str">
        <f>IF(tbl_Actual_costs_quantities34[[#This Row],[House Code]]&lt;&gt;"",INDEX(tbl_Assessment[],MATCH(tbl_Actual_costs_quantities34[[#This Row],[House Code]],tbl_Assessment[House Code],0),9),"")</f>
        <v/>
      </c>
      <c r="H433" s="41"/>
      <c r="I433" s="41"/>
      <c r="J433" s="41"/>
      <c r="K433" s="116"/>
      <c r="L433" s="117" t="str">
        <f>IF(tbl_Actual_costs_quantities34[[#This Row],[House Code]]&lt;&gt;"",tbl_Actual_costs_quantities34[[#This Row],[Total cost]]/INDEX(tbl_estimated_costs_quantities[],MATCH(tbl_Actual_costs_quantities34[[#This Row],[House Code]],tbl_estimated_costs_quantities[House Code],0),7),"")</f>
        <v/>
      </c>
      <c r="M43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3" s="75"/>
      <c r="O433" s="37"/>
      <c r="P433" s="86">
        <f>tbl_Actual_costs_quantities34[[#This Row],[Site Preparation]]*BOQs!$L$3</f>
        <v>0</v>
      </c>
      <c r="Q433" s="76"/>
      <c r="R433" s="37"/>
      <c r="S433" s="86">
        <f>tbl_Actual_costs_quantities34[[#This Row],[Demolition Removal Unsafe Structures]]*BOQs!$L$4</f>
        <v>0</v>
      </c>
      <c r="T433" s="76"/>
      <c r="U433" s="37"/>
      <c r="V433" s="86">
        <f>tbl_Actual_costs_quantities34[[#This Row],[Concrete Works]]*BOQs!$L$5</f>
        <v>0</v>
      </c>
      <c r="W433" s="76"/>
      <c r="X433" s="37"/>
      <c r="Y433" s="86">
        <f>tbl_Actual_costs_quantities34[[#This Row],[Closure External Openings Walls Windows]]*BOQs!$L$6</f>
        <v>0</v>
      </c>
      <c r="Z433" s="76"/>
      <c r="AA433" s="37"/>
      <c r="AB433" s="86">
        <f>tbl_Actual_costs_quantities34[[#This Row],[Plastering Painting]]*BOQs!$L$7</f>
        <v>0</v>
      </c>
      <c r="AC433" s="76"/>
      <c r="AD433" s="37"/>
      <c r="AE433" s="86">
        <f>tbl_Actual_costs_quantities34[[#This Row],[Floor Repairs]]*BOQs!$L$8</f>
        <v>0</v>
      </c>
      <c r="AF433" s="76"/>
      <c r="AG433" s="37"/>
      <c r="AH433" s="86">
        <f>tbl_Actual_costs_quantities34[[#This Row],[Doors Replacement Repair]]*BOQs!$L$9</f>
        <v>0</v>
      </c>
      <c r="AI433" s="76"/>
      <c r="AJ433" s="37"/>
      <c r="AK433" s="86">
        <f>tbl_Actual_costs_quantities34[[#This Row],[Windows Replacement Repair]]*BOQs!$L$10</f>
        <v>0</v>
      </c>
      <c r="AL433" s="76"/>
      <c r="AM433" s="37"/>
      <c r="AN433" s="86">
        <f>tbl_Actual_costs_quantities34[[#This Row],[Bathroom Rehabilitation]]*BOQs!$L$11</f>
        <v>0</v>
      </c>
      <c r="AO433" s="76"/>
      <c r="AP433" s="37"/>
      <c r="AQ433" s="86">
        <f>tbl_Actual_costs_quantities34[[#This Row],[Ceramic Tile Works WASH]]*BOQs!$L$12</f>
        <v>0</v>
      </c>
      <c r="AR433" s="76"/>
      <c r="AS433" s="37"/>
      <c r="AT433" s="86">
        <f>tbl_Actual_costs_quantities34[[#This Row],[Electrical Repairs Lighting]]*BOQs!$L$13</f>
        <v>0</v>
      </c>
      <c r="AU433" s="76"/>
      <c r="AV433" s="37"/>
      <c r="AW433" s="86">
        <f>tbl_Actual_costs_quantities34[[#This Row],[Roof Insulation Leak Sealing]]*BOQs!$L$14</f>
        <v>0</v>
      </c>
      <c r="AX433" s="76"/>
      <c r="AY433" s="37"/>
      <c r="AZ433" s="86">
        <f>tbl_Actual_costs_quantities34[[#This Row],[Chimney Duct Cleaning Repair]]*BOQs!$L$15</f>
        <v>0</v>
      </c>
      <c r="BA433" s="76"/>
      <c r="BB433" s="37"/>
      <c r="BC433" s="89">
        <f>tbl_Actual_costs_quantities34[[#This Row],[Accessibility Adaptations]]*BOQs!$L$16</f>
        <v>0</v>
      </c>
      <c r="BD433" s="41"/>
      <c r="BE433" s="37"/>
      <c r="BF433" s="37"/>
    </row>
    <row r="434" spans="2:58" ht="25.15" customHeight="1" x14ac:dyDescent="0.25">
      <c r="B434" s="49">
        <v>430</v>
      </c>
      <c r="C434" s="37"/>
      <c r="D434" s="41"/>
      <c r="E434" s="40"/>
      <c r="F434" s="87" t="str">
        <f>IF(tbl_Actual_costs_quantities34[[#This Row],[House Code]]&lt;&gt;"",INDEX(tbl_Assessment[],MATCH(tbl_Actual_costs_quantities34[[#This Row],[House Code]],tbl_Assessment[House Code],0),3),"")</f>
        <v/>
      </c>
      <c r="G434" s="116" t="str">
        <f>IF(tbl_Actual_costs_quantities34[[#This Row],[House Code]]&lt;&gt;"",INDEX(tbl_Assessment[],MATCH(tbl_Actual_costs_quantities34[[#This Row],[House Code]],tbl_Assessment[House Code],0),9),"")</f>
        <v/>
      </c>
      <c r="H434" s="41"/>
      <c r="I434" s="41"/>
      <c r="J434" s="41"/>
      <c r="K434" s="116"/>
      <c r="L434" s="117" t="str">
        <f>IF(tbl_Actual_costs_quantities34[[#This Row],[House Code]]&lt;&gt;"",tbl_Actual_costs_quantities34[[#This Row],[Total cost]]/INDEX(tbl_estimated_costs_quantities[],MATCH(tbl_Actual_costs_quantities34[[#This Row],[House Code]],tbl_estimated_costs_quantities[House Code],0),7),"")</f>
        <v/>
      </c>
      <c r="M43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4" s="75"/>
      <c r="O434" s="37"/>
      <c r="P434" s="86">
        <f>tbl_Actual_costs_quantities34[[#This Row],[Site Preparation]]*BOQs!$L$3</f>
        <v>0</v>
      </c>
      <c r="Q434" s="76"/>
      <c r="R434" s="37"/>
      <c r="S434" s="86">
        <f>tbl_Actual_costs_quantities34[[#This Row],[Demolition Removal Unsafe Structures]]*BOQs!$L$4</f>
        <v>0</v>
      </c>
      <c r="T434" s="76"/>
      <c r="U434" s="37"/>
      <c r="V434" s="86">
        <f>tbl_Actual_costs_quantities34[[#This Row],[Concrete Works]]*BOQs!$L$5</f>
        <v>0</v>
      </c>
      <c r="W434" s="76"/>
      <c r="X434" s="37"/>
      <c r="Y434" s="86">
        <f>tbl_Actual_costs_quantities34[[#This Row],[Closure External Openings Walls Windows]]*BOQs!$L$6</f>
        <v>0</v>
      </c>
      <c r="Z434" s="76"/>
      <c r="AA434" s="37"/>
      <c r="AB434" s="86">
        <f>tbl_Actual_costs_quantities34[[#This Row],[Plastering Painting]]*BOQs!$L$7</f>
        <v>0</v>
      </c>
      <c r="AC434" s="76"/>
      <c r="AD434" s="37"/>
      <c r="AE434" s="86">
        <f>tbl_Actual_costs_quantities34[[#This Row],[Floor Repairs]]*BOQs!$L$8</f>
        <v>0</v>
      </c>
      <c r="AF434" s="76"/>
      <c r="AG434" s="37"/>
      <c r="AH434" s="86">
        <f>tbl_Actual_costs_quantities34[[#This Row],[Doors Replacement Repair]]*BOQs!$L$9</f>
        <v>0</v>
      </c>
      <c r="AI434" s="76"/>
      <c r="AJ434" s="37"/>
      <c r="AK434" s="86">
        <f>tbl_Actual_costs_quantities34[[#This Row],[Windows Replacement Repair]]*BOQs!$L$10</f>
        <v>0</v>
      </c>
      <c r="AL434" s="76"/>
      <c r="AM434" s="37"/>
      <c r="AN434" s="86">
        <f>tbl_Actual_costs_quantities34[[#This Row],[Bathroom Rehabilitation]]*BOQs!$L$11</f>
        <v>0</v>
      </c>
      <c r="AO434" s="76"/>
      <c r="AP434" s="37"/>
      <c r="AQ434" s="86">
        <f>tbl_Actual_costs_quantities34[[#This Row],[Ceramic Tile Works WASH]]*BOQs!$L$12</f>
        <v>0</v>
      </c>
      <c r="AR434" s="76"/>
      <c r="AS434" s="37"/>
      <c r="AT434" s="86">
        <f>tbl_Actual_costs_quantities34[[#This Row],[Electrical Repairs Lighting]]*BOQs!$L$13</f>
        <v>0</v>
      </c>
      <c r="AU434" s="76"/>
      <c r="AV434" s="37"/>
      <c r="AW434" s="86">
        <f>tbl_Actual_costs_quantities34[[#This Row],[Roof Insulation Leak Sealing]]*BOQs!$L$14</f>
        <v>0</v>
      </c>
      <c r="AX434" s="76"/>
      <c r="AY434" s="37"/>
      <c r="AZ434" s="86">
        <f>tbl_Actual_costs_quantities34[[#This Row],[Chimney Duct Cleaning Repair]]*BOQs!$L$15</f>
        <v>0</v>
      </c>
      <c r="BA434" s="76"/>
      <c r="BB434" s="37"/>
      <c r="BC434" s="89">
        <f>tbl_Actual_costs_quantities34[[#This Row],[Accessibility Adaptations]]*BOQs!$L$16</f>
        <v>0</v>
      </c>
      <c r="BD434" s="41"/>
      <c r="BE434" s="37"/>
      <c r="BF434" s="37"/>
    </row>
    <row r="435" spans="2:58" ht="25.15" customHeight="1" x14ac:dyDescent="0.25">
      <c r="B435" s="49">
        <v>431</v>
      </c>
      <c r="C435" s="37"/>
      <c r="D435" s="41"/>
      <c r="E435" s="40"/>
      <c r="F435" s="87" t="str">
        <f>IF(tbl_Actual_costs_quantities34[[#This Row],[House Code]]&lt;&gt;"",INDEX(tbl_Assessment[],MATCH(tbl_Actual_costs_quantities34[[#This Row],[House Code]],tbl_Assessment[House Code],0),3),"")</f>
        <v/>
      </c>
      <c r="G435" s="116" t="str">
        <f>IF(tbl_Actual_costs_quantities34[[#This Row],[House Code]]&lt;&gt;"",INDEX(tbl_Assessment[],MATCH(tbl_Actual_costs_quantities34[[#This Row],[House Code]],tbl_Assessment[House Code],0),9),"")</f>
        <v/>
      </c>
      <c r="H435" s="41"/>
      <c r="I435" s="41"/>
      <c r="J435" s="41"/>
      <c r="K435" s="116"/>
      <c r="L435" s="117" t="str">
        <f>IF(tbl_Actual_costs_quantities34[[#This Row],[House Code]]&lt;&gt;"",tbl_Actual_costs_quantities34[[#This Row],[Total cost]]/INDEX(tbl_estimated_costs_quantities[],MATCH(tbl_Actual_costs_quantities34[[#This Row],[House Code]],tbl_estimated_costs_quantities[House Code],0),7),"")</f>
        <v/>
      </c>
      <c r="M43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5" s="75"/>
      <c r="O435" s="37"/>
      <c r="P435" s="86">
        <f>tbl_Actual_costs_quantities34[[#This Row],[Site Preparation]]*BOQs!$L$3</f>
        <v>0</v>
      </c>
      <c r="Q435" s="76"/>
      <c r="R435" s="37"/>
      <c r="S435" s="86">
        <f>tbl_Actual_costs_quantities34[[#This Row],[Demolition Removal Unsafe Structures]]*BOQs!$L$4</f>
        <v>0</v>
      </c>
      <c r="T435" s="76"/>
      <c r="U435" s="37"/>
      <c r="V435" s="86">
        <f>tbl_Actual_costs_quantities34[[#This Row],[Concrete Works]]*BOQs!$L$5</f>
        <v>0</v>
      </c>
      <c r="W435" s="76"/>
      <c r="X435" s="37"/>
      <c r="Y435" s="86">
        <f>tbl_Actual_costs_quantities34[[#This Row],[Closure External Openings Walls Windows]]*BOQs!$L$6</f>
        <v>0</v>
      </c>
      <c r="Z435" s="76"/>
      <c r="AA435" s="37"/>
      <c r="AB435" s="86">
        <f>tbl_Actual_costs_quantities34[[#This Row],[Plastering Painting]]*BOQs!$L$7</f>
        <v>0</v>
      </c>
      <c r="AC435" s="76"/>
      <c r="AD435" s="37"/>
      <c r="AE435" s="86">
        <f>tbl_Actual_costs_quantities34[[#This Row],[Floor Repairs]]*BOQs!$L$8</f>
        <v>0</v>
      </c>
      <c r="AF435" s="76"/>
      <c r="AG435" s="37"/>
      <c r="AH435" s="86">
        <f>tbl_Actual_costs_quantities34[[#This Row],[Doors Replacement Repair]]*BOQs!$L$9</f>
        <v>0</v>
      </c>
      <c r="AI435" s="76"/>
      <c r="AJ435" s="37"/>
      <c r="AK435" s="86">
        <f>tbl_Actual_costs_quantities34[[#This Row],[Windows Replacement Repair]]*BOQs!$L$10</f>
        <v>0</v>
      </c>
      <c r="AL435" s="76"/>
      <c r="AM435" s="37"/>
      <c r="AN435" s="86">
        <f>tbl_Actual_costs_quantities34[[#This Row],[Bathroom Rehabilitation]]*BOQs!$L$11</f>
        <v>0</v>
      </c>
      <c r="AO435" s="76"/>
      <c r="AP435" s="37"/>
      <c r="AQ435" s="86">
        <f>tbl_Actual_costs_quantities34[[#This Row],[Ceramic Tile Works WASH]]*BOQs!$L$12</f>
        <v>0</v>
      </c>
      <c r="AR435" s="76"/>
      <c r="AS435" s="37"/>
      <c r="AT435" s="86">
        <f>tbl_Actual_costs_quantities34[[#This Row],[Electrical Repairs Lighting]]*BOQs!$L$13</f>
        <v>0</v>
      </c>
      <c r="AU435" s="76"/>
      <c r="AV435" s="37"/>
      <c r="AW435" s="86">
        <f>tbl_Actual_costs_quantities34[[#This Row],[Roof Insulation Leak Sealing]]*BOQs!$L$14</f>
        <v>0</v>
      </c>
      <c r="AX435" s="76"/>
      <c r="AY435" s="37"/>
      <c r="AZ435" s="86">
        <f>tbl_Actual_costs_quantities34[[#This Row],[Chimney Duct Cleaning Repair]]*BOQs!$L$15</f>
        <v>0</v>
      </c>
      <c r="BA435" s="76"/>
      <c r="BB435" s="37"/>
      <c r="BC435" s="89">
        <f>tbl_Actual_costs_quantities34[[#This Row],[Accessibility Adaptations]]*BOQs!$L$16</f>
        <v>0</v>
      </c>
      <c r="BD435" s="41"/>
      <c r="BE435" s="37"/>
      <c r="BF435" s="37"/>
    </row>
    <row r="436" spans="2:58" ht="25.15" customHeight="1" x14ac:dyDescent="0.25">
      <c r="B436" s="49">
        <v>432</v>
      </c>
      <c r="C436" s="37"/>
      <c r="D436" s="41"/>
      <c r="E436" s="40"/>
      <c r="F436" s="87" t="str">
        <f>IF(tbl_Actual_costs_quantities34[[#This Row],[House Code]]&lt;&gt;"",INDEX(tbl_Assessment[],MATCH(tbl_Actual_costs_quantities34[[#This Row],[House Code]],tbl_Assessment[House Code],0),3),"")</f>
        <v/>
      </c>
      <c r="G436" s="116" t="str">
        <f>IF(tbl_Actual_costs_quantities34[[#This Row],[House Code]]&lt;&gt;"",INDEX(tbl_Assessment[],MATCH(tbl_Actual_costs_quantities34[[#This Row],[House Code]],tbl_Assessment[House Code],0),9),"")</f>
        <v/>
      </c>
      <c r="H436" s="41"/>
      <c r="I436" s="41"/>
      <c r="J436" s="41"/>
      <c r="K436" s="116"/>
      <c r="L436" s="117" t="str">
        <f>IF(tbl_Actual_costs_quantities34[[#This Row],[House Code]]&lt;&gt;"",tbl_Actual_costs_quantities34[[#This Row],[Total cost]]/INDEX(tbl_estimated_costs_quantities[],MATCH(tbl_Actual_costs_quantities34[[#This Row],[House Code]],tbl_estimated_costs_quantities[House Code],0),7),"")</f>
        <v/>
      </c>
      <c r="M43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6" s="75"/>
      <c r="O436" s="37"/>
      <c r="P436" s="86">
        <f>tbl_Actual_costs_quantities34[[#This Row],[Site Preparation]]*BOQs!$L$3</f>
        <v>0</v>
      </c>
      <c r="Q436" s="76"/>
      <c r="R436" s="37"/>
      <c r="S436" s="86">
        <f>tbl_Actual_costs_quantities34[[#This Row],[Demolition Removal Unsafe Structures]]*BOQs!$L$4</f>
        <v>0</v>
      </c>
      <c r="T436" s="76"/>
      <c r="U436" s="37"/>
      <c r="V436" s="86">
        <f>tbl_Actual_costs_quantities34[[#This Row],[Concrete Works]]*BOQs!$L$5</f>
        <v>0</v>
      </c>
      <c r="W436" s="76"/>
      <c r="X436" s="37"/>
      <c r="Y436" s="86">
        <f>tbl_Actual_costs_quantities34[[#This Row],[Closure External Openings Walls Windows]]*BOQs!$L$6</f>
        <v>0</v>
      </c>
      <c r="Z436" s="76"/>
      <c r="AA436" s="37"/>
      <c r="AB436" s="86">
        <f>tbl_Actual_costs_quantities34[[#This Row],[Plastering Painting]]*BOQs!$L$7</f>
        <v>0</v>
      </c>
      <c r="AC436" s="76"/>
      <c r="AD436" s="37"/>
      <c r="AE436" s="86">
        <f>tbl_Actual_costs_quantities34[[#This Row],[Floor Repairs]]*BOQs!$L$8</f>
        <v>0</v>
      </c>
      <c r="AF436" s="76"/>
      <c r="AG436" s="37"/>
      <c r="AH436" s="86">
        <f>tbl_Actual_costs_quantities34[[#This Row],[Doors Replacement Repair]]*BOQs!$L$9</f>
        <v>0</v>
      </c>
      <c r="AI436" s="76"/>
      <c r="AJ436" s="37"/>
      <c r="AK436" s="86">
        <f>tbl_Actual_costs_quantities34[[#This Row],[Windows Replacement Repair]]*BOQs!$L$10</f>
        <v>0</v>
      </c>
      <c r="AL436" s="76"/>
      <c r="AM436" s="37"/>
      <c r="AN436" s="86">
        <f>tbl_Actual_costs_quantities34[[#This Row],[Bathroom Rehabilitation]]*BOQs!$L$11</f>
        <v>0</v>
      </c>
      <c r="AO436" s="76"/>
      <c r="AP436" s="37"/>
      <c r="AQ436" s="86">
        <f>tbl_Actual_costs_quantities34[[#This Row],[Ceramic Tile Works WASH]]*BOQs!$L$12</f>
        <v>0</v>
      </c>
      <c r="AR436" s="76"/>
      <c r="AS436" s="37"/>
      <c r="AT436" s="86">
        <f>tbl_Actual_costs_quantities34[[#This Row],[Electrical Repairs Lighting]]*BOQs!$L$13</f>
        <v>0</v>
      </c>
      <c r="AU436" s="76"/>
      <c r="AV436" s="37"/>
      <c r="AW436" s="86">
        <f>tbl_Actual_costs_quantities34[[#This Row],[Roof Insulation Leak Sealing]]*BOQs!$L$14</f>
        <v>0</v>
      </c>
      <c r="AX436" s="76"/>
      <c r="AY436" s="37"/>
      <c r="AZ436" s="86">
        <f>tbl_Actual_costs_quantities34[[#This Row],[Chimney Duct Cleaning Repair]]*BOQs!$L$15</f>
        <v>0</v>
      </c>
      <c r="BA436" s="76"/>
      <c r="BB436" s="37"/>
      <c r="BC436" s="89">
        <f>tbl_Actual_costs_quantities34[[#This Row],[Accessibility Adaptations]]*BOQs!$L$16</f>
        <v>0</v>
      </c>
      <c r="BD436" s="41"/>
      <c r="BE436" s="37"/>
      <c r="BF436" s="37"/>
    </row>
    <row r="437" spans="2:58" ht="25.15" customHeight="1" x14ac:dyDescent="0.25">
      <c r="B437" s="49">
        <v>433</v>
      </c>
      <c r="C437" s="37"/>
      <c r="D437" s="41"/>
      <c r="E437" s="40"/>
      <c r="F437" s="87" t="str">
        <f>IF(tbl_Actual_costs_quantities34[[#This Row],[House Code]]&lt;&gt;"",INDEX(tbl_Assessment[],MATCH(tbl_Actual_costs_quantities34[[#This Row],[House Code]],tbl_Assessment[House Code],0),3),"")</f>
        <v/>
      </c>
      <c r="G437" s="116" t="str">
        <f>IF(tbl_Actual_costs_quantities34[[#This Row],[House Code]]&lt;&gt;"",INDEX(tbl_Assessment[],MATCH(tbl_Actual_costs_quantities34[[#This Row],[House Code]],tbl_Assessment[House Code],0),9),"")</f>
        <v/>
      </c>
      <c r="H437" s="41"/>
      <c r="I437" s="41"/>
      <c r="J437" s="41"/>
      <c r="K437" s="116"/>
      <c r="L437" s="117" t="str">
        <f>IF(tbl_Actual_costs_quantities34[[#This Row],[House Code]]&lt;&gt;"",tbl_Actual_costs_quantities34[[#This Row],[Total cost]]/INDEX(tbl_estimated_costs_quantities[],MATCH(tbl_Actual_costs_quantities34[[#This Row],[House Code]],tbl_estimated_costs_quantities[House Code],0),7),"")</f>
        <v/>
      </c>
      <c r="M43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7" s="75"/>
      <c r="O437" s="37"/>
      <c r="P437" s="86">
        <f>tbl_Actual_costs_quantities34[[#This Row],[Site Preparation]]*BOQs!$L$3</f>
        <v>0</v>
      </c>
      <c r="Q437" s="76"/>
      <c r="R437" s="37"/>
      <c r="S437" s="86">
        <f>tbl_Actual_costs_quantities34[[#This Row],[Demolition Removal Unsafe Structures]]*BOQs!$L$4</f>
        <v>0</v>
      </c>
      <c r="T437" s="76"/>
      <c r="U437" s="37"/>
      <c r="V437" s="86">
        <f>tbl_Actual_costs_quantities34[[#This Row],[Concrete Works]]*BOQs!$L$5</f>
        <v>0</v>
      </c>
      <c r="W437" s="76"/>
      <c r="X437" s="37"/>
      <c r="Y437" s="86">
        <f>tbl_Actual_costs_quantities34[[#This Row],[Closure External Openings Walls Windows]]*BOQs!$L$6</f>
        <v>0</v>
      </c>
      <c r="Z437" s="76"/>
      <c r="AA437" s="37"/>
      <c r="AB437" s="86">
        <f>tbl_Actual_costs_quantities34[[#This Row],[Plastering Painting]]*BOQs!$L$7</f>
        <v>0</v>
      </c>
      <c r="AC437" s="76"/>
      <c r="AD437" s="37"/>
      <c r="AE437" s="86">
        <f>tbl_Actual_costs_quantities34[[#This Row],[Floor Repairs]]*BOQs!$L$8</f>
        <v>0</v>
      </c>
      <c r="AF437" s="76"/>
      <c r="AG437" s="37"/>
      <c r="AH437" s="86">
        <f>tbl_Actual_costs_quantities34[[#This Row],[Doors Replacement Repair]]*BOQs!$L$9</f>
        <v>0</v>
      </c>
      <c r="AI437" s="76"/>
      <c r="AJ437" s="37"/>
      <c r="AK437" s="86">
        <f>tbl_Actual_costs_quantities34[[#This Row],[Windows Replacement Repair]]*BOQs!$L$10</f>
        <v>0</v>
      </c>
      <c r="AL437" s="76"/>
      <c r="AM437" s="37"/>
      <c r="AN437" s="86">
        <f>tbl_Actual_costs_quantities34[[#This Row],[Bathroom Rehabilitation]]*BOQs!$L$11</f>
        <v>0</v>
      </c>
      <c r="AO437" s="76"/>
      <c r="AP437" s="37"/>
      <c r="AQ437" s="86">
        <f>tbl_Actual_costs_quantities34[[#This Row],[Ceramic Tile Works WASH]]*BOQs!$L$12</f>
        <v>0</v>
      </c>
      <c r="AR437" s="76"/>
      <c r="AS437" s="37"/>
      <c r="AT437" s="86">
        <f>tbl_Actual_costs_quantities34[[#This Row],[Electrical Repairs Lighting]]*BOQs!$L$13</f>
        <v>0</v>
      </c>
      <c r="AU437" s="76"/>
      <c r="AV437" s="37"/>
      <c r="AW437" s="86">
        <f>tbl_Actual_costs_quantities34[[#This Row],[Roof Insulation Leak Sealing]]*BOQs!$L$14</f>
        <v>0</v>
      </c>
      <c r="AX437" s="76"/>
      <c r="AY437" s="37"/>
      <c r="AZ437" s="86">
        <f>tbl_Actual_costs_quantities34[[#This Row],[Chimney Duct Cleaning Repair]]*BOQs!$L$15</f>
        <v>0</v>
      </c>
      <c r="BA437" s="76"/>
      <c r="BB437" s="37"/>
      <c r="BC437" s="89">
        <f>tbl_Actual_costs_quantities34[[#This Row],[Accessibility Adaptations]]*BOQs!$L$16</f>
        <v>0</v>
      </c>
      <c r="BD437" s="41"/>
      <c r="BE437" s="37"/>
      <c r="BF437" s="37"/>
    </row>
    <row r="438" spans="2:58" ht="25.15" customHeight="1" x14ac:dyDescent="0.25">
      <c r="B438" s="49">
        <v>434</v>
      </c>
      <c r="C438" s="37"/>
      <c r="D438" s="41"/>
      <c r="E438" s="40"/>
      <c r="F438" s="87" t="str">
        <f>IF(tbl_Actual_costs_quantities34[[#This Row],[House Code]]&lt;&gt;"",INDEX(tbl_Assessment[],MATCH(tbl_Actual_costs_quantities34[[#This Row],[House Code]],tbl_Assessment[House Code],0),3),"")</f>
        <v/>
      </c>
      <c r="G438" s="116" t="str">
        <f>IF(tbl_Actual_costs_quantities34[[#This Row],[House Code]]&lt;&gt;"",INDEX(tbl_Assessment[],MATCH(tbl_Actual_costs_quantities34[[#This Row],[House Code]],tbl_Assessment[House Code],0),9),"")</f>
        <v/>
      </c>
      <c r="H438" s="41"/>
      <c r="I438" s="41"/>
      <c r="J438" s="41"/>
      <c r="K438" s="116"/>
      <c r="L438" s="117" t="str">
        <f>IF(tbl_Actual_costs_quantities34[[#This Row],[House Code]]&lt;&gt;"",tbl_Actual_costs_quantities34[[#This Row],[Total cost]]/INDEX(tbl_estimated_costs_quantities[],MATCH(tbl_Actual_costs_quantities34[[#This Row],[House Code]],tbl_estimated_costs_quantities[House Code],0),7),"")</f>
        <v/>
      </c>
      <c r="M43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8" s="75"/>
      <c r="O438" s="37"/>
      <c r="P438" s="86">
        <f>tbl_Actual_costs_quantities34[[#This Row],[Site Preparation]]*BOQs!$L$3</f>
        <v>0</v>
      </c>
      <c r="Q438" s="76"/>
      <c r="R438" s="37"/>
      <c r="S438" s="86">
        <f>tbl_Actual_costs_quantities34[[#This Row],[Demolition Removal Unsafe Structures]]*BOQs!$L$4</f>
        <v>0</v>
      </c>
      <c r="T438" s="76"/>
      <c r="U438" s="37"/>
      <c r="V438" s="86">
        <f>tbl_Actual_costs_quantities34[[#This Row],[Concrete Works]]*BOQs!$L$5</f>
        <v>0</v>
      </c>
      <c r="W438" s="76"/>
      <c r="X438" s="37"/>
      <c r="Y438" s="86">
        <f>tbl_Actual_costs_quantities34[[#This Row],[Closure External Openings Walls Windows]]*BOQs!$L$6</f>
        <v>0</v>
      </c>
      <c r="Z438" s="76"/>
      <c r="AA438" s="37"/>
      <c r="AB438" s="86">
        <f>tbl_Actual_costs_quantities34[[#This Row],[Plastering Painting]]*BOQs!$L$7</f>
        <v>0</v>
      </c>
      <c r="AC438" s="76"/>
      <c r="AD438" s="37"/>
      <c r="AE438" s="86">
        <f>tbl_Actual_costs_quantities34[[#This Row],[Floor Repairs]]*BOQs!$L$8</f>
        <v>0</v>
      </c>
      <c r="AF438" s="76"/>
      <c r="AG438" s="37"/>
      <c r="AH438" s="86">
        <f>tbl_Actual_costs_quantities34[[#This Row],[Doors Replacement Repair]]*BOQs!$L$9</f>
        <v>0</v>
      </c>
      <c r="AI438" s="76"/>
      <c r="AJ438" s="37"/>
      <c r="AK438" s="86">
        <f>tbl_Actual_costs_quantities34[[#This Row],[Windows Replacement Repair]]*BOQs!$L$10</f>
        <v>0</v>
      </c>
      <c r="AL438" s="76"/>
      <c r="AM438" s="37"/>
      <c r="AN438" s="86">
        <f>tbl_Actual_costs_quantities34[[#This Row],[Bathroom Rehabilitation]]*BOQs!$L$11</f>
        <v>0</v>
      </c>
      <c r="AO438" s="76"/>
      <c r="AP438" s="37"/>
      <c r="AQ438" s="86">
        <f>tbl_Actual_costs_quantities34[[#This Row],[Ceramic Tile Works WASH]]*BOQs!$L$12</f>
        <v>0</v>
      </c>
      <c r="AR438" s="76"/>
      <c r="AS438" s="37"/>
      <c r="AT438" s="86">
        <f>tbl_Actual_costs_quantities34[[#This Row],[Electrical Repairs Lighting]]*BOQs!$L$13</f>
        <v>0</v>
      </c>
      <c r="AU438" s="76"/>
      <c r="AV438" s="37"/>
      <c r="AW438" s="86">
        <f>tbl_Actual_costs_quantities34[[#This Row],[Roof Insulation Leak Sealing]]*BOQs!$L$14</f>
        <v>0</v>
      </c>
      <c r="AX438" s="76"/>
      <c r="AY438" s="37"/>
      <c r="AZ438" s="86">
        <f>tbl_Actual_costs_quantities34[[#This Row],[Chimney Duct Cleaning Repair]]*BOQs!$L$15</f>
        <v>0</v>
      </c>
      <c r="BA438" s="76"/>
      <c r="BB438" s="37"/>
      <c r="BC438" s="89">
        <f>tbl_Actual_costs_quantities34[[#This Row],[Accessibility Adaptations]]*BOQs!$L$16</f>
        <v>0</v>
      </c>
      <c r="BD438" s="41"/>
      <c r="BE438" s="37"/>
      <c r="BF438" s="37"/>
    </row>
    <row r="439" spans="2:58" ht="25.15" customHeight="1" x14ac:dyDescent="0.25">
      <c r="B439" s="49">
        <v>435</v>
      </c>
      <c r="C439" s="37"/>
      <c r="D439" s="41"/>
      <c r="E439" s="40"/>
      <c r="F439" s="87" t="str">
        <f>IF(tbl_Actual_costs_quantities34[[#This Row],[House Code]]&lt;&gt;"",INDEX(tbl_Assessment[],MATCH(tbl_Actual_costs_quantities34[[#This Row],[House Code]],tbl_Assessment[House Code],0),3),"")</f>
        <v/>
      </c>
      <c r="G439" s="116" t="str">
        <f>IF(tbl_Actual_costs_quantities34[[#This Row],[House Code]]&lt;&gt;"",INDEX(tbl_Assessment[],MATCH(tbl_Actual_costs_quantities34[[#This Row],[House Code]],tbl_Assessment[House Code],0),9),"")</f>
        <v/>
      </c>
      <c r="H439" s="41"/>
      <c r="I439" s="41"/>
      <c r="J439" s="41"/>
      <c r="K439" s="116"/>
      <c r="L439" s="117" t="str">
        <f>IF(tbl_Actual_costs_quantities34[[#This Row],[House Code]]&lt;&gt;"",tbl_Actual_costs_quantities34[[#This Row],[Total cost]]/INDEX(tbl_estimated_costs_quantities[],MATCH(tbl_Actual_costs_quantities34[[#This Row],[House Code]],tbl_estimated_costs_quantities[House Code],0),7),"")</f>
        <v/>
      </c>
      <c r="M43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39" s="75"/>
      <c r="O439" s="37"/>
      <c r="P439" s="86">
        <f>tbl_Actual_costs_quantities34[[#This Row],[Site Preparation]]*BOQs!$L$3</f>
        <v>0</v>
      </c>
      <c r="Q439" s="76"/>
      <c r="R439" s="37"/>
      <c r="S439" s="86">
        <f>tbl_Actual_costs_quantities34[[#This Row],[Demolition Removal Unsafe Structures]]*BOQs!$L$4</f>
        <v>0</v>
      </c>
      <c r="T439" s="76"/>
      <c r="U439" s="37"/>
      <c r="V439" s="86">
        <f>tbl_Actual_costs_quantities34[[#This Row],[Concrete Works]]*BOQs!$L$5</f>
        <v>0</v>
      </c>
      <c r="W439" s="76"/>
      <c r="X439" s="37"/>
      <c r="Y439" s="86">
        <f>tbl_Actual_costs_quantities34[[#This Row],[Closure External Openings Walls Windows]]*BOQs!$L$6</f>
        <v>0</v>
      </c>
      <c r="Z439" s="76"/>
      <c r="AA439" s="37"/>
      <c r="AB439" s="86">
        <f>tbl_Actual_costs_quantities34[[#This Row],[Plastering Painting]]*BOQs!$L$7</f>
        <v>0</v>
      </c>
      <c r="AC439" s="76"/>
      <c r="AD439" s="37"/>
      <c r="AE439" s="86">
        <f>tbl_Actual_costs_quantities34[[#This Row],[Floor Repairs]]*BOQs!$L$8</f>
        <v>0</v>
      </c>
      <c r="AF439" s="76"/>
      <c r="AG439" s="37"/>
      <c r="AH439" s="86">
        <f>tbl_Actual_costs_quantities34[[#This Row],[Doors Replacement Repair]]*BOQs!$L$9</f>
        <v>0</v>
      </c>
      <c r="AI439" s="76"/>
      <c r="AJ439" s="37"/>
      <c r="AK439" s="86">
        <f>tbl_Actual_costs_quantities34[[#This Row],[Windows Replacement Repair]]*BOQs!$L$10</f>
        <v>0</v>
      </c>
      <c r="AL439" s="76"/>
      <c r="AM439" s="37"/>
      <c r="AN439" s="86">
        <f>tbl_Actual_costs_quantities34[[#This Row],[Bathroom Rehabilitation]]*BOQs!$L$11</f>
        <v>0</v>
      </c>
      <c r="AO439" s="76"/>
      <c r="AP439" s="37"/>
      <c r="AQ439" s="86">
        <f>tbl_Actual_costs_quantities34[[#This Row],[Ceramic Tile Works WASH]]*BOQs!$L$12</f>
        <v>0</v>
      </c>
      <c r="AR439" s="76"/>
      <c r="AS439" s="37"/>
      <c r="AT439" s="86">
        <f>tbl_Actual_costs_quantities34[[#This Row],[Electrical Repairs Lighting]]*BOQs!$L$13</f>
        <v>0</v>
      </c>
      <c r="AU439" s="76"/>
      <c r="AV439" s="37"/>
      <c r="AW439" s="86">
        <f>tbl_Actual_costs_quantities34[[#This Row],[Roof Insulation Leak Sealing]]*BOQs!$L$14</f>
        <v>0</v>
      </c>
      <c r="AX439" s="76"/>
      <c r="AY439" s="37"/>
      <c r="AZ439" s="86">
        <f>tbl_Actual_costs_quantities34[[#This Row],[Chimney Duct Cleaning Repair]]*BOQs!$L$15</f>
        <v>0</v>
      </c>
      <c r="BA439" s="76"/>
      <c r="BB439" s="37"/>
      <c r="BC439" s="89">
        <f>tbl_Actual_costs_quantities34[[#This Row],[Accessibility Adaptations]]*BOQs!$L$16</f>
        <v>0</v>
      </c>
      <c r="BD439" s="41"/>
      <c r="BE439" s="37"/>
      <c r="BF439" s="37"/>
    </row>
    <row r="440" spans="2:58" ht="25.15" customHeight="1" x14ac:dyDescent="0.25">
      <c r="B440" s="49">
        <v>436</v>
      </c>
      <c r="C440" s="37"/>
      <c r="D440" s="41"/>
      <c r="E440" s="40"/>
      <c r="F440" s="87" t="str">
        <f>IF(tbl_Actual_costs_quantities34[[#This Row],[House Code]]&lt;&gt;"",INDEX(tbl_Assessment[],MATCH(tbl_Actual_costs_quantities34[[#This Row],[House Code]],tbl_Assessment[House Code],0),3),"")</f>
        <v/>
      </c>
      <c r="G440" s="116" t="str">
        <f>IF(tbl_Actual_costs_quantities34[[#This Row],[House Code]]&lt;&gt;"",INDEX(tbl_Assessment[],MATCH(tbl_Actual_costs_quantities34[[#This Row],[House Code]],tbl_Assessment[House Code],0),9),"")</f>
        <v/>
      </c>
      <c r="H440" s="41"/>
      <c r="I440" s="41"/>
      <c r="J440" s="41"/>
      <c r="K440" s="116"/>
      <c r="L440" s="117" t="str">
        <f>IF(tbl_Actual_costs_quantities34[[#This Row],[House Code]]&lt;&gt;"",tbl_Actual_costs_quantities34[[#This Row],[Total cost]]/INDEX(tbl_estimated_costs_quantities[],MATCH(tbl_Actual_costs_quantities34[[#This Row],[House Code]],tbl_estimated_costs_quantities[House Code],0),7),"")</f>
        <v/>
      </c>
      <c r="M44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0" s="75"/>
      <c r="O440" s="37"/>
      <c r="P440" s="86">
        <f>tbl_Actual_costs_quantities34[[#This Row],[Site Preparation]]*BOQs!$L$3</f>
        <v>0</v>
      </c>
      <c r="Q440" s="76"/>
      <c r="R440" s="37"/>
      <c r="S440" s="86">
        <f>tbl_Actual_costs_quantities34[[#This Row],[Demolition Removal Unsafe Structures]]*BOQs!$L$4</f>
        <v>0</v>
      </c>
      <c r="T440" s="76"/>
      <c r="U440" s="37"/>
      <c r="V440" s="86">
        <f>tbl_Actual_costs_quantities34[[#This Row],[Concrete Works]]*BOQs!$L$5</f>
        <v>0</v>
      </c>
      <c r="W440" s="76"/>
      <c r="X440" s="37"/>
      <c r="Y440" s="86">
        <f>tbl_Actual_costs_quantities34[[#This Row],[Closure External Openings Walls Windows]]*BOQs!$L$6</f>
        <v>0</v>
      </c>
      <c r="Z440" s="76"/>
      <c r="AA440" s="37"/>
      <c r="AB440" s="86">
        <f>tbl_Actual_costs_quantities34[[#This Row],[Plastering Painting]]*BOQs!$L$7</f>
        <v>0</v>
      </c>
      <c r="AC440" s="76"/>
      <c r="AD440" s="37"/>
      <c r="AE440" s="86">
        <f>tbl_Actual_costs_quantities34[[#This Row],[Floor Repairs]]*BOQs!$L$8</f>
        <v>0</v>
      </c>
      <c r="AF440" s="76"/>
      <c r="AG440" s="37"/>
      <c r="AH440" s="86">
        <f>tbl_Actual_costs_quantities34[[#This Row],[Doors Replacement Repair]]*BOQs!$L$9</f>
        <v>0</v>
      </c>
      <c r="AI440" s="76"/>
      <c r="AJ440" s="37"/>
      <c r="AK440" s="86">
        <f>tbl_Actual_costs_quantities34[[#This Row],[Windows Replacement Repair]]*BOQs!$L$10</f>
        <v>0</v>
      </c>
      <c r="AL440" s="76"/>
      <c r="AM440" s="37"/>
      <c r="AN440" s="86">
        <f>tbl_Actual_costs_quantities34[[#This Row],[Bathroom Rehabilitation]]*BOQs!$L$11</f>
        <v>0</v>
      </c>
      <c r="AO440" s="76"/>
      <c r="AP440" s="37"/>
      <c r="AQ440" s="86">
        <f>tbl_Actual_costs_quantities34[[#This Row],[Ceramic Tile Works WASH]]*BOQs!$L$12</f>
        <v>0</v>
      </c>
      <c r="AR440" s="76"/>
      <c r="AS440" s="37"/>
      <c r="AT440" s="86">
        <f>tbl_Actual_costs_quantities34[[#This Row],[Electrical Repairs Lighting]]*BOQs!$L$13</f>
        <v>0</v>
      </c>
      <c r="AU440" s="76"/>
      <c r="AV440" s="37"/>
      <c r="AW440" s="86">
        <f>tbl_Actual_costs_quantities34[[#This Row],[Roof Insulation Leak Sealing]]*BOQs!$L$14</f>
        <v>0</v>
      </c>
      <c r="AX440" s="76"/>
      <c r="AY440" s="37"/>
      <c r="AZ440" s="86">
        <f>tbl_Actual_costs_quantities34[[#This Row],[Chimney Duct Cleaning Repair]]*BOQs!$L$15</f>
        <v>0</v>
      </c>
      <c r="BA440" s="76"/>
      <c r="BB440" s="37"/>
      <c r="BC440" s="89">
        <f>tbl_Actual_costs_quantities34[[#This Row],[Accessibility Adaptations]]*BOQs!$L$16</f>
        <v>0</v>
      </c>
      <c r="BD440" s="41"/>
      <c r="BE440" s="37"/>
      <c r="BF440" s="37"/>
    </row>
    <row r="441" spans="2:58" ht="25.15" customHeight="1" x14ac:dyDescent="0.25">
      <c r="B441" s="49">
        <v>437</v>
      </c>
      <c r="C441" s="37"/>
      <c r="D441" s="41"/>
      <c r="E441" s="40"/>
      <c r="F441" s="87" t="str">
        <f>IF(tbl_Actual_costs_quantities34[[#This Row],[House Code]]&lt;&gt;"",INDEX(tbl_Assessment[],MATCH(tbl_Actual_costs_quantities34[[#This Row],[House Code]],tbl_Assessment[House Code],0),3),"")</f>
        <v/>
      </c>
      <c r="G441" s="116" t="str">
        <f>IF(tbl_Actual_costs_quantities34[[#This Row],[House Code]]&lt;&gt;"",INDEX(tbl_Assessment[],MATCH(tbl_Actual_costs_quantities34[[#This Row],[House Code]],tbl_Assessment[House Code],0),9),"")</f>
        <v/>
      </c>
      <c r="H441" s="41"/>
      <c r="I441" s="41"/>
      <c r="J441" s="41"/>
      <c r="K441" s="116"/>
      <c r="L441" s="117" t="str">
        <f>IF(tbl_Actual_costs_quantities34[[#This Row],[House Code]]&lt;&gt;"",tbl_Actual_costs_quantities34[[#This Row],[Total cost]]/INDEX(tbl_estimated_costs_quantities[],MATCH(tbl_Actual_costs_quantities34[[#This Row],[House Code]],tbl_estimated_costs_quantities[House Code],0),7),"")</f>
        <v/>
      </c>
      <c r="M44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1" s="75"/>
      <c r="O441" s="37"/>
      <c r="P441" s="86">
        <f>tbl_Actual_costs_quantities34[[#This Row],[Site Preparation]]*BOQs!$L$3</f>
        <v>0</v>
      </c>
      <c r="Q441" s="76"/>
      <c r="R441" s="37"/>
      <c r="S441" s="86">
        <f>tbl_Actual_costs_quantities34[[#This Row],[Demolition Removal Unsafe Structures]]*BOQs!$L$4</f>
        <v>0</v>
      </c>
      <c r="T441" s="76"/>
      <c r="U441" s="37"/>
      <c r="V441" s="86">
        <f>tbl_Actual_costs_quantities34[[#This Row],[Concrete Works]]*BOQs!$L$5</f>
        <v>0</v>
      </c>
      <c r="W441" s="76"/>
      <c r="X441" s="37"/>
      <c r="Y441" s="86">
        <f>tbl_Actual_costs_quantities34[[#This Row],[Closure External Openings Walls Windows]]*BOQs!$L$6</f>
        <v>0</v>
      </c>
      <c r="Z441" s="76"/>
      <c r="AA441" s="37"/>
      <c r="AB441" s="86">
        <f>tbl_Actual_costs_quantities34[[#This Row],[Plastering Painting]]*BOQs!$L$7</f>
        <v>0</v>
      </c>
      <c r="AC441" s="76"/>
      <c r="AD441" s="37"/>
      <c r="AE441" s="86">
        <f>tbl_Actual_costs_quantities34[[#This Row],[Floor Repairs]]*BOQs!$L$8</f>
        <v>0</v>
      </c>
      <c r="AF441" s="76"/>
      <c r="AG441" s="37"/>
      <c r="AH441" s="86">
        <f>tbl_Actual_costs_quantities34[[#This Row],[Doors Replacement Repair]]*BOQs!$L$9</f>
        <v>0</v>
      </c>
      <c r="AI441" s="76"/>
      <c r="AJ441" s="37"/>
      <c r="AK441" s="86">
        <f>tbl_Actual_costs_quantities34[[#This Row],[Windows Replacement Repair]]*BOQs!$L$10</f>
        <v>0</v>
      </c>
      <c r="AL441" s="76"/>
      <c r="AM441" s="37"/>
      <c r="AN441" s="86">
        <f>tbl_Actual_costs_quantities34[[#This Row],[Bathroom Rehabilitation]]*BOQs!$L$11</f>
        <v>0</v>
      </c>
      <c r="AO441" s="76"/>
      <c r="AP441" s="37"/>
      <c r="AQ441" s="86">
        <f>tbl_Actual_costs_quantities34[[#This Row],[Ceramic Tile Works WASH]]*BOQs!$L$12</f>
        <v>0</v>
      </c>
      <c r="AR441" s="76"/>
      <c r="AS441" s="37"/>
      <c r="AT441" s="86">
        <f>tbl_Actual_costs_quantities34[[#This Row],[Electrical Repairs Lighting]]*BOQs!$L$13</f>
        <v>0</v>
      </c>
      <c r="AU441" s="76"/>
      <c r="AV441" s="37"/>
      <c r="AW441" s="86">
        <f>tbl_Actual_costs_quantities34[[#This Row],[Roof Insulation Leak Sealing]]*BOQs!$L$14</f>
        <v>0</v>
      </c>
      <c r="AX441" s="76"/>
      <c r="AY441" s="37"/>
      <c r="AZ441" s="86">
        <f>tbl_Actual_costs_quantities34[[#This Row],[Chimney Duct Cleaning Repair]]*BOQs!$L$15</f>
        <v>0</v>
      </c>
      <c r="BA441" s="76"/>
      <c r="BB441" s="37"/>
      <c r="BC441" s="89">
        <f>tbl_Actual_costs_quantities34[[#This Row],[Accessibility Adaptations]]*BOQs!$L$16</f>
        <v>0</v>
      </c>
      <c r="BD441" s="41"/>
      <c r="BE441" s="37"/>
      <c r="BF441" s="37"/>
    </row>
    <row r="442" spans="2:58" ht="25.15" customHeight="1" x14ac:dyDescent="0.25">
      <c r="B442" s="49">
        <v>438</v>
      </c>
      <c r="C442" s="37"/>
      <c r="D442" s="41"/>
      <c r="E442" s="40"/>
      <c r="F442" s="87" t="str">
        <f>IF(tbl_Actual_costs_quantities34[[#This Row],[House Code]]&lt;&gt;"",INDEX(tbl_Assessment[],MATCH(tbl_Actual_costs_quantities34[[#This Row],[House Code]],tbl_Assessment[House Code],0),3),"")</f>
        <v/>
      </c>
      <c r="G442" s="116" t="str">
        <f>IF(tbl_Actual_costs_quantities34[[#This Row],[House Code]]&lt;&gt;"",INDEX(tbl_Assessment[],MATCH(tbl_Actual_costs_quantities34[[#This Row],[House Code]],tbl_Assessment[House Code],0),9),"")</f>
        <v/>
      </c>
      <c r="H442" s="41"/>
      <c r="I442" s="41"/>
      <c r="J442" s="41"/>
      <c r="K442" s="116"/>
      <c r="L442" s="117" t="str">
        <f>IF(tbl_Actual_costs_quantities34[[#This Row],[House Code]]&lt;&gt;"",tbl_Actual_costs_quantities34[[#This Row],[Total cost]]/INDEX(tbl_estimated_costs_quantities[],MATCH(tbl_Actual_costs_quantities34[[#This Row],[House Code]],tbl_estimated_costs_quantities[House Code],0),7),"")</f>
        <v/>
      </c>
      <c r="M44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2" s="75"/>
      <c r="O442" s="37"/>
      <c r="P442" s="86">
        <f>tbl_Actual_costs_quantities34[[#This Row],[Site Preparation]]*BOQs!$L$3</f>
        <v>0</v>
      </c>
      <c r="Q442" s="76"/>
      <c r="R442" s="37"/>
      <c r="S442" s="86">
        <f>tbl_Actual_costs_quantities34[[#This Row],[Demolition Removal Unsafe Structures]]*BOQs!$L$4</f>
        <v>0</v>
      </c>
      <c r="T442" s="76"/>
      <c r="U442" s="37"/>
      <c r="V442" s="86">
        <f>tbl_Actual_costs_quantities34[[#This Row],[Concrete Works]]*BOQs!$L$5</f>
        <v>0</v>
      </c>
      <c r="W442" s="76"/>
      <c r="X442" s="37"/>
      <c r="Y442" s="86">
        <f>tbl_Actual_costs_quantities34[[#This Row],[Closure External Openings Walls Windows]]*BOQs!$L$6</f>
        <v>0</v>
      </c>
      <c r="Z442" s="76"/>
      <c r="AA442" s="37"/>
      <c r="AB442" s="86">
        <f>tbl_Actual_costs_quantities34[[#This Row],[Plastering Painting]]*BOQs!$L$7</f>
        <v>0</v>
      </c>
      <c r="AC442" s="76"/>
      <c r="AD442" s="37"/>
      <c r="AE442" s="86">
        <f>tbl_Actual_costs_quantities34[[#This Row],[Floor Repairs]]*BOQs!$L$8</f>
        <v>0</v>
      </c>
      <c r="AF442" s="76"/>
      <c r="AG442" s="37"/>
      <c r="AH442" s="86">
        <f>tbl_Actual_costs_quantities34[[#This Row],[Doors Replacement Repair]]*BOQs!$L$9</f>
        <v>0</v>
      </c>
      <c r="AI442" s="76"/>
      <c r="AJ442" s="37"/>
      <c r="AK442" s="86">
        <f>tbl_Actual_costs_quantities34[[#This Row],[Windows Replacement Repair]]*BOQs!$L$10</f>
        <v>0</v>
      </c>
      <c r="AL442" s="76"/>
      <c r="AM442" s="37"/>
      <c r="AN442" s="86">
        <f>tbl_Actual_costs_quantities34[[#This Row],[Bathroom Rehabilitation]]*BOQs!$L$11</f>
        <v>0</v>
      </c>
      <c r="AO442" s="76"/>
      <c r="AP442" s="37"/>
      <c r="AQ442" s="86">
        <f>tbl_Actual_costs_quantities34[[#This Row],[Ceramic Tile Works WASH]]*BOQs!$L$12</f>
        <v>0</v>
      </c>
      <c r="AR442" s="76"/>
      <c r="AS442" s="37"/>
      <c r="AT442" s="86">
        <f>tbl_Actual_costs_quantities34[[#This Row],[Electrical Repairs Lighting]]*BOQs!$L$13</f>
        <v>0</v>
      </c>
      <c r="AU442" s="76"/>
      <c r="AV442" s="37"/>
      <c r="AW442" s="86">
        <f>tbl_Actual_costs_quantities34[[#This Row],[Roof Insulation Leak Sealing]]*BOQs!$L$14</f>
        <v>0</v>
      </c>
      <c r="AX442" s="76"/>
      <c r="AY442" s="37"/>
      <c r="AZ442" s="86">
        <f>tbl_Actual_costs_quantities34[[#This Row],[Chimney Duct Cleaning Repair]]*BOQs!$L$15</f>
        <v>0</v>
      </c>
      <c r="BA442" s="76"/>
      <c r="BB442" s="37"/>
      <c r="BC442" s="89">
        <f>tbl_Actual_costs_quantities34[[#This Row],[Accessibility Adaptations]]*BOQs!$L$16</f>
        <v>0</v>
      </c>
      <c r="BD442" s="41"/>
      <c r="BE442" s="37"/>
      <c r="BF442" s="37"/>
    </row>
    <row r="443" spans="2:58" ht="25.15" customHeight="1" x14ac:dyDescent="0.25">
      <c r="B443" s="49">
        <v>439</v>
      </c>
      <c r="C443" s="37"/>
      <c r="D443" s="41"/>
      <c r="E443" s="40"/>
      <c r="F443" s="87" t="str">
        <f>IF(tbl_Actual_costs_quantities34[[#This Row],[House Code]]&lt;&gt;"",INDEX(tbl_Assessment[],MATCH(tbl_Actual_costs_quantities34[[#This Row],[House Code]],tbl_Assessment[House Code],0),3),"")</f>
        <v/>
      </c>
      <c r="G443" s="116" t="str">
        <f>IF(tbl_Actual_costs_quantities34[[#This Row],[House Code]]&lt;&gt;"",INDEX(tbl_Assessment[],MATCH(tbl_Actual_costs_quantities34[[#This Row],[House Code]],tbl_Assessment[House Code],0),9),"")</f>
        <v/>
      </c>
      <c r="H443" s="41"/>
      <c r="I443" s="41"/>
      <c r="J443" s="41"/>
      <c r="K443" s="116"/>
      <c r="L443" s="117" t="str">
        <f>IF(tbl_Actual_costs_quantities34[[#This Row],[House Code]]&lt;&gt;"",tbl_Actual_costs_quantities34[[#This Row],[Total cost]]/INDEX(tbl_estimated_costs_quantities[],MATCH(tbl_Actual_costs_quantities34[[#This Row],[House Code]],tbl_estimated_costs_quantities[House Code],0),7),"")</f>
        <v/>
      </c>
      <c r="M44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3" s="75"/>
      <c r="O443" s="37"/>
      <c r="P443" s="86">
        <f>tbl_Actual_costs_quantities34[[#This Row],[Site Preparation]]*BOQs!$L$3</f>
        <v>0</v>
      </c>
      <c r="Q443" s="76"/>
      <c r="R443" s="37"/>
      <c r="S443" s="86">
        <f>tbl_Actual_costs_quantities34[[#This Row],[Demolition Removal Unsafe Structures]]*BOQs!$L$4</f>
        <v>0</v>
      </c>
      <c r="T443" s="76"/>
      <c r="U443" s="37"/>
      <c r="V443" s="86">
        <f>tbl_Actual_costs_quantities34[[#This Row],[Concrete Works]]*BOQs!$L$5</f>
        <v>0</v>
      </c>
      <c r="W443" s="76"/>
      <c r="X443" s="37"/>
      <c r="Y443" s="86">
        <f>tbl_Actual_costs_quantities34[[#This Row],[Closure External Openings Walls Windows]]*BOQs!$L$6</f>
        <v>0</v>
      </c>
      <c r="Z443" s="76"/>
      <c r="AA443" s="37"/>
      <c r="AB443" s="86">
        <f>tbl_Actual_costs_quantities34[[#This Row],[Plastering Painting]]*BOQs!$L$7</f>
        <v>0</v>
      </c>
      <c r="AC443" s="76"/>
      <c r="AD443" s="37"/>
      <c r="AE443" s="86">
        <f>tbl_Actual_costs_quantities34[[#This Row],[Floor Repairs]]*BOQs!$L$8</f>
        <v>0</v>
      </c>
      <c r="AF443" s="76"/>
      <c r="AG443" s="37"/>
      <c r="AH443" s="86">
        <f>tbl_Actual_costs_quantities34[[#This Row],[Doors Replacement Repair]]*BOQs!$L$9</f>
        <v>0</v>
      </c>
      <c r="AI443" s="76"/>
      <c r="AJ443" s="37"/>
      <c r="AK443" s="86">
        <f>tbl_Actual_costs_quantities34[[#This Row],[Windows Replacement Repair]]*BOQs!$L$10</f>
        <v>0</v>
      </c>
      <c r="AL443" s="76"/>
      <c r="AM443" s="37"/>
      <c r="AN443" s="86">
        <f>tbl_Actual_costs_quantities34[[#This Row],[Bathroom Rehabilitation]]*BOQs!$L$11</f>
        <v>0</v>
      </c>
      <c r="AO443" s="76"/>
      <c r="AP443" s="37"/>
      <c r="AQ443" s="86">
        <f>tbl_Actual_costs_quantities34[[#This Row],[Ceramic Tile Works WASH]]*BOQs!$L$12</f>
        <v>0</v>
      </c>
      <c r="AR443" s="76"/>
      <c r="AS443" s="37"/>
      <c r="AT443" s="86">
        <f>tbl_Actual_costs_quantities34[[#This Row],[Electrical Repairs Lighting]]*BOQs!$L$13</f>
        <v>0</v>
      </c>
      <c r="AU443" s="76"/>
      <c r="AV443" s="37"/>
      <c r="AW443" s="86">
        <f>tbl_Actual_costs_quantities34[[#This Row],[Roof Insulation Leak Sealing]]*BOQs!$L$14</f>
        <v>0</v>
      </c>
      <c r="AX443" s="76"/>
      <c r="AY443" s="37"/>
      <c r="AZ443" s="86">
        <f>tbl_Actual_costs_quantities34[[#This Row],[Chimney Duct Cleaning Repair]]*BOQs!$L$15</f>
        <v>0</v>
      </c>
      <c r="BA443" s="76"/>
      <c r="BB443" s="37"/>
      <c r="BC443" s="89">
        <f>tbl_Actual_costs_quantities34[[#This Row],[Accessibility Adaptations]]*BOQs!$L$16</f>
        <v>0</v>
      </c>
      <c r="BD443" s="41"/>
      <c r="BE443" s="37"/>
      <c r="BF443" s="37"/>
    </row>
    <row r="444" spans="2:58" ht="25.15" customHeight="1" x14ac:dyDescent="0.25">
      <c r="B444" s="49">
        <v>440</v>
      </c>
      <c r="C444" s="37"/>
      <c r="D444" s="41"/>
      <c r="E444" s="40"/>
      <c r="F444" s="87" t="str">
        <f>IF(tbl_Actual_costs_quantities34[[#This Row],[House Code]]&lt;&gt;"",INDEX(tbl_Assessment[],MATCH(tbl_Actual_costs_quantities34[[#This Row],[House Code]],tbl_Assessment[House Code],0),3),"")</f>
        <v/>
      </c>
      <c r="G444" s="116" t="str">
        <f>IF(tbl_Actual_costs_quantities34[[#This Row],[House Code]]&lt;&gt;"",INDEX(tbl_Assessment[],MATCH(tbl_Actual_costs_quantities34[[#This Row],[House Code]],tbl_Assessment[House Code],0),9),"")</f>
        <v/>
      </c>
      <c r="H444" s="41"/>
      <c r="I444" s="41"/>
      <c r="J444" s="41"/>
      <c r="K444" s="116"/>
      <c r="L444" s="117" t="str">
        <f>IF(tbl_Actual_costs_quantities34[[#This Row],[House Code]]&lt;&gt;"",tbl_Actual_costs_quantities34[[#This Row],[Total cost]]/INDEX(tbl_estimated_costs_quantities[],MATCH(tbl_Actual_costs_quantities34[[#This Row],[House Code]],tbl_estimated_costs_quantities[House Code],0),7),"")</f>
        <v/>
      </c>
      <c r="M44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4" s="75"/>
      <c r="O444" s="37"/>
      <c r="P444" s="86">
        <f>tbl_Actual_costs_quantities34[[#This Row],[Site Preparation]]*BOQs!$L$3</f>
        <v>0</v>
      </c>
      <c r="Q444" s="76"/>
      <c r="R444" s="37"/>
      <c r="S444" s="86">
        <f>tbl_Actual_costs_quantities34[[#This Row],[Demolition Removal Unsafe Structures]]*BOQs!$L$4</f>
        <v>0</v>
      </c>
      <c r="T444" s="76"/>
      <c r="U444" s="37"/>
      <c r="V444" s="86">
        <f>tbl_Actual_costs_quantities34[[#This Row],[Concrete Works]]*BOQs!$L$5</f>
        <v>0</v>
      </c>
      <c r="W444" s="76"/>
      <c r="X444" s="37"/>
      <c r="Y444" s="86">
        <f>tbl_Actual_costs_quantities34[[#This Row],[Closure External Openings Walls Windows]]*BOQs!$L$6</f>
        <v>0</v>
      </c>
      <c r="Z444" s="76"/>
      <c r="AA444" s="37"/>
      <c r="AB444" s="86">
        <f>tbl_Actual_costs_quantities34[[#This Row],[Plastering Painting]]*BOQs!$L$7</f>
        <v>0</v>
      </c>
      <c r="AC444" s="76"/>
      <c r="AD444" s="37"/>
      <c r="AE444" s="86">
        <f>tbl_Actual_costs_quantities34[[#This Row],[Floor Repairs]]*BOQs!$L$8</f>
        <v>0</v>
      </c>
      <c r="AF444" s="76"/>
      <c r="AG444" s="37"/>
      <c r="AH444" s="86">
        <f>tbl_Actual_costs_quantities34[[#This Row],[Doors Replacement Repair]]*BOQs!$L$9</f>
        <v>0</v>
      </c>
      <c r="AI444" s="76"/>
      <c r="AJ444" s="37"/>
      <c r="AK444" s="86">
        <f>tbl_Actual_costs_quantities34[[#This Row],[Windows Replacement Repair]]*BOQs!$L$10</f>
        <v>0</v>
      </c>
      <c r="AL444" s="76"/>
      <c r="AM444" s="37"/>
      <c r="AN444" s="86">
        <f>tbl_Actual_costs_quantities34[[#This Row],[Bathroom Rehabilitation]]*BOQs!$L$11</f>
        <v>0</v>
      </c>
      <c r="AO444" s="76"/>
      <c r="AP444" s="37"/>
      <c r="AQ444" s="86">
        <f>tbl_Actual_costs_quantities34[[#This Row],[Ceramic Tile Works WASH]]*BOQs!$L$12</f>
        <v>0</v>
      </c>
      <c r="AR444" s="76"/>
      <c r="AS444" s="37"/>
      <c r="AT444" s="86">
        <f>tbl_Actual_costs_quantities34[[#This Row],[Electrical Repairs Lighting]]*BOQs!$L$13</f>
        <v>0</v>
      </c>
      <c r="AU444" s="76"/>
      <c r="AV444" s="37"/>
      <c r="AW444" s="86">
        <f>tbl_Actual_costs_quantities34[[#This Row],[Roof Insulation Leak Sealing]]*BOQs!$L$14</f>
        <v>0</v>
      </c>
      <c r="AX444" s="76"/>
      <c r="AY444" s="37"/>
      <c r="AZ444" s="86">
        <f>tbl_Actual_costs_quantities34[[#This Row],[Chimney Duct Cleaning Repair]]*BOQs!$L$15</f>
        <v>0</v>
      </c>
      <c r="BA444" s="76"/>
      <c r="BB444" s="37"/>
      <c r="BC444" s="89">
        <f>tbl_Actual_costs_quantities34[[#This Row],[Accessibility Adaptations]]*BOQs!$L$16</f>
        <v>0</v>
      </c>
      <c r="BD444" s="41"/>
      <c r="BE444" s="37"/>
      <c r="BF444" s="37"/>
    </row>
    <row r="445" spans="2:58" ht="25.15" customHeight="1" x14ac:dyDescent="0.25">
      <c r="B445" s="49">
        <v>441</v>
      </c>
      <c r="C445" s="37"/>
      <c r="D445" s="41"/>
      <c r="E445" s="40"/>
      <c r="F445" s="87" t="str">
        <f>IF(tbl_Actual_costs_quantities34[[#This Row],[House Code]]&lt;&gt;"",INDEX(tbl_Assessment[],MATCH(tbl_Actual_costs_quantities34[[#This Row],[House Code]],tbl_Assessment[House Code],0),3),"")</f>
        <v/>
      </c>
      <c r="G445" s="116" t="str">
        <f>IF(tbl_Actual_costs_quantities34[[#This Row],[House Code]]&lt;&gt;"",INDEX(tbl_Assessment[],MATCH(tbl_Actual_costs_quantities34[[#This Row],[House Code]],tbl_Assessment[House Code],0),9),"")</f>
        <v/>
      </c>
      <c r="H445" s="41"/>
      <c r="I445" s="41"/>
      <c r="J445" s="41"/>
      <c r="K445" s="116"/>
      <c r="L445" s="117" t="str">
        <f>IF(tbl_Actual_costs_quantities34[[#This Row],[House Code]]&lt;&gt;"",tbl_Actual_costs_quantities34[[#This Row],[Total cost]]/INDEX(tbl_estimated_costs_quantities[],MATCH(tbl_Actual_costs_quantities34[[#This Row],[House Code]],tbl_estimated_costs_quantities[House Code],0),7),"")</f>
        <v/>
      </c>
      <c r="M44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5" s="75"/>
      <c r="O445" s="37"/>
      <c r="P445" s="86">
        <f>tbl_Actual_costs_quantities34[[#This Row],[Site Preparation]]*BOQs!$L$3</f>
        <v>0</v>
      </c>
      <c r="Q445" s="76"/>
      <c r="R445" s="37"/>
      <c r="S445" s="86">
        <f>tbl_Actual_costs_quantities34[[#This Row],[Demolition Removal Unsafe Structures]]*BOQs!$L$4</f>
        <v>0</v>
      </c>
      <c r="T445" s="76"/>
      <c r="U445" s="37"/>
      <c r="V445" s="86">
        <f>tbl_Actual_costs_quantities34[[#This Row],[Concrete Works]]*BOQs!$L$5</f>
        <v>0</v>
      </c>
      <c r="W445" s="76"/>
      <c r="X445" s="37"/>
      <c r="Y445" s="86">
        <f>tbl_Actual_costs_quantities34[[#This Row],[Closure External Openings Walls Windows]]*BOQs!$L$6</f>
        <v>0</v>
      </c>
      <c r="Z445" s="76"/>
      <c r="AA445" s="37"/>
      <c r="AB445" s="86">
        <f>tbl_Actual_costs_quantities34[[#This Row],[Plastering Painting]]*BOQs!$L$7</f>
        <v>0</v>
      </c>
      <c r="AC445" s="76"/>
      <c r="AD445" s="37"/>
      <c r="AE445" s="86">
        <f>tbl_Actual_costs_quantities34[[#This Row],[Floor Repairs]]*BOQs!$L$8</f>
        <v>0</v>
      </c>
      <c r="AF445" s="76"/>
      <c r="AG445" s="37"/>
      <c r="AH445" s="86">
        <f>tbl_Actual_costs_quantities34[[#This Row],[Doors Replacement Repair]]*BOQs!$L$9</f>
        <v>0</v>
      </c>
      <c r="AI445" s="76"/>
      <c r="AJ445" s="37"/>
      <c r="AK445" s="86">
        <f>tbl_Actual_costs_quantities34[[#This Row],[Windows Replacement Repair]]*BOQs!$L$10</f>
        <v>0</v>
      </c>
      <c r="AL445" s="76"/>
      <c r="AM445" s="37"/>
      <c r="AN445" s="86">
        <f>tbl_Actual_costs_quantities34[[#This Row],[Bathroom Rehabilitation]]*BOQs!$L$11</f>
        <v>0</v>
      </c>
      <c r="AO445" s="76"/>
      <c r="AP445" s="37"/>
      <c r="AQ445" s="86">
        <f>tbl_Actual_costs_quantities34[[#This Row],[Ceramic Tile Works WASH]]*BOQs!$L$12</f>
        <v>0</v>
      </c>
      <c r="AR445" s="76"/>
      <c r="AS445" s="37"/>
      <c r="AT445" s="86">
        <f>tbl_Actual_costs_quantities34[[#This Row],[Electrical Repairs Lighting]]*BOQs!$L$13</f>
        <v>0</v>
      </c>
      <c r="AU445" s="76"/>
      <c r="AV445" s="37"/>
      <c r="AW445" s="86">
        <f>tbl_Actual_costs_quantities34[[#This Row],[Roof Insulation Leak Sealing]]*BOQs!$L$14</f>
        <v>0</v>
      </c>
      <c r="AX445" s="76"/>
      <c r="AY445" s="37"/>
      <c r="AZ445" s="86">
        <f>tbl_Actual_costs_quantities34[[#This Row],[Chimney Duct Cleaning Repair]]*BOQs!$L$15</f>
        <v>0</v>
      </c>
      <c r="BA445" s="76"/>
      <c r="BB445" s="37"/>
      <c r="BC445" s="89">
        <f>tbl_Actual_costs_quantities34[[#This Row],[Accessibility Adaptations]]*BOQs!$L$16</f>
        <v>0</v>
      </c>
      <c r="BD445" s="41"/>
      <c r="BE445" s="37"/>
      <c r="BF445" s="37"/>
    </row>
    <row r="446" spans="2:58" ht="25.15" customHeight="1" x14ac:dyDescent="0.25">
      <c r="B446" s="49">
        <v>442</v>
      </c>
      <c r="C446" s="37"/>
      <c r="D446" s="41"/>
      <c r="E446" s="40"/>
      <c r="F446" s="87" t="str">
        <f>IF(tbl_Actual_costs_quantities34[[#This Row],[House Code]]&lt;&gt;"",INDEX(tbl_Assessment[],MATCH(tbl_Actual_costs_quantities34[[#This Row],[House Code]],tbl_Assessment[House Code],0),3),"")</f>
        <v/>
      </c>
      <c r="G446" s="116" t="str">
        <f>IF(tbl_Actual_costs_quantities34[[#This Row],[House Code]]&lt;&gt;"",INDEX(tbl_Assessment[],MATCH(tbl_Actual_costs_quantities34[[#This Row],[House Code]],tbl_Assessment[House Code],0),9),"")</f>
        <v/>
      </c>
      <c r="H446" s="41"/>
      <c r="I446" s="41"/>
      <c r="J446" s="41"/>
      <c r="K446" s="116"/>
      <c r="L446" s="117" t="str">
        <f>IF(tbl_Actual_costs_quantities34[[#This Row],[House Code]]&lt;&gt;"",tbl_Actual_costs_quantities34[[#This Row],[Total cost]]/INDEX(tbl_estimated_costs_quantities[],MATCH(tbl_Actual_costs_quantities34[[#This Row],[House Code]],tbl_estimated_costs_quantities[House Code],0),7),"")</f>
        <v/>
      </c>
      <c r="M44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6" s="75"/>
      <c r="O446" s="37"/>
      <c r="P446" s="86">
        <f>tbl_Actual_costs_quantities34[[#This Row],[Site Preparation]]*BOQs!$L$3</f>
        <v>0</v>
      </c>
      <c r="Q446" s="76"/>
      <c r="R446" s="37"/>
      <c r="S446" s="86">
        <f>tbl_Actual_costs_quantities34[[#This Row],[Demolition Removal Unsafe Structures]]*BOQs!$L$4</f>
        <v>0</v>
      </c>
      <c r="T446" s="76"/>
      <c r="U446" s="37"/>
      <c r="V446" s="86">
        <f>tbl_Actual_costs_quantities34[[#This Row],[Concrete Works]]*BOQs!$L$5</f>
        <v>0</v>
      </c>
      <c r="W446" s="76"/>
      <c r="X446" s="37"/>
      <c r="Y446" s="86">
        <f>tbl_Actual_costs_quantities34[[#This Row],[Closure External Openings Walls Windows]]*BOQs!$L$6</f>
        <v>0</v>
      </c>
      <c r="Z446" s="76"/>
      <c r="AA446" s="37"/>
      <c r="AB446" s="86">
        <f>tbl_Actual_costs_quantities34[[#This Row],[Plastering Painting]]*BOQs!$L$7</f>
        <v>0</v>
      </c>
      <c r="AC446" s="76"/>
      <c r="AD446" s="37"/>
      <c r="AE446" s="86">
        <f>tbl_Actual_costs_quantities34[[#This Row],[Floor Repairs]]*BOQs!$L$8</f>
        <v>0</v>
      </c>
      <c r="AF446" s="76"/>
      <c r="AG446" s="37"/>
      <c r="AH446" s="86">
        <f>tbl_Actual_costs_quantities34[[#This Row],[Doors Replacement Repair]]*BOQs!$L$9</f>
        <v>0</v>
      </c>
      <c r="AI446" s="76"/>
      <c r="AJ446" s="37"/>
      <c r="AK446" s="86">
        <f>tbl_Actual_costs_quantities34[[#This Row],[Windows Replacement Repair]]*BOQs!$L$10</f>
        <v>0</v>
      </c>
      <c r="AL446" s="76"/>
      <c r="AM446" s="37"/>
      <c r="AN446" s="86">
        <f>tbl_Actual_costs_quantities34[[#This Row],[Bathroom Rehabilitation]]*BOQs!$L$11</f>
        <v>0</v>
      </c>
      <c r="AO446" s="76"/>
      <c r="AP446" s="37"/>
      <c r="AQ446" s="86">
        <f>tbl_Actual_costs_quantities34[[#This Row],[Ceramic Tile Works WASH]]*BOQs!$L$12</f>
        <v>0</v>
      </c>
      <c r="AR446" s="76"/>
      <c r="AS446" s="37"/>
      <c r="AT446" s="86">
        <f>tbl_Actual_costs_quantities34[[#This Row],[Electrical Repairs Lighting]]*BOQs!$L$13</f>
        <v>0</v>
      </c>
      <c r="AU446" s="76"/>
      <c r="AV446" s="37"/>
      <c r="AW446" s="86">
        <f>tbl_Actual_costs_quantities34[[#This Row],[Roof Insulation Leak Sealing]]*BOQs!$L$14</f>
        <v>0</v>
      </c>
      <c r="AX446" s="76"/>
      <c r="AY446" s="37"/>
      <c r="AZ446" s="86">
        <f>tbl_Actual_costs_quantities34[[#This Row],[Chimney Duct Cleaning Repair]]*BOQs!$L$15</f>
        <v>0</v>
      </c>
      <c r="BA446" s="76"/>
      <c r="BB446" s="37"/>
      <c r="BC446" s="89">
        <f>tbl_Actual_costs_quantities34[[#This Row],[Accessibility Adaptations]]*BOQs!$L$16</f>
        <v>0</v>
      </c>
      <c r="BD446" s="41"/>
      <c r="BE446" s="37"/>
      <c r="BF446" s="37"/>
    </row>
    <row r="447" spans="2:58" ht="25.15" customHeight="1" x14ac:dyDescent="0.25">
      <c r="B447" s="49">
        <v>443</v>
      </c>
      <c r="C447" s="37"/>
      <c r="D447" s="41"/>
      <c r="E447" s="40"/>
      <c r="F447" s="87" t="str">
        <f>IF(tbl_Actual_costs_quantities34[[#This Row],[House Code]]&lt;&gt;"",INDEX(tbl_Assessment[],MATCH(tbl_Actual_costs_quantities34[[#This Row],[House Code]],tbl_Assessment[House Code],0),3),"")</f>
        <v/>
      </c>
      <c r="G447" s="116" t="str">
        <f>IF(tbl_Actual_costs_quantities34[[#This Row],[House Code]]&lt;&gt;"",INDEX(tbl_Assessment[],MATCH(tbl_Actual_costs_quantities34[[#This Row],[House Code]],tbl_Assessment[House Code],0),9),"")</f>
        <v/>
      </c>
      <c r="H447" s="41"/>
      <c r="I447" s="41"/>
      <c r="J447" s="41"/>
      <c r="K447" s="116"/>
      <c r="L447" s="117" t="str">
        <f>IF(tbl_Actual_costs_quantities34[[#This Row],[House Code]]&lt;&gt;"",tbl_Actual_costs_quantities34[[#This Row],[Total cost]]/INDEX(tbl_estimated_costs_quantities[],MATCH(tbl_Actual_costs_quantities34[[#This Row],[House Code]],tbl_estimated_costs_quantities[House Code],0),7),"")</f>
        <v/>
      </c>
      <c r="M44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7" s="75"/>
      <c r="O447" s="37"/>
      <c r="P447" s="86">
        <f>tbl_Actual_costs_quantities34[[#This Row],[Site Preparation]]*BOQs!$L$3</f>
        <v>0</v>
      </c>
      <c r="Q447" s="76"/>
      <c r="R447" s="37"/>
      <c r="S447" s="86">
        <f>tbl_Actual_costs_quantities34[[#This Row],[Demolition Removal Unsafe Structures]]*BOQs!$L$4</f>
        <v>0</v>
      </c>
      <c r="T447" s="76"/>
      <c r="U447" s="37"/>
      <c r="V447" s="86">
        <f>tbl_Actual_costs_quantities34[[#This Row],[Concrete Works]]*BOQs!$L$5</f>
        <v>0</v>
      </c>
      <c r="W447" s="76"/>
      <c r="X447" s="37"/>
      <c r="Y447" s="86">
        <f>tbl_Actual_costs_quantities34[[#This Row],[Closure External Openings Walls Windows]]*BOQs!$L$6</f>
        <v>0</v>
      </c>
      <c r="Z447" s="76"/>
      <c r="AA447" s="37"/>
      <c r="AB447" s="86">
        <f>tbl_Actual_costs_quantities34[[#This Row],[Plastering Painting]]*BOQs!$L$7</f>
        <v>0</v>
      </c>
      <c r="AC447" s="76"/>
      <c r="AD447" s="37"/>
      <c r="AE447" s="86">
        <f>tbl_Actual_costs_quantities34[[#This Row],[Floor Repairs]]*BOQs!$L$8</f>
        <v>0</v>
      </c>
      <c r="AF447" s="76"/>
      <c r="AG447" s="37"/>
      <c r="AH447" s="86">
        <f>tbl_Actual_costs_quantities34[[#This Row],[Doors Replacement Repair]]*BOQs!$L$9</f>
        <v>0</v>
      </c>
      <c r="AI447" s="76"/>
      <c r="AJ447" s="37"/>
      <c r="AK447" s="86">
        <f>tbl_Actual_costs_quantities34[[#This Row],[Windows Replacement Repair]]*BOQs!$L$10</f>
        <v>0</v>
      </c>
      <c r="AL447" s="76"/>
      <c r="AM447" s="37"/>
      <c r="AN447" s="86">
        <f>tbl_Actual_costs_quantities34[[#This Row],[Bathroom Rehabilitation]]*BOQs!$L$11</f>
        <v>0</v>
      </c>
      <c r="AO447" s="76"/>
      <c r="AP447" s="37"/>
      <c r="AQ447" s="86">
        <f>tbl_Actual_costs_quantities34[[#This Row],[Ceramic Tile Works WASH]]*BOQs!$L$12</f>
        <v>0</v>
      </c>
      <c r="AR447" s="76"/>
      <c r="AS447" s="37"/>
      <c r="AT447" s="86">
        <f>tbl_Actual_costs_quantities34[[#This Row],[Electrical Repairs Lighting]]*BOQs!$L$13</f>
        <v>0</v>
      </c>
      <c r="AU447" s="76"/>
      <c r="AV447" s="37"/>
      <c r="AW447" s="86">
        <f>tbl_Actual_costs_quantities34[[#This Row],[Roof Insulation Leak Sealing]]*BOQs!$L$14</f>
        <v>0</v>
      </c>
      <c r="AX447" s="76"/>
      <c r="AY447" s="37"/>
      <c r="AZ447" s="86">
        <f>tbl_Actual_costs_quantities34[[#This Row],[Chimney Duct Cleaning Repair]]*BOQs!$L$15</f>
        <v>0</v>
      </c>
      <c r="BA447" s="76"/>
      <c r="BB447" s="37"/>
      <c r="BC447" s="89">
        <f>tbl_Actual_costs_quantities34[[#This Row],[Accessibility Adaptations]]*BOQs!$L$16</f>
        <v>0</v>
      </c>
      <c r="BD447" s="41"/>
      <c r="BE447" s="37"/>
      <c r="BF447" s="37"/>
    </row>
    <row r="448" spans="2:58" ht="25.15" customHeight="1" x14ac:dyDescent="0.25">
      <c r="B448" s="49">
        <v>444</v>
      </c>
      <c r="C448" s="37"/>
      <c r="D448" s="41"/>
      <c r="E448" s="40"/>
      <c r="F448" s="87" t="str">
        <f>IF(tbl_Actual_costs_quantities34[[#This Row],[House Code]]&lt;&gt;"",INDEX(tbl_Assessment[],MATCH(tbl_Actual_costs_quantities34[[#This Row],[House Code]],tbl_Assessment[House Code],0),3),"")</f>
        <v/>
      </c>
      <c r="G448" s="116" t="str">
        <f>IF(tbl_Actual_costs_quantities34[[#This Row],[House Code]]&lt;&gt;"",INDEX(tbl_Assessment[],MATCH(tbl_Actual_costs_quantities34[[#This Row],[House Code]],tbl_Assessment[House Code],0),9),"")</f>
        <v/>
      </c>
      <c r="H448" s="41"/>
      <c r="I448" s="41"/>
      <c r="J448" s="41"/>
      <c r="K448" s="116"/>
      <c r="L448" s="117" t="str">
        <f>IF(tbl_Actual_costs_quantities34[[#This Row],[House Code]]&lt;&gt;"",tbl_Actual_costs_quantities34[[#This Row],[Total cost]]/INDEX(tbl_estimated_costs_quantities[],MATCH(tbl_Actual_costs_quantities34[[#This Row],[House Code]],tbl_estimated_costs_quantities[House Code],0),7),"")</f>
        <v/>
      </c>
      <c r="M44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8" s="75"/>
      <c r="O448" s="37"/>
      <c r="P448" s="86">
        <f>tbl_Actual_costs_quantities34[[#This Row],[Site Preparation]]*BOQs!$L$3</f>
        <v>0</v>
      </c>
      <c r="Q448" s="76"/>
      <c r="R448" s="37"/>
      <c r="S448" s="86">
        <f>tbl_Actual_costs_quantities34[[#This Row],[Demolition Removal Unsafe Structures]]*BOQs!$L$4</f>
        <v>0</v>
      </c>
      <c r="T448" s="76"/>
      <c r="U448" s="37"/>
      <c r="V448" s="86">
        <f>tbl_Actual_costs_quantities34[[#This Row],[Concrete Works]]*BOQs!$L$5</f>
        <v>0</v>
      </c>
      <c r="W448" s="76"/>
      <c r="X448" s="37"/>
      <c r="Y448" s="86">
        <f>tbl_Actual_costs_quantities34[[#This Row],[Closure External Openings Walls Windows]]*BOQs!$L$6</f>
        <v>0</v>
      </c>
      <c r="Z448" s="76"/>
      <c r="AA448" s="37"/>
      <c r="AB448" s="86">
        <f>tbl_Actual_costs_quantities34[[#This Row],[Plastering Painting]]*BOQs!$L$7</f>
        <v>0</v>
      </c>
      <c r="AC448" s="76"/>
      <c r="AD448" s="37"/>
      <c r="AE448" s="86">
        <f>tbl_Actual_costs_quantities34[[#This Row],[Floor Repairs]]*BOQs!$L$8</f>
        <v>0</v>
      </c>
      <c r="AF448" s="76"/>
      <c r="AG448" s="37"/>
      <c r="AH448" s="86">
        <f>tbl_Actual_costs_quantities34[[#This Row],[Doors Replacement Repair]]*BOQs!$L$9</f>
        <v>0</v>
      </c>
      <c r="AI448" s="76"/>
      <c r="AJ448" s="37"/>
      <c r="AK448" s="86">
        <f>tbl_Actual_costs_quantities34[[#This Row],[Windows Replacement Repair]]*BOQs!$L$10</f>
        <v>0</v>
      </c>
      <c r="AL448" s="76"/>
      <c r="AM448" s="37"/>
      <c r="AN448" s="86">
        <f>tbl_Actual_costs_quantities34[[#This Row],[Bathroom Rehabilitation]]*BOQs!$L$11</f>
        <v>0</v>
      </c>
      <c r="AO448" s="76"/>
      <c r="AP448" s="37"/>
      <c r="AQ448" s="86">
        <f>tbl_Actual_costs_quantities34[[#This Row],[Ceramic Tile Works WASH]]*BOQs!$L$12</f>
        <v>0</v>
      </c>
      <c r="AR448" s="76"/>
      <c r="AS448" s="37"/>
      <c r="AT448" s="86">
        <f>tbl_Actual_costs_quantities34[[#This Row],[Electrical Repairs Lighting]]*BOQs!$L$13</f>
        <v>0</v>
      </c>
      <c r="AU448" s="76"/>
      <c r="AV448" s="37"/>
      <c r="AW448" s="86">
        <f>tbl_Actual_costs_quantities34[[#This Row],[Roof Insulation Leak Sealing]]*BOQs!$L$14</f>
        <v>0</v>
      </c>
      <c r="AX448" s="76"/>
      <c r="AY448" s="37"/>
      <c r="AZ448" s="86">
        <f>tbl_Actual_costs_quantities34[[#This Row],[Chimney Duct Cleaning Repair]]*BOQs!$L$15</f>
        <v>0</v>
      </c>
      <c r="BA448" s="76"/>
      <c r="BB448" s="37"/>
      <c r="BC448" s="89">
        <f>tbl_Actual_costs_quantities34[[#This Row],[Accessibility Adaptations]]*BOQs!$L$16</f>
        <v>0</v>
      </c>
      <c r="BD448" s="41"/>
      <c r="BE448" s="37"/>
      <c r="BF448" s="37"/>
    </row>
    <row r="449" spans="2:58" ht="25.15" customHeight="1" x14ac:dyDescent="0.25">
      <c r="B449" s="49">
        <v>445</v>
      </c>
      <c r="C449" s="37"/>
      <c r="D449" s="41"/>
      <c r="E449" s="40"/>
      <c r="F449" s="87" t="str">
        <f>IF(tbl_Actual_costs_quantities34[[#This Row],[House Code]]&lt;&gt;"",INDEX(tbl_Assessment[],MATCH(tbl_Actual_costs_quantities34[[#This Row],[House Code]],tbl_Assessment[House Code],0),3),"")</f>
        <v/>
      </c>
      <c r="G449" s="116" t="str">
        <f>IF(tbl_Actual_costs_quantities34[[#This Row],[House Code]]&lt;&gt;"",INDEX(tbl_Assessment[],MATCH(tbl_Actual_costs_quantities34[[#This Row],[House Code]],tbl_Assessment[House Code],0),9),"")</f>
        <v/>
      </c>
      <c r="H449" s="41"/>
      <c r="I449" s="41"/>
      <c r="J449" s="41"/>
      <c r="K449" s="116"/>
      <c r="L449" s="117" t="str">
        <f>IF(tbl_Actual_costs_quantities34[[#This Row],[House Code]]&lt;&gt;"",tbl_Actual_costs_quantities34[[#This Row],[Total cost]]/INDEX(tbl_estimated_costs_quantities[],MATCH(tbl_Actual_costs_quantities34[[#This Row],[House Code]],tbl_estimated_costs_quantities[House Code],0),7),"")</f>
        <v/>
      </c>
      <c r="M44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49" s="75"/>
      <c r="O449" s="37"/>
      <c r="P449" s="86">
        <f>tbl_Actual_costs_quantities34[[#This Row],[Site Preparation]]*BOQs!$L$3</f>
        <v>0</v>
      </c>
      <c r="Q449" s="76"/>
      <c r="R449" s="37"/>
      <c r="S449" s="86">
        <f>tbl_Actual_costs_quantities34[[#This Row],[Demolition Removal Unsafe Structures]]*BOQs!$L$4</f>
        <v>0</v>
      </c>
      <c r="T449" s="76"/>
      <c r="U449" s="37"/>
      <c r="V449" s="86">
        <f>tbl_Actual_costs_quantities34[[#This Row],[Concrete Works]]*BOQs!$L$5</f>
        <v>0</v>
      </c>
      <c r="W449" s="76"/>
      <c r="X449" s="37"/>
      <c r="Y449" s="86">
        <f>tbl_Actual_costs_quantities34[[#This Row],[Closure External Openings Walls Windows]]*BOQs!$L$6</f>
        <v>0</v>
      </c>
      <c r="Z449" s="76"/>
      <c r="AA449" s="37"/>
      <c r="AB449" s="86">
        <f>tbl_Actual_costs_quantities34[[#This Row],[Plastering Painting]]*BOQs!$L$7</f>
        <v>0</v>
      </c>
      <c r="AC449" s="76"/>
      <c r="AD449" s="37"/>
      <c r="AE449" s="86">
        <f>tbl_Actual_costs_quantities34[[#This Row],[Floor Repairs]]*BOQs!$L$8</f>
        <v>0</v>
      </c>
      <c r="AF449" s="76"/>
      <c r="AG449" s="37"/>
      <c r="AH449" s="86">
        <f>tbl_Actual_costs_quantities34[[#This Row],[Doors Replacement Repair]]*BOQs!$L$9</f>
        <v>0</v>
      </c>
      <c r="AI449" s="76"/>
      <c r="AJ449" s="37"/>
      <c r="AK449" s="86">
        <f>tbl_Actual_costs_quantities34[[#This Row],[Windows Replacement Repair]]*BOQs!$L$10</f>
        <v>0</v>
      </c>
      <c r="AL449" s="76"/>
      <c r="AM449" s="37"/>
      <c r="AN449" s="86">
        <f>tbl_Actual_costs_quantities34[[#This Row],[Bathroom Rehabilitation]]*BOQs!$L$11</f>
        <v>0</v>
      </c>
      <c r="AO449" s="76"/>
      <c r="AP449" s="37"/>
      <c r="AQ449" s="86">
        <f>tbl_Actual_costs_quantities34[[#This Row],[Ceramic Tile Works WASH]]*BOQs!$L$12</f>
        <v>0</v>
      </c>
      <c r="AR449" s="76"/>
      <c r="AS449" s="37"/>
      <c r="AT449" s="86">
        <f>tbl_Actual_costs_quantities34[[#This Row],[Electrical Repairs Lighting]]*BOQs!$L$13</f>
        <v>0</v>
      </c>
      <c r="AU449" s="76"/>
      <c r="AV449" s="37"/>
      <c r="AW449" s="86">
        <f>tbl_Actual_costs_quantities34[[#This Row],[Roof Insulation Leak Sealing]]*BOQs!$L$14</f>
        <v>0</v>
      </c>
      <c r="AX449" s="76"/>
      <c r="AY449" s="37"/>
      <c r="AZ449" s="86">
        <f>tbl_Actual_costs_quantities34[[#This Row],[Chimney Duct Cleaning Repair]]*BOQs!$L$15</f>
        <v>0</v>
      </c>
      <c r="BA449" s="76"/>
      <c r="BB449" s="37"/>
      <c r="BC449" s="89">
        <f>tbl_Actual_costs_quantities34[[#This Row],[Accessibility Adaptations]]*BOQs!$L$16</f>
        <v>0</v>
      </c>
      <c r="BD449" s="41"/>
      <c r="BE449" s="37"/>
      <c r="BF449" s="37"/>
    </row>
    <row r="450" spans="2:58" ht="25.15" customHeight="1" x14ac:dyDescent="0.25">
      <c r="B450" s="49">
        <v>446</v>
      </c>
      <c r="C450" s="37"/>
      <c r="D450" s="41"/>
      <c r="E450" s="40"/>
      <c r="F450" s="87" t="str">
        <f>IF(tbl_Actual_costs_quantities34[[#This Row],[House Code]]&lt;&gt;"",INDEX(tbl_Assessment[],MATCH(tbl_Actual_costs_quantities34[[#This Row],[House Code]],tbl_Assessment[House Code],0),3),"")</f>
        <v/>
      </c>
      <c r="G450" s="116" t="str">
        <f>IF(tbl_Actual_costs_quantities34[[#This Row],[House Code]]&lt;&gt;"",INDEX(tbl_Assessment[],MATCH(tbl_Actual_costs_quantities34[[#This Row],[House Code]],tbl_Assessment[House Code],0),9),"")</f>
        <v/>
      </c>
      <c r="H450" s="41"/>
      <c r="I450" s="41"/>
      <c r="J450" s="41"/>
      <c r="K450" s="116"/>
      <c r="L450" s="117" t="str">
        <f>IF(tbl_Actual_costs_quantities34[[#This Row],[House Code]]&lt;&gt;"",tbl_Actual_costs_quantities34[[#This Row],[Total cost]]/INDEX(tbl_estimated_costs_quantities[],MATCH(tbl_Actual_costs_quantities34[[#This Row],[House Code]],tbl_estimated_costs_quantities[House Code],0),7),"")</f>
        <v/>
      </c>
      <c r="M45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0" s="75"/>
      <c r="O450" s="37"/>
      <c r="P450" s="86">
        <f>tbl_Actual_costs_quantities34[[#This Row],[Site Preparation]]*BOQs!$L$3</f>
        <v>0</v>
      </c>
      <c r="Q450" s="76"/>
      <c r="R450" s="37"/>
      <c r="S450" s="86">
        <f>tbl_Actual_costs_quantities34[[#This Row],[Demolition Removal Unsafe Structures]]*BOQs!$L$4</f>
        <v>0</v>
      </c>
      <c r="T450" s="76"/>
      <c r="U450" s="37"/>
      <c r="V450" s="86">
        <f>tbl_Actual_costs_quantities34[[#This Row],[Concrete Works]]*BOQs!$L$5</f>
        <v>0</v>
      </c>
      <c r="W450" s="76"/>
      <c r="X450" s="37"/>
      <c r="Y450" s="86">
        <f>tbl_Actual_costs_quantities34[[#This Row],[Closure External Openings Walls Windows]]*BOQs!$L$6</f>
        <v>0</v>
      </c>
      <c r="Z450" s="76"/>
      <c r="AA450" s="37"/>
      <c r="AB450" s="86">
        <f>tbl_Actual_costs_quantities34[[#This Row],[Plastering Painting]]*BOQs!$L$7</f>
        <v>0</v>
      </c>
      <c r="AC450" s="76"/>
      <c r="AD450" s="37"/>
      <c r="AE450" s="86">
        <f>tbl_Actual_costs_quantities34[[#This Row],[Floor Repairs]]*BOQs!$L$8</f>
        <v>0</v>
      </c>
      <c r="AF450" s="76"/>
      <c r="AG450" s="37"/>
      <c r="AH450" s="86">
        <f>tbl_Actual_costs_quantities34[[#This Row],[Doors Replacement Repair]]*BOQs!$L$9</f>
        <v>0</v>
      </c>
      <c r="AI450" s="76"/>
      <c r="AJ450" s="37"/>
      <c r="AK450" s="86">
        <f>tbl_Actual_costs_quantities34[[#This Row],[Windows Replacement Repair]]*BOQs!$L$10</f>
        <v>0</v>
      </c>
      <c r="AL450" s="76"/>
      <c r="AM450" s="37"/>
      <c r="AN450" s="86">
        <f>tbl_Actual_costs_quantities34[[#This Row],[Bathroom Rehabilitation]]*BOQs!$L$11</f>
        <v>0</v>
      </c>
      <c r="AO450" s="76"/>
      <c r="AP450" s="37"/>
      <c r="AQ450" s="86">
        <f>tbl_Actual_costs_quantities34[[#This Row],[Ceramic Tile Works WASH]]*BOQs!$L$12</f>
        <v>0</v>
      </c>
      <c r="AR450" s="76"/>
      <c r="AS450" s="37"/>
      <c r="AT450" s="86">
        <f>tbl_Actual_costs_quantities34[[#This Row],[Electrical Repairs Lighting]]*BOQs!$L$13</f>
        <v>0</v>
      </c>
      <c r="AU450" s="76"/>
      <c r="AV450" s="37"/>
      <c r="AW450" s="86">
        <f>tbl_Actual_costs_quantities34[[#This Row],[Roof Insulation Leak Sealing]]*BOQs!$L$14</f>
        <v>0</v>
      </c>
      <c r="AX450" s="76"/>
      <c r="AY450" s="37"/>
      <c r="AZ450" s="86">
        <f>tbl_Actual_costs_quantities34[[#This Row],[Chimney Duct Cleaning Repair]]*BOQs!$L$15</f>
        <v>0</v>
      </c>
      <c r="BA450" s="76"/>
      <c r="BB450" s="37"/>
      <c r="BC450" s="89">
        <f>tbl_Actual_costs_quantities34[[#This Row],[Accessibility Adaptations]]*BOQs!$L$16</f>
        <v>0</v>
      </c>
      <c r="BD450" s="41"/>
      <c r="BE450" s="37"/>
      <c r="BF450" s="37"/>
    </row>
    <row r="451" spans="2:58" ht="25.15" customHeight="1" x14ac:dyDescent="0.25">
      <c r="B451" s="49">
        <v>447</v>
      </c>
      <c r="C451" s="37"/>
      <c r="D451" s="41"/>
      <c r="E451" s="40"/>
      <c r="F451" s="87" t="str">
        <f>IF(tbl_Actual_costs_quantities34[[#This Row],[House Code]]&lt;&gt;"",INDEX(tbl_Assessment[],MATCH(tbl_Actual_costs_quantities34[[#This Row],[House Code]],tbl_Assessment[House Code],0),3),"")</f>
        <v/>
      </c>
      <c r="G451" s="116" t="str">
        <f>IF(tbl_Actual_costs_quantities34[[#This Row],[House Code]]&lt;&gt;"",INDEX(tbl_Assessment[],MATCH(tbl_Actual_costs_quantities34[[#This Row],[House Code]],tbl_Assessment[House Code],0),9),"")</f>
        <v/>
      </c>
      <c r="H451" s="41"/>
      <c r="I451" s="41"/>
      <c r="J451" s="41"/>
      <c r="K451" s="116"/>
      <c r="L451" s="117" t="str">
        <f>IF(tbl_Actual_costs_quantities34[[#This Row],[House Code]]&lt;&gt;"",tbl_Actual_costs_quantities34[[#This Row],[Total cost]]/INDEX(tbl_estimated_costs_quantities[],MATCH(tbl_Actual_costs_quantities34[[#This Row],[House Code]],tbl_estimated_costs_quantities[House Code],0),7),"")</f>
        <v/>
      </c>
      <c r="M45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1" s="75"/>
      <c r="O451" s="37"/>
      <c r="P451" s="86">
        <f>tbl_Actual_costs_quantities34[[#This Row],[Site Preparation]]*BOQs!$L$3</f>
        <v>0</v>
      </c>
      <c r="Q451" s="76"/>
      <c r="R451" s="37"/>
      <c r="S451" s="86">
        <f>tbl_Actual_costs_quantities34[[#This Row],[Demolition Removal Unsafe Structures]]*BOQs!$L$4</f>
        <v>0</v>
      </c>
      <c r="T451" s="76"/>
      <c r="U451" s="37"/>
      <c r="V451" s="86">
        <f>tbl_Actual_costs_quantities34[[#This Row],[Concrete Works]]*BOQs!$L$5</f>
        <v>0</v>
      </c>
      <c r="W451" s="76"/>
      <c r="X451" s="37"/>
      <c r="Y451" s="86">
        <f>tbl_Actual_costs_quantities34[[#This Row],[Closure External Openings Walls Windows]]*BOQs!$L$6</f>
        <v>0</v>
      </c>
      <c r="Z451" s="76"/>
      <c r="AA451" s="37"/>
      <c r="AB451" s="86">
        <f>tbl_Actual_costs_quantities34[[#This Row],[Plastering Painting]]*BOQs!$L$7</f>
        <v>0</v>
      </c>
      <c r="AC451" s="76"/>
      <c r="AD451" s="37"/>
      <c r="AE451" s="86">
        <f>tbl_Actual_costs_quantities34[[#This Row],[Floor Repairs]]*BOQs!$L$8</f>
        <v>0</v>
      </c>
      <c r="AF451" s="76"/>
      <c r="AG451" s="37"/>
      <c r="AH451" s="86">
        <f>tbl_Actual_costs_quantities34[[#This Row],[Doors Replacement Repair]]*BOQs!$L$9</f>
        <v>0</v>
      </c>
      <c r="AI451" s="76"/>
      <c r="AJ451" s="37"/>
      <c r="AK451" s="86">
        <f>tbl_Actual_costs_quantities34[[#This Row],[Windows Replacement Repair]]*BOQs!$L$10</f>
        <v>0</v>
      </c>
      <c r="AL451" s="76"/>
      <c r="AM451" s="37"/>
      <c r="AN451" s="86">
        <f>tbl_Actual_costs_quantities34[[#This Row],[Bathroom Rehabilitation]]*BOQs!$L$11</f>
        <v>0</v>
      </c>
      <c r="AO451" s="76"/>
      <c r="AP451" s="37"/>
      <c r="AQ451" s="86">
        <f>tbl_Actual_costs_quantities34[[#This Row],[Ceramic Tile Works WASH]]*BOQs!$L$12</f>
        <v>0</v>
      </c>
      <c r="AR451" s="76"/>
      <c r="AS451" s="37"/>
      <c r="AT451" s="86">
        <f>tbl_Actual_costs_quantities34[[#This Row],[Electrical Repairs Lighting]]*BOQs!$L$13</f>
        <v>0</v>
      </c>
      <c r="AU451" s="76"/>
      <c r="AV451" s="37"/>
      <c r="AW451" s="86">
        <f>tbl_Actual_costs_quantities34[[#This Row],[Roof Insulation Leak Sealing]]*BOQs!$L$14</f>
        <v>0</v>
      </c>
      <c r="AX451" s="76"/>
      <c r="AY451" s="37"/>
      <c r="AZ451" s="86">
        <f>tbl_Actual_costs_quantities34[[#This Row],[Chimney Duct Cleaning Repair]]*BOQs!$L$15</f>
        <v>0</v>
      </c>
      <c r="BA451" s="76"/>
      <c r="BB451" s="37"/>
      <c r="BC451" s="89">
        <f>tbl_Actual_costs_quantities34[[#This Row],[Accessibility Adaptations]]*BOQs!$L$16</f>
        <v>0</v>
      </c>
      <c r="BD451" s="41"/>
      <c r="BE451" s="37"/>
      <c r="BF451" s="37"/>
    </row>
    <row r="452" spans="2:58" ht="25.15" customHeight="1" x14ac:dyDescent="0.25">
      <c r="B452" s="49">
        <v>448</v>
      </c>
      <c r="C452" s="37"/>
      <c r="D452" s="41"/>
      <c r="E452" s="40"/>
      <c r="F452" s="87" t="str">
        <f>IF(tbl_Actual_costs_quantities34[[#This Row],[House Code]]&lt;&gt;"",INDEX(tbl_Assessment[],MATCH(tbl_Actual_costs_quantities34[[#This Row],[House Code]],tbl_Assessment[House Code],0),3),"")</f>
        <v/>
      </c>
      <c r="G452" s="116" t="str">
        <f>IF(tbl_Actual_costs_quantities34[[#This Row],[House Code]]&lt;&gt;"",INDEX(tbl_Assessment[],MATCH(tbl_Actual_costs_quantities34[[#This Row],[House Code]],tbl_Assessment[House Code],0),9),"")</f>
        <v/>
      </c>
      <c r="H452" s="41"/>
      <c r="I452" s="41"/>
      <c r="J452" s="41"/>
      <c r="K452" s="116"/>
      <c r="L452" s="117" t="str">
        <f>IF(tbl_Actual_costs_quantities34[[#This Row],[House Code]]&lt;&gt;"",tbl_Actual_costs_quantities34[[#This Row],[Total cost]]/INDEX(tbl_estimated_costs_quantities[],MATCH(tbl_Actual_costs_quantities34[[#This Row],[House Code]],tbl_estimated_costs_quantities[House Code],0),7),"")</f>
        <v/>
      </c>
      <c r="M45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2" s="75"/>
      <c r="O452" s="37"/>
      <c r="P452" s="86">
        <f>tbl_Actual_costs_quantities34[[#This Row],[Site Preparation]]*BOQs!$L$3</f>
        <v>0</v>
      </c>
      <c r="Q452" s="76"/>
      <c r="R452" s="37"/>
      <c r="S452" s="86">
        <f>tbl_Actual_costs_quantities34[[#This Row],[Demolition Removal Unsafe Structures]]*BOQs!$L$4</f>
        <v>0</v>
      </c>
      <c r="T452" s="76"/>
      <c r="U452" s="37"/>
      <c r="V452" s="86">
        <f>tbl_Actual_costs_quantities34[[#This Row],[Concrete Works]]*BOQs!$L$5</f>
        <v>0</v>
      </c>
      <c r="W452" s="76"/>
      <c r="X452" s="37"/>
      <c r="Y452" s="86">
        <f>tbl_Actual_costs_quantities34[[#This Row],[Closure External Openings Walls Windows]]*BOQs!$L$6</f>
        <v>0</v>
      </c>
      <c r="Z452" s="76"/>
      <c r="AA452" s="37"/>
      <c r="AB452" s="86">
        <f>tbl_Actual_costs_quantities34[[#This Row],[Plastering Painting]]*BOQs!$L$7</f>
        <v>0</v>
      </c>
      <c r="AC452" s="76"/>
      <c r="AD452" s="37"/>
      <c r="AE452" s="86">
        <f>tbl_Actual_costs_quantities34[[#This Row],[Floor Repairs]]*BOQs!$L$8</f>
        <v>0</v>
      </c>
      <c r="AF452" s="76"/>
      <c r="AG452" s="37"/>
      <c r="AH452" s="86">
        <f>tbl_Actual_costs_quantities34[[#This Row],[Doors Replacement Repair]]*BOQs!$L$9</f>
        <v>0</v>
      </c>
      <c r="AI452" s="76"/>
      <c r="AJ452" s="37"/>
      <c r="AK452" s="86">
        <f>tbl_Actual_costs_quantities34[[#This Row],[Windows Replacement Repair]]*BOQs!$L$10</f>
        <v>0</v>
      </c>
      <c r="AL452" s="76"/>
      <c r="AM452" s="37"/>
      <c r="AN452" s="86">
        <f>tbl_Actual_costs_quantities34[[#This Row],[Bathroom Rehabilitation]]*BOQs!$L$11</f>
        <v>0</v>
      </c>
      <c r="AO452" s="76"/>
      <c r="AP452" s="37"/>
      <c r="AQ452" s="86">
        <f>tbl_Actual_costs_quantities34[[#This Row],[Ceramic Tile Works WASH]]*BOQs!$L$12</f>
        <v>0</v>
      </c>
      <c r="AR452" s="76"/>
      <c r="AS452" s="37"/>
      <c r="AT452" s="86">
        <f>tbl_Actual_costs_quantities34[[#This Row],[Electrical Repairs Lighting]]*BOQs!$L$13</f>
        <v>0</v>
      </c>
      <c r="AU452" s="76"/>
      <c r="AV452" s="37"/>
      <c r="AW452" s="86">
        <f>tbl_Actual_costs_quantities34[[#This Row],[Roof Insulation Leak Sealing]]*BOQs!$L$14</f>
        <v>0</v>
      </c>
      <c r="AX452" s="76"/>
      <c r="AY452" s="37"/>
      <c r="AZ452" s="86">
        <f>tbl_Actual_costs_quantities34[[#This Row],[Chimney Duct Cleaning Repair]]*BOQs!$L$15</f>
        <v>0</v>
      </c>
      <c r="BA452" s="76"/>
      <c r="BB452" s="37"/>
      <c r="BC452" s="89">
        <f>tbl_Actual_costs_quantities34[[#This Row],[Accessibility Adaptations]]*BOQs!$L$16</f>
        <v>0</v>
      </c>
      <c r="BD452" s="41"/>
      <c r="BE452" s="37"/>
      <c r="BF452" s="37"/>
    </row>
    <row r="453" spans="2:58" ht="25.15" customHeight="1" x14ac:dyDescent="0.25">
      <c r="B453" s="49">
        <v>449</v>
      </c>
      <c r="C453" s="37"/>
      <c r="D453" s="41"/>
      <c r="E453" s="40"/>
      <c r="F453" s="87" t="str">
        <f>IF(tbl_Actual_costs_quantities34[[#This Row],[House Code]]&lt;&gt;"",INDEX(tbl_Assessment[],MATCH(tbl_Actual_costs_quantities34[[#This Row],[House Code]],tbl_Assessment[House Code],0),3),"")</f>
        <v/>
      </c>
      <c r="G453" s="116" t="str">
        <f>IF(tbl_Actual_costs_quantities34[[#This Row],[House Code]]&lt;&gt;"",INDEX(tbl_Assessment[],MATCH(tbl_Actual_costs_quantities34[[#This Row],[House Code]],tbl_Assessment[House Code],0),9),"")</f>
        <v/>
      </c>
      <c r="H453" s="41"/>
      <c r="I453" s="41"/>
      <c r="J453" s="41"/>
      <c r="K453" s="116"/>
      <c r="L453" s="117" t="str">
        <f>IF(tbl_Actual_costs_quantities34[[#This Row],[House Code]]&lt;&gt;"",tbl_Actual_costs_quantities34[[#This Row],[Total cost]]/INDEX(tbl_estimated_costs_quantities[],MATCH(tbl_Actual_costs_quantities34[[#This Row],[House Code]],tbl_estimated_costs_quantities[House Code],0),7),"")</f>
        <v/>
      </c>
      <c r="M45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3" s="75"/>
      <c r="O453" s="37"/>
      <c r="P453" s="86">
        <f>tbl_Actual_costs_quantities34[[#This Row],[Site Preparation]]*BOQs!$L$3</f>
        <v>0</v>
      </c>
      <c r="Q453" s="76"/>
      <c r="R453" s="37"/>
      <c r="S453" s="86">
        <f>tbl_Actual_costs_quantities34[[#This Row],[Demolition Removal Unsafe Structures]]*BOQs!$L$4</f>
        <v>0</v>
      </c>
      <c r="T453" s="76"/>
      <c r="U453" s="37"/>
      <c r="V453" s="86">
        <f>tbl_Actual_costs_quantities34[[#This Row],[Concrete Works]]*BOQs!$L$5</f>
        <v>0</v>
      </c>
      <c r="W453" s="76"/>
      <c r="X453" s="37"/>
      <c r="Y453" s="86">
        <f>tbl_Actual_costs_quantities34[[#This Row],[Closure External Openings Walls Windows]]*BOQs!$L$6</f>
        <v>0</v>
      </c>
      <c r="Z453" s="76"/>
      <c r="AA453" s="37"/>
      <c r="AB453" s="86">
        <f>tbl_Actual_costs_quantities34[[#This Row],[Plastering Painting]]*BOQs!$L$7</f>
        <v>0</v>
      </c>
      <c r="AC453" s="76"/>
      <c r="AD453" s="37"/>
      <c r="AE453" s="86">
        <f>tbl_Actual_costs_quantities34[[#This Row],[Floor Repairs]]*BOQs!$L$8</f>
        <v>0</v>
      </c>
      <c r="AF453" s="76"/>
      <c r="AG453" s="37"/>
      <c r="AH453" s="86">
        <f>tbl_Actual_costs_quantities34[[#This Row],[Doors Replacement Repair]]*BOQs!$L$9</f>
        <v>0</v>
      </c>
      <c r="AI453" s="76"/>
      <c r="AJ453" s="37"/>
      <c r="AK453" s="86">
        <f>tbl_Actual_costs_quantities34[[#This Row],[Windows Replacement Repair]]*BOQs!$L$10</f>
        <v>0</v>
      </c>
      <c r="AL453" s="76"/>
      <c r="AM453" s="37"/>
      <c r="AN453" s="86">
        <f>tbl_Actual_costs_quantities34[[#This Row],[Bathroom Rehabilitation]]*BOQs!$L$11</f>
        <v>0</v>
      </c>
      <c r="AO453" s="76"/>
      <c r="AP453" s="37"/>
      <c r="AQ453" s="86">
        <f>tbl_Actual_costs_quantities34[[#This Row],[Ceramic Tile Works WASH]]*BOQs!$L$12</f>
        <v>0</v>
      </c>
      <c r="AR453" s="76"/>
      <c r="AS453" s="37"/>
      <c r="AT453" s="86">
        <f>tbl_Actual_costs_quantities34[[#This Row],[Electrical Repairs Lighting]]*BOQs!$L$13</f>
        <v>0</v>
      </c>
      <c r="AU453" s="76"/>
      <c r="AV453" s="37"/>
      <c r="AW453" s="86">
        <f>tbl_Actual_costs_quantities34[[#This Row],[Roof Insulation Leak Sealing]]*BOQs!$L$14</f>
        <v>0</v>
      </c>
      <c r="AX453" s="76"/>
      <c r="AY453" s="37"/>
      <c r="AZ453" s="86">
        <f>tbl_Actual_costs_quantities34[[#This Row],[Chimney Duct Cleaning Repair]]*BOQs!$L$15</f>
        <v>0</v>
      </c>
      <c r="BA453" s="76"/>
      <c r="BB453" s="37"/>
      <c r="BC453" s="89">
        <f>tbl_Actual_costs_quantities34[[#This Row],[Accessibility Adaptations]]*BOQs!$L$16</f>
        <v>0</v>
      </c>
      <c r="BD453" s="41"/>
      <c r="BE453" s="37"/>
      <c r="BF453" s="37"/>
    </row>
    <row r="454" spans="2:58" ht="25.15" customHeight="1" x14ac:dyDescent="0.25">
      <c r="B454" s="49">
        <v>450</v>
      </c>
      <c r="C454" s="37"/>
      <c r="D454" s="41"/>
      <c r="E454" s="40"/>
      <c r="F454" s="87" t="str">
        <f>IF(tbl_Actual_costs_quantities34[[#This Row],[House Code]]&lt;&gt;"",INDEX(tbl_Assessment[],MATCH(tbl_Actual_costs_quantities34[[#This Row],[House Code]],tbl_Assessment[House Code],0),3),"")</f>
        <v/>
      </c>
      <c r="G454" s="116" t="str">
        <f>IF(tbl_Actual_costs_quantities34[[#This Row],[House Code]]&lt;&gt;"",INDEX(tbl_Assessment[],MATCH(tbl_Actual_costs_quantities34[[#This Row],[House Code]],tbl_Assessment[House Code],0),9),"")</f>
        <v/>
      </c>
      <c r="H454" s="41"/>
      <c r="I454" s="41"/>
      <c r="J454" s="41"/>
      <c r="K454" s="116"/>
      <c r="L454" s="117" t="str">
        <f>IF(tbl_Actual_costs_quantities34[[#This Row],[House Code]]&lt;&gt;"",tbl_Actual_costs_quantities34[[#This Row],[Total cost]]/INDEX(tbl_estimated_costs_quantities[],MATCH(tbl_Actual_costs_quantities34[[#This Row],[House Code]],tbl_estimated_costs_quantities[House Code],0),7),"")</f>
        <v/>
      </c>
      <c r="M45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4" s="75"/>
      <c r="O454" s="37"/>
      <c r="P454" s="86">
        <f>tbl_Actual_costs_quantities34[[#This Row],[Site Preparation]]*BOQs!$L$3</f>
        <v>0</v>
      </c>
      <c r="Q454" s="76"/>
      <c r="R454" s="37"/>
      <c r="S454" s="86">
        <f>tbl_Actual_costs_quantities34[[#This Row],[Demolition Removal Unsafe Structures]]*BOQs!$L$4</f>
        <v>0</v>
      </c>
      <c r="T454" s="76"/>
      <c r="U454" s="37"/>
      <c r="V454" s="86">
        <f>tbl_Actual_costs_quantities34[[#This Row],[Concrete Works]]*BOQs!$L$5</f>
        <v>0</v>
      </c>
      <c r="W454" s="76"/>
      <c r="X454" s="37"/>
      <c r="Y454" s="86">
        <f>tbl_Actual_costs_quantities34[[#This Row],[Closure External Openings Walls Windows]]*BOQs!$L$6</f>
        <v>0</v>
      </c>
      <c r="Z454" s="76"/>
      <c r="AA454" s="37"/>
      <c r="AB454" s="86">
        <f>tbl_Actual_costs_quantities34[[#This Row],[Plastering Painting]]*BOQs!$L$7</f>
        <v>0</v>
      </c>
      <c r="AC454" s="76"/>
      <c r="AD454" s="37"/>
      <c r="AE454" s="86">
        <f>tbl_Actual_costs_quantities34[[#This Row],[Floor Repairs]]*BOQs!$L$8</f>
        <v>0</v>
      </c>
      <c r="AF454" s="76"/>
      <c r="AG454" s="37"/>
      <c r="AH454" s="86">
        <f>tbl_Actual_costs_quantities34[[#This Row],[Doors Replacement Repair]]*BOQs!$L$9</f>
        <v>0</v>
      </c>
      <c r="AI454" s="76"/>
      <c r="AJ454" s="37"/>
      <c r="AK454" s="86">
        <f>tbl_Actual_costs_quantities34[[#This Row],[Windows Replacement Repair]]*BOQs!$L$10</f>
        <v>0</v>
      </c>
      <c r="AL454" s="76"/>
      <c r="AM454" s="37"/>
      <c r="AN454" s="86">
        <f>tbl_Actual_costs_quantities34[[#This Row],[Bathroom Rehabilitation]]*BOQs!$L$11</f>
        <v>0</v>
      </c>
      <c r="AO454" s="76"/>
      <c r="AP454" s="37"/>
      <c r="AQ454" s="86">
        <f>tbl_Actual_costs_quantities34[[#This Row],[Ceramic Tile Works WASH]]*BOQs!$L$12</f>
        <v>0</v>
      </c>
      <c r="AR454" s="76"/>
      <c r="AS454" s="37"/>
      <c r="AT454" s="86">
        <f>tbl_Actual_costs_quantities34[[#This Row],[Electrical Repairs Lighting]]*BOQs!$L$13</f>
        <v>0</v>
      </c>
      <c r="AU454" s="76"/>
      <c r="AV454" s="37"/>
      <c r="AW454" s="86">
        <f>tbl_Actual_costs_quantities34[[#This Row],[Roof Insulation Leak Sealing]]*BOQs!$L$14</f>
        <v>0</v>
      </c>
      <c r="AX454" s="76"/>
      <c r="AY454" s="37"/>
      <c r="AZ454" s="86">
        <f>tbl_Actual_costs_quantities34[[#This Row],[Chimney Duct Cleaning Repair]]*BOQs!$L$15</f>
        <v>0</v>
      </c>
      <c r="BA454" s="76"/>
      <c r="BB454" s="37"/>
      <c r="BC454" s="89">
        <f>tbl_Actual_costs_quantities34[[#This Row],[Accessibility Adaptations]]*BOQs!$L$16</f>
        <v>0</v>
      </c>
      <c r="BD454" s="41"/>
      <c r="BE454" s="37"/>
      <c r="BF454" s="37"/>
    </row>
    <row r="455" spans="2:58" ht="25.15" customHeight="1" x14ac:dyDescent="0.25">
      <c r="B455" s="49">
        <v>451</v>
      </c>
      <c r="C455" s="37"/>
      <c r="D455" s="41"/>
      <c r="E455" s="40"/>
      <c r="F455" s="87" t="str">
        <f>IF(tbl_Actual_costs_quantities34[[#This Row],[House Code]]&lt;&gt;"",INDEX(tbl_Assessment[],MATCH(tbl_Actual_costs_quantities34[[#This Row],[House Code]],tbl_Assessment[House Code],0),3),"")</f>
        <v/>
      </c>
      <c r="G455" s="116" t="str">
        <f>IF(tbl_Actual_costs_quantities34[[#This Row],[House Code]]&lt;&gt;"",INDEX(tbl_Assessment[],MATCH(tbl_Actual_costs_quantities34[[#This Row],[House Code]],tbl_Assessment[House Code],0),9),"")</f>
        <v/>
      </c>
      <c r="H455" s="41"/>
      <c r="I455" s="41"/>
      <c r="J455" s="41"/>
      <c r="K455" s="116"/>
      <c r="L455" s="117" t="str">
        <f>IF(tbl_Actual_costs_quantities34[[#This Row],[House Code]]&lt;&gt;"",tbl_Actual_costs_quantities34[[#This Row],[Total cost]]/INDEX(tbl_estimated_costs_quantities[],MATCH(tbl_Actual_costs_quantities34[[#This Row],[House Code]],tbl_estimated_costs_quantities[House Code],0),7),"")</f>
        <v/>
      </c>
      <c r="M45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5" s="75"/>
      <c r="O455" s="37"/>
      <c r="P455" s="86">
        <f>tbl_Actual_costs_quantities34[[#This Row],[Site Preparation]]*BOQs!$L$3</f>
        <v>0</v>
      </c>
      <c r="Q455" s="76"/>
      <c r="R455" s="37"/>
      <c r="S455" s="86">
        <f>tbl_Actual_costs_quantities34[[#This Row],[Demolition Removal Unsafe Structures]]*BOQs!$L$4</f>
        <v>0</v>
      </c>
      <c r="T455" s="76"/>
      <c r="U455" s="37"/>
      <c r="V455" s="86">
        <f>tbl_Actual_costs_quantities34[[#This Row],[Concrete Works]]*BOQs!$L$5</f>
        <v>0</v>
      </c>
      <c r="W455" s="76"/>
      <c r="X455" s="37"/>
      <c r="Y455" s="86">
        <f>tbl_Actual_costs_quantities34[[#This Row],[Closure External Openings Walls Windows]]*BOQs!$L$6</f>
        <v>0</v>
      </c>
      <c r="Z455" s="76"/>
      <c r="AA455" s="37"/>
      <c r="AB455" s="86">
        <f>tbl_Actual_costs_quantities34[[#This Row],[Plastering Painting]]*BOQs!$L$7</f>
        <v>0</v>
      </c>
      <c r="AC455" s="76"/>
      <c r="AD455" s="37"/>
      <c r="AE455" s="86">
        <f>tbl_Actual_costs_quantities34[[#This Row],[Floor Repairs]]*BOQs!$L$8</f>
        <v>0</v>
      </c>
      <c r="AF455" s="76"/>
      <c r="AG455" s="37"/>
      <c r="AH455" s="86">
        <f>tbl_Actual_costs_quantities34[[#This Row],[Doors Replacement Repair]]*BOQs!$L$9</f>
        <v>0</v>
      </c>
      <c r="AI455" s="76"/>
      <c r="AJ455" s="37"/>
      <c r="AK455" s="86">
        <f>tbl_Actual_costs_quantities34[[#This Row],[Windows Replacement Repair]]*BOQs!$L$10</f>
        <v>0</v>
      </c>
      <c r="AL455" s="76"/>
      <c r="AM455" s="37"/>
      <c r="AN455" s="86">
        <f>tbl_Actual_costs_quantities34[[#This Row],[Bathroom Rehabilitation]]*BOQs!$L$11</f>
        <v>0</v>
      </c>
      <c r="AO455" s="76"/>
      <c r="AP455" s="37"/>
      <c r="AQ455" s="86">
        <f>tbl_Actual_costs_quantities34[[#This Row],[Ceramic Tile Works WASH]]*BOQs!$L$12</f>
        <v>0</v>
      </c>
      <c r="AR455" s="76"/>
      <c r="AS455" s="37"/>
      <c r="AT455" s="86">
        <f>tbl_Actual_costs_quantities34[[#This Row],[Electrical Repairs Lighting]]*BOQs!$L$13</f>
        <v>0</v>
      </c>
      <c r="AU455" s="76"/>
      <c r="AV455" s="37"/>
      <c r="AW455" s="86">
        <f>tbl_Actual_costs_quantities34[[#This Row],[Roof Insulation Leak Sealing]]*BOQs!$L$14</f>
        <v>0</v>
      </c>
      <c r="AX455" s="76"/>
      <c r="AY455" s="37"/>
      <c r="AZ455" s="86">
        <f>tbl_Actual_costs_quantities34[[#This Row],[Chimney Duct Cleaning Repair]]*BOQs!$L$15</f>
        <v>0</v>
      </c>
      <c r="BA455" s="76"/>
      <c r="BB455" s="37"/>
      <c r="BC455" s="89">
        <f>tbl_Actual_costs_quantities34[[#This Row],[Accessibility Adaptations]]*BOQs!$L$16</f>
        <v>0</v>
      </c>
      <c r="BD455" s="41"/>
      <c r="BE455" s="37"/>
      <c r="BF455" s="37"/>
    </row>
    <row r="456" spans="2:58" ht="25.15" customHeight="1" x14ac:dyDescent="0.25">
      <c r="B456" s="49">
        <v>452</v>
      </c>
      <c r="C456" s="37"/>
      <c r="D456" s="41"/>
      <c r="E456" s="40"/>
      <c r="F456" s="87" t="str">
        <f>IF(tbl_Actual_costs_quantities34[[#This Row],[House Code]]&lt;&gt;"",INDEX(tbl_Assessment[],MATCH(tbl_Actual_costs_quantities34[[#This Row],[House Code]],tbl_Assessment[House Code],0),3),"")</f>
        <v/>
      </c>
      <c r="G456" s="116" t="str">
        <f>IF(tbl_Actual_costs_quantities34[[#This Row],[House Code]]&lt;&gt;"",INDEX(tbl_Assessment[],MATCH(tbl_Actual_costs_quantities34[[#This Row],[House Code]],tbl_Assessment[House Code],0),9),"")</f>
        <v/>
      </c>
      <c r="H456" s="41"/>
      <c r="I456" s="41"/>
      <c r="J456" s="41"/>
      <c r="K456" s="116"/>
      <c r="L456" s="117" t="str">
        <f>IF(tbl_Actual_costs_quantities34[[#This Row],[House Code]]&lt;&gt;"",tbl_Actual_costs_quantities34[[#This Row],[Total cost]]/INDEX(tbl_estimated_costs_quantities[],MATCH(tbl_Actual_costs_quantities34[[#This Row],[House Code]],tbl_estimated_costs_quantities[House Code],0),7),"")</f>
        <v/>
      </c>
      <c r="M45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6" s="75"/>
      <c r="O456" s="37"/>
      <c r="P456" s="86">
        <f>tbl_Actual_costs_quantities34[[#This Row],[Site Preparation]]*BOQs!$L$3</f>
        <v>0</v>
      </c>
      <c r="Q456" s="76"/>
      <c r="R456" s="37"/>
      <c r="S456" s="86">
        <f>tbl_Actual_costs_quantities34[[#This Row],[Demolition Removal Unsafe Structures]]*BOQs!$L$4</f>
        <v>0</v>
      </c>
      <c r="T456" s="76"/>
      <c r="U456" s="37"/>
      <c r="V456" s="86">
        <f>tbl_Actual_costs_quantities34[[#This Row],[Concrete Works]]*BOQs!$L$5</f>
        <v>0</v>
      </c>
      <c r="W456" s="76"/>
      <c r="X456" s="37"/>
      <c r="Y456" s="86">
        <f>tbl_Actual_costs_quantities34[[#This Row],[Closure External Openings Walls Windows]]*BOQs!$L$6</f>
        <v>0</v>
      </c>
      <c r="Z456" s="76"/>
      <c r="AA456" s="37"/>
      <c r="AB456" s="86">
        <f>tbl_Actual_costs_quantities34[[#This Row],[Plastering Painting]]*BOQs!$L$7</f>
        <v>0</v>
      </c>
      <c r="AC456" s="76"/>
      <c r="AD456" s="37"/>
      <c r="AE456" s="86">
        <f>tbl_Actual_costs_quantities34[[#This Row],[Floor Repairs]]*BOQs!$L$8</f>
        <v>0</v>
      </c>
      <c r="AF456" s="76"/>
      <c r="AG456" s="37"/>
      <c r="AH456" s="86">
        <f>tbl_Actual_costs_quantities34[[#This Row],[Doors Replacement Repair]]*BOQs!$L$9</f>
        <v>0</v>
      </c>
      <c r="AI456" s="76"/>
      <c r="AJ456" s="37"/>
      <c r="AK456" s="86">
        <f>tbl_Actual_costs_quantities34[[#This Row],[Windows Replacement Repair]]*BOQs!$L$10</f>
        <v>0</v>
      </c>
      <c r="AL456" s="76"/>
      <c r="AM456" s="37"/>
      <c r="AN456" s="86">
        <f>tbl_Actual_costs_quantities34[[#This Row],[Bathroom Rehabilitation]]*BOQs!$L$11</f>
        <v>0</v>
      </c>
      <c r="AO456" s="76"/>
      <c r="AP456" s="37"/>
      <c r="AQ456" s="86">
        <f>tbl_Actual_costs_quantities34[[#This Row],[Ceramic Tile Works WASH]]*BOQs!$L$12</f>
        <v>0</v>
      </c>
      <c r="AR456" s="76"/>
      <c r="AS456" s="37"/>
      <c r="AT456" s="86">
        <f>tbl_Actual_costs_quantities34[[#This Row],[Electrical Repairs Lighting]]*BOQs!$L$13</f>
        <v>0</v>
      </c>
      <c r="AU456" s="76"/>
      <c r="AV456" s="37"/>
      <c r="AW456" s="86">
        <f>tbl_Actual_costs_quantities34[[#This Row],[Roof Insulation Leak Sealing]]*BOQs!$L$14</f>
        <v>0</v>
      </c>
      <c r="AX456" s="76"/>
      <c r="AY456" s="37"/>
      <c r="AZ456" s="86">
        <f>tbl_Actual_costs_quantities34[[#This Row],[Chimney Duct Cleaning Repair]]*BOQs!$L$15</f>
        <v>0</v>
      </c>
      <c r="BA456" s="76"/>
      <c r="BB456" s="37"/>
      <c r="BC456" s="89">
        <f>tbl_Actual_costs_quantities34[[#This Row],[Accessibility Adaptations]]*BOQs!$L$16</f>
        <v>0</v>
      </c>
      <c r="BD456" s="41"/>
      <c r="BE456" s="37"/>
      <c r="BF456" s="37"/>
    </row>
    <row r="457" spans="2:58" ht="25.15" customHeight="1" x14ac:dyDescent="0.25">
      <c r="B457" s="49">
        <v>453</v>
      </c>
      <c r="C457" s="37"/>
      <c r="D457" s="41"/>
      <c r="E457" s="40"/>
      <c r="F457" s="87" t="str">
        <f>IF(tbl_Actual_costs_quantities34[[#This Row],[House Code]]&lt;&gt;"",INDEX(tbl_Assessment[],MATCH(tbl_Actual_costs_quantities34[[#This Row],[House Code]],tbl_Assessment[House Code],0),3),"")</f>
        <v/>
      </c>
      <c r="G457" s="116" t="str">
        <f>IF(tbl_Actual_costs_quantities34[[#This Row],[House Code]]&lt;&gt;"",INDEX(tbl_Assessment[],MATCH(tbl_Actual_costs_quantities34[[#This Row],[House Code]],tbl_Assessment[House Code],0),9),"")</f>
        <v/>
      </c>
      <c r="H457" s="41"/>
      <c r="I457" s="41"/>
      <c r="J457" s="41"/>
      <c r="K457" s="116"/>
      <c r="L457" s="117" t="str">
        <f>IF(tbl_Actual_costs_quantities34[[#This Row],[House Code]]&lt;&gt;"",tbl_Actual_costs_quantities34[[#This Row],[Total cost]]/INDEX(tbl_estimated_costs_quantities[],MATCH(tbl_Actual_costs_quantities34[[#This Row],[House Code]],tbl_estimated_costs_quantities[House Code],0),7),"")</f>
        <v/>
      </c>
      <c r="M45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7" s="75"/>
      <c r="O457" s="37"/>
      <c r="P457" s="86">
        <f>tbl_Actual_costs_quantities34[[#This Row],[Site Preparation]]*BOQs!$L$3</f>
        <v>0</v>
      </c>
      <c r="Q457" s="76"/>
      <c r="R457" s="37"/>
      <c r="S457" s="86">
        <f>tbl_Actual_costs_quantities34[[#This Row],[Demolition Removal Unsafe Structures]]*BOQs!$L$4</f>
        <v>0</v>
      </c>
      <c r="T457" s="76"/>
      <c r="U457" s="37"/>
      <c r="V457" s="86">
        <f>tbl_Actual_costs_quantities34[[#This Row],[Concrete Works]]*BOQs!$L$5</f>
        <v>0</v>
      </c>
      <c r="W457" s="76"/>
      <c r="X457" s="37"/>
      <c r="Y457" s="86">
        <f>tbl_Actual_costs_quantities34[[#This Row],[Closure External Openings Walls Windows]]*BOQs!$L$6</f>
        <v>0</v>
      </c>
      <c r="Z457" s="76"/>
      <c r="AA457" s="37"/>
      <c r="AB457" s="86">
        <f>tbl_Actual_costs_quantities34[[#This Row],[Plastering Painting]]*BOQs!$L$7</f>
        <v>0</v>
      </c>
      <c r="AC457" s="76"/>
      <c r="AD457" s="37"/>
      <c r="AE457" s="86">
        <f>tbl_Actual_costs_quantities34[[#This Row],[Floor Repairs]]*BOQs!$L$8</f>
        <v>0</v>
      </c>
      <c r="AF457" s="76"/>
      <c r="AG457" s="37"/>
      <c r="AH457" s="86">
        <f>tbl_Actual_costs_quantities34[[#This Row],[Doors Replacement Repair]]*BOQs!$L$9</f>
        <v>0</v>
      </c>
      <c r="AI457" s="76"/>
      <c r="AJ457" s="37"/>
      <c r="AK457" s="86">
        <f>tbl_Actual_costs_quantities34[[#This Row],[Windows Replacement Repair]]*BOQs!$L$10</f>
        <v>0</v>
      </c>
      <c r="AL457" s="76"/>
      <c r="AM457" s="37"/>
      <c r="AN457" s="86">
        <f>tbl_Actual_costs_quantities34[[#This Row],[Bathroom Rehabilitation]]*BOQs!$L$11</f>
        <v>0</v>
      </c>
      <c r="AO457" s="76"/>
      <c r="AP457" s="37"/>
      <c r="AQ457" s="86">
        <f>tbl_Actual_costs_quantities34[[#This Row],[Ceramic Tile Works WASH]]*BOQs!$L$12</f>
        <v>0</v>
      </c>
      <c r="AR457" s="76"/>
      <c r="AS457" s="37"/>
      <c r="AT457" s="86">
        <f>tbl_Actual_costs_quantities34[[#This Row],[Electrical Repairs Lighting]]*BOQs!$L$13</f>
        <v>0</v>
      </c>
      <c r="AU457" s="76"/>
      <c r="AV457" s="37"/>
      <c r="AW457" s="86">
        <f>tbl_Actual_costs_quantities34[[#This Row],[Roof Insulation Leak Sealing]]*BOQs!$L$14</f>
        <v>0</v>
      </c>
      <c r="AX457" s="76"/>
      <c r="AY457" s="37"/>
      <c r="AZ457" s="86">
        <f>tbl_Actual_costs_quantities34[[#This Row],[Chimney Duct Cleaning Repair]]*BOQs!$L$15</f>
        <v>0</v>
      </c>
      <c r="BA457" s="76"/>
      <c r="BB457" s="37"/>
      <c r="BC457" s="89">
        <f>tbl_Actual_costs_quantities34[[#This Row],[Accessibility Adaptations]]*BOQs!$L$16</f>
        <v>0</v>
      </c>
      <c r="BD457" s="41"/>
      <c r="BE457" s="37"/>
      <c r="BF457" s="37"/>
    </row>
    <row r="458" spans="2:58" ht="25.15" customHeight="1" x14ac:dyDescent="0.25">
      <c r="B458" s="49">
        <v>454</v>
      </c>
      <c r="C458" s="37"/>
      <c r="D458" s="41"/>
      <c r="E458" s="40"/>
      <c r="F458" s="87" t="str">
        <f>IF(tbl_Actual_costs_quantities34[[#This Row],[House Code]]&lt;&gt;"",INDEX(tbl_Assessment[],MATCH(tbl_Actual_costs_quantities34[[#This Row],[House Code]],tbl_Assessment[House Code],0),3),"")</f>
        <v/>
      </c>
      <c r="G458" s="116" t="str">
        <f>IF(tbl_Actual_costs_quantities34[[#This Row],[House Code]]&lt;&gt;"",INDEX(tbl_Assessment[],MATCH(tbl_Actual_costs_quantities34[[#This Row],[House Code]],tbl_Assessment[House Code],0),9),"")</f>
        <v/>
      </c>
      <c r="H458" s="41"/>
      <c r="I458" s="41"/>
      <c r="J458" s="41"/>
      <c r="K458" s="116"/>
      <c r="L458" s="117" t="str">
        <f>IF(tbl_Actual_costs_quantities34[[#This Row],[House Code]]&lt;&gt;"",tbl_Actual_costs_quantities34[[#This Row],[Total cost]]/INDEX(tbl_estimated_costs_quantities[],MATCH(tbl_Actual_costs_quantities34[[#This Row],[House Code]],tbl_estimated_costs_quantities[House Code],0),7),"")</f>
        <v/>
      </c>
      <c r="M45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8" s="75"/>
      <c r="O458" s="37"/>
      <c r="P458" s="86">
        <f>tbl_Actual_costs_quantities34[[#This Row],[Site Preparation]]*BOQs!$L$3</f>
        <v>0</v>
      </c>
      <c r="Q458" s="76"/>
      <c r="R458" s="37"/>
      <c r="S458" s="86">
        <f>tbl_Actual_costs_quantities34[[#This Row],[Demolition Removal Unsafe Structures]]*BOQs!$L$4</f>
        <v>0</v>
      </c>
      <c r="T458" s="76"/>
      <c r="U458" s="37"/>
      <c r="V458" s="86">
        <f>tbl_Actual_costs_quantities34[[#This Row],[Concrete Works]]*BOQs!$L$5</f>
        <v>0</v>
      </c>
      <c r="W458" s="76"/>
      <c r="X458" s="37"/>
      <c r="Y458" s="86">
        <f>tbl_Actual_costs_quantities34[[#This Row],[Closure External Openings Walls Windows]]*BOQs!$L$6</f>
        <v>0</v>
      </c>
      <c r="Z458" s="76"/>
      <c r="AA458" s="37"/>
      <c r="AB458" s="86">
        <f>tbl_Actual_costs_quantities34[[#This Row],[Plastering Painting]]*BOQs!$L$7</f>
        <v>0</v>
      </c>
      <c r="AC458" s="76"/>
      <c r="AD458" s="37"/>
      <c r="AE458" s="86">
        <f>tbl_Actual_costs_quantities34[[#This Row],[Floor Repairs]]*BOQs!$L$8</f>
        <v>0</v>
      </c>
      <c r="AF458" s="76"/>
      <c r="AG458" s="37"/>
      <c r="AH458" s="86">
        <f>tbl_Actual_costs_quantities34[[#This Row],[Doors Replacement Repair]]*BOQs!$L$9</f>
        <v>0</v>
      </c>
      <c r="AI458" s="76"/>
      <c r="AJ458" s="37"/>
      <c r="AK458" s="86">
        <f>tbl_Actual_costs_quantities34[[#This Row],[Windows Replacement Repair]]*BOQs!$L$10</f>
        <v>0</v>
      </c>
      <c r="AL458" s="76"/>
      <c r="AM458" s="37"/>
      <c r="AN458" s="86">
        <f>tbl_Actual_costs_quantities34[[#This Row],[Bathroom Rehabilitation]]*BOQs!$L$11</f>
        <v>0</v>
      </c>
      <c r="AO458" s="76"/>
      <c r="AP458" s="37"/>
      <c r="AQ458" s="86">
        <f>tbl_Actual_costs_quantities34[[#This Row],[Ceramic Tile Works WASH]]*BOQs!$L$12</f>
        <v>0</v>
      </c>
      <c r="AR458" s="76"/>
      <c r="AS458" s="37"/>
      <c r="AT458" s="86">
        <f>tbl_Actual_costs_quantities34[[#This Row],[Electrical Repairs Lighting]]*BOQs!$L$13</f>
        <v>0</v>
      </c>
      <c r="AU458" s="76"/>
      <c r="AV458" s="37"/>
      <c r="AW458" s="86">
        <f>tbl_Actual_costs_quantities34[[#This Row],[Roof Insulation Leak Sealing]]*BOQs!$L$14</f>
        <v>0</v>
      </c>
      <c r="AX458" s="76"/>
      <c r="AY458" s="37"/>
      <c r="AZ458" s="86">
        <f>tbl_Actual_costs_quantities34[[#This Row],[Chimney Duct Cleaning Repair]]*BOQs!$L$15</f>
        <v>0</v>
      </c>
      <c r="BA458" s="76"/>
      <c r="BB458" s="37"/>
      <c r="BC458" s="89">
        <f>tbl_Actual_costs_quantities34[[#This Row],[Accessibility Adaptations]]*BOQs!$L$16</f>
        <v>0</v>
      </c>
      <c r="BD458" s="41"/>
      <c r="BE458" s="37"/>
      <c r="BF458" s="37"/>
    </row>
    <row r="459" spans="2:58" ht="25.15" customHeight="1" x14ac:dyDescent="0.25">
      <c r="B459" s="49">
        <v>455</v>
      </c>
      <c r="C459" s="37"/>
      <c r="D459" s="41"/>
      <c r="E459" s="40"/>
      <c r="F459" s="87" t="str">
        <f>IF(tbl_Actual_costs_quantities34[[#This Row],[House Code]]&lt;&gt;"",INDEX(tbl_Assessment[],MATCH(tbl_Actual_costs_quantities34[[#This Row],[House Code]],tbl_Assessment[House Code],0),3),"")</f>
        <v/>
      </c>
      <c r="G459" s="116" t="str">
        <f>IF(tbl_Actual_costs_quantities34[[#This Row],[House Code]]&lt;&gt;"",INDEX(tbl_Assessment[],MATCH(tbl_Actual_costs_quantities34[[#This Row],[House Code]],tbl_Assessment[House Code],0),9),"")</f>
        <v/>
      </c>
      <c r="H459" s="41"/>
      <c r="I459" s="41"/>
      <c r="J459" s="41"/>
      <c r="K459" s="116"/>
      <c r="L459" s="117" t="str">
        <f>IF(tbl_Actual_costs_quantities34[[#This Row],[House Code]]&lt;&gt;"",tbl_Actual_costs_quantities34[[#This Row],[Total cost]]/INDEX(tbl_estimated_costs_quantities[],MATCH(tbl_Actual_costs_quantities34[[#This Row],[House Code]],tbl_estimated_costs_quantities[House Code],0),7),"")</f>
        <v/>
      </c>
      <c r="M45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59" s="75"/>
      <c r="O459" s="37"/>
      <c r="P459" s="86">
        <f>tbl_Actual_costs_quantities34[[#This Row],[Site Preparation]]*BOQs!$L$3</f>
        <v>0</v>
      </c>
      <c r="Q459" s="76"/>
      <c r="R459" s="37"/>
      <c r="S459" s="86">
        <f>tbl_Actual_costs_quantities34[[#This Row],[Demolition Removal Unsafe Structures]]*BOQs!$L$4</f>
        <v>0</v>
      </c>
      <c r="T459" s="76"/>
      <c r="U459" s="37"/>
      <c r="V459" s="86">
        <f>tbl_Actual_costs_quantities34[[#This Row],[Concrete Works]]*BOQs!$L$5</f>
        <v>0</v>
      </c>
      <c r="W459" s="76"/>
      <c r="X459" s="37"/>
      <c r="Y459" s="86">
        <f>tbl_Actual_costs_quantities34[[#This Row],[Closure External Openings Walls Windows]]*BOQs!$L$6</f>
        <v>0</v>
      </c>
      <c r="Z459" s="76"/>
      <c r="AA459" s="37"/>
      <c r="AB459" s="86">
        <f>tbl_Actual_costs_quantities34[[#This Row],[Plastering Painting]]*BOQs!$L$7</f>
        <v>0</v>
      </c>
      <c r="AC459" s="76"/>
      <c r="AD459" s="37"/>
      <c r="AE459" s="86">
        <f>tbl_Actual_costs_quantities34[[#This Row],[Floor Repairs]]*BOQs!$L$8</f>
        <v>0</v>
      </c>
      <c r="AF459" s="76"/>
      <c r="AG459" s="37"/>
      <c r="AH459" s="86">
        <f>tbl_Actual_costs_quantities34[[#This Row],[Doors Replacement Repair]]*BOQs!$L$9</f>
        <v>0</v>
      </c>
      <c r="AI459" s="76"/>
      <c r="AJ459" s="37"/>
      <c r="AK459" s="86">
        <f>tbl_Actual_costs_quantities34[[#This Row],[Windows Replacement Repair]]*BOQs!$L$10</f>
        <v>0</v>
      </c>
      <c r="AL459" s="76"/>
      <c r="AM459" s="37"/>
      <c r="AN459" s="86">
        <f>tbl_Actual_costs_quantities34[[#This Row],[Bathroom Rehabilitation]]*BOQs!$L$11</f>
        <v>0</v>
      </c>
      <c r="AO459" s="76"/>
      <c r="AP459" s="37"/>
      <c r="AQ459" s="86">
        <f>tbl_Actual_costs_quantities34[[#This Row],[Ceramic Tile Works WASH]]*BOQs!$L$12</f>
        <v>0</v>
      </c>
      <c r="AR459" s="76"/>
      <c r="AS459" s="37"/>
      <c r="AT459" s="86">
        <f>tbl_Actual_costs_quantities34[[#This Row],[Electrical Repairs Lighting]]*BOQs!$L$13</f>
        <v>0</v>
      </c>
      <c r="AU459" s="76"/>
      <c r="AV459" s="37"/>
      <c r="AW459" s="86">
        <f>tbl_Actual_costs_quantities34[[#This Row],[Roof Insulation Leak Sealing]]*BOQs!$L$14</f>
        <v>0</v>
      </c>
      <c r="AX459" s="76"/>
      <c r="AY459" s="37"/>
      <c r="AZ459" s="86">
        <f>tbl_Actual_costs_quantities34[[#This Row],[Chimney Duct Cleaning Repair]]*BOQs!$L$15</f>
        <v>0</v>
      </c>
      <c r="BA459" s="76"/>
      <c r="BB459" s="37"/>
      <c r="BC459" s="89">
        <f>tbl_Actual_costs_quantities34[[#This Row],[Accessibility Adaptations]]*BOQs!$L$16</f>
        <v>0</v>
      </c>
      <c r="BD459" s="41"/>
      <c r="BE459" s="37"/>
      <c r="BF459" s="37"/>
    </row>
    <row r="460" spans="2:58" ht="25.15" customHeight="1" x14ac:dyDescent="0.25">
      <c r="B460" s="49">
        <v>456</v>
      </c>
      <c r="C460" s="37"/>
      <c r="D460" s="41"/>
      <c r="E460" s="40"/>
      <c r="F460" s="87" t="str">
        <f>IF(tbl_Actual_costs_quantities34[[#This Row],[House Code]]&lt;&gt;"",INDEX(tbl_Assessment[],MATCH(tbl_Actual_costs_quantities34[[#This Row],[House Code]],tbl_Assessment[House Code],0),3),"")</f>
        <v/>
      </c>
      <c r="G460" s="116" t="str">
        <f>IF(tbl_Actual_costs_quantities34[[#This Row],[House Code]]&lt;&gt;"",INDEX(tbl_Assessment[],MATCH(tbl_Actual_costs_quantities34[[#This Row],[House Code]],tbl_Assessment[House Code],0),9),"")</f>
        <v/>
      </c>
      <c r="H460" s="41"/>
      <c r="I460" s="41"/>
      <c r="J460" s="41"/>
      <c r="K460" s="116"/>
      <c r="L460" s="117" t="str">
        <f>IF(tbl_Actual_costs_quantities34[[#This Row],[House Code]]&lt;&gt;"",tbl_Actual_costs_quantities34[[#This Row],[Total cost]]/INDEX(tbl_estimated_costs_quantities[],MATCH(tbl_Actual_costs_quantities34[[#This Row],[House Code]],tbl_estimated_costs_quantities[House Code],0),7),"")</f>
        <v/>
      </c>
      <c r="M46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0" s="75"/>
      <c r="O460" s="37"/>
      <c r="P460" s="86">
        <f>tbl_Actual_costs_quantities34[[#This Row],[Site Preparation]]*BOQs!$L$3</f>
        <v>0</v>
      </c>
      <c r="Q460" s="76"/>
      <c r="R460" s="37"/>
      <c r="S460" s="86">
        <f>tbl_Actual_costs_quantities34[[#This Row],[Demolition Removal Unsafe Structures]]*BOQs!$L$4</f>
        <v>0</v>
      </c>
      <c r="T460" s="76"/>
      <c r="U460" s="37"/>
      <c r="V460" s="86">
        <f>tbl_Actual_costs_quantities34[[#This Row],[Concrete Works]]*BOQs!$L$5</f>
        <v>0</v>
      </c>
      <c r="W460" s="76"/>
      <c r="X460" s="37"/>
      <c r="Y460" s="86">
        <f>tbl_Actual_costs_quantities34[[#This Row],[Closure External Openings Walls Windows]]*BOQs!$L$6</f>
        <v>0</v>
      </c>
      <c r="Z460" s="76"/>
      <c r="AA460" s="37"/>
      <c r="AB460" s="86">
        <f>tbl_Actual_costs_quantities34[[#This Row],[Plastering Painting]]*BOQs!$L$7</f>
        <v>0</v>
      </c>
      <c r="AC460" s="76"/>
      <c r="AD460" s="37"/>
      <c r="AE460" s="86">
        <f>tbl_Actual_costs_quantities34[[#This Row],[Floor Repairs]]*BOQs!$L$8</f>
        <v>0</v>
      </c>
      <c r="AF460" s="76"/>
      <c r="AG460" s="37"/>
      <c r="AH460" s="86">
        <f>tbl_Actual_costs_quantities34[[#This Row],[Doors Replacement Repair]]*BOQs!$L$9</f>
        <v>0</v>
      </c>
      <c r="AI460" s="76"/>
      <c r="AJ460" s="37"/>
      <c r="AK460" s="86">
        <f>tbl_Actual_costs_quantities34[[#This Row],[Windows Replacement Repair]]*BOQs!$L$10</f>
        <v>0</v>
      </c>
      <c r="AL460" s="76"/>
      <c r="AM460" s="37"/>
      <c r="AN460" s="86">
        <f>tbl_Actual_costs_quantities34[[#This Row],[Bathroom Rehabilitation]]*BOQs!$L$11</f>
        <v>0</v>
      </c>
      <c r="AO460" s="76"/>
      <c r="AP460" s="37"/>
      <c r="AQ460" s="86">
        <f>tbl_Actual_costs_quantities34[[#This Row],[Ceramic Tile Works WASH]]*BOQs!$L$12</f>
        <v>0</v>
      </c>
      <c r="AR460" s="76"/>
      <c r="AS460" s="37"/>
      <c r="AT460" s="86">
        <f>tbl_Actual_costs_quantities34[[#This Row],[Electrical Repairs Lighting]]*BOQs!$L$13</f>
        <v>0</v>
      </c>
      <c r="AU460" s="76"/>
      <c r="AV460" s="37"/>
      <c r="AW460" s="86">
        <f>tbl_Actual_costs_quantities34[[#This Row],[Roof Insulation Leak Sealing]]*BOQs!$L$14</f>
        <v>0</v>
      </c>
      <c r="AX460" s="76"/>
      <c r="AY460" s="37"/>
      <c r="AZ460" s="86">
        <f>tbl_Actual_costs_quantities34[[#This Row],[Chimney Duct Cleaning Repair]]*BOQs!$L$15</f>
        <v>0</v>
      </c>
      <c r="BA460" s="76"/>
      <c r="BB460" s="37"/>
      <c r="BC460" s="89">
        <f>tbl_Actual_costs_quantities34[[#This Row],[Accessibility Adaptations]]*BOQs!$L$16</f>
        <v>0</v>
      </c>
      <c r="BD460" s="41"/>
      <c r="BE460" s="37"/>
      <c r="BF460" s="37"/>
    </row>
    <row r="461" spans="2:58" ht="25.15" customHeight="1" x14ac:dyDescent="0.25">
      <c r="B461" s="49">
        <v>457</v>
      </c>
      <c r="C461" s="37"/>
      <c r="D461" s="41"/>
      <c r="E461" s="40"/>
      <c r="F461" s="87" t="str">
        <f>IF(tbl_Actual_costs_quantities34[[#This Row],[House Code]]&lt;&gt;"",INDEX(tbl_Assessment[],MATCH(tbl_Actual_costs_quantities34[[#This Row],[House Code]],tbl_Assessment[House Code],0),3),"")</f>
        <v/>
      </c>
      <c r="G461" s="116" t="str">
        <f>IF(tbl_Actual_costs_quantities34[[#This Row],[House Code]]&lt;&gt;"",INDEX(tbl_Assessment[],MATCH(tbl_Actual_costs_quantities34[[#This Row],[House Code]],tbl_Assessment[House Code],0),9),"")</f>
        <v/>
      </c>
      <c r="H461" s="41"/>
      <c r="I461" s="41"/>
      <c r="J461" s="41"/>
      <c r="K461" s="116"/>
      <c r="L461" s="117" t="str">
        <f>IF(tbl_Actual_costs_quantities34[[#This Row],[House Code]]&lt;&gt;"",tbl_Actual_costs_quantities34[[#This Row],[Total cost]]/INDEX(tbl_estimated_costs_quantities[],MATCH(tbl_Actual_costs_quantities34[[#This Row],[House Code]],tbl_estimated_costs_quantities[House Code],0),7),"")</f>
        <v/>
      </c>
      <c r="M46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1" s="75"/>
      <c r="O461" s="37"/>
      <c r="P461" s="86">
        <f>tbl_Actual_costs_quantities34[[#This Row],[Site Preparation]]*BOQs!$L$3</f>
        <v>0</v>
      </c>
      <c r="Q461" s="76"/>
      <c r="R461" s="37"/>
      <c r="S461" s="86">
        <f>tbl_Actual_costs_quantities34[[#This Row],[Demolition Removal Unsafe Structures]]*BOQs!$L$4</f>
        <v>0</v>
      </c>
      <c r="T461" s="76"/>
      <c r="U461" s="37"/>
      <c r="V461" s="86">
        <f>tbl_Actual_costs_quantities34[[#This Row],[Concrete Works]]*BOQs!$L$5</f>
        <v>0</v>
      </c>
      <c r="W461" s="76"/>
      <c r="X461" s="37"/>
      <c r="Y461" s="86">
        <f>tbl_Actual_costs_quantities34[[#This Row],[Closure External Openings Walls Windows]]*BOQs!$L$6</f>
        <v>0</v>
      </c>
      <c r="Z461" s="76"/>
      <c r="AA461" s="37"/>
      <c r="AB461" s="86">
        <f>tbl_Actual_costs_quantities34[[#This Row],[Plastering Painting]]*BOQs!$L$7</f>
        <v>0</v>
      </c>
      <c r="AC461" s="76"/>
      <c r="AD461" s="37"/>
      <c r="AE461" s="86">
        <f>tbl_Actual_costs_quantities34[[#This Row],[Floor Repairs]]*BOQs!$L$8</f>
        <v>0</v>
      </c>
      <c r="AF461" s="76"/>
      <c r="AG461" s="37"/>
      <c r="AH461" s="86">
        <f>tbl_Actual_costs_quantities34[[#This Row],[Doors Replacement Repair]]*BOQs!$L$9</f>
        <v>0</v>
      </c>
      <c r="AI461" s="76"/>
      <c r="AJ461" s="37"/>
      <c r="AK461" s="86">
        <f>tbl_Actual_costs_quantities34[[#This Row],[Windows Replacement Repair]]*BOQs!$L$10</f>
        <v>0</v>
      </c>
      <c r="AL461" s="76"/>
      <c r="AM461" s="37"/>
      <c r="AN461" s="86">
        <f>tbl_Actual_costs_quantities34[[#This Row],[Bathroom Rehabilitation]]*BOQs!$L$11</f>
        <v>0</v>
      </c>
      <c r="AO461" s="76"/>
      <c r="AP461" s="37"/>
      <c r="AQ461" s="86">
        <f>tbl_Actual_costs_quantities34[[#This Row],[Ceramic Tile Works WASH]]*BOQs!$L$12</f>
        <v>0</v>
      </c>
      <c r="AR461" s="76"/>
      <c r="AS461" s="37"/>
      <c r="AT461" s="86">
        <f>tbl_Actual_costs_quantities34[[#This Row],[Electrical Repairs Lighting]]*BOQs!$L$13</f>
        <v>0</v>
      </c>
      <c r="AU461" s="76"/>
      <c r="AV461" s="37"/>
      <c r="AW461" s="86">
        <f>tbl_Actual_costs_quantities34[[#This Row],[Roof Insulation Leak Sealing]]*BOQs!$L$14</f>
        <v>0</v>
      </c>
      <c r="AX461" s="76"/>
      <c r="AY461" s="37"/>
      <c r="AZ461" s="86">
        <f>tbl_Actual_costs_quantities34[[#This Row],[Chimney Duct Cleaning Repair]]*BOQs!$L$15</f>
        <v>0</v>
      </c>
      <c r="BA461" s="76"/>
      <c r="BB461" s="37"/>
      <c r="BC461" s="89">
        <f>tbl_Actual_costs_quantities34[[#This Row],[Accessibility Adaptations]]*BOQs!$L$16</f>
        <v>0</v>
      </c>
      <c r="BD461" s="41"/>
      <c r="BE461" s="37"/>
      <c r="BF461" s="37"/>
    </row>
    <row r="462" spans="2:58" ht="25.15" customHeight="1" x14ac:dyDescent="0.25">
      <c r="B462" s="49">
        <v>458</v>
      </c>
      <c r="C462" s="37"/>
      <c r="D462" s="41"/>
      <c r="E462" s="40"/>
      <c r="F462" s="87" t="str">
        <f>IF(tbl_Actual_costs_quantities34[[#This Row],[House Code]]&lt;&gt;"",INDEX(tbl_Assessment[],MATCH(tbl_Actual_costs_quantities34[[#This Row],[House Code]],tbl_Assessment[House Code],0),3),"")</f>
        <v/>
      </c>
      <c r="G462" s="116" t="str">
        <f>IF(tbl_Actual_costs_quantities34[[#This Row],[House Code]]&lt;&gt;"",INDEX(tbl_Assessment[],MATCH(tbl_Actual_costs_quantities34[[#This Row],[House Code]],tbl_Assessment[House Code],0),9),"")</f>
        <v/>
      </c>
      <c r="H462" s="41"/>
      <c r="I462" s="41"/>
      <c r="J462" s="41"/>
      <c r="K462" s="116"/>
      <c r="L462" s="117" t="str">
        <f>IF(tbl_Actual_costs_quantities34[[#This Row],[House Code]]&lt;&gt;"",tbl_Actual_costs_quantities34[[#This Row],[Total cost]]/INDEX(tbl_estimated_costs_quantities[],MATCH(tbl_Actual_costs_quantities34[[#This Row],[House Code]],tbl_estimated_costs_quantities[House Code],0),7),"")</f>
        <v/>
      </c>
      <c r="M46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2" s="75"/>
      <c r="O462" s="37"/>
      <c r="P462" s="86">
        <f>tbl_Actual_costs_quantities34[[#This Row],[Site Preparation]]*BOQs!$L$3</f>
        <v>0</v>
      </c>
      <c r="Q462" s="76"/>
      <c r="R462" s="37"/>
      <c r="S462" s="86">
        <f>tbl_Actual_costs_quantities34[[#This Row],[Demolition Removal Unsafe Structures]]*BOQs!$L$4</f>
        <v>0</v>
      </c>
      <c r="T462" s="76"/>
      <c r="U462" s="37"/>
      <c r="V462" s="86">
        <f>tbl_Actual_costs_quantities34[[#This Row],[Concrete Works]]*BOQs!$L$5</f>
        <v>0</v>
      </c>
      <c r="W462" s="76"/>
      <c r="X462" s="37"/>
      <c r="Y462" s="86">
        <f>tbl_Actual_costs_quantities34[[#This Row],[Closure External Openings Walls Windows]]*BOQs!$L$6</f>
        <v>0</v>
      </c>
      <c r="Z462" s="76"/>
      <c r="AA462" s="37"/>
      <c r="AB462" s="86">
        <f>tbl_Actual_costs_quantities34[[#This Row],[Plastering Painting]]*BOQs!$L$7</f>
        <v>0</v>
      </c>
      <c r="AC462" s="76"/>
      <c r="AD462" s="37"/>
      <c r="AE462" s="86">
        <f>tbl_Actual_costs_quantities34[[#This Row],[Floor Repairs]]*BOQs!$L$8</f>
        <v>0</v>
      </c>
      <c r="AF462" s="76"/>
      <c r="AG462" s="37"/>
      <c r="AH462" s="86">
        <f>tbl_Actual_costs_quantities34[[#This Row],[Doors Replacement Repair]]*BOQs!$L$9</f>
        <v>0</v>
      </c>
      <c r="AI462" s="76"/>
      <c r="AJ462" s="37"/>
      <c r="AK462" s="86">
        <f>tbl_Actual_costs_quantities34[[#This Row],[Windows Replacement Repair]]*BOQs!$L$10</f>
        <v>0</v>
      </c>
      <c r="AL462" s="76"/>
      <c r="AM462" s="37"/>
      <c r="AN462" s="86">
        <f>tbl_Actual_costs_quantities34[[#This Row],[Bathroom Rehabilitation]]*BOQs!$L$11</f>
        <v>0</v>
      </c>
      <c r="AO462" s="76"/>
      <c r="AP462" s="37"/>
      <c r="AQ462" s="86">
        <f>tbl_Actual_costs_quantities34[[#This Row],[Ceramic Tile Works WASH]]*BOQs!$L$12</f>
        <v>0</v>
      </c>
      <c r="AR462" s="76"/>
      <c r="AS462" s="37"/>
      <c r="AT462" s="86">
        <f>tbl_Actual_costs_quantities34[[#This Row],[Electrical Repairs Lighting]]*BOQs!$L$13</f>
        <v>0</v>
      </c>
      <c r="AU462" s="76"/>
      <c r="AV462" s="37"/>
      <c r="AW462" s="86">
        <f>tbl_Actual_costs_quantities34[[#This Row],[Roof Insulation Leak Sealing]]*BOQs!$L$14</f>
        <v>0</v>
      </c>
      <c r="AX462" s="76"/>
      <c r="AY462" s="37"/>
      <c r="AZ462" s="86">
        <f>tbl_Actual_costs_quantities34[[#This Row],[Chimney Duct Cleaning Repair]]*BOQs!$L$15</f>
        <v>0</v>
      </c>
      <c r="BA462" s="76"/>
      <c r="BB462" s="37"/>
      <c r="BC462" s="89">
        <f>tbl_Actual_costs_quantities34[[#This Row],[Accessibility Adaptations]]*BOQs!$L$16</f>
        <v>0</v>
      </c>
      <c r="BD462" s="41"/>
      <c r="BE462" s="37"/>
      <c r="BF462" s="37"/>
    </row>
    <row r="463" spans="2:58" ht="25.15" customHeight="1" x14ac:dyDescent="0.25">
      <c r="B463" s="49">
        <v>459</v>
      </c>
      <c r="C463" s="37"/>
      <c r="D463" s="41"/>
      <c r="E463" s="40"/>
      <c r="F463" s="87" t="str">
        <f>IF(tbl_Actual_costs_quantities34[[#This Row],[House Code]]&lt;&gt;"",INDEX(tbl_Assessment[],MATCH(tbl_Actual_costs_quantities34[[#This Row],[House Code]],tbl_Assessment[House Code],0),3),"")</f>
        <v/>
      </c>
      <c r="G463" s="116" t="str">
        <f>IF(tbl_Actual_costs_quantities34[[#This Row],[House Code]]&lt;&gt;"",INDEX(tbl_Assessment[],MATCH(tbl_Actual_costs_quantities34[[#This Row],[House Code]],tbl_Assessment[House Code],0),9),"")</f>
        <v/>
      </c>
      <c r="H463" s="41"/>
      <c r="I463" s="41"/>
      <c r="J463" s="41"/>
      <c r="K463" s="116"/>
      <c r="L463" s="117" t="str">
        <f>IF(tbl_Actual_costs_quantities34[[#This Row],[House Code]]&lt;&gt;"",tbl_Actual_costs_quantities34[[#This Row],[Total cost]]/INDEX(tbl_estimated_costs_quantities[],MATCH(tbl_Actual_costs_quantities34[[#This Row],[House Code]],tbl_estimated_costs_quantities[House Code],0),7),"")</f>
        <v/>
      </c>
      <c r="M46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3" s="75"/>
      <c r="O463" s="37"/>
      <c r="P463" s="86">
        <f>tbl_Actual_costs_quantities34[[#This Row],[Site Preparation]]*BOQs!$L$3</f>
        <v>0</v>
      </c>
      <c r="Q463" s="76"/>
      <c r="R463" s="37"/>
      <c r="S463" s="86">
        <f>tbl_Actual_costs_quantities34[[#This Row],[Demolition Removal Unsafe Structures]]*BOQs!$L$4</f>
        <v>0</v>
      </c>
      <c r="T463" s="76"/>
      <c r="U463" s="37"/>
      <c r="V463" s="86">
        <f>tbl_Actual_costs_quantities34[[#This Row],[Concrete Works]]*BOQs!$L$5</f>
        <v>0</v>
      </c>
      <c r="W463" s="76"/>
      <c r="X463" s="37"/>
      <c r="Y463" s="86">
        <f>tbl_Actual_costs_quantities34[[#This Row],[Closure External Openings Walls Windows]]*BOQs!$L$6</f>
        <v>0</v>
      </c>
      <c r="Z463" s="76"/>
      <c r="AA463" s="37"/>
      <c r="AB463" s="86">
        <f>tbl_Actual_costs_quantities34[[#This Row],[Plastering Painting]]*BOQs!$L$7</f>
        <v>0</v>
      </c>
      <c r="AC463" s="76"/>
      <c r="AD463" s="37"/>
      <c r="AE463" s="86">
        <f>tbl_Actual_costs_quantities34[[#This Row],[Floor Repairs]]*BOQs!$L$8</f>
        <v>0</v>
      </c>
      <c r="AF463" s="76"/>
      <c r="AG463" s="37"/>
      <c r="AH463" s="86">
        <f>tbl_Actual_costs_quantities34[[#This Row],[Doors Replacement Repair]]*BOQs!$L$9</f>
        <v>0</v>
      </c>
      <c r="AI463" s="76"/>
      <c r="AJ463" s="37"/>
      <c r="AK463" s="86">
        <f>tbl_Actual_costs_quantities34[[#This Row],[Windows Replacement Repair]]*BOQs!$L$10</f>
        <v>0</v>
      </c>
      <c r="AL463" s="76"/>
      <c r="AM463" s="37"/>
      <c r="AN463" s="86">
        <f>tbl_Actual_costs_quantities34[[#This Row],[Bathroom Rehabilitation]]*BOQs!$L$11</f>
        <v>0</v>
      </c>
      <c r="AO463" s="76"/>
      <c r="AP463" s="37"/>
      <c r="AQ463" s="86">
        <f>tbl_Actual_costs_quantities34[[#This Row],[Ceramic Tile Works WASH]]*BOQs!$L$12</f>
        <v>0</v>
      </c>
      <c r="AR463" s="76"/>
      <c r="AS463" s="37"/>
      <c r="AT463" s="86">
        <f>tbl_Actual_costs_quantities34[[#This Row],[Electrical Repairs Lighting]]*BOQs!$L$13</f>
        <v>0</v>
      </c>
      <c r="AU463" s="76"/>
      <c r="AV463" s="37"/>
      <c r="AW463" s="86">
        <f>tbl_Actual_costs_quantities34[[#This Row],[Roof Insulation Leak Sealing]]*BOQs!$L$14</f>
        <v>0</v>
      </c>
      <c r="AX463" s="76"/>
      <c r="AY463" s="37"/>
      <c r="AZ463" s="86">
        <f>tbl_Actual_costs_quantities34[[#This Row],[Chimney Duct Cleaning Repair]]*BOQs!$L$15</f>
        <v>0</v>
      </c>
      <c r="BA463" s="76"/>
      <c r="BB463" s="37"/>
      <c r="BC463" s="89">
        <f>tbl_Actual_costs_quantities34[[#This Row],[Accessibility Adaptations]]*BOQs!$L$16</f>
        <v>0</v>
      </c>
      <c r="BD463" s="41"/>
      <c r="BE463" s="37"/>
      <c r="BF463" s="37"/>
    </row>
    <row r="464" spans="2:58" ht="25.15" customHeight="1" x14ac:dyDescent="0.25">
      <c r="B464" s="49">
        <v>460</v>
      </c>
      <c r="C464" s="37"/>
      <c r="D464" s="41"/>
      <c r="E464" s="40"/>
      <c r="F464" s="87" t="str">
        <f>IF(tbl_Actual_costs_quantities34[[#This Row],[House Code]]&lt;&gt;"",INDEX(tbl_Assessment[],MATCH(tbl_Actual_costs_quantities34[[#This Row],[House Code]],tbl_Assessment[House Code],0),3),"")</f>
        <v/>
      </c>
      <c r="G464" s="116" t="str">
        <f>IF(tbl_Actual_costs_quantities34[[#This Row],[House Code]]&lt;&gt;"",INDEX(tbl_Assessment[],MATCH(tbl_Actual_costs_quantities34[[#This Row],[House Code]],tbl_Assessment[House Code],0),9),"")</f>
        <v/>
      </c>
      <c r="H464" s="41"/>
      <c r="I464" s="41"/>
      <c r="J464" s="41"/>
      <c r="K464" s="116"/>
      <c r="L464" s="117" t="str">
        <f>IF(tbl_Actual_costs_quantities34[[#This Row],[House Code]]&lt;&gt;"",tbl_Actual_costs_quantities34[[#This Row],[Total cost]]/INDEX(tbl_estimated_costs_quantities[],MATCH(tbl_Actual_costs_quantities34[[#This Row],[House Code]],tbl_estimated_costs_quantities[House Code],0),7),"")</f>
        <v/>
      </c>
      <c r="M46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4" s="75"/>
      <c r="O464" s="37"/>
      <c r="P464" s="86">
        <f>tbl_Actual_costs_quantities34[[#This Row],[Site Preparation]]*BOQs!$L$3</f>
        <v>0</v>
      </c>
      <c r="Q464" s="76"/>
      <c r="R464" s="37"/>
      <c r="S464" s="86">
        <f>tbl_Actual_costs_quantities34[[#This Row],[Demolition Removal Unsafe Structures]]*BOQs!$L$4</f>
        <v>0</v>
      </c>
      <c r="T464" s="76"/>
      <c r="U464" s="37"/>
      <c r="V464" s="86">
        <f>tbl_Actual_costs_quantities34[[#This Row],[Concrete Works]]*BOQs!$L$5</f>
        <v>0</v>
      </c>
      <c r="W464" s="76"/>
      <c r="X464" s="37"/>
      <c r="Y464" s="86">
        <f>tbl_Actual_costs_quantities34[[#This Row],[Closure External Openings Walls Windows]]*BOQs!$L$6</f>
        <v>0</v>
      </c>
      <c r="Z464" s="76"/>
      <c r="AA464" s="37"/>
      <c r="AB464" s="86">
        <f>tbl_Actual_costs_quantities34[[#This Row],[Plastering Painting]]*BOQs!$L$7</f>
        <v>0</v>
      </c>
      <c r="AC464" s="76"/>
      <c r="AD464" s="37"/>
      <c r="AE464" s="86">
        <f>tbl_Actual_costs_quantities34[[#This Row],[Floor Repairs]]*BOQs!$L$8</f>
        <v>0</v>
      </c>
      <c r="AF464" s="76"/>
      <c r="AG464" s="37"/>
      <c r="AH464" s="86">
        <f>tbl_Actual_costs_quantities34[[#This Row],[Doors Replacement Repair]]*BOQs!$L$9</f>
        <v>0</v>
      </c>
      <c r="AI464" s="76"/>
      <c r="AJ464" s="37"/>
      <c r="AK464" s="86">
        <f>tbl_Actual_costs_quantities34[[#This Row],[Windows Replacement Repair]]*BOQs!$L$10</f>
        <v>0</v>
      </c>
      <c r="AL464" s="76"/>
      <c r="AM464" s="37"/>
      <c r="AN464" s="86">
        <f>tbl_Actual_costs_quantities34[[#This Row],[Bathroom Rehabilitation]]*BOQs!$L$11</f>
        <v>0</v>
      </c>
      <c r="AO464" s="76"/>
      <c r="AP464" s="37"/>
      <c r="AQ464" s="86">
        <f>tbl_Actual_costs_quantities34[[#This Row],[Ceramic Tile Works WASH]]*BOQs!$L$12</f>
        <v>0</v>
      </c>
      <c r="AR464" s="76"/>
      <c r="AS464" s="37"/>
      <c r="AT464" s="86">
        <f>tbl_Actual_costs_quantities34[[#This Row],[Electrical Repairs Lighting]]*BOQs!$L$13</f>
        <v>0</v>
      </c>
      <c r="AU464" s="76"/>
      <c r="AV464" s="37"/>
      <c r="AW464" s="86">
        <f>tbl_Actual_costs_quantities34[[#This Row],[Roof Insulation Leak Sealing]]*BOQs!$L$14</f>
        <v>0</v>
      </c>
      <c r="AX464" s="76"/>
      <c r="AY464" s="37"/>
      <c r="AZ464" s="86">
        <f>tbl_Actual_costs_quantities34[[#This Row],[Chimney Duct Cleaning Repair]]*BOQs!$L$15</f>
        <v>0</v>
      </c>
      <c r="BA464" s="76"/>
      <c r="BB464" s="37"/>
      <c r="BC464" s="89">
        <f>tbl_Actual_costs_quantities34[[#This Row],[Accessibility Adaptations]]*BOQs!$L$16</f>
        <v>0</v>
      </c>
      <c r="BD464" s="41"/>
      <c r="BE464" s="37"/>
      <c r="BF464" s="37"/>
    </row>
    <row r="465" spans="2:58" ht="25.15" customHeight="1" x14ac:dyDescent="0.25">
      <c r="B465" s="49">
        <v>461</v>
      </c>
      <c r="C465" s="37"/>
      <c r="D465" s="41"/>
      <c r="E465" s="40"/>
      <c r="F465" s="87" t="str">
        <f>IF(tbl_Actual_costs_quantities34[[#This Row],[House Code]]&lt;&gt;"",INDEX(tbl_Assessment[],MATCH(tbl_Actual_costs_quantities34[[#This Row],[House Code]],tbl_Assessment[House Code],0),3),"")</f>
        <v/>
      </c>
      <c r="G465" s="116" t="str">
        <f>IF(tbl_Actual_costs_quantities34[[#This Row],[House Code]]&lt;&gt;"",INDEX(tbl_Assessment[],MATCH(tbl_Actual_costs_quantities34[[#This Row],[House Code]],tbl_Assessment[House Code],0),9),"")</f>
        <v/>
      </c>
      <c r="H465" s="41"/>
      <c r="I465" s="41"/>
      <c r="J465" s="41"/>
      <c r="K465" s="116"/>
      <c r="L465" s="117" t="str">
        <f>IF(tbl_Actual_costs_quantities34[[#This Row],[House Code]]&lt;&gt;"",tbl_Actual_costs_quantities34[[#This Row],[Total cost]]/INDEX(tbl_estimated_costs_quantities[],MATCH(tbl_Actual_costs_quantities34[[#This Row],[House Code]],tbl_estimated_costs_quantities[House Code],0),7),"")</f>
        <v/>
      </c>
      <c r="M46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5" s="75"/>
      <c r="O465" s="37"/>
      <c r="P465" s="86">
        <f>tbl_Actual_costs_quantities34[[#This Row],[Site Preparation]]*BOQs!$L$3</f>
        <v>0</v>
      </c>
      <c r="Q465" s="76"/>
      <c r="R465" s="37"/>
      <c r="S465" s="86">
        <f>tbl_Actual_costs_quantities34[[#This Row],[Demolition Removal Unsafe Structures]]*BOQs!$L$4</f>
        <v>0</v>
      </c>
      <c r="T465" s="76"/>
      <c r="U465" s="37"/>
      <c r="V465" s="86">
        <f>tbl_Actual_costs_quantities34[[#This Row],[Concrete Works]]*BOQs!$L$5</f>
        <v>0</v>
      </c>
      <c r="W465" s="76"/>
      <c r="X465" s="37"/>
      <c r="Y465" s="86">
        <f>tbl_Actual_costs_quantities34[[#This Row],[Closure External Openings Walls Windows]]*BOQs!$L$6</f>
        <v>0</v>
      </c>
      <c r="Z465" s="76"/>
      <c r="AA465" s="37"/>
      <c r="AB465" s="86">
        <f>tbl_Actual_costs_quantities34[[#This Row],[Plastering Painting]]*BOQs!$L$7</f>
        <v>0</v>
      </c>
      <c r="AC465" s="76"/>
      <c r="AD465" s="37"/>
      <c r="AE465" s="86">
        <f>tbl_Actual_costs_quantities34[[#This Row],[Floor Repairs]]*BOQs!$L$8</f>
        <v>0</v>
      </c>
      <c r="AF465" s="76"/>
      <c r="AG465" s="37"/>
      <c r="AH465" s="86">
        <f>tbl_Actual_costs_quantities34[[#This Row],[Doors Replacement Repair]]*BOQs!$L$9</f>
        <v>0</v>
      </c>
      <c r="AI465" s="76"/>
      <c r="AJ465" s="37"/>
      <c r="AK465" s="86">
        <f>tbl_Actual_costs_quantities34[[#This Row],[Windows Replacement Repair]]*BOQs!$L$10</f>
        <v>0</v>
      </c>
      <c r="AL465" s="76"/>
      <c r="AM465" s="37"/>
      <c r="AN465" s="86">
        <f>tbl_Actual_costs_quantities34[[#This Row],[Bathroom Rehabilitation]]*BOQs!$L$11</f>
        <v>0</v>
      </c>
      <c r="AO465" s="76"/>
      <c r="AP465" s="37"/>
      <c r="AQ465" s="86">
        <f>tbl_Actual_costs_quantities34[[#This Row],[Ceramic Tile Works WASH]]*BOQs!$L$12</f>
        <v>0</v>
      </c>
      <c r="AR465" s="76"/>
      <c r="AS465" s="37"/>
      <c r="AT465" s="86">
        <f>tbl_Actual_costs_quantities34[[#This Row],[Electrical Repairs Lighting]]*BOQs!$L$13</f>
        <v>0</v>
      </c>
      <c r="AU465" s="76"/>
      <c r="AV465" s="37"/>
      <c r="AW465" s="86">
        <f>tbl_Actual_costs_quantities34[[#This Row],[Roof Insulation Leak Sealing]]*BOQs!$L$14</f>
        <v>0</v>
      </c>
      <c r="AX465" s="76"/>
      <c r="AY465" s="37"/>
      <c r="AZ465" s="86">
        <f>tbl_Actual_costs_quantities34[[#This Row],[Chimney Duct Cleaning Repair]]*BOQs!$L$15</f>
        <v>0</v>
      </c>
      <c r="BA465" s="76"/>
      <c r="BB465" s="37"/>
      <c r="BC465" s="89">
        <f>tbl_Actual_costs_quantities34[[#This Row],[Accessibility Adaptations]]*BOQs!$L$16</f>
        <v>0</v>
      </c>
      <c r="BD465" s="41"/>
      <c r="BE465" s="37"/>
      <c r="BF465" s="37"/>
    </row>
    <row r="466" spans="2:58" ht="25.15" customHeight="1" x14ac:dyDescent="0.25">
      <c r="B466" s="49">
        <v>462</v>
      </c>
      <c r="C466" s="37"/>
      <c r="D466" s="41"/>
      <c r="E466" s="40"/>
      <c r="F466" s="87" t="str">
        <f>IF(tbl_Actual_costs_quantities34[[#This Row],[House Code]]&lt;&gt;"",INDEX(tbl_Assessment[],MATCH(tbl_Actual_costs_quantities34[[#This Row],[House Code]],tbl_Assessment[House Code],0),3),"")</f>
        <v/>
      </c>
      <c r="G466" s="116" t="str">
        <f>IF(tbl_Actual_costs_quantities34[[#This Row],[House Code]]&lt;&gt;"",INDEX(tbl_Assessment[],MATCH(tbl_Actual_costs_quantities34[[#This Row],[House Code]],tbl_Assessment[House Code],0),9),"")</f>
        <v/>
      </c>
      <c r="H466" s="41"/>
      <c r="I466" s="41"/>
      <c r="J466" s="41"/>
      <c r="K466" s="116"/>
      <c r="L466" s="117" t="str">
        <f>IF(tbl_Actual_costs_quantities34[[#This Row],[House Code]]&lt;&gt;"",tbl_Actual_costs_quantities34[[#This Row],[Total cost]]/INDEX(tbl_estimated_costs_quantities[],MATCH(tbl_Actual_costs_quantities34[[#This Row],[House Code]],tbl_estimated_costs_quantities[House Code],0),7),"")</f>
        <v/>
      </c>
      <c r="M46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6" s="75"/>
      <c r="O466" s="37"/>
      <c r="P466" s="86">
        <f>tbl_Actual_costs_quantities34[[#This Row],[Site Preparation]]*BOQs!$L$3</f>
        <v>0</v>
      </c>
      <c r="Q466" s="76"/>
      <c r="R466" s="37"/>
      <c r="S466" s="86">
        <f>tbl_Actual_costs_quantities34[[#This Row],[Demolition Removal Unsafe Structures]]*BOQs!$L$4</f>
        <v>0</v>
      </c>
      <c r="T466" s="76"/>
      <c r="U466" s="37"/>
      <c r="V466" s="86">
        <f>tbl_Actual_costs_quantities34[[#This Row],[Concrete Works]]*BOQs!$L$5</f>
        <v>0</v>
      </c>
      <c r="W466" s="76"/>
      <c r="X466" s="37"/>
      <c r="Y466" s="86">
        <f>tbl_Actual_costs_quantities34[[#This Row],[Closure External Openings Walls Windows]]*BOQs!$L$6</f>
        <v>0</v>
      </c>
      <c r="Z466" s="76"/>
      <c r="AA466" s="37"/>
      <c r="AB466" s="86">
        <f>tbl_Actual_costs_quantities34[[#This Row],[Plastering Painting]]*BOQs!$L$7</f>
        <v>0</v>
      </c>
      <c r="AC466" s="76"/>
      <c r="AD466" s="37"/>
      <c r="AE466" s="86">
        <f>tbl_Actual_costs_quantities34[[#This Row],[Floor Repairs]]*BOQs!$L$8</f>
        <v>0</v>
      </c>
      <c r="AF466" s="76"/>
      <c r="AG466" s="37"/>
      <c r="AH466" s="86">
        <f>tbl_Actual_costs_quantities34[[#This Row],[Doors Replacement Repair]]*BOQs!$L$9</f>
        <v>0</v>
      </c>
      <c r="AI466" s="76"/>
      <c r="AJ466" s="37"/>
      <c r="AK466" s="86">
        <f>tbl_Actual_costs_quantities34[[#This Row],[Windows Replacement Repair]]*BOQs!$L$10</f>
        <v>0</v>
      </c>
      <c r="AL466" s="76"/>
      <c r="AM466" s="37"/>
      <c r="AN466" s="86">
        <f>tbl_Actual_costs_quantities34[[#This Row],[Bathroom Rehabilitation]]*BOQs!$L$11</f>
        <v>0</v>
      </c>
      <c r="AO466" s="76"/>
      <c r="AP466" s="37"/>
      <c r="AQ466" s="86">
        <f>tbl_Actual_costs_quantities34[[#This Row],[Ceramic Tile Works WASH]]*BOQs!$L$12</f>
        <v>0</v>
      </c>
      <c r="AR466" s="76"/>
      <c r="AS466" s="37"/>
      <c r="AT466" s="86">
        <f>tbl_Actual_costs_quantities34[[#This Row],[Electrical Repairs Lighting]]*BOQs!$L$13</f>
        <v>0</v>
      </c>
      <c r="AU466" s="76"/>
      <c r="AV466" s="37"/>
      <c r="AW466" s="86">
        <f>tbl_Actual_costs_quantities34[[#This Row],[Roof Insulation Leak Sealing]]*BOQs!$L$14</f>
        <v>0</v>
      </c>
      <c r="AX466" s="76"/>
      <c r="AY466" s="37"/>
      <c r="AZ466" s="86">
        <f>tbl_Actual_costs_quantities34[[#This Row],[Chimney Duct Cleaning Repair]]*BOQs!$L$15</f>
        <v>0</v>
      </c>
      <c r="BA466" s="76"/>
      <c r="BB466" s="37"/>
      <c r="BC466" s="89">
        <f>tbl_Actual_costs_quantities34[[#This Row],[Accessibility Adaptations]]*BOQs!$L$16</f>
        <v>0</v>
      </c>
      <c r="BD466" s="41"/>
      <c r="BE466" s="37"/>
      <c r="BF466" s="37"/>
    </row>
    <row r="467" spans="2:58" ht="25.15" customHeight="1" x14ac:dyDescent="0.25">
      <c r="B467" s="49">
        <v>463</v>
      </c>
      <c r="C467" s="37"/>
      <c r="D467" s="41"/>
      <c r="E467" s="40"/>
      <c r="F467" s="87" t="str">
        <f>IF(tbl_Actual_costs_quantities34[[#This Row],[House Code]]&lt;&gt;"",INDEX(tbl_Assessment[],MATCH(tbl_Actual_costs_quantities34[[#This Row],[House Code]],tbl_Assessment[House Code],0),3),"")</f>
        <v/>
      </c>
      <c r="G467" s="116" t="str">
        <f>IF(tbl_Actual_costs_quantities34[[#This Row],[House Code]]&lt;&gt;"",INDEX(tbl_Assessment[],MATCH(tbl_Actual_costs_quantities34[[#This Row],[House Code]],tbl_Assessment[House Code],0),9),"")</f>
        <v/>
      </c>
      <c r="H467" s="41"/>
      <c r="I467" s="41"/>
      <c r="J467" s="41"/>
      <c r="K467" s="116"/>
      <c r="L467" s="117" t="str">
        <f>IF(tbl_Actual_costs_quantities34[[#This Row],[House Code]]&lt;&gt;"",tbl_Actual_costs_quantities34[[#This Row],[Total cost]]/INDEX(tbl_estimated_costs_quantities[],MATCH(tbl_Actual_costs_quantities34[[#This Row],[House Code]],tbl_estimated_costs_quantities[House Code],0),7),"")</f>
        <v/>
      </c>
      <c r="M46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7" s="75"/>
      <c r="O467" s="37"/>
      <c r="P467" s="86">
        <f>tbl_Actual_costs_quantities34[[#This Row],[Site Preparation]]*BOQs!$L$3</f>
        <v>0</v>
      </c>
      <c r="Q467" s="76"/>
      <c r="R467" s="37"/>
      <c r="S467" s="86">
        <f>tbl_Actual_costs_quantities34[[#This Row],[Demolition Removal Unsafe Structures]]*BOQs!$L$4</f>
        <v>0</v>
      </c>
      <c r="T467" s="76"/>
      <c r="U467" s="37"/>
      <c r="V467" s="86">
        <f>tbl_Actual_costs_quantities34[[#This Row],[Concrete Works]]*BOQs!$L$5</f>
        <v>0</v>
      </c>
      <c r="W467" s="76"/>
      <c r="X467" s="37"/>
      <c r="Y467" s="86">
        <f>tbl_Actual_costs_quantities34[[#This Row],[Closure External Openings Walls Windows]]*BOQs!$L$6</f>
        <v>0</v>
      </c>
      <c r="Z467" s="76"/>
      <c r="AA467" s="37"/>
      <c r="AB467" s="86">
        <f>tbl_Actual_costs_quantities34[[#This Row],[Plastering Painting]]*BOQs!$L$7</f>
        <v>0</v>
      </c>
      <c r="AC467" s="76"/>
      <c r="AD467" s="37"/>
      <c r="AE467" s="86">
        <f>tbl_Actual_costs_quantities34[[#This Row],[Floor Repairs]]*BOQs!$L$8</f>
        <v>0</v>
      </c>
      <c r="AF467" s="76"/>
      <c r="AG467" s="37"/>
      <c r="AH467" s="86">
        <f>tbl_Actual_costs_quantities34[[#This Row],[Doors Replacement Repair]]*BOQs!$L$9</f>
        <v>0</v>
      </c>
      <c r="AI467" s="76"/>
      <c r="AJ467" s="37"/>
      <c r="AK467" s="86">
        <f>tbl_Actual_costs_quantities34[[#This Row],[Windows Replacement Repair]]*BOQs!$L$10</f>
        <v>0</v>
      </c>
      <c r="AL467" s="76"/>
      <c r="AM467" s="37"/>
      <c r="AN467" s="86">
        <f>tbl_Actual_costs_quantities34[[#This Row],[Bathroom Rehabilitation]]*BOQs!$L$11</f>
        <v>0</v>
      </c>
      <c r="AO467" s="76"/>
      <c r="AP467" s="37"/>
      <c r="AQ467" s="86">
        <f>tbl_Actual_costs_quantities34[[#This Row],[Ceramic Tile Works WASH]]*BOQs!$L$12</f>
        <v>0</v>
      </c>
      <c r="AR467" s="76"/>
      <c r="AS467" s="37"/>
      <c r="AT467" s="86">
        <f>tbl_Actual_costs_quantities34[[#This Row],[Electrical Repairs Lighting]]*BOQs!$L$13</f>
        <v>0</v>
      </c>
      <c r="AU467" s="76"/>
      <c r="AV467" s="37"/>
      <c r="AW467" s="86">
        <f>tbl_Actual_costs_quantities34[[#This Row],[Roof Insulation Leak Sealing]]*BOQs!$L$14</f>
        <v>0</v>
      </c>
      <c r="AX467" s="76"/>
      <c r="AY467" s="37"/>
      <c r="AZ467" s="86">
        <f>tbl_Actual_costs_quantities34[[#This Row],[Chimney Duct Cleaning Repair]]*BOQs!$L$15</f>
        <v>0</v>
      </c>
      <c r="BA467" s="76"/>
      <c r="BB467" s="37"/>
      <c r="BC467" s="89">
        <f>tbl_Actual_costs_quantities34[[#This Row],[Accessibility Adaptations]]*BOQs!$L$16</f>
        <v>0</v>
      </c>
      <c r="BD467" s="41"/>
      <c r="BE467" s="37"/>
      <c r="BF467" s="37"/>
    </row>
    <row r="468" spans="2:58" ht="25.15" customHeight="1" x14ac:dyDescent="0.25">
      <c r="B468" s="49">
        <v>464</v>
      </c>
      <c r="C468" s="37"/>
      <c r="D468" s="41"/>
      <c r="E468" s="40"/>
      <c r="F468" s="87" t="str">
        <f>IF(tbl_Actual_costs_quantities34[[#This Row],[House Code]]&lt;&gt;"",INDEX(tbl_Assessment[],MATCH(tbl_Actual_costs_quantities34[[#This Row],[House Code]],tbl_Assessment[House Code],0),3),"")</f>
        <v/>
      </c>
      <c r="G468" s="116" t="str">
        <f>IF(tbl_Actual_costs_quantities34[[#This Row],[House Code]]&lt;&gt;"",INDEX(tbl_Assessment[],MATCH(tbl_Actual_costs_quantities34[[#This Row],[House Code]],tbl_Assessment[House Code],0),9),"")</f>
        <v/>
      </c>
      <c r="H468" s="41"/>
      <c r="I468" s="41"/>
      <c r="J468" s="41"/>
      <c r="K468" s="116"/>
      <c r="L468" s="117" t="str">
        <f>IF(tbl_Actual_costs_quantities34[[#This Row],[House Code]]&lt;&gt;"",tbl_Actual_costs_quantities34[[#This Row],[Total cost]]/INDEX(tbl_estimated_costs_quantities[],MATCH(tbl_Actual_costs_quantities34[[#This Row],[House Code]],tbl_estimated_costs_quantities[House Code],0),7),"")</f>
        <v/>
      </c>
      <c r="M46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8" s="75"/>
      <c r="O468" s="37"/>
      <c r="P468" s="86">
        <f>tbl_Actual_costs_quantities34[[#This Row],[Site Preparation]]*BOQs!$L$3</f>
        <v>0</v>
      </c>
      <c r="Q468" s="76"/>
      <c r="R468" s="37"/>
      <c r="S468" s="86">
        <f>tbl_Actual_costs_quantities34[[#This Row],[Demolition Removal Unsafe Structures]]*BOQs!$L$4</f>
        <v>0</v>
      </c>
      <c r="T468" s="76"/>
      <c r="U468" s="37"/>
      <c r="V468" s="86">
        <f>tbl_Actual_costs_quantities34[[#This Row],[Concrete Works]]*BOQs!$L$5</f>
        <v>0</v>
      </c>
      <c r="W468" s="76"/>
      <c r="X468" s="37"/>
      <c r="Y468" s="86">
        <f>tbl_Actual_costs_quantities34[[#This Row],[Closure External Openings Walls Windows]]*BOQs!$L$6</f>
        <v>0</v>
      </c>
      <c r="Z468" s="76"/>
      <c r="AA468" s="37"/>
      <c r="AB468" s="86">
        <f>tbl_Actual_costs_quantities34[[#This Row],[Plastering Painting]]*BOQs!$L$7</f>
        <v>0</v>
      </c>
      <c r="AC468" s="76"/>
      <c r="AD468" s="37"/>
      <c r="AE468" s="86">
        <f>tbl_Actual_costs_quantities34[[#This Row],[Floor Repairs]]*BOQs!$L$8</f>
        <v>0</v>
      </c>
      <c r="AF468" s="76"/>
      <c r="AG468" s="37"/>
      <c r="AH468" s="86">
        <f>tbl_Actual_costs_quantities34[[#This Row],[Doors Replacement Repair]]*BOQs!$L$9</f>
        <v>0</v>
      </c>
      <c r="AI468" s="76"/>
      <c r="AJ468" s="37"/>
      <c r="AK468" s="86">
        <f>tbl_Actual_costs_quantities34[[#This Row],[Windows Replacement Repair]]*BOQs!$L$10</f>
        <v>0</v>
      </c>
      <c r="AL468" s="76"/>
      <c r="AM468" s="37"/>
      <c r="AN468" s="86">
        <f>tbl_Actual_costs_quantities34[[#This Row],[Bathroom Rehabilitation]]*BOQs!$L$11</f>
        <v>0</v>
      </c>
      <c r="AO468" s="76"/>
      <c r="AP468" s="37"/>
      <c r="AQ468" s="86">
        <f>tbl_Actual_costs_quantities34[[#This Row],[Ceramic Tile Works WASH]]*BOQs!$L$12</f>
        <v>0</v>
      </c>
      <c r="AR468" s="76"/>
      <c r="AS468" s="37"/>
      <c r="AT468" s="86">
        <f>tbl_Actual_costs_quantities34[[#This Row],[Electrical Repairs Lighting]]*BOQs!$L$13</f>
        <v>0</v>
      </c>
      <c r="AU468" s="76"/>
      <c r="AV468" s="37"/>
      <c r="AW468" s="86">
        <f>tbl_Actual_costs_quantities34[[#This Row],[Roof Insulation Leak Sealing]]*BOQs!$L$14</f>
        <v>0</v>
      </c>
      <c r="AX468" s="76"/>
      <c r="AY468" s="37"/>
      <c r="AZ468" s="86">
        <f>tbl_Actual_costs_quantities34[[#This Row],[Chimney Duct Cleaning Repair]]*BOQs!$L$15</f>
        <v>0</v>
      </c>
      <c r="BA468" s="76"/>
      <c r="BB468" s="37"/>
      <c r="BC468" s="89">
        <f>tbl_Actual_costs_quantities34[[#This Row],[Accessibility Adaptations]]*BOQs!$L$16</f>
        <v>0</v>
      </c>
      <c r="BD468" s="41"/>
      <c r="BE468" s="37"/>
      <c r="BF468" s="37"/>
    </row>
    <row r="469" spans="2:58" ht="25.15" customHeight="1" x14ac:dyDescent="0.25">
      <c r="B469" s="49">
        <v>465</v>
      </c>
      <c r="C469" s="37"/>
      <c r="D469" s="41"/>
      <c r="E469" s="40"/>
      <c r="F469" s="87" t="str">
        <f>IF(tbl_Actual_costs_quantities34[[#This Row],[House Code]]&lt;&gt;"",INDEX(tbl_Assessment[],MATCH(tbl_Actual_costs_quantities34[[#This Row],[House Code]],tbl_Assessment[House Code],0),3),"")</f>
        <v/>
      </c>
      <c r="G469" s="116" t="str">
        <f>IF(tbl_Actual_costs_quantities34[[#This Row],[House Code]]&lt;&gt;"",INDEX(tbl_Assessment[],MATCH(tbl_Actual_costs_quantities34[[#This Row],[House Code]],tbl_Assessment[House Code],0),9),"")</f>
        <v/>
      </c>
      <c r="H469" s="41"/>
      <c r="I469" s="41"/>
      <c r="J469" s="41"/>
      <c r="K469" s="116"/>
      <c r="L469" s="117" t="str">
        <f>IF(tbl_Actual_costs_quantities34[[#This Row],[House Code]]&lt;&gt;"",tbl_Actual_costs_quantities34[[#This Row],[Total cost]]/INDEX(tbl_estimated_costs_quantities[],MATCH(tbl_Actual_costs_quantities34[[#This Row],[House Code]],tbl_estimated_costs_quantities[House Code],0),7),"")</f>
        <v/>
      </c>
      <c r="M46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69" s="75"/>
      <c r="O469" s="37"/>
      <c r="P469" s="86">
        <f>tbl_Actual_costs_quantities34[[#This Row],[Site Preparation]]*BOQs!$L$3</f>
        <v>0</v>
      </c>
      <c r="Q469" s="76"/>
      <c r="R469" s="37"/>
      <c r="S469" s="86">
        <f>tbl_Actual_costs_quantities34[[#This Row],[Demolition Removal Unsafe Structures]]*BOQs!$L$4</f>
        <v>0</v>
      </c>
      <c r="T469" s="76"/>
      <c r="U469" s="37"/>
      <c r="V469" s="86">
        <f>tbl_Actual_costs_quantities34[[#This Row],[Concrete Works]]*BOQs!$L$5</f>
        <v>0</v>
      </c>
      <c r="W469" s="76"/>
      <c r="X469" s="37"/>
      <c r="Y469" s="86">
        <f>tbl_Actual_costs_quantities34[[#This Row],[Closure External Openings Walls Windows]]*BOQs!$L$6</f>
        <v>0</v>
      </c>
      <c r="Z469" s="76"/>
      <c r="AA469" s="37"/>
      <c r="AB469" s="86">
        <f>tbl_Actual_costs_quantities34[[#This Row],[Plastering Painting]]*BOQs!$L$7</f>
        <v>0</v>
      </c>
      <c r="AC469" s="76"/>
      <c r="AD469" s="37"/>
      <c r="AE469" s="86">
        <f>tbl_Actual_costs_quantities34[[#This Row],[Floor Repairs]]*BOQs!$L$8</f>
        <v>0</v>
      </c>
      <c r="AF469" s="76"/>
      <c r="AG469" s="37"/>
      <c r="AH469" s="86">
        <f>tbl_Actual_costs_quantities34[[#This Row],[Doors Replacement Repair]]*BOQs!$L$9</f>
        <v>0</v>
      </c>
      <c r="AI469" s="76"/>
      <c r="AJ469" s="37"/>
      <c r="AK469" s="86">
        <f>tbl_Actual_costs_quantities34[[#This Row],[Windows Replacement Repair]]*BOQs!$L$10</f>
        <v>0</v>
      </c>
      <c r="AL469" s="76"/>
      <c r="AM469" s="37"/>
      <c r="AN469" s="86">
        <f>tbl_Actual_costs_quantities34[[#This Row],[Bathroom Rehabilitation]]*BOQs!$L$11</f>
        <v>0</v>
      </c>
      <c r="AO469" s="76"/>
      <c r="AP469" s="37"/>
      <c r="AQ469" s="86">
        <f>tbl_Actual_costs_quantities34[[#This Row],[Ceramic Tile Works WASH]]*BOQs!$L$12</f>
        <v>0</v>
      </c>
      <c r="AR469" s="76"/>
      <c r="AS469" s="37"/>
      <c r="AT469" s="86">
        <f>tbl_Actual_costs_quantities34[[#This Row],[Electrical Repairs Lighting]]*BOQs!$L$13</f>
        <v>0</v>
      </c>
      <c r="AU469" s="76"/>
      <c r="AV469" s="37"/>
      <c r="AW469" s="86">
        <f>tbl_Actual_costs_quantities34[[#This Row],[Roof Insulation Leak Sealing]]*BOQs!$L$14</f>
        <v>0</v>
      </c>
      <c r="AX469" s="76"/>
      <c r="AY469" s="37"/>
      <c r="AZ469" s="86">
        <f>tbl_Actual_costs_quantities34[[#This Row],[Chimney Duct Cleaning Repair]]*BOQs!$L$15</f>
        <v>0</v>
      </c>
      <c r="BA469" s="76"/>
      <c r="BB469" s="37"/>
      <c r="BC469" s="89">
        <f>tbl_Actual_costs_quantities34[[#This Row],[Accessibility Adaptations]]*BOQs!$L$16</f>
        <v>0</v>
      </c>
      <c r="BD469" s="41"/>
      <c r="BE469" s="37"/>
      <c r="BF469" s="37"/>
    </row>
    <row r="470" spans="2:58" ht="25.15" customHeight="1" x14ac:dyDescent="0.25">
      <c r="B470" s="49">
        <v>466</v>
      </c>
      <c r="C470" s="37"/>
      <c r="D470" s="41"/>
      <c r="E470" s="40"/>
      <c r="F470" s="87" t="str">
        <f>IF(tbl_Actual_costs_quantities34[[#This Row],[House Code]]&lt;&gt;"",INDEX(tbl_Assessment[],MATCH(tbl_Actual_costs_quantities34[[#This Row],[House Code]],tbl_Assessment[House Code],0),3),"")</f>
        <v/>
      </c>
      <c r="G470" s="116" t="str">
        <f>IF(tbl_Actual_costs_quantities34[[#This Row],[House Code]]&lt;&gt;"",INDEX(tbl_Assessment[],MATCH(tbl_Actual_costs_quantities34[[#This Row],[House Code]],tbl_Assessment[House Code],0),9),"")</f>
        <v/>
      </c>
      <c r="H470" s="41"/>
      <c r="I470" s="41"/>
      <c r="J470" s="41"/>
      <c r="K470" s="116"/>
      <c r="L470" s="117" t="str">
        <f>IF(tbl_Actual_costs_quantities34[[#This Row],[House Code]]&lt;&gt;"",tbl_Actual_costs_quantities34[[#This Row],[Total cost]]/INDEX(tbl_estimated_costs_quantities[],MATCH(tbl_Actual_costs_quantities34[[#This Row],[House Code]],tbl_estimated_costs_quantities[House Code],0),7),"")</f>
        <v/>
      </c>
      <c r="M47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0" s="75"/>
      <c r="O470" s="37"/>
      <c r="P470" s="86">
        <f>tbl_Actual_costs_quantities34[[#This Row],[Site Preparation]]*BOQs!$L$3</f>
        <v>0</v>
      </c>
      <c r="Q470" s="76"/>
      <c r="R470" s="37"/>
      <c r="S470" s="86">
        <f>tbl_Actual_costs_quantities34[[#This Row],[Demolition Removal Unsafe Structures]]*BOQs!$L$4</f>
        <v>0</v>
      </c>
      <c r="T470" s="76"/>
      <c r="U470" s="37"/>
      <c r="V470" s="86">
        <f>tbl_Actual_costs_quantities34[[#This Row],[Concrete Works]]*BOQs!$L$5</f>
        <v>0</v>
      </c>
      <c r="W470" s="76"/>
      <c r="X470" s="37"/>
      <c r="Y470" s="86">
        <f>tbl_Actual_costs_quantities34[[#This Row],[Closure External Openings Walls Windows]]*BOQs!$L$6</f>
        <v>0</v>
      </c>
      <c r="Z470" s="76"/>
      <c r="AA470" s="37"/>
      <c r="AB470" s="86">
        <f>tbl_Actual_costs_quantities34[[#This Row],[Plastering Painting]]*BOQs!$L$7</f>
        <v>0</v>
      </c>
      <c r="AC470" s="76"/>
      <c r="AD470" s="37"/>
      <c r="AE470" s="86">
        <f>tbl_Actual_costs_quantities34[[#This Row],[Floor Repairs]]*BOQs!$L$8</f>
        <v>0</v>
      </c>
      <c r="AF470" s="76"/>
      <c r="AG470" s="37"/>
      <c r="AH470" s="86">
        <f>tbl_Actual_costs_quantities34[[#This Row],[Doors Replacement Repair]]*BOQs!$L$9</f>
        <v>0</v>
      </c>
      <c r="AI470" s="76"/>
      <c r="AJ470" s="37"/>
      <c r="AK470" s="86">
        <f>tbl_Actual_costs_quantities34[[#This Row],[Windows Replacement Repair]]*BOQs!$L$10</f>
        <v>0</v>
      </c>
      <c r="AL470" s="76"/>
      <c r="AM470" s="37"/>
      <c r="AN470" s="86">
        <f>tbl_Actual_costs_quantities34[[#This Row],[Bathroom Rehabilitation]]*BOQs!$L$11</f>
        <v>0</v>
      </c>
      <c r="AO470" s="76"/>
      <c r="AP470" s="37"/>
      <c r="AQ470" s="86">
        <f>tbl_Actual_costs_quantities34[[#This Row],[Ceramic Tile Works WASH]]*BOQs!$L$12</f>
        <v>0</v>
      </c>
      <c r="AR470" s="76"/>
      <c r="AS470" s="37"/>
      <c r="AT470" s="86">
        <f>tbl_Actual_costs_quantities34[[#This Row],[Electrical Repairs Lighting]]*BOQs!$L$13</f>
        <v>0</v>
      </c>
      <c r="AU470" s="76"/>
      <c r="AV470" s="37"/>
      <c r="AW470" s="86">
        <f>tbl_Actual_costs_quantities34[[#This Row],[Roof Insulation Leak Sealing]]*BOQs!$L$14</f>
        <v>0</v>
      </c>
      <c r="AX470" s="76"/>
      <c r="AY470" s="37"/>
      <c r="AZ470" s="86">
        <f>tbl_Actual_costs_quantities34[[#This Row],[Chimney Duct Cleaning Repair]]*BOQs!$L$15</f>
        <v>0</v>
      </c>
      <c r="BA470" s="76"/>
      <c r="BB470" s="37"/>
      <c r="BC470" s="89">
        <f>tbl_Actual_costs_quantities34[[#This Row],[Accessibility Adaptations]]*BOQs!$L$16</f>
        <v>0</v>
      </c>
      <c r="BD470" s="41"/>
      <c r="BE470" s="37"/>
      <c r="BF470" s="37"/>
    </row>
    <row r="471" spans="2:58" ht="25.15" customHeight="1" x14ac:dyDescent="0.25">
      <c r="B471" s="49">
        <v>467</v>
      </c>
      <c r="C471" s="37"/>
      <c r="D471" s="41"/>
      <c r="E471" s="40"/>
      <c r="F471" s="87" t="str">
        <f>IF(tbl_Actual_costs_quantities34[[#This Row],[House Code]]&lt;&gt;"",INDEX(tbl_Assessment[],MATCH(tbl_Actual_costs_quantities34[[#This Row],[House Code]],tbl_Assessment[House Code],0),3),"")</f>
        <v/>
      </c>
      <c r="G471" s="116" t="str">
        <f>IF(tbl_Actual_costs_quantities34[[#This Row],[House Code]]&lt;&gt;"",INDEX(tbl_Assessment[],MATCH(tbl_Actual_costs_quantities34[[#This Row],[House Code]],tbl_Assessment[House Code],0),9),"")</f>
        <v/>
      </c>
      <c r="H471" s="41"/>
      <c r="I471" s="41"/>
      <c r="J471" s="41"/>
      <c r="K471" s="116"/>
      <c r="L471" s="117" t="str">
        <f>IF(tbl_Actual_costs_quantities34[[#This Row],[House Code]]&lt;&gt;"",tbl_Actual_costs_quantities34[[#This Row],[Total cost]]/INDEX(tbl_estimated_costs_quantities[],MATCH(tbl_Actual_costs_quantities34[[#This Row],[House Code]],tbl_estimated_costs_quantities[House Code],0),7),"")</f>
        <v/>
      </c>
      <c r="M47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1" s="75"/>
      <c r="O471" s="37"/>
      <c r="P471" s="86">
        <f>tbl_Actual_costs_quantities34[[#This Row],[Site Preparation]]*BOQs!$L$3</f>
        <v>0</v>
      </c>
      <c r="Q471" s="76"/>
      <c r="R471" s="37"/>
      <c r="S471" s="86">
        <f>tbl_Actual_costs_quantities34[[#This Row],[Demolition Removal Unsafe Structures]]*BOQs!$L$4</f>
        <v>0</v>
      </c>
      <c r="T471" s="76"/>
      <c r="U471" s="37"/>
      <c r="V471" s="86">
        <f>tbl_Actual_costs_quantities34[[#This Row],[Concrete Works]]*BOQs!$L$5</f>
        <v>0</v>
      </c>
      <c r="W471" s="76"/>
      <c r="X471" s="37"/>
      <c r="Y471" s="86">
        <f>tbl_Actual_costs_quantities34[[#This Row],[Closure External Openings Walls Windows]]*BOQs!$L$6</f>
        <v>0</v>
      </c>
      <c r="Z471" s="76"/>
      <c r="AA471" s="37"/>
      <c r="AB471" s="86">
        <f>tbl_Actual_costs_quantities34[[#This Row],[Plastering Painting]]*BOQs!$L$7</f>
        <v>0</v>
      </c>
      <c r="AC471" s="76"/>
      <c r="AD471" s="37"/>
      <c r="AE471" s="86">
        <f>tbl_Actual_costs_quantities34[[#This Row],[Floor Repairs]]*BOQs!$L$8</f>
        <v>0</v>
      </c>
      <c r="AF471" s="76"/>
      <c r="AG471" s="37"/>
      <c r="AH471" s="86">
        <f>tbl_Actual_costs_quantities34[[#This Row],[Doors Replacement Repair]]*BOQs!$L$9</f>
        <v>0</v>
      </c>
      <c r="AI471" s="76"/>
      <c r="AJ471" s="37"/>
      <c r="AK471" s="86">
        <f>tbl_Actual_costs_quantities34[[#This Row],[Windows Replacement Repair]]*BOQs!$L$10</f>
        <v>0</v>
      </c>
      <c r="AL471" s="76"/>
      <c r="AM471" s="37"/>
      <c r="AN471" s="86">
        <f>tbl_Actual_costs_quantities34[[#This Row],[Bathroom Rehabilitation]]*BOQs!$L$11</f>
        <v>0</v>
      </c>
      <c r="AO471" s="76"/>
      <c r="AP471" s="37"/>
      <c r="AQ471" s="86">
        <f>tbl_Actual_costs_quantities34[[#This Row],[Ceramic Tile Works WASH]]*BOQs!$L$12</f>
        <v>0</v>
      </c>
      <c r="AR471" s="76"/>
      <c r="AS471" s="37"/>
      <c r="AT471" s="86">
        <f>tbl_Actual_costs_quantities34[[#This Row],[Electrical Repairs Lighting]]*BOQs!$L$13</f>
        <v>0</v>
      </c>
      <c r="AU471" s="76"/>
      <c r="AV471" s="37"/>
      <c r="AW471" s="86">
        <f>tbl_Actual_costs_quantities34[[#This Row],[Roof Insulation Leak Sealing]]*BOQs!$L$14</f>
        <v>0</v>
      </c>
      <c r="AX471" s="76"/>
      <c r="AY471" s="37"/>
      <c r="AZ471" s="86">
        <f>tbl_Actual_costs_quantities34[[#This Row],[Chimney Duct Cleaning Repair]]*BOQs!$L$15</f>
        <v>0</v>
      </c>
      <c r="BA471" s="76"/>
      <c r="BB471" s="37"/>
      <c r="BC471" s="89">
        <f>tbl_Actual_costs_quantities34[[#This Row],[Accessibility Adaptations]]*BOQs!$L$16</f>
        <v>0</v>
      </c>
      <c r="BD471" s="41"/>
      <c r="BE471" s="37"/>
      <c r="BF471" s="37"/>
    </row>
    <row r="472" spans="2:58" ht="25.15" customHeight="1" x14ac:dyDescent="0.25">
      <c r="B472" s="49">
        <v>468</v>
      </c>
      <c r="C472" s="37"/>
      <c r="D472" s="41"/>
      <c r="E472" s="40"/>
      <c r="F472" s="87" t="str">
        <f>IF(tbl_Actual_costs_quantities34[[#This Row],[House Code]]&lt;&gt;"",INDEX(tbl_Assessment[],MATCH(tbl_Actual_costs_quantities34[[#This Row],[House Code]],tbl_Assessment[House Code],0),3),"")</f>
        <v/>
      </c>
      <c r="G472" s="116" t="str">
        <f>IF(tbl_Actual_costs_quantities34[[#This Row],[House Code]]&lt;&gt;"",INDEX(tbl_Assessment[],MATCH(tbl_Actual_costs_quantities34[[#This Row],[House Code]],tbl_Assessment[House Code],0),9),"")</f>
        <v/>
      </c>
      <c r="H472" s="41"/>
      <c r="I472" s="41"/>
      <c r="J472" s="41"/>
      <c r="K472" s="116"/>
      <c r="L472" s="117" t="str">
        <f>IF(tbl_Actual_costs_quantities34[[#This Row],[House Code]]&lt;&gt;"",tbl_Actual_costs_quantities34[[#This Row],[Total cost]]/INDEX(tbl_estimated_costs_quantities[],MATCH(tbl_Actual_costs_quantities34[[#This Row],[House Code]],tbl_estimated_costs_quantities[House Code],0),7),"")</f>
        <v/>
      </c>
      <c r="M47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2" s="75"/>
      <c r="O472" s="37"/>
      <c r="P472" s="86">
        <f>tbl_Actual_costs_quantities34[[#This Row],[Site Preparation]]*BOQs!$L$3</f>
        <v>0</v>
      </c>
      <c r="Q472" s="76"/>
      <c r="R472" s="37"/>
      <c r="S472" s="86">
        <f>tbl_Actual_costs_quantities34[[#This Row],[Demolition Removal Unsafe Structures]]*BOQs!$L$4</f>
        <v>0</v>
      </c>
      <c r="T472" s="76"/>
      <c r="U472" s="37"/>
      <c r="V472" s="86">
        <f>tbl_Actual_costs_quantities34[[#This Row],[Concrete Works]]*BOQs!$L$5</f>
        <v>0</v>
      </c>
      <c r="W472" s="76"/>
      <c r="X472" s="37"/>
      <c r="Y472" s="86">
        <f>tbl_Actual_costs_quantities34[[#This Row],[Closure External Openings Walls Windows]]*BOQs!$L$6</f>
        <v>0</v>
      </c>
      <c r="Z472" s="76"/>
      <c r="AA472" s="37"/>
      <c r="AB472" s="86">
        <f>tbl_Actual_costs_quantities34[[#This Row],[Plastering Painting]]*BOQs!$L$7</f>
        <v>0</v>
      </c>
      <c r="AC472" s="76"/>
      <c r="AD472" s="37"/>
      <c r="AE472" s="86">
        <f>tbl_Actual_costs_quantities34[[#This Row],[Floor Repairs]]*BOQs!$L$8</f>
        <v>0</v>
      </c>
      <c r="AF472" s="76"/>
      <c r="AG472" s="37"/>
      <c r="AH472" s="86">
        <f>tbl_Actual_costs_quantities34[[#This Row],[Doors Replacement Repair]]*BOQs!$L$9</f>
        <v>0</v>
      </c>
      <c r="AI472" s="76"/>
      <c r="AJ472" s="37"/>
      <c r="AK472" s="86">
        <f>tbl_Actual_costs_quantities34[[#This Row],[Windows Replacement Repair]]*BOQs!$L$10</f>
        <v>0</v>
      </c>
      <c r="AL472" s="76"/>
      <c r="AM472" s="37"/>
      <c r="AN472" s="86">
        <f>tbl_Actual_costs_quantities34[[#This Row],[Bathroom Rehabilitation]]*BOQs!$L$11</f>
        <v>0</v>
      </c>
      <c r="AO472" s="76"/>
      <c r="AP472" s="37"/>
      <c r="AQ472" s="86">
        <f>tbl_Actual_costs_quantities34[[#This Row],[Ceramic Tile Works WASH]]*BOQs!$L$12</f>
        <v>0</v>
      </c>
      <c r="AR472" s="76"/>
      <c r="AS472" s="37"/>
      <c r="AT472" s="86">
        <f>tbl_Actual_costs_quantities34[[#This Row],[Electrical Repairs Lighting]]*BOQs!$L$13</f>
        <v>0</v>
      </c>
      <c r="AU472" s="76"/>
      <c r="AV472" s="37"/>
      <c r="AW472" s="86">
        <f>tbl_Actual_costs_quantities34[[#This Row],[Roof Insulation Leak Sealing]]*BOQs!$L$14</f>
        <v>0</v>
      </c>
      <c r="AX472" s="76"/>
      <c r="AY472" s="37"/>
      <c r="AZ472" s="86">
        <f>tbl_Actual_costs_quantities34[[#This Row],[Chimney Duct Cleaning Repair]]*BOQs!$L$15</f>
        <v>0</v>
      </c>
      <c r="BA472" s="76"/>
      <c r="BB472" s="37"/>
      <c r="BC472" s="89">
        <f>tbl_Actual_costs_quantities34[[#This Row],[Accessibility Adaptations]]*BOQs!$L$16</f>
        <v>0</v>
      </c>
      <c r="BD472" s="41"/>
      <c r="BE472" s="37"/>
      <c r="BF472" s="37"/>
    </row>
    <row r="473" spans="2:58" ht="25.15" customHeight="1" x14ac:dyDescent="0.25">
      <c r="B473" s="49">
        <v>469</v>
      </c>
      <c r="C473" s="37"/>
      <c r="D473" s="41"/>
      <c r="E473" s="40"/>
      <c r="F473" s="87" t="str">
        <f>IF(tbl_Actual_costs_quantities34[[#This Row],[House Code]]&lt;&gt;"",INDEX(tbl_Assessment[],MATCH(tbl_Actual_costs_quantities34[[#This Row],[House Code]],tbl_Assessment[House Code],0),3),"")</f>
        <v/>
      </c>
      <c r="G473" s="116" t="str">
        <f>IF(tbl_Actual_costs_quantities34[[#This Row],[House Code]]&lt;&gt;"",INDEX(tbl_Assessment[],MATCH(tbl_Actual_costs_quantities34[[#This Row],[House Code]],tbl_Assessment[House Code],0),9),"")</f>
        <v/>
      </c>
      <c r="H473" s="41"/>
      <c r="I473" s="41"/>
      <c r="J473" s="41"/>
      <c r="K473" s="116"/>
      <c r="L473" s="117" t="str">
        <f>IF(tbl_Actual_costs_quantities34[[#This Row],[House Code]]&lt;&gt;"",tbl_Actual_costs_quantities34[[#This Row],[Total cost]]/INDEX(tbl_estimated_costs_quantities[],MATCH(tbl_Actual_costs_quantities34[[#This Row],[House Code]],tbl_estimated_costs_quantities[House Code],0),7),"")</f>
        <v/>
      </c>
      <c r="M47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3" s="75"/>
      <c r="O473" s="37"/>
      <c r="P473" s="86">
        <f>tbl_Actual_costs_quantities34[[#This Row],[Site Preparation]]*BOQs!$L$3</f>
        <v>0</v>
      </c>
      <c r="Q473" s="76"/>
      <c r="R473" s="37"/>
      <c r="S473" s="86">
        <f>tbl_Actual_costs_quantities34[[#This Row],[Demolition Removal Unsafe Structures]]*BOQs!$L$4</f>
        <v>0</v>
      </c>
      <c r="T473" s="76"/>
      <c r="U473" s="37"/>
      <c r="V473" s="86">
        <f>tbl_Actual_costs_quantities34[[#This Row],[Concrete Works]]*BOQs!$L$5</f>
        <v>0</v>
      </c>
      <c r="W473" s="76"/>
      <c r="X473" s="37"/>
      <c r="Y473" s="86">
        <f>tbl_Actual_costs_quantities34[[#This Row],[Closure External Openings Walls Windows]]*BOQs!$L$6</f>
        <v>0</v>
      </c>
      <c r="Z473" s="76"/>
      <c r="AA473" s="37"/>
      <c r="AB473" s="86">
        <f>tbl_Actual_costs_quantities34[[#This Row],[Plastering Painting]]*BOQs!$L$7</f>
        <v>0</v>
      </c>
      <c r="AC473" s="76"/>
      <c r="AD473" s="37"/>
      <c r="AE473" s="86">
        <f>tbl_Actual_costs_quantities34[[#This Row],[Floor Repairs]]*BOQs!$L$8</f>
        <v>0</v>
      </c>
      <c r="AF473" s="76"/>
      <c r="AG473" s="37"/>
      <c r="AH473" s="86">
        <f>tbl_Actual_costs_quantities34[[#This Row],[Doors Replacement Repair]]*BOQs!$L$9</f>
        <v>0</v>
      </c>
      <c r="AI473" s="76"/>
      <c r="AJ473" s="37"/>
      <c r="AK473" s="86">
        <f>tbl_Actual_costs_quantities34[[#This Row],[Windows Replacement Repair]]*BOQs!$L$10</f>
        <v>0</v>
      </c>
      <c r="AL473" s="76"/>
      <c r="AM473" s="37"/>
      <c r="AN473" s="86">
        <f>tbl_Actual_costs_quantities34[[#This Row],[Bathroom Rehabilitation]]*BOQs!$L$11</f>
        <v>0</v>
      </c>
      <c r="AO473" s="76"/>
      <c r="AP473" s="37"/>
      <c r="AQ473" s="86">
        <f>tbl_Actual_costs_quantities34[[#This Row],[Ceramic Tile Works WASH]]*BOQs!$L$12</f>
        <v>0</v>
      </c>
      <c r="AR473" s="76"/>
      <c r="AS473" s="37"/>
      <c r="AT473" s="86">
        <f>tbl_Actual_costs_quantities34[[#This Row],[Electrical Repairs Lighting]]*BOQs!$L$13</f>
        <v>0</v>
      </c>
      <c r="AU473" s="76"/>
      <c r="AV473" s="37"/>
      <c r="AW473" s="86">
        <f>tbl_Actual_costs_quantities34[[#This Row],[Roof Insulation Leak Sealing]]*BOQs!$L$14</f>
        <v>0</v>
      </c>
      <c r="AX473" s="76"/>
      <c r="AY473" s="37"/>
      <c r="AZ473" s="86">
        <f>tbl_Actual_costs_quantities34[[#This Row],[Chimney Duct Cleaning Repair]]*BOQs!$L$15</f>
        <v>0</v>
      </c>
      <c r="BA473" s="76"/>
      <c r="BB473" s="37"/>
      <c r="BC473" s="89">
        <f>tbl_Actual_costs_quantities34[[#This Row],[Accessibility Adaptations]]*BOQs!$L$16</f>
        <v>0</v>
      </c>
      <c r="BD473" s="41"/>
      <c r="BE473" s="37"/>
      <c r="BF473" s="37"/>
    </row>
    <row r="474" spans="2:58" ht="25.15" customHeight="1" x14ac:dyDescent="0.25">
      <c r="B474" s="49">
        <v>470</v>
      </c>
      <c r="C474" s="37"/>
      <c r="D474" s="41"/>
      <c r="E474" s="40"/>
      <c r="F474" s="87" t="str">
        <f>IF(tbl_Actual_costs_quantities34[[#This Row],[House Code]]&lt;&gt;"",INDEX(tbl_Assessment[],MATCH(tbl_Actual_costs_quantities34[[#This Row],[House Code]],tbl_Assessment[House Code],0),3),"")</f>
        <v/>
      </c>
      <c r="G474" s="116" t="str">
        <f>IF(tbl_Actual_costs_quantities34[[#This Row],[House Code]]&lt;&gt;"",INDEX(tbl_Assessment[],MATCH(tbl_Actual_costs_quantities34[[#This Row],[House Code]],tbl_Assessment[House Code],0),9),"")</f>
        <v/>
      </c>
      <c r="H474" s="41"/>
      <c r="I474" s="41"/>
      <c r="J474" s="41"/>
      <c r="K474" s="116"/>
      <c r="L474" s="117" t="str">
        <f>IF(tbl_Actual_costs_quantities34[[#This Row],[House Code]]&lt;&gt;"",tbl_Actual_costs_quantities34[[#This Row],[Total cost]]/INDEX(tbl_estimated_costs_quantities[],MATCH(tbl_Actual_costs_quantities34[[#This Row],[House Code]],tbl_estimated_costs_quantities[House Code],0),7),"")</f>
        <v/>
      </c>
      <c r="M47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4" s="75"/>
      <c r="O474" s="37"/>
      <c r="P474" s="86">
        <f>tbl_Actual_costs_quantities34[[#This Row],[Site Preparation]]*BOQs!$L$3</f>
        <v>0</v>
      </c>
      <c r="Q474" s="76"/>
      <c r="R474" s="37"/>
      <c r="S474" s="86">
        <f>tbl_Actual_costs_quantities34[[#This Row],[Demolition Removal Unsafe Structures]]*BOQs!$L$4</f>
        <v>0</v>
      </c>
      <c r="T474" s="76"/>
      <c r="U474" s="37"/>
      <c r="V474" s="86">
        <f>tbl_Actual_costs_quantities34[[#This Row],[Concrete Works]]*BOQs!$L$5</f>
        <v>0</v>
      </c>
      <c r="W474" s="76"/>
      <c r="X474" s="37"/>
      <c r="Y474" s="86">
        <f>tbl_Actual_costs_quantities34[[#This Row],[Closure External Openings Walls Windows]]*BOQs!$L$6</f>
        <v>0</v>
      </c>
      <c r="Z474" s="76"/>
      <c r="AA474" s="37"/>
      <c r="AB474" s="86">
        <f>tbl_Actual_costs_quantities34[[#This Row],[Plastering Painting]]*BOQs!$L$7</f>
        <v>0</v>
      </c>
      <c r="AC474" s="76"/>
      <c r="AD474" s="37"/>
      <c r="AE474" s="86">
        <f>tbl_Actual_costs_quantities34[[#This Row],[Floor Repairs]]*BOQs!$L$8</f>
        <v>0</v>
      </c>
      <c r="AF474" s="76"/>
      <c r="AG474" s="37"/>
      <c r="AH474" s="86">
        <f>tbl_Actual_costs_quantities34[[#This Row],[Doors Replacement Repair]]*BOQs!$L$9</f>
        <v>0</v>
      </c>
      <c r="AI474" s="76"/>
      <c r="AJ474" s="37"/>
      <c r="AK474" s="86">
        <f>tbl_Actual_costs_quantities34[[#This Row],[Windows Replacement Repair]]*BOQs!$L$10</f>
        <v>0</v>
      </c>
      <c r="AL474" s="76"/>
      <c r="AM474" s="37"/>
      <c r="AN474" s="86">
        <f>tbl_Actual_costs_quantities34[[#This Row],[Bathroom Rehabilitation]]*BOQs!$L$11</f>
        <v>0</v>
      </c>
      <c r="AO474" s="76"/>
      <c r="AP474" s="37"/>
      <c r="AQ474" s="86">
        <f>tbl_Actual_costs_quantities34[[#This Row],[Ceramic Tile Works WASH]]*BOQs!$L$12</f>
        <v>0</v>
      </c>
      <c r="AR474" s="76"/>
      <c r="AS474" s="37"/>
      <c r="AT474" s="86">
        <f>tbl_Actual_costs_quantities34[[#This Row],[Electrical Repairs Lighting]]*BOQs!$L$13</f>
        <v>0</v>
      </c>
      <c r="AU474" s="76"/>
      <c r="AV474" s="37"/>
      <c r="AW474" s="86">
        <f>tbl_Actual_costs_quantities34[[#This Row],[Roof Insulation Leak Sealing]]*BOQs!$L$14</f>
        <v>0</v>
      </c>
      <c r="AX474" s="76"/>
      <c r="AY474" s="37"/>
      <c r="AZ474" s="86">
        <f>tbl_Actual_costs_quantities34[[#This Row],[Chimney Duct Cleaning Repair]]*BOQs!$L$15</f>
        <v>0</v>
      </c>
      <c r="BA474" s="76"/>
      <c r="BB474" s="37"/>
      <c r="BC474" s="89">
        <f>tbl_Actual_costs_quantities34[[#This Row],[Accessibility Adaptations]]*BOQs!$L$16</f>
        <v>0</v>
      </c>
      <c r="BD474" s="41"/>
      <c r="BE474" s="37"/>
      <c r="BF474" s="37"/>
    </row>
    <row r="475" spans="2:58" ht="25.15" customHeight="1" x14ac:dyDescent="0.25">
      <c r="B475" s="49">
        <v>471</v>
      </c>
      <c r="C475" s="37"/>
      <c r="D475" s="41"/>
      <c r="E475" s="40"/>
      <c r="F475" s="87" t="str">
        <f>IF(tbl_Actual_costs_quantities34[[#This Row],[House Code]]&lt;&gt;"",INDEX(tbl_Assessment[],MATCH(tbl_Actual_costs_quantities34[[#This Row],[House Code]],tbl_Assessment[House Code],0),3),"")</f>
        <v/>
      </c>
      <c r="G475" s="116" t="str">
        <f>IF(tbl_Actual_costs_quantities34[[#This Row],[House Code]]&lt;&gt;"",INDEX(tbl_Assessment[],MATCH(tbl_Actual_costs_quantities34[[#This Row],[House Code]],tbl_Assessment[House Code],0),9),"")</f>
        <v/>
      </c>
      <c r="H475" s="41"/>
      <c r="I475" s="41"/>
      <c r="J475" s="41"/>
      <c r="K475" s="116"/>
      <c r="L475" s="117" t="str">
        <f>IF(tbl_Actual_costs_quantities34[[#This Row],[House Code]]&lt;&gt;"",tbl_Actual_costs_quantities34[[#This Row],[Total cost]]/INDEX(tbl_estimated_costs_quantities[],MATCH(tbl_Actual_costs_quantities34[[#This Row],[House Code]],tbl_estimated_costs_quantities[House Code],0),7),"")</f>
        <v/>
      </c>
      <c r="M47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5" s="75"/>
      <c r="O475" s="37"/>
      <c r="P475" s="86">
        <f>tbl_Actual_costs_quantities34[[#This Row],[Site Preparation]]*BOQs!$L$3</f>
        <v>0</v>
      </c>
      <c r="Q475" s="76"/>
      <c r="R475" s="37"/>
      <c r="S475" s="86">
        <f>tbl_Actual_costs_quantities34[[#This Row],[Demolition Removal Unsafe Structures]]*BOQs!$L$4</f>
        <v>0</v>
      </c>
      <c r="T475" s="76"/>
      <c r="U475" s="37"/>
      <c r="V475" s="86">
        <f>tbl_Actual_costs_quantities34[[#This Row],[Concrete Works]]*BOQs!$L$5</f>
        <v>0</v>
      </c>
      <c r="W475" s="76"/>
      <c r="X475" s="37"/>
      <c r="Y475" s="86">
        <f>tbl_Actual_costs_quantities34[[#This Row],[Closure External Openings Walls Windows]]*BOQs!$L$6</f>
        <v>0</v>
      </c>
      <c r="Z475" s="76"/>
      <c r="AA475" s="37"/>
      <c r="AB475" s="86">
        <f>tbl_Actual_costs_quantities34[[#This Row],[Plastering Painting]]*BOQs!$L$7</f>
        <v>0</v>
      </c>
      <c r="AC475" s="76"/>
      <c r="AD475" s="37"/>
      <c r="AE475" s="86">
        <f>tbl_Actual_costs_quantities34[[#This Row],[Floor Repairs]]*BOQs!$L$8</f>
        <v>0</v>
      </c>
      <c r="AF475" s="76"/>
      <c r="AG475" s="37"/>
      <c r="AH475" s="86">
        <f>tbl_Actual_costs_quantities34[[#This Row],[Doors Replacement Repair]]*BOQs!$L$9</f>
        <v>0</v>
      </c>
      <c r="AI475" s="76"/>
      <c r="AJ475" s="37"/>
      <c r="AK475" s="86">
        <f>tbl_Actual_costs_quantities34[[#This Row],[Windows Replacement Repair]]*BOQs!$L$10</f>
        <v>0</v>
      </c>
      <c r="AL475" s="76"/>
      <c r="AM475" s="37"/>
      <c r="AN475" s="86">
        <f>tbl_Actual_costs_quantities34[[#This Row],[Bathroom Rehabilitation]]*BOQs!$L$11</f>
        <v>0</v>
      </c>
      <c r="AO475" s="76"/>
      <c r="AP475" s="37"/>
      <c r="AQ475" s="86">
        <f>tbl_Actual_costs_quantities34[[#This Row],[Ceramic Tile Works WASH]]*BOQs!$L$12</f>
        <v>0</v>
      </c>
      <c r="AR475" s="76"/>
      <c r="AS475" s="37"/>
      <c r="AT475" s="86">
        <f>tbl_Actual_costs_quantities34[[#This Row],[Electrical Repairs Lighting]]*BOQs!$L$13</f>
        <v>0</v>
      </c>
      <c r="AU475" s="76"/>
      <c r="AV475" s="37"/>
      <c r="AW475" s="86">
        <f>tbl_Actual_costs_quantities34[[#This Row],[Roof Insulation Leak Sealing]]*BOQs!$L$14</f>
        <v>0</v>
      </c>
      <c r="AX475" s="76"/>
      <c r="AY475" s="37"/>
      <c r="AZ475" s="86">
        <f>tbl_Actual_costs_quantities34[[#This Row],[Chimney Duct Cleaning Repair]]*BOQs!$L$15</f>
        <v>0</v>
      </c>
      <c r="BA475" s="76"/>
      <c r="BB475" s="37"/>
      <c r="BC475" s="89">
        <f>tbl_Actual_costs_quantities34[[#This Row],[Accessibility Adaptations]]*BOQs!$L$16</f>
        <v>0</v>
      </c>
      <c r="BD475" s="41"/>
      <c r="BE475" s="37"/>
      <c r="BF475" s="37"/>
    </row>
    <row r="476" spans="2:58" ht="25.15" customHeight="1" x14ac:dyDescent="0.25">
      <c r="B476" s="49">
        <v>472</v>
      </c>
      <c r="C476" s="37"/>
      <c r="D476" s="41"/>
      <c r="E476" s="40"/>
      <c r="F476" s="87" t="str">
        <f>IF(tbl_Actual_costs_quantities34[[#This Row],[House Code]]&lt;&gt;"",INDEX(tbl_Assessment[],MATCH(tbl_Actual_costs_quantities34[[#This Row],[House Code]],tbl_Assessment[House Code],0),3),"")</f>
        <v/>
      </c>
      <c r="G476" s="116" t="str">
        <f>IF(tbl_Actual_costs_quantities34[[#This Row],[House Code]]&lt;&gt;"",INDEX(tbl_Assessment[],MATCH(tbl_Actual_costs_quantities34[[#This Row],[House Code]],tbl_Assessment[House Code],0),9),"")</f>
        <v/>
      </c>
      <c r="H476" s="41"/>
      <c r="I476" s="41"/>
      <c r="J476" s="41"/>
      <c r="K476" s="116"/>
      <c r="L476" s="117" t="str">
        <f>IF(tbl_Actual_costs_quantities34[[#This Row],[House Code]]&lt;&gt;"",tbl_Actual_costs_quantities34[[#This Row],[Total cost]]/INDEX(tbl_estimated_costs_quantities[],MATCH(tbl_Actual_costs_quantities34[[#This Row],[House Code]],tbl_estimated_costs_quantities[House Code],0),7),"")</f>
        <v/>
      </c>
      <c r="M47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6" s="75"/>
      <c r="O476" s="37"/>
      <c r="P476" s="86">
        <f>tbl_Actual_costs_quantities34[[#This Row],[Site Preparation]]*BOQs!$L$3</f>
        <v>0</v>
      </c>
      <c r="Q476" s="76"/>
      <c r="R476" s="37"/>
      <c r="S476" s="86">
        <f>tbl_Actual_costs_quantities34[[#This Row],[Demolition Removal Unsafe Structures]]*BOQs!$L$4</f>
        <v>0</v>
      </c>
      <c r="T476" s="76"/>
      <c r="U476" s="37"/>
      <c r="V476" s="86">
        <f>tbl_Actual_costs_quantities34[[#This Row],[Concrete Works]]*BOQs!$L$5</f>
        <v>0</v>
      </c>
      <c r="W476" s="76"/>
      <c r="X476" s="37"/>
      <c r="Y476" s="86">
        <f>tbl_Actual_costs_quantities34[[#This Row],[Closure External Openings Walls Windows]]*BOQs!$L$6</f>
        <v>0</v>
      </c>
      <c r="Z476" s="76"/>
      <c r="AA476" s="37"/>
      <c r="AB476" s="86">
        <f>tbl_Actual_costs_quantities34[[#This Row],[Plastering Painting]]*BOQs!$L$7</f>
        <v>0</v>
      </c>
      <c r="AC476" s="76"/>
      <c r="AD476" s="37"/>
      <c r="AE476" s="86">
        <f>tbl_Actual_costs_quantities34[[#This Row],[Floor Repairs]]*BOQs!$L$8</f>
        <v>0</v>
      </c>
      <c r="AF476" s="76"/>
      <c r="AG476" s="37"/>
      <c r="AH476" s="86">
        <f>tbl_Actual_costs_quantities34[[#This Row],[Doors Replacement Repair]]*BOQs!$L$9</f>
        <v>0</v>
      </c>
      <c r="AI476" s="76"/>
      <c r="AJ476" s="37"/>
      <c r="AK476" s="86">
        <f>tbl_Actual_costs_quantities34[[#This Row],[Windows Replacement Repair]]*BOQs!$L$10</f>
        <v>0</v>
      </c>
      <c r="AL476" s="76"/>
      <c r="AM476" s="37"/>
      <c r="AN476" s="86">
        <f>tbl_Actual_costs_quantities34[[#This Row],[Bathroom Rehabilitation]]*BOQs!$L$11</f>
        <v>0</v>
      </c>
      <c r="AO476" s="76"/>
      <c r="AP476" s="37"/>
      <c r="AQ476" s="86">
        <f>tbl_Actual_costs_quantities34[[#This Row],[Ceramic Tile Works WASH]]*BOQs!$L$12</f>
        <v>0</v>
      </c>
      <c r="AR476" s="76"/>
      <c r="AS476" s="37"/>
      <c r="AT476" s="86">
        <f>tbl_Actual_costs_quantities34[[#This Row],[Electrical Repairs Lighting]]*BOQs!$L$13</f>
        <v>0</v>
      </c>
      <c r="AU476" s="76"/>
      <c r="AV476" s="37"/>
      <c r="AW476" s="86">
        <f>tbl_Actual_costs_quantities34[[#This Row],[Roof Insulation Leak Sealing]]*BOQs!$L$14</f>
        <v>0</v>
      </c>
      <c r="AX476" s="76"/>
      <c r="AY476" s="37"/>
      <c r="AZ476" s="86">
        <f>tbl_Actual_costs_quantities34[[#This Row],[Chimney Duct Cleaning Repair]]*BOQs!$L$15</f>
        <v>0</v>
      </c>
      <c r="BA476" s="76"/>
      <c r="BB476" s="37"/>
      <c r="BC476" s="89">
        <f>tbl_Actual_costs_quantities34[[#This Row],[Accessibility Adaptations]]*BOQs!$L$16</f>
        <v>0</v>
      </c>
      <c r="BD476" s="41"/>
      <c r="BE476" s="37"/>
      <c r="BF476" s="37"/>
    </row>
    <row r="477" spans="2:58" ht="25.15" customHeight="1" x14ac:dyDescent="0.25">
      <c r="B477" s="49">
        <v>473</v>
      </c>
      <c r="C477" s="37"/>
      <c r="D477" s="41"/>
      <c r="E477" s="40"/>
      <c r="F477" s="87" t="str">
        <f>IF(tbl_Actual_costs_quantities34[[#This Row],[House Code]]&lt;&gt;"",INDEX(tbl_Assessment[],MATCH(tbl_Actual_costs_quantities34[[#This Row],[House Code]],tbl_Assessment[House Code],0),3),"")</f>
        <v/>
      </c>
      <c r="G477" s="116" t="str">
        <f>IF(tbl_Actual_costs_quantities34[[#This Row],[House Code]]&lt;&gt;"",INDEX(tbl_Assessment[],MATCH(tbl_Actual_costs_quantities34[[#This Row],[House Code]],tbl_Assessment[House Code],0),9),"")</f>
        <v/>
      </c>
      <c r="H477" s="41"/>
      <c r="I477" s="41"/>
      <c r="J477" s="41"/>
      <c r="K477" s="116"/>
      <c r="L477" s="117" t="str">
        <f>IF(tbl_Actual_costs_quantities34[[#This Row],[House Code]]&lt;&gt;"",tbl_Actual_costs_quantities34[[#This Row],[Total cost]]/INDEX(tbl_estimated_costs_quantities[],MATCH(tbl_Actual_costs_quantities34[[#This Row],[House Code]],tbl_estimated_costs_quantities[House Code],0),7),"")</f>
        <v/>
      </c>
      <c r="M47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7" s="75"/>
      <c r="O477" s="37"/>
      <c r="P477" s="86">
        <f>tbl_Actual_costs_quantities34[[#This Row],[Site Preparation]]*BOQs!$L$3</f>
        <v>0</v>
      </c>
      <c r="Q477" s="76"/>
      <c r="R477" s="37"/>
      <c r="S477" s="86">
        <f>tbl_Actual_costs_quantities34[[#This Row],[Demolition Removal Unsafe Structures]]*BOQs!$L$4</f>
        <v>0</v>
      </c>
      <c r="T477" s="76"/>
      <c r="U477" s="37"/>
      <c r="V477" s="86">
        <f>tbl_Actual_costs_quantities34[[#This Row],[Concrete Works]]*BOQs!$L$5</f>
        <v>0</v>
      </c>
      <c r="W477" s="76"/>
      <c r="X477" s="37"/>
      <c r="Y477" s="86">
        <f>tbl_Actual_costs_quantities34[[#This Row],[Closure External Openings Walls Windows]]*BOQs!$L$6</f>
        <v>0</v>
      </c>
      <c r="Z477" s="76"/>
      <c r="AA477" s="37"/>
      <c r="AB477" s="86">
        <f>tbl_Actual_costs_quantities34[[#This Row],[Plastering Painting]]*BOQs!$L$7</f>
        <v>0</v>
      </c>
      <c r="AC477" s="76"/>
      <c r="AD477" s="37"/>
      <c r="AE477" s="86">
        <f>tbl_Actual_costs_quantities34[[#This Row],[Floor Repairs]]*BOQs!$L$8</f>
        <v>0</v>
      </c>
      <c r="AF477" s="76"/>
      <c r="AG477" s="37"/>
      <c r="AH477" s="86">
        <f>tbl_Actual_costs_quantities34[[#This Row],[Doors Replacement Repair]]*BOQs!$L$9</f>
        <v>0</v>
      </c>
      <c r="AI477" s="76"/>
      <c r="AJ477" s="37"/>
      <c r="AK477" s="86">
        <f>tbl_Actual_costs_quantities34[[#This Row],[Windows Replacement Repair]]*BOQs!$L$10</f>
        <v>0</v>
      </c>
      <c r="AL477" s="76"/>
      <c r="AM477" s="37"/>
      <c r="AN477" s="86">
        <f>tbl_Actual_costs_quantities34[[#This Row],[Bathroom Rehabilitation]]*BOQs!$L$11</f>
        <v>0</v>
      </c>
      <c r="AO477" s="76"/>
      <c r="AP477" s="37"/>
      <c r="AQ477" s="86">
        <f>tbl_Actual_costs_quantities34[[#This Row],[Ceramic Tile Works WASH]]*BOQs!$L$12</f>
        <v>0</v>
      </c>
      <c r="AR477" s="76"/>
      <c r="AS477" s="37"/>
      <c r="AT477" s="86">
        <f>tbl_Actual_costs_quantities34[[#This Row],[Electrical Repairs Lighting]]*BOQs!$L$13</f>
        <v>0</v>
      </c>
      <c r="AU477" s="76"/>
      <c r="AV477" s="37"/>
      <c r="AW477" s="86">
        <f>tbl_Actual_costs_quantities34[[#This Row],[Roof Insulation Leak Sealing]]*BOQs!$L$14</f>
        <v>0</v>
      </c>
      <c r="AX477" s="76"/>
      <c r="AY477" s="37"/>
      <c r="AZ477" s="86">
        <f>tbl_Actual_costs_quantities34[[#This Row],[Chimney Duct Cleaning Repair]]*BOQs!$L$15</f>
        <v>0</v>
      </c>
      <c r="BA477" s="76"/>
      <c r="BB477" s="37"/>
      <c r="BC477" s="89">
        <f>tbl_Actual_costs_quantities34[[#This Row],[Accessibility Adaptations]]*BOQs!$L$16</f>
        <v>0</v>
      </c>
      <c r="BD477" s="41"/>
      <c r="BE477" s="37"/>
      <c r="BF477" s="37"/>
    </row>
    <row r="478" spans="2:58" ht="25.15" customHeight="1" x14ac:dyDescent="0.25">
      <c r="B478" s="49">
        <v>474</v>
      </c>
      <c r="C478" s="37"/>
      <c r="D478" s="41"/>
      <c r="E478" s="40"/>
      <c r="F478" s="87" t="str">
        <f>IF(tbl_Actual_costs_quantities34[[#This Row],[House Code]]&lt;&gt;"",INDEX(tbl_Assessment[],MATCH(tbl_Actual_costs_quantities34[[#This Row],[House Code]],tbl_Assessment[House Code],0),3),"")</f>
        <v/>
      </c>
      <c r="G478" s="116" t="str">
        <f>IF(tbl_Actual_costs_quantities34[[#This Row],[House Code]]&lt;&gt;"",INDEX(tbl_Assessment[],MATCH(tbl_Actual_costs_quantities34[[#This Row],[House Code]],tbl_Assessment[House Code],0),9),"")</f>
        <v/>
      </c>
      <c r="H478" s="41"/>
      <c r="I478" s="41"/>
      <c r="J478" s="41"/>
      <c r="K478" s="116"/>
      <c r="L478" s="117" t="str">
        <f>IF(tbl_Actual_costs_quantities34[[#This Row],[House Code]]&lt;&gt;"",tbl_Actual_costs_quantities34[[#This Row],[Total cost]]/INDEX(tbl_estimated_costs_quantities[],MATCH(tbl_Actual_costs_quantities34[[#This Row],[House Code]],tbl_estimated_costs_quantities[House Code],0),7),"")</f>
        <v/>
      </c>
      <c r="M47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8" s="75"/>
      <c r="O478" s="37"/>
      <c r="P478" s="86">
        <f>tbl_Actual_costs_quantities34[[#This Row],[Site Preparation]]*BOQs!$L$3</f>
        <v>0</v>
      </c>
      <c r="Q478" s="76"/>
      <c r="R478" s="37"/>
      <c r="S478" s="86">
        <f>tbl_Actual_costs_quantities34[[#This Row],[Demolition Removal Unsafe Structures]]*BOQs!$L$4</f>
        <v>0</v>
      </c>
      <c r="T478" s="76"/>
      <c r="U478" s="37"/>
      <c r="V478" s="86">
        <f>tbl_Actual_costs_quantities34[[#This Row],[Concrete Works]]*BOQs!$L$5</f>
        <v>0</v>
      </c>
      <c r="W478" s="76"/>
      <c r="X478" s="37"/>
      <c r="Y478" s="86">
        <f>tbl_Actual_costs_quantities34[[#This Row],[Closure External Openings Walls Windows]]*BOQs!$L$6</f>
        <v>0</v>
      </c>
      <c r="Z478" s="76"/>
      <c r="AA478" s="37"/>
      <c r="AB478" s="86">
        <f>tbl_Actual_costs_quantities34[[#This Row],[Plastering Painting]]*BOQs!$L$7</f>
        <v>0</v>
      </c>
      <c r="AC478" s="76"/>
      <c r="AD478" s="37"/>
      <c r="AE478" s="86">
        <f>tbl_Actual_costs_quantities34[[#This Row],[Floor Repairs]]*BOQs!$L$8</f>
        <v>0</v>
      </c>
      <c r="AF478" s="76"/>
      <c r="AG478" s="37"/>
      <c r="AH478" s="86">
        <f>tbl_Actual_costs_quantities34[[#This Row],[Doors Replacement Repair]]*BOQs!$L$9</f>
        <v>0</v>
      </c>
      <c r="AI478" s="76"/>
      <c r="AJ478" s="37"/>
      <c r="AK478" s="86">
        <f>tbl_Actual_costs_quantities34[[#This Row],[Windows Replacement Repair]]*BOQs!$L$10</f>
        <v>0</v>
      </c>
      <c r="AL478" s="76"/>
      <c r="AM478" s="37"/>
      <c r="AN478" s="86">
        <f>tbl_Actual_costs_quantities34[[#This Row],[Bathroom Rehabilitation]]*BOQs!$L$11</f>
        <v>0</v>
      </c>
      <c r="AO478" s="76"/>
      <c r="AP478" s="37"/>
      <c r="AQ478" s="86">
        <f>tbl_Actual_costs_quantities34[[#This Row],[Ceramic Tile Works WASH]]*BOQs!$L$12</f>
        <v>0</v>
      </c>
      <c r="AR478" s="76"/>
      <c r="AS478" s="37"/>
      <c r="AT478" s="86">
        <f>tbl_Actual_costs_quantities34[[#This Row],[Electrical Repairs Lighting]]*BOQs!$L$13</f>
        <v>0</v>
      </c>
      <c r="AU478" s="76"/>
      <c r="AV478" s="37"/>
      <c r="AW478" s="86">
        <f>tbl_Actual_costs_quantities34[[#This Row],[Roof Insulation Leak Sealing]]*BOQs!$L$14</f>
        <v>0</v>
      </c>
      <c r="AX478" s="76"/>
      <c r="AY478" s="37"/>
      <c r="AZ478" s="86">
        <f>tbl_Actual_costs_quantities34[[#This Row],[Chimney Duct Cleaning Repair]]*BOQs!$L$15</f>
        <v>0</v>
      </c>
      <c r="BA478" s="76"/>
      <c r="BB478" s="37"/>
      <c r="BC478" s="89">
        <f>tbl_Actual_costs_quantities34[[#This Row],[Accessibility Adaptations]]*BOQs!$L$16</f>
        <v>0</v>
      </c>
      <c r="BD478" s="41"/>
      <c r="BE478" s="37"/>
      <c r="BF478" s="37"/>
    </row>
    <row r="479" spans="2:58" ht="25.15" customHeight="1" x14ac:dyDescent="0.25">
      <c r="B479" s="49">
        <v>475</v>
      </c>
      <c r="C479" s="37"/>
      <c r="D479" s="41"/>
      <c r="E479" s="40"/>
      <c r="F479" s="87" t="str">
        <f>IF(tbl_Actual_costs_quantities34[[#This Row],[House Code]]&lt;&gt;"",INDEX(tbl_Assessment[],MATCH(tbl_Actual_costs_quantities34[[#This Row],[House Code]],tbl_Assessment[House Code],0),3),"")</f>
        <v/>
      </c>
      <c r="G479" s="116" t="str">
        <f>IF(tbl_Actual_costs_quantities34[[#This Row],[House Code]]&lt;&gt;"",INDEX(tbl_Assessment[],MATCH(tbl_Actual_costs_quantities34[[#This Row],[House Code]],tbl_Assessment[House Code],0),9),"")</f>
        <v/>
      </c>
      <c r="H479" s="41"/>
      <c r="I479" s="41"/>
      <c r="J479" s="41"/>
      <c r="K479" s="116"/>
      <c r="L479" s="117" t="str">
        <f>IF(tbl_Actual_costs_quantities34[[#This Row],[House Code]]&lt;&gt;"",tbl_Actual_costs_quantities34[[#This Row],[Total cost]]/INDEX(tbl_estimated_costs_quantities[],MATCH(tbl_Actual_costs_quantities34[[#This Row],[House Code]],tbl_estimated_costs_quantities[House Code],0),7),"")</f>
        <v/>
      </c>
      <c r="M47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79" s="75"/>
      <c r="O479" s="37"/>
      <c r="P479" s="86">
        <f>tbl_Actual_costs_quantities34[[#This Row],[Site Preparation]]*BOQs!$L$3</f>
        <v>0</v>
      </c>
      <c r="Q479" s="76"/>
      <c r="R479" s="37"/>
      <c r="S479" s="86">
        <f>tbl_Actual_costs_quantities34[[#This Row],[Demolition Removal Unsafe Structures]]*BOQs!$L$4</f>
        <v>0</v>
      </c>
      <c r="T479" s="76"/>
      <c r="U479" s="37"/>
      <c r="V479" s="86">
        <f>tbl_Actual_costs_quantities34[[#This Row],[Concrete Works]]*BOQs!$L$5</f>
        <v>0</v>
      </c>
      <c r="W479" s="76"/>
      <c r="X479" s="37"/>
      <c r="Y479" s="86">
        <f>tbl_Actual_costs_quantities34[[#This Row],[Closure External Openings Walls Windows]]*BOQs!$L$6</f>
        <v>0</v>
      </c>
      <c r="Z479" s="76"/>
      <c r="AA479" s="37"/>
      <c r="AB479" s="86">
        <f>tbl_Actual_costs_quantities34[[#This Row],[Plastering Painting]]*BOQs!$L$7</f>
        <v>0</v>
      </c>
      <c r="AC479" s="76"/>
      <c r="AD479" s="37"/>
      <c r="AE479" s="86">
        <f>tbl_Actual_costs_quantities34[[#This Row],[Floor Repairs]]*BOQs!$L$8</f>
        <v>0</v>
      </c>
      <c r="AF479" s="76"/>
      <c r="AG479" s="37"/>
      <c r="AH479" s="86">
        <f>tbl_Actual_costs_quantities34[[#This Row],[Doors Replacement Repair]]*BOQs!$L$9</f>
        <v>0</v>
      </c>
      <c r="AI479" s="76"/>
      <c r="AJ479" s="37"/>
      <c r="AK479" s="86">
        <f>tbl_Actual_costs_quantities34[[#This Row],[Windows Replacement Repair]]*BOQs!$L$10</f>
        <v>0</v>
      </c>
      <c r="AL479" s="76"/>
      <c r="AM479" s="37"/>
      <c r="AN479" s="86">
        <f>tbl_Actual_costs_quantities34[[#This Row],[Bathroom Rehabilitation]]*BOQs!$L$11</f>
        <v>0</v>
      </c>
      <c r="AO479" s="76"/>
      <c r="AP479" s="37"/>
      <c r="AQ479" s="86">
        <f>tbl_Actual_costs_quantities34[[#This Row],[Ceramic Tile Works WASH]]*BOQs!$L$12</f>
        <v>0</v>
      </c>
      <c r="AR479" s="76"/>
      <c r="AS479" s="37"/>
      <c r="AT479" s="86">
        <f>tbl_Actual_costs_quantities34[[#This Row],[Electrical Repairs Lighting]]*BOQs!$L$13</f>
        <v>0</v>
      </c>
      <c r="AU479" s="76"/>
      <c r="AV479" s="37"/>
      <c r="AW479" s="86">
        <f>tbl_Actual_costs_quantities34[[#This Row],[Roof Insulation Leak Sealing]]*BOQs!$L$14</f>
        <v>0</v>
      </c>
      <c r="AX479" s="76"/>
      <c r="AY479" s="37"/>
      <c r="AZ479" s="86">
        <f>tbl_Actual_costs_quantities34[[#This Row],[Chimney Duct Cleaning Repair]]*BOQs!$L$15</f>
        <v>0</v>
      </c>
      <c r="BA479" s="76"/>
      <c r="BB479" s="37"/>
      <c r="BC479" s="89">
        <f>tbl_Actual_costs_quantities34[[#This Row],[Accessibility Adaptations]]*BOQs!$L$16</f>
        <v>0</v>
      </c>
      <c r="BD479" s="41"/>
      <c r="BE479" s="37"/>
      <c r="BF479" s="37"/>
    </row>
    <row r="480" spans="2:58" ht="25.15" customHeight="1" x14ac:dyDescent="0.25">
      <c r="B480" s="49">
        <v>476</v>
      </c>
      <c r="C480" s="37"/>
      <c r="D480" s="41"/>
      <c r="E480" s="40"/>
      <c r="F480" s="87" t="str">
        <f>IF(tbl_Actual_costs_quantities34[[#This Row],[House Code]]&lt;&gt;"",INDEX(tbl_Assessment[],MATCH(tbl_Actual_costs_quantities34[[#This Row],[House Code]],tbl_Assessment[House Code],0),3),"")</f>
        <v/>
      </c>
      <c r="G480" s="116" t="str">
        <f>IF(tbl_Actual_costs_quantities34[[#This Row],[House Code]]&lt;&gt;"",INDEX(tbl_Assessment[],MATCH(tbl_Actual_costs_quantities34[[#This Row],[House Code]],tbl_Assessment[House Code],0),9),"")</f>
        <v/>
      </c>
      <c r="H480" s="41"/>
      <c r="I480" s="41"/>
      <c r="J480" s="41"/>
      <c r="K480" s="116"/>
      <c r="L480" s="117" t="str">
        <f>IF(tbl_Actual_costs_quantities34[[#This Row],[House Code]]&lt;&gt;"",tbl_Actual_costs_quantities34[[#This Row],[Total cost]]/INDEX(tbl_estimated_costs_quantities[],MATCH(tbl_Actual_costs_quantities34[[#This Row],[House Code]],tbl_estimated_costs_quantities[House Code],0),7),"")</f>
        <v/>
      </c>
      <c r="M48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0" s="75"/>
      <c r="O480" s="37"/>
      <c r="P480" s="86">
        <f>tbl_Actual_costs_quantities34[[#This Row],[Site Preparation]]*BOQs!$L$3</f>
        <v>0</v>
      </c>
      <c r="Q480" s="76"/>
      <c r="R480" s="37"/>
      <c r="S480" s="86">
        <f>tbl_Actual_costs_quantities34[[#This Row],[Demolition Removal Unsafe Structures]]*BOQs!$L$4</f>
        <v>0</v>
      </c>
      <c r="T480" s="76"/>
      <c r="U480" s="37"/>
      <c r="V480" s="86">
        <f>tbl_Actual_costs_quantities34[[#This Row],[Concrete Works]]*BOQs!$L$5</f>
        <v>0</v>
      </c>
      <c r="W480" s="76"/>
      <c r="X480" s="37"/>
      <c r="Y480" s="86">
        <f>tbl_Actual_costs_quantities34[[#This Row],[Closure External Openings Walls Windows]]*BOQs!$L$6</f>
        <v>0</v>
      </c>
      <c r="Z480" s="76"/>
      <c r="AA480" s="37"/>
      <c r="AB480" s="86">
        <f>tbl_Actual_costs_quantities34[[#This Row],[Plastering Painting]]*BOQs!$L$7</f>
        <v>0</v>
      </c>
      <c r="AC480" s="76"/>
      <c r="AD480" s="37"/>
      <c r="AE480" s="86">
        <f>tbl_Actual_costs_quantities34[[#This Row],[Floor Repairs]]*BOQs!$L$8</f>
        <v>0</v>
      </c>
      <c r="AF480" s="76"/>
      <c r="AG480" s="37"/>
      <c r="AH480" s="86">
        <f>tbl_Actual_costs_quantities34[[#This Row],[Doors Replacement Repair]]*BOQs!$L$9</f>
        <v>0</v>
      </c>
      <c r="AI480" s="76"/>
      <c r="AJ480" s="37"/>
      <c r="AK480" s="86">
        <f>tbl_Actual_costs_quantities34[[#This Row],[Windows Replacement Repair]]*BOQs!$L$10</f>
        <v>0</v>
      </c>
      <c r="AL480" s="76"/>
      <c r="AM480" s="37"/>
      <c r="AN480" s="86">
        <f>tbl_Actual_costs_quantities34[[#This Row],[Bathroom Rehabilitation]]*BOQs!$L$11</f>
        <v>0</v>
      </c>
      <c r="AO480" s="76"/>
      <c r="AP480" s="37"/>
      <c r="AQ480" s="86">
        <f>tbl_Actual_costs_quantities34[[#This Row],[Ceramic Tile Works WASH]]*BOQs!$L$12</f>
        <v>0</v>
      </c>
      <c r="AR480" s="76"/>
      <c r="AS480" s="37"/>
      <c r="AT480" s="86">
        <f>tbl_Actual_costs_quantities34[[#This Row],[Electrical Repairs Lighting]]*BOQs!$L$13</f>
        <v>0</v>
      </c>
      <c r="AU480" s="76"/>
      <c r="AV480" s="37"/>
      <c r="AW480" s="86">
        <f>tbl_Actual_costs_quantities34[[#This Row],[Roof Insulation Leak Sealing]]*BOQs!$L$14</f>
        <v>0</v>
      </c>
      <c r="AX480" s="76"/>
      <c r="AY480" s="37"/>
      <c r="AZ480" s="86">
        <f>tbl_Actual_costs_quantities34[[#This Row],[Chimney Duct Cleaning Repair]]*BOQs!$L$15</f>
        <v>0</v>
      </c>
      <c r="BA480" s="76"/>
      <c r="BB480" s="37"/>
      <c r="BC480" s="89">
        <f>tbl_Actual_costs_quantities34[[#This Row],[Accessibility Adaptations]]*BOQs!$L$16</f>
        <v>0</v>
      </c>
      <c r="BD480" s="41"/>
      <c r="BE480" s="37"/>
      <c r="BF480" s="37"/>
    </row>
    <row r="481" spans="2:58" ht="25.15" customHeight="1" x14ac:dyDescent="0.25">
      <c r="B481" s="49">
        <v>477</v>
      </c>
      <c r="C481" s="37"/>
      <c r="D481" s="41"/>
      <c r="E481" s="40"/>
      <c r="F481" s="87" t="str">
        <f>IF(tbl_Actual_costs_quantities34[[#This Row],[House Code]]&lt;&gt;"",INDEX(tbl_Assessment[],MATCH(tbl_Actual_costs_quantities34[[#This Row],[House Code]],tbl_Assessment[House Code],0),3),"")</f>
        <v/>
      </c>
      <c r="G481" s="116" t="str">
        <f>IF(tbl_Actual_costs_quantities34[[#This Row],[House Code]]&lt;&gt;"",INDEX(tbl_Assessment[],MATCH(tbl_Actual_costs_quantities34[[#This Row],[House Code]],tbl_Assessment[House Code],0),9),"")</f>
        <v/>
      </c>
      <c r="H481" s="41"/>
      <c r="I481" s="41"/>
      <c r="J481" s="41"/>
      <c r="K481" s="116"/>
      <c r="L481" s="117" t="str">
        <f>IF(tbl_Actual_costs_quantities34[[#This Row],[House Code]]&lt;&gt;"",tbl_Actual_costs_quantities34[[#This Row],[Total cost]]/INDEX(tbl_estimated_costs_quantities[],MATCH(tbl_Actual_costs_quantities34[[#This Row],[House Code]],tbl_estimated_costs_quantities[House Code],0),7),"")</f>
        <v/>
      </c>
      <c r="M48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1" s="75"/>
      <c r="O481" s="37"/>
      <c r="P481" s="86">
        <f>tbl_Actual_costs_quantities34[[#This Row],[Site Preparation]]*BOQs!$L$3</f>
        <v>0</v>
      </c>
      <c r="Q481" s="76"/>
      <c r="R481" s="37"/>
      <c r="S481" s="86">
        <f>tbl_Actual_costs_quantities34[[#This Row],[Demolition Removal Unsafe Structures]]*BOQs!$L$4</f>
        <v>0</v>
      </c>
      <c r="T481" s="76"/>
      <c r="U481" s="37"/>
      <c r="V481" s="86">
        <f>tbl_Actual_costs_quantities34[[#This Row],[Concrete Works]]*BOQs!$L$5</f>
        <v>0</v>
      </c>
      <c r="W481" s="76"/>
      <c r="X481" s="37"/>
      <c r="Y481" s="86">
        <f>tbl_Actual_costs_quantities34[[#This Row],[Closure External Openings Walls Windows]]*BOQs!$L$6</f>
        <v>0</v>
      </c>
      <c r="Z481" s="76"/>
      <c r="AA481" s="37"/>
      <c r="AB481" s="86">
        <f>tbl_Actual_costs_quantities34[[#This Row],[Plastering Painting]]*BOQs!$L$7</f>
        <v>0</v>
      </c>
      <c r="AC481" s="76"/>
      <c r="AD481" s="37"/>
      <c r="AE481" s="86">
        <f>tbl_Actual_costs_quantities34[[#This Row],[Floor Repairs]]*BOQs!$L$8</f>
        <v>0</v>
      </c>
      <c r="AF481" s="76"/>
      <c r="AG481" s="37"/>
      <c r="AH481" s="86">
        <f>tbl_Actual_costs_quantities34[[#This Row],[Doors Replacement Repair]]*BOQs!$L$9</f>
        <v>0</v>
      </c>
      <c r="AI481" s="76"/>
      <c r="AJ481" s="37"/>
      <c r="AK481" s="86">
        <f>tbl_Actual_costs_quantities34[[#This Row],[Windows Replacement Repair]]*BOQs!$L$10</f>
        <v>0</v>
      </c>
      <c r="AL481" s="76"/>
      <c r="AM481" s="37"/>
      <c r="AN481" s="86">
        <f>tbl_Actual_costs_quantities34[[#This Row],[Bathroom Rehabilitation]]*BOQs!$L$11</f>
        <v>0</v>
      </c>
      <c r="AO481" s="76"/>
      <c r="AP481" s="37"/>
      <c r="AQ481" s="86">
        <f>tbl_Actual_costs_quantities34[[#This Row],[Ceramic Tile Works WASH]]*BOQs!$L$12</f>
        <v>0</v>
      </c>
      <c r="AR481" s="76"/>
      <c r="AS481" s="37"/>
      <c r="AT481" s="86">
        <f>tbl_Actual_costs_quantities34[[#This Row],[Electrical Repairs Lighting]]*BOQs!$L$13</f>
        <v>0</v>
      </c>
      <c r="AU481" s="76"/>
      <c r="AV481" s="37"/>
      <c r="AW481" s="86">
        <f>tbl_Actual_costs_quantities34[[#This Row],[Roof Insulation Leak Sealing]]*BOQs!$L$14</f>
        <v>0</v>
      </c>
      <c r="AX481" s="76"/>
      <c r="AY481" s="37"/>
      <c r="AZ481" s="86">
        <f>tbl_Actual_costs_quantities34[[#This Row],[Chimney Duct Cleaning Repair]]*BOQs!$L$15</f>
        <v>0</v>
      </c>
      <c r="BA481" s="76"/>
      <c r="BB481" s="37"/>
      <c r="BC481" s="89">
        <f>tbl_Actual_costs_quantities34[[#This Row],[Accessibility Adaptations]]*BOQs!$L$16</f>
        <v>0</v>
      </c>
      <c r="BD481" s="41"/>
      <c r="BE481" s="37"/>
      <c r="BF481" s="37"/>
    </row>
    <row r="482" spans="2:58" ht="25.15" customHeight="1" x14ac:dyDescent="0.25">
      <c r="B482" s="49">
        <v>478</v>
      </c>
      <c r="C482" s="37"/>
      <c r="D482" s="41"/>
      <c r="E482" s="40"/>
      <c r="F482" s="87" t="str">
        <f>IF(tbl_Actual_costs_quantities34[[#This Row],[House Code]]&lt;&gt;"",INDEX(tbl_Assessment[],MATCH(tbl_Actual_costs_quantities34[[#This Row],[House Code]],tbl_Assessment[House Code],0),3),"")</f>
        <v/>
      </c>
      <c r="G482" s="116" t="str">
        <f>IF(tbl_Actual_costs_quantities34[[#This Row],[House Code]]&lt;&gt;"",INDEX(tbl_Assessment[],MATCH(tbl_Actual_costs_quantities34[[#This Row],[House Code]],tbl_Assessment[House Code],0),9),"")</f>
        <v/>
      </c>
      <c r="H482" s="41"/>
      <c r="I482" s="41"/>
      <c r="J482" s="41"/>
      <c r="K482" s="116"/>
      <c r="L482" s="117" t="str">
        <f>IF(tbl_Actual_costs_quantities34[[#This Row],[House Code]]&lt;&gt;"",tbl_Actual_costs_quantities34[[#This Row],[Total cost]]/INDEX(tbl_estimated_costs_quantities[],MATCH(tbl_Actual_costs_quantities34[[#This Row],[House Code]],tbl_estimated_costs_quantities[House Code],0),7),"")</f>
        <v/>
      </c>
      <c r="M48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2" s="75"/>
      <c r="O482" s="37"/>
      <c r="P482" s="86">
        <f>tbl_Actual_costs_quantities34[[#This Row],[Site Preparation]]*BOQs!$L$3</f>
        <v>0</v>
      </c>
      <c r="Q482" s="76"/>
      <c r="R482" s="37"/>
      <c r="S482" s="86">
        <f>tbl_Actual_costs_quantities34[[#This Row],[Demolition Removal Unsafe Structures]]*BOQs!$L$4</f>
        <v>0</v>
      </c>
      <c r="T482" s="76"/>
      <c r="U482" s="37"/>
      <c r="V482" s="86">
        <f>tbl_Actual_costs_quantities34[[#This Row],[Concrete Works]]*BOQs!$L$5</f>
        <v>0</v>
      </c>
      <c r="W482" s="76"/>
      <c r="X482" s="37"/>
      <c r="Y482" s="86">
        <f>tbl_Actual_costs_quantities34[[#This Row],[Closure External Openings Walls Windows]]*BOQs!$L$6</f>
        <v>0</v>
      </c>
      <c r="Z482" s="76"/>
      <c r="AA482" s="37"/>
      <c r="AB482" s="86">
        <f>tbl_Actual_costs_quantities34[[#This Row],[Plastering Painting]]*BOQs!$L$7</f>
        <v>0</v>
      </c>
      <c r="AC482" s="76"/>
      <c r="AD482" s="37"/>
      <c r="AE482" s="86">
        <f>tbl_Actual_costs_quantities34[[#This Row],[Floor Repairs]]*BOQs!$L$8</f>
        <v>0</v>
      </c>
      <c r="AF482" s="76"/>
      <c r="AG482" s="37"/>
      <c r="AH482" s="86">
        <f>tbl_Actual_costs_quantities34[[#This Row],[Doors Replacement Repair]]*BOQs!$L$9</f>
        <v>0</v>
      </c>
      <c r="AI482" s="76"/>
      <c r="AJ482" s="37"/>
      <c r="AK482" s="86">
        <f>tbl_Actual_costs_quantities34[[#This Row],[Windows Replacement Repair]]*BOQs!$L$10</f>
        <v>0</v>
      </c>
      <c r="AL482" s="76"/>
      <c r="AM482" s="37"/>
      <c r="AN482" s="86">
        <f>tbl_Actual_costs_quantities34[[#This Row],[Bathroom Rehabilitation]]*BOQs!$L$11</f>
        <v>0</v>
      </c>
      <c r="AO482" s="76"/>
      <c r="AP482" s="37"/>
      <c r="AQ482" s="86">
        <f>tbl_Actual_costs_quantities34[[#This Row],[Ceramic Tile Works WASH]]*BOQs!$L$12</f>
        <v>0</v>
      </c>
      <c r="AR482" s="76"/>
      <c r="AS482" s="37"/>
      <c r="AT482" s="86">
        <f>tbl_Actual_costs_quantities34[[#This Row],[Electrical Repairs Lighting]]*BOQs!$L$13</f>
        <v>0</v>
      </c>
      <c r="AU482" s="76"/>
      <c r="AV482" s="37"/>
      <c r="AW482" s="86">
        <f>tbl_Actual_costs_quantities34[[#This Row],[Roof Insulation Leak Sealing]]*BOQs!$L$14</f>
        <v>0</v>
      </c>
      <c r="AX482" s="76"/>
      <c r="AY482" s="37"/>
      <c r="AZ482" s="86">
        <f>tbl_Actual_costs_quantities34[[#This Row],[Chimney Duct Cleaning Repair]]*BOQs!$L$15</f>
        <v>0</v>
      </c>
      <c r="BA482" s="76"/>
      <c r="BB482" s="37"/>
      <c r="BC482" s="89">
        <f>tbl_Actual_costs_quantities34[[#This Row],[Accessibility Adaptations]]*BOQs!$L$16</f>
        <v>0</v>
      </c>
      <c r="BD482" s="41"/>
      <c r="BE482" s="37"/>
      <c r="BF482" s="37"/>
    </row>
    <row r="483" spans="2:58" ht="25.15" customHeight="1" x14ac:dyDescent="0.25">
      <c r="B483" s="49">
        <v>479</v>
      </c>
      <c r="C483" s="37"/>
      <c r="D483" s="41"/>
      <c r="E483" s="40"/>
      <c r="F483" s="87" t="str">
        <f>IF(tbl_Actual_costs_quantities34[[#This Row],[House Code]]&lt;&gt;"",INDEX(tbl_Assessment[],MATCH(tbl_Actual_costs_quantities34[[#This Row],[House Code]],tbl_Assessment[House Code],0),3),"")</f>
        <v/>
      </c>
      <c r="G483" s="116" t="str">
        <f>IF(tbl_Actual_costs_quantities34[[#This Row],[House Code]]&lt;&gt;"",INDEX(tbl_Assessment[],MATCH(tbl_Actual_costs_quantities34[[#This Row],[House Code]],tbl_Assessment[House Code],0),9),"")</f>
        <v/>
      </c>
      <c r="H483" s="41"/>
      <c r="I483" s="41"/>
      <c r="J483" s="41"/>
      <c r="K483" s="116"/>
      <c r="L483" s="117" t="str">
        <f>IF(tbl_Actual_costs_quantities34[[#This Row],[House Code]]&lt;&gt;"",tbl_Actual_costs_quantities34[[#This Row],[Total cost]]/INDEX(tbl_estimated_costs_quantities[],MATCH(tbl_Actual_costs_quantities34[[#This Row],[House Code]],tbl_estimated_costs_quantities[House Code],0),7),"")</f>
        <v/>
      </c>
      <c r="M48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3" s="75"/>
      <c r="O483" s="37"/>
      <c r="P483" s="86">
        <f>tbl_Actual_costs_quantities34[[#This Row],[Site Preparation]]*BOQs!$L$3</f>
        <v>0</v>
      </c>
      <c r="Q483" s="76"/>
      <c r="R483" s="37"/>
      <c r="S483" s="86">
        <f>tbl_Actual_costs_quantities34[[#This Row],[Demolition Removal Unsafe Structures]]*BOQs!$L$4</f>
        <v>0</v>
      </c>
      <c r="T483" s="76"/>
      <c r="U483" s="37"/>
      <c r="V483" s="86">
        <f>tbl_Actual_costs_quantities34[[#This Row],[Concrete Works]]*BOQs!$L$5</f>
        <v>0</v>
      </c>
      <c r="W483" s="76"/>
      <c r="X483" s="37"/>
      <c r="Y483" s="86">
        <f>tbl_Actual_costs_quantities34[[#This Row],[Closure External Openings Walls Windows]]*BOQs!$L$6</f>
        <v>0</v>
      </c>
      <c r="Z483" s="76"/>
      <c r="AA483" s="37"/>
      <c r="AB483" s="86">
        <f>tbl_Actual_costs_quantities34[[#This Row],[Plastering Painting]]*BOQs!$L$7</f>
        <v>0</v>
      </c>
      <c r="AC483" s="76"/>
      <c r="AD483" s="37"/>
      <c r="AE483" s="86">
        <f>tbl_Actual_costs_quantities34[[#This Row],[Floor Repairs]]*BOQs!$L$8</f>
        <v>0</v>
      </c>
      <c r="AF483" s="76"/>
      <c r="AG483" s="37"/>
      <c r="AH483" s="86">
        <f>tbl_Actual_costs_quantities34[[#This Row],[Doors Replacement Repair]]*BOQs!$L$9</f>
        <v>0</v>
      </c>
      <c r="AI483" s="76"/>
      <c r="AJ483" s="37"/>
      <c r="AK483" s="86">
        <f>tbl_Actual_costs_quantities34[[#This Row],[Windows Replacement Repair]]*BOQs!$L$10</f>
        <v>0</v>
      </c>
      <c r="AL483" s="76"/>
      <c r="AM483" s="37"/>
      <c r="AN483" s="86">
        <f>tbl_Actual_costs_quantities34[[#This Row],[Bathroom Rehabilitation]]*BOQs!$L$11</f>
        <v>0</v>
      </c>
      <c r="AO483" s="76"/>
      <c r="AP483" s="37"/>
      <c r="AQ483" s="86">
        <f>tbl_Actual_costs_quantities34[[#This Row],[Ceramic Tile Works WASH]]*BOQs!$L$12</f>
        <v>0</v>
      </c>
      <c r="AR483" s="76"/>
      <c r="AS483" s="37"/>
      <c r="AT483" s="86">
        <f>tbl_Actual_costs_quantities34[[#This Row],[Electrical Repairs Lighting]]*BOQs!$L$13</f>
        <v>0</v>
      </c>
      <c r="AU483" s="76"/>
      <c r="AV483" s="37"/>
      <c r="AW483" s="86">
        <f>tbl_Actual_costs_quantities34[[#This Row],[Roof Insulation Leak Sealing]]*BOQs!$L$14</f>
        <v>0</v>
      </c>
      <c r="AX483" s="76"/>
      <c r="AY483" s="37"/>
      <c r="AZ483" s="86">
        <f>tbl_Actual_costs_quantities34[[#This Row],[Chimney Duct Cleaning Repair]]*BOQs!$L$15</f>
        <v>0</v>
      </c>
      <c r="BA483" s="76"/>
      <c r="BB483" s="37"/>
      <c r="BC483" s="89">
        <f>tbl_Actual_costs_quantities34[[#This Row],[Accessibility Adaptations]]*BOQs!$L$16</f>
        <v>0</v>
      </c>
      <c r="BD483" s="41"/>
      <c r="BE483" s="37"/>
      <c r="BF483" s="37"/>
    </row>
    <row r="484" spans="2:58" ht="25.15" customHeight="1" x14ac:dyDescent="0.25">
      <c r="B484" s="49">
        <v>480</v>
      </c>
      <c r="C484" s="37"/>
      <c r="D484" s="41"/>
      <c r="E484" s="40"/>
      <c r="F484" s="87" t="str">
        <f>IF(tbl_Actual_costs_quantities34[[#This Row],[House Code]]&lt;&gt;"",INDEX(tbl_Assessment[],MATCH(tbl_Actual_costs_quantities34[[#This Row],[House Code]],tbl_Assessment[House Code],0),3),"")</f>
        <v/>
      </c>
      <c r="G484" s="116" t="str">
        <f>IF(tbl_Actual_costs_quantities34[[#This Row],[House Code]]&lt;&gt;"",INDEX(tbl_Assessment[],MATCH(tbl_Actual_costs_quantities34[[#This Row],[House Code]],tbl_Assessment[House Code],0),9),"")</f>
        <v/>
      </c>
      <c r="H484" s="41"/>
      <c r="I484" s="41"/>
      <c r="J484" s="41"/>
      <c r="K484" s="116"/>
      <c r="L484" s="117" t="str">
        <f>IF(tbl_Actual_costs_quantities34[[#This Row],[House Code]]&lt;&gt;"",tbl_Actual_costs_quantities34[[#This Row],[Total cost]]/INDEX(tbl_estimated_costs_quantities[],MATCH(tbl_Actual_costs_quantities34[[#This Row],[House Code]],tbl_estimated_costs_quantities[House Code],0),7),"")</f>
        <v/>
      </c>
      <c r="M48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4" s="75"/>
      <c r="O484" s="37"/>
      <c r="P484" s="86">
        <f>tbl_Actual_costs_quantities34[[#This Row],[Site Preparation]]*BOQs!$L$3</f>
        <v>0</v>
      </c>
      <c r="Q484" s="76"/>
      <c r="R484" s="37"/>
      <c r="S484" s="86">
        <f>tbl_Actual_costs_quantities34[[#This Row],[Demolition Removal Unsafe Structures]]*BOQs!$L$4</f>
        <v>0</v>
      </c>
      <c r="T484" s="76"/>
      <c r="U484" s="37"/>
      <c r="V484" s="86">
        <f>tbl_Actual_costs_quantities34[[#This Row],[Concrete Works]]*BOQs!$L$5</f>
        <v>0</v>
      </c>
      <c r="W484" s="76"/>
      <c r="X484" s="37"/>
      <c r="Y484" s="86">
        <f>tbl_Actual_costs_quantities34[[#This Row],[Closure External Openings Walls Windows]]*BOQs!$L$6</f>
        <v>0</v>
      </c>
      <c r="Z484" s="76"/>
      <c r="AA484" s="37"/>
      <c r="AB484" s="86">
        <f>tbl_Actual_costs_quantities34[[#This Row],[Plastering Painting]]*BOQs!$L$7</f>
        <v>0</v>
      </c>
      <c r="AC484" s="76"/>
      <c r="AD484" s="37"/>
      <c r="AE484" s="86">
        <f>tbl_Actual_costs_quantities34[[#This Row],[Floor Repairs]]*BOQs!$L$8</f>
        <v>0</v>
      </c>
      <c r="AF484" s="76"/>
      <c r="AG484" s="37"/>
      <c r="AH484" s="86">
        <f>tbl_Actual_costs_quantities34[[#This Row],[Doors Replacement Repair]]*BOQs!$L$9</f>
        <v>0</v>
      </c>
      <c r="AI484" s="76"/>
      <c r="AJ484" s="37"/>
      <c r="AK484" s="86">
        <f>tbl_Actual_costs_quantities34[[#This Row],[Windows Replacement Repair]]*BOQs!$L$10</f>
        <v>0</v>
      </c>
      <c r="AL484" s="76"/>
      <c r="AM484" s="37"/>
      <c r="AN484" s="86">
        <f>tbl_Actual_costs_quantities34[[#This Row],[Bathroom Rehabilitation]]*BOQs!$L$11</f>
        <v>0</v>
      </c>
      <c r="AO484" s="76"/>
      <c r="AP484" s="37"/>
      <c r="AQ484" s="86">
        <f>tbl_Actual_costs_quantities34[[#This Row],[Ceramic Tile Works WASH]]*BOQs!$L$12</f>
        <v>0</v>
      </c>
      <c r="AR484" s="76"/>
      <c r="AS484" s="37"/>
      <c r="AT484" s="86">
        <f>tbl_Actual_costs_quantities34[[#This Row],[Electrical Repairs Lighting]]*BOQs!$L$13</f>
        <v>0</v>
      </c>
      <c r="AU484" s="76"/>
      <c r="AV484" s="37"/>
      <c r="AW484" s="86">
        <f>tbl_Actual_costs_quantities34[[#This Row],[Roof Insulation Leak Sealing]]*BOQs!$L$14</f>
        <v>0</v>
      </c>
      <c r="AX484" s="76"/>
      <c r="AY484" s="37"/>
      <c r="AZ484" s="86">
        <f>tbl_Actual_costs_quantities34[[#This Row],[Chimney Duct Cleaning Repair]]*BOQs!$L$15</f>
        <v>0</v>
      </c>
      <c r="BA484" s="76"/>
      <c r="BB484" s="37"/>
      <c r="BC484" s="89">
        <f>tbl_Actual_costs_quantities34[[#This Row],[Accessibility Adaptations]]*BOQs!$L$16</f>
        <v>0</v>
      </c>
      <c r="BD484" s="41"/>
      <c r="BE484" s="37"/>
      <c r="BF484" s="37"/>
    </row>
    <row r="485" spans="2:58" ht="25.15" customHeight="1" x14ac:dyDescent="0.25">
      <c r="B485" s="49">
        <v>481</v>
      </c>
      <c r="C485" s="37"/>
      <c r="D485" s="41"/>
      <c r="E485" s="40"/>
      <c r="F485" s="87" t="str">
        <f>IF(tbl_Actual_costs_quantities34[[#This Row],[House Code]]&lt;&gt;"",INDEX(tbl_Assessment[],MATCH(tbl_Actual_costs_quantities34[[#This Row],[House Code]],tbl_Assessment[House Code],0),3),"")</f>
        <v/>
      </c>
      <c r="G485" s="116" t="str">
        <f>IF(tbl_Actual_costs_quantities34[[#This Row],[House Code]]&lt;&gt;"",INDEX(tbl_Assessment[],MATCH(tbl_Actual_costs_quantities34[[#This Row],[House Code]],tbl_Assessment[House Code],0),9),"")</f>
        <v/>
      </c>
      <c r="H485" s="41"/>
      <c r="I485" s="41"/>
      <c r="J485" s="41"/>
      <c r="K485" s="116"/>
      <c r="L485" s="117" t="str">
        <f>IF(tbl_Actual_costs_quantities34[[#This Row],[House Code]]&lt;&gt;"",tbl_Actual_costs_quantities34[[#This Row],[Total cost]]/INDEX(tbl_estimated_costs_quantities[],MATCH(tbl_Actual_costs_quantities34[[#This Row],[House Code]],tbl_estimated_costs_quantities[House Code],0),7),"")</f>
        <v/>
      </c>
      <c r="M48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5" s="75"/>
      <c r="O485" s="37"/>
      <c r="P485" s="86">
        <f>tbl_Actual_costs_quantities34[[#This Row],[Site Preparation]]*BOQs!$L$3</f>
        <v>0</v>
      </c>
      <c r="Q485" s="76"/>
      <c r="R485" s="37"/>
      <c r="S485" s="86">
        <f>tbl_Actual_costs_quantities34[[#This Row],[Demolition Removal Unsafe Structures]]*BOQs!$L$4</f>
        <v>0</v>
      </c>
      <c r="T485" s="76"/>
      <c r="U485" s="37"/>
      <c r="V485" s="86">
        <f>tbl_Actual_costs_quantities34[[#This Row],[Concrete Works]]*BOQs!$L$5</f>
        <v>0</v>
      </c>
      <c r="W485" s="76"/>
      <c r="X485" s="37"/>
      <c r="Y485" s="86">
        <f>tbl_Actual_costs_quantities34[[#This Row],[Closure External Openings Walls Windows]]*BOQs!$L$6</f>
        <v>0</v>
      </c>
      <c r="Z485" s="76"/>
      <c r="AA485" s="37"/>
      <c r="AB485" s="86">
        <f>tbl_Actual_costs_quantities34[[#This Row],[Plastering Painting]]*BOQs!$L$7</f>
        <v>0</v>
      </c>
      <c r="AC485" s="76"/>
      <c r="AD485" s="37"/>
      <c r="AE485" s="86">
        <f>tbl_Actual_costs_quantities34[[#This Row],[Floor Repairs]]*BOQs!$L$8</f>
        <v>0</v>
      </c>
      <c r="AF485" s="76"/>
      <c r="AG485" s="37"/>
      <c r="AH485" s="86">
        <f>tbl_Actual_costs_quantities34[[#This Row],[Doors Replacement Repair]]*BOQs!$L$9</f>
        <v>0</v>
      </c>
      <c r="AI485" s="76"/>
      <c r="AJ485" s="37"/>
      <c r="AK485" s="86">
        <f>tbl_Actual_costs_quantities34[[#This Row],[Windows Replacement Repair]]*BOQs!$L$10</f>
        <v>0</v>
      </c>
      <c r="AL485" s="76"/>
      <c r="AM485" s="37"/>
      <c r="AN485" s="86">
        <f>tbl_Actual_costs_quantities34[[#This Row],[Bathroom Rehabilitation]]*BOQs!$L$11</f>
        <v>0</v>
      </c>
      <c r="AO485" s="76"/>
      <c r="AP485" s="37"/>
      <c r="AQ485" s="86">
        <f>tbl_Actual_costs_quantities34[[#This Row],[Ceramic Tile Works WASH]]*BOQs!$L$12</f>
        <v>0</v>
      </c>
      <c r="AR485" s="76"/>
      <c r="AS485" s="37"/>
      <c r="AT485" s="86">
        <f>tbl_Actual_costs_quantities34[[#This Row],[Electrical Repairs Lighting]]*BOQs!$L$13</f>
        <v>0</v>
      </c>
      <c r="AU485" s="76"/>
      <c r="AV485" s="37"/>
      <c r="AW485" s="86">
        <f>tbl_Actual_costs_quantities34[[#This Row],[Roof Insulation Leak Sealing]]*BOQs!$L$14</f>
        <v>0</v>
      </c>
      <c r="AX485" s="76"/>
      <c r="AY485" s="37"/>
      <c r="AZ485" s="86">
        <f>tbl_Actual_costs_quantities34[[#This Row],[Chimney Duct Cleaning Repair]]*BOQs!$L$15</f>
        <v>0</v>
      </c>
      <c r="BA485" s="76"/>
      <c r="BB485" s="37"/>
      <c r="BC485" s="89">
        <f>tbl_Actual_costs_quantities34[[#This Row],[Accessibility Adaptations]]*BOQs!$L$16</f>
        <v>0</v>
      </c>
      <c r="BD485" s="41"/>
      <c r="BE485" s="37"/>
      <c r="BF485" s="37"/>
    </row>
    <row r="486" spans="2:58" ht="25.15" customHeight="1" x14ac:dyDescent="0.25">
      <c r="B486" s="49">
        <v>482</v>
      </c>
      <c r="C486" s="37"/>
      <c r="D486" s="41"/>
      <c r="E486" s="40"/>
      <c r="F486" s="87" t="str">
        <f>IF(tbl_Actual_costs_quantities34[[#This Row],[House Code]]&lt;&gt;"",INDEX(tbl_Assessment[],MATCH(tbl_Actual_costs_quantities34[[#This Row],[House Code]],tbl_Assessment[House Code],0),3),"")</f>
        <v/>
      </c>
      <c r="G486" s="116" t="str">
        <f>IF(tbl_Actual_costs_quantities34[[#This Row],[House Code]]&lt;&gt;"",INDEX(tbl_Assessment[],MATCH(tbl_Actual_costs_quantities34[[#This Row],[House Code]],tbl_Assessment[House Code],0),9),"")</f>
        <v/>
      </c>
      <c r="H486" s="41"/>
      <c r="I486" s="41"/>
      <c r="J486" s="41"/>
      <c r="K486" s="116"/>
      <c r="L486" s="117" t="str">
        <f>IF(tbl_Actual_costs_quantities34[[#This Row],[House Code]]&lt;&gt;"",tbl_Actual_costs_quantities34[[#This Row],[Total cost]]/INDEX(tbl_estimated_costs_quantities[],MATCH(tbl_Actual_costs_quantities34[[#This Row],[House Code]],tbl_estimated_costs_quantities[House Code],0),7),"")</f>
        <v/>
      </c>
      <c r="M48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6" s="75"/>
      <c r="O486" s="37"/>
      <c r="P486" s="86">
        <f>tbl_Actual_costs_quantities34[[#This Row],[Site Preparation]]*BOQs!$L$3</f>
        <v>0</v>
      </c>
      <c r="Q486" s="76"/>
      <c r="R486" s="37"/>
      <c r="S486" s="86">
        <f>tbl_Actual_costs_quantities34[[#This Row],[Demolition Removal Unsafe Structures]]*BOQs!$L$4</f>
        <v>0</v>
      </c>
      <c r="T486" s="76"/>
      <c r="U486" s="37"/>
      <c r="V486" s="86">
        <f>tbl_Actual_costs_quantities34[[#This Row],[Concrete Works]]*BOQs!$L$5</f>
        <v>0</v>
      </c>
      <c r="W486" s="76"/>
      <c r="X486" s="37"/>
      <c r="Y486" s="86">
        <f>tbl_Actual_costs_quantities34[[#This Row],[Closure External Openings Walls Windows]]*BOQs!$L$6</f>
        <v>0</v>
      </c>
      <c r="Z486" s="76"/>
      <c r="AA486" s="37"/>
      <c r="AB486" s="86">
        <f>tbl_Actual_costs_quantities34[[#This Row],[Plastering Painting]]*BOQs!$L$7</f>
        <v>0</v>
      </c>
      <c r="AC486" s="76"/>
      <c r="AD486" s="37"/>
      <c r="AE486" s="86">
        <f>tbl_Actual_costs_quantities34[[#This Row],[Floor Repairs]]*BOQs!$L$8</f>
        <v>0</v>
      </c>
      <c r="AF486" s="76"/>
      <c r="AG486" s="37"/>
      <c r="AH486" s="86">
        <f>tbl_Actual_costs_quantities34[[#This Row],[Doors Replacement Repair]]*BOQs!$L$9</f>
        <v>0</v>
      </c>
      <c r="AI486" s="76"/>
      <c r="AJ486" s="37"/>
      <c r="AK486" s="86">
        <f>tbl_Actual_costs_quantities34[[#This Row],[Windows Replacement Repair]]*BOQs!$L$10</f>
        <v>0</v>
      </c>
      <c r="AL486" s="76"/>
      <c r="AM486" s="37"/>
      <c r="AN486" s="86">
        <f>tbl_Actual_costs_quantities34[[#This Row],[Bathroom Rehabilitation]]*BOQs!$L$11</f>
        <v>0</v>
      </c>
      <c r="AO486" s="76"/>
      <c r="AP486" s="37"/>
      <c r="AQ486" s="86">
        <f>tbl_Actual_costs_quantities34[[#This Row],[Ceramic Tile Works WASH]]*BOQs!$L$12</f>
        <v>0</v>
      </c>
      <c r="AR486" s="76"/>
      <c r="AS486" s="37"/>
      <c r="AT486" s="86">
        <f>tbl_Actual_costs_quantities34[[#This Row],[Electrical Repairs Lighting]]*BOQs!$L$13</f>
        <v>0</v>
      </c>
      <c r="AU486" s="76"/>
      <c r="AV486" s="37"/>
      <c r="AW486" s="86">
        <f>tbl_Actual_costs_quantities34[[#This Row],[Roof Insulation Leak Sealing]]*BOQs!$L$14</f>
        <v>0</v>
      </c>
      <c r="AX486" s="76"/>
      <c r="AY486" s="37"/>
      <c r="AZ486" s="86">
        <f>tbl_Actual_costs_quantities34[[#This Row],[Chimney Duct Cleaning Repair]]*BOQs!$L$15</f>
        <v>0</v>
      </c>
      <c r="BA486" s="76"/>
      <c r="BB486" s="37"/>
      <c r="BC486" s="89">
        <f>tbl_Actual_costs_quantities34[[#This Row],[Accessibility Adaptations]]*BOQs!$L$16</f>
        <v>0</v>
      </c>
      <c r="BD486" s="41"/>
      <c r="BE486" s="37"/>
      <c r="BF486" s="37"/>
    </row>
    <row r="487" spans="2:58" ht="25.15" customHeight="1" x14ac:dyDescent="0.25">
      <c r="B487" s="49">
        <v>483</v>
      </c>
      <c r="C487" s="37"/>
      <c r="D487" s="41"/>
      <c r="E487" s="40"/>
      <c r="F487" s="87" t="str">
        <f>IF(tbl_Actual_costs_quantities34[[#This Row],[House Code]]&lt;&gt;"",INDEX(tbl_Assessment[],MATCH(tbl_Actual_costs_quantities34[[#This Row],[House Code]],tbl_Assessment[House Code],0),3),"")</f>
        <v/>
      </c>
      <c r="G487" s="116" t="str">
        <f>IF(tbl_Actual_costs_quantities34[[#This Row],[House Code]]&lt;&gt;"",INDEX(tbl_Assessment[],MATCH(tbl_Actual_costs_quantities34[[#This Row],[House Code]],tbl_Assessment[House Code],0),9),"")</f>
        <v/>
      </c>
      <c r="H487" s="41"/>
      <c r="I487" s="41"/>
      <c r="J487" s="41"/>
      <c r="K487" s="116"/>
      <c r="L487" s="117" t="str">
        <f>IF(tbl_Actual_costs_quantities34[[#This Row],[House Code]]&lt;&gt;"",tbl_Actual_costs_quantities34[[#This Row],[Total cost]]/INDEX(tbl_estimated_costs_quantities[],MATCH(tbl_Actual_costs_quantities34[[#This Row],[House Code]],tbl_estimated_costs_quantities[House Code],0),7),"")</f>
        <v/>
      </c>
      <c r="M48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7" s="75"/>
      <c r="O487" s="37"/>
      <c r="P487" s="86">
        <f>tbl_Actual_costs_quantities34[[#This Row],[Site Preparation]]*BOQs!$L$3</f>
        <v>0</v>
      </c>
      <c r="Q487" s="76"/>
      <c r="R487" s="37"/>
      <c r="S487" s="86">
        <f>tbl_Actual_costs_quantities34[[#This Row],[Demolition Removal Unsafe Structures]]*BOQs!$L$4</f>
        <v>0</v>
      </c>
      <c r="T487" s="76"/>
      <c r="U487" s="37"/>
      <c r="V487" s="86">
        <f>tbl_Actual_costs_quantities34[[#This Row],[Concrete Works]]*BOQs!$L$5</f>
        <v>0</v>
      </c>
      <c r="W487" s="76"/>
      <c r="X487" s="37"/>
      <c r="Y487" s="86">
        <f>tbl_Actual_costs_quantities34[[#This Row],[Closure External Openings Walls Windows]]*BOQs!$L$6</f>
        <v>0</v>
      </c>
      <c r="Z487" s="76"/>
      <c r="AA487" s="37"/>
      <c r="AB487" s="86">
        <f>tbl_Actual_costs_quantities34[[#This Row],[Plastering Painting]]*BOQs!$L$7</f>
        <v>0</v>
      </c>
      <c r="AC487" s="76"/>
      <c r="AD487" s="37"/>
      <c r="AE487" s="86">
        <f>tbl_Actual_costs_quantities34[[#This Row],[Floor Repairs]]*BOQs!$L$8</f>
        <v>0</v>
      </c>
      <c r="AF487" s="76"/>
      <c r="AG487" s="37"/>
      <c r="AH487" s="86">
        <f>tbl_Actual_costs_quantities34[[#This Row],[Doors Replacement Repair]]*BOQs!$L$9</f>
        <v>0</v>
      </c>
      <c r="AI487" s="76"/>
      <c r="AJ487" s="37"/>
      <c r="AK487" s="86">
        <f>tbl_Actual_costs_quantities34[[#This Row],[Windows Replacement Repair]]*BOQs!$L$10</f>
        <v>0</v>
      </c>
      <c r="AL487" s="76"/>
      <c r="AM487" s="37"/>
      <c r="AN487" s="86">
        <f>tbl_Actual_costs_quantities34[[#This Row],[Bathroom Rehabilitation]]*BOQs!$L$11</f>
        <v>0</v>
      </c>
      <c r="AO487" s="76"/>
      <c r="AP487" s="37"/>
      <c r="AQ487" s="86">
        <f>tbl_Actual_costs_quantities34[[#This Row],[Ceramic Tile Works WASH]]*BOQs!$L$12</f>
        <v>0</v>
      </c>
      <c r="AR487" s="76"/>
      <c r="AS487" s="37"/>
      <c r="AT487" s="86">
        <f>tbl_Actual_costs_quantities34[[#This Row],[Electrical Repairs Lighting]]*BOQs!$L$13</f>
        <v>0</v>
      </c>
      <c r="AU487" s="76"/>
      <c r="AV487" s="37"/>
      <c r="AW487" s="86">
        <f>tbl_Actual_costs_quantities34[[#This Row],[Roof Insulation Leak Sealing]]*BOQs!$L$14</f>
        <v>0</v>
      </c>
      <c r="AX487" s="76"/>
      <c r="AY487" s="37"/>
      <c r="AZ487" s="86">
        <f>tbl_Actual_costs_quantities34[[#This Row],[Chimney Duct Cleaning Repair]]*BOQs!$L$15</f>
        <v>0</v>
      </c>
      <c r="BA487" s="76"/>
      <c r="BB487" s="37"/>
      <c r="BC487" s="89">
        <f>tbl_Actual_costs_quantities34[[#This Row],[Accessibility Adaptations]]*BOQs!$L$16</f>
        <v>0</v>
      </c>
      <c r="BD487" s="41"/>
      <c r="BE487" s="37"/>
      <c r="BF487" s="37"/>
    </row>
    <row r="488" spans="2:58" ht="25.15" customHeight="1" x14ac:dyDescent="0.25">
      <c r="B488" s="49">
        <v>484</v>
      </c>
      <c r="C488" s="37"/>
      <c r="D488" s="41"/>
      <c r="E488" s="40"/>
      <c r="F488" s="87" t="str">
        <f>IF(tbl_Actual_costs_quantities34[[#This Row],[House Code]]&lt;&gt;"",INDEX(tbl_Assessment[],MATCH(tbl_Actual_costs_quantities34[[#This Row],[House Code]],tbl_Assessment[House Code],0),3),"")</f>
        <v/>
      </c>
      <c r="G488" s="116" t="str">
        <f>IF(tbl_Actual_costs_quantities34[[#This Row],[House Code]]&lt;&gt;"",INDEX(tbl_Assessment[],MATCH(tbl_Actual_costs_quantities34[[#This Row],[House Code]],tbl_Assessment[House Code],0),9),"")</f>
        <v/>
      </c>
      <c r="H488" s="41"/>
      <c r="I488" s="41"/>
      <c r="J488" s="41"/>
      <c r="K488" s="116"/>
      <c r="L488" s="117" t="str">
        <f>IF(tbl_Actual_costs_quantities34[[#This Row],[House Code]]&lt;&gt;"",tbl_Actual_costs_quantities34[[#This Row],[Total cost]]/INDEX(tbl_estimated_costs_quantities[],MATCH(tbl_Actual_costs_quantities34[[#This Row],[House Code]],tbl_estimated_costs_quantities[House Code],0),7),"")</f>
        <v/>
      </c>
      <c r="M48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8" s="75"/>
      <c r="O488" s="37"/>
      <c r="P488" s="86">
        <f>tbl_Actual_costs_quantities34[[#This Row],[Site Preparation]]*BOQs!$L$3</f>
        <v>0</v>
      </c>
      <c r="Q488" s="76"/>
      <c r="R488" s="37"/>
      <c r="S488" s="86">
        <f>tbl_Actual_costs_quantities34[[#This Row],[Demolition Removal Unsafe Structures]]*BOQs!$L$4</f>
        <v>0</v>
      </c>
      <c r="T488" s="76"/>
      <c r="U488" s="37"/>
      <c r="V488" s="86">
        <f>tbl_Actual_costs_quantities34[[#This Row],[Concrete Works]]*BOQs!$L$5</f>
        <v>0</v>
      </c>
      <c r="W488" s="76"/>
      <c r="X488" s="37"/>
      <c r="Y488" s="86">
        <f>tbl_Actual_costs_quantities34[[#This Row],[Closure External Openings Walls Windows]]*BOQs!$L$6</f>
        <v>0</v>
      </c>
      <c r="Z488" s="76"/>
      <c r="AA488" s="37"/>
      <c r="AB488" s="86">
        <f>tbl_Actual_costs_quantities34[[#This Row],[Plastering Painting]]*BOQs!$L$7</f>
        <v>0</v>
      </c>
      <c r="AC488" s="76"/>
      <c r="AD488" s="37"/>
      <c r="AE488" s="86">
        <f>tbl_Actual_costs_quantities34[[#This Row],[Floor Repairs]]*BOQs!$L$8</f>
        <v>0</v>
      </c>
      <c r="AF488" s="76"/>
      <c r="AG488" s="37"/>
      <c r="AH488" s="86">
        <f>tbl_Actual_costs_quantities34[[#This Row],[Doors Replacement Repair]]*BOQs!$L$9</f>
        <v>0</v>
      </c>
      <c r="AI488" s="76"/>
      <c r="AJ488" s="37"/>
      <c r="AK488" s="86">
        <f>tbl_Actual_costs_quantities34[[#This Row],[Windows Replacement Repair]]*BOQs!$L$10</f>
        <v>0</v>
      </c>
      <c r="AL488" s="76"/>
      <c r="AM488" s="37"/>
      <c r="AN488" s="86">
        <f>tbl_Actual_costs_quantities34[[#This Row],[Bathroom Rehabilitation]]*BOQs!$L$11</f>
        <v>0</v>
      </c>
      <c r="AO488" s="76"/>
      <c r="AP488" s="37"/>
      <c r="AQ488" s="86">
        <f>tbl_Actual_costs_quantities34[[#This Row],[Ceramic Tile Works WASH]]*BOQs!$L$12</f>
        <v>0</v>
      </c>
      <c r="AR488" s="76"/>
      <c r="AS488" s="37"/>
      <c r="AT488" s="86">
        <f>tbl_Actual_costs_quantities34[[#This Row],[Electrical Repairs Lighting]]*BOQs!$L$13</f>
        <v>0</v>
      </c>
      <c r="AU488" s="76"/>
      <c r="AV488" s="37"/>
      <c r="AW488" s="86">
        <f>tbl_Actual_costs_quantities34[[#This Row],[Roof Insulation Leak Sealing]]*BOQs!$L$14</f>
        <v>0</v>
      </c>
      <c r="AX488" s="76"/>
      <c r="AY488" s="37"/>
      <c r="AZ488" s="86">
        <f>tbl_Actual_costs_quantities34[[#This Row],[Chimney Duct Cleaning Repair]]*BOQs!$L$15</f>
        <v>0</v>
      </c>
      <c r="BA488" s="76"/>
      <c r="BB488" s="37"/>
      <c r="BC488" s="89">
        <f>tbl_Actual_costs_quantities34[[#This Row],[Accessibility Adaptations]]*BOQs!$L$16</f>
        <v>0</v>
      </c>
      <c r="BD488" s="41"/>
      <c r="BE488" s="37"/>
      <c r="BF488" s="37"/>
    </row>
    <row r="489" spans="2:58" ht="25.15" customHeight="1" x14ac:dyDescent="0.25">
      <c r="B489" s="49">
        <v>485</v>
      </c>
      <c r="C489" s="37"/>
      <c r="D489" s="41"/>
      <c r="E489" s="40"/>
      <c r="F489" s="87" t="str">
        <f>IF(tbl_Actual_costs_quantities34[[#This Row],[House Code]]&lt;&gt;"",INDEX(tbl_Assessment[],MATCH(tbl_Actual_costs_quantities34[[#This Row],[House Code]],tbl_Assessment[House Code],0),3),"")</f>
        <v/>
      </c>
      <c r="G489" s="116" t="str">
        <f>IF(tbl_Actual_costs_quantities34[[#This Row],[House Code]]&lt;&gt;"",INDEX(tbl_Assessment[],MATCH(tbl_Actual_costs_quantities34[[#This Row],[House Code]],tbl_Assessment[House Code],0),9),"")</f>
        <v/>
      </c>
      <c r="H489" s="41"/>
      <c r="I489" s="41"/>
      <c r="J489" s="41"/>
      <c r="K489" s="116"/>
      <c r="L489" s="117" t="str">
        <f>IF(tbl_Actual_costs_quantities34[[#This Row],[House Code]]&lt;&gt;"",tbl_Actual_costs_quantities34[[#This Row],[Total cost]]/INDEX(tbl_estimated_costs_quantities[],MATCH(tbl_Actual_costs_quantities34[[#This Row],[House Code]],tbl_estimated_costs_quantities[House Code],0),7),"")</f>
        <v/>
      </c>
      <c r="M48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89" s="75"/>
      <c r="O489" s="37"/>
      <c r="P489" s="86">
        <f>tbl_Actual_costs_quantities34[[#This Row],[Site Preparation]]*BOQs!$L$3</f>
        <v>0</v>
      </c>
      <c r="Q489" s="76"/>
      <c r="R489" s="37"/>
      <c r="S489" s="86">
        <f>tbl_Actual_costs_quantities34[[#This Row],[Demolition Removal Unsafe Structures]]*BOQs!$L$4</f>
        <v>0</v>
      </c>
      <c r="T489" s="76"/>
      <c r="U489" s="37"/>
      <c r="V489" s="86">
        <f>tbl_Actual_costs_quantities34[[#This Row],[Concrete Works]]*BOQs!$L$5</f>
        <v>0</v>
      </c>
      <c r="W489" s="76"/>
      <c r="X489" s="37"/>
      <c r="Y489" s="86">
        <f>tbl_Actual_costs_quantities34[[#This Row],[Closure External Openings Walls Windows]]*BOQs!$L$6</f>
        <v>0</v>
      </c>
      <c r="Z489" s="76"/>
      <c r="AA489" s="37"/>
      <c r="AB489" s="86">
        <f>tbl_Actual_costs_quantities34[[#This Row],[Plastering Painting]]*BOQs!$L$7</f>
        <v>0</v>
      </c>
      <c r="AC489" s="76"/>
      <c r="AD489" s="37"/>
      <c r="AE489" s="86">
        <f>tbl_Actual_costs_quantities34[[#This Row],[Floor Repairs]]*BOQs!$L$8</f>
        <v>0</v>
      </c>
      <c r="AF489" s="76"/>
      <c r="AG489" s="37"/>
      <c r="AH489" s="86">
        <f>tbl_Actual_costs_quantities34[[#This Row],[Doors Replacement Repair]]*BOQs!$L$9</f>
        <v>0</v>
      </c>
      <c r="AI489" s="76"/>
      <c r="AJ489" s="37"/>
      <c r="AK489" s="86">
        <f>tbl_Actual_costs_quantities34[[#This Row],[Windows Replacement Repair]]*BOQs!$L$10</f>
        <v>0</v>
      </c>
      <c r="AL489" s="76"/>
      <c r="AM489" s="37"/>
      <c r="AN489" s="86">
        <f>tbl_Actual_costs_quantities34[[#This Row],[Bathroom Rehabilitation]]*BOQs!$L$11</f>
        <v>0</v>
      </c>
      <c r="AO489" s="76"/>
      <c r="AP489" s="37"/>
      <c r="AQ489" s="86">
        <f>tbl_Actual_costs_quantities34[[#This Row],[Ceramic Tile Works WASH]]*BOQs!$L$12</f>
        <v>0</v>
      </c>
      <c r="AR489" s="76"/>
      <c r="AS489" s="37"/>
      <c r="AT489" s="86">
        <f>tbl_Actual_costs_quantities34[[#This Row],[Electrical Repairs Lighting]]*BOQs!$L$13</f>
        <v>0</v>
      </c>
      <c r="AU489" s="76"/>
      <c r="AV489" s="37"/>
      <c r="AW489" s="86">
        <f>tbl_Actual_costs_quantities34[[#This Row],[Roof Insulation Leak Sealing]]*BOQs!$L$14</f>
        <v>0</v>
      </c>
      <c r="AX489" s="76"/>
      <c r="AY489" s="37"/>
      <c r="AZ489" s="86">
        <f>tbl_Actual_costs_quantities34[[#This Row],[Chimney Duct Cleaning Repair]]*BOQs!$L$15</f>
        <v>0</v>
      </c>
      <c r="BA489" s="76"/>
      <c r="BB489" s="37"/>
      <c r="BC489" s="89">
        <f>tbl_Actual_costs_quantities34[[#This Row],[Accessibility Adaptations]]*BOQs!$L$16</f>
        <v>0</v>
      </c>
      <c r="BD489" s="41"/>
      <c r="BE489" s="37"/>
      <c r="BF489" s="37"/>
    </row>
    <row r="490" spans="2:58" ht="25.15" customHeight="1" x14ac:dyDescent="0.25">
      <c r="B490" s="49">
        <v>486</v>
      </c>
      <c r="C490" s="37"/>
      <c r="D490" s="41"/>
      <c r="E490" s="40"/>
      <c r="F490" s="87" t="str">
        <f>IF(tbl_Actual_costs_quantities34[[#This Row],[House Code]]&lt;&gt;"",INDEX(tbl_Assessment[],MATCH(tbl_Actual_costs_quantities34[[#This Row],[House Code]],tbl_Assessment[House Code],0),3),"")</f>
        <v/>
      </c>
      <c r="G490" s="116" t="str">
        <f>IF(tbl_Actual_costs_quantities34[[#This Row],[House Code]]&lt;&gt;"",INDEX(tbl_Assessment[],MATCH(tbl_Actual_costs_quantities34[[#This Row],[House Code]],tbl_Assessment[House Code],0),9),"")</f>
        <v/>
      </c>
      <c r="H490" s="41"/>
      <c r="I490" s="41"/>
      <c r="J490" s="41"/>
      <c r="K490" s="116"/>
      <c r="L490" s="117" t="str">
        <f>IF(tbl_Actual_costs_quantities34[[#This Row],[House Code]]&lt;&gt;"",tbl_Actual_costs_quantities34[[#This Row],[Total cost]]/INDEX(tbl_estimated_costs_quantities[],MATCH(tbl_Actual_costs_quantities34[[#This Row],[House Code]],tbl_estimated_costs_quantities[House Code],0),7),"")</f>
        <v/>
      </c>
      <c r="M49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0" s="75"/>
      <c r="O490" s="37"/>
      <c r="P490" s="86">
        <f>tbl_Actual_costs_quantities34[[#This Row],[Site Preparation]]*BOQs!$L$3</f>
        <v>0</v>
      </c>
      <c r="Q490" s="76"/>
      <c r="R490" s="37"/>
      <c r="S490" s="86">
        <f>tbl_Actual_costs_quantities34[[#This Row],[Demolition Removal Unsafe Structures]]*BOQs!$L$4</f>
        <v>0</v>
      </c>
      <c r="T490" s="76"/>
      <c r="U490" s="37"/>
      <c r="V490" s="86">
        <f>tbl_Actual_costs_quantities34[[#This Row],[Concrete Works]]*BOQs!$L$5</f>
        <v>0</v>
      </c>
      <c r="W490" s="76"/>
      <c r="X490" s="37"/>
      <c r="Y490" s="86">
        <f>tbl_Actual_costs_quantities34[[#This Row],[Closure External Openings Walls Windows]]*BOQs!$L$6</f>
        <v>0</v>
      </c>
      <c r="Z490" s="76"/>
      <c r="AA490" s="37"/>
      <c r="AB490" s="86">
        <f>tbl_Actual_costs_quantities34[[#This Row],[Plastering Painting]]*BOQs!$L$7</f>
        <v>0</v>
      </c>
      <c r="AC490" s="76"/>
      <c r="AD490" s="37"/>
      <c r="AE490" s="86">
        <f>tbl_Actual_costs_quantities34[[#This Row],[Floor Repairs]]*BOQs!$L$8</f>
        <v>0</v>
      </c>
      <c r="AF490" s="76"/>
      <c r="AG490" s="37"/>
      <c r="AH490" s="86">
        <f>tbl_Actual_costs_quantities34[[#This Row],[Doors Replacement Repair]]*BOQs!$L$9</f>
        <v>0</v>
      </c>
      <c r="AI490" s="76"/>
      <c r="AJ490" s="37"/>
      <c r="AK490" s="86">
        <f>tbl_Actual_costs_quantities34[[#This Row],[Windows Replacement Repair]]*BOQs!$L$10</f>
        <v>0</v>
      </c>
      <c r="AL490" s="76"/>
      <c r="AM490" s="37"/>
      <c r="AN490" s="86">
        <f>tbl_Actual_costs_quantities34[[#This Row],[Bathroom Rehabilitation]]*BOQs!$L$11</f>
        <v>0</v>
      </c>
      <c r="AO490" s="76"/>
      <c r="AP490" s="37"/>
      <c r="AQ490" s="86">
        <f>tbl_Actual_costs_quantities34[[#This Row],[Ceramic Tile Works WASH]]*BOQs!$L$12</f>
        <v>0</v>
      </c>
      <c r="AR490" s="76"/>
      <c r="AS490" s="37"/>
      <c r="AT490" s="86">
        <f>tbl_Actual_costs_quantities34[[#This Row],[Electrical Repairs Lighting]]*BOQs!$L$13</f>
        <v>0</v>
      </c>
      <c r="AU490" s="76"/>
      <c r="AV490" s="37"/>
      <c r="AW490" s="86">
        <f>tbl_Actual_costs_quantities34[[#This Row],[Roof Insulation Leak Sealing]]*BOQs!$L$14</f>
        <v>0</v>
      </c>
      <c r="AX490" s="76"/>
      <c r="AY490" s="37"/>
      <c r="AZ490" s="86">
        <f>tbl_Actual_costs_quantities34[[#This Row],[Chimney Duct Cleaning Repair]]*BOQs!$L$15</f>
        <v>0</v>
      </c>
      <c r="BA490" s="76"/>
      <c r="BB490" s="37"/>
      <c r="BC490" s="89">
        <f>tbl_Actual_costs_quantities34[[#This Row],[Accessibility Adaptations]]*BOQs!$L$16</f>
        <v>0</v>
      </c>
      <c r="BD490" s="41"/>
      <c r="BE490" s="37"/>
      <c r="BF490" s="37"/>
    </row>
    <row r="491" spans="2:58" ht="25.15" customHeight="1" x14ac:dyDescent="0.25">
      <c r="B491" s="49">
        <v>487</v>
      </c>
      <c r="C491" s="37"/>
      <c r="D491" s="41"/>
      <c r="E491" s="40"/>
      <c r="F491" s="87" t="str">
        <f>IF(tbl_Actual_costs_quantities34[[#This Row],[House Code]]&lt;&gt;"",INDEX(tbl_Assessment[],MATCH(tbl_Actual_costs_quantities34[[#This Row],[House Code]],tbl_Assessment[House Code],0),3),"")</f>
        <v/>
      </c>
      <c r="G491" s="116" t="str">
        <f>IF(tbl_Actual_costs_quantities34[[#This Row],[House Code]]&lt;&gt;"",INDEX(tbl_Assessment[],MATCH(tbl_Actual_costs_quantities34[[#This Row],[House Code]],tbl_Assessment[House Code],0),9),"")</f>
        <v/>
      </c>
      <c r="H491" s="41"/>
      <c r="I491" s="41"/>
      <c r="J491" s="41"/>
      <c r="K491" s="116"/>
      <c r="L491" s="117" t="str">
        <f>IF(tbl_Actual_costs_quantities34[[#This Row],[House Code]]&lt;&gt;"",tbl_Actual_costs_quantities34[[#This Row],[Total cost]]/INDEX(tbl_estimated_costs_quantities[],MATCH(tbl_Actual_costs_quantities34[[#This Row],[House Code]],tbl_estimated_costs_quantities[House Code],0),7),"")</f>
        <v/>
      </c>
      <c r="M49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1" s="75"/>
      <c r="O491" s="37"/>
      <c r="P491" s="86">
        <f>tbl_Actual_costs_quantities34[[#This Row],[Site Preparation]]*BOQs!$L$3</f>
        <v>0</v>
      </c>
      <c r="Q491" s="76"/>
      <c r="R491" s="37"/>
      <c r="S491" s="86">
        <f>tbl_Actual_costs_quantities34[[#This Row],[Demolition Removal Unsafe Structures]]*BOQs!$L$4</f>
        <v>0</v>
      </c>
      <c r="T491" s="76"/>
      <c r="U491" s="37"/>
      <c r="V491" s="86">
        <f>tbl_Actual_costs_quantities34[[#This Row],[Concrete Works]]*BOQs!$L$5</f>
        <v>0</v>
      </c>
      <c r="W491" s="76"/>
      <c r="X491" s="37"/>
      <c r="Y491" s="86">
        <f>tbl_Actual_costs_quantities34[[#This Row],[Closure External Openings Walls Windows]]*BOQs!$L$6</f>
        <v>0</v>
      </c>
      <c r="Z491" s="76"/>
      <c r="AA491" s="37"/>
      <c r="AB491" s="86">
        <f>tbl_Actual_costs_quantities34[[#This Row],[Plastering Painting]]*BOQs!$L$7</f>
        <v>0</v>
      </c>
      <c r="AC491" s="76"/>
      <c r="AD491" s="37"/>
      <c r="AE491" s="86">
        <f>tbl_Actual_costs_quantities34[[#This Row],[Floor Repairs]]*BOQs!$L$8</f>
        <v>0</v>
      </c>
      <c r="AF491" s="76"/>
      <c r="AG491" s="37"/>
      <c r="AH491" s="86">
        <f>tbl_Actual_costs_quantities34[[#This Row],[Doors Replacement Repair]]*BOQs!$L$9</f>
        <v>0</v>
      </c>
      <c r="AI491" s="76"/>
      <c r="AJ491" s="37"/>
      <c r="AK491" s="86">
        <f>tbl_Actual_costs_quantities34[[#This Row],[Windows Replacement Repair]]*BOQs!$L$10</f>
        <v>0</v>
      </c>
      <c r="AL491" s="76"/>
      <c r="AM491" s="37"/>
      <c r="AN491" s="86">
        <f>tbl_Actual_costs_quantities34[[#This Row],[Bathroom Rehabilitation]]*BOQs!$L$11</f>
        <v>0</v>
      </c>
      <c r="AO491" s="76"/>
      <c r="AP491" s="37"/>
      <c r="AQ491" s="86">
        <f>tbl_Actual_costs_quantities34[[#This Row],[Ceramic Tile Works WASH]]*BOQs!$L$12</f>
        <v>0</v>
      </c>
      <c r="AR491" s="76"/>
      <c r="AS491" s="37"/>
      <c r="AT491" s="86">
        <f>tbl_Actual_costs_quantities34[[#This Row],[Electrical Repairs Lighting]]*BOQs!$L$13</f>
        <v>0</v>
      </c>
      <c r="AU491" s="76"/>
      <c r="AV491" s="37"/>
      <c r="AW491" s="86">
        <f>tbl_Actual_costs_quantities34[[#This Row],[Roof Insulation Leak Sealing]]*BOQs!$L$14</f>
        <v>0</v>
      </c>
      <c r="AX491" s="76"/>
      <c r="AY491" s="37"/>
      <c r="AZ491" s="86">
        <f>tbl_Actual_costs_quantities34[[#This Row],[Chimney Duct Cleaning Repair]]*BOQs!$L$15</f>
        <v>0</v>
      </c>
      <c r="BA491" s="76"/>
      <c r="BB491" s="37"/>
      <c r="BC491" s="89">
        <f>tbl_Actual_costs_quantities34[[#This Row],[Accessibility Adaptations]]*BOQs!$L$16</f>
        <v>0</v>
      </c>
      <c r="BD491" s="41"/>
      <c r="BE491" s="37"/>
      <c r="BF491" s="37"/>
    </row>
    <row r="492" spans="2:58" ht="25.15" customHeight="1" x14ac:dyDescent="0.25">
      <c r="B492" s="49">
        <v>488</v>
      </c>
      <c r="C492" s="37"/>
      <c r="D492" s="41"/>
      <c r="E492" s="40"/>
      <c r="F492" s="87" t="str">
        <f>IF(tbl_Actual_costs_quantities34[[#This Row],[House Code]]&lt;&gt;"",INDEX(tbl_Assessment[],MATCH(tbl_Actual_costs_quantities34[[#This Row],[House Code]],tbl_Assessment[House Code],0),3),"")</f>
        <v/>
      </c>
      <c r="G492" s="116" t="str">
        <f>IF(tbl_Actual_costs_quantities34[[#This Row],[House Code]]&lt;&gt;"",INDEX(tbl_Assessment[],MATCH(tbl_Actual_costs_quantities34[[#This Row],[House Code]],tbl_Assessment[House Code],0),9),"")</f>
        <v/>
      </c>
      <c r="H492" s="41"/>
      <c r="I492" s="41"/>
      <c r="J492" s="41"/>
      <c r="K492" s="116"/>
      <c r="L492" s="117" t="str">
        <f>IF(tbl_Actual_costs_quantities34[[#This Row],[House Code]]&lt;&gt;"",tbl_Actual_costs_quantities34[[#This Row],[Total cost]]/INDEX(tbl_estimated_costs_quantities[],MATCH(tbl_Actual_costs_quantities34[[#This Row],[House Code]],tbl_estimated_costs_quantities[House Code],0),7),"")</f>
        <v/>
      </c>
      <c r="M49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2" s="75"/>
      <c r="O492" s="37"/>
      <c r="P492" s="86">
        <f>tbl_Actual_costs_quantities34[[#This Row],[Site Preparation]]*BOQs!$L$3</f>
        <v>0</v>
      </c>
      <c r="Q492" s="76"/>
      <c r="R492" s="37"/>
      <c r="S492" s="86">
        <f>tbl_Actual_costs_quantities34[[#This Row],[Demolition Removal Unsafe Structures]]*BOQs!$L$4</f>
        <v>0</v>
      </c>
      <c r="T492" s="76"/>
      <c r="U492" s="37"/>
      <c r="V492" s="86">
        <f>tbl_Actual_costs_quantities34[[#This Row],[Concrete Works]]*BOQs!$L$5</f>
        <v>0</v>
      </c>
      <c r="W492" s="76"/>
      <c r="X492" s="37"/>
      <c r="Y492" s="86">
        <f>tbl_Actual_costs_quantities34[[#This Row],[Closure External Openings Walls Windows]]*BOQs!$L$6</f>
        <v>0</v>
      </c>
      <c r="Z492" s="76"/>
      <c r="AA492" s="37"/>
      <c r="AB492" s="86">
        <f>tbl_Actual_costs_quantities34[[#This Row],[Plastering Painting]]*BOQs!$L$7</f>
        <v>0</v>
      </c>
      <c r="AC492" s="76"/>
      <c r="AD492" s="37"/>
      <c r="AE492" s="86">
        <f>tbl_Actual_costs_quantities34[[#This Row],[Floor Repairs]]*BOQs!$L$8</f>
        <v>0</v>
      </c>
      <c r="AF492" s="76"/>
      <c r="AG492" s="37"/>
      <c r="AH492" s="86">
        <f>tbl_Actual_costs_quantities34[[#This Row],[Doors Replacement Repair]]*BOQs!$L$9</f>
        <v>0</v>
      </c>
      <c r="AI492" s="76"/>
      <c r="AJ492" s="37"/>
      <c r="AK492" s="86">
        <f>tbl_Actual_costs_quantities34[[#This Row],[Windows Replacement Repair]]*BOQs!$L$10</f>
        <v>0</v>
      </c>
      <c r="AL492" s="76"/>
      <c r="AM492" s="37"/>
      <c r="AN492" s="86">
        <f>tbl_Actual_costs_quantities34[[#This Row],[Bathroom Rehabilitation]]*BOQs!$L$11</f>
        <v>0</v>
      </c>
      <c r="AO492" s="76"/>
      <c r="AP492" s="37"/>
      <c r="AQ492" s="86">
        <f>tbl_Actual_costs_quantities34[[#This Row],[Ceramic Tile Works WASH]]*BOQs!$L$12</f>
        <v>0</v>
      </c>
      <c r="AR492" s="76"/>
      <c r="AS492" s="37"/>
      <c r="AT492" s="86">
        <f>tbl_Actual_costs_quantities34[[#This Row],[Electrical Repairs Lighting]]*BOQs!$L$13</f>
        <v>0</v>
      </c>
      <c r="AU492" s="76"/>
      <c r="AV492" s="37"/>
      <c r="AW492" s="86">
        <f>tbl_Actual_costs_quantities34[[#This Row],[Roof Insulation Leak Sealing]]*BOQs!$L$14</f>
        <v>0</v>
      </c>
      <c r="AX492" s="76"/>
      <c r="AY492" s="37"/>
      <c r="AZ492" s="86">
        <f>tbl_Actual_costs_quantities34[[#This Row],[Chimney Duct Cleaning Repair]]*BOQs!$L$15</f>
        <v>0</v>
      </c>
      <c r="BA492" s="76"/>
      <c r="BB492" s="37"/>
      <c r="BC492" s="89">
        <f>tbl_Actual_costs_quantities34[[#This Row],[Accessibility Adaptations]]*BOQs!$L$16</f>
        <v>0</v>
      </c>
      <c r="BD492" s="41"/>
      <c r="BE492" s="37"/>
      <c r="BF492" s="37"/>
    </row>
    <row r="493" spans="2:58" ht="25.15" customHeight="1" x14ac:dyDescent="0.25">
      <c r="B493" s="49">
        <v>489</v>
      </c>
      <c r="C493" s="37"/>
      <c r="D493" s="41"/>
      <c r="E493" s="40"/>
      <c r="F493" s="87" t="str">
        <f>IF(tbl_Actual_costs_quantities34[[#This Row],[House Code]]&lt;&gt;"",INDEX(tbl_Assessment[],MATCH(tbl_Actual_costs_quantities34[[#This Row],[House Code]],tbl_Assessment[House Code],0),3),"")</f>
        <v/>
      </c>
      <c r="G493" s="116" t="str">
        <f>IF(tbl_Actual_costs_quantities34[[#This Row],[House Code]]&lt;&gt;"",INDEX(tbl_Assessment[],MATCH(tbl_Actual_costs_quantities34[[#This Row],[House Code]],tbl_Assessment[House Code],0),9),"")</f>
        <v/>
      </c>
      <c r="H493" s="41"/>
      <c r="I493" s="41"/>
      <c r="J493" s="41"/>
      <c r="K493" s="116"/>
      <c r="L493" s="117" t="str">
        <f>IF(tbl_Actual_costs_quantities34[[#This Row],[House Code]]&lt;&gt;"",tbl_Actual_costs_quantities34[[#This Row],[Total cost]]/INDEX(tbl_estimated_costs_quantities[],MATCH(tbl_Actual_costs_quantities34[[#This Row],[House Code]],tbl_estimated_costs_quantities[House Code],0),7),"")</f>
        <v/>
      </c>
      <c r="M49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3" s="75"/>
      <c r="O493" s="37"/>
      <c r="P493" s="86">
        <f>tbl_Actual_costs_quantities34[[#This Row],[Site Preparation]]*BOQs!$L$3</f>
        <v>0</v>
      </c>
      <c r="Q493" s="76"/>
      <c r="R493" s="37"/>
      <c r="S493" s="86">
        <f>tbl_Actual_costs_quantities34[[#This Row],[Demolition Removal Unsafe Structures]]*BOQs!$L$4</f>
        <v>0</v>
      </c>
      <c r="T493" s="76"/>
      <c r="U493" s="37"/>
      <c r="V493" s="86">
        <f>tbl_Actual_costs_quantities34[[#This Row],[Concrete Works]]*BOQs!$L$5</f>
        <v>0</v>
      </c>
      <c r="W493" s="76"/>
      <c r="X493" s="37"/>
      <c r="Y493" s="86">
        <f>tbl_Actual_costs_quantities34[[#This Row],[Closure External Openings Walls Windows]]*BOQs!$L$6</f>
        <v>0</v>
      </c>
      <c r="Z493" s="76"/>
      <c r="AA493" s="37"/>
      <c r="AB493" s="86">
        <f>tbl_Actual_costs_quantities34[[#This Row],[Plastering Painting]]*BOQs!$L$7</f>
        <v>0</v>
      </c>
      <c r="AC493" s="76"/>
      <c r="AD493" s="37"/>
      <c r="AE493" s="86">
        <f>tbl_Actual_costs_quantities34[[#This Row],[Floor Repairs]]*BOQs!$L$8</f>
        <v>0</v>
      </c>
      <c r="AF493" s="76"/>
      <c r="AG493" s="37"/>
      <c r="AH493" s="86">
        <f>tbl_Actual_costs_quantities34[[#This Row],[Doors Replacement Repair]]*BOQs!$L$9</f>
        <v>0</v>
      </c>
      <c r="AI493" s="76"/>
      <c r="AJ493" s="37"/>
      <c r="AK493" s="86">
        <f>tbl_Actual_costs_quantities34[[#This Row],[Windows Replacement Repair]]*BOQs!$L$10</f>
        <v>0</v>
      </c>
      <c r="AL493" s="76"/>
      <c r="AM493" s="37"/>
      <c r="AN493" s="86">
        <f>tbl_Actual_costs_quantities34[[#This Row],[Bathroom Rehabilitation]]*BOQs!$L$11</f>
        <v>0</v>
      </c>
      <c r="AO493" s="76"/>
      <c r="AP493" s="37"/>
      <c r="AQ493" s="86">
        <f>tbl_Actual_costs_quantities34[[#This Row],[Ceramic Tile Works WASH]]*BOQs!$L$12</f>
        <v>0</v>
      </c>
      <c r="AR493" s="76"/>
      <c r="AS493" s="37"/>
      <c r="AT493" s="86">
        <f>tbl_Actual_costs_quantities34[[#This Row],[Electrical Repairs Lighting]]*BOQs!$L$13</f>
        <v>0</v>
      </c>
      <c r="AU493" s="76"/>
      <c r="AV493" s="37"/>
      <c r="AW493" s="86">
        <f>tbl_Actual_costs_quantities34[[#This Row],[Roof Insulation Leak Sealing]]*BOQs!$L$14</f>
        <v>0</v>
      </c>
      <c r="AX493" s="76"/>
      <c r="AY493" s="37"/>
      <c r="AZ493" s="86">
        <f>tbl_Actual_costs_quantities34[[#This Row],[Chimney Duct Cleaning Repair]]*BOQs!$L$15</f>
        <v>0</v>
      </c>
      <c r="BA493" s="76"/>
      <c r="BB493" s="37"/>
      <c r="BC493" s="89">
        <f>tbl_Actual_costs_quantities34[[#This Row],[Accessibility Adaptations]]*BOQs!$L$16</f>
        <v>0</v>
      </c>
      <c r="BD493" s="41"/>
      <c r="BE493" s="37"/>
      <c r="BF493" s="37"/>
    </row>
    <row r="494" spans="2:58" ht="25.15" customHeight="1" x14ac:dyDescent="0.25">
      <c r="B494" s="49">
        <v>490</v>
      </c>
      <c r="C494" s="37"/>
      <c r="D494" s="41"/>
      <c r="E494" s="40"/>
      <c r="F494" s="87" t="str">
        <f>IF(tbl_Actual_costs_quantities34[[#This Row],[House Code]]&lt;&gt;"",INDEX(tbl_Assessment[],MATCH(tbl_Actual_costs_quantities34[[#This Row],[House Code]],tbl_Assessment[House Code],0),3),"")</f>
        <v/>
      </c>
      <c r="G494" s="116" t="str">
        <f>IF(tbl_Actual_costs_quantities34[[#This Row],[House Code]]&lt;&gt;"",INDEX(tbl_Assessment[],MATCH(tbl_Actual_costs_quantities34[[#This Row],[House Code]],tbl_Assessment[House Code],0),9),"")</f>
        <v/>
      </c>
      <c r="H494" s="41"/>
      <c r="I494" s="41"/>
      <c r="J494" s="41"/>
      <c r="K494" s="116"/>
      <c r="L494" s="117" t="str">
        <f>IF(tbl_Actual_costs_quantities34[[#This Row],[House Code]]&lt;&gt;"",tbl_Actual_costs_quantities34[[#This Row],[Total cost]]/INDEX(tbl_estimated_costs_quantities[],MATCH(tbl_Actual_costs_quantities34[[#This Row],[House Code]],tbl_estimated_costs_quantities[House Code],0),7),"")</f>
        <v/>
      </c>
      <c r="M49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4" s="75"/>
      <c r="O494" s="37"/>
      <c r="P494" s="86">
        <f>tbl_Actual_costs_quantities34[[#This Row],[Site Preparation]]*BOQs!$L$3</f>
        <v>0</v>
      </c>
      <c r="Q494" s="76"/>
      <c r="R494" s="37"/>
      <c r="S494" s="86">
        <f>tbl_Actual_costs_quantities34[[#This Row],[Demolition Removal Unsafe Structures]]*BOQs!$L$4</f>
        <v>0</v>
      </c>
      <c r="T494" s="76"/>
      <c r="U494" s="37"/>
      <c r="V494" s="86">
        <f>tbl_Actual_costs_quantities34[[#This Row],[Concrete Works]]*BOQs!$L$5</f>
        <v>0</v>
      </c>
      <c r="W494" s="76"/>
      <c r="X494" s="37"/>
      <c r="Y494" s="86">
        <f>tbl_Actual_costs_quantities34[[#This Row],[Closure External Openings Walls Windows]]*BOQs!$L$6</f>
        <v>0</v>
      </c>
      <c r="Z494" s="76"/>
      <c r="AA494" s="37"/>
      <c r="AB494" s="86">
        <f>tbl_Actual_costs_quantities34[[#This Row],[Plastering Painting]]*BOQs!$L$7</f>
        <v>0</v>
      </c>
      <c r="AC494" s="76"/>
      <c r="AD494" s="37"/>
      <c r="AE494" s="86">
        <f>tbl_Actual_costs_quantities34[[#This Row],[Floor Repairs]]*BOQs!$L$8</f>
        <v>0</v>
      </c>
      <c r="AF494" s="76"/>
      <c r="AG494" s="37"/>
      <c r="AH494" s="86">
        <f>tbl_Actual_costs_quantities34[[#This Row],[Doors Replacement Repair]]*BOQs!$L$9</f>
        <v>0</v>
      </c>
      <c r="AI494" s="76"/>
      <c r="AJ494" s="37"/>
      <c r="AK494" s="86">
        <f>tbl_Actual_costs_quantities34[[#This Row],[Windows Replacement Repair]]*BOQs!$L$10</f>
        <v>0</v>
      </c>
      <c r="AL494" s="76"/>
      <c r="AM494" s="37"/>
      <c r="AN494" s="86">
        <f>tbl_Actual_costs_quantities34[[#This Row],[Bathroom Rehabilitation]]*BOQs!$L$11</f>
        <v>0</v>
      </c>
      <c r="AO494" s="76"/>
      <c r="AP494" s="37"/>
      <c r="AQ494" s="86">
        <f>tbl_Actual_costs_quantities34[[#This Row],[Ceramic Tile Works WASH]]*BOQs!$L$12</f>
        <v>0</v>
      </c>
      <c r="AR494" s="76"/>
      <c r="AS494" s="37"/>
      <c r="AT494" s="86">
        <f>tbl_Actual_costs_quantities34[[#This Row],[Electrical Repairs Lighting]]*BOQs!$L$13</f>
        <v>0</v>
      </c>
      <c r="AU494" s="76"/>
      <c r="AV494" s="37"/>
      <c r="AW494" s="86">
        <f>tbl_Actual_costs_quantities34[[#This Row],[Roof Insulation Leak Sealing]]*BOQs!$L$14</f>
        <v>0</v>
      </c>
      <c r="AX494" s="76"/>
      <c r="AY494" s="37"/>
      <c r="AZ494" s="86">
        <f>tbl_Actual_costs_quantities34[[#This Row],[Chimney Duct Cleaning Repair]]*BOQs!$L$15</f>
        <v>0</v>
      </c>
      <c r="BA494" s="76"/>
      <c r="BB494" s="37"/>
      <c r="BC494" s="89">
        <f>tbl_Actual_costs_quantities34[[#This Row],[Accessibility Adaptations]]*BOQs!$L$16</f>
        <v>0</v>
      </c>
      <c r="BD494" s="41"/>
      <c r="BE494" s="37"/>
      <c r="BF494" s="37"/>
    </row>
    <row r="495" spans="2:58" ht="25.15" customHeight="1" x14ac:dyDescent="0.25">
      <c r="B495" s="49">
        <v>491</v>
      </c>
      <c r="C495" s="37"/>
      <c r="D495" s="41"/>
      <c r="E495" s="40"/>
      <c r="F495" s="87" t="str">
        <f>IF(tbl_Actual_costs_quantities34[[#This Row],[House Code]]&lt;&gt;"",INDEX(tbl_Assessment[],MATCH(tbl_Actual_costs_quantities34[[#This Row],[House Code]],tbl_Assessment[House Code],0),3),"")</f>
        <v/>
      </c>
      <c r="G495" s="116" t="str">
        <f>IF(tbl_Actual_costs_quantities34[[#This Row],[House Code]]&lt;&gt;"",INDEX(tbl_Assessment[],MATCH(tbl_Actual_costs_quantities34[[#This Row],[House Code]],tbl_Assessment[House Code],0),9),"")</f>
        <v/>
      </c>
      <c r="H495" s="41"/>
      <c r="I495" s="41"/>
      <c r="J495" s="41"/>
      <c r="K495" s="116"/>
      <c r="L495" s="117" t="str">
        <f>IF(tbl_Actual_costs_quantities34[[#This Row],[House Code]]&lt;&gt;"",tbl_Actual_costs_quantities34[[#This Row],[Total cost]]/INDEX(tbl_estimated_costs_quantities[],MATCH(tbl_Actual_costs_quantities34[[#This Row],[House Code]],tbl_estimated_costs_quantities[House Code],0),7),"")</f>
        <v/>
      </c>
      <c r="M49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5" s="75"/>
      <c r="O495" s="37"/>
      <c r="P495" s="86">
        <f>tbl_Actual_costs_quantities34[[#This Row],[Site Preparation]]*BOQs!$L$3</f>
        <v>0</v>
      </c>
      <c r="Q495" s="76"/>
      <c r="R495" s="37"/>
      <c r="S495" s="86">
        <f>tbl_Actual_costs_quantities34[[#This Row],[Demolition Removal Unsafe Structures]]*BOQs!$L$4</f>
        <v>0</v>
      </c>
      <c r="T495" s="76"/>
      <c r="U495" s="37"/>
      <c r="V495" s="86">
        <f>tbl_Actual_costs_quantities34[[#This Row],[Concrete Works]]*BOQs!$L$5</f>
        <v>0</v>
      </c>
      <c r="W495" s="76"/>
      <c r="X495" s="37"/>
      <c r="Y495" s="86">
        <f>tbl_Actual_costs_quantities34[[#This Row],[Closure External Openings Walls Windows]]*BOQs!$L$6</f>
        <v>0</v>
      </c>
      <c r="Z495" s="76"/>
      <c r="AA495" s="37"/>
      <c r="AB495" s="86">
        <f>tbl_Actual_costs_quantities34[[#This Row],[Plastering Painting]]*BOQs!$L$7</f>
        <v>0</v>
      </c>
      <c r="AC495" s="76"/>
      <c r="AD495" s="37"/>
      <c r="AE495" s="86">
        <f>tbl_Actual_costs_quantities34[[#This Row],[Floor Repairs]]*BOQs!$L$8</f>
        <v>0</v>
      </c>
      <c r="AF495" s="76"/>
      <c r="AG495" s="37"/>
      <c r="AH495" s="86">
        <f>tbl_Actual_costs_quantities34[[#This Row],[Doors Replacement Repair]]*BOQs!$L$9</f>
        <v>0</v>
      </c>
      <c r="AI495" s="76"/>
      <c r="AJ495" s="37"/>
      <c r="AK495" s="86">
        <f>tbl_Actual_costs_quantities34[[#This Row],[Windows Replacement Repair]]*BOQs!$L$10</f>
        <v>0</v>
      </c>
      <c r="AL495" s="76"/>
      <c r="AM495" s="37"/>
      <c r="AN495" s="86">
        <f>tbl_Actual_costs_quantities34[[#This Row],[Bathroom Rehabilitation]]*BOQs!$L$11</f>
        <v>0</v>
      </c>
      <c r="AO495" s="76"/>
      <c r="AP495" s="37"/>
      <c r="AQ495" s="86">
        <f>tbl_Actual_costs_quantities34[[#This Row],[Ceramic Tile Works WASH]]*BOQs!$L$12</f>
        <v>0</v>
      </c>
      <c r="AR495" s="76"/>
      <c r="AS495" s="37"/>
      <c r="AT495" s="86">
        <f>tbl_Actual_costs_quantities34[[#This Row],[Electrical Repairs Lighting]]*BOQs!$L$13</f>
        <v>0</v>
      </c>
      <c r="AU495" s="76"/>
      <c r="AV495" s="37"/>
      <c r="AW495" s="86">
        <f>tbl_Actual_costs_quantities34[[#This Row],[Roof Insulation Leak Sealing]]*BOQs!$L$14</f>
        <v>0</v>
      </c>
      <c r="AX495" s="76"/>
      <c r="AY495" s="37"/>
      <c r="AZ495" s="86">
        <f>tbl_Actual_costs_quantities34[[#This Row],[Chimney Duct Cleaning Repair]]*BOQs!$L$15</f>
        <v>0</v>
      </c>
      <c r="BA495" s="76"/>
      <c r="BB495" s="37"/>
      <c r="BC495" s="89">
        <f>tbl_Actual_costs_quantities34[[#This Row],[Accessibility Adaptations]]*BOQs!$L$16</f>
        <v>0</v>
      </c>
      <c r="BD495" s="41"/>
      <c r="BE495" s="37"/>
      <c r="BF495" s="37"/>
    </row>
    <row r="496" spans="2:58" ht="25.15" customHeight="1" x14ac:dyDescent="0.25">
      <c r="B496" s="49">
        <v>492</v>
      </c>
      <c r="C496" s="37"/>
      <c r="D496" s="41"/>
      <c r="E496" s="40"/>
      <c r="F496" s="87" t="str">
        <f>IF(tbl_Actual_costs_quantities34[[#This Row],[House Code]]&lt;&gt;"",INDEX(tbl_Assessment[],MATCH(tbl_Actual_costs_quantities34[[#This Row],[House Code]],tbl_Assessment[House Code],0),3),"")</f>
        <v/>
      </c>
      <c r="G496" s="116" t="str">
        <f>IF(tbl_Actual_costs_quantities34[[#This Row],[House Code]]&lt;&gt;"",INDEX(tbl_Assessment[],MATCH(tbl_Actual_costs_quantities34[[#This Row],[House Code]],tbl_Assessment[House Code],0),9),"")</f>
        <v/>
      </c>
      <c r="H496" s="41"/>
      <c r="I496" s="41"/>
      <c r="J496" s="41"/>
      <c r="K496" s="116"/>
      <c r="L496" s="117" t="str">
        <f>IF(tbl_Actual_costs_quantities34[[#This Row],[House Code]]&lt;&gt;"",tbl_Actual_costs_quantities34[[#This Row],[Total cost]]/INDEX(tbl_estimated_costs_quantities[],MATCH(tbl_Actual_costs_quantities34[[#This Row],[House Code]],tbl_estimated_costs_quantities[House Code],0),7),"")</f>
        <v/>
      </c>
      <c r="M49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6" s="75"/>
      <c r="O496" s="37"/>
      <c r="P496" s="86">
        <f>tbl_Actual_costs_quantities34[[#This Row],[Site Preparation]]*BOQs!$L$3</f>
        <v>0</v>
      </c>
      <c r="Q496" s="76"/>
      <c r="R496" s="37"/>
      <c r="S496" s="86">
        <f>tbl_Actual_costs_quantities34[[#This Row],[Demolition Removal Unsafe Structures]]*BOQs!$L$4</f>
        <v>0</v>
      </c>
      <c r="T496" s="76"/>
      <c r="U496" s="37"/>
      <c r="V496" s="86">
        <f>tbl_Actual_costs_quantities34[[#This Row],[Concrete Works]]*BOQs!$L$5</f>
        <v>0</v>
      </c>
      <c r="W496" s="76"/>
      <c r="X496" s="37"/>
      <c r="Y496" s="86">
        <f>tbl_Actual_costs_quantities34[[#This Row],[Closure External Openings Walls Windows]]*BOQs!$L$6</f>
        <v>0</v>
      </c>
      <c r="Z496" s="76"/>
      <c r="AA496" s="37"/>
      <c r="AB496" s="86">
        <f>tbl_Actual_costs_quantities34[[#This Row],[Plastering Painting]]*BOQs!$L$7</f>
        <v>0</v>
      </c>
      <c r="AC496" s="76"/>
      <c r="AD496" s="37"/>
      <c r="AE496" s="86">
        <f>tbl_Actual_costs_quantities34[[#This Row],[Floor Repairs]]*BOQs!$L$8</f>
        <v>0</v>
      </c>
      <c r="AF496" s="76"/>
      <c r="AG496" s="37"/>
      <c r="AH496" s="86">
        <f>tbl_Actual_costs_quantities34[[#This Row],[Doors Replacement Repair]]*BOQs!$L$9</f>
        <v>0</v>
      </c>
      <c r="AI496" s="76"/>
      <c r="AJ496" s="37"/>
      <c r="AK496" s="86">
        <f>tbl_Actual_costs_quantities34[[#This Row],[Windows Replacement Repair]]*BOQs!$L$10</f>
        <v>0</v>
      </c>
      <c r="AL496" s="76"/>
      <c r="AM496" s="37"/>
      <c r="AN496" s="86">
        <f>tbl_Actual_costs_quantities34[[#This Row],[Bathroom Rehabilitation]]*BOQs!$L$11</f>
        <v>0</v>
      </c>
      <c r="AO496" s="76"/>
      <c r="AP496" s="37"/>
      <c r="AQ496" s="86">
        <f>tbl_Actual_costs_quantities34[[#This Row],[Ceramic Tile Works WASH]]*BOQs!$L$12</f>
        <v>0</v>
      </c>
      <c r="AR496" s="76"/>
      <c r="AS496" s="37"/>
      <c r="AT496" s="86">
        <f>tbl_Actual_costs_quantities34[[#This Row],[Electrical Repairs Lighting]]*BOQs!$L$13</f>
        <v>0</v>
      </c>
      <c r="AU496" s="76"/>
      <c r="AV496" s="37"/>
      <c r="AW496" s="86">
        <f>tbl_Actual_costs_quantities34[[#This Row],[Roof Insulation Leak Sealing]]*BOQs!$L$14</f>
        <v>0</v>
      </c>
      <c r="AX496" s="76"/>
      <c r="AY496" s="37"/>
      <c r="AZ496" s="86">
        <f>tbl_Actual_costs_quantities34[[#This Row],[Chimney Duct Cleaning Repair]]*BOQs!$L$15</f>
        <v>0</v>
      </c>
      <c r="BA496" s="76"/>
      <c r="BB496" s="37"/>
      <c r="BC496" s="89">
        <f>tbl_Actual_costs_quantities34[[#This Row],[Accessibility Adaptations]]*BOQs!$L$16</f>
        <v>0</v>
      </c>
      <c r="BD496" s="41"/>
      <c r="BE496" s="37"/>
      <c r="BF496" s="37"/>
    </row>
    <row r="497" spans="2:58" ht="25.15" customHeight="1" x14ac:dyDescent="0.25">
      <c r="B497" s="49">
        <v>493</v>
      </c>
      <c r="C497" s="37"/>
      <c r="D497" s="41"/>
      <c r="E497" s="40"/>
      <c r="F497" s="87" t="str">
        <f>IF(tbl_Actual_costs_quantities34[[#This Row],[House Code]]&lt;&gt;"",INDEX(tbl_Assessment[],MATCH(tbl_Actual_costs_quantities34[[#This Row],[House Code]],tbl_Assessment[House Code],0),3),"")</f>
        <v/>
      </c>
      <c r="G497" s="116" t="str">
        <f>IF(tbl_Actual_costs_quantities34[[#This Row],[House Code]]&lt;&gt;"",INDEX(tbl_Assessment[],MATCH(tbl_Actual_costs_quantities34[[#This Row],[House Code]],tbl_Assessment[House Code],0),9),"")</f>
        <v/>
      </c>
      <c r="H497" s="41"/>
      <c r="I497" s="41"/>
      <c r="J497" s="41"/>
      <c r="K497" s="116"/>
      <c r="L497" s="117" t="str">
        <f>IF(tbl_Actual_costs_quantities34[[#This Row],[House Code]]&lt;&gt;"",tbl_Actual_costs_quantities34[[#This Row],[Total cost]]/INDEX(tbl_estimated_costs_quantities[],MATCH(tbl_Actual_costs_quantities34[[#This Row],[House Code]],tbl_estimated_costs_quantities[House Code],0),7),"")</f>
        <v/>
      </c>
      <c r="M49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7" s="75"/>
      <c r="O497" s="37"/>
      <c r="P497" s="86">
        <f>tbl_Actual_costs_quantities34[[#This Row],[Site Preparation]]*BOQs!$L$3</f>
        <v>0</v>
      </c>
      <c r="Q497" s="76"/>
      <c r="R497" s="37"/>
      <c r="S497" s="86">
        <f>tbl_Actual_costs_quantities34[[#This Row],[Demolition Removal Unsafe Structures]]*BOQs!$L$4</f>
        <v>0</v>
      </c>
      <c r="T497" s="76"/>
      <c r="U497" s="37"/>
      <c r="V497" s="86">
        <f>tbl_Actual_costs_quantities34[[#This Row],[Concrete Works]]*BOQs!$L$5</f>
        <v>0</v>
      </c>
      <c r="W497" s="76"/>
      <c r="X497" s="37"/>
      <c r="Y497" s="86">
        <f>tbl_Actual_costs_quantities34[[#This Row],[Closure External Openings Walls Windows]]*BOQs!$L$6</f>
        <v>0</v>
      </c>
      <c r="Z497" s="76"/>
      <c r="AA497" s="37"/>
      <c r="AB497" s="86">
        <f>tbl_Actual_costs_quantities34[[#This Row],[Plastering Painting]]*BOQs!$L$7</f>
        <v>0</v>
      </c>
      <c r="AC497" s="76"/>
      <c r="AD497" s="37"/>
      <c r="AE497" s="86">
        <f>tbl_Actual_costs_quantities34[[#This Row],[Floor Repairs]]*BOQs!$L$8</f>
        <v>0</v>
      </c>
      <c r="AF497" s="76"/>
      <c r="AG497" s="37"/>
      <c r="AH497" s="86">
        <f>tbl_Actual_costs_quantities34[[#This Row],[Doors Replacement Repair]]*BOQs!$L$9</f>
        <v>0</v>
      </c>
      <c r="AI497" s="76"/>
      <c r="AJ497" s="37"/>
      <c r="AK497" s="86">
        <f>tbl_Actual_costs_quantities34[[#This Row],[Windows Replacement Repair]]*BOQs!$L$10</f>
        <v>0</v>
      </c>
      <c r="AL497" s="76"/>
      <c r="AM497" s="37"/>
      <c r="AN497" s="86">
        <f>tbl_Actual_costs_quantities34[[#This Row],[Bathroom Rehabilitation]]*BOQs!$L$11</f>
        <v>0</v>
      </c>
      <c r="AO497" s="76"/>
      <c r="AP497" s="37"/>
      <c r="AQ497" s="86">
        <f>tbl_Actual_costs_quantities34[[#This Row],[Ceramic Tile Works WASH]]*BOQs!$L$12</f>
        <v>0</v>
      </c>
      <c r="AR497" s="76"/>
      <c r="AS497" s="37"/>
      <c r="AT497" s="86">
        <f>tbl_Actual_costs_quantities34[[#This Row],[Electrical Repairs Lighting]]*BOQs!$L$13</f>
        <v>0</v>
      </c>
      <c r="AU497" s="76"/>
      <c r="AV497" s="37"/>
      <c r="AW497" s="86">
        <f>tbl_Actual_costs_quantities34[[#This Row],[Roof Insulation Leak Sealing]]*BOQs!$L$14</f>
        <v>0</v>
      </c>
      <c r="AX497" s="76"/>
      <c r="AY497" s="37"/>
      <c r="AZ497" s="86">
        <f>tbl_Actual_costs_quantities34[[#This Row],[Chimney Duct Cleaning Repair]]*BOQs!$L$15</f>
        <v>0</v>
      </c>
      <c r="BA497" s="76"/>
      <c r="BB497" s="37"/>
      <c r="BC497" s="89">
        <f>tbl_Actual_costs_quantities34[[#This Row],[Accessibility Adaptations]]*BOQs!$L$16</f>
        <v>0</v>
      </c>
      <c r="BD497" s="41"/>
      <c r="BE497" s="37"/>
      <c r="BF497" s="37"/>
    </row>
    <row r="498" spans="2:58" ht="25.15" customHeight="1" x14ac:dyDescent="0.25">
      <c r="B498" s="49">
        <v>494</v>
      </c>
      <c r="C498" s="37"/>
      <c r="D498" s="41"/>
      <c r="E498" s="40"/>
      <c r="F498" s="87" t="str">
        <f>IF(tbl_Actual_costs_quantities34[[#This Row],[House Code]]&lt;&gt;"",INDEX(tbl_Assessment[],MATCH(tbl_Actual_costs_quantities34[[#This Row],[House Code]],tbl_Assessment[House Code],0),3),"")</f>
        <v/>
      </c>
      <c r="G498" s="116" t="str">
        <f>IF(tbl_Actual_costs_quantities34[[#This Row],[House Code]]&lt;&gt;"",INDEX(tbl_Assessment[],MATCH(tbl_Actual_costs_quantities34[[#This Row],[House Code]],tbl_Assessment[House Code],0),9),"")</f>
        <v/>
      </c>
      <c r="H498" s="41"/>
      <c r="I498" s="41"/>
      <c r="J498" s="41"/>
      <c r="K498" s="116"/>
      <c r="L498" s="117" t="str">
        <f>IF(tbl_Actual_costs_quantities34[[#This Row],[House Code]]&lt;&gt;"",tbl_Actual_costs_quantities34[[#This Row],[Total cost]]/INDEX(tbl_estimated_costs_quantities[],MATCH(tbl_Actual_costs_quantities34[[#This Row],[House Code]],tbl_estimated_costs_quantities[House Code],0),7),"")</f>
        <v/>
      </c>
      <c r="M49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8" s="75"/>
      <c r="O498" s="37"/>
      <c r="P498" s="86">
        <f>tbl_Actual_costs_quantities34[[#This Row],[Site Preparation]]*BOQs!$L$3</f>
        <v>0</v>
      </c>
      <c r="Q498" s="76"/>
      <c r="R498" s="37"/>
      <c r="S498" s="86">
        <f>tbl_Actual_costs_quantities34[[#This Row],[Demolition Removal Unsafe Structures]]*BOQs!$L$4</f>
        <v>0</v>
      </c>
      <c r="T498" s="76"/>
      <c r="U498" s="37"/>
      <c r="V498" s="86">
        <f>tbl_Actual_costs_quantities34[[#This Row],[Concrete Works]]*BOQs!$L$5</f>
        <v>0</v>
      </c>
      <c r="W498" s="76"/>
      <c r="X498" s="37"/>
      <c r="Y498" s="86">
        <f>tbl_Actual_costs_quantities34[[#This Row],[Closure External Openings Walls Windows]]*BOQs!$L$6</f>
        <v>0</v>
      </c>
      <c r="Z498" s="76"/>
      <c r="AA498" s="37"/>
      <c r="AB498" s="86">
        <f>tbl_Actual_costs_quantities34[[#This Row],[Plastering Painting]]*BOQs!$L$7</f>
        <v>0</v>
      </c>
      <c r="AC498" s="76"/>
      <c r="AD498" s="37"/>
      <c r="AE498" s="86">
        <f>tbl_Actual_costs_quantities34[[#This Row],[Floor Repairs]]*BOQs!$L$8</f>
        <v>0</v>
      </c>
      <c r="AF498" s="76"/>
      <c r="AG498" s="37"/>
      <c r="AH498" s="86">
        <f>tbl_Actual_costs_quantities34[[#This Row],[Doors Replacement Repair]]*BOQs!$L$9</f>
        <v>0</v>
      </c>
      <c r="AI498" s="76"/>
      <c r="AJ498" s="37"/>
      <c r="AK498" s="86">
        <f>tbl_Actual_costs_quantities34[[#This Row],[Windows Replacement Repair]]*BOQs!$L$10</f>
        <v>0</v>
      </c>
      <c r="AL498" s="76"/>
      <c r="AM498" s="37"/>
      <c r="AN498" s="86">
        <f>tbl_Actual_costs_quantities34[[#This Row],[Bathroom Rehabilitation]]*BOQs!$L$11</f>
        <v>0</v>
      </c>
      <c r="AO498" s="76"/>
      <c r="AP498" s="37"/>
      <c r="AQ498" s="86">
        <f>tbl_Actual_costs_quantities34[[#This Row],[Ceramic Tile Works WASH]]*BOQs!$L$12</f>
        <v>0</v>
      </c>
      <c r="AR498" s="76"/>
      <c r="AS498" s="37"/>
      <c r="AT498" s="86">
        <f>tbl_Actual_costs_quantities34[[#This Row],[Electrical Repairs Lighting]]*BOQs!$L$13</f>
        <v>0</v>
      </c>
      <c r="AU498" s="76"/>
      <c r="AV498" s="37"/>
      <c r="AW498" s="86">
        <f>tbl_Actual_costs_quantities34[[#This Row],[Roof Insulation Leak Sealing]]*BOQs!$L$14</f>
        <v>0</v>
      </c>
      <c r="AX498" s="76"/>
      <c r="AY498" s="37"/>
      <c r="AZ498" s="86">
        <f>tbl_Actual_costs_quantities34[[#This Row],[Chimney Duct Cleaning Repair]]*BOQs!$L$15</f>
        <v>0</v>
      </c>
      <c r="BA498" s="76"/>
      <c r="BB498" s="37"/>
      <c r="BC498" s="89">
        <f>tbl_Actual_costs_quantities34[[#This Row],[Accessibility Adaptations]]*BOQs!$L$16</f>
        <v>0</v>
      </c>
      <c r="BD498" s="41"/>
      <c r="BE498" s="37"/>
      <c r="BF498" s="37"/>
    </row>
    <row r="499" spans="2:58" ht="25.15" customHeight="1" x14ac:dyDescent="0.25">
      <c r="B499" s="49">
        <v>495</v>
      </c>
      <c r="C499" s="37"/>
      <c r="D499" s="41"/>
      <c r="E499" s="40"/>
      <c r="F499" s="87" t="str">
        <f>IF(tbl_Actual_costs_quantities34[[#This Row],[House Code]]&lt;&gt;"",INDEX(tbl_Assessment[],MATCH(tbl_Actual_costs_quantities34[[#This Row],[House Code]],tbl_Assessment[House Code],0),3),"")</f>
        <v/>
      </c>
      <c r="G499" s="116" t="str">
        <f>IF(tbl_Actual_costs_quantities34[[#This Row],[House Code]]&lt;&gt;"",INDEX(tbl_Assessment[],MATCH(tbl_Actual_costs_quantities34[[#This Row],[House Code]],tbl_Assessment[House Code],0),9),"")</f>
        <v/>
      </c>
      <c r="H499" s="41"/>
      <c r="I499" s="41"/>
      <c r="J499" s="41"/>
      <c r="K499" s="116"/>
      <c r="L499" s="117" t="str">
        <f>IF(tbl_Actual_costs_quantities34[[#This Row],[House Code]]&lt;&gt;"",tbl_Actual_costs_quantities34[[#This Row],[Total cost]]/INDEX(tbl_estimated_costs_quantities[],MATCH(tbl_Actual_costs_quantities34[[#This Row],[House Code]],tbl_estimated_costs_quantities[House Code],0),7),"")</f>
        <v/>
      </c>
      <c r="M49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499" s="75"/>
      <c r="O499" s="37"/>
      <c r="P499" s="86">
        <f>tbl_Actual_costs_quantities34[[#This Row],[Site Preparation]]*BOQs!$L$3</f>
        <v>0</v>
      </c>
      <c r="Q499" s="76"/>
      <c r="R499" s="37"/>
      <c r="S499" s="86">
        <f>tbl_Actual_costs_quantities34[[#This Row],[Demolition Removal Unsafe Structures]]*BOQs!$L$4</f>
        <v>0</v>
      </c>
      <c r="T499" s="76"/>
      <c r="U499" s="37"/>
      <c r="V499" s="86">
        <f>tbl_Actual_costs_quantities34[[#This Row],[Concrete Works]]*BOQs!$L$5</f>
        <v>0</v>
      </c>
      <c r="W499" s="76"/>
      <c r="X499" s="37"/>
      <c r="Y499" s="86">
        <f>tbl_Actual_costs_quantities34[[#This Row],[Closure External Openings Walls Windows]]*BOQs!$L$6</f>
        <v>0</v>
      </c>
      <c r="Z499" s="76"/>
      <c r="AA499" s="37"/>
      <c r="AB499" s="86">
        <f>tbl_Actual_costs_quantities34[[#This Row],[Plastering Painting]]*BOQs!$L$7</f>
        <v>0</v>
      </c>
      <c r="AC499" s="76"/>
      <c r="AD499" s="37"/>
      <c r="AE499" s="86">
        <f>tbl_Actual_costs_quantities34[[#This Row],[Floor Repairs]]*BOQs!$L$8</f>
        <v>0</v>
      </c>
      <c r="AF499" s="76"/>
      <c r="AG499" s="37"/>
      <c r="AH499" s="86">
        <f>tbl_Actual_costs_quantities34[[#This Row],[Doors Replacement Repair]]*BOQs!$L$9</f>
        <v>0</v>
      </c>
      <c r="AI499" s="76"/>
      <c r="AJ499" s="37"/>
      <c r="AK499" s="86">
        <f>tbl_Actual_costs_quantities34[[#This Row],[Windows Replacement Repair]]*BOQs!$L$10</f>
        <v>0</v>
      </c>
      <c r="AL499" s="76"/>
      <c r="AM499" s="37"/>
      <c r="AN499" s="86">
        <f>tbl_Actual_costs_quantities34[[#This Row],[Bathroom Rehabilitation]]*BOQs!$L$11</f>
        <v>0</v>
      </c>
      <c r="AO499" s="76"/>
      <c r="AP499" s="37"/>
      <c r="AQ499" s="86">
        <f>tbl_Actual_costs_quantities34[[#This Row],[Ceramic Tile Works WASH]]*BOQs!$L$12</f>
        <v>0</v>
      </c>
      <c r="AR499" s="76"/>
      <c r="AS499" s="37"/>
      <c r="AT499" s="86">
        <f>tbl_Actual_costs_quantities34[[#This Row],[Electrical Repairs Lighting]]*BOQs!$L$13</f>
        <v>0</v>
      </c>
      <c r="AU499" s="76"/>
      <c r="AV499" s="37"/>
      <c r="AW499" s="86">
        <f>tbl_Actual_costs_quantities34[[#This Row],[Roof Insulation Leak Sealing]]*BOQs!$L$14</f>
        <v>0</v>
      </c>
      <c r="AX499" s="76"/>
      <c r="AY499" s="37"/>
      <c r="AZ499" s="86">
        <f>tbl_Actual_costs_quantities34[[#This Row],[Chimney Duct Cleaning Repair]]*BOQs!$L$15</f>
        <v>0</v>
      </c>
      <c r="BA499" s="76"/>
      <c r="BB499" s="37"/>
      <c r="BC499" s="89">
        <f>tbl_Actual_costs_quantities34[[#This Row],[Accessibility Adaptations]]*BOQs!$L$16</f>
        <v>0</v>
      </c>
      <c r="BD499" s="41"/>
      <c r="BE499" s="37"/>
      <c r="BF499" s="37"/>
    </row>
    <row r="500" spans="2:58" ht="25.15" customHeight="1" x14ac:dyDescent="0.25">
      <c r="B500" s="49">
        <v>496</v>
      </c>
      <c r="C500" s="37"/>
      <c r="D500" s="41"/>
      <c r="E500" s="40"/>
      <c r="F500" s="87" t="str">
        <f>IF(tbl_Actual_costs_quantities34[[#This Row],[House Code]]&lt;&gt;"",INDEX(tbl_Assessment[],MATCH(tbl_Actual_costs_quantities34[[#This Row],[House Code]],tbl_Assessment[House Code],0),3),"")</f>
        <v/>
      </c>
      <c r="G500" s="116" t="str">
        <f>IF(tbl_Actual_costs_quantities34[[#This Row],[House Code]]&lt;&gt;"",INDEX(tbl_Assessment[],MATCH(tbl_Actual_costs_quantities34[[#This Row],[House Code]],tbl_Assessment[House Code],0),9),"")</f>
        <v/>
      </c>
      <c r="H500" s="41"/>
      <c r="I500" s="41"/>
      <c r="J500" s="41"/>
      <c r="K500" s="116"/>
      <c r="L500" s="117" t="str">
        <f>IF(tbl_Actual_costs_quantities34[[#This Row],[House Code]]&lt;&gt;"",tbl_Actual_costs_quantities34[[#This Row],[Total cost]]/INDEX(tbl_estimated_costs_quantities[],MATCH(tbl_Actual_costs_quantities34[[#This Row],[House Code]],tbl_estimated_costs_quantities[House Code],0),7),"")</f>
        <v/>
      </c>
      <c r="M50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0" s="75"/>
      <c r="O500" s="37"/>
      <c r="P500" s="86">
        <f>tbl_Actual_costs_quantities34[[#This Row],[Site Preparation]]*BOQs!$L$3</f>
        <v>0</v>
      </c>
      <c r="Q500" s="76"/>
      <c r="R500" s="37"/>
      <c r="S500" s="86">
        <f>tbl_Actual_costs_quantities34[[#This Row],[Demolition Removal Unsafe Structures]]*BOQs!$L$4</f>
        <v>0</v>
      </c>
      <c r="T500" s="76"/>
      <c r="U500" s="37"/>
      <c r="V500" s="86">
        <f>tbl_Actual_costs_quantities34[[#This Row],[Concrete Works]]*BOQs!$L$5</f>
        <v>0</v>
      </c>
      <c r="W500" s="76"/>
      <c r="X500" s="37"/>
      <c r="Y500" s="86">
        <f>tbl_Actual_costs_quantities34[[#This Row],[Closure External Openings Walls Windows]]*BOQs!$L$6</f>
        <v>0</v>
      </c>
      <c r="Z500" s="76"/>
      <c r="AA500" s="37"/>
      <c r="AB500" s="86">
        <f>tbl_Actual_costs_quantities34[[#This Row],[Plastering Painting]]*BOQs!$L$7</f>
        <v>0</v>
      </c>
      <c r="AC500" s="76"/>
      <c r="AD500" s="37"/>
      <c r="AE500" s="86">
        <f>tbl_Actual_costs_quantities34[[#This Row],[Floor Repairs]]*BOQs!$L$8</f>
        <v>0</v>
      </c>
      <c r="AF500" s="76"/>
      <c r="AG500" s="37"/>
      <c r="AH500" s="86">
        <f>tbl_Actual_costs_quantities34[[#This Row],[Doors Replacement Repair]]*BOQs!$L$9</f>
        <v>0</v>
      </c>
      <c r="AI500" s="76"/>
      <c r="AJ500" s="37"/>
      <c r="AK500" s="86">
        <f>tbl_Actual_costs_quantities34[[#This Row],[Windows Replacement Repair]]*BOQs!$L$10</f>
        <v>0</v>
      </c>
      <c r="AL500" s="76"/>
      <c r="AM500" s="37"/>
      <c r="AN500" s="86">
        <f>tbl_Actual_costs_quantities34[[#This Row],[Bathroom Rehabilitation]]*BOQs!$L$11</f>
        <v>0</v>
      </c>
      <c r="AO500" s="76"/>
      <c r="AP500" s="37"/>
      <c r="AQ500" s="86">
        <f>tbl_Actual_costs_quantities34[[#This Row],[Ceramic Tile Works WASH]]*BOQs!$L$12</f>
        <v>0</v>
      </c>
      <c r="AR500" s="76"/>
      <c r="AS500" s="37"/>
      <c r="AT500" s="86">
        <f>tbl_Actual_costs_quantities34[[#This Row],[Electrical Repairs Lighting]]*BOQs!$L$13</f>
        <v>0</v>
      </c>
      <c r="AU500" s="76"/>
      <c r="AV500" s="37"/>
      <c r="AW500" s="86">
        <f>tbl_Actual_costs_quantities34[[#This Row],[Roof Insulation Leak Sealing]]*BOQs!$L$14</f>
        <v>0</v>
      </c>
      <c r="AX500" s="76"/>
      <c r="AY500" s="37"/>
      <c r="AZ500" s="86">
        <f>tbl_Actual_costs_quantities34[[#This Row],[Chimney Duct Cleaning Repair]]*BOQs!$L$15</f>
        <v>0</v>
      </c>
      <c r="BA500" s="76"/>
      <c r="BB500" s="37"/>
      <c r="BC500" s="89">
        <f>tbl_Actual_costs_quantities34[[#This Row],[Accessibility Adaptations]]*BOQs!$L$16</f>
        <v>0</v>
      </c>
      <c r="BD500" s="41"/>
      <c r="BE500" s="37"/>
      <c r="BF500" s="37"/>
    </row>
    <row r="501" spans="2:58" ht="25.15" customHeight="1" x14ac:dyDescent="0.25">
      <c r="B501" s="49">
        <v>497</v>
      </c>
      <c r="C501" s="37"/>
      <c r="D501" s="41"/>
      <c r="E501" s="40"/>
      <c r="F501" s="87" t="str">
        <f>IF(tbl_Actual_costs_quantities34[[#This Row],[House Code]]&lt;&gt;"",INDEX(tbl_Assessment[],MATCH(tbl_Actual_costs_quantities34[[#This Row],[House Code]],tbl_Assessment[House Code],0),3),"")</f>
        <v/>
      </c>
      <c r="G501" s="116" t="str">
        <f>IF(tbl_Actual_costs_quantities34[[#This Row],[House Code]]&lt;&gt;"",INDEX(tbl_Assessment[],MATCH(tbl_Actual_costs_quantities34[[#This Row],[House Code]],tbl_Assessment[House Code],0),9),"")</f>
        <v/>
      </c>
      <c r="H501" s="41"/>
      <c r="I501" s="41"/>
      <c r="J501" s="41"/>
      <c r="K501" s="116"/>
      <c r="L501" s="117" t="str">
        <f>IF(tbl_Actual_costs_quantities34[[#This Row],[House Code]]&lt;&gt;"",tbl_Actual_costs_quantities34[[#This Row],[Total cost]]/INDEX(tbl_estimated_costs_quantities[],MATCH(tbl_Actual_costs_quantities34[[#This Row],[House Code]],tbl_estimated_costs_quantities[House Code],0),7),"")</f>
        <v/>
      </c>
      <c r="M50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1" s="75"/>
      <c r="O501" s="37"/>
      <c r="P501" s="86">
        <f>tbl_Actual_costs_quantities34[[#This Row],[Site Preparation]]*BOQs!$L$3</f>
        <v>0</v>
      </c>
      <c r="Q501" s="76"/>
      <c r="R501" s="37"/>
      <c r="S501" s="86">
        <f>tbl_Actual_costs_quantities34[[#This Row],[Demolition Removal Unsafe Structures]]*BOQs!$L$4</f>
        <v>0</v>
      </c>
      <c r="T501" s="76"/>
      <c r="U501" s="37"/>
      <c r="V501" s="86">
        <f>tbl_Actual_costs_quantities34[[#This Row],[Concrete Works]]*BOQs!$L$5</f>
        <v>0</v>
      </c>
      <c r="W501" s="76"/>
      <c r="X501" s="37"/>
      <c r="Y501" s="86">
        <f>tbl_Actual_costs_quantities34[[#This Row],[Closure External Openings Walls Windows]]*BOQs!$L$6</f>
        <v>0</v>
      </c>
      <c r="Z501" s="76"/>
      <c r="AA501" s="37"/>
      <c r="AB501" s="86">
        <f>tbl_Actual_costs_quantities34[[#This Row],[Plastering Painting]]*BOQs!$L$7</f>
        <v>0</v>
      </c>
      <c r="AC501" s="76"/>
      <c r="AD501" s="37"/>
      <c r="AE501" s="86">
        <f>tbl_Actual_costs_quantities34[[#This Row],[Floor Repairs]]*BOQs!$L$8</f>
        <v>0</v>
      </c>
      <c r="AF501" s="76"/>
      <c r="AG501" s="37"/>
      <c r="AH501" s="86">
        <f>tbl_Actual_costs_quantities34[[#This Row],[Doors Replacement Repair]]*BOQs!$L$9</f>
        <v>0</v>
      </c>
      <c r="AI501" s="76"/>
      <c r="AJ501" s="37"/>
      <c r="AK501" s="86">
        <f>tbl_Actual_costs_quantities34[[#This Row],[Windows Replacement Repair]]*BOQs!$L$10</f>
        <v>0</v>
      </c>
      <c r="AL501" s="76"/>
      <c r="AM501" s="37"/>
      <c r="AN501" s="86">
        <f>tbl_Actual_costs_quantities34[[#This Row],[Bathroom Rehabilitation]]*BOQs!$L$11</f>
        <v>0</v>
      </c>
      <c r="AO501" s="76"/>
      <c r="AP501" s="37"/>
      <c r="AQ501" s="86">
        <f>tbl_Actual_costs_quantities34[[#This Row],[Ceramic Tile Works WASH]]*BOQs!$L$12</f>
        <v>0</v>
      </c>
      <c r="AR501" s="76"/>
      <c r="AS501" s="37"/>
      <c r="AT501" s="86">
        <f>tbl_Actual_costs_quantities34[[#This Row],[Electrical Repairs Lighting]]*BOQs!$L$13</f>
        <v>0</v>
      </c>
      <c r="AU501" s="76"/>
      <c r="AV501" s="37"/>
      <c r="AW501" s="86">
        <f>tbl_Actual_costs_quantities34[[#This Row],[Roof Insulation Leak Sealing]]*BOQs!$L$14</f>
        <v>0</v>
      </c>
      <c r="AX501" s="76"/>
      <c r="AY501" s="37"/>
      <c r="AZ501" s="86">
        <f>tbl_Actual_costs_quantities34[[#This Row],[Chimney Duct Cleaning Repair]]*BOQs!$L$15</f>
        <v>0</v>
      </c>
      <c r="BA501" s="76"/>
      <c r="BB501" s="37"/>
      <c r="BC501" s="89">
        <f>tbl_Actual_costs_quantities34[[#This Row],[Accessibility Adaptations]]*BOQs!$L$16</f>
        <v>0</v>
      </c>
      <c r="BD501" s="41"/>
      <c r="BE501" s="37"/>
      <c r="BF501" s="37"/>
    </row>
    <row r="502" spans="2:58" ht="25.15" customHeight="1" x14ac:dyDescent="0.25">
      <c r="B502" s="49">
        <v>498</v>
      </c>
      <c r="C502" s="37"/>
      <c r="D502" s="41"/>
      <c r="E502" s="40"/>
      <c r="F502" s="87" t="str">
        <f>IF(tbl_Actual_costs_quantities34[[#This Row],[House Code]]&lt;&gt;"",INDEX(tbl_Assessment[],MATCH(tbl_Actual_costs_quantities34[[#This Row],[House Code]],tbl_Assessment[House Code],0),3),"")</f>
        <v/>
      </c>
      <c r="G502" s="116" t="str">
        <f>IF(tbl_Actual_costs_quantities34[[#This Row],[House Code]]&lt;&gt;"",INDEX(tbl_Assessment[],MATCH(tbl_Actual_costs_quantities34[[#This Row],[House Code]],tbl_Assessment[House Code],0),9),"")</f>
        <v/>
      </c>
      <c r="H502" s="41"/>
      <c r="I502" s="41"/>
      <c r="J502" s="41"/>
      <c r="K502" s="116"/>
      <c r="L502" s="117" t="str">
        <f>IF(tbl_Actual_costs_quantities34[[#This Row],[House Code]]&lt;&gt;"",tbl_Actual_costs_quantities34[[#This Row],[Total cost]]/INDEX(tbl_estimated_costs_quantities[],MATCH(tbl_Actual_costs_quantities34[[#This Row],[House Code]],tbl_estimated_costs_quantities[House Code],0),7),"")</f>
        <v/>
      </c>
      <c r="M50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2" s="75"/>
      <c r="O502" s="37"/>
      <c r="P502" s="86">
        <f>tbl_Actual_costs_quantities34[[#This Row],[Site Preparation]]*BOQs!$L$3</f>
        <v>0</v>
      </c>
      <c r="Q502" s="76"/>
      <c r="R502" s="37"/>
      <c r="S502" s="86">
        <f>tbl_Actual_costs_quantities34[[#This Row],[Demolition Removal Unsafe Structures]]*BOQs!$L$4</f>
        <v>0</v>
      </c>
      <c r="T502" s="76"/>
      <c r="U502" s="37"/>
      <c r="V502" s="86">
        <f>tbl_Actual_costs_quantities34[[#This Row],[Concrete Works]]*BOQs!$L$5</f>
        <v>0</v>
      </c>
      <c r="W502" s="76"/>
      <c r="X502" s="37"/>
      <c r="Y502" s="86">
        <f>tbl_Actual_costs_quantities34[[#This Row],[Closure External Openings Walls Windows]]*BOQs!$L$6</f>
        <v>0</v>
      </c>
      <c r="Z502" s="76"/>
      <c r="AA502" s="37"/>
      <c r="AB502" s="86">
        <f>tbl_Actual_costs_quantities34[[#This Row],[Plastering Painting]]*BOQs!$L$7</f>
        <v>0</v>
      </c>
      <c r="AC502" s="76"/>
      <c r="AD502" s="37"/>
      <c r="AE502" s="86">
        <f>tbl_Actual_costs_quantities34[[#This Row],[Floor Repairs]]*BOQs!$L$8</f>
        <v>0</v>
      </c>
      <c r="AF502" s="76"/>
      <c r="AG502" s="37"/>
      <c r="AH502" s="86">
        <f>tbl_Actual_costs_quantities34[[#This Row],[Doors Replacement Repair]]*BOQs!$L$9</f>
        <v>0</v>
      </c>
      <c r="AI502" s="76"/>
      <c r="AJ502" s="37"/>
      <c r="AK502" s="86">
        <f>tbl_Actual_costs_quantities34[[#This Row],[Windows Replacement Repair]]*BOQs!$L$10</f>
        <v>0</v>
      </c>
      <c r="AL502" s="76"/>
      <c r="AM502" s="37"/>
      <c r="AN502" s="86">
        <f>tbl_Actual_costs_quantities34[[#This Row],[Bathroom Rehabilitation]]*BOQs!$L$11</f>
        <v>0</v>
      </c>
      <c r="AO502" s="76"/>
      <c r="AP502" s="37"/>
      <c r="AQ502" s="86">
        <f>tbl_Actual_costs_quantities34[[#This Row],[Ceramic Tile Works WASH]]*BOQs!$L$12</f>
        <v>0</v>
      </c>
      <c r="AR502" s="76"/>
      <c r="AS502" s="37"/>
      <c r="AT502" s="86">
        <f>tbl_Actual_costs_quantities34[[#This Row],[Electrical Repairs Lighting]]*BOQs!$L$13</f>
        <v>0</v>
      </c>
      <c r="AU502" s="76"/>
      <c r="AV502" s="37"/>
      <c r="AW502" s="86">
        <f>tbl_Actual_costs_quantities34[[#This Row],[Roof Insulation Leak Sealing]]*BOQs!$L$14</f>
        <v>0</v>
      </c>
      <c r="AX502" s="76"/>
      <c r="AY502" s="37"/>
      <c r="AZ502" s="86">
        <f>tbl_Actual_costs_quantities34[[#This Row],[Chimney Duct Cleaning Repair]]*BOQs!$L$15</f>
        <v>0</v>
      </c>
      <c r="BA502" s="76"/>
      <c r="BB502" s="37"/>
      <c r="BC502" s="89">
        <f>tbl_Actual_costs_quantities34[[#This Row],[Accessibility Adaptations]]*BOQs!$L$16</f>
        <v>0</v>
      </c>
      <c r="BD502" s="41"/>
      <c r="BE502" s="37"/>
      <c r="BF502" s="37"/>
    </row>
    <row r="503" spans="2:58" ht="25.15" customHeight="1" x14ac:dyDescent="0.25">
      <c r="B503" s="49">
        <v>499</v>
      </c>
      <c r="C503" s="37"/>
      <c r="D503" s="41"/>
      <c r="E503" s="40"/>
      <c r="F503" s="87" t="str">
        <f>IF(tbl_Actual_costs_quantities34[[#This Row],[House Code]]&lt;&gt;"",INDEX(tbl_Assessment[],MATCH(tbl_Actual_costs_quantities34[[#This Row],[House Code]],tbl_Assessment[House Code],0),3),"")</f>
        <v/>
      </c>
      <c r="G503" s="116" t="str">
        <f>IF(tbl_Actual_costs_quantities34[[#This Row],[House Code]]&lt;&gt;"",INDEX(tbl_Assessment[],MATCH(tbl_Actual_costs_quantities34[[#This Row],[House Code]],tbl_Assessment[House Code],0),9),"")</f>
        <v/>
      </c>
      <c r="H503" s="41"/>
      <c r="I503" s="41"/>
      <c r="J503" s="41"/>
      <c r="K503" s="116"/>
      <c r="L503" s="117" t="str">
        <f>IF(tbl_Actual_costs_quantities34[[#This Row],[House Code]]&lt;&gt;"",tbl_Actual_costs_quantities34[[#This Row],[Total cost]]/INDEX(tbl_estimated_costs_quantities[],MATCH(tbl_Actual_costs_quantities34[[#This Row],[House Code]],tbl_estimated_costs_quantities[House Code],0),7),"")</f>
        <v/>
      </c>
      <c r="M50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3" s="75"/>
      <c r="O503" s="37"/>
      <c r="P503" s="86">
        <f>tbl_Actual_costs_quantities34[[#This Row],[Site Preparation]]*BOQs!$L$3</f>
        <v>0</v>
      </c>
      <c r="Q503" s="76"/>
      <c r="R503" s="37"/>
      <c r="S503" s="86">
        <f>tbl_Actual_costs_quantities34[[#This Row],[Demolition Removal Unsafe Structures]]*BOQs!$L$4</f>
        <v>0</v>
      </c>
      <c r="T503" s="76"/>
      <c r="U503" s="37"/>
      <c r="V503" s="86">
        <f>tbl_Actual_costs_quantities34[[#This Row],[Concrete Works]]*BOQs!$L$5</f>
        <v>0</v>
      </c>
      <c r="W503" s="76"/>
      <c r="X503" s="37"/>
      <c r="Y503" s="86">
        <f>tbl_Actual_costs_quantities34[[#This Row],[Closure External Openings Walls Windows]]*BOQs!$L$6</f>
        <v>0</v>
      </c>
      <c r="Z503" s="76"/>
      <c r="AA503" s="37"/>
      <c r="AB503" s="86">
        <f>tbl_Actual_costs_quantities34[[#This Row],[Plastering Painting]]*BOQs!$L$7</f>
        <v>0</v>
      </c>
      <c r="AC503" s="76"/>
      <c r="AD503" s="37"/>
      <c r="AE503" s="86">
        <f>tbl_Actual_costs_quantities34[[#This Row],[Floor Repairs]]*BOQs!$L$8</f>
        <v>0</v>
      </c>
      <c r="AF503" s="76"/>
      <c r="AG503" s="37"/>
      <c r="AH503" s="86">
        <f>tbl_Actual_costs_quantities34[[#This Row],[Doors Replacement Repair]]*BOQs!$L$9</f>
        <v>0</v>
      </c>
      <c r="AI503" s="76"/>
      <c r="AJ503" s="37"/>
      <c r="AK503" s="86">
        <f>tbl_Actual_costs_quantities34[[#This Row],[Windows Replacement Repair]]*BOQs!$L$10</f>
        <v>0</v>
      </c>
      <c r="AL503" s="76"/>
      <c r="AM503" s="37"/>
      <c r="AN503" s="86">
        <f>tbl_Actual_costs_quantities34[[#This Row],[Bathroom Rehabilitation]]*BOQs!$L$11</f>
        <v>0</v>
      </c>
      <c r="AO503" s="76"/>
      <c r="AP503" s="37"/>
      <c r="AQ503" s="86">
        <f>tbl_Actual_costs_quantities34[[#This Row],[Ceramic Tile Works WASH]]*BOQs!$L$12</f>
        <v>0</v>
      </c>
      <c r="AR503" s="76"/>
      <c r="AS503" s="37"/>
      <c r="AT503" s="86">
        <f>tbl_Actual_costs_quantities34[[#This Row],[Electrical Repairs Lighting]]*BOQs!$L$13</f>
        <v>0</v>
      </c>
      <c r="AU503" s="76"/>
      <c r="AV503" s="37"/>
      <c r="AW503" s="86">
        <f>tbl_Actual_costs_quantities34[[#This Row],[Roof Insulation Leak Sealing]]*BOQs!$L$14</f>
        <v>0</v>
      </c>
      <c r="AX503" s="76"/>
      <c r="AY503" s="37"/>
      <c r="AZ503" s="86">
        <f>tbl_Actual_costs_quantities34[[#This Row],[Chimney Duct Cleaning Repair]]*BOQs!$L$15</f>
        <v>0</v>
      </c>
      <c r="BA503" s="76"/>
      <c r="BB503" s="37"/>
      <c r="BC503" s="89">
        <f>tbl_Actual_costs_quantities34[[#This Row],[Accessibility Adaptations]]*BOQs!$L$16</f>
        <v>0</v>
      </c>
      <c r="BD503" s="41"/>
      <c r="BE503" s="37"/>
      <c r="BF503" s="37"/>
    </row>
    <row r="504" spans="2:58" ht="25.15" customHeight="1" x14ac:dyDescent="0.25">
      <c r="B504" s="49">
        <v>500</v>
      </c>
      <c r="C504" s="37"/>
      <c r="D504" s="41"/>
      <c r="E504" s="40"/>
      <c r="F504" s="87" t="str">
        <f>IF(tbl_Actual_costs_quantities34[[#This Row],[House Code]]&lt;&gt;"",INDEX(tbl_Assessment[],MATCH(tbl_Actual_costs_quantities34[[#This Row],[House Code]],tbl_Assessment[House Code],0),3),"")</f>
        <v/>
      </c>
      <c r="G504" s="116" t="str">
        <f>IF(tbl_Actual_costs_quantities34[[#This Row],[House Code]]&lt;&gt;"",INDEX(tbl_Assessment[],MATCH(tbl_Actual_costs_quantities34[[#This Row],[House Code]],tbl_Assessment[House Code],0),9),"")</f>
        <v/>
      </c>
      <c r="H504" s="41"/>
      <c r="I504" s="41"/>
      <c r="J504" s="41"/>
      <c r="K504" s="116"/>
      <c r="L504" s="117" t="str">
        <f>IF(tbl_Actual_costs_quantities34[[#This Row],[House Code]]&lt;&gt;"",tbl_Actual_costs_quantities34[[#This Row],[Total cost]]/INDEX(tbl_estimated_costs_quantities[],MATCH(tbl_Actual_costs_quantities34[[#This Row],[House Code]],tbl_estimated_costs_quantities[House Code],0),7),"")</f>
        <v/>
      </c>
      <c r="M50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4" s="75"/>
      <c r="O504" s="37"/>
      <c r="P504" s="86">
        <f>tbl_Actual_costs_quantities34[[#This Row],[Site Preparation]]*BOQs!$L$3</f>
        <v>0</v>
      </c>
      <c r="Q504" s="76"/>
      <c r="R504" s="37"/>
      <c r="S504" s="86">
        <f>tbl_Actual_costs_quantities34[[#This Row],[Demolition Removal Unsafe Structures]]*BOQs!$L$4</f>
        <v>0</v>
      </c>
      <c r="T504" s="76"/>
      <c r="U504" s="37"/>
      <c r="V504" s="86">
        <f>tbl_Actual_costs_quantities34[[#This Row],[Concrete Works]]*BOQs!$L$5</f>
        <v>0</v>
      </c>
      <c r="W504" s="76"/>
      <c r="X504" s="37"/>
      <c r="Y504" s="86">
        <f>tbl_Actual_costs_quantities34[[#This Row],[Closure External Openings Walls Windows]]*BOQs!$L$6</f>
        <v>0</v>
      </c>
      <c r="Z504" s="76"/>
      <c r="AA504" s="37"/>
      <c r="AB504" s="86">
        <f>tbl_Actual_costs_quantities34[[#This Row],[Plastering Painting]]*BOQs!$L$7</f>
        <v>0</v>
      </c>
      <c r="AC504" s="76"/>
      <c r="AD504" s="37"/>
      <c r="AE504" s="86">
        <f>tbl_Actual_costs_quantities34[[#This Row],[Floor Repairs]]*BOQs!$L$8</f>
        <v>0</v>
      </c>
      <c r="AF504" s="76"/>
      <c r="AG504" s="37"/>
      <c r="AH504" s="86">
        <f>tbl_Actual_costs_quantities34[[#This Row],[Doors Replacement Repair]]*BOQs!$L$9</f>
        <v>0</v>
      </c>
      <c r="AI504" s="76"/>
      <c r="AJ504" s="37"/>
      <c r="AK504" s="86">
        <f>tbl_Actual_costs_quantities34[[#This Row],[Windows Replacement Repair]]*BOQs!$L$10</f>
        <v>0</v>
      </c>
      <c r="AL504" s="76"/>
      <c r="AM504" s="37"/>
      <c r="AN504" s="86">
        <f>tbl_Actual_costs_quantities34[[#This Row],[Bathroom Rehabilitation]]*BOQs!$L$11</f>
        <v>0</v>
      </c>
      <c r="AO504" s="76"/>
      <c r="AP504" s="37"/>
      <c r="AQ504" s="86">
        <f>tbl_Actual_costs_quantities34[[#This Row],[Ceramic Tile Works WASH]]*BOQs!$L$12</f>
        <v>0</v>
      </c>
      <c r="AR504" s="76"/>
      <c r="AS504" s="37"/>
      <c r="AT504" s="86">
        <f>tbl_Actual_costs_quantities34[[#This Row],[Electrical Repairs Lighting]]*BOQs!$L$13</f>
        <v>0</v>
      </c>
      <c r="AU504" s="76"/>
      <c r="AV504" s="37"/>
      <c r="AW504" s="86">
        <f>tbl_Actual_costs_quantities34[[#This Row],[Roof Insulation Leak Sealing]]*BOQs!$L$14</f>
        <v>0</v>
      </c>
      <c r="AX504" s="76"/>
      <c r="AY504" s="37"/>
      <c r="AZ504" s="86">
        <f>tbl_Actual_costs_quantities34[[#This Row],[Chimney Duct Cleaning Repair]]*BOQs!$L$15</f>
        <v>0</v>
      </c>
      <c r="BA504" s="76"/>
      <c r="BB504" s="37"/>
      <c r="BC504" s="89">
        <f>tbl_Actual_costs_quantities34[[#This Row],[Accessibility Adaptations]]*BOQs!$L$16</f>
        <v>0</v>
      </c>
      <c r="BD504" s="41"/>
      <c r="BE504" s="37"/>
      <c r="BF504" s="37"/>
    </row>
    <row r="505" spans="2:58" ht="25.15" customHeight="1" x14ac:dyDescent="0.25">
      <c r="B505" s="49">
        <v>501</v>
      </c>
      <c r="C505" s="37"/>
      <c r="D505" s="41"/>
      <c r="E505" s="40"/>
      <c r="F505" s="87" t="str">
        <f>IF(tbl_Actual_costs_quantities34[[#This Row],[House Code]]&lt;&gt;"",INDEX(tbl_Assessment[],MATCH(tbl_Actual_costs_quantities34[[#This Row],[House Code]],tbl_Assessment[House Code],0),3),"")</f>
        <v/>
      </c>
      <c r="G505" s="116" t="str">
        <f>IF(tbl_Actual_costs_quantities34[[#This Row],[House Code]]&lt;&gt;"",INDEX(tbl_Assessment[],MATCH(tbl_Actual_costs_quantities34[[#This Row],[House Code]],tbl_Assessment[House Code],0),9),"")</f>
        <v/>
      </c>
      <c r="H505" s="41"/>
      <c r="I505" s="41"/>
      <c r="J505" s="41"/>
      <c r="K505" s="116"/>
      <c r="L505" s="117" t="str">
        <f>IF(tbl_Actual_costs_quantities34[[#This Row],[House Code]]&lt;&gt;"",tbl_Actual_costs_quantities34[[#This Row],[Total cost]]/INDEX(tbl_estimated_costs_quantities[],MATCH(tbl_Actual_costs_quantities34[[#This Row],[House Code]],tbl_estimated_costs_quantities[House Code],0),7),"")</f>
        <v/>
      </c>
      <c r="M50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5" s="75"/>
      <c r="O505" s="37"/>
      <c r="P505" s="86">
        <f>tbl_Actual_costs_quantities34[[#This Row],[Site Preparation]]*BOQs!$L$3</f>
        <v>0</v>
      </c>
      <c r="Q505" s="76"/>
      <c r="R505" s="37"/>
      <c r="S505" s="86">
        <f>tbl_Actual_costs_quantities34[[#This Row],[Demolition Removal Unsafe Structures]]*BOQs!$L$4</f>
        <v>0</v>
      </c>
      <c r="T505" s="76"/>
      <c r="U505" s="37"/>
      <c r="V505" s="86">
        <f>tbl_Actual_costs_quantities34[[#This Row],[Concrete Works]]*BOQs!$L$5</f>
        <v>0</v>
      </c>
      <c r="W505" s="76"/>
      <c r="X505" s="37"/>
      <c r="Y505" s="86">
        <f>tbl_Actual_costs_quantities34[[#This Row],[Closure External Openings Walls Windows]]*BOQs!$L$6</f>
        <v>0</v>
      </c>
      <c r="Z505" s="76"/>
      <c r="AA505" s="37"/>
      <c r="AB505" s="86">
        <f>tbl_Actual_costs_quantities34[[#This Row],[Plastering Painting]]*BOQs!$L$7</f>
        <v>0</v>
      </c>
      <c r="AC505" s="76"/>
      <c r="AD505" s="37"/>
      <c r="AE505" s="86">
        <f>tbl_Actual_costs_quantities34[[#This Row],[Floor Repairs]]*BOQs!$L$8</f>
        <v>0</v>
      </c>
      <c r="AF505" s="76"/>
      <c r="AG505" s="37"/>
      <c r="AH505" s="86">
        <f>tbl_Actual_costs_quantities34[[#This Row],[Doors Replacement Repair]]*BOQs!$L$9</f>
        <v>0</v>
      </c>
      <c r="AI505" s="76"/>
      <c r="AJ505" s="37"/>
      <c r="AK505" s="86">
        <f>tbl_Actual_costs_quantities34[[#This Row],[Windows Replacement Repair]]*BOQs!$L$10</f>
        <v>0</v>
      </c>
      <c r="AL505" s="76"/>
      <c r="AM505" s="37"/>
      <c r="AN505" s="86">
        <f>tbl_Actual_costs_quantities34[[#This Row],[Bathroom Rehabilitation]]*BOQs!$L$11</f>
        <v>0</v>
      </c>
      <c r="AO505" s="76"/>
      <c r="AP505" s="37"/>
      <c r="AQ505" s="86">
        <f>tbl_Actual_costs_quantities34[[#This Row],[Ceramic Tile Works WASH]]*BOQs!$L$12</f>
        <v>0</v>
      </c>
      <c r="AR505" s="76"/>
      <c r="AS505" s="37"/>
      <c r="AT505" s="86">
        <f>tbl_Actual_costs_quantities34[[#This Row],[Electrical Repairs Lighting]]*BOQs!$L$13</f>
        <v>0</v>
      </c>
      <c r="AU505" s="76"/>
      <c r="AV505" s="37"/>
      <c r="AW505" s="86">
        <f>tbl_Actual_costs_quantities34[[#This Row],[Roof Insulation Leak Sealing]]*BOQs!$L$14</f>
        <v>0</v>
      </c>
      <c r="AX505" s="76"/>
      <c r="AY505" s="37"/>
      <c r="AZ505" s="86">
        <f>tbl_Actual_costs_quantities34[[#This Row],[Chimney Duct Cleaning Repair]]*BOQs!$L$15</f>
        <v>0</v>
      </c>
      <c r="BA505" s="76"/>
      <c r="BB505" s="37"/>
      <c r="BC505" s="89">
        <f>tbl_Actual_costs_quantities34[[#This Row],[Accessibility Adaptations]]*BOQs!$L$16</f>
        <v>0</v>
      </c>
      <c r="BD505" s="41"/>
      <c r="BE505" s="37"/>
      <c r="BF505" s="37"/>
    </row>
    <row r="506" spans="2:58" ht="25.15" customHeight="1" x14ac:dyDescent="0.25">
      <c r="B506" s="49">
        <v>502</v>
      </c>
      <c r="C506" s="37"/>
      <c r="D506" s="41"/>
      <c r="E506" s="40"/>
      <c r="F506" s="87" t="str">
        <f>IF(tbl_Actual_costs_quantities34[[#This Row],[House Code]]&lt;&gt;"",INDEX(tbl_Assessment[],MATCH(tbl_Actual_costs_quantities34[[#This Row],[House Code]],tbl_Assessment[House Code],0),3),"")</f>
        <v/>
      </c>
      <c r="G506" s="116" t="str">
        <f>IF(tbl_Actual_costs_quantities34[[#This Row],[House Code]]&lt;&gt;"",INDEX(tbl_Assessment[],MATCH(tbl_Actual_costs_quantities34[[#This Row],[House Code]],tbl_Assessment[House Code],0),9),"")</f>
        <v/>
      </c>
      <c r="H506" s="41"/>
      <c r="I506" s="41"/>
      <c r="J506" s="41"/>
      <c r="K506" s="116"/>
      <c r="L506" s="117" t="str">
        <f>IF(tbl_Actual_costs_quantities34[[#This Row],[House Code]]&lt;&gt;"",tbl_Actual_costs_quantities34[[#This Row],[Total cost]]/INDEX(tbl_estimated_costs_quantities[],MATCH(tbl_Actual_costs_quantities34[[#This Row],[House Code]],tbl_estimated_costs_quantities[House Code],0),7),"")</f>
        <v/>
      </c>
      <c r="M50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6" s="75"/>
      <c r="O506" s="37"/>
      <c r="P506" s="86">
        <f>tbl_Actual_costs_quantities34[[#This Row],[Site Preparation]]*BOQs!$L$3</f>
        <v>0</v>
      </c>
      <c r="Q506" s="76"/>
      <c r="R506" s="37"/>
      <c r="S506" s="86">
        <f>tbl_Actual_costs_quantities34[[#This Row],[Demolition Removal Unsafe Structures]]*BOQs!$L$4</f>
        <v>0</v>
      </c>
      <c r="T506" s="76"/>
      <c r="U506" s="37"/>
      <c r="V506" s="86">
        <f>tbl_Actual_costs_quantities34[[#This Row],[Concrete Works]]*BOQs!$L$5</f>
        <v>0</v>
      </c>
      <c r="W506" s="76"/>
      <c r="X506" s="37"/>
      <c r="Y506" s="86">
        <f>tbl_Actual_costs_quantities34[[#This Row],[Closure External Openings Walls Windows]]*BOQs!$L$6</f>
        <v>0</v>
      </c>
      <c r="Z506" s="76"/>
      <c r="AA506" s="37"/>
      <c r="AB506" s="86">
        <f>tbl_Actual_costs_quantities34[[#This Row],[Plastering Painting]]*BOQs!$L$7</f>
        <v>0</v>
      </c>
      <c r="AC506" s="76"/>
      <c r="AD506" s="37"/>
      <c r="AE506" s="86">
        <f>tbl_Actual_costs_quantities34[[#This Row],[Floor Repairs]]*BOQs!$L$8</f>
        <v>0</v>
      </c>
      <c r="AF506" s="76"/>
      <c r="AG506" s="37"/>
      <c r="AH506" s="86">
        <f>tbl_Actual_costs_quantities34[[#This Row],[Doors Replacement Repair]]*BOQs!$L$9</f>
        <v>0</v>
      </c>
      <c r="AI506" s="76"/>
      <c r="AJ506" s="37"/>
      <c r="AK506" s="86">
        <f>tbl_Actual_costs_quantities34[[#This Row],[Windows Replacement Repair]]*BOQs!$L$10</f>
        <v>0</v>
      </c>
      <c r="AL506" s="76"/>
      <c r="AM506" s="37"/>
      <c r="AN506" s="86">
        <f>tbl_Actual_costs_quantities34[[#This Row],[Bathroom Rehabilitation]]*BOQs!$L$11</f>
        <v>0</v>
      </c>
      <c r="AO506" s="76"/>
      <c r="AP506" s="37"/>
      <c r="AQ506" s="86">
        <f>tbl_Actual_costs_quantities34[[#This Row],[Ceramic Tile Works WASH]]*BOQs!$L$12</f>
        <v>0</v>
      </c>
      <c r="AR506" s="76"/>
      <c r="AS506" s="37"/>
      <c r="AT506" s="86">
        <f>tbl_Actual_costs_quantities34[[#This Row],[Electrical Repairs Lighting]]*BOQs!$L$13</f>
        <v>0</v>
      </c>
      <c r="AU506" s="76"/>
      <c r="AV506" s="37"/>
      <c r="AW506" s="86">
        <f>tbl_Actual_costs_quantities34[[#This Row],[Roof Insulation Leak Sealing]]*BOQs!$L$14</f>
        <v>0</v>
      </c>
      <c r="AX506" s="76"/>
      <c r="AY506" s="37"/>
      <c r="AZ506" s="86">
        <f>tbl_Actual_costs_quantities34[[#This Row],[Chimney Duct Cleaning Repair]]*BOQs!$L$15</f>
        <v>0</v>
      </c>
      <c r="BA506" s="76"/>
      <c r="BB506" s="37"/>
      <c r="BC506" s="89">
        <f>tbl_Actual_costs_quantities34[[#This Row],[Accessibility Adaptations]]*BOQs!$L$16</f>
        <v>0</v>
      </c>
      <c r="BD506" s="41"/>
      <c r="BE506" s="37"/>
      <c r="BF506" s="37"/>
    </row>
    <row r="507" spans="2:58" ht="25.15" customHeight="1" x14ac:dyDescent="0.25">
      <c r="B507" s="49">
        <v>503</v>
      </c>
      <c r="C507" s="37"/>
      <c r="D507" s="41"/>
      <c r="E507" s="40"/>
      <c r="F507" s="87" t="str">
        <f>IF(tbl_Actual_costs_quantities34[[#This Row],[House Code]]&lt;&gt;"",INDEX(tbl_Assessment[],MATCH(tbl_Actual_costs_quantities34[[#This Row],[House Code]],tbl_Assessment[House Code],0),3),"")</f>
        <v/>
      </c>
      <c r="G507" s="116" t="str">
        <f>IF(tbl_Actual_costs_quantities34[[#This Row],[House Code]]&lt;&gt;"",INDEX(tbl_Assessment[],MATCH(tbl_Actual_costs_quantities34[[#This Row],[House Code]],tbl_Assessment[House Code],0),9),"")</f>
        <v/>
      </c>
      <c r="H507" s="41"/>
      <c r="I507" s="41"/>
      <c r="J507" s="41"/>
      <c r="K507" s="116"/>
      <c r="L507" s="117" t="str">
        <f>IF(tbl_Actual_costs_quantities34[[#This Row],[House Code]]&lt;&gt;"",tbl_Actual_costs_quantities34[[#This Row],[Total cost]]/INDEX(tbl_estimated_costs_quantities[],MATCH(tbl_Actual_costs_quantities34[[#This Row],[House Code]],tbl_estimated_costs_quantities[House Code],0),7),"")</f>
        <v/>
      </c>
      <c r="M50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7" s="75"/>
      <c r="O507" s="37"/>
      <c r="P507" s="86">
        <f>tbl_Actual_costs_quantities34[[#This Row],[Site Preparation]]*BOQs!$L$3</f>
        <v>0</v>
      </c>
      <c r="Q507" s="76"/>
      <c r="R507" s="37"/>
      <c r="S507" s="86">
        <f>tbl_Actual_costs_quantities34[[#This Row],[Demolition Removal Unsafe Structures]]*BOQs!$L$4</f>
        <v>0</v>
      </c>
      <c r="T507" s="76"/>
      <c r="U507" s="37"/>
      <c r="V507" s="86">
        <f>tbl_Actual_costs_quantities34[[#This Row],[Concrete Works]]*BOQs!$L$5</f>
        <v>0</v>
      </c>
      <c r="W507" s="76"/>
      <c r="X507" s="37"/>
      <c r="Y507" s="86">
        <f>tbl_Actual_costs_quantities34[[#This Row],[Closure External Openings Walls Windows]]*BOQs!$L$6</f>
        <v>0</v>
      </c>
      <c r="Z507" s="76"/>
      <c r="AA507" s="37"/>
      <c r="AB507" s="86">
        <f>tbl_Actual_costs_quantities34[[#This Row],[Plastering Painting]]*BOQs!$L$7</f>
        <v>0</v>
      </c>
      <c r="AC507" s="76"/>
      <c r="AD507" s="37"/>
      <c r="AE507" s="86">
        <f>tbl_Actual_costs_quantities34[[#This Row],[Floor Repairs]]*BOQs!$L$8</f>
        <v>0</v>
      </c>
      <c r="AF507" s="76"/>
      <c r="AG507" s="37"/>
      <c r="AH507" s="86">
        <f>tbl_Actual_costs_quantities34[[#This Row],[Doors Replacement Repair]]*BOQs!$L$9</f>
        <v>0</v>
      </c>
      <c r="AI507" s="76"/>
      <c r="AJ507" s="37"/>
      <c r="AK507" s="86">
        <f>tbl_Actual_costs_quantities34[[#This Row],[Windows Replacement Repair]]*BOQs!$L$10</f>
        <v>0</v>
      </c>
      <c r="AL507" s="76"/>
      <c r="AM507" s="37"/>
      <c r="AN507" s="86">
        <f>tbl_Actual_costs_quantities34[[#This Row],[Bathroom Rehabilitation]]*BOQs!$L$11</f>
        <v>0</v>
      </c>
      <c r="AO507" s="76"/>
      <c r="AP507" s="37"/>
      <c r="AQ507" s="86">
        <f>tbl_Actual_costs_quantities34[[#This Row],[Ceramic Tile Works WASH]]*BOQs!$L$12</f>
        <v>0</v>
      </c>
      <c r="AR507" s="76"/>
      <c r="AS507" s="37"/>
      <c r="AT507" s="86">
        <f>tbl_Actual_costs_quantities34[[#This Row],[Electrical Repairs Lighting]]*BOQs!$L$13</f>
        <v>0</v>
      </c>
      <c r="AU507" s="76"/>
      <c r="AV507" s="37"/>
      <c r="AW507" s="86">
        <f>tbl_Actual_costs_quantities34[[#This Row],[Roof Insulation Leak Sealing]]*BOQs!$L$14</f>
        <v>0</v>
      </c>
      <c r="AX507" s="76"/>
      <c r="AY507" s="37"/>
      <c r="AZ507" s="86">
        <f>tbl_Actual_costs_quantities34[[#This Row],[Chimney Duct Cleaning Repair]]*BOQs!$L$15</f>
        <v>0</v>
      </c>
      <c r="BA507" s="76"/>
      <c r="BB507" s="37"/>
      <c r="BC507" s="89">
        <f>tbl_Actual_costs_quantities34[[#This Row],[Accessibility Adaptations]]*BOQs!$L$16</f>
        <v>0</v>
      </c>
      <c r="BD507" s="41"/>
      <c r="BE507" s="37"/>
      <c r="BF507" s="37"/>
    </row>
    <row r="508" spans="2:58" ht="25.15" customHeight="1" x14ac:dyDescent="0.25">
      <c r="B508" s="49">
        <v>504</v>
      </c>
      <c r="C508" s="37"/>
      <c r="D508" s="41"/>
      <c r="E508" s="40"/>
      <c r="F508" s="87" t="str">
        <f>IF(tbl_Actual_costs_quantities34[[#This Row],[House Code]]&lt;&gt;"",INDEX(tbl_Assessment[],MATCH(tbl_Actual_costs_quantities34[[#This Row],[House Code]],tbl_Assessment[House Code],0),3),"")</f>
        <v/>
      </c>
      <c r="G508" s="116" t="str">
        <f>IF(tbl_Actual_costs_quantities34[[#This Row],[House Code]]&lt;&gt;"",INDEX(tbl_Assessment[],MATCH(tbl_Actual_costs_quantities34[[#This Row],[House Code]],tbl_Assessment[House Code],0),9),"")</f>
        <v/>
      </c>
      <c r="H508" s="41"/>
      <c r="I508" s="41"/>
      <c r="J508" s="41"/>
      <c r="K508" s="116"/>
      <c r="L508" s="117" t="str">
        <f>IF(tbl_Actual_costs_quantities34[[#This Row],[House Code]]&lt;&gt;"",tbl_Actual_costs_quantities34[[#This Row],[Total cost]]/INDEX(tbl_estimated_costs_quantities[],MATCH(tbl_Actual_costs_quantities34[[#This Row],[House Code]],tbl_estimated_costs_quantities[House Code],0),7),"")</f>
        <v/>
      </c>
      <c r="M50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8" s="75"/>
      <c r="O508" s="37"/>
      <c r="P508" s="86">
        <f>tbl_Actual_costs_quantities34[[#This Row],[Site Preparation]]*BOQs!$L$3</f>
        <v>0</v>
      </c>
      <c r="Q508" s="76"/>
      <c r="R508" s="37"/>
      <c r="S508" s="86">
        <f>tbl_Actual_costs_quantities34[[#This Row],[Demolition Removal Unsafe Structures]]*BOQs!$L$4</f>
        <v>0</v>
      </c>
      <c r="T508" s="76"/>
      <c r="U508" s="37"/>
      <c r="V508" s="86">
        <f>tbl_Actual_costs_quantities34[[#This Row],[Concrete Works]]*BOQs!$L$5</f>
        <v>0</v>
      </c>
      <c r="W508" s="76"/>
      <c r="X508" s="37"/>
      <c r="Y508" s="86">
        <f>tbl_Actual_costs_quantities34[[#This Row],[Closure External Openings Walls Windows]]*BOQs!$L$6</f>
        <v>0</v>
      </c>
      <c r="Z508" s="76"/>
      <c r="AA508" s="37"/>
      <c r="AB508" s="86">
        <f>tbl_Actual_costs_quantities34[[#This Row],[Plastering Painting]]*BOQs!$L$7</f>
        <v>0</v>
      </c>
      <c r="AC508" s="76"/>
      <c r="AD508" s="37"/>
      <c r="AE508" s="86">
        <f>tbl_Actual_costs_quantities34[[#This Row],[Floor Repairs]]*BOQs!$L$8</f>
        <v>0</v>
      </c>
      <c r="AF508" s="76"/>
      <c r="AG508" s="37"/>
      <c r="AH508" s="86">
        <f>tbl_Actual_costs_quantities34[[#This Row],[Doors Replacement Repair]]*BOQs!$L$9</f>
        <v>0</v>
      </c>
      <c r="AI508" s="76"/>
      <c r="AJ508" s="37"/>
      <c r="AK508" s="86">
        <f>tbl_Actual_costs_quantities34[[#This Row],[Windows Replacement Repair]]*BOQs!$L$10</f>
        <v>0</v>
      </c>
      <c r="AL508" s="76"/>
      <c r="AM508" s="37"/>
      <c r="AN508" s="86">
        <f>tbl_Actual_costs_quantities34[[#This Row],[Bathroom Rehabilitation]]*BOQs!$L$11</f>
        <v>0</v>
      </c>
      <c r="AO508" s="76"/>
      <c r="AP508" s="37"/>
      <c r="AQ508" s="86">
        <f>tbl_Actual_costs_quantities34[[#This Row],[Ceramic Tile Works WASH]]*BOQs!$L$12</f>
        <v>0</v>
      </c>
      <c r="AR508" s="76"/>
      <c r="AS508" s="37"/>
      <c r="AT508" s="86">
        <f>tbl_Actual_costs_quantities34[[#This Row],[Electrical Repairs Lighting]]*BOQs!$L$13</f>
        <v>0</v>
      </c>
      <c r="AU508" s="76"/>
      <c r="AV508" s="37"/>
      <c r="AW508" s="86">
        <f>tbl_Actual_costs_quantities34[[#This Row],[Roof Insulation Leak Sealing]]*BOQs!$L$14</f>
        <v>0</v>
      </c>
      <c r="AX508" s="76"/>
      <c r="AY508" s="37"/>
      <c r="AZ508" s="86">
        <f>tbl_Actual_costs_quantities34[[#This Row],[Chimney Duct Cleaning Repair]]*BOQs!$L$15</f>
        <v>0</v>
      </c>
      <c r="BA508" s="76"/>
      <c r="BB508" s="37"/>
      <c r="BC508" s="89">
        <f>tbl_Actual_costs_quantities34[[#This Row],[Accessibility Adaptations]]*BOQs!$L$16</f>
        <v>0</v>
      </c>
      <c r="BD508" s="41"/>
      <c r="BE508" s="37"/>
      <c r="BF508" s="37"/>
    </row>
    <row r="509" spans="2:58" ht="25.15" customHeight="1" x14ac:dyDescent="0.25">
      <c r="B509" s="49">
        <v>505</v>
      </c>
      <c r="C509" s="37"/>
      <c r="D509" s="41"/>
      <c r="E509" s="40"/>
      <c r="F509" s="87" t="str">
        <f>IF(tbl_Actual_costs_quantities34[[#This Row],[House Code]]&lt;&gt;"",INDEX(tbl_Assessment[],MATCH(tbl_Actual_costs_quantities34[[#This Row],[House Code]],tbl_Assessment[House Code],0),3),"")</f>
        <v/>
      </c>
      <c r="G509" s="116" t="str">
        <f>IF(tbl_Actual_costs_quantities34[[#This Row],[House Code]]&lt;&gt;"",INDEX(tbl_Assessment[],MATCH(tbl_Actual_costs_quantities34[[#This Row],[House Code]],tbl_Assessment[House Code],0),9),"")</f>
        <v/>
      </c>
      <c r="H509" s="41"/>
      <c r="I509" s="41"/>
      <c r="J509" s="41"/>
      <c r="K509" s="116"/>
      <c r="L509" s="117" t="str">
        <f>IF(tbl_Actual_costs_quantities34[[#This Row],[House Code]]&lt;&gt;"",tbl_Actual_costs_quantities34[[#This Row],[Total cost]]/INDEX(tbl_estimated_costs_quantities[],MATCH(tbl_Actual_costs_quantities34[[#This Row],[House Code]],tbl_estimated_costs_quantities[House Code],0),7),"")</f>
        <v/>
      </c>
      <c r="M50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09" s="75"/>
      <c r="O509" s="37"/>
      <c r="P509" s="86">
        <f>tbl_Actual_costs_quantities34[[#This Row],[Site Preparation]]*BOQs!$L$3</f>
        <v>0</v>
      </c>
      <c r="Q509" s="76"/>
      <c r="R509" s="37"/>
      <c r="S509" s="86">
        <f>tbl_Actual_costs_quantities34[[#This Row],[Demolition Removal Unsafe Structures]]*BOQs!$L$4</f>
        <v>0</v>
      </c>
      <c r="T509" s="76"/>
      <c r="U509" s="37"/>
      <c r="V509" s="86">
        <f>tbl_Actual_costs_quantities34[[#This Row],[Concrete Works]]*BOQs!$L$5</f>
        <v>0</v>
      </c>
      <c r="W509" s="76"/>
      <c r="X509" s="37"/>
      <c r="Y509" s="86">
        <f>tbl_Actual_costs_quantities34[[#This Row],[Closure External Openings Walls Windows]]*BOQs!$L$6</f>
        <v>0</v>
      </c>
      <c r="Z509" s="76"/>
      <c r="AA509" s="37"/>
      <c r="AB509" s="86">
        <f>tbl_Actual_costs_quantities34[[#This Row],[Plastering Painting]]*BOQs!$L$7</f>
        <v>0</v>
      </c>
      <c r="AC509" s="76"/>
      <c r="AD509" s="37"/>
      <c r="AE509" s="86">
        <f>tbl_Actual_costs_quantities34[[#This Row],[Floor Repairs]]*BOQs!$L$8</f>
        <v>0</v>
      </c>
      <c r="AF509" s="76"/>
      <c r="AG509" s="37"/>
      <c r="AH509" s="86">
        <f>tbl_Actual_costs_quantities34[[#This Row],[Doors Replacement Repair]]*BOQs!$L$9</f>
        <v>0</v>
      </c>
      <c r="AI509" s="76"/>
      <c r="AJ509" s="37"/>
      <c r="AK509" s="86">
        <f>tbl_Actual_costs_quantities34[[#This Row],[Windows Replacement Repair]]*BOQs!$L$10</f>
        <v>0</v>
      </c>
      <c r="AL509" s="76"/>
      <c r="AM509" s="37"/>
      <c r="AN509" s="86">
        <f>tbl_Actual_costs_quantities34[[#This Row],[Bathroom Rehabilitation]]*BOQs!$L$11</f>
        <v>0</v>
      </c>
      <c r="AO509" s="76"/>
      <c r="AP509" s="37"/>
      <c r="AQ509" s="86">
        <f>tbl_Actual_costs_quantities34[[#This Row],[Ceramic Tile Works WASH]]*BOQs!$L$12</f>
        <v>0</v>
      </c>
      <c r="AR509" s="76"/>
      <c r="AS509" s="37"/>
      <c r="AT509" s="86">
        <f>tbl_Actual_costs_quantities34[[#This Row],[Electrical Repairs Lighting]]*BOQs!$L$13</f>
        <v>0</v>
      </c>
      <c r="AU509" s="76"/>
      <c r="AV509" s="37"/>
      <c r="AW509" s="86">
        <f>tbl_Actual_costs_quantities34[[#This Row],[Roof Insulation Leak Sealing]]*BOQs!$L$14</f>
        <v>0</v>
      </c>
      <c r="AX509" s="76"/>
      <c r="AY509" s="37"/>
      <c r="AZ509" s="86">
        <f>tbl_Actual_costs_quantities34[[#This Row],[Chimney Duct Cleaning Repair]]*BOQs!$L$15</f>
        <v>0</v>
      </c>
      <c r="BA509" s="76"/>
      <c r="BB509" s="37"/>
      <c r="BC509" s="89">
        <f>tbl_Actual_costs_quantities34[[#This Row],[Accessibility Adaptations]]*BOQs!$L$16</f>
        <v>0</v>
      </c>
      <c r="BD509" s="41"/>
      <c r="BE509" s="37"/>
      <c r="BF509" s="37"/>
    </row>
    <row r="510" spans="2:58" ht="25.15" customHeight="1" x14ac:dyDescent="0.25">
      <c r="B510" s="49">
        <v>506</v>
      </c>
      <c r="C510" s="37"/>
      <c r="D510" s="41"/>
      <c r="E510" s="40"/>
      <c r="F510" s="87" t="str">
        <f>IF(tbl_Actual_costs_quantities34[[#This Row],[House Code]]&lt;&gt;"",INDEX(tbl_Assessment[],MATCH(tbl_Actual_costs_quantities34[[#This Row],[House Code]],tbl_Assessment[House Code],0),3),"")</f>
        <v/>
      </c>
      <c r="G510" s="116" t="str">
        <f>IF(tbl_Actual_costs_quantities34[[#This Row],[House Code]]&lt;&gt;"",INDEX(tbl_Assessment[],MATCH(tbl_Actual_costs_quantities34[[#This Row],[House Code]],tbl_Assessment[House Code],0),9),"")</f>
        <v/>
      </c>
      <c r="H510" s="41"/>
      <c r="I510" s="41"/>
      <c r="J510" s="41"/>
      <c r="K510" s="116"/>
      <c r="L510" s="117" t="str">
        <f>IF(tbl_Actual_costs_quantities34[[#This Row],[House Code]]&lt;&gt;"",tbl_Actual_costs_quantities34[[#This Row],[Total cost]]/INDEX(tbl_estimated_costs_quantities[],MATCH(tbl_Actual_costs_quantities34[[#This Row],[House Code]],tbl_estimated_costs_quantities[House Code],0),7),"")</f>
        <v/>
      </c>
      <c r="M51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0" s="75"/>
      <c r="O510" s="37"/>
      <c r="P510" s="86">
        <f>tbl_Actual_costs_quantities34[[#This Row],[Site Preparation]]*BOQs!$L$3</f>
        <v>0</v>
      </c>
      <c r="Q510" s="76"/>
      <c r="R510" s="37"/>
      <c r="S510" s="86">
        <f>tbl_Actual_costs_quantities34[[#This Row],[Demolition Removal Unsafe Structures]]*BOQs!$L$4</f>
        <v>0</v>
      </c>
      <c r="T510" s="76"/>
      <c r="U510" s="37"/>
      <c r="V510" s="86">
        <f>tbl_Actual_costs_quantities34[[#This Row],[Concrete Works]]*BOQs!$L$5</f>
        <v>0</v>
      </c>
      <c r="W510" s="76"/>
      <c r="X510" s="37"/>
      <c r="Y510" s="86">
        <f>tbl_Actual_costs_quantities34[[#This Row],[Closure External Openings Walls Windows]]*BOQs!$L$6</f>
        <v>0</v>
      </c>
      <c r="Z510" s="76"/>
      <c r="AA510" s="37"/>
      <c r="AB510" s="86">
        <f>tbl_Actual_costs_quantities34[[#This Row],[Plastering Painting]]*BOQs!$L$7</f>
        <v>0</v>
      </c>
      <c r="AC510" s="76"/>
      <c r="AD510" s="37"/>
      <c r="AE510" s="86">
        <f>tbl_Actual_costs_quantities34[[#This Row],[Floor Repairs]]*BOQs!$L$8</f>
        <v>0</v>
      </c>
      <c r="AF510" s="76"/>
      <c r="AG510" s="37"/>
      <c r="AH510" s="86">
        <f>tbl_Actual_costs_quantities34[[#This Row],[Doors Replacement Repair]]*BOQs!$L$9</f>
        <v>0</v>
      </c>
      <c r="AI510" s="76"/>
      <c r="AJ510" s="37"/>
      <c r="AK510" s="86">
        <f>tbl_Actual_costs_quantities34[[#This Row],[Windows Replacement Repair]]*BOQs!$L$10</f>
        <v>0</v>
      </c>
      <c r="AL510" s="76"/>
      <c r="AM510" s="37"/>
      <c r="AN510" s="86">
        <f>tbl_Actual_costs_quantities34[[#This Row],[Bathroom Rehabilitation]]*BOQs!$L$11</f>
        <v>0</v>
      </c>
      <c r="AO510" s="76"/>
      <c r="AP510" s="37"/>
      <c r="AQ510" s="86">
        <f>tbl_Actual_costs_quantities34[[#This Row],[Ceramic Tile Works WASH]]*BOQs!$L$12</f>
        <v>0</v>
      </c>
      <c r="AR510" s="76"/>
      <c r="AS510" s="37"/>
      <c r="AT510" s="86">
        <f>tbl_Actual_costs_quantities34[[#This Row],[Electrical Repairs Lighting]]*BOQs!$L$13</f>
        <v>0</v>
      </c>
      <c r="AU510" s="76"/>
      <c r="AV510" s="37"/>
      <c r="AW510" s="86">
        <f>tbl_Actual_costs_quantities34[[#This Row],[Roof Insulation Leak Sealing]]*BOQs!$L$14</f>
        <v>0</v>
      </c>
      <c r="AX510" s="76"/>
      <c r="AY510" s="37"/>
      <c r="AZ510" s="86">
        <f>tbl_Actual_costs_quantities34[[#This Row],[Chimney Duct Cleaning Repair]]*BOQs!$L$15</f>
        <v>0</v>
      </c>
      <c r="BA510" s="76"/>
      <c r="BB510" s="37"/>
      <c r="BC510" s="89">
        <f>tbl_Actual_costs_quantities34[[#This Row],[Accessibility Adaptations]]*BOQs!$L$16</f>
        <v>0</v>
      </c>
      <c r="BD510" s="41"/>
      <c r="BE510" s="37"/>
      <c r="BF510" s="37"/>
    </row>
    <row r="511" spans="2:58" ht="25.15" customHeight="1" x14ac:dyDescent="0.25">
      <c r="B511" s="49">
        <v>507</v>
      </c>
      <c r="C511" s="37"/>
      <c r="D511" s="41"/>
      <c r="E511" s="40"/>
      <c r="F511" s="87" t="str">
        <f>IF(tbl_Actual_costs_quantities34[[#This Row],[House Code]]&lt;&gt;"",INDEX(tbl_Assessment[],MATCH(tbl_Actual_costs_quantities34[[#This Row],[House Code]],tbl_Assessment[House Code],0),3),"")</f>
        <v/>
      </c>
      <c r="G511" s="116" t="str">
        <f>IF(tbl_Actual_costs_quantities34[[#This Row],[House Code]]&lt;&gt;"",INDEX(tbl_Assessment[],MATCH(tbl_Actual_costs_quantities34[[#This Row],[House Code]],tbl_Assessment[House Code],0),9),"")</f>
        <v/>
      </c>
      <c r="H511" s="41"/>
      <c r="I511" s="41"/>
      <c r="J511" s="41"/>
      <c r="K511" s="116"/>
      <c r="L511" s="117" t="str">
        <f>IF(tbl_Actual_costs_quantities34[[#This Row],[House Code]]&lt;&gt;"",tbl_Actual_costs_quantities34[[#This Row],[Total cost]]/INDEX(tbl_estimated_costs_quantities[],MATCH(tbl_Actual_costs_quantities34[[#This Row],[House Code]],tbl_estimated_costs_quantities[House Code],0),7),"")</f>
        <v/>
      </c>
      <c r="M51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1" s="75"/>
      <c r="O511" s="37"/>
      <c r="P511" s="86">
        <f>tbl_Actual_costs_quantities34[[#This Row],[Site Preparation]]*BOQs!$L$3</f>
        <v>0</v>
      </c>
      <c r="Q511" s="76"/>
      <c r="R511" s="37"/>
      <c r="S511" s="86">
        <f>tbl_Actual_costs_quantities34[[#This Row],[Demolition Removal Unsafe Structures]]*BOQs!$L$4</f>
        <v>0</v>
      </c>
      <c r="T511" s="76"/>
      <c r="U511" s="37"/>
      <c r="V511" s="86">
        <f>tbl_Actual_costs_quantities34[[#This Row],[Concrete Works]]*BOQs!$L$5</f>
        <v>0</v>
      </c>
      <c r="W511" s="76"/>
      <c r="X511" s="37"/>
      <c r="Y511" s="86">
        <f>tbl_Actual_costs_quantities34[[#This Row],[Closure External Openings Walls Windows]]*BOQs!$L$6</f>
        <v>0</v>
      </c>
      <c r="Z511" s="76"/>
      <c r="AA511" s="37"/>
      <c r="AB511" s="86">
        <f>tbl_Actual_costs_quantities34[[#This Row],[Plastering Painting]]*BOQs!$L$7</f>
        <v>0</v>
      </c>
      <c r="AC511" s="76"/>
      <c r="AD511" s="37"/>
      <c r="AE511" s="86">
        <f>tbl_Actual_costs_quantities34[[#This Row],[Floor Repairs]]*BOQs!$L$8</f>
        <v>0</v>
      </c>
      <c r="AF511" s="76"/>
      <c r="AG511" s="37"/>
      <c r="AH511" s="86">
        <f>tbl_Actual_costs_quantities34[[#This Row],[Doors Replacement Repair]]*BOQs!$L$9</f>
        <v>0</v>
      </c>
      <c r="AI511" s="76"/>
      <c r="AJ511" s="37"/>
      <c r="AK511" s="86">
        <f>tbl_Actual_costs_quantities34[[#This Row],[Windows Replacement Repair]]*BOQs!$L$10</f>
        <v>0</v>
      </c>
      <c r="AL511" s="76"/>
      <c r="AM511" s="37"/>
      <c r="AN511" s="86">
        <f>tbl_Actual_costs_quantities34[[#This Row],[Bathroom Rehabilitation]]*BOQs!$L$11</f>
        <v>0</v>
      </c>
      <c r="AO511" s="76"/>
      <c r="AP511" s="37"/>
      <c r="AQ511" s="86">
        <f>tbl_Actual_costs_quantities34[[#This Row],[Ceramic Tile Works WASH]]*BOQs!$L$12</f>
        <v>0</v>
      </c>
      <c r="AR511" s="76"/>
      <c r="AS511" s="37"/>
      <c r="AT511" s="86">
        <f>tbl_Actual_costs_quantities34[[#This Row],[Electrical Repairs Lighting]]*BOQs!$L$13</f>
        <v>0</v>
      </c>
      <c r="AU511" s="76"/>
      <c r="AV511" s="37"/>
      <c r="AW511" s="86">
        <f>tbl_Actual_costs_quantities34[[#This Row],[Roof Insulation Leak Sealing]]*BOQs!$L$14</f>
        <v>0</v>
      </c>
      <c r="AX511" s="76"/>
      <c r="AY511" s="37"/>
      <c r="AZ511" s="86">
        <f>tbl_Actual_costs_quantities34[[#This Row],[Chimney Duct Cleaning Repair]]*BOQs!$L$15</f>
        <v>0</v>
      </c>
      <c r="BA511" s="76"/>
      <c r="BB511" s="37"/>
      <c r="BC511" s="89">
        <f>tbl_Actual_costs_quantities34[[#This Row],[Accessibility Adaptations]]*BOQs!$L$16</f>
        <v>0</v>
      </c>
      <c r="BD511" s="41"/>
      <c r="BE511" s="37"/>
      <c r="BF511" s="37"/>
    </row>
    <row r="512" spans="2:58" ht="25.15" customHeight="1" x14ac:dyDescent="0.25">
      <c r="B512" s="49">
        <v>508</v>
      </c>
      <c r="C512" s="37"/>
      <c r="D512" s="41"/>
      <c r="E512" s="40"/>
      <c r="F512" s="87" t="str">
        <f>IF(tbl_Actual_costs_quantities34[[#This Row],[House Code]]&lt;&gt;"",INDEX(tbl_Assessment[],MATCH(tbl_Actual_costs_quantities34[[#This Row],[House Code]],tbl_Assessment[House Code],0),3),"")</f>
        <v/>
      </c>
      <c r="G512" s="116" t="str">
        <f>IF(tbl_Actual_costs_quantities34[[#This Row],[House Code]]&lt;&gt;"",INDEX(tbl_Assessment[],MATCH(tbl_Actual_costs_quantities34[[#This Row],[House Code]],tbl_Assessment[House Code],0),9),"")</f>
        <v/>
      </c>
      <c r="H512" s="41"/>
      <c r="I512" s="41"/>
      <c r="J512" s="41"/>
      <c r="K512" s="116"/>
      <c r="L512" s="117" t="str">
        <f>IF(tbl_Actual_costs_quantities34[[#This Row],[House Code]]&lt;&gt;"",tbl_Actual_costs_quantities34[[#This Row],[Total cost]]/INDEX(tbl_estimated_costs_quantities[],MATCH(tbl_Actual_costs_quantities34[[#This Row],[House Code]],tbl_estimated_costs_quantities[House Code],0),7),"")</f>
        <v/>
      </c>
      <c r="M51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2" s="75"/>
      <c r="O512" s="37"/>
      <c r="P512" s="86">
        <f>tbl_Actual_costs_quantities34[[#This Row],[Site Preparation]]*BOQs!$L$3</f>
        <v>0</v>
      </c>
      <c r="Q512" s="76"/>
      <c r="R512" s="37"/>
      <c r="S512" s="86">
        <f>tbl_Actual_costs_quantities34[[#This Row],[Demolition Removal Unsafe Structures]]*BOQs!$L$4</f>
        <v>0</v>
      </c>
      <c r="T512" s="76"/>
      <c r="U512" s="37"/>
      <c r="V512" s="86">
        <f>tbl_Actual_costs_quantities34[[#This Row],[Concrete Works]]*BOQs!$L$5</f>
        <v>0</v>
      </c>
      <c r="W512" s="76"/>
      <c r="X512" s="37"/>
      <c r="Y512" s="86">
        <f>tbl_Actual_costs_quantities34[[#This Row],[Closure External Openings Walls Windows]]*BOQs!$L$6</f>
        <v>0</v>
      </c>
      <c r="Z512" s="76"/>
      <c r="AA512" s="37"/>
      <c r="AB512" s="86">
        <f>tbl_Actual_costs_quantities34[[#This Row],[Plastering Painting]]*BOQs!$L$7</f>
        <v>0</v>
      </c>
      <c r="AC512" s="76"/>
      <c r="AD512" s="37"/>
      <c r="AE512" s="86">
        <f>tbl_Actual_costs_quantities34[[#This Row],[Floor Repairs]]*BOQs!$L$8</f>
        <v>0</v>
      </c>
      <c r="AF512" s="76"/>
      <c r="AG512" s="37"/>
      <c r="AH512" s="86">
        <f>tbl_Actual_costs_quantities34[[#This Row],[Doors Replacement Repair]]*BOQs!$L$9</f>
        <v>0</v>
      </c>
      <c r="AI512" s="76"/>
      <c r="AJ512" s="37"/>
      <c r="AK512" s="86">
        <f>tbl_Actual_costs_quantities34[[#This Row],[Windows Replacement Repair]]*BOQs!$L$10</f>
        <v>0</v>
      </c>
      <c r="AL512" s="76"/>
      <c r="AM512" s="37"/>
      <c r="AN512" s="86">
        <f>tbl_Actual_costs_quantities34[[#This Row],[Bathroom Rehabilitation]]*BOQs!$L$11</f>
        <v>0</v>
      </c>
      <c r="AO512" s="76"/>
      <c r="AP512" s="37"/>
      <c r="AQ512" s="86">
        <f>tbl_Actual_costs_quantities34[[#This Row],[Ceramic Tile Works WASH]]*BOQs!$L$12</f>
        <v>0</v>
      </c>
      <c r="AR512" s="76"/>
      <c r="AS512" s="37"/>
      <c r="AT512" s="86">
        <f>tbl_Actual_costs_quantities34[[#This Row],[Electrical Repairs Lighting]]*BOQs!$L$13</f>
        <v>0</v>
      </c>
      <c r="AU512" s="76"/>
      <c r="AV512" s="37"/>
      <c r="AW512" s="86">
        <f>tbl_Actual_costs_quantities34[[#This Row],[Roof Insulation Leak Sealing]]*BOQs!$L$14</f>
        <v>0</v>
      </c>
      <c r="AX512" s="76"/>
      <c r="AY512" s="37"/>
      <c r="AZ512" s="86">
        <f>tbl_Actual_costs_quantities34[[#This Row],[Chimney Duct Cleaning Repair]]*BOQs!$L$15</f>
        <v>0</v>
      </c>
      <c r="BA512" s="76"/>
      <c r="BB512" s="37"/>
      <c r="BC512" s="89">
        <f>tbl_Actual_costs_quantities34[[#This Row],[Accessibility Adaptations]]*BOQs!$L$16</f>
        <v>0</v>
      </c>
      <c r="BD512" s="41"/>
      <c r="BE512" s="37"/>
      <c r="BF512" s="37"/>
    </row>
    <row r="513" spans="2:58" ht="25.15" customHeight="1" x14ac:dyDescent="0.25">
      <c r="B513" s="49">
        <v>509</v>
      </c>
      <c r="C513" s="37"/>
      <c r="D513" s="41"/>
      <c r="E513" s="40"/>
      <c r="F513" s="87" t="str">
        <f>IF(tbl_Actual_costs_quantities34[[#This Row],[House Code]]&lt;&gt;"",INDEX(tbl_Assessment[],MATCH(tbl_Actual_costs_quantities34[[#This Row],[House Code]],tbl_Assessment[House Code],0),3),"")</f>
        <v/>
      </c>
      <c r="G513" s="116" t="str">
        <f>IF(tbl_Actual_costs_quantities34[[#This Row],[House Code]]&lt;&gt;"",INDEX(tbl_Assessment[],MATCH(tbl_Actual_costs_quantities34[[#This Row],[House Code]],tbl_Assessment[House Code],0),9),"")</f>
        <v/>
      </c>
      <c r="H513" s="41"/>
      <c r="I513" s="41"/>
      <c r="J513" s="41"/>
      <c r="K513" s="116"/>
      <c r="L513" s="117" t="str">
        <f>IF(tbl_Actual_costs_quantities34[[#This Row],[House Code]]&lt;&gt;"",tbl_Actual_costs_quantities34[[#This Row],[Total cost]]/INDEX(tbl_estimated_costs_quantities[],MATCH(tbl_Actual_costs_quantities34[[#This Row],[House Code]],tbl_estimated_costs_quantities[House Code],0),7),"")</f>
        <v/>
      </c>
      <c r="M51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3" s="75"/>
      <c r="O513" s="37"/>
      <c r="P513" s="86">
        <f>tbl_Actual_costs_quantities34[[#This Row],[Site Preparation]]*BOQs!$L$3</f>
        <v>0</v>
      </c>
      <c r="Q513" s="76"/>
      <c r="R513" s="37"/>
      <c r="S513" s="86">
        <f>tbl_Actual_costs_quantities34[[#This Row],[Demolition Removal Unsafe Structures]]*BOQs!$L$4</f>
        <v>0</v>
      </c>
      <c r="T513" s="76"/>
      <c r="U513" s="37"/>
      <c r="V513" s="86">
        <f>tbl_Actual_costs_quantities34[[#This Row],[Concrete Works]]*BOQs!$L$5</f>
        <v>0</v>
      </c>
      <c r="W513" s="76"/>
      <c r="X513" s="37"/>
      <c r="Y513" s="86">
        <f>tbl_Actual_costs_quantities34[[#This Row],[Closure External Openings Walls Windows]]*BOQs!$L$6</f>
        <v>0</v>
      </c>
      <c r="Z513" s="76"/>
      <c r="AA513" s="37"/>
      <c r="AB513" s="86">
        <f>tbl_Actual_costs_quantities34[[#This Row],[Plastering Painting]]*BOQs!$L$7</f>
        <v>0</v>
      </c>
      <c r="AC513" s="76"/>
      <c r="AD513" s="37"/>
      <c r="AE513" s="86">
        <f>tbl_Actual_costs_quantities34[[#This Row],[Floor Repairs]]*BOQs!$L$8</f>
        <v>0</v>
      </c>
      <c r="AF513" s="76"/>
      <c r="AG513" s="37"/>
      <c r="AH513" s="86">
        <f>tbl_Actual_costs_quantities34[[#This Row],[Doors Replacement Repair]]*BOQs!$L$9</f>
        <v>0</v>
      </c>
      <c r="AI513" s="76"/>
      <c r="AJ513" s="37"/>
      <c r="AK513" s="86">
        <f>tbl_Actual_costs_quantities34[[#This Row],[Windows Replacement Repair]]*BOQs!$L$10</f>
        <v>0</v>
      </c>
      <c r="AL513" s="76"/>
      <c r="AM513" s="37"/>
      <c r="AN513" s="86">
        <f>tbl_Actual_costs_quantities34[[#This Row],[Bathroom Rehabilitation]]*BOQs!$L$11</f>
        <v>0</v>
      </c>
      <c r="AO513" s="76"/>
      <c r="AP513" s="37"/>
      <c r="AQ513" s="86">
        <f>tbl_Actual_costs_quantities34[[#This Row],[Ceramic Tile Works WASH]]*BOQs!$L$12</f>
        <v>0</v>
      </c>
      <c r="AR513" s="76"/>
      <c r="AS513" s="37"/>
      <c r="AT513" s="86">
        <f>tbl_Actual_costs_quantities34[[#This Row],[Electrical Repairs Lighting]]*BOQs!$L$13</f>
        <v>0</v>
      </c>
      <c r="AU513" s="76"/>
      <c r="AV513" s="37"/>
      <c r="AW513" s="86">
        <f>tbl_Actual_costs_quantities34[[#This Row],[Roof Insulation Leak Sealing]]*BOQs!$L$14</f>
        <v>0</v>
      </c>
      <c r="AX513" s="76"/>
      <c r="AY513" s="37"/>
      <c r="AZ513" s="86">
        <f>tbl_Actual_costs_quantities34[[#This Row],[Chimney Duct Cleaning Repair]]*BOQs!$L$15</f>
        <v>0</v>
      </c>
      <c r="BA513" s="76"/>
      <c r="BB513" s="37"/>
      <c r="BC513" s="89">
        <f>tbl_Actual_costs_quantities34[[#This Row],[Accessibility Adaptations]]*BOQs!$L$16</f>
        <v>0</v>
      </c>
      <c r="BD513" s="41"/>
      <c r="BE513" s="37"/>
      <c r="BF513" s="37"/>
    </row>
    <row r="514" spans="2:58" ht="25.15" customHeight="1" x14ac:dyDescent="0.25">
      <c r="B514" s="49">
        <v>510</v>
      </c>
      <c r="C514" s="37"/>
      <c r="D514" s="41"/>
      <c r="E514" s="40"/>
      <c r="F514" s="87" t="str">
        <f>IF(tbl_Actual_costs_quantities34[[#This Row],[House Code]]&lt;&gt;"",INDEX(tbl_Assessment[],MATCH(tbl_Actual_costs_quantities34[[#This Row],[House Code]],tbl_Assessment[House Code],0),3),"")</f>
        <v/>
      </c>
      <c r="G514" s="116" t="str">
        <f>IF(tbl_Actual_costs_quantities34[[#This Row],[House Code]]&lt;&gt;"",INDEX(tbl_Assessment[],MATCH(tbl_Actual_costs_quantities34[[#This Row],[House Code]],tbl_Assessment[House Code],0),9),"")</f>
        <v/>
      </c>
      <c r="H514" s="41"/>
      <c r="I514" s="41"/>
      <c r="J514" s="41"/>
      <c r="K514" s="116"/>
      <c r="L514" s="117" t="str">
        <f>IF(tbl_Actual_costs_quantities34[[#This Row],[House Code]]&lt;&gt;"",tbl_Actual_costs_quantities34[[#This Row],[Total cost]]/INDEX(tbl_estimated_costs_quantities[],MATCH(tbl_Actual_costs_quantities34[[#This Row],[House Code]],tbl_estimated_costs_quantities[House Code],0),7),"")</f>
        <v/>
      </c>
      <c r="M51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4" s="75"/>
      <c r="O514" s="37"/>
      <c r="P514" s="86">
        <f>tbl_Actual_costs_quantities34[[#This Row],[Site Preparation]]*BOQs!$L$3</f>
        <v>0</v>
      </c>
      <c r="Q514" s="76"/>
      <c r="R514" s="37"/>
      <c r="S514" s="86">
        <f>tbl_Actual_costs_quantities34[[#This Row],[Demolition Removal Unsafe Structures]]*BOQs!$L$4</f>
        <v>0</v>
      </c>
      <c r="T514" s="76"/>
      <c r="U514" s="37"/>
      <c r="V514" s="86">
        <f>tbl_Actual_costs_quantities34[[#This Row],[Concrete Works]]*BOQs!$L$5</f>
        <v>0</v>
      </c>
      <c r="W514" s="76"/>
      <c r="X514" s="37"/>
      <c r="Y514" s="86">
        <f>tbl_Actual_costs_quantities34[[#This Row],[Closure External Openings Walls Windows]]*BOQs!$L$6</f>
        <v>0</v>
      </c>
      <c r="Z514" s="76"/>
      <c r="AA514" s="37"/>
      <c r="AB514" s="86">
        <f>tbl_Actual_costs_quantities34[[#This Row],[Plastering Painting]]*BOQs!$L$7</f>
        <v>0</v>
      </c>
      <c r="AC514" s="76"/>
      <c r="AD514" s="37"/>
      <c r="AE514" s="86">
        <f>tbl_Actual_costs_quantities34[[#This Row],[Floor Repairs]]*BOQs!$L$8</f>
        <v>0</v>
      </c>
      <c r="AF514" s="76"/>
      <c r="AG514" s="37"/>
      <c r="AH514" s="86">
        <f>tbl_Actual_costs_quantities34[[#This Row],[Doors Replacement Repair]]*BOQs!$L$9</f>
        <v>0</v>
      </c>
      <c r="AI514" s="76"/>
      <c r="AJ514" s="37"/>
      <c r="AK514" s="86">
        <f>tbl_Actual_costs_quantities34[[#This Row],[Windows Replacement Repair]]*BOQs!$L$10</f>
        <v>0</v>
      </c>
      <c r="AL514" s="76"/>
      <c r="AM514" s="37"/>
      <c r="AN514" s="86">
        <f>tbl_Actual_costs_quantities34[[#This Row],[Bathroom Rehabilitation]]*BOQs!$L$11</f>
        <v>0</v>
      </c>
      <c r="AO514" s="76"/>
      <c r="AP514" s="37"/>
      <c r="AQ514" s="86">
        <f>tbl_Actual_costs_quantities34[[#This Row],[Ceramic Tile Works WASH]]*BOQs!$L$12</f>
        <v>0</v>
      </c>
      <c r="AR514" s="76"/>
      <c r="AS514" s="37"/>
      <c r="AT514" s="86">
        <f>tbl_Actual_costs_quantities34[[#This Row],[Electrical Repairs Lighting]]*BOQs!$L$13</f>
        <v>0</v>
      </c>
      <c r="AU514" s="76"/>
      <c r="AV514" s="37"/>
      <c r="AW514" s="86">
        <f>tbl_Actual_costs_quantities34[[#This Row],[Roof Insulation Leak Sealing]]*BOQs!$L$14</f>
        <v>0</v>
      </c>
      <c r="AX514" s="76"/>
      <c r="AY514" s="37"/>
      <c r="AZ514" s="86">
        <f>tbl_Actual_costs_quantities34[[#This Row],[Chimney Duct Cleaning Repair]]*BOQs!$L$15</f>
        <v>0</v>
      </c>
      <c r="BA514" s="76"/>
      <c r="BB514" s="37"/>
      <c r="BC514" s="89">
        <f>tbl_Actual_costs_quantities34[[#This Row],[Accessibility Adaptations]]*BOQs!$L$16</f>
        <v>0</v>
      </c>
      <c r="BD514" s="41"/>
      <c r="BE514" s="37"/>
      <c r="BF514" s="37"/>
    </row>
    <row r="515" spans="2:58" ht="25.15" customHeight="1" x14ac:dyDescent="0.25">
      <c r="B515" s="49">
        <v>511</v>
      </c>
      <c r="C515" s="37"/>
      <c r="D515" s="41"/>
      <c r="E515" s="40"/>
      <c r="F515" s="87" t="str">
        <f>IF(tbl_Actual_costs_quantities34[[#This Row],[House Code]]&lt;&gt;"",INDEX(tbl_Assessment[],MATCH(tbl_Actual_costs_quantities34[[#This Row],[House Code]],tbl_Assessment[House Code],0),3),"")</f>
        <v/>
      </c>
      <c r="G515" s="116" t="str">
        <f>IF(tbl_Actual_costs_quantities34[[#This Row],[House Code]]&lt;&gt;"",INDEX(tbl_Assessment[],MATCH(tbl_Actual_costs_quantities34[[#This Row],[House Code]],tbl_Assessment[House Code],0),9),"")</f>
        <v/>
      </c>
      <c r="H515" s="41"/>
      <c r="I515" s="41"/>
      <c r="J515" s="41"/>
      <c r="K515" s="116"/>
      <c r="L515" s="117" t="str">
        <f>IF(tbl_Actual_costs_quantities34[[#This Row],[House Code]]&lt;&gt;"",tbl_Actual_costs_quantities34[[#This Row],[Total cost]]/INDEX(tbl_estimated_costs_quantities[],MATCH(tbl_Actual_costs_quantities34[[#This Row],[House Code]],tbl_estimated_costs_quantities[House Code],0),7),"")</f>
        <v/>
      </c>
      <c r="M51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5" s="75"/>
      <c r="O515" s="37"/>
      <c r="P515" s="86">
        <f>tbl_Actual_costs_quantities34[[#This Row],[Site Preparation]]*BOQs!$L$3</f>
        <v>0</v>
      </c>
      <c r="Q515" s="76"/>
      <c r="R515" s="37"/>
      <c r="S515" s="86">
        <f>tbl_Actual_costs_quantities34[[#This Row],[Demolition Removal Unsafe Structures]]*BOQs!$L$4</f>
        <v>0</v>
      </c>
      <c r="T515" s="76"/>
      <c r="U515" s="37"/>
      <c r="V515" s="86">
        <f>tbl_Actual_costs_quantities34[[#This Row],[Concrete Works]]*BOQs!$L$5</f>
        <v>0</v>
      </c>
      <c r="W515" s="76"/>
      <c r="X515" s="37"/>
      <c r="Y515" s="86">
        <f>tbl_Actual_costs_quantities34[[#This Row],[Closure External Openings Walls Windows]]*BOQs!$L$6</f>
        <v>0</v>
      </c>
      <c r="Z515" s="76"/>
      <c r="AA515" s="37"/>
      <c r="AB515" s="86">
        <f>tbl_Actual_costs_quantities34[[#This Row],[Plastering Painting]]*BOQs!$L$7</f>
        <v>0</v>
      </c>
      <c r="AC515" s="76"/>
      <c r="AD515" s="37"/>
      <c r="AE515" s="86">
        <f>tbl_Actual_costs_quantities34[[#This Row],[Floor Repairs]]*BOQs!$L$8</f>
        <v>0</v>
      </c>
      <c r="AF515" s="76"/>
      <c r="AG515" s="37"/>
      <c r="AH515" s="86">
        <f>tbl_Actual_costs_quantities34[[#This Row],[Doors Replacement Repair]]*BOQs!$L$9</f>
        <v>0</v>
      </c>
      <c r="AI515" s="76"/>
      <c r="AJ515" s="37"/>
      <c r="AK515" s="86">
        <f>tbl_Actual_costs_quantities34[[#This Row],[Windows Replacement Repair]]*BOQs!$L$10</f>
        <v>0</v>
      </c>
      <c r="AL515" s="76"/>
      <c r="AM515" s="37"/>
      <c r="AN515" s="86">
        <f>tbl_Actual_costs_quantities34[[#This Row],[Bathroom Rehabilitation]]*BOQs!$L$11</f>
        <v>0</v>
      </c>
      <c r="AO515" s="76"/>
      <c r="AP515" s="37"/>
      <c r="AQ515" s="86">
        <f>tbl_Actual_costs_quantities34[[#This Row],[Ceramic Tile Works WASH]]*BOQs!$L$12</f>
        <v>0</v>
      </c>
      <c r="AR515" s="76"/>
      <c r="AS515" s="37"/>
      <c r="AT515" s="86">
        <f>tbl_Actual_costs_quantities34[[#This Row],[Electrical Repairs Lighting]]*BOQs!$L$13</f>
        <v>0</v>
      </c>
      <c r="AU515" s="76"/>
      <c r="AV515" s="37"/>
      <c r="AW515" s="86">
        <f>tbl_Actual_costs_quantities34[[#This Row],[Roof Insulation Leak Sealing]]*BOQs!$L$14</f>
        <v>0</v>
      </c>
      <c r="AX515" s="76"/>
      <c r="AY515" s="37"/>
      <c r="AZ515" s="86">
        <f>tbl_Actual_costs_quantities34[[#This Row],[Chimney Duct Cleaning Repair]]*BOQs!$L$15</f>
        <v>0</v>
      </c>
      <c r="BA515" s="76"/>
      <c r="BB515" s="37"/>
      <c r="BC515" s="89">
        <f>tbl_Actual_costs_quantities34[[#This Row],[Accessibility Adaptations]]*BOQs!$L$16</f>
        <v>0</v>
      </c>
      <c r="BD515" s="41"/>
      <c r="BE515" s="37"/>
      <c r="BF515" s="37"/>
    </row>
    <row r="516" spans="2:58" ht="25.15" customHeight="1" x14ac:dyDescent="0.25">
      <c r="B516" s="49">
        <v>512</v>
      </c>
      <c r="C516" s="37"/>
      <c r="D516" s="41"/>
      <c r="E516" s="40"/>
      <c r="F516" s="87" t="str">
        <f>IF(tbl_Actual_costs_quantities34[[#This Row],[House Code]]&lt;&gt;"",INDEX(tbl_Assessment[],MATCH(tbl_Actual_costs_quantities34[[#This Row],[House Code]],tbl_Assessment[House Code],0),3),"")</f>
        <v/>
      </c>
      <c r="G516" s="116" t="str">
        <f>IF(tbl_Actual_costs_quantities34[[#This Row],[House Code]]&lt;&gt;"",INDEX(tbl_Assessment[],MATCH(tbl_Actual_costs_quantities34[[#This Row],[House Code]],tbl_Assessment[House Code],0),9),"")</f>
        <v/>
      </c>
      <c r="H516" s="41"/>
      <c r="I516" s="41"/>
      <c r="J516" s="41"/>
      <c r="K516" s="116"/>
      <c r="L516" s="117" t="str">
        <f>IF(tbl_Actual_costs_quantities34[[#This Row],[House Code]]&lt;&gt;"",tbl_Actual_costs_quantities34[[#This Row],[Total cost]]/INDEX(tbl_estimated_costs_quantities[],MATCH(tbl_Actual_costs_quantities34[[#This Row],[House Code]],tbl_estimated_costs_quantities[House Code],0),7),"")</f>
        <v/>
      </c>
      <c r="M51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6" s="75"/>
      <c r="O516" s="37"/>
      <c r="P516" s="86">
        <f>tbl_Actual_costs_quantities34[[#This Row],[Site Preparation]]*BOQs!$L$3</f>
        <v>0</v>
      </c>
      <c r="Q516" s="76"/>
      <c r="R516" s="37"/>
      <c r="S516" s="86">
        <f>tbl_Actual_costs_quantities34[[#This Row],[Demolition Removal Unsafe Structures]]*BOQs!$L$4</f>
        <v>0</v>
      </c>
      <c r="T516" s="76"/>
      <c r="U516" s="37"/>
      <c r="V516" s="86">
        <f>tbl_Actual_costs_quantities34[[#This Row],[Concrete Works]]*BOQs!$L$5</f>
        <v>0</v>
      </c>
      <c r="W516" s="76"/>
      <c r="X516" s="37"/>
      <c r="Y516" s="86">
        <f>tbl_Actual_costs_quantities34[[#This Row],[Closure External Openings Walls Windows]]*BOQs!$L$6</f>
        <v>0</v>
      </c>
      <c r="Z516" s="76"/>
      <c r="AA516" s="37"/>
      <c r="AB516" s="86">
        <f>tbl_Actual_costs_quantities34[[#This Row],[Plastering Painting]]*BOQs!$L$7</f>
        <v>0</v>
      </c>
      <c r="AC516" s="76"/>
      <c r="AD516" s="37"/>
      <c r="AE516" s="86">
        <f>tbl_Actual_costs_quantities34[[#This Row],[Floor Repairs]]*BOQs!$L$8</f>
        <v>0</v>
      </c>
      <c r="AF516" s="76"/>
      <c r="AG516" s="37"/>
      <c r="AH516" s="86">
        <f>tbl_Actual_costs_quantities34[[#This Row],[Doors Replacement Repair]]*BOQs!$L$9</f>
        <v>0</v>
      </c>
      <c r="AI516" s="76"/>
      <c r="AJ516" s="37"/>
      <c r="AK516" s="86">
        <f>tbl_Actual_costs_quantities34[[#This Row],[Windows Replacement Repair]]*BOQs!$L$10</f>
        <v>0</v>
      </c>
      <c r="AL516" s="76"/>
      <c r="AM516" s="37"/>
      <c r="AN516" s="86">
        <f>tbl_Actual_costs_quantities34[[#This Row],[Bathroom Rehabilitation]]*BOQs!$L$11</f>
        <v>0</v>
      </c>
      <c r="AO516" s="76"/>
      <c r="AP516" s="37"/>
      <c r="AQ516" s="86">
        <f>tbl_Actual_costs_quantities34[[#This Row],[Ceramic Tile Works WASH]]*BOQs!$L$12</f>
        <v>0</v>
      </c>
      <c r="AR516" s="76"/>
      <c r="AS516" s="37"/>
      <c r="AT516" s="86">
        <f>tbl_Actual_costs_quantities34[[#This Row],[Electrical Repairs Lighting]]*BOQs!$L$13</f>
        <v>0</v>
      </c>
      <c r="AU516" s="76"/>
      <c r="AV516" s="37"/>
      <c r="AW516" s="86">
        <f>tbl_Actual_costs_quantities34[[#This Row],[Roof Insulation Leak Sealing]]*BOQs!$L$14</f>
        <v>0</v>
      </c>
      <c r="AX516" s="76"/>
      <c r="AY516" s="37"/>
      <c r="AZ516" s="86">
        <f>tbl_Actual_costs_quantities34[[#This Row],[Chimney Duct Cleaning Repair]]*BOQs!$L$15</f>
        <v>0</v>
      </c>
      <c r="BA516" s="76"/>
      <c r="BB516" s="37"/>
      <c r="BC516" s="89">
        <f>tbl_Actual_costs_quantities34[[#This Row],[Accessibility Adaptations]]*BOQs!$L$16</f>
        <v>0</v>
      </c>
      <c r="BD516" s="41"/>
      <c r="BE516" s="37"/>
      <c r="BF516" s="37"/>
    </row>
    <row r="517" spans="2:58" ht="25.15" customHeight="1" x14ac:dyDescent="0.25">
      <c r="B517" s="49">
        <v>513</v>
      </c>
      <c r="C517" s="37"/>
      <c r="D517" s="41"/>
      <c r="E517" s="40"/>
      <c r="F517" s="87" t="str">
        <f>IF(tbl_Actual_costs_quantities34[[#This Row],[House Code]]&lt;&gt;"",INDEX(tbl_Assessment[],MATCH(tbl_Actual_costs_quantities34[[#This Row],[House Code]],tbl_Assessment[House Code],0),3),"")</f>
        <v/>
      </c>
      <c r="G517" s="116" t="str">
        <f>IF(tbl_Actual_costs_quantities34[[#This Row],[House Code]]&lt;&gt;"",INDEX(tbl_Assessment[],MATCH(tbl_Actual_costs_quantities34[[#This Row],[House Code]],tbl_Assessment[House Code],0),9),"")</f>
        <v/>
      </c>
      <c r="H517" s="41"/>
      <c r="I517" s="41"/>
      <c r="J517" s="41"/>
      <c r="K517" s="116"/>
      <c r="L517" s="117" t="str">
        <f>IF(tbl_Actual_costs_quantities34[[#This Row],[House Code]]&lt;&gt;"",tbl_Actual_costs_quantities34[[#This Row],[Total cost]]/INDEX(tbl_estimated_costs_quantities[],MATCH(tbl_Actual_costs_quantities34[[#This Row],[House Code]],tbl_estimated_costs_quantities[House Code],0),7),"")</f>
        <v/>
      </c>
      <c r="M51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7" s="75"/>
      <c r="O517" s="37"/>
      <c r="P517" s="86">
        <f>tbl_Actual_costs_quantities34[[#This Row],[Site Preparation]]*BOQs!$L$3</f>
        <v>0</v>
      </c>
      <c r="Q517" s="76"/>
      <c r="R517" s="37"/>
      <c r="S517" s="86">
        <f>tbl_Actual_costs_quantities34[[#This Row],[Demolition Removal Unsafe Structures]]*BOQs!$L$4</f>
        <v>0</v>
      </c>
      <c r="T517" s="76"/>
      <c r="U517" s="37"/>
      <c r="V517" s="86">
        <f>tbl_Actual_costs_quantities34[[#This Row],[Concrete Works]]*BOQs!$L$5</f>
        <v>0</v>
      </c>
      <c r="W517" s="76"/>
      <c r="X517" s="37"/>
      <c r="Y517" s="86">
        <f>tbl_Actual_costs_quantities34[[#This Row],[Closure External Openings Walls Windows]]*BOQs!$L$6</f>
        <v>0</v>
      </c>
      <c r="Z517" s="76"/>
      <c r="AA517" s="37"/>
      <c r="AB517" s="86">
        <f>tbl_Actual_costs_quantities34[[#This Row],[Plastering Painting]]*BOQs!$L$7</f>
        <v>0</v>
      </c>
      <c r="AC517" s="76"/>
      <c r="AD517" s="37"/>
      <c r="AE517" s="86">
        <f>tbl_Actual_costs_quantities34[[#This Row],[Floor Repairs]]*BOQs!$L$8</f>
        <v>0</v>
      </c>
      <c r="AF517" s="76"/>
      <c r="AG517" s="37"/>
      <c r="AH517" s="86">
        <f>tbl_Actual_costs_quantities34[[#This Row],[Doors Replacement Repair]]*BOQs!$L$9</f>
        <v>0</v>
      </c>
      <c r="AI517" s="76"/>
      <c r="AJ517" s="37"/>
      <c r="AK517" s="86">
        <f>tbl_Actual_costs_quantities34[[#This Row],[Windows Replacement Repair]]*BOQs!$L$10</f>
        <v>0</v>
      </c>
      <c r="AL517" s="76"/>
      <c r="AM517" s="37"/>
      <c r="AN517" s="86">
        <f>tbl_Actual_costs_quantities34[[#This Row],[Bathroom Rehabilitation]]*BOQs!$L$11</f>
        <v>0</v>
      </c>
      <c r="AO517" s="76"/>
      <c r="AP517" s="37"/>
      <c r="AQ517" s="86">
        <f>tbl_Actual_costs_quantities34[[#This Row],[Ceramic Tile Works WASH]]*BOQs!$L$12</f>
        <v>0</v>
      </c>
      <c r="AR517" s="76"/>
      <c r="AS517" s="37"/>
      <c r="AT517" s="86">
        <f>tbl_Actual_costs_quantities34[[#This Row],[Electrical Repairs Lighting]]*BOQs!$L$13</f>
        <v>0</v>
      </c>
      <c r="AU517" s="76"/>
      <c r="AV517" s="37"/>
      <c r="AW517" s="86">
        <f>tbl_Actual_costs_quantities34[[#This Row],[Roof Insulation Leak Sealing]]*BOQs!$L$14</f>
        <v>0</v>
      </c>
      <c r="AX517" s="76"/>
      <c r="AY517" s="37"/>
      <c r="AZ517" s="86">
        <f>tbl_Actual_costs_quantities34[[#This Row],[Chimney Duct Cleaning Repair]]*BOQs!$L$15</f>
        <v>0</v>
      </c>
      <c r="BA517" s="76"/>
      <c r="BB517" s="37"/>
      <c r="BC517" s="89">
        <f>tbl_Actual_costs_quantities34[[#This Row],[Accessibility Adaptations]]*BOQs!$L$16</f>
        <v>0</v>
      </c>
      <c r="BD517" s="41"/>
      <c r="BE517" s="37"/>
      <c r="BF517" s="37"/>
    </row>
    <row r="518" spans="2:58" ht="25.15" customHeight="1" x14ac:dyDescent="0.25">
      <c r="B518" s="49">
        <v>514</v>
      </c>
      <c r="C518" s="37"/>
      <c r="D518" s="41"/>
      <c r="E518" s="40"/>
      <c r="F518" s="87" t="str">
        <f>IF(tbl_Actual_costs_quantities34[[#This Row],[House Code]]&lt;&gt;"",INDEX(tbl_Assessment[],MATCH(tbl_Actual_costs_quantities34[[#This Row],[House Code]],tbl_Assessment[House Code],0),3),"")</f>
        <v/>
      </c>
      <c r="G518" s="116" t="str">
        <f>IF(tbl_Actual_costs_quantities34[[#This Row],[House Code]]&lt;&gt;"",INDEX(tbl_Assessment[],MATCH(tbl_Actual_costs_quantities34[[#This Row],[House Code]],tbl_Assessment[House Code],0),9),"")</f>
        <v/>
      </c>
      <c r="H518" s="41"/>
      <c r="I518" s="41"/>
      <c r="J518" s="41"/>
      <c r="K518" s="116"/>
      <c r="L518" s="117" t="str">
        <f>IF(tbl_Actual_costs_quantities34[[#This Row],[House Code]]&lt;&gt;"",tbl_Actual_costs_quantities34[[#This Row],[Total cost]]/INDEX(tbl_estimated_costs_quantities[],MATCH(tbl_Actual_costs_quantities34[[#This Row],[House Code]],tbl_estimated_costs_quantities[House Code],0),7),"")</f>
        <v/>
      </c>
      <c r="M51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8" s="75"/>
      <c r="O518" s="37"/>
      <c r="P518" s="86">
        <f>tbl_Actual_costs_quantities34[[#This Row],[Site Preparation]]*BOQs!$L$3</f>
        <v>0</v>
      </c>
      <c r="Q518" s="76"/>
      <c r="R518" s="37"/>
      <c r="S518" s="86">
        <f>tbl_Actual_costs_quantities34[[#This Row],[Demolition Removal Unsafe Structures]]*BOQs!$L$4</f>
        <v>0</v>
      </c>
      <c r="T518" s="76"/>
      <c r="U518" s="37"/>
      <c r="V518" s="86">
        <f>tbl_Actual_costs_quantities34[[#This Row],[Concrete Works]]*BOQs!$L$5</f>
        <v>0</v>
      </c>
      <c r="W518" s="76"/>
      <c r="X518" s="37"/>
      <c r="Y518" s="86">
        <f>tbl_Actual_costs_quantities34[[#This Row],[Closure External Openings Walls Windows]]*BOQs!$L$6</f>
        <v>0</v>
      </c>
      <c r="Z518" s="76"/>
      <c r="AA518" s="37"/>
      <c r="AB518" s="86">
        <f>tbl_Actual_costs_quantities34[[#This Row],[Plastering Painting]]*BOQs!$L$7</f>
        <v>0</v>
      </c>
      <c r="AC518" s="76"/>
      <c r="AD518" s="37"/>
      <c r="AE518" s="86">
        <f>tbl_Actual_costs_quantities34[[#This Row],[Floor Repairs]]*BOQs!$L$8</f>
        <v>0</v>
      </c>
      <c r="AF518" s="76"/>
      <c r="AG518" s="37"/>
      <c r="AH518" s="86">
        <f>tbl_Actual_costs_quantities34[[#This Row],[Doors Replacement Repair]]*BOQs!$L$9</f>
        <v>0</v>
      </c>
      <c r="AI518" s="76"/>
      <c r="AJ518" s="37"/>
      <c r="AK518" s="86">
        <f>tbl_Actual_costs_quantities34[[#This Row],[Windows Replacement Repair]]*BOQs!$L$10</f>
        <v>0</v>
      </c>
      <c r="AL518" s="76"/>
      <c r="AM518" s="37"/>
      <c r="AN518" s="86">
        <f>tbl_Actual_costs_quantities34[[#This Row],[Bathroom Rehabilitation]]*BOQs!$L$11</f>
        <v>0</v>
      </c>
      <c r="AO518" s="76"/>
      <c r="AP518" s="37"/>
      <c r="AQ518" s="86">
        <f>tbl_Actual_costs_quantities34[[#This Row],[Ceramic Tile Works WASH]]*BOQs!$L$12</f>
        <v>0</v>
      </c>
      <c r="AR518" s="76"/>
      <c r="AS518" s="37"/>
      <c r="AT518" s="86">
        <f>tbl_Actual_costs_quantities34[[#This Row],[Electrical Repairs Lighting]]*BOQs!$L$13</f>
        <v>0</v>
      </c>
      <c r="AU518" s="76"/>
      <c r="AV518" s="37"/>
      <c r="AW518" s="86">
        <f>tbl_Actual_costs_quantities34[[#This Row],[Roof Insulation Leak Sealing]]*BOQs!$L$14</f>
        <v>0</v>
      </c>
      <c r="AX518" s="76"/>
      <c r="AY518" s="37"/>
      <c r="AZ518" s="86">
        <f>tbl_Actual_costs_quantities34[[#This Row],[Chimney Duct Cleaning Repair]]*BOQs!$L$15</f>
        <v>0</v>
      </c>
      <c r="BA518" s="76"/>
      <c r="BB518" s="37"/>
      <c r="BC518" s="89">
        <f>tbl_Actual_costs_quantities34[[#This Row],[Accessibility Adaptations]]*BOQs!$L$16</f>
        <v>0</v>
      </c>
      <c r="BD518" s="41"/>
      <c r="BE518" s="37"/>
      <c r="BF518" s="37"/>
    </row>
    <row r="519" spans="2:58" ht="25.15" customHeight="1" x14ac:dyDescent="0.25">
      <c r="B519" s="49">
        <v>515</v>
      </c>
      <c r="C519" s="37"/>
      <c r="D519" s="41"/>
      <c r="E519" s="40"/>
      <c r="F519" s="87" t="str">
        <f>IF(tbl_Actual_costs_quantities34[[#This Row],[House Code]]&lt;&gt;"",INDEX(tbl_Assessment[],MATCH(tbl_Actual_costs_quantities34[[#This Row],[House Code]],tbl_Assessment[House Code],0),3),"")</f>
        <v/>
      </c>
      <c r="G519" s="116" t="str">
        <f>IF(tbl_Actual_costs_quantities34[[#This Row],[House Code]]&lt;&gt;"",INDEX(tbl_Assessment[],MATCH(tbl_Actual_costs_quantities34[[#This Row],[House Code]],tbl_Assessment[House Code],0),9),"")</f>
        <v/>
      </c>
      <c r="H519" s="41"/>
      <c r="I519" s="41"/>
      <c r="J519" s="41"/>
      <c r="K519" s="116"/>
      <c r="L519" s="117" t="str">
        <f>IF(tbl_Actual_costs_quantities34[[#This Row],[House Code]]&lt;&gt;"",tbl_Actual_costs_quantities34[[#This Row],[Total cost]]/INDEX(tbl_estimated_costs_quantities[],MATCH(tbl_Actual_costs_quantities34[[#This Row],[House Code]],tbl_estimated_costs_quantities[House Code],0),7),"")</f>
        <v/>
      </c>
      <c r="M51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19" s="75"/>
      <c r="O519" s="37"/>
      <c r="P519" s="86">
        <f>tbl_Actual_costs_quantities34[[#This Row],[Site Preparation]]*BOQs!$L$3</f>
        <v>0</v>
      </c>
      <c r="Q519" s="76"/>
      <c r="R519" s="37"/>
      <c r="S519" s="86">
        <f>tbl_Actual_costs_quantities34[[#This Row],[Demolition Removal Unsafe Structures]]*BOQs!$L$4</f>
        <v>0</v>
      </c>
      <c r="T519" s="76"/>
      <c r="U519" s="37"/>
      <c r="V519" s="86">
        <f>tbl_Actual_costs_quantities34[[#This Row],[Concrete Works]]*BOQs!$L$5</f>
        <v>0</v>
      </c>
      <c r="W519" s="76"/>
      <c r="X519" s="37"/>
      <c r="Y519" s="86">
        <f>tbl_Actual_costs_quantities34[[#This Row],[Closure External Openings Walls Windows]]*BOQs!$L$6</f>
        <v>0</v>
      </c>
      <c r="Z519" s="76"/>
      <c r="AA519" s="37"/>
      <c r="AB519" s="86">
        <f>tbl_Actual_costs_quantities34[[#This Row],[Plastering Painting]]*BOQs!$L$7</f>
        <v>0</v>
      </c>
      <c r="AC519" s="76"/>
      <c r="AD519" s="37"/>
      <c r="AE519" s="86">
        <f>tbl_Actual_costs_quantities34[[#This Row],[Floor Repairs]]*BOQs!$L$8</f>
        <v>0</v>
      </c>
      <c r="AF519" s="76"/>
      <c r="AG519" s="37"/>
      <c r="AH519" s="86">
        <f>tbl_Actual_costs_quantities34[[#This Row],[Doors Replacement Repair]]*BOQs!$L$9</f>
        <v>0</v>
      </c>
      <c r="AI519" s="76"/>
      <c r="AJ519" s="37"/>
      <c r="AK519" s="86">
        <f>tbl_Actual_costs_quantities34[[#This Row],[Windows Replacement Repair]]*BOQs!$L$10</f>
        <v>0</v>
      </c>
      <c r="AL519" s="76"/>
      <c r="AM519" s="37"/>
      <c r="AN519" s="86">
        <f>tbl_Actual_costs_quantities34[[#This Row],[Bathroom Rehabilitation]]*BOQs!$L$11</f>
        <v>0</v>
      </c>
      <c r="AO519" s="76"/>
      <c r="AP519" s="37"/>
      <c r="AQ519" s="86">
        <f>tbl_Actual_costs_quantities34[[#This Row],[Ceramic Tile Works WASH]]*BOQs!$L$12</f>
        <v>0</v>
      </c>
      <c r="AR519" s="76"/>
      <c r="AS519" s="37"/>
      <c r="AT519" s="86">
        <f>tbl_Actual_costs_quantities34[[#This Row],[Electrical Repairs Lighting]]*BOQs!$L$13</f>
        <v>0</v>
      </c>
      <c r="AU519" s="76"/>
      <c r="AV519" s="37"/>
      <c r="AW519" s="86">
        <f>tbl_Actual_costs_quantities34[[#This Row],[Roof Insulation Leak Sealing]]*BOQs!$L$14</f>
        <v>0</v>
      </c>
      <c r="AX519" s="76"/>
      <c r="AY519" s="37"/>
      <c r="AZ519" s="86">
        <f>tbl_Actual_costs_quantities34[[#This Row],[Chimney Duct Cleaning Repair]]*BOQs!$L$15</f>
        <v>0</v>
      </c>
      <c r="BA519" s="76"/>
      <c r="BB519" s="37"/>
      <c r="BC519" s="89">
        <f>tbl_Actual_costs_quantities34[[#This Row],[Accessibility Adaptations]]*BOQs!$L$16</f>
        <v>0</v>
      </c>
      <c r="BD519" s="41"/>
      <c r="BE519" s="37"/>
      <c r="BF519" s="37"/>
    </row>
    <row r="520" spans="2:58" ht="25.15" customHeight="1" x14ac:dyDescent="0.25">
      <c r="B520" s="49">
        <v>516</v>
      </c>
      <c r="C520" s="37"/>
      <c r="D520" s="41"/>
      <c r="E520" s="40"/>
      <c r="F520" s="87" t="str">
        <f>IF(tbl_Actual_costs_quantities34[[#This Row],[House Code]]&lt;&gt;"",INDEX(tbl_Assessment[],MATCH(tbl_Actual_costs_quantities34[[#This Row],[House Code]],tbl_Assessment[House Code],0),3),"")</f>
        <v/>
      </c>
      <c r="G520" s="116" t="str">
        <f>IF(tbl_Actual_costs_quantities34[[#This Row],[House Code]]&lt;&gt;"",INDEX(tbl_Assessment[],MATCH(tbl_Actual_costs_quantities34[[#This Row],[House Code]],tbl_Assessment[House Code],0),9),"")</f>
        <v/>
      </c>
      <c r="H520" s="41"/>
      <c r="I520" s="41"/>
      <c r="J520" s="41"/>
      <c r="K520" s="116"/>
      <c r="L520" s="117" t="str">
        <f>IF(tbl_Actual_costs_quantities34[[#This Row],[House Code]]&lt;&gt;"",tbl_Actual_costs_quantities34[[#This Row],[Total cost]]/INDEX(tbl_estimated_costs_quantities[],MATCH(tbl_Actual_costs_quantities34[[#This Row],[House Code]],tbl_estimated_costs_quantities[House Code],0),7),"")</f>
        <v/>
      </c>
      <c r="M52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0" s="75"/>
      <c r="O520" s="37"/>
      <c r="P520" s="86">
        <f>tbl_Actual_costs_quantities34[[#This Row],[Site Preparation]]*BOQs!$L$3</f>
        <v>0</v>
      </c>
      <c r="Q520" s="76"/>
      <c r="R520" s="37"/>
      <c r="S520" s="86">
        <f>tbl_Actual_costs_quantities34[[#This Row],[Demolition Removal Unsafe Structures]]*BOQs!$L$4</f>
        <v>0</v>
      </c>
      <c r="T520" s="76"/>
      <c r="U520" s="37"/>
      <c r="V520" s="86">
        <f>tbl_Actual_costs_quantities34[[#This Row],[Concrete Works]]*BOQs!$L$5</f>
        <v>0</v>
      </c>
      <c r="W520" s="76"/>
      <c r="X520" s="37"/>
      <c r="Y520" s="86">
        <f>tbl_Actual_costs_quantities34[[#This Row],[Closure External Openings Walls Windows]]*BOQs!$L$6</f>
        <v>0</v>
      </c>
      <c r="Z520" s="76"/>
      <c r="AA520" s="37"/>
      <c r="AB520" s="86">
        <f>tbl_Actual_costs_quantities34[[#This Row],[Plastering Painting]]*BOQs!$L$7</f>
        <v>0</v>
      </c>
      <c r="AC520" s="76"/>
      <c r="AD520" s="37"/>
      <c r="AE520" s="86">
        <f>tbl_Actual_costs_quantities34[[#This Row],[Floor Repairs]]*BOQs!$L$8</f>
        <v>0</v>
      </c>
      <c r="AF520" s="76"/>
      <c r="AG520" s="37"/>
      <c r="AH520" s="86">
        <f>tbl_Actual_costs_quantities34[[#This Row],[Doors Replacement Repair]]*BOQs!$L$9</f>
        <v>0</v>
      </c>
      <c r="AI520" s="76"/>
      <c r="AJ520" s="37"/>
      <c r="AK520" s="86">
        <f>tbl_Actual_costs_quantities34[[#This Row],[Windows Replacement Repair]]*BOQs!$L$10</f>
        <v>0</v>
      </c>
      <c r="AL520" s="76"/>
      <c r="AM520" s="37"/>
      <c r="AN520" s="86">
        <f>tbl_Actual_costs_quantities34[[#This Row],[Bathroom Rehabilitation]]*BOQs!$L$11</f>
        <v>0</v>
      </c>
      <c r="AO520" s="76"/>
      <c r="AP520" s="37"/>
      <c r="AQ520" s="86">
        <f>tbl_Actual_costs_quantities34[[#This Row],[Ceramic Tile Works WASH]]*BOQs!$L$12</f>
        <v>0</v>
      </c>
      <c r="AR520" s="76"/>
      <c r="AS520" s="37"/>
      <c r="AT520" s="86">
        <f>tbl_Actual_costs_quantities34[[#This Row],[Electrical Repairs Lighting]]*BOQs!$L$13</f>
        <v>0</v>
      </c>
      <c r="AU520" s="76"/>
      <c r="AV520" s="37"/>
      <c r="AW520" s="86">
        <f>tbl_Actual_costs_quantities34[[#This Row],[Roof Insulation Leak Sealing]]*BOQs!$L$14</f>
        <v>0</v>
      </c>
      <c r="AX520" s="76"/>
      <c r="AY520" s="37"/>
      <c r="AZ520" s="86">
        <f>tbl_Actual_costs_quantities34[[#This Row],[Chimney Duct Cleaning Repair]]*BOQs!$L$15</f>
        <v>0</v>
      </c>
      <c r="BA520" s="76"/>
      <c r="BB520" s="37"/>
      <c r="BC520" s="89">
        <f>tbl_Actual_costs_quantities34[[#This Row],[Accessibility Adaptations]]*BOQs!$L$16</f>
        <v>0</v>
      </c>
      <c r="BD520" s="41"/>
      <c r="BE520" s="37"/>
      <c r="BF520" s="37"/>
    </row>
    <row r="521" spans="2:58" ht="25.15" customHeight="1" x14ac:dyDescent="0.25">
      <c r="B521" s="49">
        <v>517</v>
      </c>
      <c r="C521" s="37"/>
      <c r="D521" s="41"/>
      <c r="E521" s="40"/>
      <c r="F521" s="87" t="str">
        <f>IF(tbl_Actual_costs_quantities34[[#This Row],[House Code]]&lt;&gt;"",INDEX(tbl_Assessment[],MATCH(tbl_Actual_costs_quantities34[[#This Row],[House Code]],tbl_Assessment[House Code],0),3),"")</f>
        <v/>
      </c>
      <c r="G521" s="116" t="str">
        <f>IF(tbl_Actual_costs_quantities34[[#This Row],[House Code]]&lt;&gt;"",INDEX(tbl_Assessment[],MATCH(tbl_Actual_costs_quantities34[[#This Row],[House Code]],tbl_Assessment[House Code],0),9),"")</f>
        <v/>
      </c>
      <c r="H521" s="41"/>
      <c r="I521" s="41"/>
      <c r="J521" s="41"/>
      <c r="K521" s="116"/>
      <c r="L521" s="117" t="str">
        <f>IF(tbl_Actual_costs_quantities34[[#This Row],[House Code]]&lt;&gt;"",tbl_Actual_costs_quantities34[[#This Row],[Total cost]]/INDEX(tbl_estimated_costs_quantities[],MATCH(tbl_Actual_costs_quantities34[[#This Row],[House Code]],tbl_estimated_costs_quantities[House Code],0),7),"")</f>
        <v/>
      </c>
      <c r="M52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1" s="75"/>
      <c r="O521" s="37"/>
      <c r="P521" s="86">
        <f>tbl_Actual_costs_quantities34[[#This Row],[Site Preparation]]*BOQs!$L$3</f>
        <v>0</v>
      </c>
      <c r="Q521" s="76"/>
      <c r="R521" s="37"/>
      <c r="S521" s="86">
        <f>tbl_Actual_costs_quantities34[[#This Row],[Demolition Removal Unsafe Structures]]*BOQs!$L$4</f>
        <v>0</v>
      </c>
      <c r="T521" s="76"/>
      <c r="U521" s="37"/>
      <c r="V521" s="86">
        <f>tbl_Actual_costs_quantities34[[#This Row],[Concrete Works]]*BOQs!$L$5</f>
        <v>0</v>
      </c>
      <c r="W521" s="76"/>
      <c r="X521" s="37"/>
      <c r="Y521" s="86">
        <f>tbl_Actual_costs_quantities34[[#This Row],[Closure External Openings Walls Windows]]*BOQs!$L$6</f>
        <v>0</v>
      </c>
      <c r="Z521" s="76"/>
      <c r="AA521" s="37"/>
      <c r="AB521" s="86">
        <f>tbl_Actual_costs_quantities34[[#This Row],[Plastering Painting]]*BOQs!$L$7</f>
        <v>0</v>
      </c>
      <c r="AC521" s="76"/>
      <c r="AD521" s="37"/>
      <c r="AE521" s="86">
        <f>tbl_Actual_costs_quantities34[[#This Row],[Floor Repairs]]*BOQs!$L$8</f>
        <v>0</v>
      </c>
      <c r="AF521" s="76"/>
      <c r="AG521" s="37"/>
      <c r="AH521" s="86">
        <f>tbl_Actual_costs_quantities34[[#This Row],[Doors Replacement Repair]]*BOQs!$L$9</f>
        <v>0</v>
      </c>
      <c r="AI521" s="76"/>
      <c r="AJ521" s="37"/>
      <c r="AK521" s="86">
        <f>tbl_Actual_costs_quantities34[[#This Row],[Windows Replacement Repair]]*BOQs!$L$10</f>
        <v>0</v>
      </c>
      <c r="AL521" s="76"/>
      <c r="AM521" s="37"/>
      <c r="AN521" s="86">
        <f>tbl_Actual_costs_quantities34[[#This Row],[Bathroom Rehabilitation]]*BOQs!$L$11</f>
        <v>0</v>
      </c>
      <c r="AO521" s="76"/>
      <c r="AP521" s="37"/>
      <c r="AQ521" s="86">
        <f>tbl_Actual_costs_quantities34[[#This Row],[Ceramic Tile Works WASH]]*BOQs!$L$12</f>
        <v>0</v>
      </c>
      <c r="AR521" s="76"/>
      <c r="AS521" s="37"/>
      <c r="AT521" s="86">
        <f>tbl_Actual_costs_quantities34[[#This Row],[Electrical Repairs Lighting]]*BOQs!$L$13</f>
        <v>0</v>
      </c>
      <c r="AU521" s="76"/>
      <c r="AV521" s="37"/>
      <c r="AW521" s="86">
        <f>tbl_Actual_costs_quantities34[[#This Row],[Roof Insulation Leak Sealing]]*BOQs!$L$14</f>
        <v>0</v>
      </c>
      <c r="AX521" s="76"/>
      <c r="AY521" s="37"/>
      <c r="AZ521" s="86">
        <f>tbl_Actual_costs_quantities34[[#This Row],[Chimney Duct Cleaning Repair]]*BOQs!$L$15</f>
        <v>0</v>
      </c>
      <c r="BA521" s="76"/>
      <c r="BB521" s="37"/>
      <c r="BC521" s="89">
        <f>tbl_Actual_costs_quantities34[[#This Row],[Accessibility Adaptations]]*BOQs!$L$16</f>
        <v>0</v>
      </c>
      <c r="BD521" s="41"/>
      <c r="BE521" s="37"/>
      <c r="BF521" s="37"/>
    </row>
    <row r="522" spans="2:58" ht="25.15" customHeight="1" x14ac:dyDescent="0.25">
      <c r="B522" s="49">
        <v>518</v>
      </c>
      <c r="C522" s="37"/>
      <c r="D522" s="41"/>
      <c r="E522" s="40"/>
      <c r="F522" s="87" t="str">
        <f>IF(tbl_Actual_costs_quantities34[[#This Row],[House Code]]&lt;&gt;"",INDEX(tbl_Assessment[],MATCH(tbl_Actual_costs_quantities34[[#This Row],[House Code]],tbl_Assessment[House Code],0),3),"")</f>
        <v/>
      </c>
      <c r="G522" s="116" t="str">
        <f>IF(tbl_Actual_costs_quantities34[[#This Row],[House Code]]&lt;&gt;"",INDEX(tbl_Assessment[],MATCH(tbl_Actual_costs_quantities34[[#This Row],[House Code]],tbl_Assessment[House Code],0),9),"")</f>
        <v/>
      </c>
      <c r="H522" s="41"/>
      <c r="I522" s="41"/>
      <c r="J522" s="41"/>
      <c r="K522" s="116"/>
      <c r="L522" s="117" t="str">
        <f>IF(tbl_Actual_costs_quantities34[[#This Row],[House Code]]&lt;&gt;"",tbl_Actual_costs_quantities34[[#This Row],[Total cost]]/INDEX(tbl_estimated_costs_quantities[],MATCH(tbl_Actual_costs_quantities34[[#This Row],[House Code]],tbl_estimated_costs_quantities[House Code],0),7),"")</f>
        <v/>
      </c>
      <c r="M52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2" s="75"/>
      <c r="O522" s="37"/>
      <c r="P522" s="86">
        <f>tbl_Actual_costs_quantities34[[#This Row],[Site Preparation]]*BOQs!$L$3</f>
        <v>0</v>
      </c>
      <c r="Q522" s="76"/>
      <c r="R522" s="37"/>
      <c r="S522" s="86">
        <f>tbl_Actual_costs_quantities34[[#This Row],[Demolition Removal Unsafe Structures]]*BOQs!$L$4</f>
        <v>0</v>
      </c>
      <c r="T522" s="76"/>
      <c r="U522" s="37"/>
      <c r="V522" s="86">
        <f>tbl_Actual_costs_quantities34[[#This Row],[Concrete Works]]*BOQs!$L$5</f>
        <v>0</v>
      </c>
      <c r="W522" s="76"/>
      <c r="X522" s="37"/>
      <c r="Y522" s="86">
        <f>tbl_Actual_costs_quantities34[[#This Row],[Closure External Openings Walls Windows]]*BOQs!$L$6</f>
        <v>0</v>
      </c>
      <c r="Z522" s="76"/>
      <c r="AA522" s="37"/>
      <c r="AB522" s="86">
        <f>tbl_Actual_costs_quantities34[[#This Row],[Plastering Painting]]*BOQs!$L$7</f>
        <v>0</v>
      </c>
      <c r="AC522" s="76"/>
      <c r="AD522" s="37"/>
      <c r="AE522" s="86">
        <f>tbl_Actual_costs_quantities34[[#This Row],[Floor Repairs]]*BOQs!$L$8</f>
        <v>0</v>
      </c>
      <c r="AF522" s="76"/>
      <c r="AG522" s="37"/>
      <c r="AH522" s="86">
        <f>tbl_Actual_costs_quantities34[[#This Row],[Doors Replacement Repair]]*BOQs!$L$9</f>
        <v>0</v>
      </c>
      <c r="AI522" s="76"/>
      <c r="AJ522" s="37"/>
      <c r="AK522" s="86">
        <f>tbl_Actual_costs_quantities34[[#This Row],[Windows Replacement Repair]]*BOQs!$L$10</f>
        <v>0</v>
      </c>
      <c r="AL522" s="76"/>
      <c r="AM522" s="37"/>
      <c r="AN522" s="86">
        <f>tbl_Actual_costs_quantities34[[#This Row],[Bathroom Rehabilitation]]*BOQs!$L$11</f>
        <v>0</v>
      </c>
      <c r="AO522" s="76"/>
      <c r="AP522" s="37"/>
      <c r="AQ522" s="86">
        <f>tbl_Actual_costs_quantities34[[#This Row],[Ceramic Tile Works WASH]]*BOQs!$L$12</f>
        <v>0</v>
      </c>
      <c r="AR522" s="76"/>
      <c r="AS522" s="37"/>
      <c r="AT522" s="86">
        <f>tbl_Actual_costs_quantities34[[#This Row],[Electrical Repairs Lighting]]*BOQs!$L$13</f>
        <v>0</v>
      </c>
      <c r="AU522" s="76"/>
      <c r="AV522" s="37"/>
      <c r="AW522" s="86">
        <f>tbl_Actual_costs_quantities34[[#This Row],[Roof Insulation Leak Sealing]]*BOQs!$L$14</f>
        <v>0</v>
      </c>
      <c r="AX522" s="76"/>
      <c r="AY522" s="37"/>
      <c r="AZ522" s="86">
        <f>tbl_Actual_costs_quantities34[[#This Row],[Chimney Duct Cleaning Repair]]*BOQs!$L$15</f>
        <v>0</v>
      </c>
      <c r="BA522" s="76"/>
      <c r="BB522" s="37"/>
      <c r="BC522" s="89">
        <f>tbl_Actual_costs_quantities34[[#This Row],[Accessibility Adaptations]]*BOQs!$L$16</f>
        <v>0</v>
      </c>
      <c r="BD522" s="41"/>
      <c r="BE522" s="37"/>
      <c r="BF522" s="37"/>
    </row>
    <row r="523" spans="2:58" ht="25.15" customHeight="1" x14ac:dyDescent="0.25">
      <c r="B523" s="49">
        <v>519</v>
      </c>
      <c r="C523" s="37"/>
      <c r="D523" s="41"/>
      <c r="E523" s="40"/>
      <c r="F523" s="87" t="str">
        <f>IF(tbl_Actual_costs_quantities34[[#This Row],[House Code]]&lt;&gt;"",INDEX(tbl_Assessment[],MATCH(tbl_Actual_costs_quantities34[[#This Row],[House Code]],tbl_Assessment[House Code],0),3),"")</f>
        <v/>
      </c>
      <c r="G523" s="116" t="str">
        <f>IF(tbl_Actual_costs_quantities34[[#This Row],[House Code]]&lt;&gt;"",INDEX(tbl_Assessment[],MATCH(tbl_Actual_costs_quantities34[[#This Row],[House Code]],tbl_Assessment[House Code],0),9),"")</f>
        <v/>
      </c>
      <c r="H523" s="41"/>
      <c r="I523" s="41"/>
      <c r="J523" s="41"/>
      <c r="K523" s="116"/>
      <c r="L523" s="117" t="str">
        <f>IF(tbl_Actual_costs_quantities34[[#This Row],[House Code]]&lt;&gt;"",tbl_Actual_costs_quantities34[[#This Row],[Total cost]]/INDEX(tbl_estimated_costs_quantities[],MATCH(tbl_Actual_costs_quantities34[[#This Row],[House Code]],tbl_estimated_costs_quantities[House Code],0),7),"")</f>
        <v/>
      </c>
      <c r="M52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3" s="75"/>
      <c r="O523" s="37"/>
      <c r="P523" s="86">
        <f>tbl_Actual_costs_quantities34[[#This Row],[Site Preparation]]*BOQs!$L$3</f>
        <v>0</v>
      </c>
      <c r="Q523" s="76"/>
      <c r="R523" s="37"/>
      <c r="S523" s="86">
        <f>tbl_Actual_costs_quantities34[[#This Row],[Demolition Removal Unsafe Structures]]*BOQs!$L$4</f>
        <v>0</v>
      </c>
      <c r="T523" s="76"/>
      <c r="U523" s="37"/>
      <c r="V523" s="86">
        <f>tbl_Actual_costs_quantities34[[#This Row],[Concrete Works]]*BOQs!$L$5</f>
        <v>0</v>
      </c>
      <c r="W523" s="76"/>
      <c r="X523" s="37"/>
      <c r="Y523" s="86">
        <f>tbl_Actual_costs_quantities34[[#This Row],[Closure External Openings Walls Windows]]*BOQs!$L$6</f>
        <v>0</v>
      </c>
      <c r="Z523" s="76"/>
      <c r="AA523" s="37"/>
      <c r="AB523" s="86">
        <f>tbl_Actual_costs_quantities34[[#This Row],[Plastering Painting]]*BOQs!$L$7</f>
        <v>0</v>
      </c>
      <c r="AC523" s="76"/>
      <c r="AD523" s="37"/>
      <c r="AE523" s="86">
        <f>tbl_Actual_costs_quantities34[[#This Row],[Floor Repairs]]*BOQs!$L$8</f>
        <v>0</v>
      </c>
      <c r="AF523" s="76"/>
      <c r="AG523" s="37"/>
      <c r="AH523" s="86">
        <f>tbl_Actual_costs_quantities34[[#This Row],[Doors Replacement Repair]]*BOQs!$L$9</f>
        <v>0</v>
      </c>
      <c r="AI523" s="76"/>
      <c r="AJ523" s="37"/>
      <c r="AK523" s="86">
        <f>tbl_Actual_costs_quantities34[[#This Row],[Windows Replacement Repair]]*BOQs!$L$10</f>
        <v>0</v>
      </c>
      <c r="AL523" s="76"/>
      <c r="AM523" s="37"/>
      <c r="AN523" s="86">
        <f>tbl_Actual_costs_quantities34[[#This Row],[Bathroom Rehabilitation]]*BOQs!$L$11</f>
        <v>0</v>
      </c>
      <c r="AO523" s="76"/>
      <c r="AP523" s="37"/>
      <c r="AQ523" s="86">
        <f>tbl_Actual_costs_quantities34[[#This Row],[Ceramic Tile Works WASH]]*BOQs!$L$12</f>
        <v>0</v>
      </c>
      <c r="AR523" s="76"/>
      <c r="AS523" s="37"/>
      <c r="AT523" s="86">
        <f>tbl_Actual_costs_quantities34[[#This Row],[Electrical Repairs Lighting]]*BOQs!$L$13</f>
        <v>0</v>
      </c>
      <c r="AU523" s="76"/>
      <c r="AV523" s="37"/>
      <c r="AW523" s="86">
        <f>tbl_Actual_costs_quantities34[[#This Row],[Roof Insulation Leak Sealing]]*BOQs!$L$14</f>
        <v>0</v>
      </c>
      <c r="AX523" s="76"/>
      <c r="AY523" s="37"/>
      <c r="AZ523" s="86">
        <f>tbl_Actual_costs_quantities34[[#This Row],[Chimney Duct Cleaning Repair]]*BOQs!$L$15</f>
        <v>0</v>
      </c>
      <c r="BA523" s="76"/>
      <c r="BB523" s="37"/>
      <c r="BC523" s="89">
        <f>tbl_Actual_costs_quantities34[[#This Row],[Accessibility Adaptations]]*BOQs!$L$16</f>
        <v>0</v>
      </c>
      <c r="BD523" s="41"/>
      <c r="BE523" s="37"/>
      <c r="BF523" s="37"/>
    </row>
    <row r="524" spans="2:58" ht="25.15" customHeight="1" x14ac:dyDescent="0.25">
      <c r="B524" s="49">
        <v>520</v>
      </c>
      <c r="C524" s="37"/>
      <c r="D524" s="41"/>
      <c r="E524" s="40"/>
      <c r="F524" s="87" t="str">
        <f>IF(tbl_Actual_costs_quantities34[[#This Row],[House Code]]&lt;&gt;"",INDEX(tbl_Assessment[],MATCH(tbl_Actual_costs_quantities34[[#This Row],[House Code]],tbl_Assessment[House Code],0),3),"")</f>
        <v/>
      </c>
      <c r="G524" s="116" t="str">
        <f>IF(tbl_Actual_costs_quantities34[[#This Row],[House Code]]&lt;&gt;"",INDEX(tbl_Assessment[],MATCH(tbl_Actual_costs_quantities34[[#This Row],[House Code]],tbl_Assessment[House Code],0),9),"")</f>
        <v/>
      </c>
      <c r="H524" s="41"/>
      <c r="I524" s="41"/>
      <c r="J524" s="41"/>
      <c r="K524" s="116"/>
      <c r="L524" s="117" t="str">
        <f>IF(tbl_Actual_costs_quantities34[[#This Row],[House Code]]&lt;&gt;"",tbl_Actual_costs_quantities34[[#This Row],[Total cost]]/INDEX(tbl_estimated_costs_quantities[],MATCH(tbl_Actual_costs_quantities34[[#This Row],[House Code]],tbl_estimated_costs_quantities[House Code],0),7),"")</f>
        <v/>
      </c>
      <c r="M52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4" s="75"/>
      <c r="O524" s="37"/>
      <c r="P524" s="86">
        <f>tbl_Actual_costs_quantities34[[#This Row],[Site Preparation]]*BOQs!$L$3</f>
        <v>0</v>
      </c>
      <c r="Q524" s="76"/>
      <c r="R524" s="37"/>
      <c r="S524" s="86">
        <f>tbl_Actual_costs_quantities34[[#This Row],[Demolition Removal Unsafe Structures]]*BOQs!$L$4</f>
        <v>0</v>
      </c>
      <c r="T524" s="76"/>
      <c r="U524" s="37"/>
      <c r="V524" s="86">
        <f>tbl_Actual_costs_quantities34[[#This Row],[Concrete Works]]*BOQs!$L$5</f>
        <v>0</v>
      </c>
      <c r="W524" s="76"/>
      <c r="X524" s="37"/>
      <c r="Y524" s="86">
        <f>tbl_Actual_costs_quantities34[[#This Row],[Closure External Openings Walls Windows]]*BOQs!$L$6</f>
        <v>0</v>
      </c>
      <c r="Z524" s="76"/>
      <c r="AA524" s="37"/>
      <c r="AB524" s="86">
        <f>tbl_Actual_costs_quantities34[[#This Row],[Plastering Painting]]*BOQs!$L$7</f>
        <v>0</v>
      </c>
      <c r="AC524" s="76"/>
      <c r="AD524" s="37"/>
      <c r="AE524" s="86">
        <f>tbl_Actual_costs_quantities34[[#This Row],[Floor Repairs]]*BOQs!$L$8</f>
        <v>0</v>
      </c>
      <c r="AF524" s="76"/>
      <c r="AG524" s="37"/>
      <c r="AH524" s="86">
        <f>tbl_Actual_costs_quantities34[[#This Row],[Doors Replacement Repair]]*BOQs!$L$9</f>
        <v>0</v>
      </c>
      <c r="AI524" s="76"/>
      <c r="AJ524" s="37"/>
      <c r="AK524" s="86">
        <f>tbl_Actual_costs_quantities34[[#This Row],[Windows Replacement Repair]]*BOQs!$L$10</f>
        <v>0</v>
      </c>
      <c r="AL524" s="76"/>
      <c r="AM524" s="37"/>
      <c r="AN524" s="86">
        <f>tbl_Actual_costs_quantities34[[#This Row],[Bathroom Rehabilitation]]*BOQs!$L$11</f>
        <v>0</v>
      </c>
      <c r="AO524" s="76"/>
      <c r="AP524" s="37"/>
      <c r="AQ524" s="86">
        <f>tbl_Actual_costs_quantities34[[#This Row],[Ceramic Tile Works WASH]]*BOQs!$L$12</f>
        <v>0</v>
      </c>
      <c r="AR524" s="76"/>
      <c r="AS524" s="37"/>
      <c r="AT524" s="86">
        <f>tbl_Actual_costs_quantities34[[#This Row],[Electrical Repairs Lighting]]*BOQs!$L$13</f>
        <v>0</v>
      </c>
      <c r="AU524" s="76"/>
      <c r="AV524" s="37"/>
      <c r="AW524" s="86">
        <f>tbl_Actual_costs_quantities34[[#This Row],[Roof Insulation Leak Sealing]]*BOQs!$L$14</f>
        <v>0</v>
      </c>
      <c r="AX524" s="76"/>
      <c r="AY524" s="37"/>
      <c r="AZ524" s="86">
        <f>tbl_Actual_costs_quantities34[[#This Row],[Chimney Duct Cleaning Repair]]*BOQs!$L$15</f>
        <v>0</v>
      </c>
      <c r="BA524" s="76"/>
      <c r="BB524" s="37"/>
      <c r="BC524" s="89">
        <f>tbl_Actual_costs_quantities34[[#This Row],[Accessibility Adaptations]]*BOQs!$L$16</f>
        <v>0</v>
      </c>
      <c r="BD524" s="41"/>
      <c r="BE524" s="37"/>
      <c r="BF524" s="37"/>
    </row>
    <row r="525" spans="2:58" ht="25.15" customHeight="1" x14ac:dyDescent="0.25">
      <c r="B525" s="49">
        <v>521</v>
      </c>
      <c r="C525" s="37"/>
      <c r="D525" s="41"/>
      <c r="E525" s="40"/>
      <c r="F525" s="87" t="str">
        <f>IF(tbl_Actual_costs_quantities34[[#This Row],[House Code]]&lt;&gt;"",INDEX(tbl_Assessment[],MATCH(tbl_Actual_costs_quantities34[[#This Row],[House Code]],tbl_Assessment[House Code],0),3),"")</f>
        <v/>
      </c>
      <c r="G525" s="116" t="str">
        <f>IF(tbl_Actual_costs_quantities34[[#This Row],[House Code]]&lt;&gt;"",INDEX(tbl_Assessment[],MATCH(tbl_Actual_costs_quantities34[[#This Row],[House Code]],tbl_Assessment[House Code],0),9),"")</f>
        <v/>
      </c>
      <c r="H525" s="41"/>
      <c r="I525" s="41"/>
      <c r="J525" s="41"/>
      <c r="K525" s="116"/>
      <c r="L525" s="117" t="str">
        <f>IF(tbl_Actual_costs_quantities34[[#This Row],[House Code]]&lt;&gt;"",tbl_Actual_costs_quantities34[[#This Row],[Total cost]]/INDEX(tbl_estimated_costs_quantities[],MATCH(tbl_Actual_costs_quantities34[[#This Row],[House Code]],tbl_estimated_costs_quantities[House Code],0),7),"")</f>
        <v/>
      </c>
      <c r="M52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5" s="75"/>
      <c r="O525" s="37"/>
      <c r="P525" s="86">
        <f>tbl_Actual_costs_quantities34[[#This Row],[Site Preparation]]*BOQs!$L$3</f>
        <v>0</v>
      </c>
      <c r="Q525" s="76"/>
      <c r="R525" s="37"/>
      <c r="S525" s="86">
        <f>tbl_Actual_costs_quantities34[[#This Row],[Demolition Removal Unsafe Structures]]*BOQs!$L$4</f>
        <v>0</v>
      </c>
      <c r="T525" s="76"/>
      <c r="U525" s="37"/>
      <c r="V525" s="86">
        <f>tbl_Actual_costs_quantities34[[#This Row],[Concrete Works]]*BOQs!$L$5</f>
        <v>0</v>
      </c>
      <c r="W525" s="76"/>
      <c r="X525" s="37"/>
      <c r="Y525" s="86">
        <f>tbl_Actual_costs_quantities34[[#This Row],[Closure External Openings Walls Windows]]*BOQs!$L$6</f>
        <v>0</v>
      </c>
      <c r="Z525" s="76"/>
      <c r="AA525" s="37"/>
      <c r="AB525" s="86">
        <f>tbl_Actual_costs_quantities34[[#This Row],[Plastering Painting]]*BOQs!$L$7</f>
        <v>0</v>
      </c>
      <c r="AC525" s="76"/>
      <c r="AD525" s="37"/>
      <c r="AE525" s="86">
        <f>tbl_Actual_costs_quantities34[[#This Row],[Floor Repairs]]*BOQs!$L$8</f>
        <v>0</v>
      </c>
      <c r="AF525" s="76"/>
      <c r="AG525" s="37"/>
      <c r="AH525" s="86">
        <f>tbl_Actual_costs_quantities34[[#This Row],[Doors Replacement Repair]]*BOQs!$L$9</f>
        <v>0</v>
      </c>
      <c r="AI525" s="76"/>
      <c r="AJ525" s="37"/>
      <c r="AK525" s="86">
        <f>tbl_Actual_costs_quantities34[[#This Row],[Windows Replacement Repair]]*BOQs!$L$10</f>
        <v>0</v>
      </c>
      <c r="AL525" s="76"/>
      <c r="AM525" s="37"/>
      <c r="AN525" s="86">
        <f>tbl_Actual_costs_quantities34[[#This Row],[Bathroom Rehabilitation]]*BOQs!$L$11</f>
        <v>0</v>
      </c>
      <c r="AO525" s="76"/>
      <c r="AP525" s="37"/>
      <c r="AQ525" s="86">
        <f>tbl_Actual_costs_quantities34[[#This Row],[Ceramic Tile Works WASH]]*BOQs!$L$12</f>
        <v>0</v>
      </c>
      <c r="AR525" s="76"/>
      <c r="AS525" s="37"/>
      <c r="AT525" s="86">
        <f>tbl_Actual_costs_quantities34[[#This Row],[Electrical Repairs Lighting]]*BOQs!$L$13</f>
        <v>0</v>
      </c>
      <c r="AU525" s="76"/>
      <c r="AV525" s="37"/>
      <c r="AW525" s="86">
        <f>tbl_Actual_costs_quantities34[[#This Row],[Roof Insulation Leak Sealing]]*BOQs!$L$14</f>
        <v>0</v>
      </c>
      <c r="AX525" s="76"/>
      <c r="AY525" s="37"/>
      <c r="AZ525" s="86">
        <f>tbl_Actual_costs_quantities34[[#This Row],[Chimney Duct Cleaning Repair]]*BOQs!$L$15</f>
        <v>0</v>
      </c>
      <c r="BA525" s="76"/>
      <c r="BB525" s="37"/>
      <c r="BC525" s="89">
        <f>tbl_Actual_costs_quantities34[[#This Row],[Accessibility Adaptations]]*BOQs!$L$16</f>
        <v>0</v>
      </c>
      <c r="BD525" s="41"/>
      <c r="BE525" s="37"/>
      <c r="BF525" s="37"/>
    </row>
    <row r="526" spans="2:58" ht="25.15" customHeight="1" x14ac:dyDescent="0.25">
      <c r="B526" s="49">
        <v>522</v>
      </c>
      <c r="C526" s="37"/>
      <c r="D526" s="41"/>
      <c r="E526" s="40"/>
      <c r="F526" s="87" t="str">
        <f>IF(tbl_Actual_costs_quantities34[[#This Row],[House Code]]&lt;&gt;"",INDEX(tbl_Assessment[],MATCH(tbl_Actual_costs_quantities34[[#This Row],[House Code]],tbl_Assessment[House Code],0),3),"")</f>
        <v/>
      </c>
      <c r="G526" s="116" t="str">
        <f>IF(tbl_Actual_costs_quantities34[[#This Row],[House Code]]&lt;&gt;"",INDEX(tbl_Assessment[],MATCH(tbl_Actual_costs_quantities34[[#This Row],[House Code]],tbl_Assessment[House Code],0),9),"")</f>
        <v/>
      </c>
      <c r="H526" s="41"/>
      <c r="I526" s="41"/>
      <c r="J526" s="41"/>
      <c r="K526" s="116"/>
      <c r="L526" s="117" t="str">
        <f>IF(tbl_Actual_costs_quantities34[[#This Row],[House Code]]&lt;&gt;"",tbl_Actual_costs_quantities34[[#This Row],[Total cost]]/INDEX(tbl_estimated_costs_quantities[],MATCH(tbl_Actual_costs_quantities34[[#This Row],[House Code]],tbl_estimated_costs_quantities[House Code],0),7),"")</f>
        <v/>
      </c>
      <c r="M52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6" s="75"/>
      <c r="O526" s="37"/>
      <c r="P526" s="86">
        <f>tbl_Actual_costs_quantities34[[#This Row],[Site Preparation]]*BOQs!$L$3</f>
        <v>0</v>
      </c>
      <c r="Q526" s="76"/>
      <c r="R526" s="37"/>
      <c r="S526" s="86">
        <f>tbl_Actual_costs_quantities34[[#This Row],[Demolition Removal Unsafe Structures]]*BOQs!$L$4</f>
        <v>0</v>
      </c>
      <c r="T526" s="76"/>
      <c r="U526" s="37"/>
      <c r="V526" s="86">
        <f>tbl_Actual_costs_quantities34[[#This Row],[Concrete Works]]*BOQs!$L$5</f>
        <v>0</v>
      </c>
      <c r="W526" s="76"/>
      <c r="X526" s="37"/>
      <c r="Y526" s="86">
        <f>tbl_Actual_costs_quantities34[[#This Row],[Closure External Openings Walls Windows]]*BOQs!$L$6</f>
        <v>0</v>
      </c>
      <c r="Z526" s="76"/>
      <c r="AA526" s="37"/>
      <c r="AB526" s="86">
        <f>tbl_Actual_costs_quantities34[[#This Row],[Plastering Painting]]*BOQs!$L$7</f>
        <v>0</v>
      </c>
      <c r="AC526" s="76"/>
      <c r="AD526" s="37"/>
      <c r="AE526" s="86">
        <f>tbl_Actual_costs_quantities34[[#This Row],[Floor Repairs]]*BOQs!$L$8</f>
        <v>0</v>
      </c>
      <c r="AF526" s="76"/>
      <c r="AG526" s="37"/>
      <c r="AH526" s="86">
        <f>tbl_Actual_costs_quantities34[[#This Row],[Doors Replacement Repair]]*BOQs!$L$9</f>
        <v>0</v>
      </c>
      <c r="AI526" s="76"/>
      <c r="AJ526" s="37"/>
      <c r="AK526" s="86">
        <f>tbl_Actual_costs_quantities34[[#This Row],[Windows Replacement Repair]]*BOQs!$L$10</f>
        <v>0</v>
      </c>
      <c r="AL526" s="76"/>
      <c r="AM526" s="37"/>
      <c r="AN526" s="86">
        <f>tbl_Actual_costs_quantities34[[#This Row],[Bathroom Rehabilitation]]*BOQs!$L$11</f>
        <v>0</v>
      </c>
      <c r="AO526" s="76"/>
      <c r="AP526" s="37"/>
      <c r="AQ526" s="86">
        <f>tbl_Actual_costs_quantities34[[#This Row],[Ceramic Tile Works WASH]]*BOQs!$L$12</f>
        <v>0</v>
      </c>
      <c r="AR526" s="76"/>
      <c r="AS526" s="37"/>
      <c r="AT526" s="86">
        <f>tbl_Actual_costs_quantities34[[#This Row],[Electrical Repairs Lighting]]*BOQs!$L$13</f>
        <v>0</v>
      </c>
      <c r="AU526" s="76"/>
      <c r="AV526" s="37"/>
      <c r="AW526" s="86">
        <f>tbl_Actual_costs_quantities34[[#This Row],[Roof Insulation Leak Sealing]]*BOQs!$L$14</f>
        <v>0</v>
      </c>
      <c r="AX526" s="76"/>
      <c r="AY526" s="37"/>
      <c r="AZ526" s="86">
        <f>tbl_Actual_costs_quantities34[[#This Row],[Chimney Duct Cleaning Repair]]*BOQs!$L$15</f>
        <v>0</v>
      </c>
      <c r="BA526" s="76"/>
      <c r="BB526" s="37"/>
      <c r="BC526" s="89">
        <f>tbl_Actual_costs_quantities34[[#This Row],[Accessibility Adaptations]]*BOQs!$L$16</f>
        <v>0</v>
      </c>
      <c r="BD526" s="41"/>
      <c r="BE526" s="37"/>
      <c r="BF526" s="37"/>
    </row>
    <row r="527" spans="2:58" ht="25.15" customHeight="1" x14ac:dyDescent="0.25">
      <c r="B527" s="49">
        <v>523</v>
      </c>
      <c r="C527" s="37"/>
      <c r="D527" s="41"/>
      <c r="E527" s="40"/>
      <c r="F527" s="87" t="str">
        <f>IF(tbl_Actual_costs_quantities34[[#This Row],[House Code]]&lt;&gt;"",INDEX(tbl_Assessment[],MATCH(tbl_Actual_costs_quantities34[[#This Row],[House Code]],tbl_Assessment[House Code],0),3),"")</f>
        <v/>
      </c>
      <c r="G527" s="116" t="str">
        <f>IF(tbl_Actual_costs_quantities34[[#This Row],[House Code]]&lt;&gt;"",INDEX(tbl_Assessment[],MATCH(tbl_Actual_costs_quantities34[[#This Row],[House Code]],tbl_Assessment[House Code],0),9),"")</f>
        <v/>
      </c>
      <c r="H527" s="41"/>
      <c r="I527" s="41"/>
      <c r="J527" s="41"/>
      <c r="K527" s="116"/>
      <c r="L527" s="117" t="str">
        <f>IF(tbl_Actual_costs_quantities34[[#This Row],[House Code]]&lt;&gt;"",tbl_Actual_costs_quantities34[[#This Row],[Total cost]]/INDEX(tbl_estimated_costs_quantities[],MATCH(tbl_Actual_costs_quantities34[[#This Row],[House Code]],tbl_estimated_costs_quantities[House Code],0),7),"")</f>
        <v/>
      </c>
      <c r="M52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7" s="75"/>
      <c r="O527" s="37"/>
      <c r="P527" s="86">
        <f>tbl_Actual_costs_quantities34[[#This Row],[Site Preparation]]*BOQs!$L$3</f>
        <v>0</v>
      </c>
      <c r="Q527" s="76"/>
      <c r="R527" s="37"/>
      <c r="S527" s="86">
        <f>tbl_Actual_costs_quantities34[[#This Row],[Demolition Removal Unsafe Structures]]*BOQs!$L$4</f>
        <v>0</v>
      </c>
      <c r="T527" s="76"/>
      <c r="U527" s="37"/>
      <c r="V527" s="86">
        <f>tbl_Actual_costs_quantities34[[#This Row],[Concrete Works]]*BOQs!$L$5</f>
        <v>0</v>
      </c>
      <c r="W527" s="76"/>
      <c r="X527" s="37"/>
      <c r="Y527" s="86">
        <f>tbl_Actual_costs_quantities34[[#This Row],[Closure External Openings Walls Windows]]*BOQs!$L$6</f>
        <v>0</v>
      </c>
      <c r="Z527" s="76"/>
      <c r="AA527" s="37"/>
      <c r="AB527" s="86">
        <f>tbl_Actual_costs_quantities34[[#This Row],[Plastering Painting]]*BOQs!$L$7</f>
        <v>0</v>
      </c>
      <c r="AC527" s="76"/>
      <c r="AD527" s="37"/>
      <c r="AE527" s="86">
        <f>tbl_Actual_costs_quantities34[[#This Row],[Floor Repairs]]*BOQs!$L$8</f>
        <v>0</v>
      </c>
      <c r="AF527" s="76"/>
      <c r="AG527" s="37"/>
      <c r="AH527" s="86">
        <f>tbl_Actual_costs_quantities34[[#This Row],[Doors Replacement Repair]]*BOQs!$L$9</f>
        <v>0</v>
      </c>
      <c r="AI527" s="76"/>
      <c r="AJ527" s="37"/>
      <c r="AK527" s="86">
        <f>tbl_Actual_costs_quantities34[[#This Row],[Windows Replacement Repair]]*BOQs!$L$10</f>
        <v>0</v>
      </c>
      <c r="AL527" s="76"/>
      <c r="AM527" s="37"/>
      <c r="AN527" s="86">
        <f>tbl_Actual_costs_quantities34[[#This Row],[Bathroom Rehabilitation]]*BOQs!$L$11</f>
        <v>0</v>
      </c>
      <c r="AO527" s="76"/>
      <c r="AP527" s="37"/>
      <c r="AQ527" s="86">
        <f>tbl_Actual_costs_quantities34[[#This Row],[Ceramic Tile Works WASH]]*BOQs!$L$12</f>
        <v>0</v>
      </c>
      <c r="AR527" s="76"/>
      <c r="AS527" s="37"/>
      <c r="AT527" s="86">
        <f>tbl_Actual_costs_quantities34[[#This Row],[Electrical Repairs Lighting]]*BOQs!$L$13</f>
        <v>0</v>
      </c>
      <c r="AU527" s="76"/>
      <c r="AV527" s="37"/>
      <c r="AW527" s="86">
        <f>tbl_Actual_costs_quantities34[[#This Row],[Roof Insulation Leak Sealing]]*BOQs!$L$14</f>
        <v>0</v>
      </c>
      <c r="AX527" s="76"/>
      <c r="AY527" s="37"/>
      <c r="AZ527" s="86">
        <f>tbl_Actual_costs_quantities34[[#This Row],[Chimney Duct Cleaning Repair]]*BOQs!$L$15</f>
        <v>0</v>
      </c>
      <c r="BA527" s="76"/>
      <c r="BB527" s="37"/>
      <c r="BC527" s="89">
        <f>tbl_Actual_costs_quantities34[[#This Row],[Accessibility Adaptations]]*BOQs!$L$16</f>
        <v>0</v>
      </c>
      <c r="BD527" s="41"/>
      <c r="BE527" s="37"/>
      <c r="BF527" s="37"/>
    </row>
    <row r="528" spans="2:58" ht="25.15" customHeight="1" x14ac:dyDescent="0.25">
      <c r="B528" s="49">
        <v>524</v>
      </c>
      <c r="C528" s="37"/>
      <c r="D528" s="41"/>
      <c r="E528" s="40"/>
      <c r="F528" s="87" t="str">
        <f>IF(tbl_Actual_costs_quantities34[[#This Row],[House Code]]&lt;&gt;"",INDEX(tbl_Assessment[],MATCH(tbl_Actual_costs_quantities34[[#This Row],[House Code]],tbl_Assessment[House Code],0),3),"")</f>
        <v/>
      </c>
      <c r="G528" s="116" t="str">
        <f>IF(tbl_Actual_costs_quantities34[[#This Row],[House Code]]&lt;&gt;"",INDEX(tbl_Assessment[],MATCH(tbl_Actual_costs_quantities34[[#This Row],[House Code]],tbl_Assessment[House Code],0),9),"")</f>
        <v/>
      </c>
      <c r="H528" s="41"/>
      <c r="I528" s="41"/>
      <c r="J528" s="41"/>
      <c r="K528" s="116"/>
      <c r="L528" s="117" t="str">
        <f>IF(tbl_Actual_costs_quantities34[[#This Row],[House Code]]&lt;&gt;"",tbl_Actual_costs_quantities34[[#This Row],[Total cost]]/INDEX(tbl_estimated_costs_quantities[],MATCH(tbl_Actual_costs_quantities34[[#This Row],[House Code]],tbl_estimated_costs_quantities[House Code],0),7),"")</f>
        <v/>
      </c>
      <c r="M52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8" s="75"/>
      <c r="O528" s="37"/>
      <c r="P528" s="86">
        <f>tbl_Actual_costs_quantities34[[#This Row],[Site Preparation]]*BOQs!$L$3</f>
        <v>0</v>
      </c>
      <c r="Q528" s="76"/>
      <c r="R528" s="37"/>
      <c r="S528" s="86">
        <f>tbl_Actual_costs_quantities34[[#This Row],[Demolition Removal Unsafe Structures]]*BOQs!$L$4</f>
        <v>0</v>
      </c>
      <c r="T528" s="76"/>
      <c r="U528" s="37"/>
      <c r="V528" s="86">
        <f>tbl_Actual_costs_quantities34[[#This Row],[Concrete Works]]*BOQs!$L$5</f>
        <v>0</v>
      </c>
      <c r="W528" s="76"/>
      <c r="X528" s="37"/>
      <c r="Y528" s="86">
        <f>tbl_Actual_costs_quantities34[[#This Row],[Closure External Openings Walls Windows]]*BOQs!$L$6</f>
        <v>0</v>
      </c>
      <c r="Z528" s="76"/>
      <c r="AA528" s="37"/>
      <c r="AB528" s="86">
        <f>tbl_Actual_costs_quantities34[[#This Row],[Plastering Painting]]*BOQs!$L$7</f>
        <v>0</v>
      </c>
      <c r="AC528" s="76"/>
      <c r="AD528" s="37"/>
      <c r="AE528" s="86">
        <f>tbl_Actual_costs_quantities34[[#This Row],[Floor Repairs]]*BOQs!$L$8</f>
        <v>0</v>
      </c>
      <c r="AF528" s="76"/>
      <c r="AG528" s="37"/>
      <c r="AH528" s="86">
        <f>tbl_Actual_costs_quantities34[[#This Row],[Doors Replacement Repair]]*BOQs!$L$9</f>
        <v>0</v>
      </c>
      <c r="AI528" s="76"/>
      <c r="AJ528" s="37"/>
      <c r="AK528" s="86">
        <f>tbl_Actual_costs_quantities34[[#This Row],[Windows Replacement Repair]]*BOQs!$L$10</f>
        <v>0</v>
      </c>
      <c r="AL528" s="76"/>
      <c r="AM528" s="37"/>
      <c r="AN528" s="86">
        <f>tbl_Actual_costs_quantities34[[#This Row],[Bathroom Rehabilitation]]*BOQs!$L$11</f>
        <v>0</v>
      </c>
      <c r="AO528" s="76"/>
      <c r="AP528" s="37"/>
      <c r="AQ528" s="86">
        <f>tbl_Actual_costs_quantities34[[#This Row],[Ceramic Tile Works WASH]]*BOQs!$L$12</f>
        <v>0</v>
      </c>
      <c r="AR528" s="76"/>
      <c r="AS528" s="37"/>
      <c r="AT528" s="86">
        <f>tbl_Actual_costs_quantities34[[#This Row],[Electrical Repairs Lighting]]*BOQs!$L$13</f>
        <v>0</v>
      </c>
      <c r="AU528" s="76"/>
      <c r="AV528" s="37"/>
      <c r="AW528" s="86">
        <f>tbl_Actual_costs_quantities34[[#This Row],[Roof Insulation Leak Sealing]]*BOQs!$L$14</f>
        <v>0</v>
      </c>
      <c r="AX528" s="76"/>
      <c r="AY528" s="37"/>
      <c r="AZ528" s="86">
        <f>tbl_Actual_costs_quantities34[[#This Row],[Chimney Duct Cleaning Repair]]*BOQs!$L$15</f>
        <v>0</v>
      </c>
      <c r="BA528" s="76"/>
      <c r="BB528" s="37"/>
      <c r="BC528" s="89">
        <f>tbl_Actual_costs_quantities34[[#This Row],[Accessibility Adaptations]]*BOQs!$L$16</f>
        <v>0</v>
      </c>
      <c r="BD528" s="41"/>
      <c r="BE528" s="37"/>
      <c r="BF528" s="37"/>
    </row>
    <row r="529" spans="2:58" ht="25.15" customHeight="1" x14ac:dyDescent="0.25">
      <c r="B529" s="49">
        <v>525</v>
      </c>
      <c r="C529" s="37"/>
      <c r="D529" s="41"/>
      <c r="E529" s="40"/>
      <c r="F529" s="87" t="str">
        <f>IF(tbl_Actual_costs_quantities34[[#This Row],[House Code]]&lt;&gt;"",INDEX(tbl_Assessment[],MATCH(tbl_Actual_costs_quantities34[[#This Row],[House Code]],tbl_Assessment[House Code],0),3),"")</f>
        <v/>
      </c>
      <c r="G529" s="116" t="str">
        <f>IF(tbl_Actual_costs_quantities34[[#This Row],[House Code]]&lt;&gt;"",INDEX(tbl_Assessment[],MATCH(tbl_Actual_costs_quantities34[[#This Row],[House Code]],tbl_Assessment[House Code],0),9),"")</f>
        <v/>
      </c>
      <c r="H529" s="41"/>
      <c r="I529" s="41"/>
      <c r="J529" s="41"/>
      <c r="K529" s="116"/>
      <c r="L529" s="117" t="str">
        <f>IF(tbl_Actual_costs_quantities34[[#This Row],[House Code]]&lt;&gt;"",tbl_Actual_costs_quantities34[[#This Row],[Total cost]]/INDEX(tbl_estimated_costs_quantities[],MATCH(tbl_Actual_costs_quantities34[[#This Row],[House Code]],tbl_estimated_costs_quantities[House Code],0),7),"")</f>
        <v/>
      </c>
      <c r="M52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29" s="75"/>
      <c r="O529" s="37"/>
      <c r="P529" s="86">
        <f>tbl_Actual_costs_quantities34[[#This Row],[Site Preparation]]*BOQs!$L$3</f>
        <v>0</v>
      </c>
      <c r="Q529" s="76"/>
      <c r="R529" s="37"/>
      <c r="S529" s="86">
        <f>tbl_Actual_costs_quantities34[[#This Row],[Demolition Removal Unsafe Structures]]*BOQs!$L$4</f>
        <v>0</v>
      </c>
      <c r="T529" s="76"/>
      <c r="U529" s="37"/>
      <c r="V529" s="86">
        <f>tbl_Actual_costs_quantities34[[#This Row],[Concrete Works]]*BOQs!$L$5</f>
        <v>0</v>
      </c>
      <c r="W529" s="76"/>
      <c r="X529" s="37"/>
      <c r="Y529" s="86">
        <f>tbl_Actual_costs_quantities34[[#This Row],[Closure External Openings Walls Windows]]*BOQs!$L$6</f>
        <v>0</v>
      </c>
      <c r="Z529" s="76"/>
      <c r="AA529" s="37"/>
      <c r="AB529" s="86">
        <f>tbl_Actual_costs_quantities34[[#This Row],[Plastering Painting]]*BOQs!$L$7</f>
        <v>0</v>
      </c>
      <c r="AC529" s="76"/>
      <c r="AD529" s="37"/>
      <c r="AE529" s="86">
        <f>tbl_Actual_costs_quantities34[[#This Row],[Floor Repairs]]*BOQs!$L$8</f>
        <v>0</v>
      </c>
      <c r="AF529" s="76"/>
      <c r="AG529" s="37"/>
      <c r="AH529" s="86">
        <f>tbl_Actual_costs_quantities34[[#This Row],[Doors Replacement Repair]]*BOQs!$L$9</f>
        <v>0</v>
      </c>
      <c r="AI529" s="76"/>
      <c r="AJ529" s="37"/>
      <c r="AK529" s="86">
        <f>tbl_Actual_costs_quantities34[[#This Row],[Windows Replacement Repair]]*BOQs!$L$10</f>
        <v>0</v>
      </c>
      <c r="AL529" s="76"/>
      <c r="AM529" s="37"/>
      <c r="AN529" s="86">
        <f>tbl_Actual_costs_quantities34[[#This Row],[Bathroom Rehabilitation]]*BOQs!$L$11</f>
        <v>0</v>
      </c>
      <c r="AO529" s="76"/>
      <c r="AP529" s="37"/>
      <c r="AQ529" s="86">
        <f>tbl_Actual_costs_quantities34[[#This Row],[Ceramic Tile Works WASH]]*BOQs!$L$12</f>
        <v>0</v>
      </c>
      <c r="AR529" s="76"/>
      <c r="AS529" s="37"/>
      <c r="AT529" s="86">
        <f>tbl_Actual_costs_quantities34[[#This Row],[Electrical Repairs Lighting]]*BOQs!$L$13</f>
        <v>0</v>
      </c>
      <c r="AU529" s="76"/>
      <c r="AV529" s="37"/>
      <c r="AW529" s="86">
        <f>tbl_Actual_costs_quantities34[[#This Row],[Roof Insulation Leak Sealing]]*BOQs!$L$14</f>
        <v>0</v>
      </c>
      <c r="AX529" s="76"/>
      <c r="AY529" s="37"/>
      <c r="AZ529" s="86">
        <f>tbl_Actual_costs_quantities34[[#This Row],[Chimney Duct Cleaning Repair]]*BOQs!$L$15</f>
        <v>0</v>
      </c>
      <c r="BA529" s="76"/>
      <c r="BB529" s="37"/>
      <c r="BC529" s="89">
        <f>tbl_Actual_costs_quantities34[[#This Row],[Accessibility Adaptations]]*BOQs!$L$16</f>
        <v>0</v>
      </c>
      <c r="BD529" s="41"/>
      <c r="BE529" s="37"/>
      <c r="BF529" s="37"/>
    </row>
    <row r="530" spans="2:58" ht="25.15" customHeight="1" x14ac:dyDescent="0.25">
      <c r="B530" s="49">
        <v>526</v>
      </c>
      <c r="C530" s="37"/>
      <c r="D530" s="41"/>
      <c r="E530" s="40"/>
      <c r="F530" s="87" t="str">
        <f>IF(tbl_Actual_costs_quantities34[[#This Row],[House Code]]&lt;&gt;"",INDEX(tbl_Assessment[],MATCH(tbl_Actual_costs_quantities34[[#This Row],[House Code]],tbl_Assessment[House Code],0),3),"")</f>
        <v/>
      </c>
      <c r="G530" s="116" t="str">
        <f>IF(tbl_Actual_costs_quantities34[[#This Row],[House Code]]&lt;&gt;"",INDEX(tbl_Assessment[],MATCH(tbl_Actual_costs_quantities34[[#This Row],[House Code]],tbl_Assessment[House Code],0),9),"")</f>
        <v/>
      </c>
      <c r="H530" s="41"/>
      <c r="I530" s="41"/>
      <c r="J530" s="41"/>
      <c r="K530" s="116"/>
      <c r="L530" s="117" t="str">
        <f>IF(tbl_Actual_costs_quantities34[[#This Row],[House Code]]&lt;&gt;"",tbl_Actual_costs_quantities34[[#This Row],[Total cost]]/INDEX(tbl_estimated_costs_quantities[],MATCH(tbl_Actual_costs_quantities34[[#This Row],[House Code]],tbl_estimated_costs_quantities[House Code],0),7),"")</f>
        <v/>
      </c>
      <c r="M53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0" s="75"/>
      <c r="O530" s="37"/>
      <c r="P530" s="86">
        <f>tbl_Actual_costs_quantities34[[#This Row],[Site Preparation]]*BOQs!$L$3</f>
        <v>0</v>
      </c>
      <c r="Q530" s="76"/>
      <c r="R530" s="37"/>
      <c r="S530" s="86">
        <f>tbl_Actual_costs_quantities34[[#This Row],[Demolition Removal Unsafe Structures]]*BOQs!$L$4</f>
        <v>0</v>
      </c>
      <c r="T530" s="76"/>
      <c r="U530" s="37"/>
      <c r="V530" s="86">
        <f>tbl_Actual_costs_quantities34[[#This Row],[Concrete Works]]*BOQs!$L$5</f>
        <v>0</v>
      </c>
      <c r="W530" s="76"/>
      <c r="X530" s="37"/>
      <c r="Y530" s="86">
        <f>tbl_Actual_costs_quantities34[[#This Row],[Closure External Openings Walls Windows]]*BOQs!$L$6</f>
        <v>0</v>
      </c>
      <c r="Z530" s="76"/>
      <c r="AA530" s="37"/>
      <c r="AB530" s="86">
        <f>tbl_Actual_costs_quantities34[[#This Row],[Plastering Painting]]*BOQs!$L$7</f>
        <v>0</v>
      </c>
      <c r="AC530" s="76"/>
      <c r="AD530" s="37"/>
      <c r="AE530" s="86">
        <f>tbl_Actual_costs_quantities34[[#This Row],[Floor Repairs]]*BOQs!$L$8</f>
        <v>0</v>
      </c>
      <c r="AF530" s="76"/>
      <c r="AG530" s="37"/>
      <c r="AH530" s="86">
        <f>tbl_Actual_costs_quantities34[[#This Row],[Doors Replacement Repair]]*BOQs!$L$9</f>
        <v>0</v>
      </c>
      <c r="AI530" s="76"/>
      <c r="AJ530" s="37"/>
      <c r="AK530" s="86">
        <f>tbl_Actual_costs_quantities34[[#This Row],[Windows Replacement Repair]]*BOQs!$L$10</f>
        <v>0</v>
      </c>
      <c r="AL530" s="76"/>
      <c r="AM530" s="37"/>
      <c r="AN530" s="86">
        <f>tbl_Actual_costs_quantities34[[#This Row],[Bathroom Rehabilitation]]*BOQs!$L$11</f>
        <v>0</v>
      </c>
      <c r="AO530" s="76"/>
      <c r="AP530" s="37"/>
      <c r="AQ530" s="86">
        <f>tbl_Actual_costs_quantities34[[#This Row],[Ceramic Tile Works WASH]]*BOQs!$L$12</f>
        <v>0</v>
      </c>
      <c r="AR530" s="76"/>
      <c r="AS530" s="37"/>
      <c r="AT530" s="86">
        <f>tbl_Actual_costs_quantities34[[#This Row],[Electrical Repairs Lighting]]*BOQs!$L$13</f>
        <v>0</v>
      </c>
      <c r="AU530" s="76"/>
      <c r="AV530" s="37"/>
      <c r="AW530" s="86">
        <f>tbl_Actual_costs_quantities34[[#This Row],[Roof Insulation Leak Sealing]]*BOQs!$L$14</f>
        <v>0</v>
      </c>
      <c r="AX530" s="76"/>
      <c r="AY530" s="37"/>
      <c r="AZ530" s="86">
        <f>tbl_Actual_costs_quantities34[[#This Row],[Chimney Duct Cleaning Repair]]*BOQs!$L$15</f>
        <v>0</v>
      </c>
      <c r="BA530" s="76"/>
      <c r="BB530" s="37"/>
      <c r="BC530" s="89">
        <f>tbl_Actual_costs_quantities34[[#This Row],[Accessibility Adaptations]]*BOQs!$L$16</f>
        <v>0</v>
      </c>
      <c r="BD530" s="41"/>
      <c r="BE530" s="37"/>
      <c r="BF530" s="37"/>
    </row>
    <row r="531" spans="2:58" ht="25.15" customHeight="1" x14ac:dyDescent="0.25">
      <c r="B531" s="49">
        <v>527</v>
      </c>
      <c r="C531" s="37"/>
      <c r="D531" s="41"/>
      <c r="E531" s="40"/>
      <c r="F531" s="87" t="str">
        <f>IF(tbl_Actual_costs_quantities34[[#This Row],[House Code]]&lt;&gt;"",INDEX(tbl_Assessment[],MATCH(tbl_Actual_costs_quantities34[[#This Row],[House Code]],tbl_Assessment[House Code],0),3),"")</f>
        <v/>
      </c>
      <c r="G531" s="116" t="str">
        <f>IF(tbl_Actual_costs_quantities34[[#This Row],[House Code]]&lt;&gt;"",INDEX(tbl_Assessment[],MATCH(tbl_Actual_costs_quantities34[[#This Row],[House Code]],tbl_Assessment[House Code],0),9),"")</f>
        <v/>
      </c>
      <c r="H531" s="41"/>
      <c r="I531" s="41"/>
      <c r="J531" s="41"/>
      <c r="K531" s="116"/>
      <c r="L531" s="117" t="str">
        <f>IF(tbl_Actual_costs_quantities34[[#This Row],[House Code]]&lt;&gt;"",tbl_Actual_costs_quantities34[[#This Row],[Total cost]]/INDEX(tbl_estimated_costs_quantities[],MATCH(tbl_Actual_costs_quantities34[[#This Row],[House Code]],tbl_estimated_costs_quantities[House Code],0),7),"")</f>
        <v/>
      </c>
      <c r="M53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1" s="75"/>
      <c r="O531" s="37"/>
      <c r="P531" s="86">
        <f>tbl_Actual_costs_quantities34[[#This Row],[Site Preparation]]*BOQs!$L$3</f>
        <v>0</v>
      </c>
      <c r="Q531" s="76"/>
      <c r="R531" s="37"/>
      <c r="S531" s="86">
        <f>tbl_Actual_costs_quantities34[[#This Row],[Demolition Removal Unsafe Structures]]*BOQs!$L$4</f>
        <v>0</v>
      </c>
      <c r="T531" s="76"/>
      <c r="U531" s="37"/>
      <c r="V531" s="86">
        <f>tbl_Actual_costs_quantities34[[#This Row],[Concrete Works]]*BOQs!$L$5</f>
        <v>0</v>
      </c>
      <c r="W531" s="76"/>
      <c r="X531" s="37"/>
      <c r="Y531" s="86">
        <f>tbl_Actual_costs_quantities34[[#This Row],[Closure External Openings Walls Windows]]*BOQs!$L$6</f>
        <v>0</v>
      </c>
      <c r="Z531" s="76"/>
      <c r="AA531" s="37"/>
      <c r="AB531" s="86">
        <f>tbl_Actual_costs_quantities34[[#This Row],[Plastering Painting]]*BOQs!$L$7</f>
        <v>0</v>
      </c>
      <c r="AC531" s="76"/>
      <c r="AD531" s="37"/>
      <c r="AE531" s="86">
        <f>tbl_Actual_costs_quantities34[[#This Row],[Floor Repairs]]*BOQs!$L$8</f>
        <v>0</v>
      </c>
      <c r="AF531" s="76"/>
      <c r="AG531" s="37"/>
      <c r="AH531" s="86">
        <f>tbl_Actual_costs_quantities34[[#This Row],[Doors Replacement Repair]]*BOQs!$L$9</f>
        <v>0</v>
      </c>
      <c r="AI531" s="76"/>
      <c r="AJ531" s="37"/>
      <c r="AK531" s="86">
        <f>tbl_Actual_costs_quantities34[[#This Row],[Windows Replacement Repair]]*BOQs!$L$10</f>
        <v>0</v>
      </c>
      <c r="AL531" s="76"/>
      <c r="AM531" s="37"/>
      <c r="AN531" s="86">
        <f>tbl_Actual_costs_quantities34[[#This Row],[Bathroom Rehabilitation]]*BOQs!$L$11</f>
        <v>0</v>
      </c>
      <c r="AO531" s="76"/>
      <c r="AP531" s="37"/>
      <c r="AQ531" s="86">
        <f>tbl_Actual_costs_quantities34[[#This Row],[Ceramic Tile Works WASH]]*BOQs!$L$12</f>
        <v>0</v>
      </c>
      <c r="AR531" s="76"/>
      <c r="AS531" s="37"/>
      <c r="AT531" s="86">
        <f>tbl_Actual_costs_quantities34[[#This Row],[Electrical Repairs Lighting]]*BOQs!$L$13</f>
        <v>0</v>
      </c>
      <c r="AU531" s="76"/>
      <c r="AV531" s="37"/>
      <c r="AW531" s="86">
        <f>tbl_Actual_costs_quantities34[[#This Row],[Roof Insulation Leak Sealing]]*BOQs!$L$14</f>
        <v>0</v>
      </c>
      <c r="AX531" s="76"/>
      <c r="AY531" s="37"/>
      <c r="AZ531" s="86">
        <f>tbl_Actual_costs_quantities34[[#This Row],[Chimney Duct Cleaning Repair]]*BOQs!$L$15</f>
        <v>0</v>
      </c>
      <c r="BA531" s="76"/>
      <c r="BB531" s="37"/>
      <c r="BC531" s="89">
        <f>tbl_Actual_costs_quantities34[[#This Row],[Accessibility Adaptations]]*BOQs!$L$16</f>
        <v>0</v>
      </c>
      <c r="BD531" s="41"/>
      <c r="BE531" s="37"/>
      <c r="BF531" s="37"/>
    </row>
    <row r="532" spans="2:58" ht="25.15" customHeight="1" x14ac:dyDescent="0.25">
      <c r="B532" s="49">
        <v>528</v>
      </c>
      <c r="C532" s="37"/>
      <c r="D532" s="41"/>
      <c r="E532" s="40"/>
      <c r="F532" s="87" t="str">
        <f>IF(tbl_Actual_costs_quantities34[[#This Row],[House Code]]&lt;&gt;"",INDEX(tbl_Assessment[],MATCH(tbl_Actual_costs_quantities34[[#This Row],[House Code]],tbl_Assessment[House Code],0),3),"")</f>
        <v/>
      </c>
      <c r="G532" s="116" t="str">
        <f>IF(tbl_Actual_costs_quantities34[[#This Row],[House Code]]&lt;&gt;"",INDEX(tbl_Assessment[],MATCH(tbl_Actual_costs_quantities34[[#This Row],[House Code]],tbl_Assessment[House Code],0),9),"")</f>
        <v/>
      </c>
      <c r="H532" s="41"/>
      <c r="I532" s="41"/>
      <c r="J532" s="41"/>
      <c r="K532" s="116"/>
      <c r="L532" s="117" t="str">
        <f>IF(tbl_Actual_costs_quantities34[[#This Row],[House Code]]&lt;&gt;"",tbl_Actual_costs_quantities34[[#This Row],[Total cost]]/INDEX(tbl_estimated_costs_quantities[],MATCH(tbl_Actual_costs_quantities34[[#This Row],[House Code]],tbl_estimated_costs_quantities[House Code],0),7),"")</f>
        <v/>
      </c>
      <c r="M53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2" s="75"/>
      <c r="O532" s="37"/>
      <c r="P532" s="86">
        <f>tbl_Actual_costs_quantities34[[#This Row],[Site Preparation]]*BOQs!$L$3</f>
        <v>0</v>
      </c>
      <c r="Q532" s="76"/>
      <c r="R532" s="37"/>
      <c r="S532" s="86">
        <f>tbl_Actual_costs_quantities34[[#This Row],[Demolition Removal Unsafe Structures]]*BOQs!$L$4</f>
        <v>0</v>
      </c>
      <c r="T532" s="76"/>
      <c r="U532" s="37"/>
      <c r="V532" s="86">
        <f>tbl_Actual_costs_quantities34[[#This Row],[Concrete Works]]*BOQs!$L$5</f>
        <v>0</v>
      </c>
      <c r="W532" s="76"/>
      <c r="X532" s="37"/>
      <c r="Y532" s="86">
        <f>tbl_Actual_costs_quantities34[[#This Row],[Closure External Openings Walls Windows]]*BOQs!$L$6</f>
        <v>0</v>
      </c>
      <c r="Z532" s="76"/>
      <c r="AA532" s="37"/>
      <c r="AB532" s="86">
        <f>tbl_Actual_costs_quantities34[[#This Row],[Plastering Painting]]*BOQs!$L$7</f>
        <v>0</v>
      </c>
      <c r="AC532" s="76"/>
      <c r="AD532" s="37"/>
      <c r="AE532" s="86">
        <f>tbl_Actual_costs_quantities34[[#This Row],[Floor Repairs]]*BOQs!$L$8</f>
        <v>0</v>
      </c>
      <c r="AF532" s="76"/>
      <c r="AG532" s="37"/>
      <c r="AH532" s="86">
        <f>tbl_Actual_costs_quantities34[[#This Row],[Doors Replacement Repair]]*BOQs!$L$9</f>
        <v>0</v>
      </c>
      <c r="AI532" s="76"/>
      <c r="AJ532" s="37"/>
      <c r="AK532" s="86">
        <f>tbl_Actual_costs_quantities34[[#This Row],[Windows Replacement Repair]]*BOQs!$L$10</f>
        <v>0</v>
      </c>
      <c r="AL532" s="76"/>
      <c r="AM532" s="37"/>
      <c r="AN532" s="86">
        <f>tbl_Actual_costs_quantities34[[#This Row],[Bathroom Rehabilitation]]*BOQs!$L$11</f>
        <v>0</v>
      </c>
      <c r="AO532" s="76"/>
      <c r="AP532" s="37"/>
      <c r="AQ532" s="86">
        <f>tbl_Actual_costs_quantities34[[#This Row],[Ceramic Tile Works WASH]]*BOQs!$L$12</f>
        <v>0</v>
      </c>
      <c r="AR532" s="76"/>
      <c r="AS532" s="37"/>
      <c r="AT532" s="86">
        <f>tbl_Actual_costs_quantities34[[#This Row],[Electrical Repairs Lighting]]*BOQs!$L$13</f>
        <v>0</v>
      </c>
      <c r="AU532" s="76"/>
      <c r="AV532" s="37"/>
      <c r="AW532" s="86">
        <f>tbl_Actual_costs_quantities34[[#This Row],[Roof Insulation Leak Sealing]]*BOQs!$L$14</f>
        <v>0</v>
      </c>
      <c r="AX532" s="76"/>
      <c r="AY532" s="37"/>
      <c r="AZ532" s="86">
        <f>tbl_Actual_costs_quantities34[[#This Row],[Chimney Duct Cleaning Repair]]*BOQs!$L$15</f>
        <v>0</v>
      </c>
      <c r="BA532" s="76"/>
      <c r="BB532" s="37"/>
      <c r="BC532" s="89">
        <f>tbl_Actual_costs_quantities34[[#This Row],[Accessibility Adaptations]]*BOQs!$L$16</f>
        <v>0</v>
      </c>
      <c r="BD532" s="41"/>
      <c r="BE532" s="37"/>
      <c r="BF532" s="37"/>
    </row>
    <row r="533" spans="2:58" ht="25.15" customHeight="1" x14ac:dyDescent="0.25">
      <c r="B533" s="49">
        <v>529</v>
      </c>
      <c r="C533" s="37"/>
      <c r="D533" s="41"/>
      <c r="E533" s="40"/>
      <c r="F533" s="87" t="str">
        <f>IF(tbl_Actual_costs_quantities34[[#This Row],[House Code]]&lt;&gt;"",INDEX(tbl_Assessment[],MATCH(tbl_Actual_costs_quantities34[[#This Row],[House Code]],tbl_Assessment[House Code],0),3),"")</f>
        <v/>
      </c>
      <c r="G533" s="116" t="str">
        <f>IF(tbl_Actual_costs_quantities34[[#This Row],[House Code]]&lt;&gt;"",INDEX(tbl_Assessment[],MATCH(tbl_Actual_costs_quantities34[[#This Row],[House Code]],tbl_Assessment[House Code],0),9),"")</f>
        <v/>
      </c>
      <c r="H533" s="41"/>
      <c r="I533" s="41"/>
      <c r="J533" s="41"/>
      <c r="K533" s="116"/>
      <c r="L533" s="117" t="str">
        <f>IF(tbl_Actual_costs_quantities34[[#This Row],[House Code]]&lt;&gt;"",tbl_Actual_costs_quantities34[[#This Row],[Total cost]]/INDEX(tbl_estimated_costs_quantities[],MATCH(tbl_Actual_costs_quantities34[[#This Row],[House Code]],tbl_estimated_costs_quantities[House Code],0),7),"")</f>
        <v/>
      </c>
      <c r="M53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3" s="75"/>
      <c r="O533" s="37"/>
      <c r="P533" s="86">
        <f>tbl_Actual_costs_quantities34[[#This Row],[Site Preparation]]*BOQs!$L$3</f>
        <v>0</v>
      </c>
      <c r="Q533" s="76"/>
      <c r="R533" s="37"/>
      <c r="S533" s="86">
        <f>tbl_Actual_costs_quantities34[[#This Row],[Demolition Removal Unsafe Structures]]*BOQs!$L$4</f>
        <v>0</v>
      </c>
      <c r="T533" s="76"/>
      <c r="U533" s="37"/>
      <c r="V533" s="86">
        <f>tbl_Actual_costs_quantities34[[#This Row],[Concrete Works]]*BOQs!$L$5</f>
        <v>0</v>
      </c>
      <c r="W533" s="76"/>
      <c r="X533" s="37"/>
      <c r="Y533" s="86">
        <f>tbl_Actual_costs_quantities34[[#This Row],[Closure External Openings Walls Windows]]*BOQs!$L$6</f>
        <v>0</v>
      </c>
      <c r="Z533" s="76"/>
      <c r="AA533" s="37"/>
      <c r="AB533" s="86">
        <f>tbl_Actual_costs_quantities34[[#This Row],[Plastering Painting]]*BOQs!$L$7</f>
        <v>0</v>
      </c>
      <c r="AC533" s="76"/>
      <c r="AD533" s="37"/>
      <c r="AE533" s="86">
        <f>tbl_Actual_costs_quantities34[[#This Row],[Floor Repairs]]*BOQs!$L$8</f>
        <v>0</v>
      </c>
      <c r="AF533" s="76"/>
      <c r="AG533" s="37"/>
      <c r="AH533" s="86">
        <f>tbl_Actual_costs_quantities34[[#This Row],[Doors Replacement Repair]]*BOQs!$L$9</f>
        <v>0</v>
      </c>
      <c r="AI533" s="76"/>
      <c r="AJ533" s="37"/>
      <c r="AK533" s="86">
        <f>tbl_Actual_costs_quantities34[[#This Row],[Windows Replacement Repair]]*BOQs!$L$10</f>
        <v>0</v>
      </c>
      <c r="AL533" s="76"/>
      <c r="AM533" s="37"/>
      <c r="AN533" s="86">
        <f>tbl_Actual_costs_quantities34[[#This Row],[Bathroom Rehabilitation]]*BOQs!$L$11</f>
        <v>0</v>
      </c>
      <c r="AO533" s="76"/>
      <c r="AP533" s="37"/>
      <c r="AQ533" s="86">
        <f>tbl_Actual_costs_quantities34[[#This Row],[Ceramic Tile Works WASH]]*BOQs!$L$12</f>
        <v>0</v>
      </c>
      <c r="AR533" s="76"/>
      <c r="AS533" s="37"/>
      <c r="AT533" s="86">
        <f>tbl_Actual_costs_quantities34[[#This Row],[Electrical Repairs Lighting]]*BOQs!$L$13</f>
        <v>0</v>
      </c>
      <c r="AU533" s="76"/>
      <c r="AV533" s="37"/>
      <c r="AW533" s="86">
        <f>tbl_Actual_costs_quantities34[[#This Row],[Roof Insulation Leak Sealing]]*BOQs!$L$14</f>
        <v>0</v>
      </c>
      <c r="AX533" s="76"/>
      <c r="AY533" s="37"/>
      <c r="AZ533" s="86">
        <f>tbl_Actual_costs_quantities34[[#This Row],[Chimney Duct Cleaning Repair]]*BOQs!$L$15</f>
        <v>0</v>
      </c>
      <c r="BA533" s="76"/>
      <c r="BB533" s="37"/>
      <c r="BC533" s="89">
        <f>tbl_Actual_costs_quantities34[[#This Row],[Accessibility Adaptations]]*BOQs!$L$16</f>
        <v>0</v>
      </c>
      <c r="BD533" s="41"/>
      <c r="BE533" s="37"/>
      <c r="BF533" s="37"/>
    </row>
    <row r="534" spans="2:58" ht="25.15" customHeight="1" x14ac:dyDescent="0.25">
      <c r="B534" s="49">
        <v>530</v>
      </c>
      <c r="C534" s="37"/>
      <c r="D534" s="41"/>
      <c r="E534" s="40"/>
      <c r="F534" s="87" t="str">
        <f>IF(tbl_Actual_costs_quantities34[[#This Row],[House Code]]&lt;&gt;"",INDEX(tbl_Assessment[],MATCH(tbl_Actual_costs_quantities34[[#This Row],[House Code]],tbl_Assessment[House Code],0),3),"")</f>
        <v/>
      </c>
      <c r="G534" s="116" t="str">
        <f>IF(tbl_Actual_costs_quantities34[[#This Row],[House Code]]&lt;&gt;"",INDEX(tbl_Assessment[],MATCH(tbl_Actual_costs_quantities34[[#This Row],[House Code]],tbl_Assessment[House Code],0),9),"")</f>
        <v/>
      </c>
      <c r="H534" s="41"/>
      <c r="I534" s="41"/>
      <c r="J534" s="41"/>
      <c r="K534" s="116"/>
      <c r="L534" s="117" t="str">
        <f>IF(tbl_Actual_costs_quantities34[[#This Row],[House Code]]&lt;&gt;"",tbl_Actual_costs_quantities34[[#This Row],[Total cost]]/INDEX(tbl_estimated_costs_quantities[],MATCH(tbl_Actual_costs_quantities34[[#This Row],[House Code]],tbl_estimated_costs_quantities[House Code],0),7),"")</f>
        <v/>
      </c>
      <c r="M53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4" s="75"/>
      <c r="O534" s="37"/>
      <c r="P534" s="86">
        <f>tbl_Actual_costs_quantities34[[#This Row],[Site Preparation]]*BOQs!$L$3</f>
        <v>0</v>
      </c>
      <c r="Q534" s="76"/>
      <c r="R534" s="37"/>
      <c r="S534" s="86">
        <f>tbl_Actual_costs_quantities34[[#This Row],[Demolition Removal Unsafe Structures]]*BOQs!$L$4</f>
        <v>0</v>
      </c>
      <c r="T534" s="76"/>
      <c r="U534" s="37"/>
      <c r="V534" s="86">
        <f>tbl_Actual_costs_quantities34[[#This Row],[Concrete Works]]*BOQs!$L$5</f>
        <v>0</v>
      </c>
      <c r="W534" s="76"/>
      <c r="X534" s="37"/>
      <c r="Y534" s="86">
        <f>tbl_Actual_costs_quantities34[[#This Row],[Closure External Openings Walls Windows]]*BOQs!$L$6</f>
        <v>0</v>
      </c>
      <c r="Z534" s="76"/>
      <c r="AA534" s="37"/>
      <c r="AB534" s="86">
        <f>tbl_Actual_costs_quantities34[[#This Row],[Plastering Painting]]*BOQs!$L$7</f>
        <v>0</v>
      </c>
      <c r="AC534" s="76"/>
      <c r="AD534" s="37"/>
      <c r="AE534" s="86">
        <f>tbl_Actual_costs_quantities34[[#This Row],[Floor Repairs]]*BOQs!$L$8</f>
        <v>0</v>
      </c>
      <c r="AF534" s="76"/>
      <c r="AG534" s="37"/>
      <c r="AH534" s="86">
        <f>tbl_Actual_costs_quantities34[[#This Row],[Doors Replacement Repair]]*BOQs!$L$9</f>
        <v>0</v>
      </c>
      <c r="AI534" s="76"/>
      <c r="AJ534" s="37"/>
      <c r="AK534" s="86">
        <f>tbl_Actual_costs_quantities34[[#This Row],[Windows Replacement Repair]]*BOQs!$L$10</f>
        <v>0</v>
      </c>
      <c r="AL534" s="76"/>
      <c r="AM534" s="37"/>
      <c r="AN534" s="86">
        <f>tbl_Actual_costs_quantities34[[#This Row],[Bathroom Rehabilitation]]*BOQs!$L$11</f>
        <v>0</v>
      </c>
      <c r="AO534" s="76"/>
      <c r="AP534" s="37"/>
      <c r="AQ534" s="86">
        <f>tbl_Actual_costs_quantities34[[#This Row],[Ceramic Tile Works WASH]]*BOQs!$L$12</f>
        <v>0</v>
      </c>
      <c r="AR534" s="76"/>
      <c r="AS534" s="37"/>
      <c r="AT534" s="86">
        <f>tbl_Actual_costs_quantities34[[#This Row],[Electrical Repairs Lighting]]*BOQs!$L$13</f>
        <v>0</v>
      </c>
      <c r="AU534" s="76"/>
      <c r="AV534" s="37"/>
      <c r="AW534" s="86">
        <f>tbl_Actual_costs_quantities34[[#This Row],[Roof Insulation Leak Sealing]]*BOQs!$L$14</f>
        <v>0</v>
      </c>
      <c r="AX534" s="76"/>
      <c r="AY534" s="37"/>
      <c r="AZ534" s="86">
        <f>tbl_Actual_costs_quantities34[[#This Row],[Chimney Duct Cleaning Repair]]*BOQs!$L$15</f>
        <v>0</v>
      </c>
      <c r="BA534" s="76"/>
      <c r="BB534" s="37"/>
      <c r="BC534" s="89">
        <f>tbl_Actual_costs_quantities34[[#This Row],[Accessibility Adaptations]]*BOQs!$L$16</f>
        <v>0</v>
      </c>
      <c r="BD534" s="41"/>
      <c r="BE534" s="37"/>
      <c r="BF534" s="37"/>
    </row>
    <row r="535" spans="2:58" ht="25.15" customHeight="1" x14ac:dyDescent="0.25">
      <c r="B535" s="49">
        <v>531</v>
      </c>
      <c r="C535" s="37"/>
      <c r="D535" s="41"/>
      <c r="E535" s="40"/>
      <c r="F535" s="87" t="str">
        <f>IF(tbl_Actual_costs_quantities34[[#This Row],[House Code]]&lt;&gt;"",INDEX(tbl_Assessment[],MATCH(tbl_Actual_costs_quantities34[[#This Row],[House Code]],tbl_Assessment[House Code],0),3),"")</f>
        <v/>
      </c>
      <c r="G535" s="116" t="str">
        <f>IF(tbl_Actual_costs_quantities34[[#This Row],[House Code]]&lt;&gt;"",INDEX(tbl_Assessment[],MATCH(tbl_Actual_costs_quantities34[[#This Row],[House Code]],tbl_Assessment[House Code],0),9),"")</f>
        <v/>
      </c>
      <c r="H535" s="41"/>
      <c r="I535" s="41"/>
      <c r="J535" s="41"/>
      <c r="K535" s="116"/>
      <c r="L535" s="117" t="str">
        <f>IF(tbl_Actual_costs_quantities34[[#This Row],[House Code]]&lt;&gt;"",tbl_Actual_costs_quantities34[[#This Row],[Total cost]]/INDEX(tbl_estimated_costs_quantities[],MATCH(tbl_Actual_costs_quantities34[[#This Row],[House Code]],tbl_estimated_costs_quantities[House Code],0),7),"")</f>
        <v/>
      </c>
      <c r="M53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5" s="75"/>
      <c r="O535" s="37"/>
      <c r="P535" s="86">
        <f>tbl_Actual_costs_quantities34[[#This Row],[Site Preparation]]*BOQs!$L$3</f>
        <v>0</v>
      </c>
      <c r="Q535" s="76"/>
      <c r="R535" s="37"/>
      <c r="S535" s="86">
        <f>tbl_Actual_costs_quantities34[[#This Row],[Demolition Removal Unsafe Structures]]*BOQs!$L$4</f>
        <v>0</v>
      </c>
      <c r="T535" s="76"/>
      <c r="U535" s="37"/>
      <c r="V535" s="86">
        <f>tbl_Actual_costs_quantities34[[#This Row],[Concrete Works]]*BOQs!$L$5</f>
        <v>0</v>
      </c>
      <c r="W535" s="76"/>
      <c r="X535" s="37"/>
      <c r="Y535" s="86">
        <f>tbl_Actual_costs_quantities34[[#This Row],[Closure External Openings Walls Windows]]*BOQs!$L$6</f>
        <v>0</v>
      </c>
      <c r="Z535" s="76"/>
      <c r="AA535" s="37"/>
      <c r="AB535" s="86">
        <f>tbl_Actual_costs_quantities34[[#This Row],[Plastering Painting]]*BOQs!$L$7</f>
        <v>0</v>
      </c>
      <c r="AC535" s="76"/>
      <c r="AD535" s="37"/>
      <c r="AE535" s="86">
        <f>tbl_Actual_costs_quantities34[[#This Row],[Floor Repairs]]*BOQs!$L$8</f>
        <v>0</v>
      </c>
      <c r="AF535" s="76"/>
      <c r="AG535" s="37"/>
      <c r="AH535" s="86">
        <f>tbl_Actual_costs_quantities34[[#This Row],[Doors Replacement Repair]]*BOQs!$L$9</f>
        <v>0</v>
      </c>
      <c r="AI535" s="76"/>
      <c r="AJ535" s="37"/>
      <c r="AK535" s="86">
        <f>tbl_Actual_costs_quantities34[[#This Row],[Windows Replacement Repair]]*BOQs!$L$10</f>
        <v>0</v>
      </c>
      <c r="AL535" s="76"/>
      <c r="AM535" s="37"/>
      <c r="AN535" s="86">
        <f>tbl_Actual_costs_quantities34[[#This Row],[Bathroom Rehabilitation]]*BOQs!$L$11</f>
        <v>0</v>
      </c>
      <c r="AO535" s="76"/>
      <c r="AP535" s="37"/>
      <c r="AQ535" s="86">
        <f>tbl_Actual_costs_quantities34[[#This Row],[Ceramic Tile Works WASH]]*BOQs!$L$12</f>
        <v>0</v>
      </c>
      <c r="AR535" s="76"/>
      <c r="AS535" s="37"/>
      <c r="AT535" s="86">
        <f>tbl_Actual_costs_quantities34[[#This Row],[Electrical Repairs Lighting]]*BOQs!$L$13</f>
        <v>0</v>
      </c>
      <c r="AU535" s="76"/>
      <c r="AV535" s="37"/>
      <c r="AW535" s="86">
        <f>tbl_Actual_costs_quantities34[[#This Row],[Roof Insulation Leak Sealing]]*BOQs!$L$14</f>
        <v>0</v>
      </c>
      <c r="AX535" s="76"/>
      <c r="AY535" s="37"/>
      <c r="AZ535" s="86">
        <f>tbl_Actual_costs_quantities34[[#This Row],[Chimney Duct Cleaning Repair]]*BOQs!$L$15</f>
        <v>0</v>
      </c>
      <c r="BA535" s="76"/>
      <c r="BB535" s="37"/>
      <c r="BC535" s="89">
        <f>tbl_Actual_costs_quantities34[[#This Row],[Accessibility Adaptations]]*BOQs!$L$16</f>
        <v>0</v>
      </c>
      <c r="BD535" s="41"/>
      <c r="BE535" s="37"/>
      <c r="BF535" s="37"/>
    </row>
    <row r="536" spans="2:58" ht="25.15" customHeight="1" x14ac:dyDescent="0.25">
      <c r="B536" s="49">
        <v>532</v>
      </c>
      <c r="C536" s="37"/>
      <c r="D536" s="41"/>
      <c r="E536" s="40"/>
      <c r="F536" s="87" t="str">
        <f>IF(tbl_Actual_costs_quantities34[[#This Row],[House Code]]&lt;&gt;"",INDEX(tbl_Assessment[],MATCH(tbl_Actual_costs_quantities34[[#This Row],[House Code]],tbl_Assessment[House Code],0),3),"")</f>
        <v/>
      </c>
      <c r="G536" s="116" t="str">
        <f>IF(tbl_Actual_costs_quantities34[[#This Row],[House Code]]&lt;&gt;"",INDEX(tbl_Assessment[],MATCH(tbl_Actual_costs_quantities34[[#This Row],[House Code]],tbl_Assessment[House Code],0),9),"")</f>
        <v/>
      </c>
      <c r="H536" s="41"/>
      <c r="I536" s="41"/>
      <c r="J536" s="41"/>
      <c r="K536" s="116"/>
      <c r="L536" s="117" t="str">
        <f>IF(tbl_Actual_costs_quantities34[[#This Row],[House Code]]&lt;&gt;"",tbl_Actual_costs_quantities34[[#This Row],[Total cost]]/INDEX(tbl_estimated_costs_quantities[],MATCH(tbl_Actual_costs_quantities34[[#This Row],[House Code]],tbl_estimated_costs_quantities[House Code],0),7),"")</f>
        <v/>
      </c>
      <c r="M53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6" s="75"/>
      <c r="O536" s="37"/>
      <c r="P536" s="86">
        <f>tbl_Actual_costs_quantities34[[#This Row],[Site Preparation]]*BOQs!$L$3</f>
        <v>0</v>
      </c>
      <c r="Q536" s="76"/>
      <c r="R536" s="37"/>
      <c r="S536" s="86">
        <f>tbl_Actual_costs_quantities34[[#This Row],[Demolition Removal Unsafe Structures]]*BOQs!$L$4</f>
        <v>0</v>
      </c>
      <c r="T536" s="76"/>
      <c r="U536" s="37"/>
      <c r="V536" s="86">
        <f>tbl_Actual_costs_quantities34[[#This Row],[Concrete Works]]*BOQs!$L$5</f>
        <v>0</v>
      </c>
      <c r="W536" s="76"/>
      <c r="X536" s="37"/>
      <c r="Y536" s="86">
        <f>tbl_Actual_costs_quantities34[[#This Row],[Closure External Openings Walls Windows]]*BOQs!$L$6</f>
        <v>0</v>
      </c>
      <c r="Z536" s="76"/>
      <c r="AA536" s="37"/>
      <c r="AB536" s="86">
        <f>tbl_Actual_costs_quantities34[[#This Row],[Plastering Painting]]*BOQs!$L$7</f>
        <v>0</v>
      </c>
      <c r="AC536" s="76"/>
      <c r="AD536" s="37"/>
      <c r="AE536" s="86">
        <f>tbl_Actual_costs_quantities34[[#This Row],[Floor Repairs]]*BOQs!$L$8</f>
        <v>0</v>
      </c>
      <c r="AF536" s="76"/>
      <c r="AG536" s="37"/>
      <c r="AH536" s="86">
        <f>tbl_Actual_costs_quantities34[[#This Row],[Doors Replacement Repair]]*BOQs!$L$9</f>
        <v>0</v>
      </c>
      <c r="AI536" s="76"/>
      <c r="AJ536" s="37"/>
      <c r="AK536" s="86">
        <f>tbl_Actual_costs_quantities34[[#This Row],[Windows Replacement Repair]]*BOQs!$L$10</f>
        <v>0</v>
      </c>
      <c r="AL536" s="76"/>
      <c r="AM536" s="37"/>
      <c r="AN536" s="86">
        <f>tbl_Actual_costs_quantities34[[#This Row],[Bathroom Rehabilitation]]*BOQs!$L$11</f>
        <v>0</v>
      </c>
      <c r="AO536" s="76"/>
      <c r="AP536" s="37"/>
      <c r="AQ536" s="86">
        <f>tbl_Actual_costs_quantities34[[#This Row],[Ceramic Tile Works WASH]]*BOQs!$L$12</f>
        <v>0</v>
      </c>
      <c r="AR536" s="76"/>
      <c r="AS536" s="37"/>
      <c r="AT536" s="86">
        <f>tbl_Actual_costs_quantities34[[#This Row],[Electrical Repairs Lighting]]*BOQs!$L$13</f>
        <v>0</v>
      </c>
      <c r="AU536" s="76"/>
      <c r="AV536" s="37"/>
      <c r="AW536" s="86">
        <f>tbl_Actual_costs_quantities34[[#This Row],[Roof Insulation Leak Sealing]]*BOQs!$L$14</f>
        <v>0</v>
      </c>
      <c r="AX536" s="76"/>
      <c r="AY536" s="37"/>
      <c r="AZ536" s="86">
        <f>tbl_Actual_costs_quantities34[[#This Row],[Chimney Duct Cleaning Repair]]*BOQs!$L$15</f>
        <v>0</v>
      </c>
      <c r="BA536" s="76"/>
      <c r="BB536" s="37"/>
      <c r="BC536" s="89">
        <f>tbl_Actual_costs_quantities34[[#This Row],[Accessibility Adaptations]]*BOQs!$L$16</f>
        <v>0</v>
      </c>
      <c r="BD536" s="41"/>
      <c r="BE536" s="37"/>
      <c r="BF536" s="37"/>
    </row>
    <row r="537" spans="2:58" ht="25.15" customHeight="1" x14ac:dyDescent="0.25">
      <c r="B537" s="49">
        <v>533</v>
      </c>
      <c r="C537" s="37"/>
      <c r="D537" s="41"/>
      <c r="E537" s="40"/>
      <c r="F537" s="87" t="str">
        <f>IF(tbl_Actual_costs_quantities34[[#This Row],[House Code]]&lt;&gt;"",INDEX(tbl_Assessment[],MATCH(tbl_Actual_costs_quantities34[[#This Row],[House Code]],tbl_Assessment[House Code],0),3),"")</f>
        <v/>
      </c>
      <c r="G537" s="116" t="str">
        <f>IF(tbl_Actual_costs_quantities34[[#This Row],[House Code]]&lt;&gt;"",INDEX(tbl_Assessment[],MATCH(tbl_Actual_costs_quantities34[[#This Row],[House Code]],tbl_Assessment[House Code],0),9),"")</f>
        <v/>
      </c>
      <c r="H537" s="41"/>
      <c r="I537" s="41"/>
      <c r="J537" s="41"/>
      <c r="K537" s="116"/>
      <c r="L537" s="117" t="str">
        <f>IF(tbl_Actual_costs_quantities34[[#This Row],[House Code]]&lt;&gt;"",tbl_Actual_costs_quantities34[[#This Row],[Total cost]]/INDEX(tbl_estimated_costs_quantities[],MATCH(tbl_Actual_costs_quantities34[[#This Row],[House Code]],tbl_estimated_costs_quantities[House Code],0),7),"")</f>
        <v/>
      </c>
      <c r="M53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7" s="75"/>
      <c r="O537" s="37"/>
      <c r="P537" s="86">
        <f>tbl_Actual_costs_quantities34[[#This Row],[Site Preparation]]*BOQs!$L$3</f>
        <v>0</v>
      </c>
      <c r="Q537" s="76"/>
      <c r="R537" s="37"/>
      <c r="S537" s="86">
        <f>tbl_Actual_costs_quantities34[[#This Row],[Demolition Removal Unsafe Structures]]*BOQs!$L$4</f>
        <v>0</v>
      </c>
      <c r="T537" s="76"/>
      <c r="U537" s="37"/>
      <c r="V537" s="86">
        <f>tbl_Actual_costs_quantities34[[#This Row],[Concrete Works]]*BOQs!$L$5</f>
        <v>0</v>
      </c>
      <c r="W537" s="76"/>
      <c r="X537" s="37"/>
      <c r="Y537" s="86">
        <f>tbl_Actual_costs_quantities34[[#This Row],[Closure External Openings Walls Windows]]*BOQs!$L$6</f>
        <v>0</v>
      </c>
      <c r="Z537" s="76"/>
      <c r="AA537" s="37"/>
      <c r="AB537" s="86">
        <f>tbl_Actual_costs_quantities34[[#This Row],[Plastering Painting]]*BOQs!$L$7</f>
        <v>0</v>
      </c>
      <c r="AC537" s="76"/>
      <c r="AD537" s="37"/>
      <c r="AE537" s="86">
        <f>tbl_Actual_costs_quantities34[[#This Row],[Floor Repairs]]*BOQs!$L$8</f>
        <v>0</v>
      </c>
      <c r="AF537" s="76"/>
      <c r="AG537" s="37"/>
      <c r="AH537" s="86">
        <f>tbl_Actual_costs_quantities34[[#This Row],[Doors Replacement Repair]]*BOQs!$L$9</f>
        <v>0</v>
      </c>
      <c r="AI537" s="76"/>
      <c r="AJ537" s="37"/>
      <c r="AK537" s="86">
        <f>tbl_Actual_costs_quantities34[[#This Row],[Windows Replacement Repair]]*BOQs!$L$10</f>
        <v>0</v>
      </c>
      <c r="AL537" s="76"/>
      <c r="AM537" s="37"/>
      <c r="AN537" s="86">
        <f>tbl_Actual_costs_quantities34[[#This Row],[Bathroom Rehabilitation]]*BOQs!$L$11</f>
        <v>0</v>
      </c>
      <c r="AO537" s="76"/>
      <c r="AP537" s="37"/>
      <c r="AQ537" s="86">
        <f>tbl_Actual_costs_quantities34[[#This Row],[Ceramic Tile Works WASH]]*BOQs!$L$12</f>
        <v>0</v>
      </c>
      <c r="AR537" s="76"/>
      <c r="AS537" s="37"/>
      <c r="AT537" s="86">
        <f>tbl_Actual_costs_quantities34[[#This Row],[Electrical Repairs Lighting]]*BOQs!$L$13</f>
        <v>0</v>
      </c>
      <c r="AU537" s="76"/>
      <c r="AV537" s="37"/>
      <c r="AW537" s="86">
        <f>tbl_Actual_costs_quantities34[[#This Row],[Roof Insulation Leak Sealing]]*BOQs!$L$14</f>
        <v>0</v>
      </c>
      <c r="AX537" s="76"/>
      <c r="AY537" s="37"/>
      <c r="AZ537" s="86">
        <f>tbl_Actual_costs_quantities34[[#This Row],[Chimney Duct Cleaning Repair]]*BOQs!$L$15</f>
        <v>0</v>
      </c>
      <c r="BA537" s="76"/>
      <c r="BB537" s="37"/>
      <c r="BC537" s="89">
        <f>tbl_Actual_costs_quantities34[[#This Row],[Accessibility Adaptations]]*BOQs!$L$16</f>
        <v>0</v>
      </c>
      <c r="BD537" s="41"/>
      <c r="BE537" s="37"/>
      <c r="BF537" s="37"/>
    </row>
    <row r="538" spans="2:58" ht="25.15" customHeight="1" x14ac:dyDescent="0.25">
      <c r="B538" s="49">
        <v>534</v>
      </c>
      <c r="C538" s="37"/>
      <c r="D538" s="41"/>
      <c r="E538" s="40"/>
      <c r="F538" s="87" t="str">
        <f>IF(tbl_Actual_costs_quantities34[[#This Row],[House Code]]&lt;&gt;"",INDEX(tbl_Assessment[],MATCH(tbl_Actual_costs_quantities34[[#This Row],[House Code]],tbl_Assessment[House Code],0),3),"")</f>
        <v/>
      </c>
      <c r="G538" s="116" t="str">
        <f>IF(tbl_Actual_costs_quantities34[[#This Row],[House Code]]&lt;&gt;"",INDEX(tbl_Assessment[],MATCH(tbl_Actual_costs_quantities34[[#This Row],[House Code]],tbl_Assessment[House Code],0),9),"")</f>
        <v/>
      </c>
      <c r="H538" s="41"/>
      <c r="I538" s="41"/>
      <c r="J538" s="41"/>
      <c r="K538" s="116"/>
      <c r="L538" s="117" t="str">
        <f>IF(tbl_Actual_costs_quantities34[[#This Row],[House Code]]&lt;&gt;"",tbl_Actual_costs_quantities34[[#This Row],[Total cost]]/INDEX(tbl_estimated_costs_quantities[],MATCH(tbl_Actual_costs_quantities34[[#This Row],[House Code]],tbl_estimated_costs_quantities[House Code],0),7),"")</f>
        <v/>
      </c>
      <c r="M53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8" s="75"/>
      <c r="O538" s="37"/>
      <c r="P538" s="86">
        <f>tbl_Actual_costs_quantities34[[#This Row],[Site Preparation]]*BOQs!$L$3</f>
        <v>0</v>
      </c>
      <c r="Q538" s="76"/>
      <c r="R538" s="37"/>
      <c r="S538" s="86">
        <f>tbl_Actual_costs_quantities34[[#This Row],[Demolition Removal Unsafe Structures]]*BOQs!$L$4</f>
        <v>0</v>
      </c>
      <c r="T538" s="76"/>
      <c r="U538" s="37"/>
      <c r="V538" s="86">
        <f>tbl_Actual_costs_quantities34[[#This Row],[Concrete Works]]*BOQs!$L$5</f>
        <v>0</v>
      </c>
      <c r="W538" s="76"/>
      <c r="X538" s="37"/>
      <c r="Y538" s="86">
        <f>tbl_Actual_costs_quantities34[[#This Row],[Closure External Openings Walls Windows]]*BOQs!$L$6</f>
        <v>0</v>
      </c>
      <c r="Z538" s="76"/>
      <c r="AA538" s="37"/>
      <c r="AB538" s="86">
        <f>tbl_Actual_costs_quantities34[[#This Row],[Plastering Painting]]*BOQs!$L$7</f>
        <v>0</v>
      </c>
      <c r="AC538" s="76"/>
      <c r="AD538" s="37"/>
      <c r="AE538" s="86">
        <f>tbl_Actual_costs_quantities34[[#This Row],[Floor Repairs]]*BOQs!$L$8</f>
        <v>0</v>
      </c>
      <c r="AF538" s="76"/>
      <c r="AG538" s="37"/>
      <c r="AH538" s="86">
        <f>tbl_Actual_costs_quantities34[[#This Row],[Doors Replacement Repair]]*BOQs!$L$9</f>
        <v>0</v>
      </c>
      <c r="AI538" s="76"/>
      <c r="AJ538" s="37"/>
      <c r="AK538" s="86">
        <f>tbl_Actual_costs_quantities34[[#This Row],[Windows Replacement Repair]]*BOQs!$L$10</f>
        <v>0</v>
      </c>
      <c r="AL538" s="76"/>
      <c r="AM538" s="37"/>
      <c r="AN538" s="86">
        <f>tbl_Actual_costs_quantities34[[#This Row],[Bathroom Rehabilitation]]*BOQs!$L$11</f>
        <v>0</v>
      </c>
      <c r="AO538" s="76"/>
      <c r="AP538" s="37"/>
      <c r="AQ538" s="86">
        <f>tbl_Actual_costs_quantities34[[#This Row],[Ceramic Tile Works WASH]]*BOQs!$L$12</f>
        <v>0</v>
      </c>
      <c r="AR538" s="76"/>
      <c r="AS538" s="37"/>
      <c r="AT538" s="86">
        <f>tbl_Actual_costs_quantities34[[#This Row],[Electrical Repairs Lighting]]*BOQs!$L$13</f>
        <v>0</v>
      </c>
      <c r="AU538" s="76"/>
      <c r="AV538" s="37"/>
      <c r="AW538" s="86">
        <f>tbl_Actual_costs_quantities34[[#This Row],[Roof Insulation Leak Sealing]]*BOQs!$L$14</f>
        <v>0</v>
      </c>
      <c r="AX538" s="76"/>
      <c r="AY538" s="37"/>
      <c r="AZ538" s="86">
        <f>tbl_Actual_costs_quantities34[[#This Row],[Chimney Duct Cleaning Repair]]*BOQs!$L$15</f>
        <v>0</v>
      </c>
      <c r="BA538" s="76"/>
      <c r="BB538" s="37"/>
      <c r="BC538" s="89">
        <f>tbl_Actual_costs_quantities34[[#This Row],[Accessibility Adaptations]]*BOQs!$L$16</f>
        <v>0</v>
      </c>
      <c r="BD538" s="41"/>
      <c r="BE538" s="37"/>
      <c r="BF538" s="37"/>
    </row>
    <row r="539" spans="2:58" ht="25.15" customHeight="1" x14ac:dyDescent="0.25">
      <c r="B539" s="49">
        <v>535</v>
      </c>
      <c r="C539" s="37"/>
      <c r="D539" s="41"/>
      <c r="E539" s="40"/>
      <c r="F539" s="87" t="str">
        <f>IF(tbl_Actual_costs_quantities34[[#This Row],[House Code]]&lt;&gt;"",INDEX(tbl_Assessment[],MATCH(tbl_Actual_costs_quantities34[[#This Row],[House Code]],tbl_Assessment[House Code],0),3),"")</f>
        <v/>
      </c>
      <c r="G539" s="116" t="str">
        <f>IF(tbl_Actual_costs_quantities34[[#This Row],[House Code]]&lt;&gt;"",INDEX(tbl_Assessment[],MATCH(tbl_Actual_costs_quantities34[[#This Row],[House Code]],tbl_Assessment[House Code],0),9),"")</f>
        <v/>
      </c>
      <c r="H539" s="41"/>
      <c r="I539" s="41"/>
      <c r="J539" s="41"/>
      <c r="K539" s="116"/>
      <c r="L539" s="117" t="str">
        <f>IF(tbl_Actual_costs_quantities34[[#This Row],[House Code]]&lt;&gt;"",tbl_Actual_costs_quantities34[[#This Row],[Total cost]]/INDEX(tbl_estimated_costs_quantities[],MATCH(tbl_Actual_costs_quantities34[[#This Row],[House Code]],tbl_estimated_costs_quantities[House Code],0),7),"")</f>
        <v/>
      </c>
      <c r="M53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39" s="75"/>
      <c r="O539" s="37"/>
      <c r="P539" s="86">
        <f>tbl_Actual_costs_quantities34[[#This Row],[Site Preparation]]*BOQs!$L$3</f>
        <v>0</v>
      </c>
      <c r="Q539" s="76"/>
      <c r="R539" s="37"/>
      <c r="S539" s="86">
        <f>tbl_Actual_costs_quantities34[[#This Row],[Demolition Removal Unsafe Structures]]*BOQs!$L$4</f>
        <v>0</v>
      </c>
      <c r="T539" s="76"/>
      <c r="U539" s="37"/>
      <c r="V539" s="86">
        <f>tbl_Actual_costs_quantities34[[#This Row],[Concrete Works]]*BOQs!$L$5</f>
        <v>0</v>
      </c>
      <c r="W539" s="76"/>
      <c r="X539" s="37"/>
      <c r="Y539" s="86">
        <f>tbl_Actual_costs_quantities34[[#This Row],[Closure External Openings Walls Windows]]*BOQs!$L$6</f>
        <v>0</v>
      </c>
      <c r="Z539" s="76"/>
      <c r="AA539" s="37"/>
      <c r="AB539" s="86">
        <f>tbl_Actual_costs_quantities34[[#This Row],[Plastering Painting]]*BOQs!$L$7</f>
        <v>0</v>
      </c>
      <c r="AC539" s="76"/>
      <c r="AD539" s="37"/>
      <c r="AE539" s="86">
        <f>tbl_Actual_costs_quantities34[[#This Row],[Floor Repairs]]*BOQs!$L$8</f>
        <v>0</v>
      </c>
      <c r="AF539" s="76"/>
      <c r="AG539" s="37"/>
      <c r="AH539" s="86">
        <f>tbl_Actual_costs_quantities34[[#This Row],[Doors Replacement Repair]]*BOQs!$L$9</f>
        <v>0</v>
      </c>
      <c r="AI539" s="76"/>
      <c r="AJ539" s="37"/>
      <c r="AK539" s="86">
        <f>tbl_Actual_costs_quantities34[[#This Row],[Windows Replacement Repair]]*BOQs!$L$10</f>
        <v>0</v>
      </c>
      <c r="AL539" s="76"/>
      <c r="AM539" s="37"/>
      <c r="AN539" s="86">
        <f>tbl_Actual_costs_quantities34[[#This Row],[Bathroom Rehabilitation]]*BOQs!$L$11</f>
        <v>0</v>
      </c>
      <c r="AO539" s="76"/>
      <c r="AP539" s="37"/>
      <c r="AQ539" s="86">
        <f>tbl_Actual_costs_quantities34[[#This Row],[Ceramic Tile Works WASH]]*BOQs!$L$12</f>
        <v>0</v>
      </c>
      <c r="AR539" s="76"/>
      <c r="AS539" s="37"/>
      <c r="AT539" s="86">
        <f>tbl_Actual_costs_quantities34[[#This Row],[Electrical Repairs Lighting]]*BOQs!$L$13</f>
        <v>0</v>
      </c>
      <c r="AU539" s="76"/>
      <c r="AV539" s="37"/>
      <c r="AW539" s="86">
        <f>tbl_Actual_costs_quantities34[[#This Row],[Roof Insulation Leak Sealing]]*BOQs!$L$14</f>
        <v>0</v>
      </c>
      <c r="AX539" s="76"/>
      <c r="AY539" s="37"/>
      <c r="AZ539" s="86">
        <f>tbl_Actual_costs_quantities34[[#This Row],[Chimney Duct Cleaning Repair]]*BOQs!$L$15</f>
        <v>0</v>
      </c>
      <c r="BA539" s="76"/>
      <c r="BB539" s="37"/>
      <c r="BC539" s="89">
        <f>tbl_Actual_costs_quantities34[[#This Row],[Accessibility Adaptations]]*BOQs!$L$16</f>
        <v>0</v>
      </c>
      <c r="BD539" s="41"/>
      <c r="BE539" s="37"/>
      <c r="BF539" s="37"/>
    </row>
    <row r="540" spans="2:58" ht="25.15" customHeight="1" x14ac:dyDescent="0.25">
      <c r="B540" s="49">
        <v>536</v>
      </c>
      <c r="C540" s="37"/>
      <c r="D540" s="41"/>
      <c r="E540" s="40"/>
      <c r="F540" s="87" t="str">
        <f>IF(tbl_Actual_costs_quantities34[[#This Row],[House Code]]&lt;&gt;"",INDEX(tbl_Assessment[],MATCH(tbl_Actual_costs_quantities34[[#This Row],[House Code]],tbl_Assessment[House Code],0),3),"")</f>
        <v/>
      </c>
      <c r="G540" s="116" t="str">
        <f>IF(tbl_Actual_costs_quantities34[[#This Row],[House Code]]&lt;&gt;"",INDEX(tbl_Assessment[],MATCH(tbl_Actual_costs_quantities34[[#This Row],[House Code]],tbl_Assessment[House Code],0),9),"")</f>
        <v/>
      </c>
      <c r="H540" s="41"/>
      <c r="I540" s="41"/>
      <c r="J540" s="41"/>
      <c r="K540" s="116"/>
      <c r="L540" s="117" t="str">
        <f>IF(tbl_Actual_costs_quantities34[[#This Row],[House Code]]&lt;&gt;"",tbl_Actual_costs_quantities34[[#This Row],[Total cost]]/INDEX(tbl_estimated_costs_quantities[],MATCH(tbl_Actual_costs_quantities34[[#This Row],[House Code]],tbl_estimated_costs_quantities[House Code],0),7),"")</f>
        <v/>
      </c>
      <c r="M54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0" s="75"/>
      <c r="O540" s="37"/>
      <c r="P540" s="86">
        <f>tbl_Actual_costs_quantities34[[#This Row],[Site Preparation]]*BOQs!$L$3</f>
        <v>0</v>
      </c>
      <c r="Q540" s="76"/>
      <c r="R540" s="37"/>
      <c r="S540" s="86">
        <f>tbl_Actual_costs_quantities34[[#This Row],[Demolition Removal Unsafe Structures]]*BOQs!$L$4</f>
        <v>0</v>
      </c>
      <c r="T540" s="76"/>
      <c r="U540" s="37"/>
      <c r="V540" s="86">
        <f>tbl_Actual_costs_quantities34[[#This Row],[Concrete Works]]*BOQs!$L$5</f>
        <v>0</v>
      </c>
      <c r="W540" s="76"/>
      <c r="X540" s="37"/>
      <c r="Y540" s="86">
        <f>tbl_Actual_costs_quantities34[[#This Row],[Closure External Openings Walls Windows]]*BOQs!$L$6</f>
        <v>0</v>
      </c>
      <c r="Z540" s="76"/>
      <c r="AA540" s="37"/>
      <c r="AB540" s="86">
        <f>tbl_Actual_costs_quantities34[[#This Row],[Plastering Painting]]*BOQs!$L$7</f>
        <v>0</v>
      </c>
      <c r="AC540" s="76"/>
      <c r="AD540" s="37"/>
      <c r="AE540" s="86">
        <f>tbl_Actual_costs_quantities34[[#This Row],[Floor Repairs]]*BOQs!$L$8</f>
        <v>0</v>
      </c>
      <c r="AF540" s="76"/>
      <c r="AG540" s="37"/>
      <c r="AH540" s="86">
        <f>tbl_Actual_costs_quantities34[[#This Row],[Doors Replacement Repair]]*BOQs!$L$9</f>
        <v>0</v>
      </c>
      <c r="AI540" s="76"/>
      <c r="AJ540" s="37"/>
      <c r="AK540" s="86">
        <f>tbl_Actual_costs_quantities34[[#This Row],[Windows Replacement Repair]]*BOQs!$L$10</f>
        <v>0</v>
      </c>
      <c r="AL540" s="76"/>
      <c r="AM540" s="37"/>
      <c r="AN540" s="86">
        <f>tbl_Actual_costs_quantities34[[#This Row],[Bathroom Rehabilitation]]*BOQs!$L$11</f>
        <v>0</v>
      </c>
      <c r="AO540" s="76"/>
      <c r="AP540" s="37"/>
      <c r="AQ540" s="86">
        <f>tbl_Actual_costs_quantities34[[#This Row],[Ceramic Tile Works WASH]]*BOQs!$L$12</f>
        <v>0</v>
      </c>
      <c r="AR540" s="76"/>
      <c r="AS540" s="37"/>
      <c r="AT540" s="86">
        <f>tbl_Actual_costs_quantities34[[#This Row],[Electrical Repairs Lighting]]*BOQs!$L$13</f>
        <v>0</v>
      </c>
      <c r="AU540" s="76"/>
      <c r="AV540" s="37"/>
      <c r="AW540" s="86">
        <f>tbl_Actual_costs_quantities34[[#This Row],[Roof Insulation Leak Sealing]]*BOQs!$L$14</f>
        <v>0</v>
      </c>
      <c r="AX540" s="76"/>
      <c r="AY540" s="37"/>
      <c r="AZ540" s="86">
        <f>tbl_Actual_costs_quantities34[[#This Row],[Chimney Duct Cleaning Repair]]*BOQs!$L$15</f>
        <v>0</v>
      </c>
      <c r="BA540" s="76"/>
      <c r="BB540" s="37"/>
      <c r="BC540" s="89">
        <f>tbl_Actual_costs_quantities34[[#This Row],[Accessibility Adaptations]]*BOQs!$L$16</f>
        <v>0</v>
      </c>
      <c r="BD540" s="41"/>
      <c r="BE540" s="37"/>
      <c r="BF540" s="37"/>
    </row>
    <row r="541" spans="2:58" ht="25.15" customHeight="1" x14ac:dyDescent="0.25">
      <c r="B541" s="49">
        <v>537</v>
      </c>
      <c r="C541" s="37"/>
      <c r="D541" s="41"/>
      <c r="E541" s="40"/>
      <c r="F541" s="87" t="str">
        <f>IF(tbl_Actual_costs_quantities34[[#This Row],[House Code]]&lt;&gt;"",INDEX(tbl_Assessment[],MATCH(tbl_Actual_costs_quantities34[[#This Row],[House Code]],tbl_Assessment[House Code],0),3),"")</f>
        <v/>
      </c>
      <c r="G541" s="116" t="str">
        <f>IF(tbl_Actual_costs_quantities34[[#This Row],[House Code]]&lt;&gt;"",INDEX(tbl_Assessment[],MATCH(tbl_Actual_costs_quantities34[[#This Row],[House Code]],tbl_Assessment[House Code],0),9),"")</f>
        <v/>
      </c>
      <c r="H541" s="41"/>
      <c r="I541" s="41"/>
      <c r="J541" s="41"/>
      <c r="K541" s="116"/>
      <c r="L541" s="117" t="str">
        <f>IF(tbl_Actual_costs_quantities34[[#This Row],[House Code]]&lt;&gt;"",tbl_Actual_costs_quantities34[[#This Row],[Total cost]]/INDEX(tbl_estimated_costs_quantities[],MATCH(tbl_Actual_costs_quantities34[[#This Row],[House Code]],tbl_estimated_costs_quantities[House Code],0),7),"")</f>
        <v/>
      </c>
      <c r="M54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1" s="75"/>
      <c r="O541" s="37"/>
      <c r="P541" s="86">
        <f>tbl_Actual_costs_quantities34[[#This Row],[Site Preparation]]*BOQs!$L$3</f>
        <v>0</v>
      </c>
      <c r="Q541" s="76"/>
      <c r="R541" s="37"/>
      <c r="S541" s="86">
        <f>tbl_Actual_costs_quantities34[[#This Row],[Demolition Removal Unsafe Structures]]*BOQs!$L$4</f>
        <v>0</v>
      </c>
      <c r="T541" s="76"/>
      <c r="U541" s="37"/>
      <c r="V541" s="86">
        <f>tbl_Actual_costs_quantities34[[#This Row],[Concrete Works]]*BOQs!$L$5</f>
        <v>0</v>
      </c>
      <c r="W541" s="76"/>
      <c r="X541" s="37"/>
      <c r="Y541" s="86">
        <f>tbl_Actual_costs_quantities34[[#This Row],[Closure External Openings Walls Windows]]*BOQs!$L$6</f>
        <v>0</v>
      </c>
      <c r="Z541" s="76"/>
      <c r="AA541" s="37"/>
      <c r="AB541" s="86">
        <f>tbl_Actual_costs_quantities34[[#This Row],[Plastering Painting]]*BOQs!$L$7</f>
        <v>0</v>
      </c>
      <c r="AC541" s="76"/>
      <c r="AD541" s="37"/>
      <c r="AE541" s="86">
        <f>tbl_Actual_costs_quantities34[[#This Row],[Floor Repairs]]*BOQs!$L$8</f>
        <v>0</v>
      </c>
      <c r="AF541" s="76"/>
      <c r="AG541" s="37"/>
      <c r="AH541" s="86">
        <f>tbl_Actual_costs_quantities34[[#This Row],[Doors Replacement Repair]]*BOQs!$L$9</f>
        <v>0</v>
      </c>
      <c r="AI541" s="76"/>
      <c r="AJ541" s="37"/>
      <c r="AK541" s="86">
        <f>tbl_Actual_costs_quantities34[[#This Row],[Windows Replacement Repair]]*BOQs!$L$10</f>
        <v>0</v>
      </c>
      <c r="AL541" s="76"/>
      <c r="AM541" s="37"/>
      <c r="AN541" s="86">
        <f>tbl_Actual_costs_quantities34[[#This Row],[Bathroom Rehabilitation]]*BOQs!$L$11</f>
        <v>0</v>
      </c>
      <c r="AO541" s="76"/>
      <c r="AP541" s="37"/>
      <c r="AQ541" s="86">
        <f>tbl_Actual_costs_quantities34[[#This Row],[Ceramic Tile Works WASH]]*BOQs!$L$12</f>
        <v>0</v>
      </c>
      <c r="AR541" s="76"/>
      <c r="AS541" s="37"/>
      <c r="AT541" s="86">
        <f>tbl_Actual_costs_quantities34[[#This Row],[Electrical Repairs Lighting]]*BOQs!$L$13</f>
        <v>0</v>
      </c>
      <c r="AU541" s="76"/>
      <c r="AV541" s="37"/>
      <c r="AW541" s="86">
        <f>tbl_Actual_costs_quantities34[[#This Row],[Roof Insulation Leak Sealing]]*BOQs!$L$14</f>
        <v>0</v>
      </c>
      <c r="AX541" s="76"/>
      <c r="AY541" s="37"/>
      <c r="AZ541" s="86">
        <f>tbl_Actual_costs_quantities34[[#This Row],[Chimney Duct Cleaning Repair]]*BOQs!$L$15</f>
        <v>0</v>
      </c>
      <c r="BA541" s="76"/>
      <c r="BB541" s="37"/>
      <c r="BC541" s="89">
        <f>tbl_Actual_costs_quantities34[[#This Row],[Accessibility Adaptations]]*BOQs!$L$16</f>
        <v>0</v>
      </c>
      <c r="BD541" s="41"/>
      <c r="BE541" s="37"/>
      <c r="BF541" s="37"/>
    </row>
    <row r="542" spans="2:58" ht="25.15" customHeight="1" x14ac:dyDescent="0.25">
      <c r="B542" s="49">
        <v>538</v>
      </c>
      <c r="C542" s="37"/>
      <c r="D542" s="41"/>
      <c r="E542" s="40"/>
      <c r="F542" s="87" t="str">
        <f>IF(tbl_Actual_costs_quantities34[[#This Row],[House Code]]&lt;&gt;"",INDEX(tbl_Assessment[],MATCH(tbl_Actual_costs_quantities34[[#This Row],[House Code]],tbl_Assessment[House Code],0),3),"")</f>
        <v/>
      </c>
      <c r="G542" s="116" t="str">
        <f>IF(tbl_Actual_costs_quantities34[[#This Row],[House Code]]&lt;&gt;"",INDEX(tbl_Assessment[],MATCH(tbl_Actual_costs_quantities34[[#This Row],[House Code]],tbl_Assessment[House Code],0),9),"")</f>
        <v/>
      </c>
      <c r="H542" s="41"/>
      <c r="I542" s="41"/>
      <c r="J542" s="41"/>
      <c r="K542" s="116"/>
      <c r="L542" s="117" t="str">
        <f>IF(tbl_Actual_costs_quantities34[[#This Row],[House Code]]&lt;&gt;"",tbl_Actual_costs_quantities34[[#This Row],[Total cost]]/INDEX(tbl_estimated_costs_quantities[],MATCH(tbl_Actual_costs_quantities34[[#This Row],[House Code]],tbl_estimated_costs_quantities[House Code],0),7),"")</f>
        <v/>
      </c>
      <c r="M54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2" s="75"/>
      <c r="O542" s="37"/>
      <c r="P542" s="86">
        <f>tbl_Actual_costs_quantities34[[#This Row],[Site Preparation]]*BOQs!$L$3</f>
        <v>0</v>
      </c>
      <c r="Q542" s="76"/>
      <c r="R542" s="37"/>
      <c r="S542" s="86">
        <f>tbl_Actual_costs_quantities34[[#This Row],[Demolition Removal Unsafe Structures]]*BOQs!$L$4</f>
        <v>0</v>
      </c>
      <c r="T542" s="76"/>
      <c r="U542" s="37"/>
      <c r="V542" s="86">
        <f>tbl_Actual_costs_quantities34[[#This Row],[Concrete Works]]*BOQs!$L$5</f>
        <v>0</v>
      </c>
      <c r="W542" s="76"/>
      <c r="X542" s="37"/>
      <c r="Y542" s="86">
        <f>tbl_Actual_costs_quantities34[[#This Row],[Closure External Openings Walls Windows]]*BOQs!$L$6</f>
        <v>0</v>
      </c>
      <c r="Z542" s="76"/>
      <c r="AA542" s="37"/>
      <c r="AB542" s="86">
        <f>tbl_Actual_costs_quantities34[[#This Row],[Plastering Painting]]*BOQs!$L$7</f>
        <v>0</v>
      </c>
      <c r="AC542" s="76"/>
      <c r="AD542" s="37"/>
      <c r="AE542" s="86">
        <f>tbl_Actual_costs_quantities34[[#This Row],[Floor Repairs]]*BOQs!$L$8</f>
        <v>0</v>
      </c>
      <c r="AF542" s="76"/>
      <c r="AG542" s="37"/>
      <c r="AH542" s="86">
        <f>tbl_Actual_costs_quantities34[[#This Row],[Doors Replacement Repair]]*BOQs!$L$9</f>
        <v>0</v>
      </c>
      <c r="AI542" s="76"/>
      <c r="AJ542" s="37"/>
      <c r="AK542" s="86">
        <f>tbl_Actual_costs_quantities34[[#This Row],[Windows Replacement Repair]]*BOQs!$L$10</f>
        <v>0</v>
      </c>
      <c r="AL542" s="76"/>
      <c r="AM542" s="37"/>
      <c r="AN542" s="86">
        <f>tbl_Actual_costs_quantities34[[#This Row],[Bathroom Rehabilitation]]*BOQs!$L$11</f>
        <v>0</v>
      </c>
      <c r="AO542" s="76"/>
      <c r="AP542" s="37"/>
      <c r="AQ542" s="86">
        <f>tbl_Actual_costs_quantities34[[#This Row],[Ceramic Tile Works WASH]]*BOQs!$L$12</f>
        <v>0</v>
      </c>
      <c r="AR542" s="76"/>
      <c r="AS542" s="37"/>
      <c r="AT542" s="86">
        <f>tbl_Actual_costs_quantities34[[#This Row],[Electrical Repairs Lighting]]*BOQs!$L$13</f>
        <v>0</v>
      </c>
      <c r="AU542" s="76"/>
      <c r="AV542" s="37"/>
      <c r="AW542" s="86">
        <f>tbl_Actual_costs_quantities34[[#This Row],[Roof Insulation Leak Sealing]]*BOQs!$L$14</f>
        <v>0</v>
      </c>
      <c r="AX542" s="76"/>
      <c r="AY542" s="37"/>
      <c r="AZ542" s="86">
        <f>tbl_Actual_costs_quantities34[[#This Row],[Chimney Duct Cleaning Repair]]*BOQs!$L$15</f>
        <v>0</v>
      </c>
      <c r="BA542" s="76"/>
      <c r="BB542" s="37"/>
      <c r="BC542" s="89">
        <f>tbl_Actual_costs_quantities34[[#This Row],[Accessibility Adaptations]]*BOQs!$L$16</f>
        <v>0</v>
      </c>
      <c r="BD542" s="41"/>
      <c r="BE542" s="37"/>
      <c r="BF542" s="37"/>
    </row>
    <row r="543" spans="2:58" ht="25.15" customHeight="1" x14ac:dyDescent="0.25">
      <c r="B543" s="49">
        <v>539</v>
      </c>
      <c r="C543" s="37"/>
      <c r="D543" s="41"/>
      <c r="E543" s="40"/>
      <c r="F543" s="87" t="str">
        <f>IF(tbl_Actual_costs_quantities34[[#This Row],[House Code]]&lt;&gt;"",INDEX(tbl_Assessment[],MATCH(tbl_Actual_costs_quantities34[[#This Row],[House Code]],tbl_Assessment[House Code],0),3),"")</f>
        <v/>
      </c>
      <c r="G543" s="116" t="str">
        <f>IF(tbl_Actual_costs_quantities34[[#This Row],[House Code]]&lt;&gt;"",INDEX(tbl_Assessment[],MATCH(tbl_Actual_costs_quantities34[[#This Row],[House Code]],tbl_Assessment[House Code],0),9),"")</f>
        <v/>
      </c>
      <c r="H543" s="41"/>
      <c r="I543" s="41"/>
      <c r="J543" s="41"/>
      <c r="K543" s="116"/>
      <c r="L543" s="117" t="str">
        <f>IF(tbl_Actual_costs_quantities34[[#This Row],[House Code]]&lt;&gt;"",tbl_Actual_costs_quantities34[[#This Row],[Total cost]]/INDEX(tbl_estimated_costs_quantities[],MATCH(tbl_Actual_costs_quantities34[[#This Row],[House Code]],tbl_estimated_costs_quantities[House Code],0),7),"")</f>
        <v/>
      </c>
      <c r="M54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3" s="75"/>
      <c r="O543" s="37"/>
      <c r="P543" s="86">
        <f>tbl_Actual_costs_quantities34[[#This Row],[Site Preparation]]*BOQs!$L$3</f>
        <v>0</v>
      </c>
      <c r="Q543" s="76"/>
      <c r="R543" s="37"/>
      <c r="S543" s="86">
        <f>tbl_Actual_costs_quantities34[[#This Row],[Demolition Removal Unsafe Structures]]*BOQs!$L$4</f>
        <v>0</v>
      </c>
      <c r="T543" s="76"/>
      <c r="U543" s="37"/>
      <c r="V543" s="86">
        <f>tbl_Actual_costs_quantities34[[#This Row],[Concrete Works]]*BOQs!$L$5</f>
        <v>0</v>
      </c>
      <c r="W543" s="76"/>
      <c r="X543" s="37"/>
      <c r="Y543" s="86">
        <f>tbl_Actual_costs_quantities34[[#This Row],[Closure External Openings Walls Windows]]*BOQs!$L$6</f>
        <v>0</v>
      </c>
      <c r="Z543" s="76"/>
      <c r="AA543" s="37"/>
      <c r="AB543" s="86">
        <f>tbl_Actual_costs_quantities34[[#This Row],[Plastering Painting]]*BOQs!$L$7</f>
        <v>0</v>
      </c>
      <c r="AC543" s="76"/>
      <c r="AD543" s="37"/>
      <c r="AE543" s="86">
        <f>tbl_Actual_costs_quantities34[[#This Row],[Floor Repairs]]*BOQs!$L$8</f>
        <v>0</v>
      </c>
      <c r="AF543" s="76"/>
      <c r="AG543" s="37"/>
      <c r="AH543" s="86">
        <f>tbl_Actual_costs_quantities34[[#This Row],[Doors Replacement Repair]]*BOQs!$L$9</f>
        <v>0</v>
      </c>
      <c r="AI543" s="76"/>
      <c r="AJ543" s="37"/>
      <c r="AK543" s="86">
        <f>tbl_Actual_costs_quantities34[[#This Row],[Windows Replacement Repair]]*BOQs!$L$10</f>
        <v>0</v>
      </c>
      <c r="AL543" s="76"/>
      <c r="AM543" s="37"/>
      <c r="AN543" s="86">
        <f>tbl_Actual_costs_quantities34[[#This Row],[Bathroom Rehabilitation]]*BOQs!$L$11</f>
        <v>0</v>
      </c>
      <c r="AO543" s="76"/>
      <c r="AP543" s="37"/>
      <c r="AQ543" s="86">
        <f>tbl_Actual_costs_quantities34[[#This Row],[Ceramic Tile Works WASH]]*BOQs!$L$12</f>
        <v>0</v>
      </c>
      <c r="AR543" s="76"/>
      <c r="AS543" s="37"/>
      <c r="AT543" s="86">
        <f>tbl_Actual_costs_quantities34[[#This Row],[Electrical Repairs Lighting]]*BOQs!$L$13</f>
        <v>0</v>
      </c>
      <c r="AU543" s="76"/>
      <c r="AV543" s="37"/>
      <c r="AW543" s="86">
        <f>tbl_Actual_costs_quantities34[[#This Row],[Roof Insulation Leak Sealing]]*BOQs!$L$14</f>
        <v>0</v>
      </c>
      <c r="AX543" s="76"/>
      <c r="AY543" s="37"/>
      <c r="AZ543" s="86">
        <f>tbl_Actual_costs_quantities34[[#This Row],[Chimney Duct Cleaning Repair]]*BOQs!$L$15</f>
        <v>0</v>
      </c>
      <c r="BA543" s="76"/>
      <c r="BB543" s="37"/>
      <c r="BC543" s="89">
        <f>tbl_Actual_costs_quantities34[[#This Row],[Accessibility Adaptations]]*BOQs!$L$16</f>
        <v>0</v>
      </c>
      <c r="BD543" s="41"/>
      <c r="BE543" s="37"/>
      <c r="BF543" s="37"/>
    </row>
    <row r="544" spans="2:58" ht="25.15" customHeight="1" x14ac:dyDescent="0.25">
      <c r="B544" s="49">
        <v>540</v>
      </c>
      <c r="C544" s="37"/>
      <c r="D544" s="41"/>
      <c r="E544" s="40"/>
      <c r="F544" s="87" t="str">
        <f>IF(tbl_Actual_costs_quantities34[[#This Row],[House Code]]&lt;&gt;"",INDEX(tbl_Assessment[],MATCH(tbl_Actual_costs_quantities34[[#This Row],[House Code]],tbl_Assessment[House Code],0),3),"")</f>
        <v/>
      </c>
      <c r="G544" s="116" t="str">
        <f>IF(tbl_Actual_costs_quantities34[[#This Row],[House Code]]&lt;&gt;"",INDEX(tbl_Assessment[],MATCH(tbl_Actual_costs_quantities34[[#This Row],[House Code]],tbl_Assessment[House Code],0),9),"")</f>
        <v/>
      </c>
      <c r="H544" s="41"/>
      <c r="I544" s="41"/>
      <c r="J544" s="41"/>
      <c r="K544" s="116"/>
      <c r="L544" s="117" t="str">
        <f>IF(tbl_Actual_costs_quantities34[[#This Row],[House Code]]&lt;&gt;"",tbl_Actual_costs_quantities34[[#This Row],[Total cost]]/INDEX(tbl_estimated_costs_quantities[],MATCH(tbl_Actual_costs_quantities34[[#This Row],[House Code]],tbl_estimated_costs_quantities[House Code],0),7),"")</f>
        <v/>
      </c>
      <c r="M54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4" s="75"/>
      <c r="O544" s="37"/>
      <c r="P544" s="86">
        <f>tbl_Actual_costs_quantities34[[#This Row],[Site Preparation]]*BOQs!$L$3</f>
        <v>0</v>
      </c>
      <c r="Q544" s="76"/>
      <c r="R544" s="37"/>
      <c r="S544" s="86">
        <f>tbl_Actual_costs_quantities34[[#This Row],[Demolition Removal Unsafe Structures]]*BOQs!$L$4</f>
        <v>0</v>
      </c>
      <c r="T544" s="76"/>
      <c r="U544" s="37"/>
      <c r="V544" s="86">
        <f>tbl_Actual_costs_quantities34[[#This Row],[Concrete Works]]*BOQs!$L$5</f>
        <v>0</v>
      </c>
      <c r="W544" s="76"/>
      <c r="X544" s="37"/>
      <c r="Y544" s="86">
        <f>tbl_Actual_costs_quantities34[[#This Row],[Closure External Openings Walls Windows]]*BOQs!$L$6</f>
        <v>0</v>
      </c>
      <c r="Z544" s="76"/>
      <c r="AA544" s="37"/>
      <c r="AB544" s="86">
        <f>tbl_Actual_costs_quantities34[[#This Row],[Plastering Painting]]*BOQs!$L$7</f>
        <v>0</v>
      </c>
      <c r="AC544" s="76"/>
      <c r="AD544" s="37"/>
      <c r="AE544" s="86">
        <f>tbl_Actual_costs_quantities34[[#This Row],[Floor Repairs]]*BOQs!$L$8</f>
        <v>0</v>
      </c>
      <c r="AF544" s="76"/>
      <c r="AG544" s="37"/>
      <c r="AH544" s="86">
        <f>tbl_Actual_costs_quantities34[[#This Row],[Doors Replacement Repair]]*BOQs!$L$9</f>
        <v>0</v>
      </c>
      <c r="AI544" s="76"/>
      <c r="AJ544" s="37"/>
      <c r="AK544" s="86">
        <f>tbl_Actual_costs_quantities34[[#This Row],[Windows Replacement Repair]]*BOQs!$L$10</f>
        <v>0</v>
      </c>
      <c r="AL544" s="76"/>
      <c r="AM544" s="37"/>
      <c r="AN544" s="86">
        <f>tbl_Actual_costs_quantities34[[#This Row],[Bathroom Rehabilitation]]*BOQs!$L$11</f>
        <v>0</v>
      </c>
      <c r="AO544" s="76"/>
      <c r="AP544" s="37"/>
      <c r="AQ544" s="86">
        <f>tbl_Actual_costs_quantities34[[#This Row],[Ceramic Tile Works WASH]]*BOQs!$L$12</f>
        <v>0</v>
      </c>
      <c r="AR544" s="76"/>
      <c r="AS544" s="37"/>
      <c r="AT544" s="86">
        <f>tbl_Actual_costs_quantities34[[#This Row],[Electrical Repairs Lighting]]*BOQs!$L$13</f>
        <v>0</v>
      </c>
      <c r="AU544" s="76"/>
      <c r="AV544" s="37"/>
      <c r="AW544" s="86">
        <f>tbl_Actual_costs_quantities34[[#This Row],[Roof Insulation Leak Sealing]]*BOQs!$L$14</f>
        <v>0</v>
      </c>
      <c r="AX544" s="76"/>
      <c r="AY544" s="37"/>
      <c r="AZ544" s="86">
        <f>tbl_Actual_costs_quantities34[[#This Row],[Chimney Duct Cleaning Repair]]*BOQs!$L$15</f>
        <v>0</v>
      </c>
      <c r="BA544" s="76"/>
      <c r="BB544" s="37"/>
      <c r="BC544" s="89">
        <f>tbl_Actual_costs_quantities34[[#This Row],[Accessibility Adaptations]]*BOQs!$L$16</f>
        <v>0</v>
      </c>
      <c r="BD544" s="41"/>
      <c r="BE544" s="37"/>
      <c r="BF544" s="37"/>
    </row>
    <row r="545" spans="2:58" ht="25.15" customHeight="1" x14ac:dyDescent="0.25">
      <c r="B545" s="49">
        <v>541</v>
      </c>
      <c r="C545" s="37"/>
      <c r="D545" s="41"/>
      <c r="E545" s="40"/>
      <c r="F545" s="87" t="str">
        <f>IF(tbl_Actual_costs_quantities34[[#This Row],[House Code]]&lt;&gt;"",INDEX(tbl_Assessment[],MATCH(tbl_Actual_costs_quantities34[[#This Row],[House Code]],tbl_Assessment[House Code],0),3),"")</f>
        <v/>
      </c>
      <c r="G545" s="116" t="str">
        <f>IF(tbl_Actual_costs_quantities34[[#This Row],[House Code]]&lt;&gt;"",INDEX(tbl_Assessment[],MATCH(tbl_Actual_costs_quantities34[[#This Row],[House Code]],tbl_Assessment[House Code],0),9),"")</f>
        <v/>
      </c>
      <c r="H545" s="41"/>
      <c r="I545" s="41"/>
      <c r="J545" s="41"/>
      <c r="K545" s="116"/>
      <c r="L545" s="117" t="str">
        <f>IF(tbl_Actual_costs_quantities34[[#This Row],[House Code]]&lt;&gt;"",tbl_Actual_costs_quantities34[[#This Row],[Total cost]]/INDEX(tbl_estimated_costs_quantities[],MATCH(tbl_Actual_costs_quantities34[[#This Row],[House Code]],tbl_estimated_costs_quantities[House Code],0),7),"")</f>
        <v/>
      </c>
      <c r="M54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5" s="75"/>
      <c r="O545" s="37"/>
      <c r="P545" s="86">
        <f>tbl_Actual_costs_quantities34[[#This Row],[Site Preparation]]*BOQs!$L$3</f>
        <v>0</v>
      </c>
      <c r="Q545" s="76"/>
      <c r="R545" s="37"/>
      <c r="S545" s="86">
        <f>tbl_Actual_costs_quantities34[[#This Row],[Demolition Removal Unsafe Structures]]*BOQs!$L$4</f>
        <v>0</v>
      </c>
      <c r="T545" s="76"/>
      <c r="U545" s="37"/>
      <c r="V545" s="86">
        <f>tbl_Actual_costs_quantities34[[#This Row],[Concrete Works]]*BOQs!$L$5</f>
        <v>0</v>
      </c>
      <c r="W545" s="76"/>
      <c r="X545" s="37"/>
      <c r="Y545" s="86">
        <f>tbl_Actual_costs_quantities34[[#This Row],[Closure External Openings Walls Windows]]*BOQs!$L$6</f>
        <v>0</v>
      </c>
      <c r="Z545" s="76"/>
      <c r="AA545" s="37"/>
      <c r="AB545" s="86">
        <f>tbl_Actual_costs_quantities34[[#This Row],[Plastering Painting]]*BOQs!$L$7</f>
        <v>0</v>
      </c>
      <c r="AC545" s="76"/>
      <c r="AD545" s="37"/>
      <c r="AE545" s="86">
        <f>tbl_Actual_costs_quantities34[[#This Row],[Floor Repairs]]*BOQs!$L$8</f>
        <v>0</v>
      </c>
      <c r="AF545" s="76"/>
      <c r="AG545" s="37"/>
      <c r="AH545" s="86">
        <f>tbl_Actual_costs_quantities34[[#This Row],[Doors Replacement Repair]]*BOQs!$L$9</f>
        <v>0</v>
      </c>
      <c r="AI545" s="76"/>
      <c r="AJ545" s="37"/>
      <c r="AK545" s="86">
        <f>tbl_Actual_costs_quantities34[[#This Row],[Windows Replacement Repair]]*BOQs!$L$10</f>
        <v>0</v>
      </c>
      <c r="AL545" s="76"/>
      <c r="AM545" s="37"/>
      <c r="AN545" s="86">
        <f>tbl_Actual_costs_quantities34[[#This Row],[Bathroom Rehabilitation]]*BOQs!$L$11</f>
        <v>0</v>
      </c>
      <c r="AO545" s="76"/>
      <c r="AP545" s="37"/>
      <c r="AQ545" s="86">
        <f>tbl_Actual_costs_quantities34[[#This Row],[Ceramic Tile Works WASH]]*BOQs!$L$12</f>
        <v>0</v>
      </c>
      <c r="AR545" s="76"/>
      <c r="AS545" s="37"/>
      <c r="AT545" s="86">
        <f>tbl_Actual_costs_quantities34[[#This Row],[Electrical Repairs Lighting]]*BOQs!$L$13</f>
        <v>0</v>
      </c>
      <c r="AU545" s="76"/>
      <c r="AV545" s="37"/>
      <c r="AW545" s="86">
        <f>tbl_Actual_costs_quantities34[[#This Row],[Roof Insulation Leak Sealing]]*BOQs!$L$14</f>
        <v>0</v>
      </c>
      <c r="AX545" s="76"/>
      <c r="AY545" s="37"/>
      <c r="AZ545" s="86">
        <f>tbl_Actual_costs_quantities34[[#This Row],[Chimney Duct Cleaning Repair]]*BOQs!$L$15</f>
        <v>0</v>
      </c>
      <c r="BA545" s="76"/>
      <c r="BB545" s="37"/>
      <c r="BC545" s="89">
        <f>tbl_Actual_costs_quantities34[[#This Row],[Accessibility Adaptations]]*BOQs!$L$16</f>
        <v>0</v>
      </c>
      <c r="BD545" s="41"/>
      <c r="BE545" s="37"/>
      <c r="BF545" s="37"/>
    </row>
    <row r="546" spans="2:58" ht="25.15" customHeight="1" x14ac:dyDescent="0.25">
      <c r="B546" s="49">
        <v>542</v>
      </c>
      <c r="C546" s="37"/>
      <c r="D546" s="41"/>
      <c r="E546" s="40"/>
      <c r="F546" s="87" t="str">
        <f>IF(tbl_Actual_costs_quantities34[[#This Row],[House Code]]&lt;&gt;"",INDEX(tbl_Assessment[],MATCH(tbl_Actual_costs_quantities34[[#This Row],[House Code]],tbl_Assessment[House Code],0),3),"")</f>
        <v/>
      </c>
      <c r="G546" s="116" t="str">
        <f>IF(tbl_Actual_costs_quantities34[[#This Row],[House Code]]&lt;&gt;"",INDEX(tbl_Assessment[],MATCH(tbl_Actual_costs_quantities34[[#This Row],[House Code]],tbl_Assessment[House Code],0),9),"")</f>
        <v/>
      </c>
      <c r="H546" s="41"/>
      <c r="I546" s="41"/>
      <c r="J546" s="41"/>
      <c r="K546" s="116"/>
      <c r="L546" s="117" t="str">
        <f>IF(tbl_Actual_costs_quantities34[[#This Row],[House Code]]&lt;&gt;"",tbl_Actual_costs_quantities34[[#This Row],[Total cost]]/INDEX(tbl_estimated_costs_quantities[],MATCH(tbl_Actual_costs_quantities34[[#This Row],[House Code]],tbl_estimated_costs_quantities[House Code],0),7),"")</f>
        <v/>
      </c>
      <c r="M54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6" s="75"/>
      <c r="O546" s="37"/>
      <c r="P546" s="86">
        <f>tbl_Actual_costs_quantities34[[#This Row],[Site Preparation]]*BOQs!$L$3</f>
        <v>0</v>
      </c>
      <c r="Q546" s="76"/>
      <c r="R546" s="37"/>
      <c r="S546" s="86">
        <f>tbl_Actual_costs_quantities34[[#This Row],[Demolition Removal Unsafe Structures]]*BOQs!$L$4</f>
        <v>0</v>
      </c>
      <c r="T546" s="76"/>
      <c r="U546" s="37"/>
      <c r="V546" s="86">
        <f>tbl_Actual_costs_quantities34[[#This Row],[Concrete Works]]*BOQs!$L$5</f>
        <v>0</v>
      </c>
      <c r="W546" s="76"/>
      <c r="X546" s="37"/>
      <c r="Y546" s="86">
        <f>tbl_Actual_costs_quantities34[[#This Row],[Closure External Openings Walls Windows]]*BOQs!$L$6</f>
        <v>0</v>
      </c>
      <c r="Z546" s="76"/>
      <c r="AA546" s="37"/>
      <c r="AB546" s="86">
        <f>tbl_Actual_costs_quantities34[[#This Row],[Plastering Painting]]*BOQs!$L$7</f>
        <v>0</v>
      </c>
      <c r="AC546" s="76"/>
      <c r="AD546" s="37"/>
      <c r="AE546" s="86">
        <f>tbl_Actual_costs_quantities34[[#This Row],[Floor Repairs]]*BOQs!$L$8</f>
        <v>0</v>
      </c>
      <c r="AF546" s="76"/>
      <c r="AG546" s="37"/>
      <c r="AH546" s="86">
        <f>tbl_Actual_costs_quantities34[[#This Row],[Doors Replacement Repair]]*BOQs!$L$9</f>
        <v>0</v>
      </c>
      <c r="AI546" s="76"/>
      <c r="AJ546" s="37"/>
      <c r="AK546" s="86">
        <f>tbl_Actual_costs_quantities34[[#This Row],[Windows Replacement Repair]]*BOQs!$L$10</f>
        <v>0</v>
      </c>
      <c r="AL546" s="76"/>
      <c r="AM546" s="37"/>
      <c r="AN546" s="86">
        <f>tbl_Actual_costs_quantities34[[#This Row],[Bathroom Rehabilitation]]*BOQs!$L$11</f>
        <v>0</v>
      </c>
      <c r="AO546" s="76"/>
      <c r="AP546" s="37"/>
      <c r="AQ546" s="86">
        <f>tbl_Actual_costs_quantities34[[#This Row],[Ceramic Tile Works WASH]]*BOQs!$L$12</f>
        <v>0</v>
      </c>
      <c r="AR546" s="76"/>
      <c r="AS546" s="37"/>
      <c r="AT546" s="86">
        <f>tbl_Actual_costs_quantities34[[#This Row],[Electrical Repairs Lighting]]*BOQs!$L$13</f>
        <v>0</v>
      </c>
      <c r="AU546" s="76"/>
      <c r="AV546" s="37"/>
      <c r="AW546" s="86">
        <f>tbl_Actual_costs_quantities34[[#This Row],[Roof Insulation Leak Sealing]]*BOQs!$L$14</f>
        <v>0</v>
      </c>
      <c r="AX546" s="76"/>
      <c r="AY546" s="37"/>
      <c r="AZ546" s="86">
        <f>tbl_Actual_costs_quantities34[[#This Row],[Chimney Duct Cleaning Repair]]*BOQs!$L$15</f>
        <v>0</v>
      </c>
      <c r="BA546" s="76"/>
      <c r="BB546" s="37"/>
      <c r="BC546" s="89">
        <f>tbl_Actual_costs_quantities34[[#This Row],[Accessibility Adaptations]]*BOQs!$L$16</f>
        <v>0</v>
      </c>
      <c r="BD546" s="41"/>
      <c r="BE546" s="37"/>
      <c r="BF546" s="37"/>
    </row>
    <row r="547" spans="2:58" ht="25.15" customHeight="1" x14ac:dyDescent="0.25">
      <c r="B547" s="49">
        <v>543</v>
      </c>
      <c r="C547" s="37"/>
      <c r="D547" s="41"/>
      <c r="E547" s="40"/>
      <c r="F547" s="87" t="str">
        <f>IF(tbl_Actual_costs_quantities34[[#This Row],[House Code]]&lt;&gt;"",INDEX(tbl_Assessment[],MATCH(tbl_Actual_costs_quantities34[[#This Row],[House Code]],tbl_Assessment[House Code],0),3),"")</f>
        <v/>
      </c>
      <c r="G547" s="116" t="str">
        <f>IF(tbl_Actual_costs_quantities34[[#This Row],[House Code]]&lt;&gt;"",INDEX(tbl_Assessment[],MATCH(tbl_Actual_costs_quantities34[[#This Row],[House Code]],tbl_Assessment[House Code],0),9),"")</f>
        <v/>
      </c>
      <c r="H547" s="41"/>
      <c r="I547" s="41"/>
      <c r="J547" s="41"/>
      <c r="K547" s="116"/>
      <c r="L547" s="117" t="str">
        <f>IF(tbl_Actual_costs_quantities34[[#This Row],[House Code]]&lt;&gt;"",tbl_Actual_costs_quantities34[[#This Row],[Total cost]]/INDEX(tbl_estimated_costs_quantities[],MATCH(tbl_Actual_costs_quantities34[[#This Row],[House Code]],tbl_estimated_costs_quantities[House Code],0),7),"")</f>
        <v/>
      </c>
      <c r="M54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7" s="75"/>
      <c r="O547" s="37"/>
      <c r="P547" s="86">
        <f>tbl_Actual_costs_quantities34[[#This Row],[Site Preparation]]*BOQs!$L$3</f>
        <v>0</v>
      </c>
      <c r="Q547" s="76"/>
      <c r="R547" s="37"/>
      <c r="S547" s="86">
        <f>tbl_Actual_costs_quantities34[[#This Row],[Demolition Removal Unsafe Structures]]*BOQs!$L$4</f>
        <v>0</v>
      </c>
      <c r="T547" s="76"/>
      <c r="U547" s="37"/>
      <c r="V547" s="86">
        <f>tbl_Actual_costs_quantities34[[#This Row],[Concrete Works]]*BOQs!$L$5</f>
        <v>0</v>
      </c>
      <c r="W547" s="76"/>
      <c r="X547" s="37"/>
      <c r="Y547" s="86">
        <f>tbl_Actual_costs_quantities34[[#This Row],[Closure External Openings Walls Windows]]*BOQs!$L$6</f>
        <v>0</v>
      </c>
      <c r="Z547" s="76"/>
      <c r="AA547" s="37"/>
      <c r="AB547" s="86">
        <f>tbl_Actual_costs_quantities34[[#This Row],[Plastering Painting]]*BOQs!$L$7</f>
        <v>0</v>
      </c>
      <c r="AC547" s="76"/>
      <c r="AD547" s="37"/>
      <c r="AE547" s="86">
        <f>tbl_Actual_costs_quantities34[[#This Row],[Floor Repairs]]*BOQs!$L$8</f>
        <v>0</v>
      </c>
      <c r="AF547" s="76"/>
      <c r="AG547" s="37"/>
      <c r="AH547" s="86">
        <f>tbl_Actual_costs_quantities34[[#This Row],[Doors Replacement Repair]]*BOQs!$L$9</f>
        <v>0</v>
      </c>
      <c r="AI547" s="76"/>
      <c r="AJ547" s="37"/>
      <c r="AK547" s="86">
        <f>tbl_Actual_costs_quantities34[[#This Row],[Windows Replacement Repair]]*BOQs!$L$10</f>
        <v>0</v>
      </c>
      <c r="AL547" s="76"/>
      <c r="AM547" s="37"/>
      <c r="AN547" s="86">
        <f>tbl_Actual_costs_quantities34[[#This Row],[Bathroom Rehabilitation]]*BOQs!$L$11</f>
        <v>0</v>
      </c>
      <c r="AO547" s="76"/>
      <c r="AP547" s="37"/>
      <c r="AQ547" s="86">
        <f>tbl_Actual_costs_quantities34[[#This Row],[Ceramic Tile Works WASH]]*BOQs!$L$12</f>
        <v>0</v>
      </c>
      <c r="AR547" s="76"/>
      <c r="AS547" s="37"/>
      <c r="AT547" s="86">
        <f>tbl_Actual_costs_quantities34[[#This Row],[Electrical Repairs Lighting]]*BOQs!$L$13</f>
        <v>0</v>
      </c>
      <c r="AU547" s="76"/>
      <c r="AV547" s="37"/>
      <c r="AW547" s="86">
        <f>tbl_Actual_costs_quantities34[[#This Row],[Roof Insulation Leak Sealing]]*BOQs!$L$14</f>
        <v>0</v>
      </c>
      <c r="AX547" s="76"/>
      <c r="AY547" s="37"/>
      <c r="AZ547" s="86">
        <f>tbl_Actual_costs_quantities34[[#This Row],[Chimney Duct Cleaning Repair]]*BOQs!$L$15</f>
        <v>0</v>
      </c>
      <c r="BA547" s="76"/>
      <c r="BB547" s="37"/>
      <c r="BC547" s="89">
        <f>tbl_Actual_costs_quantities34[[#This Row],[Accessibility Adaptations]]*BOQs!$L$16</f>
        <v>0</v>
      </c>
      <c r="BD547" s="41"/>
      <c r="BE547" s="37"/>
      <c r="BF547" s="37"/>
    </row>
    <row r="548" spans="2:58" ht="25.15" customHeight="1" x14ac:dyDescent="0.25">
      <c r="B548" s="49">
        <v>544</v>
      </c>
      <c r="C548" s="37"/>
      <c r="D548" s="41"/>
      <c r="E548" s="40"/>
      <c r="F548" s="87" t="str">
        <f>IF(tbl_Actual_costs_quantities34[[#This Row],[House Code]]&lt;&gt;"",INDEX(tbl_Assessment[],MATCH(tbl_Actual_costs_quantities34[[#This Row],[House Code]],tbl_Assessment[House Code],0),3),"")</f>
        <v/>
      </c>
      <c r="G548" s="116" t="str">
        <f>IF(tbl_Actual_costs_quantities34[[#This Row],[House Code]]&lt;&gt;"",INDEX(tbl_Assessment[],MATCH(tbl_Actual_costs_quantities34[[#This Row],[House Code]],tbl_Assessment[House Code],0),9),"")</f>
        <v/>
      </c>
      <c r="H548" s="41"/>
      <c r="I548" s="41"/>
      <c r="J548" s="41"/>
      <c r="K548" s="116"/>
      <c r="L548" s="117" t="str">
        <f>IF(tbl_Actual_costs_quantities34[[#This Row],[House Code]]&lt;&gt;"",tbl_Actual_costs_quantities34[[#This Row],[Total cost]]/INDEX(tbl_estimated_costs_quantities[],MATCH(tbl_Actual_costs_quantities34[[#This Row],[House Code]],tbl_estimated_costs_quantities[House Code],0),7),"")</f>
        <v/>
      </c>
      <c r="M54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8" s="75"/>
      <c r="O548" s="37"/>
      <c r="P548" s="86">
        <f>tbl_Actual_costs_quantities34[[#This Row],[Site Preparation]]*BOQs!$L$3</f>
        <v>0</v>
      </c>
      <c r="Q548" s="76"/>
      <c r="R548" s="37"/>
      <c r="S548" s="86">
        <f>tbl_Actual_costs_quantities34[[#This Row],[Demolition Removal Unsafe Structures]]*BOQs!$L$4</f>
        <v>0</v>
      </c>
      <c r="T548" s="76"/>
      <c r="U548" s="37"/>
      <c r="V548" s="86">
        <f>tbl_Actual_costs_quantities34[[#This Row],[Concrete Works]]*BOQs!$L$5</f>
        <v>0</v>
      </c>
      <c r="W548" s="76"/>
      <c r="X548" s="37"/>
      <c r="Y548" s="86">
        <f>tbl_Actual_costs_quantities34[[#This Row],[Closure External Openings Walls Windows]]*BOQs!$L$6</f>
        <v>0</v>
      </c>
      <c r="Z548" s="76"/>
      <c r="AA548" s="37"/>
      <c r="AB548" s="86">
        <f>tbl_Actual_costs_quantities34[[#This Row],[Plastering Painting]]*BOQs!$L$7</f>
        <v>0</v>
      </c>
      <c r="AC548" s="76"/>
      <c r="AD548" s="37"/>
      <c r="AE548" s="86">
        <f>tbl_Actual_costs_quantities34[[#This Row],[Floor Repairs]]*BOQs!$L$8</f>
        <v>0</v>
      </c>
      <c r="AF548" s="76"/>
      <c r="AG548" s="37"/>
      <c r="AH548" s="86">
        <f>tbl_Actual_costs_quantities34[[#This Row],[Doors Replacement Repair]]*BOQs!$L$9</f>
        <v>0</v>
      </c>
      <c r="AI548" s="76"/>
      <c r="AJ548" s="37"/>
      <c r="AK548" s="86">
        <f>tbl_Actual_costs_quantities34[[#This Row],[Windows Replacement Repair]]*BOQs!$L$10</f>
        <v>0</v>
      </c>
      <c r="AL548" s="76"/>
      <c r="AM548" s="37"/>
      <c r="AN548" s="86">
        <f>tbl_Actual_costs_quantities34[[#This Row],[Bathroom Rehabilitation]]*BOQs!$L$11</f>
        <v>0</v>
      </c>
      <c r="AO548" s="76"/>
      <c r="AP548" s="37"/>
      <c r="AQ548" s="86">
        <f>tbl_Actual_costs_quantities34[[#This Row],[Ceramic Tile Works WASH]]*BOQs!$L$12</f>
        <v>0</v>
      </c>
      <c r="AR548" s="76"/>
      <c r="AS548" s="37"/>
      <c r="AT548" s="86">
        <f>tbl_Actual_costs_quantities34[[#This Row],[Electrical Repairs Lighting]]*BOQs!$L$13</f>
        <v>0</v>
      </c>
      <c r="AU548" s="76"/>
      <c r="AV548" s="37"/>
      <c r="AW548" s="86">
        <f>tbl_Actual_costs_quantities34[[#This Row],[Roof Insulation Leak Sealing]]*BOQs!$L$14</f>
        <v>0</v>
      </c>
      <c r="AX548" s="76"/>
      <c r="AY548" s="37"/>
      <c r="AZ548" s="86">
        <f>tbl_Actual_costs_quantities34[[#This Row],[Chimney Duct Cleaning Repair]]*BOQs!$L$15</f>
        <v>0</v>
      </c>
      <c r="BA548" s="76"/>
      <c r="BB548" s="37"/>
      <c r="BC548" s="89">
        <f>tbl_Actual_costs_quantities34[[#This Row],[Accessibility Adaptations]]*BOQs!$L$16</f>
        <v>0</v>
      </c>
      <c r="BD548" s="41"/>
      <c r="BE548" s="37"/>
      <c r="BF548" s="37"/>
    </row>
    <row r="549" spans="2:58" ht="25.15" customHeight="1" x14ac:dyDescent="0.25">
      <c r="B549" s="49">
        <v>545</v>
      </c>
      <c r="C549" s="37"/>
      <c r="D549" s="41"/>
      <c r="E549" s="40"/>
      <c r="F549" s="87" t="str">
        <f>IF(tbl_Actual_costs_quantities34[[#This Row],[House Code]]&lt;&gt;"",INDEX(tbl_Assessment[],MATCH(tbl_Actual_costs_quantities34[[#This Row],[House Code]],tbl_Assessment[House Code],0),3),"")</f>
        <v/>
      </c>
      <c r="G549" s="116" t="str">
        <f>IF(tbl_Actual_costs_quantities34[[#This Row],[House Code]]&lt;&gt;"",INDEX(tbl_Assessment[],MATCH(tbl_Actual_costs_quantities34[[#This Row],[House Code]],tbl_Assessment[House Code],0),9),"")</f>
        <v/>
      </c>
      <c r="H549" s="41"/>
      <c r="I549" s="41"/>
      <c r="J549" s="41"/>
      <c r="K549" s="116"/>
      <c r="L549" s="117" t="str">
        <f>IF(tbl_Actual_costs_quantities34[[#This Row],[House Code]]&lt;&gt;"",tbl_Actual_costs_quantities34[[#This Row],[Total cost]]/INDEX(tbl_estimated_costs_quantities[],MATCH(tbl_Actual_costs_quantities34[[#This Row],[House Code]],tbl_estimated_costs_quantities[House Code],0),7),"")</f>
        <v/>
      </c>
      <c r="M54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49" s="75"/>
      <c r="O549" s="37"/>
      <c r="P549" s="86">
        <f>tbl_Actual_costs_quantities34[[#This Row],[Site Preparation]]*BOQs!$L$3</f>
        <v>0</v>
      </c>
      <c r="Q549" s="76"/>
      <c r="R549" s="37"/>
      <c r="S549" s="86">
        <f>tbl_Actual_costs_quantities34[[#This Row],[Demolition Removal Unsafe Structures]]*BOQs!$L$4</f>
        <v>0</v>
      </c>
      <c r="T549" s="76"/>
      <c r="U549" s="37"/>
      <c r="V549" s="86">
        <f>tbl_Actual_costs_quantities34[[#This Row],[Concrete Works]]*BOQs!$L$5</f>
        <v>0</v>
      </c>
      <c r="W549" s="76"/>
      <c r="X549" s="37"/>
      <c r="Y549" s="86">
        <f>tbl_Actual_costs_quantities34[[#This Row],[Closure External Openings Walls Windows]]*BOQs!$L$6</f>
        <v>0</v>
      </c>
      <c r="Z549" s="76"/>
      <c r="AA549" s="37"/>
      <c r="AB549" s="86">
        <f>tbl_Actual_costs_quantities34[[#This Row],[Plastering Painting]]*BOQs!$L$7</f>
        <v>0</v>
      </c>
      <c r="AC549" s="76"/>
      <c r="AD549" s="37"/>
      <c r="AE549" s="86">
        <f>tbl_Actual_costs_quantities34[[#This Row],[Floor Repairs]]*BOQs!$L$8</f>
        <v>0</v>
      </c>
      <c r="AF549" s="76"/>
      <c r="AG549" s="37"/>
      <c r="AH549" s="86">
        <f>tbl_Actual_costs_quantities34[[#This Row],[Doors Replacement Repair]]*BOQs!$L$9</f>
        <v>0</v>
      </c>
      <c r="AI549" s="76"/>
      <c r="AJ549" s="37"/>
      <c r="AK549" s="86">
        <f>tbl_Actual_costs_quantities34[[#This Row],[Windows Replacement Repair]]*BOQs!$L$10</f>
        <v>0</v>
      </c>
      <c r="AL549" s="76"/>
      <c r="AM549" s="37"/>
      <c r="AN549" s="86">
        <f>tbl_Actual_costs_quantities34[[#This Row],[Bathroom Rehabilitation]]*BOQs!$L$11</f>
        <v>0</v>
      </c>
      <c r="AO549" s="76"/>
      <c r="AP549" s="37"/>
      <c r="AQ549" s="86">
        <f>tbl_Actual_costs_quantities34[[#This Row],[Ceramic Tile Works WASH]]*BOQs!$L$12</f>
        <v>0</v>
      </c>
      <c r="AR549" s="76"/>
      <c r="AS549" s="37"/>
      <c r="AT549" s="86">
        <f>tbl_Actual_costs_quantities34[[#This Row],[Electrical Repairs Lighting]]*BOQs!$L$13</f>
        <v>0</v>
      </c>
      <c r="AU549" s="76"/>
      <c r="AV549" s="37"/>
      <c r="AW549" s="86">
        <f>tbl_Actual_costs_quantities34[[#This Row],[Roof Insulation Leak Sealing]]*BOQs!$L$14</f>
        <v>0</v>
      </c>
      <c r="AX549" s="76"/>
      <c r="AY549" s="37"/>
      <c r="AZ549" s="86">
        <f>tbl_Actual_costs_quantities34[[#This Row],[Chimney Duct Cleaning Repair]]*BOQs!$L$15</f>
        <v>0</v>
      </c>
      <c r="BA549" s="76"/>
      <c r="BB549" s="37"/>
      <c r="BC549" s="89">
        <f>tbl_Actual_costs_quantities34[[#This Row],[Accessibility Adaptations]]*BOQs!$L$16</f>
        <v>0</v>
      </c>
      <c r="BD549" s="41"/>
      <c r="BE549" s="37"/>
      <c r="BF549" s="37"/>
    </row>
    <row r="550" spans="2:58" ht="25.15" customHeight="1" x14ac:dyDescent="0.25">
      <c r="B550" s="49">
        <v>546</v>
      </c>
      <c r="C550" s="37"/>
      <c r="D550" s="41"/>
      <c r="E550" s="40"/>
      <c r="F550" s="87" t="str">
        <f>IF(tbl_Actual_costs_quantities34[[#This Row],[House Code]]&lt;&gt;"",INDEX(tbl_Assessment[],MATCH(tbl_Actual_costs_quantities34[[#This Row],[House Code]],tbl_Assessment[House Code],0),3),"")</f>
        <v/>
      </c>
      <c r="G550" s="116" t="str">
        <f>IF(tbl_Actual_costs_quantities34[[#This Row],[House Code]]&lt;&gt;"",INDEX(tbl_Assessment[],MATCH(tbl_Actual_costs_quantities34[[#This Row],[House Code]],tbl_Assessment[House Code],0),9),"")</f>
        <v/>
      </c>
      <c r="H550" s="41"/>
      <c r="I550" s="41"/>
      <c r="J550" s="41"/>
      <c r="K550" s="116"/>
      <c r="L550" s="117" t="str">
        <f>IF(tbl_Actual_costs_quantities34[[#This Row],[House Code]]&lt;&gt;"",tbl_Actual_costs_quantities34[[#This Row],[Total cost]]/INDEX(tbl_estimated_costs_quantities[],MATCH(tbl_Actual_costs_quantities34[[#This Row],[House Code]],tbl_estimated_costs_quantities[House Code],0),7),"")</f>
        <v/>
      </c>
      <c r="M55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0" s="75"/>
      <c r="O550" s="37"/>
      <c r="P550" s="86">
        <f>tbl_Actual_costs_quantities34[[#This Row],[Site Preparation]]*BOQs!$L$3</f>
        <v>0</v>
      </c>
      <c r="Q550" s="76"/>
      <c r="R550" s="37"/>
      <c r="S550" s="86">
        <f>tbl_Actual_costs_quantities34[[#This Row],[Demolition Removal Unsafe Structures]]*BOQs!$L$4</f>
        <v>0</v>
      </c>
      <c r="T550" s="76"/>
      <c r="U550" s="37"/>
      <c r="V550" s="86">
        <f>tbl_Actual_costs_quantities34[[#This Row],[Concrete Works]]*BOQs!$L$5</f>
        <v>0</v>
      </c>
      <c r="W550" s="76"/>
      <c r="X550" s="37"/>
      <c r="Y550" s="86">
        <f>tbl_Actual_costs_quantities34[[#This Row],[Closure External Openings Walls Windows]]*BOQs!$L$6</f>
        <v>0</v>
      </c>
      <c r="Z550" s="76"/>
      <c r="AA550" s="37"/>
      <c r="AB550" s="86">
        <f>tbl_Actual_costs_quantities34[[#This Row],[Plastering Painting]]*BOQs!$L$7</f>
        <v>0</v>
      </c>
      <c r="AC550" s="76"/>
      <c r="AD550" s="37"/>
      <c r="AE550" s="86">
        <f>tbl_Actual_costs_quantities34[[#This Row],[Floor Repairs]]*BOQs!$L$8</f>
        <v>0</v>
      </c>
      <c r="AF550" s="76"/>
      <c r="AG550" s="37"/>
      <c r="AH550" s="86">
        <f>tbl_Actual_costs_quantities34[[#This Row],[Doors Replacement Repair]]*BOQs!$L$9</f>
        <v>0</v>
      </c>
      <c r="AI550" s="76"/>
      <c r="AJ550" s="37"/>
      <c r="AK550" s="86">
        <f>tbl_Actual_costs_quantities34[[#This Row],[Windows Replacement Repair]]*BOQs!$L$10</f>
        <v>0</v>
      </c>
      <c r="AL550" s="76"/>
      <c r="AM550" s="37"/>
      <c r="AN550" s="86">
        <f>tbl_Actual_costs_quantities34[[#This Row],[Bathroom Rehabilitation]]*BOQs!$L$11</f>
        <v>0</v>
      </c>
      <c r="AO550" s="76"/>
      <c r="AP550" s="37"/>
      <c r="AQ550" s="86">
        <f>tbl_Actual_costs_quantities34[[#This Row],[Ceramic Tile Works WASH]]*BOQs!$L$12</f>
        <v>0</v>
      </c>
      <c r="AR550" s="76"/>
      <c r="AS550" s="37"/>
      <c r="AT550" s="86">
        <f>tbl_Actual_costs_quantities34[[#This Row],[Electrical Repairs Lighting]]*BOQs!$L$13</f>
        <v>0</v>
      </c>
      <c r="AU550" s="76"/>
      <c r="AV550" s="37"/>
      <c r="AW550" s="86">
        <f>tbl_Actual_costs_quantities34[[#This Row],[Roof Insulation Leak Sealing]]*BOQs!$L$14</f>
        <v>0</v>
      </c>
      <c r="AX550" s="76"/>
      <c r="AY550" s="37"/>
      <c r="AZ550" s="86">
        <f>tbl_Actual_costs_quantities34[[#This Row],[Chimney Duct Cleaning Repair]]*BOQs!$L$15</f>
        <v>0</v>
      </c>
      <c r="BA550" s="76"/>
      <c r="BB550" s="37"/>
      <c r="BC550" s="89">
        <f>tbl_Actual_costs_quantities34[[#This Row],[Accessibility Adaptations]]*BOQs!$L$16</f>
        <v>0</v>
      </c>
      <c r="BD550" s="41"/>
      <c r="BE550" s="37"/>
      <c r="BF550" s="37"/>
    </row>
    <row r="551" spans="2:58" ht="25.15" customHeight="1" x14ac:dyDescent="0.25">
      <c r="B551" s="49">
        <v>547</v>
      </c>
      <c r="C551" s="37"/>
      <c r="D551" s="41"/>
      <c r="E551" s="40"/>
      <c r="F551" s="87" t="str">
        <f>IF(tbl_Actual_costs_quantities34[[#This Row],[House Code]]&lt;&gt;"",INDEX(tbl_Assessment[],MATCH(tbl_Actual_costs_quantities34[[#This Row],[House Code]],tbl_Assessment[House Code],0),3),"")</f>
        <v/>
      </c>
      <c r="G551" s="116" t="str">
        <f>IF(tbl_Actual_costs_quantities34[[#This Row],[House Code]]&lt;&gt;"",INDEX(tbl_Assessment[],MATCH(tbl_Actual_costs_quantities34[[#This Row],[House Code]],tbl_Assessment[House Code],0),9),"")</f>
        <v/>
      </c>
      <c r="H551" s="41"/>
      <c r="I551" s="41"/>
      <c r="J551" s="41"/>
      <c r="K551" s="116"/>
      <c r="L551" s="117" t="str">
        <f>IF(tbl_Actual_costs_quantities34[[#This Row],[House Code]]&lt;&gt;"",tbl_Actual_costs_quantities34[[#This Row],[Total cost]]/INDEX(tbl_estimated_costs_quantities[],MATCH(tbl_Actual_costs_quantities34[[#This Row],[House Code]],tbl_estimated_costs_quantities[House Code],0),7),"")</f>
        <v/>
      </c>
      <c r="M55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1" s="75"/>
      <c r="O551" s="37"/>
      <c r="P551" s="86">
        <f>tbl_Actual_costs_quantities34[[#This Row],[Site Preparation]]*BOQs!$L$3</f>
        <v>0</v>
      </c>
      <c r="Q551" s="76"/>
      <c r="R551" s="37"/>
      <c r="S551" s="86">
        <f>tbl_Actual_costs_quantities34[[#This Row],[Demolition Removal Unsafe Structures]]*BOQs!$L$4</f>
        <v>0</v>
      </c>
      <c r="T551" s="76"/>
      <c r="U551" s="37"/>
      <c r="V551" s="86">
        <f>tbl_Actual_costs_quantities34[[#This Row],[Concrete Works]]*BOQs!$L$5</f>
        <v>0</v>
      </c>
      <c r="W551" s="76"/>
      <c r="X551" s="37"/>
      <c r="Y551" s="86">
        <f>tbl_Actual_costs_quantities34[[#This Row],[Closure External Openings Walls Windows]]*BOQs!$L$6</f>
        <v>0</v>
      </c>
      <c r="Z551" s="76"/>
      <c r="AA551" s="37"/>
      <c r="AB551" s="86">
        <f>tbl_Actual_costs_quantities34[[#This Row],[Plastering Painting]]*BOQs!$L$7</f>
        <v>0</v>
      </c>
      <c r="AC551" s="76"/>
      <c r="AD551" s="37"/>
      <c r="AE551" s="86">
        <f>tbl_Actual_costs_quantities34[[#This Row],[Floor Repairs]]*BOQs!$L$8</f>
        <v>0</v>
      </c>
      <c r="AF551" s="76"/>
      <c r="AG551" s="37"/>
      <c r="AH551" s="86">
        <f>tbl_Actual_costs_quantities34[[#This Row],[Doors Replacement Repair]]*BOQs!$L$9</f>
        <v>0</v>
      </c>
      <c r="AI551" s="76"/>
      <c r="AJ551" s="37"/>
      <c r="AK551" s="86">
        <f>tbl_Actual_costs_quantities34[[#This Row],[Windows Replacement Repair]]*BOQs!$L$10</f>
        <v>0</v>
      </c>
      <c r="AL551" s="76"/>
      <c r="AM551" s="37"/>
      <c r="AN551" s="86">
        <f>tbl_Actual_costs_quantities34[[#This Row],[Bathroom Rehabilitation]]*BOQs!$L$11</f>
        <v>0</v>
      </c>
      <c r="AO551" s="76"/>
      <c r="AP551" s="37"/>
      <c r="AQ551" s="86">
        <f>tbl_Actual_costs_quantities34[[#This Row],[Ceramic Tile Works WASH]]*BOQs!$L$12</f>
        <v>0</v>
      </c>
      <c r="AR551" s="76"/>
      <c r="AS551" s="37"/>
      <c r="AT551" s="86">
        <f>tbl_Actual_costs_quantities34[[#This Row],[Electrical Repairs Lighting]]*BOQs!$L$13</f>
        <v>0</v>
      </c>
      <c r="AU551" s="76"/>
      <c r="AV551" s="37"/>
      <c r="AW551" s="86">
        <f>tbl_Actual_costs_quantities34[[#This Row],[Roof Insulation Leak Sealing]]*BOQs!$L$14</f>
        <v>0</v>
      </c>
      <c r="AX551" s="76"/>
      <c r="AY551" s="37"/>
      <c r="AZ551" s="86">
        <f>tbl_Actual_costs_quantities34[[#This Row],[Chimney Duct Cleaning Repair]]*BOQs!$L$15</f>
        <v>0</v>
      </c>
      <c r="BA551" s="76"/>
      <c r="BB551" s="37"/>
      <c r="BC551" s="89">
        <f>tbl_Actual_costs_quantities34[[#This Row],[Accessibility Adaptations]]*BOQs!$L$16</f>
        <v>0</v>
      </c>
      <c r="BD551" s="41"/>
      <c r="BE551" s="37"/>
      <c r="BF551" s="37"/>
    </row>
    <row r="552" spans="2:58" ht="25.15" customHeight="1" x14ac:dyDescent="0.25">
      <c r="B552" s="49">
        <v>548</v>
      </c>
      <c r="C552" s="37"/>
      <c r="D552" s="41"/>
      <c r="E552" s="40"/>
      <c r="F552" s="87" t="str">
        <f>IF(tbl_Actual_costs_quantities34[[#This Row],[House Code]]&lt;&gt;"",INDEX(tbl_Assessment[],MATCH(tbl_Actual_costs_quantities34[[#This Row],[House Code]],tbl_Assessment[House Code],0),3),"")</f>
        <v/>
      </c>
      <c r="G552" s="116" t="str">
        <f>IF(tbl_Actual_costs_quantities34[[#This Row],[House Code]]&lt;&gt;"",INDEX(tbl_Assessment[],MATCH(tbl_Actual_costs_quantities34[[#This Row],[House Code]],tbl_Assessment[House Code],0),9),"")</f>
        <v/>
      </c>
      <c r="H552" s="41"/>
      <c r="I552" s="41"/>
      <c r="J552" s="41"/>
      <c r="K552" s="116"/>
      <c r="L552" s="117" t="str">
        <f>IF(tbl_Actual_costs_quantities34[[#This Row],[House Code]]&lt;&gt;"",tbl_Actual_costs_quantities34[[#This Row],[Total cost]]/INDEX(tbl_estimated_costs_quantities[],MATCH(tbl_Actual_costs_quantities34[[#This Row],[House Code]],tbl_estimated_costs_quantities[House Code],0),7),"")</f>
        <v/>
      </c>
      <c r="M55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2" s="75"/>
      <c r="O552" s="37"/>
      <c r="P552" s="86">
        <f>tbl_Actual_costs_quantities34[[#This Row],[Site Preparation]]*BOQs!$L$3</f>
        <v>0</v>
      </c>
      <c r="Q552" s="76"/>
      <c r="R552" s="37"/>
      <c r="S552" s="86">
        <f>tbl_Actual_costs_quantities34[[#This Row],[Demolition Removal Unsafe Structures]]*BOQs!$L$4</f>
        <v>0</v>
      </c>
      <c r="T552" s="76"/>
      <c r="U552" s="37"/>
      <c r="V552" s="86">
        <f>tbl_Actual_costs_quantities34[[#This Row],[Concrete Works]]*BOQs!$L$5</f>
        <v>0</v>
      </c>
      <c r="W552" s="76"/>
      <c r="X552" s="37"/>
      <c r="Y552" s="86">
        <f>tbl_Actual_costs_quantities34[[#This Row],[Closure External Openings Walls Windows]]*BOQs!$L$6</f>
        <v>0</v>
      </c>
      <c r="Z552" s="76"/>
      <c r="AA552" s="37"/>
      <c r="AB552" s="86">
        <f>tbl_Actual_costs_quantities34[[#This Row],[Plastering Painting]]*BOQs!$L$7</f>
        <v>0</v>
      </c>
      <c r="AC552" s="76"/>
      <c r="AD552" s="37"/>
      <c r="AE552" s="86">
        <f>tbl_Actual_costs_quantities34[[#This Row],[Floor Repairs]]*BOQs!$L$8</f>
        <v>0</v>
      </c>
      <c r="AF552" s="76"/>
      <c r="AG552" s="37"/>
      <c r="AH552" s="86">
        <f>tbl_Actual_costs_quantities34[[#This Row],[Doors Replacement Repair]]*BOQs!$L$9</f>
        <v>0</v>
      </c>
      <c r="AI552" s="76"/>
      <c r="AJ552" s="37"/>
      <c r="AK552" s="86">
        <f>tbl_Actual_costs_quantities34[[#This Row],[Windows Replacement Repair]]*BOQs!$L$10</f>
        <v>0</v>
      </c>
      <c r="AL552" s="76"/>
      <c r="AM552" s="37"/>
      <c r="AN552" s="86">
        <f>tbl_Actual_costs_quantities34[[#This Row],[Bathroom Rehabilitation]]*BOQs!$L$11</f>
        <v>0</v>
      </c>
      <c r="AO552" s="76"/>
      <c r="AP552" s="37"/>
      <c r="AQ552" s="86">
        <f>tbl_Actual_costs_quantities34[[#This Row],[Ceramic Tile Works WASH]]*BOQs!$L$12</f>
        <v>0</v>
      </c>
      <c r="AR552" s="76"/>
      <c r="AS552" s="37"/>
      <c r="AT552" s="86">
        <f>tbl_Actual_costs_quantities34[[#This Row],[Electrical Repairs Lighting]]*BOQs!$L$13</f>
        <v>0</v>
      </c>
      <c r="AU552" s="76"/>
      <c r="AV552" s="37"/>
      <c r="AW552" s="86">
        <f>tbl_Actual_costs_quantities34[[#This Row],[Roof Insulation Leak Sealing]]*BOQs!$L$14</f>
        <v>0</v>
      </c>
      <c r="AX552" s="76"/>
      <c r="AY552" s="37"/>
      <c r="AZ552" s="86">
        <f>tbl_Actual_costs_quantities34[[#This Row],[Chimney Duct Cleaning Repair]]*BOQs!$L$15</f>
        <v>0</v>
      </c>
      <c r="BA552" s="76"/>
      <c r="BB552" s="37"/>
      <c r="BC552" s="89">
        <f>tbl_Actual_costs_quantities34[[#This Row],[Accessibility Adaptations]]*BOQs!$L$16</f>
        <v>0</v>
      </c>
      <c r="BD552" s="41"/>
      <c r="BE552" s="37"/>
      <c r="BF552" s="37"/>
    </row>
    <row r="553" spans="2:58" ht="25.15" customHeight="1" x14ac:dyDescent="0.25">
      <c r="B553" s="49">
        <v>549</v>
      </c>
      <c r="C553" s="37"/>
      <c r="D553" s="41"/>
      <c r="E553" s="40"/>
      <c r="F553" s="87" t="str">
        <f>IF(tbl_Actual_costs_quantities34[[#This Row],[House Code]]&lt;&gt;"",INDEX(tbl_Assessment[],MATCH(tbl_Actual_costs_quantities34[[#This Row],[House Code]],tbl_Assessment[House Code],0),3),"")</f>
        <v/>
      </c>
      <c r="G553" s="116" t="str">
        <f>IF(tbl_Actual_costs_quantities34[[#This Row],[House Code]]&lt;&gt;"",INDEX(tbl_Assessment[],MATCH(tbl_Actual_costs_quantities34[[#This Row],[House Code]],tbl_Assessment[House Code],0),9),"")</f>
        <v/>
      </c>
      <c r="H553" s="41"/>
      <c r="I553" s="41"/>
      <c r="J553" s="41"/>
      <c r="K553" s="116"/>
      <c r="L553" s="117" t="str">
        <f>IF(tbl_Actual_costs_quantities34[[#This Row],[House Code]]&lt;&gt;"",tbl_Actual_costs_quantities34[[#This Row],[Total cost]]/INDEX(tbl_estimated_costs_quantities[],MATCH(tbl_Actual_costs_quantities34[[#This Row],[House Code]],tbl_estimated_costs_quantities[House Code],0),7),"")</f>
        <v/>
      </c>
      <c r="M55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3" s="75"/>
      <c r="O553" s="37"/>
      <c r="P553" s="86">
        <f>tbl_Actual_costs_quantities34[[#This Row],[Site Preparation]]*BOQs!$L$3</f>
        <v>0</v>
      </c>
      <c r="Q553" s="76"/>
      <c r="R553" s="37"/>
      <c r="S553" s="86">
        <f>tbl_Actual_costs_quantities34[[#This Row],[Demolition Removal Unsafe Structures]]*BOQs!$L$4</f>
        <v>0</v>
      </c>
      <c r="T553" s="76"/>
      <c r="U553" s="37"/>
      <c r="V553" s="86">
        <f>tbl_Actual_costs_quantities34[[#This Row],[Concrete Works]]*BOQs!$L$5</f>
        <v>0</v>
      </c>
      <c r="W553" s="76"/>
      <c r="X553" s="37"/>
      <c r="Y553" s="86">
        <f>tbl_Actual_costs_quantities34[[#This Row],[Closure External Openings Walls Windows]]*BOQs!$L$6</f>
        <v>0</v>
      </c>
      <c r="Z553" s="76"/>
      <c r="AA553" s="37"/>
      <c r="AB553" s="86">
        <f>tbl_Actual_costs_quantities34[[#This Row],[Plastering Painting]]*BOQs!$L$7</f>
        <v>0</v>
      </c>
      <c r="AC553" s="76"/>
      <c r="AD553" s="37"/>
      <c r="AE553" s="86">
        <f>tbl_Actual_costs_quantities34[[#This Row],[Floor Repairs]]*BOQs!$L$8</f>
        <v>0</v>
      </c>
      <c r="AF553" s="76"/>
      <c r="AG553" s="37"/>
      <c r="AH553" s="86">
        <f>tbl_Actual_costs_quantities34[[#This Row],[Doors Replacement Repair]]*BOQs!$L$9</f>
        <v>0</v>
      </c>
      <c r="AI553" s="76"/>
      <c r="AJ553" s="37"/>
      <c r="AK553" s="86">
        <f>tbl_Actual_costs_quantities34[[#This Row],[Windows Replacement Repair]]*BOQs!$L$10</f>
        <v>0</v>
      </c>
      <c r="AL553" s="76"/>
      <c r="AM553" s="37"/>
      <c r="AN553" s="86">
        <f>tbl_Actual_costs_quantities34[[#This Row],[Bathroom Rehabilitation]]*BOQs!$L$11</f>
        <v>0</v>
      </c>
      <c r="AO553" s="76"/>
      <c r="AP553" s="37"/>
      <c r="AQ553" s="86">
        <f>tbl_Actual_costs_quantities34[[#This Row],[Ceramic Tile Works WASH]]*BOQs!$L$12</f>
        <v>0</v>
      </c>
      <c r="AR553" s="76"/>
      <c r="AS553" s="37"/>
      <c r="AT553" s="86">
        <f>tbl_Actual_costs_quantities34[[#This Row],[Electrical Repairs Lighting]]*BOQs!$L$13</f>
        <v>0</v>
      </c>
      <c r="AU553" s="76"/>
      <c r="AV553" s="37"/>
      <c r="AW553" s="86">
        <f>tbl_Actual_costs_quantities34[[#This Row],[Roof Insulation Leak Sealing]]*BOQs!$L$14</f>
        <v>0</v>
      </c>
      <c r="AX553" s="76"/>
      <c r="AY553" s="37"/>
      <c r="AZ553" s="86">
        <f>tbl_Actual_costs_quantities34[[#This Row],[Chimney Duct Cleaning Repair]]*BOQs!$L$15</f>
        <v>0</v>
      </c>
      <c r="BA553" s="76"/>
      <c r="BB553" s="37"/>
      <c r="BC553" s="89">
        <f>tbl_Actual_costs_quantities34[[#This Row],[Accessibility Adaptations]]*BOQs!$L$16</f>
        <v>0</v>
      </c>
      <c r="BD553" s="41"/>
      <c r="BE553" s="37"/>
      <c r="BF553" s="37"/>
    </row>
    <row r="554" spans="2:58" ht="25.15" customHeight="1" x14ac:dyDescent="0.25">
      <c r="B554" s="49">
        <v>550</v>
      </c>
      <c r="C554" s="37"/>
      <c r="D554" s="41"/>
      <c r="E554" s="40"/>
      <c r="F554" s="87" t="str">
        <f>IF(tbl_Actual_costs_quantities34[[#This Row],[House Code]]&lt;&gt;"",INDEX(tbl_Assessment[],MATCH(tbl_Actual_costs_quantities34[[#This Row],[House Code]],tbl_Assessment[House Code],0),3),"")</f>
        <v/>
      </c>
      <c r="G554" s="116" t="str">
        <f>IF(tbl_Actual_costs_quantities34[[#This Row],[House Code]]&lt;&gt;"",INDEX(tbl_Assessment[],MATCH(tbl_Actual_costs_quantities34[[#This Row],[House Code]],tbl_Assessment[House Code],0),9),"")</f>
        <v/>
      </c>
      <c r="H554" s="41"/>
      <c r="I554" s="41"/>
      <c r="J554" s="41"/>
      <c r="K554" s="116"/>
      <c r="L554" s="117" t="str">
        <f>IF(tbl_Actual_costs_quantities34[[#This Row],[House Code]]&lt;&gt;"",tbl_Actual_costs_quantities34[[#This Row],[Total cost]]/INDEX(tbl_estimated_costs_quantities[],MATCH(tbl_Actual_costs_quantities34[[#This Row],[House Code]],tbl_estimated_costs_quantities[House Code],0),7),"")</f>
        <v/>
      </c>
      <c r="M55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4" s="75"/>
      <c r="O554" s="37"/>
      <c r="P554" s="86">
        <f>tbl_Actual_costs_quantities34[[#This Row],[Site Preparation]]*BOQs!$L$3</f>
        <v>0</v>
      </c>
      <c r="Q554" s="76"/>
      <c r="R554" s="37"/>
      <c r="S554" s="86">
        <f>tbl_Actual_costs_quantities34[[#This Row],[Demolition Removal Unsafe Structures]]*BOQs!$L$4</f>
        <v>0</v>
      </c>
      <c r="T554" s="76"/>
      <c r="U554" s="37"/>
      <c r="V554" s="86">
        <f>tbl_Actual_costs_quantities34[[#This Row],[Concrete Works]]*BOQs!$L$5</f>
        <v>0</v>
      </c>
      <c r="W554" s="76"/>
      <c r="X554" s="37"/>
      <c r="Y554" s="86">
        <f>tbl_Actual_costs_quantities34[[#This Row],[Closure External Openings Walls Windows]]*BOQs!$L$6</f>
        <v>0</v>
      </c>
      <c r="Z554" s="76"/>
      <c r="AA554" s="37"/>
      <c r="AB554" s="86">
        <f>tbl_Actual_costs_quantities34[[#This Row],[Plastering Painting]]*BOQs!$L$7</f>
        <v>0</v>
      </c>
      <c r="AC554" s="76"/>
      <c r="AD554" s="37"/>
      <c r="AE554" s="86">
        <f>tbl_Actual_costs_quantities34[[#This Row],[Floor Repairs]]*BOQs!$L$8</f>
        <v>0</v>
      </c>
      <c r="AF554" s="76"/>
      <c r="AG554" s="37"/>
      <c r="AH554" s="86">
        <f>tbl_Actual_costs_quantities34[[#This Row],[Doors Replacement Repair]]*BOQs!$L$9</f>
        <v>0</v>
      </c>
      <c r="AI554" s="76"/>
      <c r="AJ554" s="37"/>
      <c r="AK554" s="86">
        <f>tbl_Actual_costs_quantities34[[#This Row],[Windows Replacement Repair]]*BOQs!$L$10</f>
        <v>0</v>
      </c>
      <c r="AL554" s="76"/>
      <c r="AM554" s="37"/>
      <c r="AN554" s="86">
        <f>tbl_Actual_costs_quantities34[[#This Row],[Bathroom Rehabilitation]]*BOQs!$L$11</f>
        <v>0</v>
      </c>
      <c r="AO554" s="76"/>
      <c r="AP554" s="37"/>
      <c r="AQ554" s="86">
        <f>tbl_Actual_costs_quantities34[[#This Row],[Ceramic Tile Works WASH]]*BOQs!$L$12</f>
        <v>0</v>
      </c>
      <c r="AR554" s="76"/>
      <c r="AS554" s="37"/>
      <c r="AT554" s="86">
        <f>tbl_Actual_costs_quantities34[[#This Row],[Electrical Repairs Lighting]]*BOQs!$L$13</f>
        <v>0</v>
      </c>
      <c r="AU554" s="76"/>
      <c r="AV554" s="37"/>
      <c r="AW554" s="86">
        <f>tbl_Actual_costs_quantities34[[#This Row],[Roof Insulation Leak Sealing]]*BOQs!$L$14</f>
        <v>0</v>
      </c>
      <c r="AX554" s="76"/>
      <c r="AY554" s="37"/>
      <c r="AZ554" s="86">
        <f>tbl_Actual_costs_quantities34[[#This Row],[Chimney Duct Cleaning Repair]]*BOQs!$L$15</f>
        <v>0</v>
      </c>
      <c r="BA554" s="76"/>
      <c r="BB554" s="37"/>
      <c r="BC554" s="89">
        <f>tbl_Actual_costs_quantities34[[#This Row],[Accessibility Adaptations]]*BOQs!$L$16</f>
        <v>0</v>
      </c>
      <c r="BD554" s="41"/>
      <c r="BE554" s="37"/>
      <c r="BF554" s="37"/>
    </row>
    <row r="555" spans="2:58" ht="25.15" customHeight="1" x14ac:dyDescent="0.25">
      <c r="B555" s="49">
        <v>551</v>
      </c>
      <c r="C555" s="37"/>
      <c r="D555" s="41"/>
      <c r="E555" s="40"/>
      <c r="F555" s="87" t="str">
        <f>IF(tbl_Actual_costs_quantities34[[#This Row],[House Code]]&lt;&gt;"",INDEX(tbl_Assessment[],MATCH(tbl_Actual_costs_quantities34[[#This Row],[House Code]],tbl_Assessment[House Code],0),3),"")</f>
        <v/>
      </c>
      <c r="G555" s="116" t="str">
        <f>IF(tbl_Actual_costs_quantities34[[#This Row],[House Code]]&lt;&gt;"",INDEX(tbl_Assessment[],MATCH(tbl_Actual_costs_quantities34[[#This Row],[House Code]],tbl_Assessment[House Code],0),9),"")</f>
        <v/>
      </c>
      <c r="H555" s="41"/>
      <c r="I555" s="41"/>
      <c r="J555" s="41"/>
      <c r="K555" s="116"/>
      <c r="L555" s="117" t="str">
        <f>IF(tbl_Actual_costs_quantities34[[#This Row],[House Code]]&lt;&gt;"",tbl_Actual_costs_quantities34[[#This Row],[Total cost]]/INDEX(tbl_estimated_costs_quantities[],MATCH(tbl_Actual_costs_quantities34[[#This Row],[House Code]],tbl_estimated_costs_quantities[House Code],0),7),"")</f>
        <v/>
      </c>
      <c r="M55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5" s="75"/>
      <c r="O555" s="37"/>
      <c r="P555" s="86">
        <f>tbl_Actual_costs_quantities34[[#This Row],[Site Preparation]]*BOQs!$L$3</f>
        <v>0</v>
      </c>
      <c r="Q555" s="76"/>
      <c r="R555" s="37"/>
      <c r="S555" s="86">
        <f>tbl_Actual_costs_quantities34[[#This Row],[Demolition Removal Unsafe Structures]]*BOQs!$L$4</f>
        <v>0</v>
      </c>
      <c r="T555" s="76"/>
      <c r="U555" s="37"/>
      <c r="V555" s="86">
        <f>tbl_Actual_costs_quantities34[[#This Row],[Concrete Works]]*BOQs!$L$5</f>
        <v>0</v>
      </c>
      <c r="W555" s="76"/>
      <c r="X555" s="37"/>
      <c r="Y555" s="86">
        <f>tbl_Actual_costs_quantities34[[#This Row],[Closure External Openings Walls Windows]]*BOQs!$L$6</f>
        <v>0</v>
      </c>
      <c r="Z555" s="76"/>
      <c r="AA555" s="37"/>
      <c r="AB555" s="86">
        <f>tbl_Actual_costs_quantities34[[#This Row],[Plastering Painting]]*BOQs!$L$7</f>
        <v>0</v>
      </c>
      <c r="AC555" s="76"/>
      <c r="AD555" s="37"/>
      <c r="AE555" s="86">
        <f>tbl_Actual_costs_quantities34[[#This Row],[Floor Repairs]]*BOQs!$L$8</f>
        <v>0</v>
      </c>
      <c r="AF555" s="76"/>
      <c r="AG555" s="37"/>
      <c r="AH555" s="86">
        <f>tbl_Actual_costs_quantities34[[#This Row],[Doors Replacement Repair]]*BOQs!$L$9</f>
        <v>0</v>
      </c>
      <c r="AI555" s="76"/>
      <c r="AJ555" s="37"/>
      <c r="AK555" s="86">
        <f>tbl_Actual_costs_quantities34[[#This Row],[Windows Replacement Repair]]*BOQs!$L$10</f>
        <v>0</v>
      </c>
      <c r="AL555" s="76"/>
      <c r="AM555" s="37"/>
      <c r="AN555" s="86">
        <f>tbl_Actual_costs_quantities34[[#This Row],[Bathroom Rehabilitation]]*BOQs!$L$11</f>
        <v>0</v>
      </c>
      <c r="AO555" s="76"/>
      <c r="AP555" s="37"/>
      <c r="AQ555" s="86">
        <f>tbl_Actual_costs_quantities34[[#This Row],[Ceramic Tile Works WASH]]*BOQs!$L$12</f>
        <v>0</v>
      </c>
      <c r="AR555" s="76"/>
      <c r="AS555" s="37"/>
      <c r="AT555" s="86">
        <f>tbl_Actual_costs_quantities34[[#This Row],[Electrical Repairs Lighting]]*BOQs!$L$13</f>
        <v>0</v>
      </c>
      <c r="AU555" s="76"/>
      <c r="AV555" s="37"/>
      <c r="AW555" s="86">
        <f>tbl_Actual_costs_quantities34[[#This Row],[Roof Insulation Leak Sealing]]*BOQs!$L$14</f>
        <v>0</v>
      </c>
      <c r="AX555" s="76"/>
      <c r="AY555" s="37"/>
      <c r="AZ555" s="86">
        <f>tbl_Actual_costs_quantities34[[#This Row],[Chimney Duct Cleaning Repair]]*BOQs!$L$15</f>
        <v>0</v>
      </c>
      <c r="BA555" s="76"/>
      <c r="BB555" s="37"/>
      <c r="BC555" s="89">
        <f>tbl_Actual_costs_quantities34[[#This Row],[Accessibility Adaptations]]*BOQs!$L$16</f>
        <v>0</v>
      </c>
      <c r="BD555" s="41"/>
      <c r="BE555" s="37"/>
      <c r="BF555" s="37"/>
    </row>
    <row r="556" spans="2:58" ht="25.15" customHeight="1" x14ac:dyDescent="0.25">
      <c r="B556" s="49">
        <v>552</v>
      </c>
      <c r="C556" s="37"/>
      <c r="D556" s="41"/>
      <c r="E556" s="40"/>
      <c r="F556" s="87" t="str">
        <f>IF(tbl_Actual_costs_quantities34[[#This Row],[House Code]]&lt;&gt;"",INDEX(tbl_Assessment[],MATCH(tbl_Actual_costs_quantities34[[#This Row],[House Code]],tbl_Assessment[House Code],0),3),"")</f>
        <v/>
      </c>
      <c r="G556" s="116" t="str">
        <f>IF(tbl_Actual_costs_quantities34[[#This Row],[House Code]]&lt;&gt;"",INDEX(tbl_Assessment[],MATCH(tbl_Actual_costs_quantities34[[#This Row],[House Code]],tbl_Assessment[House Code],0),9),"")</f>
        <v/>
      </c>
      <c r="H556" s="41"/>
      <c r="I556" s="41"/>
      <c r="J556" s="41"/>
      <c r="K556" s="116"/>
      <c r="L556" s="117" t="str">
        <f>IF(tbl_Actual_costs_quantities34[[#This Row],[House Code]]&lt;&gt;"",tbl_Actual_costs_quantities34[[#This Row],[Total cost]]/INDEX(tbl_estimated_costs_quantities[],MATCH(tbl_Actual_costs_quantities34[[#This Row],[House Code]],tbl_estimated_costs_quantities[House Code],0),7),"")</f>
        <v/>
      </c>
      <c r="M55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6" s="75"/>
      <c r="O556" s="37"/>
      <c r="P556" s="86">
        <f>tbl_Actual_costs_quantities34[[#This Row],[Site Preparation]]*BOQs!$L$3</f>
        <v>0</v>
      </c>
      <c r="Q556" s="76"/>
      <c r="R556" s="37"/>
      <c r="S556" s="86">
        <f>tbl_Actual_costs_quantities34[[#This Row],[Demolition Removal Unsafe Structures]]*BOQs!$L$4</f>
        <v>0</v>
      </c>
      <c r="T556" s="76"/>
      <c r="U556" s="37"/>
      <c r="V556" s="86">
        <f>tbl_Actual_costs_quantities34[[#This Row],[Concrete Works]]*BOQs!$L$5</f>
        <v>0</v>
      </c>
      <c r="W556" s="76"/>
      <c r="X556" s="37"/>
      <c r="Y556" s="86">
        <f>tbl_Actual_costs_quantities34[[#This Row],[Closure External Openings Walls Windows]]*BOQs!$L$6</f>
        <v>0</v>
      </c>
      <c r="Z556" s="76"/>
      <c r="AA556" s="37"/>
      <c r="AB556" s="86">
        <f>tbl_Actual_costs_quantities34[[#This Row],[Plastering Painting]]*BOQs!$L$7</f>
        <v>0</v>
      </c>
      <c r="AC556" s="76"/>
      <c r="AD556" s="37"/>
      <c r="AE556" s="86">
        <f>tbl_Actual_costs_quantities34[[#This Row],[Floor Repairs]]*BOQs!$L$8</f>
        <v>0</v>
      </c>
      <c r="AF556" s="76"/>
      <c r="AG556" s="37"/>
      <c r="AH556" s="86">
        <f>tbl_Actual_costs_quantities34[[#This Row],[Doors Replacement Repair]]*BOQs!$L$9</f>
        <v>0</v>
      </c>
      <c r="AI556" s="76"/>
      <c r="AJ556" s="37"/>
      <c r="AK556" s="86">
        <f>tbl_Actual_costs_quantities34[[#This Row],[Windows Replacement Repair]]*BOQs!$L$10</f>
        <v>0</v>
      </c>
      <c r="AL556" s="76"/>
      <c r="AM556" s="37"/>
      <c r="AN556" s="86">
        <f>tbl_Actual_costs_quantities34[[#This Row],[Bathroom Rehabilitation]]*BOQs!$L$11</f>
        <v>0</v>
      </c>
      <c r="AO556" s="76"/>
      <c r="AP556" s="37"/>
      <c r="AQ556" s="86">
        <f>tbl_Actual_costs_quantities34[[#This Row],[Ceramic Tile Works WASH]]*BOQs!$L$12</f>
        <v>0</v>
      </c>
      <c r="AR556" s="76"/>
      <c r="AS556" s="37"/>
      <c r="AT556" s="86">
        <f>tbl_Actual_costs_quantities34[[#This Row],[Electrical Repairs Lighting]]*BOQs!$L$13</f>
        <v>0</v>
      </c>
      <c r="AU556" s="76"/>
      <c r="AV556" s="37"/>
      <c r="AW556" s="86">
        <f>tbl_Actual_costs_quantities34[[#This Row],[Roof Insulation Leak Sealing]]*BOQs!$L$14</f>
        <v>0</v>
      </c>
      <c r="AX556" s="76"/>
      <c r="AY556" s="37"/>
      <c r="AZ556" s="86">
        <f>tbl_Actual_costs_quantities34[[#This Row],[Chimney Duct Cleaning Repair]]*BOQs!$L$15</f>
        <v>0</v>
      </c>
      <c r="BA556" s="76"/>
      <c r="BB556" s="37"/>
      <c r="BC556" s="89">
        <f>tbl_Actual_costs_quantities34[[#This Row],[Accessibility Adaptations]]*BOQs!$L$16</f>
        <v>0</v>
      </c>
      <c r="BD556" s="41"/>
      <c r="BE556" s="37"/>
      <c r="BF556" s="37"/>
    </row>
    <row r="557" spans="2:58" ht="25.15" customHeight="1" x14ac:dyDescent="0.25">
      <c r="B557" s="49">
        <v>553</v>
      </c>
      <c r="C557" s="37"/>
      <c r="D557" s="41"/>
      <c r="E557" s="40"/>
      <c r="F557" s="87" t="str">
        <f>IF(tbl_Actual_costs_quantities34[[#This Row],[House Code]]&lt;&gt;"",INDEX(tbl_Assessment[],MATCH(tbl_Actual_costs_quantities34[[#This Row],[House Code]],tbl_Assessment[House Code],0),3),"")</f>
        <v/>
      </c>
      <c r="G557" s="116" t="str">
        <f>IF(tbl_Actual_costs_quantities34[[#This Row],[House Code]]&lt;&gt;"",INDEX(tbl_Assessment[],MATCH(tbl_Actual_costs_quantities34[[#This Row],[House Code]],tbl_Assessment[House Code],0),9),"")</f>
        <v/>
      </c>
      <c r="H557" s="41"/>
      <c r="I557" s="41"/>
      <c r="J557" s="41"/>
      <c r="K557" s="116"/>
      <c r="L557" s="117" t="str">
        <f>IF(tbl_Actual_costs_quantities34[[#This Row],[House Code]]&lt;&gt;"",tbl_Actual_costs_quantities34[[#This Row],[Total cost]]/INDEX(tbl_estimated_costs_quantities[],MATCH(tbl_Actual_costs_quantities34[[#This Row],[House Code]],tbl_estimated_costs_quantities[House Code],0),7),"")</f>
        <v/>
      </c>
      <c r="M55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7" s="75"/>
      <c r="O557" s="37"/>
      <c r="P557" s="86">
        <f>tbl_Actual_costs_quantities34[[#This Row],[Site Preparation]]*BOQs!$L$3</f>
        <v>0</v>
      </c>
      <c r="Q557" s="76"/>
      <c r="R557" s="37"/>
      <c r="S557" s="86">
        <f>tbl_Actual_costs_quantities34[[#This Row],[Demolition Removal Unsafe Structures]]*BOQs!$L$4</f>
        <v>0</v>
      </c>
      <c r="T557" s="76"/>
      <c r="U557" s="37"/>
      <c r="V557" s="86">
        <f>tbl_Actual_costs_quantities34[[#This Row],[Concrete Works]]*BOQs!$L$5</f>
        <v>0</v>
      </c>
      <c r="W557" s="76"/>
      <c r="X557" s="37"/>
      <c r="Y557" s="86">
        <f>tbl_Actual_costs_quantities34[[#This Row],[Closure External Openings Walls Windows]]*BOQs!$L$6</f>
        <v>0</v>
      </c>
      <c r="Z557" s="76"/>
      <c r="AA557" s="37"/>
      <c r="AB557" s="86">
        <f>tbl_Actual_costs_quantities34[[#This Row],[Plastering Painting]]*BOQs!$L$7</f>
        <v>0</v>
      </c>
      <c r="AC557" s="76"/>
      <c r="AD557" s="37"/>
      <c r="AE557" s="86">
        <f>tbl_Actual_costs_quantities34[[#This Row],[Floor Repairs]]*BOQs!$L$8</f>
        <v>0</v>
      </c>
      <c r="AF557" s="76"/>
      <c r="AG557" s="37"/>
      <c r="AH557" s="86">
        <f>tbl_Actual_costs_quantities34[[#This Row],[Doors Replacement Repair]]*BOQs!$L$9</f>
        <v>0</v>
      </c>
      <c r="AI557" s="76"/>
      <c r="AJ557" s="37"/>
      <c r="AK557" s="86">
        <f>tbl_Actual_costs_quantities34[[#This Row],[Windows Replacement Repair]]*BOQs!$L$10</f>
        <v>0</v>
      </c>
      <c r="AL557" s="76"/>
      <c r="AM557" s="37"/>
      <c r="AN557" s="86">
        <f>tbl_Actual_costs_quantities34[[#This Row],[Bathroom Rehabilitation]]*BOQs!$L$11</f>
        <v>0</v>
      </c>
      <c r="AO557" s="76"/>
      <c r="AP557" s="37"/>
      <c r="AQ557" s="86">
        <f>tbl_Actual_costs_quantities34[[#This Row],[Ceramic Tile Works WASH]]*BOQs!$L$12</f>
        <v>0</v>
      </c>
      <c r="AR557" s="76"/>
      <c r="AS557" s="37"/>
      <c r="AT557" s="86">
        <f>tbl_Actual_costs_quantities34[[#This Row],[Electrical Repairs Lighting]]*BOQs!$L$13</f>
        <v>0</v>
      </c>
      <c r="AU557" s="76"/>
      <c r="AV557" s="37"/>
      <c r="AW557" s="86">
        <f>tbl_Actual_costs_quantities34[[#This Row],[Roof Insulation Leak Sealing]]*BOQs!$L$14</f>
        <v>0</v>
      </c>
      <c r="AX557" s="76"/>
      <c r="AY557" s="37"/>
      <c r="AZ557" s="86">
        <f>tbl_Actual_costs_quantities34[[#This Row],[Chimney Duct Cleaning Repair]]*BOQs!$L$15</f>
        <v>0</v>
      </c>
      <c r="BA557" s="76"/>
      <c r="BB557" s="37"/>
      <c r="BC557" s="89">
        <f>tbl_Actual_costs_quantities34[[#This Row],[Accessibility Adaptations]]*BOQs!$L$16</f>
        <v>0</v>
      </c>
      <c r="BD557" s="41"/>
      <c r="BE557" s="37"/>
      <c r="BF557" s="37"/>
    </row>
    <row r="558" spans="2:58" ht="25.15" customHeight="1" x14ac:dyDescent="0.25">
      <c r="B558" s="49">
        <v>554</v>
      </c>
      <c r="C558" s="37"/>
      <c r="D558" s="41"/>
      <c r="E558" s="40"/>
      <c r="F558" s="87" t="str">
        <f>IF(tbl_Actual_costs_quantities34[[#This Row],[House Code]]&lt;&gt;"",INDEX(tbl_Assessment[],MATCH(tbl_Actual_costs_quantities34[[#This Row],[House Code]],tbl_Assessment[House Code],0),3),"")</f>
        <v/>
      </c>
      <c r="G558" s="116" t="str">
        <f>IF(tbl_Actual_costs_quantities34[[#This Row],[House Code]]&lt;&gt;"",INDEX(tbl_Assessment[],MATCH(tbl_Actual_costs_quantities34[[#This Row],[House Code]],tbl_Assessment[House Code],0),9),"")</f>
        <v/>
      </c>
      <c r="H558" s="41"/>
      <c r="I558" s="41"/>
      <c r="J558" s="41"/>
      <c r="K558" s="116"/>
      <c r="L558" s="117" t="str">
        <f>IF(tbl_Actual_costs_quantities34[[#This Row],[House Code]]&lt;&gt;"",tbl_Actual_costs_quantities34[[#This Row],[Total cost]]/INDEX(tbl_estimated_costs_quantities[],MATCH(tbl_Actual_costs_quantities34[[#This Row],[House Code]],tbl_estimated_costs_quantities[House Code],0),7),"")</f>
        <v/>
      </c>
      <c r="M55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8" s="75"/>
      <c r="O558" s="37"/>
      <c r="P558" s="86">
        <f>tbl_Actual_costs_quantities34[[#This Row],[Site Preparation]]*BOQs!$L$3</f>
        <v>0</v>
      </c>
      <c r="Q558" s="76"/>
      <c r="R558" s="37"/>
      <c r="S558" s="86">
        <f>tbl_Actual_costs_quantities34[[#This Row],[Demolition Removal Unsafe Structures]]*BOQs!$L$4</f>
        <v>0</v>
      </c>
      <c r="T558" s="76"/>
      <c r="U558" s="37"/>
      <c r="V558" s="86">
        <f>tbl_Actual_costs_quantities34[[#This Row],[Concrete Works]]*BOQs!$L$5</f>
        <v>0</v>
      </c>
      <c r="W558" s="76"/>
      <c r="X558" s="37"/>
      <c r="Y558" s="86">
        <f>tbl_Actual_costs_quantities34[[#This Row],[Closure External Openings Walls Windows]]*BOQs!$L$6</f>
        <v>0</v>
      </c>
      <c r="Z558" s="76"/>
      <c r="AA558" s="37"/>
      <c r="AB558" s="86">
        <f>tbl_Actual_costs_quantities34[[#This Row],[Plastering Painting]]*BOQs!$L$7</f>
        <v>0</v>
      </c>
      <c r="AC558" s="76"/>
      <c r="AD558" s="37"/>
      <c r="AE558" s="86">
        <f>tbl_Actual_costs_quantities34[[#This Row],[Floor Repairs]]*BOQs!$L$8</f>
        <v>0</v>
      </c>
      <c r="AF558" s="76"/>
      <c r="AG558" s="37"/>
      <c r="AH558" s="86">
        <f>tbl_Actual_costs_quantities34[[#This Row],[Doors Replacement Repair]]*BOQs!$L$9</f>
        <v>0</v>
      </c>
      <c r="AI558" s="76"/>
      <c r="AJ558" s="37"/>
      <c r="AK558" s="86">
        <f>tbl_Actual_costs_quantities34[[#This Row],[Windows Replacement Repair]]*BOQs!$L$10</f>
        <v>0</v>
      </c>
      <c r="AL558" s="76"/>
      <c r="AM558" s="37"/>
      <c r="AN558" s="86">
        <f>tbl_Actual_costs_quantities34[[#This Row],[Bathroom Rehabilitation]]*BOQs!$L$11</f>
        <v>0</v>
      </c>
      <c r="AO558" s="76"/>
      <c r="AP558" s="37"/>
      <c r="AQ558" s="86">
        <f>tbl_Actual_costs_quantities34[[#This Row],[Ceramic Tile Works WASH]]*BOQs!$L$12</f>
        <v>0</v>
      </c>
      <c r="AR558" s="76"/>
      <c r="AS558" s="37"/>
      <c r="AT558" s="86">
        <f>tbl_Actual_costs_quantities34[[#This Row],[Electrical Repairs Lighting]]*BOQs!$L$13</f>
        <v>0</v>
      </c>
      <c r="AU558" s="76"/>
      <c r="AV558" s="37"/>
      <c r="AW558" s="86">
        <f>tbl_Actual_costs_quantities34[[#This Row],[Roof Insulation Leak Sealing]]*BOQs!$L$14</f>
        <v>0</v>
      </c>
      <c r="AX558" s="76"/>
      <c r="AY558" s="37"/>
      <c r="AZ558" s="86">
        <f>tbl_Actual_costs_quantities34[[#This Row],[Chimney Duct Cleaning Repair]]*BOQs!$L$15</f>
        <v>0</v>
      </c>
      <c r="BA558" s="76"/>
      <c r="BB558" s="37"/>
      <c r="BC558" s="89">
        <f>tbl_Actual_costs_quantities34[[#This Row],[Accessibility Adaptations]]*BOQs!$L$16</f>
        <v>0</v>
      </c>
      <c r="BD558" s="41"/>
      <c r="BE558" s="37"/>
      <c r="BF558" s="37"/>
    </row>
    <row r="559" spans="2:58" ht="25.15" customHeight="1" x14ac:dyDescent="0.25">
      <c r="B559" s="49">
        <v>555</v>
      </c>
      <c r="C559" s="37"/>
      <c r="D559" s="41"/>
      <c r="E559" s="40"/>
      <c r="F559" s="87" t="str">
        <f>IF(tbl_Actual_costs_quantities34[[#This Row],[House Code]]&lt;&gt;"",INDEX(tbl_Assessment[],MATCH(tbl_Actual_costs_quantities34[[#This Row],[House Code]],tbl_Assessment[House Code],0),3),"")</f>
        <v/>
      </c>
      <c r="G559" s="116" t="str">
        <f>IF(tbl_Actual_costs_quantities34[[#This Row],[House Code]]&lt;&gt;"",INDEX(tbl_Assessment[],MATCH(tbl_Actual_costs_quantities34[[#This Row],[House Code]],tbl_Assessment[House Code],0),9),"")</f>
        <v/>
      </c>
      <c r="H559" s="41"/>
      <c r="I559" s="41"/>
      <c r="J559" s="41"/>
      <c r="K559" s="116"/>
      <c r="L559" s="117" t="str">
        <f>IF(tbl_Actual_costs_quantities34[[#This Row],[House Code]]&lt;&gt;"",tbl_Actual_costs_quantities34[[#This Row],[Total cost]]/INDEX(tbl_estimated_costs_quantities[],MATCH(tbl_Actual_costs_quantities34[[#This Row],[House Code]],tbl_estimated_costs_quantities[House Code],0),7),"")</f>
        <v/>
      </c>
      <c r="M55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59" s="75"/>
      <c r="O559" s="37"/>
      <c r="P559" s="86">
        <f>tbl_Actual_costs_quantities34[[#This Row],[Site Preparation]]*BOQs!$L$3</f>
        <v>0</v>
      </c>
      <c r="Q559" s="76"/>
      <c r="R559" s="37"/>
      <c r="S559" s="86">
        <f>tbl_Actual_costs_quantities34[[#This Row],[Demolition Removal Unsafe Structures]]*BOQs!$L$4</f>
        <v>0</v>
      </c>
      <c r="T559" s="76"/>
      <c r="U559" s="37"/>
      <c r="V559" s="86">
        <f>tbl_Actual_costs_quantities34[[#This Row],[Concrete Works]]*BOQs!$L$5</f>
        <v>0</v>
      </c>
      <c r="W559" s="76"/>
      <c r="X559" s="37"/>
      <c r="Y559" s="86">
        <f>tbl_Actual_costs_quantities34[[#This Row],[Closure External Openings Walls Windows]]*BOQs!$L$6</f>
        <v>0</v>
      </c>
      <c r="Z559" s="76"/>
      <c r="AA559" s="37"/>
      <c r="AB559" s="86">
        <f>tbl_Actual_costs_quantities34[[#This Row],[Plastering Painting]]*BOQs!$L$7</f>
        <v>0</v>
      </c>
      <c r="AC559" s="76"/>
      <c r="AD559" s="37"/>
      <c r="AE559" s="86">
        <f>tbl_Actual_costs_quantities34[[#This Row],[Floor Repairs]]*BOQs!$L$8</f>
        <v>0</v>
      </c>
      <c r="AF559" s="76"/>
      <c r="AG559" s="37"/>
      <c r="AH559" s="86">
        <f>tbl_Actual_costs_quantities34[[#This Row],[Doors Replacement Repair]]*BOQs!$L$9</f>
        <v>0</v>
      </c>
      <c r="AI559" s="76"/>
      <c r="AJ559" s="37"/>
      <c r="AK559" s="86">
        <f>tbl_Actual_costs_quantities34[[#This Row],[Windows Replacement Repair]]*BOQs!$L$10</f>
        <v>0</v>
      </c>
      <c r="AL559" s="76"/>
      <c r="AM559" s="37"/>
      <c r="AN559" s="86">
        <f>tbl_Actual_costs_quantities34[[#This Row],[Bathroom Rehabilitation]]*BOQs!$L$11</f>
        <v>0</v>
      </c>
      <c r="AO559" s="76"/>
      <c r="AP559" s="37"/>
      <c r="AQ559" s="86">
        <f>tbl_Actual_costs_quantities34[[#This Row],[Ceramic Tile Works WASH]]*BOQs!$L$12</f>
        <v>0</v>
      </c>
      <c r="AR559" s="76"/>
      <c r="AS559" s="37"/>
      <c r="AT559" s="86">
        <f>tbl_Actual_costs_quantities34[[#This Row],[Electrical Repairs Lighting]]*BOQs!$L$13</f>
        <v>0</v>
      </c>
      <c r="AU559" s="76"/>
      <c r="AV559" s="37"/>
      <c r="AW559" s="86">
        <f>tbl_Actual_costs_quantities34[[#This Row],[Roof Insulation Leak Sealing]]*BOQs!$L$14</f>
        <v>0</v>
      </c>
      <c r="AX559" s="76"/>
      <c r="AY559" s="37"/>
      <c r="AZ559" s="86">
        <f>tbl_Actual_costs_quantities34[[#This Row],[Chimney Duct Cleaning Repair]]*BOQs!$L$15</f>
        <v>0</v>
      </c>
      <c r="BA559" s="76"/>
      <c r="BB559" s="37"/>
      <c r="BC559" s="89">
        <f>tbl_Actual_costs_quantities34[[#This Row],[Accessibility Adaptations]]*BOQs!$L$16</f>
        <v>0</v>
      </c>
      <c r="BD559" s="41"/>
      <c r="BE559" s="37"/>
      <c r="BF559" s="37"/>
    </row>
    <row r="560" spans="2:58" ht="25.15" customHeight="1" x14ac:dyDescent="0.25">
      <c r="B560" s="49">
        <v>556</v>
      </c>
      <c r="C560" s="37"/>
      <c r="D560" s="41"/>
      <c r="E560" s="40"/>
      <c r="F560" s="87" t="str">
        <f>IF(tbl_Actual_costs_quantities34[[#This Row],[House Code]]&lt;&gt;"",INDEX(tbl_Assessment[],MATCH(tbl_Actual_costs_quantities34[[#This Row],[House Code]],tbl_Assessment[House Code],0),3),"")</f>
        <v/>
      </c>
      <c r="G560" s="116" t="str">
        <f>IF(tbl_Actual_costs_quantities34[[#This Row],[House Code]]&lt;&gt;"",INDEX(tbl_Assessment[],MATCH(tbl_Actual_costs_quantities34[[#This Row],[House Code]],tbl_Assessment[House Code],0),9),"")</f>
        <v/>
      </c>
      <c r="H560" s="41"/>
      <c r="I560" s="41"/>
      <c r="J560" s="41"/>
      <c r="K560" s="116"/>
      <c r="L560" s="117" t="str">
        <f>IF(tbl_Actual_costs_quantities34[[#This Row],[House Code]]&lt;&gt;"",tbl_Actual_costs_quantities34[[#This Row],[Total cost]]/INDEX(tbl_estimated_costs_quantities[],MATCH(tbl_Actual_costs_quantities34[[#This Row],[House Code]],tbl_estimated_costs_quantities[House Code],0),7),"")</f>
        <v/>
      </c>
      <c r="M56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0" s="75"/>
      <c r="O560" s="37"/>
      <c r="P560" s="86">
        <f>tbl_Actual_costs_quantities34[[#This Row],[Site Preparation]]*BOQs!$L$3</f>
        <v>0</v>
      </c>
      <c r="Q560" s="76"/>
      <c r="R560" s="37"/>
      <c r="S560" s="86">
        <f>tbl_Actual_costs_quantities34[[#This Row],[Demolition Removal Unsafe Structures]]*BOQs!$L$4</f>
        <v>0</v>
      </c>
      <c r="T560" s="76"/>
      <c r="U560" s="37"/>
      <c r="V560" s="86">
        <f>tbl_Actual_costs_quantities34[[#This Row],[Concrete Works]]*BOQs!$L$5</f>
        <v>0</v>
      </c>
      <c r="W560" s="76"/>
      <c r="X560" s="37"/>
      <c r="Y560" s="86">
        <f>tbl_Actual_costs_quantities34[[#This Row],[Closure External Openings Walls Windows]]*BOQs!$L$6</f>
        <v>0</v>
      </c>
      <c r="Z560" s="76"/>
      <c r="AA560" s="37"/>
      <c r="AB560" s="86">
        <f>tbl_Actual_costs_quantities34[[#This Row],[Plastering Painting]]*BOQs!$L$7</f>
        <v>0</v>
      </c>
      <c r="AC560" s="76"/>
      <c r="AD560" s="37"/>
      <c r="AE560" s="86">
        <f>tbl_Actual_costs_quantities34[[#This Row],[Floor Repairs]]*BOQs!$L$8</f>
        <v>0</v>
      </c>
      <c r="AF560" s="76"/>
      <c r="AG560" s="37"/>
      <c r="AH560" s="86">
        <f>tbl_Actual_costs_quantities34[[#This Row],[Doors Replacement Repair]]*BOQs!$L$9</f>
        <v>0</v>
      </c>
      <c r="AI560" s="76"/>
      <c r="AJ560" s="37"/>
      <c r="AK560" s="86">
        <f>tbl_Actual_costs_quantities34[[#This Row],[Windows Replacement Repair]]*BOQs!$L$10</f>
        <v>0</v>
      </c>
      <c r="AL560" s="76"/>
      <c r="AM560" s="37"/>
      <c r="AN560" s="86">
        <f>tbl_Actual_costs_quantities34[[#This Row],[Bathroom Rehabilitation]]*BOQs!$L$11</f>
        <v>0</v>
      </c>
      <c r="AO560" s="76"/>
      <c r="AP560" s="37"/>
      <c r="AQ560" s="86">
        <f>tbl_Actual_costs_quantities34[[#This Row],[Ceramic Tile Works WASH]]*BOQs!$L$12</f>
        <v>0</v>
      </c>
      <c r="AR560" s="76"/>
      <c r="AS560" s="37"/>
      <c r="AT560" s="86">
        <f>tbl_Actual_costs_quantities34[[#This Row],[Electrical Repairs Lighting]]*BOQs!$L$13</f>
        <v>0</v>
      </c>
      <c r="AU560" s="76"/>
      <c r="AV560" s="37"/>
      <c r="AW560" s="86">
        <f>tbl_Actual_costs_quantities34[[#This Row],[Roof Insulation Leak Sealing]]*BOQs!$L$14</f>
        <v>0</v>
      </c>
      <c r="AX560" s="76"/>
      <c r="AY560" s="37"/>
      <c r="AZ560" s="86">
        <f>tbl_Actual_costs_quantities34[[#This Row],[Chimney Duct Cleaning Repair]]*BOQs!$L$15</f>
        <v>0</v>
      </c>
      <c r="BA560" s="76"/>
      <c r="BB560" s="37"/>
      <c r="BC560" s="89">
        <f>tbl_Actual_costs_quantities34[[#This Row],[Accessibility Adaptations]]*BOQs!$L$16</f>
        <v>0</v>
      </c>
      <c r="BD560" s="41"/>
      <c r="BE560" s="37"/>
      <c r="BF560" s="37"/>
    </row>
    <row r="561" spans="2:58" ht="25.15" customHeight="1" x14ac:dyDescent="0.25">
      <c r="B561" s="49">
        <v>557</v>
      </c>
      <c r="C561" s="37"/>
      <c r="D561" s="41"/>
      <c r="E561" s="40"/>
      <c r="F561" s="87" t="str">
        <f>IF(tbl_Actual_costs_quantities34[[#This Row],[House Code]]&lt;&gt;"",INDEX(tbl_Assessment[],MATCH(tbl_Actual_costs_quantities34[[#This Row],[House Code]],tbl_Assessment[House Code],0),3),"")</f>
        <v/>
      </c>
      <c r="G561" s="116" t="str">
        <f>IF(tbl_Actual_costs_quantities34[[#This Row],[House Code]]&lt;&gt;"",INDEX(tbl_Assessment[],MATCH(tbl_Actual_costs_quantities34[[#This Row],[House Code]],tbl_Assessment[House Code],0),9),"")</f>
        <v/>
      </c>
      <c r="H561" s="41"/>
      <c r="I561" s="41"/>
      <c r="J561" s="41"/>
      <c r="K561" s="116"/>
      <c r="L561" s="117" t="str">
        <f>IF(tbl_Actual_costs_quantities34[[#This Row],[House Code]]&lt;&gt;"",tbl_Actual_costs_quantities34[[#This Row],[Total cost]]/INDEX(tbl_estimated_costs_quantities[],MATCH(tbl_Actual_costs_quantities34[[#This Row],[House Code]],tbl_estimated_costs_quantities[House Code],0),7),"")</f>
        <v/>
      </c>
      <c r="M56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1" s="75"/>
      <c r="O561" s="37"/>
      <c r="P561" s="86">
        <f>tbl_Actual_costs_quantities34[[#This Row],[Site Preparation]]*BOQs!$L$3</f>
        <v>0</v>
      </c>
      <c r="Q561" s="76"/>
      <c r="R561" s="37"/>
      <c r="S561" s="86">
        <f>tbl_Actual_costs_quantities34[[#This Row],[Demolition Removal Unsafe Structures]]*BOQs!$L$4</f>
        <v>0</v>
      </c>
      <c r="T561" s="76"/>
      <c r="U561" s="37"/>
      <c r="V561" s="86">
        <f>tbl_Actual_costs_quantities34[[#This Row],[Concrete Works]]*BOQs!$L$5</f>
        <v>0</v>
      </c>
      <c r="W561" s="76"/>
      <c r="X561" s="37"/>
      <c r="Y561" s="86">
        <f>tbl_Actual_costs_quantities34[[#This Row],[Closure External Openings Walls Windows]]*BOQs!$L$6</f>
        <v>0</v>
      </c>
      <c r="Z561" s="76"/>
      <c r="AA561" s="37"/>
      <c r="AB561" s="86">
        <f>tbl_Actual_costs_quantities34[[#This Row],[Plastering Painting]]*BOQs!$L$7</f>
        <v>0</v>
      </c>
      <c r="AC561" s="76"/>
      <c r="AD561" s="37"/>
      <c r="AE561" s="86">
        <f>tbl_Actual_costs_quantities34[[#This Row],[Floor Repairs]]*BOQs!$L$8</f>
        <v>0</v>
      </c>
      <c r="AF561" s="76"/>
      <c r="AG561" s="37"/>
      <c r="AH561" s="86">
        <f>tbl_Actual_costs_quantities34[[#This Row],[Doors Replacement Repair]]*BOQs!$L$9</f>
        <v>0</v>
      </c>
      <c r="AI561" s="76"/>
      <c r="AJ561" s="37"/>
      <c r="AK561" s="86">
        <f>tbl_Actual_costs_quantities34[[#This Row],[Windows Replacement Repair]]*BOQs!$L$10</f>
        <v>0</v>
      </c>
      <c r="AL561" s="76"/>
      <c r="AM561" s="37"/>
      <c r="AN561" s="86">
        <f>tbl_Actual_costs_quantities34[[#This Row],[Bathroom Rehabilitation]]*BOQs!$L$11</f>
        <v>0</v>
      </c>
      <c r="AO561" s="76"/>
      <c r="AP561" s="37"/>
      <c r="AQ561" s="86">
        <f>tbl_Actual_costs_quantities34[[#This Row],[Ceramic Tile Works WASH]]*BOQs!$L$12</f>
        <v>0</v>
      </c>
      <c r="AR561" s="76"/>
      <c r="AS561" s="37"/>
      <c r="AT561" s="86">
        <f>tbl_Actual_costs_quantities34[[#This Row],[Electrical Repairs Lighting]]*BOQs!$L$13</f>
        <v>0</v>
      </c>
      <c r="AU561" s="76"/>
      <c r="AV561" s="37"/>
      <c r="AW561" s="86">
        <f>tbl_Actual_costs_quantities34[[#This Row],[Roof Insulation Leak Sealing]]*BOQs!$L$14</f>
        <v>0</v>
      </c>
      <c r="AX561" s="76"/>
      <c r="AY561" s="37"/>
      <c r="AZ561" s="86">
        <f>tbl_Actual_costs_quantities34[[#This Row],[Chimney Duct Cleaning Repair]]*BOQs!$L$15</f>
        <v>0</v>
      </c>
      <c r="BA561" s="76"/>
      <c r="BB561" s="37"/>
      <c r="BC561" s="89">
        <f>tbl_Actual_costs_quantities34[[#This Row],[Accessibility Adaptations]]*BOQs!$L$16</f>
        <v>0</v>
      </c>
      <c r="BD561" s="41"/>
      <c r="BE561" s="37"/>
      <c r="BF561" s="37"/>
    </row>
    <row r="562" spans="2:58" ht="25.15" customHeight="1" x14ac:dyDescent="0.25">
      <c r="B562" s="49">
        <v>558</v>
      </c>
      <c r="C562" s="37"/>
      <c r="D562" s="41"/>
      <c r="E562" s="40"/>
      <c r="F562" s="87" t="str">
        <f>IF(tbl_Actual_costs_quantities34[[#This Row],[House Code]]&lt;&gt;"",INDEX(tbl_Assessment[],MATCH(tbl_Actual_costs_quantities34[[#This Row],[House Code]],tbl_Assessment[House Code],0),3),"")</f>
        <v/>
      </c>
      <c r="G562" s="116" t="str">
        <f>IF(tbl_Actual_costs_quantities34[[#This Row],[House Code]]&lt;&gt;"",INDEX(tbl_Assessment[],MATCH(tbl_Actual_costs_quantities34[[#This Row],[House Code]],tbl_Assessment[House Code],0),9),"")</f>
        <v/>
      </c>
      <c r="H562" s="41"/>
      <c r="I562" s="41"/>
      <c r="J562" s="41"/>
      <c r="K562" s="116"/>
      <c r="L562" s="117" t="str">
        <f>IF(tbl_Actual_costs_quantities34[[#This Row],[House Code]]&lt;&gt;"",tbl_Actual_costs_quantities34[[#This Row],[Total cost]]/INDEX(tbl_estimated_costs_quantities[],MATCH(tbl_Actual_costs_quantities34[[#This Row],[House Code]],tbl_estimated_costs_quantities[House Code],0),7),"")</f>
        <v/>
      </c>
      <c r="M56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2" s="75"/>
      <c r="O562" s="37"/>
      <c r="P562" s="86">
        <f>tbl_Actual_costs_quantities34[[#This Row],[Site Preparation]]*BOQs!$L$3</f>
        <v>0</v>
      </c>
      <c r="Q562" s="76"/>
      <c r="R562" s="37"/>
      <c r="S562" s="86">
        <f>tbl_Actual_costs_quantities34[[#This Row],[Demolition Removal Unsafe Structures]]*BOQs!$L$4</f>
        <v>0</v>
      </c>
      <c r="T562" s="76"/>
      <c r="U562" s="37"/>
      <c r="V562" s="86">
        <f>tbl_Actual_costs_quantities34[[#This Row],[Concrete Works]]*BOQs!$L$5</f>
        <v>0</v>
      </c>
      <c r="W562" s="76"/>
      <c r="X562" s="37"/>
      <c r="Y562" s="86">
        <f>tbl_Actual_costs_quantities34[[#This Row],[Closure External Openings Walls Windows]]*BOQs!$L$6</f>
        <v>0</v>
      </c>
      <c r="Z562" s="76"/>
      <c r="AA562" s="37"/>
      <c r="AB562" s="86">
        <f>tbl_Actual_costs_quantities34[[#This Row],[Plastering Painting]]*BOQs!$L$7</f>
        <v>0</v>
      </c>
      <c r="AC562" s="76"/>
      <c r="AD562" s="37"/>
      <c r="AE562" s="86">
        <f>tbl_Actual_costs_quantities34[[#This Row],[Floor Repairs]]*BOQs!$L$8</f>
        <v>0</v>
      </c>
      <c r="AF562" s="76"/>
      <c r="AG562" s="37"/>
      <c r="AH562" s="86">
        <f>tbl_Actual_costs_quantities34[[#This Row],[Doors Replacement Repair]]*BOQs!$L$9</f>
        <v>0</v>
      </c>
      <c r="AI562" s="76"/>
      <c r="AJ562" s="37"/>
      <c r="AK562" s="86">
        <f>tbl_Actual_costs_quantities34[[#This Row],[Windows Replacement Repair]]*BOQs!$L$10</f>
        <v>0</v>
      </c>
      <c r="AL562" s="76"/>
      <c r="AM562" s="37"/>
      <c r="AN562" s="86">
        <f>tbl_Actual_costs_quantities34[[#This Row],[Bathroom Rehabilitation]]*BOQs!$L$11</f>
        <v>0</v>
      </c>
      <c r="AO562" s="76"/>
      <c r="AP562" s="37"/>
      <c r="AQ562" s="86">
        <f>tbl_Actual_costs_quantities34[[#This Row],[Ceramic Tile Works WASH]]*BOQs!$L$12</f>
        <v>0</v>
      </c>
      <c r="AR562" s="76"/>
      <c r="AS562" s="37"/>
      <c r="AT562" s="86">
        <f>tbl_Actual_costs_quantities34[[#This Row],[Electrical Repairs Lighting]]*BOQs!$L$13</f>
        <v>0</v>
      </c>
      <c r="AU562" s="76"/>
      <c r="AV562" s="37"/>
      <c r="AW562" s="86">
        <f>tbl_Actual_costs_quantities34[[#This Row],[Roof Insulation Leak Sealing]]*BOQs!$L$14</f>
        <v>0</v>
      </c>
      <c r="AX562" s="76"/>
      <c r="AY562" s="37"/>
      <c r="AZ562" s="86">
        <f>tbl_Actual_costs_quantities34[[#This Row],[Chimney Duct Cleaning Repair]]*BOQs!$L$15</f>
        <v>0</v>
      </c>
      <c r="BA562" s="76"/>
      <c r="BB562" s="37"/>
      <c r="BC562" s="89">
        <f>tbl_Actual_costs_quantities34[[#This Row],[Accessibility Adaptations]]*BOQs!$L$16</f>
        <v>0</v>
      </c>
      <c r="BD562" s="41"/>
      <c r="BE562" s="37"/>
      <c r="BF562" s="37"/>
    </row>
    <row r="563" spans="2:58" ht="25.15" customHeight="1" x14ac:dyDescent="0.25">
      <c r="B563" s="49">
        <v>559</v>
      </c>
      <c r="C563" s="37"/>
      <c r="D563" s="41"/>
      <c r="E563" s="40"/>
      <c r="F563" s="87" t="str">
        <f>IF(tbl_Actual_costs_quantities34[[#This Row],[House Code]]&lt;&gt;"",INDEX(tbl_Assessment[],MATCH(tbl_Actual_costs_quantities34[[#This Row],[House Code]],tbl_Assessment[House Code],0),3),"")</f>
        <v/>
      </c>
      <c r="G563" s="116" t="str">
        <f>IF(tbl_Actual_costs_quantities34[[#This Row],[House Code]]&lt;&gt;"",INDEX(tbl_Assessment[],MATCH(tbl_Actual_costs_quantities34[[#This Row],[House Code]],tbl_Assessment[House Code],0),9),"")</f>
        <v/>
      </c>
      <c r="H563" s="41"/>
      <c r="I563" s="41"/>
      <c r="J563" s="41"/>
      <c r="K563" s="116"/>
      <c r="L563" s="117" t="str">
        <f>IF(tbl_Actual_costs_quantities34[[#This Row],[House Code]]&lt;&gt;"",tbl_Actual_costs_quantities34[[#This Row],[Total cost]]/INDEX(tbl_estimated_costs_quantities[],MATCH(tbl_Actual_costs_quantities34[[#This Row],[House Code]],tbl_estimated_costs_quantities[House Code],0),7),"")</f>
        <v/>
      </c>
      <c r="M56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3" s="75"/>
      <c r="O563" s="37"/>
      <c r="P563" s="86">
        <f>tbl_Actual_costs_quantities34[[#This Row],[Site Preparation]]*BOQs!$L$3</f>
        <v>0</v>
      </c>
      <c r="Q563" s="76"/>
      <c r="R563" s="37"/>
      <c r="S563" s="86">
        <f>tbl_Actual_costs_quantities34[[#This Row],[Demolition Removal Unsafe Structures]]*BOQs!$L$4</f>
        <v>0</v>
      </c>
      <c r="T563" s="76"/>
      <c r="U563" s="37"/>
      <c r="V563" s="86">
        <f>tbl_Actual_costs_quantities34[[#This Row],[Concrete Works]]*BOQs!$L$5</f>
        <v>0</v>
      </c>
      <c r="W563" s="76"/>
      <c r="X563" s="37"/>
      <c r="Y563" s="86">
        <f>tbl_Actual_costs_quantities34[[#This Row],[Closure External Openings Walls Windows]]*BOQs!$L$6</f>
        <v>0</v>
      </c>
      <c r="Z563" s="76"/>
      <c r="AA563" s="37"/>
      <c r="AB563" s="86">
        <f>tbl_Actual_costs_quantities34[[#This Row],[Plastering Painting]]*BOQs!$L$7</f>
        <v>0</v>
      </c>
      <c r="AC563" s="76"/>
      <c r="AD563" s="37"/>
      <c r="AE563" s="86">
        <f>tbl_Actual_costs_quantities34[[#This Row],[Floor Repairs]]*BOQs!$L$8</f>
        <v>0</v>
      </c>
      <c r="AF563" s="76"/>
      <c r="AG563" s="37"/>
      <c r="AH563" s="86">
        <f>tbl_Actual_costs_quantities34[[#This Row],[Doors Replacement Repair]]*BOQs!$L$9</f>
        <v>0</v>
      </c>
      <c r="AI563" s="76"/>
      <c r="AJ563" s="37"/>
      <c r="AK563" s="86">
        <f>tbl_Actual_costs_quantities34[[#This Row],[Windows Replacement Repair]]*BOQs!$L$10</f>
        <v>0</v>
      </c>
      <c r="AL563" s="76"/>
      <c r="AM563" s="37"/>
      <c r="AN563" s="86">
        <f>tbl_Actual_costs_quantities34[[#This Row],[Bathroom Rehabilitation]]*BOQs!$L$11</f>
        <v>0</v>
      </c>
      <c r="AO563" s="76"/>
      <c r="AP563" s="37"/>
      <c r="AQ563" s="86">
        <f>tbl_Actual_costs_quantities34[[#This Row],[Ceramic Tile Works WASH]]*BOQs!$L$12</f>
        <v>0</v>
      </c>
      <c r="AR563" s="76"/>
      <c r="AS563" s="37"/>
      <c r="AT563" s="86">
        <f>tbl_Actual_costs_quantities34[[#This Row],[Electrical Repairs Lighting]]*BOQs!$L$13</f>
        <v>0</v>
      </c>
      <c r="AU563" s="76"/>
      <c r="AV563" s="37"/>
      <c r="AW563" s="86">
        <f>tbl_Actual_costs_quantities34[[#This Row],[Roof Insulation Leak Sealing]]*BOQs!$L$14</f>
        <v>0</v>
      </c>
      <c r="AX563" s="76"/>
      <c r="AY563" s="37"/>
      <c r="AZ563" s="86">
        <f>tbl_Actual_costs_quantities34[[#This Row],[Chimney Duct Cleaning Repair]]*BOQs!$L$15</f>
        <v>0</v>
      </c>
      <c r="BA563" s="76"/>
      <c r="BB563" s="37"/>
      <c r="BC563" s="89">
        <f>tbl_Actual_costs_quantities34[[#This Row],[Accessibility Adaptations]]*BOQs!$L$16</f>
        <v>0</v>
      </c>
      <c r="BD563" s="41"/>
      <c r="BE563" s="37"/>
      <c r="BF563" s="37"/>
    </row>
    <row r="564" spans="2:58" ht="25.15" customHeight="1" x14ac:dyDescent="0.25">
      <c r="B564" s="49">
        <v>560</v>
      </c>
      <c r="C564" s="37"/>
      <c r="D564" s="41"/>
      <c r="E564" s="40"/>
      <c r="F564" s="87" t="str">
        <f>IF(tbl_Actual_costs_quantities34[[#This Row],[House Code]]&lt;&gt;"",INDEX(tbl_Assessment[],MATCH(tbl_Actual_costs_quantities34[[#This Row],[House Code]],tbl_Assessment[House Code],0),3),"")</f>
        <v/>
      </c>
      <c r="G564" s="116" t="str">
        <f>IF(tbl_Actual_costs_quantities34[[#This Row],[House Code]]&lt;&gt;"",INDEX(tbl_Assessment[],MATCH(tbl_Actual_costs_quantities34[[#This Row],[House Code]],tbl_Assessment[House Code],0),9),"")</f>
        <v/>
      </c>
      <c r="H564" s="41"/>
      <c r="I564" s="41"/>
      <c r="J564" s="41"/>
      <c r="K564" s="116"/>
      <c r="L564" s="117" t="str">
        <f>IF(tbl_Actual_costs_quantities34[[#This Row],[House Code]]&lt;&gt;"",tbl_Actual_costs_quantities34[[#This Row],[Total cost]]/INDEX(tbl_estimated_costs_quantities[],MATCH(tbl_Actual_costs_quantities34[[#This Row],[House Code]],tbl_estimated_costs_quantities[House Code],0),7),"")</f>
        <v/>
      </c>
      <c r="M56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4" s="75"/>
      <c r="O564" s="37"/>
      <c r="P564" s="86">
        <f>tbl_Actual_costs_quantities34[[#This Row],[Site Preparation]]*BOQs!$L$3</f>
        <v>0</v>
      </c>
      <c r="Q564" s="76"/>
      <c r="R564" s="37"/>
      <c r="S564" s="86">
        <f>tbl_Actual_costs_quantities34[[#This Row],[Demolition Removal Unsafe Structures]]*BOQs!$L$4</f>
        <v>0</v>
      </c>
      <c r="T564" s="76"/>
      <c r="U564" s="37"/>
      <c r="V564" s="86">
        <f>tbl_Actual_costs_quantities34[[#This Row],[Concrete Works]]*BOQs!$L$5</f>
        <v>0</v>
      </c>
      <c r="W564" s="76"/>
      <c r="X564" s="37"/>
      <c r="Y564" s="86">
        <f>tbl_Actual_costs_quantities34[[#This Row],[Closure External Openings Walls Windows]]*BOQs!$L$6</f>
        <v>0</v>
      </c>
      <c r="Z564" s="76"/>
      <c r="AA564" s="37"/>
      <c r="AB564" s="86">
        <f>tbl_Actual_costs_quantities34[[#This Row],[Plastering Painting]]*BOQs!$L$7</f>
        <v>0</v>
      </c>
      <c r="AC564" s="76"/>
      <c r="AD564" s="37"/>
      <c r="AE564" s="86">
        <f>tbl_Actual_costs_quantities34[[#This Row],[Floor Repairs]]*BOQs!$L$8</f>
        <v>0</v>
      </c>
      <c r="AF564" s="76"/>
      <c r="AG564" s="37"/>
      <c r="AH564" s="86">
        <f>tbl_Actual_costs_quantities34[[#This Row],[Doors Replacement Repair]]*BOQs!$L$9</f>
        <v>0</v>
      </c>
      <c r="AI564" s="76"/>
      <c r="AJ564" s="37"/>
      <c r="AK564" s="86">
        <f>tbl_Actual_costs_quantities34[[#This Row],[Windows Replacement Repair]]*BOQs!$L$10</f>
        <v>0</v>
      </c>
      <c r="AL564" s="76"/>
      <c r="AM564" s="37"/>
      <c r="AN564" s="86">
        <f>tbl_Actual_costs_quantities34[[#This Row],[Bathroom Rehabilitation]]*BOQs!$L$11</f>
        <v>0</v>
      </c>
      <c r="AO564" s="76"/>
      <c r="AP564" s="37"/>
      <c r="AQ564" s="86">
        <f>tbl_Actual_costs_quantities34[[#This Row],[Ceramic Tile Works WASH]]*BOQs!$L$12</f>
        <v>0</v>
      </c>
      <c r="AR564" s="76"/>
      <c r="AS564" s="37"/>
      <c r="AT564" s="86">
        <f>tbl_Actual_costs_quantities34[[#This Row],[Electrical Repairs Lighting]]*BOQs!$L$13</f>
        <v>0</v>
      </c>
      <c r="AU564" s="76"/>
      <c r="AV564" s="37"/>
      <c r="AW564" s="86">
        <f>tbl_Actual_costs_quantities34[[#This Row],[Roof Insulation Leak Sealing]]*BOQs!$L$14</f>
        <v>0</v>
      </c>
      <c r="AX564" s="76"/>
      <c r="AY564" s="37"/>
      <c r="AZ564" s="86">
        <f>tbl_Actual_costs_quantities34[[#This Row],[Chimney Duct Cleaning Repair]]*BOQs!$L$15</f>
        <v>0</v>
      </c>
      <c r="BA564" s="76"/>
      <c r="BB564" s="37"/>
      <c r="BC564" s="89">
        <f>tbl_Actual_costs_quantities34[[#This Row],[Accessibility Adaptations]]*BOQs!$L$16</f>
        <v>0</v>
      </c>
      <c r="BD564" s="41"/>
      <c r="BE564" s="37"/>
      <c r="BF564" s="37"/>
    </row>
    <row r="565" spans="2:58" ht="25.15" customHeight="1" x14ac:dyDescent="0.25">
      <c r="B565" s="49">
        <v>561</v>
      </c>
      <c r="C565" s="37"/>
      <c r="D565" s="41"/>
      <c r="E565" s="40"/>
      <c r="F565" s="87" t="str">
        <f>IF(tbl_Actual_costs_quantities34[[#This Row],[House Code]]&lt;&gt;"",INDEX(tbl_Assessment[],MATCH(tbl_Actual_costs_quantities34[[#This Row],[House Code]],tbl_Assessment[House Code],0),3),"")</f>
        <v/>
      </c>
      <c r="G565" s="116" t="str">
        <f>IF(tbl_Actual_costs_quantities34[[#This Row],[House Code]]&lt;&gt;"",INDEX(tbl_Assessment[],MATCH(tbl_Actual_costs_quantities34[[#This Row],[House Code]],tbl_Assessment[House Code],0),9),"")</f>
        <v/>
      </c>
      <c r="H565" s="41"/>
      <c r="I565" s="41"/>
      <c r="J565" s="41"/>
      <c r="K565" s="116"/>
      <c r="L565" s="117" t="str">
        <f>IF(tbl_Actual_costs_quantities34[[#This Row],[House Code]]&lt;&gt;"",tbl_Actual_costs_quantities34[[#This Row],[Total cost]]/INDEX(tbl_estimated_costs_quantities[],MATCH(tbl_Actual_costs_quantities34[[#This Row],[House Code]],tbl_estimated_costs_quantities[House Code],0),7),"")</f>
        <v/>
      </c>
      <c r="M56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5" s="75"/>
      <c r="O565" s="37"/>
      <c r="P565" s="86">
        <f>tbl_Actual_costs_quantities34[[#This Row],[Site Preparation]]*BOQs!$L$3</f>
        <v>0</v>
      </c>
      <c r="Q565" s="76"/>
      <c r="R565" s="37"/>
      <c r="S565" s="86">
        <f>tbl_Actual_costs_quantities34[[#This Row],[Demolition Removal Unsafe Structures]]*BOQs!$L$4</f>
        <v>0</v>
      </c>
      <c r="T565" s="76"/>
      <c r="U565" s="37"/>
      <c r="V565" s="86">
        <f>tbl_Actual_costs_quantities34[[#This Row],[Concrete Works]]*BOQs!$L$5</f>
        <v>0</v>
      </c>
      <c r="W565" s="76"/>
      <c r="X565" s="37"/>
      <c r="Y565" s="86">
        <f>tbl_Actual_costs_quantities34[[#This Row],[Closure External Openings Walls Windows]]*BOQs!$L$6</f>
        <v>0</v>
      </c>
      <c r="Z565" s="76"/>
      <c r="AA565" s="37"/>
      <c r="AB565" s="86">
        <f>tbl_Actual_costs_quantities34[[#This Row],[Plastering Painting]]*BOQs!$L$7</f>
        <v>0</v>
      </c>
      <c r="AC565" s="76"/>
      <c r="AD565" s="37"/>
      <c r="AE565" s="86">
        <f>tbl_Actual_costs_quantities34[[#This Row],[Floor Repairs]]*BOQs!$L$8</f>
        <v>0</v>
      </c>
      <c r="AF565" s="76"/>
      <c r="AG565" s="37"/>
      <c r="AH565" s="86">
        <f>tbl_Actual_costs_quantities34[[#This Row],[Doors Replacement Repair]]*BOQs!$L$9</f>
        <v>0</v>
      </c>
      <c r="AI565" s="76"/>
      <c r="AJ565" s="37"/>
      <c r="AK565" s="86">
        <f>tbl_Actual_costs_quantities34[[#This Row],[Windows Replacement Repair]]*BOQs!$L$10</f>
        <v>0</v>
      </c>
      <c r="AL565" s="76"/>
      <c r="AM565" s="37"/>
      <c r="AN565" s="86">
        <f>tbl_Actual_costs_quantities34[[#This Row],[Bathroom Rehabilitation]]*BOQs!$L$11</f>
        <v>0</v>
      </c>
      <c r="AO565" s="76"/>
      <c r="AP565" s="37"/>
      <c r="AQ565" s="86">
        <f>tbl_Actual_costs_quantities34[[#This Row],[Ceramic Tile Works WASH]]*BOQs!$L$12</f>
        <v>0</v>
      </c>
      <c r="AR565" s="76"/>
      <c r="AS565" s="37"/>
      <c r="AT565" s="86">
        <f>tbl_Actual_costs_quantities34[[#This Row],[Electrical Repairs Lighting]]*BOQs!$L$13</f>
        <v>0</v>
      </c>
      <c r="AU565" s="76"/>
      <c r="AV565" s="37"/>
      <c r="AW565" s="86">
        <f>tbl_Actual_costs_quantities34[[#This Row],[Roof Insulation Leak Sealing]]*BOQs!$L$14</f>
        <v>0</v>
      </c>
      <c r="AX565" s="76"/>
      <c r="AY565" s="37"/>
      <c r="AZ565" s="86">
        <f>tbl_Actual_costs_quantities34[[#This Row],[Chimney Duct Cleaning Repair]]*BOQs!$L$15</f>
        <v>0</v>
      </c>
      <c r="BA565" s="76"/>
      <c r="BB565" s="37"/>
      <c r="BC565" s="89">
        <f>tbl_Actual_costs_quantities34[[#This Row],[Accessibility Adaptations]]*BOQs!$L$16</f>
        <v>0</v>
      </c>
      <c r="BD565" s="41"/>
      <c r="BE565" s="37"/>
      <c r="BF565" s="37"/>
    </row>
    <row r="566" spans="2:58" ht="25.15" customHeight="1" x14ac:dyDescent="0.25">
      <c r="B566" s="49">
        <v>562</v>
      </c>
      <c r="C566" s="37"/>
      <c r="D566" s="41"/>
      <c r="E566" s="40"/>
      <c r="F566" s="87" t="str">
        <f>IF(tbl_Actual_costs_quantities34[[#This Row],[House Code]]&lt;&gt;"",INDEX(tbl_Assessment[],MATCH(tbl_Actual_costs_quantities34[[#This Row],[House Code]],tbl_Assessment[House Code],0),3),"")</f>
        <v/>
      </c>
      <c r="G566" s="116" t="str">
        <f>IF(tbl_Actual_costs_quantities34[[#This Row],[House Code]]&lt;&gt;"",INDEX(tbl_Assessment[],MATCH(tbl_Actual_costs_quantities34[[#This Row],[House Code]],tbl_Assessment[House Code],0),9),"")</f>
        <v/>
      </c>
      <c r="H566" s="41"/>
      <c r="I566" s="41"/>
      <c r="J566" s="41"/>
      <c r="K566" s="116"/>
      <c r="L566" s="117" t="str">
        <f>IF(tbl_Actual_costs_quantities34[[#This Row],[House Code]]&lt;&gt;"",tbl_Actual_costs_quantities34[[#This Row],[Total cost]]/INDEX(tbl_estimated_costs_quantities[],MATCH(tbl_Actual_costs_quantities34[[#This Row],[House Code]],tbl_estimated_costs_quantities[House Code],0),7),"")</f>
        <v/>
      </c>
      <c r="M56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6" s="75"/>
      <c r="O566" s="37"/>
      <c r="P566" s="86">
        <f>tbl_Actual_costs_quantities34[[#This Row],[Site Preparation]]*BOQs!$L$3</f>
        <v>0</v>
      </c>
      <c r="Q566" s="76"/>
      <c r="R566" s="37"/>
      <c r="S566" s="86">
        <f>tbl_Actual_costs_quantities34[[#This Row],[Demolition Removal Unsafe Structures]]*BOQs!$L$4</f>
        <v>0</v>
      </c>
      <c r="T566" s="76"/>
      <c r="U566" s="37"/>
      <c r="V566" s="86">
        <f>tbl_Actual_costs_quantities34[[#This Row],[Concrete Works]]*BOQs!$L$5</f>
        <v>0</v>
      </c>
      <c r="W566" s="76"/>
      <c r="X566" s="37"/>
      <c r="Y566" s="86">
        <f>tbl_Actual_costs_quantities34[[#This Row],[Closure External Openings Walls Windows]]*BOQs!$L$6</f>
        <v>0</v>
      </c>
      <c r="Z566" s="76"/>
      <c r="AA566" s="37"/>
      <c r="AB566" s="86">
        <f>tbl_Actual_costs_quantities34[[#This Row],[Plastering Painting]]*BOQs!$L$7</f>
        <v>0</v>
      </c>
      <c r="AC566" s="76"/>
      <c r="AD566" s="37"/>
      <c r="AE566" s="86">
        <f>tbl_Actual_costs_quantities34[[#This Row],[Floor Repairs]]*BOQs!$L$8</f>
        <v>0</v>
      </c>
      <c r="AF566" s="76"/>
      <c r="AG566" s="37"/>
      <c r="AH566" s="86">
        <f>tbl_Actual_costs_quantities34[[#This Row],[Doors Replacement Repair]]*BOQs!$L$9</f>
        <v>0</v>
      </c>
      <c r="AI566" s="76"/>
      <c r="AJ566" s="37"/>
      <c r="AK566" s="86">
        <f>tbl_Actual_costs_quantities34[[#This Row],[Windows Replacement Repair]]*BOQs!$L$10</f>
        <v>0</v>
      </c>
      <c r="AL566" s="76"/>
      <c r="AM566" s="37"/>
      <c r="AN566" s="86">
        <f>tbl_Actual_costs_quantities34[[#This Row],[Bathroom Rehabilitation]]*BOQs!$L$11</f>
        <v>0</v>
      </c>
      <c r="AO566" s="76"/>
      <c r="AP566" s="37"/>
      <c r="AQ566" s="86">
        <f>tbl_Actual_costs_quantities34[[#This Row],[Ceramic Tile Works WASH]]*BOQs!$L$12</f>
        <v>0</v>
      </c>
      <c r="AR566" s="76"/>
      <c r="AS566" s="37"/>
      <c r="AT566" s="86">
        <f>tbl_Actual_costs_quantities34[[#This Row],[Electrical Repairs Lighting]]*BOQs!$L$13</f>
        <v>0</v>
      </c>
      <c r="AU566" s="76"/>
      <c r="AV566" s="37"/>
      <c r="AW566" s="86">
        <f>tbl_Actual_costs_quantities34[[#This Row],[Roof Insulation Leak Sealing]]*BOQs!$L$14</f>
        <v>0</v>
      </c>
      <c r="AX566" s="76"/>
      <c r="AY566" s="37"/>
      <c r="AZ566" s="86">
        <f>tbl_Actual_costs_quantities34[[#This Row],[Chimney Duct Cleaning Repair]]*BOQs!$L$15</f>
        <v>0</v>
      </c>
      <c r="BA566" s="76"/>
      <c r="BB566" s="37"/>
      <c r="BC566" s="89">
        <f>tbl_Actual_costs_quantities34[[#This Row],[Accessibility Adaptations]]*BOQs!$L$16</f>
        <v>0</v>
      </c>
      <c r="BD566" s="41"/>
      <c r="BE566" s="37"/>
      <c r="BF566" s="37"/>
    </row>
    <row r="567" spans="2:58" ht="25.15" customHeight="1" x14ac:dyDescent="0.25">
      <c r="B567" s="49">
        <v>563</v>
      </c>
      <c r="C567" s="37"/>
      <c r="D567" s="41"/>
      <c r="E567" s="40"/>
      <c r="F567" s="87" t="str">
        <f>IF(tbl_Actual_costs_quantities34[[#This Row],[House Code]]&lt;&gt;"",INDEX(tbl_Assessment[],MATCH(tbl_Actual_costs_quantities34[[#This Row],[House Code]],tbl_Assessment[House Code],0),3),"")</f>
        <v/>
      </c>
      <c r="G567" s="116" t="str">
        <f>IF(tbl_Actual_costs_quantities34[[#This Row],[House Code]]&lt;&gt;"",INDEX(tbl_Assessment[],MATCH(tbl_Actual_costs_quantities34[[#This Row],[House Code]],tbl_Assessment[House Code],0),9),"")</f>
        <v/>
      </c>
      <c r="H567" s="41"/>
      <c r="I567" s="41"/>
      <c r="J567" s="41"/>
      <c r="K567" s="116"/>
      <c r="L567" s="117" t="str">
        <f>IF(tbl_Actual_costs_quantities34[[#This Row],[House Code]]&lt;&gt;"",tbl_Actual_costs_quantities34[[#This Row],[Total cost]]/INDEX(tbl_estimated_costs_quantities[],MATCH(tbl_Actual_costs_quantities34[[#This Row],[House Code]],tbl_estimated_costs_quantities[House Code],0),7),"")</f>
        <v/>
      </c>
      <c r="M56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7" s="75"/>
      <c r="O567" s="37"/>
      <c r="P567" s="86">
        <f>tbl_Actual_costs_quantities34[[#This Row],[Site Preparation]]*BOQs!$L$3</f>
        <v>0</v>
      </c>
      <c r="Q567" s="76"/>
      <c r="R567" s="37"/>
      <c r="S567" s="86">
        <f>tbl_Actual_costs_quantities34[[#This Row],[Demolition Removal Unsafe Structures]]*BOQs!$L$4</f>
        <v>0</v>
      </c>
      <c r="T567" s="76"/>
      <c r="U567" s="37"/>
      <c r="V567" s="86">
        <f>tbl_Actual_costs_quantities34[[#This Row],[Concrete Works]]*BOQs!$L$5</f>
        <v>0</v>
      </c>
      <c r="W567" s="76"/>
      <c r="X567" s="37"/>
      <c r="Y567" s="86">
        <f>tbl_Actual_costs_quantities34[[#This Row],[Closure External Openings Walls Windows]]*BOQs!$L$6</f>
        <v>0</v>
      </c>
      <c r="Z567" s="76"/>
      <c r="AA567" s="37"/>
      <c r="AB567" s="86">
        <f>tbl_Actual_costs_quantities34[[#This Row],[Plastering Painting]]*BOQs!$L$7</f>
        <v>0</v>
      </c>
      <c r="AC567" s="76"/>
      <c r="AD567" s="37"/>
      <c r="AE567" s="86">
        <f>tbl_Actual_costs_quantities34[[#This Row],[Floor Repairs]]*BOQs!$L$8</f>
        <v>0</v>
      </c>
      <c r="AF567" s="76"/>
      <c r="AG567" s="37"/>
      <c r="AH567" s="86">
        <f>tbl_Actual_costs_quantities34[[#This Row],[Doors Replacement Repair]]*BOQs!$L$9</f>
        <v>0</v>
      </c>
      <c r="AI567" s="76"/>
      <c r="AJ567" s="37"/>
      <c r="AK567" s="86">
        <f>tbl_Actual_costs_quantities34[[#This Row],[Windows Replacement Repair]]*BOQs!$L$10</f>
        <v>0</v>
      </c>
      <c r="AL567" s="76"/>
      <c r="AM567" s="37"/>
      <c r="AN567" s="86">
        <f>tbl_Actual_costs_quantities34[[#This Row],[Bathroom Rehabilitation]]*BOQs!$L$11</f>
        <v>0</v>
      </c>
      <c r="AO567" s="76"/>
      <c r="AP567" s="37"/>
      <c r="AQ567" s="86">
        <f>tbl_Actual_costs_quantities34[[#This Row],[Ceramic Tile Works WASH]]*BOQs!$L$12</f>
        <v>0</v>
      </c>
      <c r="AR567" s="76"/>
      <c r="AS567" s="37"/>
      <c r="AT567" s="86">
        <f>tbl_Actual_costs_quantities34[[#This Row],[Electrical Repairs Lighting]]*BOQs!$L$13</f>
        <v>0</v>
      </c>
      <c r="AU567" s="76"/>
      <c r="AV567" s="37"/>
      <c r="AW567" s="86">
        <f>tbl_Actual_costs_quantities34[[#This Row],[Roof Insulation Leak Sealing]]*BOQs!$L$14</f>
        <v>0</v>
      </c>
      <c r="AX567" s="76"/>
      <c r="AY567" s="37"/>
      <c r="AZ567" s="86">
        <f>tbl_Actual_costs_quantities34[[#This Row],[Chimney Duct Cleaning Repair]]*BOQs!$L$15</f>
        <v>0</v>
      </c>
      <c r="BA567" s="76"/>
      <c r="BB567" s="37"/>
      <c r="BC567" s="89">
        <f>tbl_Actual_costs_quantities34[[#This Row],[Accessibility Adaptations]]*BOQs!$L$16</f>
        <v>0</v>
      </c>
      <c r="BD567" s="41"/>
      <c r="BE567" s="37"/>
      <c r="BF567" s="37"/>
    </row>
    <row r="568" spans="2:58" ht="25.15" customHeight="1" x14ac:dyDescent="0.25">
      <c r="B568" s="49">
        <v>564</v>
      </c>
      <c r="C568" s="37"/>
      <c r="D568" s="41"/>
      <c r="E568" s="40"/>
      <c r="F568" s="87" t="str">
        <f>IF(tbl_Actual_costs_quantities34[[#This Row],[House Code]]&lt;&gt;"",INDEX(tbl_Assessment[],MATCH(tbl_Actual_costs_quantities34[[#This Row],[House Code]],tbl_Assessment[House Code],0),3),"")</f>
        <v/>
      </c>
      <c r="G568" s="116" t="str">
        <f>IF(tbl_Actual_costs_quantities34[[#This Row],[House Code]]&lt;&gt;"",INDEX(tbl_Assessment[],MATCH(tbl_Actual_costs_quantities34[[#This Row],[House Code]],tbl_Assessment[House Code],0),9),"")</f>
        <v/>
      </c>
      <c r="H568" s="41"/>
      <c r="I568" s="41"/>
      <c r="J568" s="41"/>
      <c r="K568" s="116"/>
      <c r="L568" s="117" t="str">
        <f>IF(tbl_Actual_costs_quantities34[[#This Row],[House Code]]&lt;&gt;"",tbl_Actual_costs_quantities34[[#This Row],[Total cost]]/INDEX(tbl_estimated_costs_quantities[],MATCH(tbl_Actual_costs_quantities34[[#This Row],[House Code]],tbl_estimated_costs_quantities[House Code],0),7),"")</f>
        <v/>
      </c>
      <c r="M56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8" s="75"/>
      <c r="O568" s="37"/>
      <c r="P568" s="86">
        <f>tbl_Actual_costs_quantities34[[#This Row],[Site Preparation]]*BOQs!$L$3</f>
        <v>0</v>
      </c>
      <c r="Q568" s="76"/>
      <c r="R568" s="37"/>
      <c r="S568" s="86">
        <f>tbl_Actual_costs_quantities34[[#This Row],[Demolition Removal Unsafe Structures]]*BOQs!$L$4</f>
        <v>0</v>
      </c>
      <c r="T568" s="76"/>
      <c r="U568" s="37"/>
      <c r="V568" s="86">
        <f>tbl_Actual_costs_quantities34[[#This Row],[Concrete Works]]*BOQs!$L$5</f>
        <v>0</v>
      </c>
      <c r="W568" s="76"/>
      <c r="X568" s="37"/>
      <c r="Y568" s="86">
        <f>tbl_Actual_costs_quantities34[[#This Row],[Closure External Openings Walls Windows]]*BOQs!$L$6</f>
        <v>0</v>
      </c>
      <c r="Z568" s="76"/>
      <c r="AA568" s="37"/>
      <c r="AB568" s="86">
        <f>tbl_Actual_costs_quantities34[[#This Row],[Plastering Painting]]*BOQs!$L$7</f>
        <v>0</v>
      </c>
      <c r="AC568" s="76"/>
      <c r="AD568" s="37"/>
      <c r="AE568" s="86">
        <f>tbl_Actual_costs_quantities34[[#This Row],[Floor Repairs]]*BOQs!$L$8</f>
        <v>0</v>
      </c>
      <c r="AF568" s="76"/>
      <c r="AG568" s="37"/>
      <c r="AH568" s="86">
        <f>tbl_Actual_costs_quantities34[[#This Row],[Doors Replacement Repair]]*BOQs!$L$9</f>
        <v>0</v>
      </c>
      <c r="AI568" s="76"/>
      <c r="AJ568" s="37"/>
      <c r="AK568" s="86">
        <f>tbl_Actual_costs_quantities34[[#This Row],[Windows Replacement Repair]]*BOQs!$L$10</f>
        <v>0</v>
      </c>
      <c r="AL568" s="76"/>
      <c r="AM568" s="37"/>
      <c r="AN568" s="86">
        <f>tbl_Actual_costs_quantities34[[#This Row],[Bathroom Rehabilitation]]*BOQs!$L$11</f>
        <v>0</v>
      </c>
      <c r="AO568" s="76"/>
      <c r="AP568" s="37"/>
      <c r="AQ568" s="86">
        <f>tbl_Actual_costs_quantities34[[#This Row],[Ceramic Tile Works WASH]]*BOQs!$L$12</f>
        <v>0</v>
      </c>
      <c r="AR568" s="76"/>
      <c r="AS568" s="37"/>
      <c r="AT568" s="86">
        <f>tbl_Actual_costs_quantities34[[#This Row],[Electrical Repairs Lighting]]*BOQs!$L$13</f>
        <v>0</v>
      </c>
      <c r="AU568" s="76"/>
      <c r="AV568" s="37"/>
      <c r="AW568" s="86">
        <f>tbl_Actual_costs_quantities34[[#This Row],[Roof Insulation Leak Sealing]]*BOQs!$L$14</f>
        <v>0</v>
      </c>
      <c r="AX568" s="76"/>
      <c r="AY568" s="37"/>
      <c r="AZ568" s="86">
        <f>tbl_Actual_costs_quantities34[[#This Row],[Chimney Duct Cleaning Repair]]*BOQs!$L$15</f>
        <v>0</v>
      </c>
      <c r="BA568" s="76"/>
      <c r="BB568" s="37"/>
      <c r="BC568" s="89">
        <f>tbl_Actual_costs_quantities34[[#This Row],[Accessibility Adaptations]]*BOQs!$L$16</f>
        <v>0</v>
      </c>
      <c r="BD568" s="41"/>
      <c r="BE568" s="37"/>
      <c r="BF568" s="37"/>
    </row>
    <row r="569" spans="2:58" ht="25.15" customHeight="1" x14ac:dyDescent="0.25">
      <c r="B569" s="49">
        <v>565</v>
      </c>
      <c r="C569" s="37"/>
      <c r="D569" s="41"/>
      <c r="E569" s="40"/>
      <c r="F569" s="87" t="str">
        <f>IF(tbl_Actual_costs_quantities34[[#This Row],[House Code]]&lt;&gt;"",INDEX(tbl_Assessment[],MATCH(tbl_Actual_costs_quantities34[[#This Row],[House Code]],tbl_Assessment[House Code],0),3),"")</f>
        <v/>
      </c>
      <c r="G569" s="116" t="str">
        <f>IF(tbl_Actual_costs_quantities34[[#This Row],[House Code]]&lt;&gt;"",INDEX(tbl_Assessment[],MATCH(tbl_Actual_costs_quantities34[[#This Row],[House Code]],tbl_Assessment[House Code],0),9),"")</f>
        <v/>
      </c>
      <c r="H569" s="41"/>
      <c r="I569" s="41"/>
      <c r="J569" s="41"/>
      <c r="K569" s="116"/>
      <c r="L569" s="117" t="str">
        <f>IF(tbl_Actual_costs_quantities34[[#This Row],[House Code]]&lt;&gt;"",tbl_Actual_costs_quantities34[[#This Row],[Total cost]]/INDEX(tbl_estimated_costs_quantities[],MATCH(tbl_Actual_costs_quantities34[[#This Row],[House Code]],tbl_estimated_costs_quantities[House Code],0),7),"")</f>
        <v/>
      </c>
      <c r="M56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69" s="75"/>
      <c r="O569" s="37"/>
      <c r="P569" s="86">
        <f>tbl_Actual_costs_quantities34[[#This Row],[Site Preparation]]*BOQs!$L$3</f>
        <v>0</v>
      </c>
      <c r="Q569" s="76"/>
      <c r="R569" s="37"/>
      <c r="S569" s="86">
        <f>tbl_Actual_costs_quantities34[[#This Row],[Demolition Removal Unsafe Structures]]*BOQs!$L$4</f>
        <v>0</v>
      </c>
      <c r="T569" s="76"/>
      <c r="U569" s="37"/>
      <c r="V569" s="86">
        <f>tbl_Actual_costs_quantities34[[#This Row],[Concrete Works]]*BOQs!$L$5</f>
        <v>0</v>
      </c>
      <c r="W569" s="76"/>
      <c r="X569" s="37"/>
      <c r="Y569" s="86">
        <f>tbl_Actual_costs_quantities34[[#This Row],[Closure External Openings Walls Windows]]*BOQs!$L$6</f>
        <v>0</v>
      </c>
      <c r="Z569" s="76"/>
      <c r="AA569" s="37"/>
      <c r="AB569" s="86">
        <f>tbl_Actual_costs_quantities34[[#This Row],[Plastering Painting]]*BOQs!$L$7</f>
        <v>0</v>
      </c>
      <c r="AC569" s="76"/>
      <c r="AD569" s="37"/>
      <c r="AE569" s="86">
        <f>tbl_Actual_costs_quantities34[[#This Row],[Floor Repairs]]*BOQs!$L$8</f>
        <v>0</v>
      </c>
      <c r="AF569" s="76"/>
      <c r="AG569" s="37"/>
      <c r="AH569" s="86">
        <f>tbl_Actual_costs_quantities34[[#This Row],[Doors Replacement Repair]]*BOQs!$L$9</f>
        <v>0</v>
      </c>
      <c r="AI569" s="76"/>
      <c r="AJ569" s="37"/>
      <c r="AK569" s="86">
        <f>tbl_Actual_costs_quantities34[[#This Row],[Windows Replacement Repair]]*BOQs!$L$10</f>
        <v>0</v>
      </c>
      <c r="AL569" s="76"/>
      <c r="AM569" s="37"/>
      <c r="AN569" s="86">
        <f>tbl_Actual_costs_quantities34[[#This Row],[Bathroom Rehabilitation]]*BOQs!$L$11</f>
        <v>0</v>
      </c>
      <c r="AO569" s="76"/>
      <c r="AP569" s="37"/>
      <c r="AQ569" s="86">
        <f>tbl_Actual_costs_quantities34[[#This Row],[Ceramic Tile Works WASH]]*BOQs!$L$12</f>
        <v>0</v>
      </c>
      <c r="AR569" s="76"/>
      <c r="AS569" s="37"/>
      <c r="AT569" s="86">
        <f>tbl_Actual_costs_quantities34[[#This Row],[Electrical Repairs Lighting]]*BOQs!$L$13</f>
        <v>0</v>
      </c>
      <c r="AU569" s="76"/>
      <c r="AV569" s="37"/>
      <c r="AW569" s="86">
        <f>tbl_Actual_costs_quantities34[[#This Row],[Roof Insulation Leak Sealing]]*BOQs!$L$14</f>
        <v>0</v>
      </c>
      <c r="AX569" s="76"/>
      <c r="AY569" s="37"/>
      <c r="AZ569" s="86">
        <f>tbl_Actual_costs_quantities34[[#This Row],[Chimney Duct Cleaning Repair]]*BOQs!$L$15</f>
        <v>0</v>
      </c>
      <c r="BA569" s="76"/>
      <c r="BB569" s="37"/>
      <c r="BC569" s="89">
        <f>tbl_Actual_costs_quantities34[[#This Row],[Accessibility Adaptations]]*BOQs!$L$16</f>
        <v>0</v>
      </c>
      <c r="BD569" s="41"/>
      <c r="BE569" s="37"/>
      <c r="BF569" s="37"/>
    </row>
    <row r="570" spans="2:58" ht="25.15" customHeight="1" x14ac:dyDescent="0.25">
      <c r="B570" s="49">
        <v>566</v>
      </c>
      <c r="C570" s="37"/>
      <c r="D570" s="41"/>
      <c r="E570" s="40"/>
      <c r="F570" s="87" t="str">
        <f>IF(tbl_Actual_costs_quantities34[[#This Row],[House Code]]&lt;&gt;"",INDEX(tbl_Assessment[],MATCH(tbl_Actual_costs_quantities34[[#This Row],[House Code]],tbl_Assessment[House Code],0),3),"")</f>
        <v/>
      </c>
      <c r="G570" s="116" t="str">
        <f>IF(tbl_Actual_costs_quantities34[[#This Row],[House Code]]&lt;&gt;"",INDEX(tbl_Assessment[],MATCH(tbl_Actual_costs_quantities34[[#This Row],[House Code]],tbl_Assessment[House Code],0),9),"")</f>
        <v/>
      </c>
      <c r="H570" s="41"/>
      <c r="I570" s="41"/>
      <c r="J570" s="41"/>
      <c r="K570" s="116"/>
      <c r="L570" s="117" t="str">
        <f>IF(tbl_Actual_costs_quantities34[[#This Row],[House Code]]&lt;&gt;"",tbl_Actual_costs_quantities34[[#This Row],[Total cost]]/INDEX(tbl_estimated_costs_quantities[],MATCH(tbl_Actual_costs_quantities34[[#This Row],[House Code]],tbl_estimated_costs_quantities[House Code],0),7),"")</f>
        <v/>
      </c>
      <c r="M57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0" s="75"/>
      <c r="O570" s="37"/>
      <c r="P570" s="86">
        <f>tbl_Actual_costs_quantities34[[#This Row],[Site Preparation]]*BOQs!$L$3</f>
        <v>0</v>
      </c>
      <c r="Q570" s="76"/>
      <c r="R570" s="37"/>
      <c r="S570" s="86">
        <f>tbl_Actual_costs_quantities34[[#This Row],[Demolition Removal Unsafe Structures]]*BOQs!$L$4</f>
        <v>0</v>
      </c>
      <c r="T570" s="76"/>
      <c r="U570" s="37"/>
      <c r="V570" s="86">
        <f>tbl_Actual_costs_quantities34[[#This Row],[Concrete Works]]*BOQs!$L$5</f>
        <v>0</v>
      </c>
      <c r="W570" s="76"/>
      <c r="X570" s="37"/>
      <c r="Y570" s="86">
        <f>tbl_Actual_costs_quantities34[[#This Row],[Closure External Openings Walls Windows]]*BOQs!$L$6</f>
        <v>0</v>
      </c>
      <c r="Z570" s="76"/>
      <c r="AA570" s="37"/>
      <c r="AB570" s="86">
        <f>tbl_Actual_costs_quantities34[[#This Row],[Plastering Painting]]*BOQs!$L$7</f>
        <v>0</v>
      </c>
      <c r="AC570" s="76"/>
      <c r="AD570" s="37"/>
      <c r="AE570" s="86">
        <f>tbl_Actual_costs_quantities34[[#This Row],[Floor Repairs]]*BOQs!$L$8</f>
        <v>0</v>
      </c>
      <c r="AF570" s="76"/>
      <c r="AG570" s="37"/>
      <c r="AH570" s="86">
        <f>tbl_Actual_costs_quantities34[[#This Row],[Doors Replacement Repair]]*BOQs!$L$9</f>
        <v>0</v>
      </c>
      <c r="AI570" s="76"/>
      <c r="AJ570" s="37"/>
      <c r="AK570" s="86">
        <f>tbl_Actual_costs_quantities34[[#This Row],[Windows Replacement Repair]]*BOQs!$L$10</f>
        <v>0</v>
      </c>
      <c r="AL570" s="76"/>
      <c r="AM570" s="37"/>
      <c r="AN570" s="86">
        <f>tbl_Actual_costs_quantities34[[#This Row],[Bathroom Rehabilitation]]*BOQs!$L$11</f>
        <v>0</v>
      </c>
      <c r="AO570" s="76"/>
      <c r="AP570" s="37"/>
      <c r="AQ570" s="86">
        <f>tbl_Actual_costs_quantities34[[#This Row],[Ceramic Tile Works WASH]]*BOQs!$L$12</f>
        <v>0</v>
      </c>
      <c r="AR570" s="76"/>
      <c r="AS570" s="37"/>
      <c r="AT570" s="86">
        <f>tbl_Actual_costs_quantities34[[#This Row],[Electrical Repairs Lighting]]*BOQs!$L$13</f>
        <v>0</v>
      </c>
      <c r="AU570" s="76"/>
      <c r="AV570" s="37"/>
      <c r="AW570" s="86">
        <f>tbl_Actual_costs_quantities34[[#This Row],[Roof Insulation Leak Sealing]]*BOQs!$L$14</f>
        <v>0</v>
      </c>
      <c r="AX570" s="76"/>
      <c r="AY570" s="37"/>
      <c r="AZ570" s="86">
        <f>tbl_Actual_costs_quantities34[[#This Row],[Chimney Duct Cleaning Repair]]*BOQs!$L$15</f>
        <v>0</v>
      </c>
      <c r="BA570" s="76"/>
      <c r="BB570" s="37"/>
      <c r="BC570" s="89">
        <f>tbl_Actual_costs_quantities34[[#This Row],[Accessibility Adaptations]]*BOQs!$L$16</f>
        <v>0</v>
      </c>
      <c r="BD570" s="41"/>
      <c r="BE570" s="37"/>
      <c r="BF570" s="37"/>
    </row>
    <row r="571" spans="2:58" ht="25.15" customHeight="1" x14ac:dyDescent="0.25">
      <c r="B571" s="49">
        <v>567</v>
      </c>
      <c r="C571" s="37"/>
      <c r="D571" s="41"/>
      <c r="E571" s="40"/>
      <c r="F571" s="87" t="str">
        <f>IF(tbl_Actual_costs_quantities34[[#This Row],[House Code]]&lt;&gt;"",INDEX(tbl_Assessment[],MATCH(tbl_Actual_costs_quantities34[[#This Row],[House Code]],tbl_Assessment[House Code],0),3),"")</f>
        <v/>
      </c>
      <c r="G571" s="116" t="str">
        <f>IF(tbl_Actual_costs_quantities34[[#This Row],[House Code]]&lt;&gt;"",INDEX(tbl_Assessment[],MATCH(tbl_Actual_costs_quantities34[[#This Row],[House Code]],tbl_Assessment[House Code],0),9),"")</f>
        <v/>
      </c>
      <c r="H571" s="41"/>
      <c r="I571" s="41"/>
      <c r="J571" s="41"/>
      <c r="K571" s="116"/>
      <c r="L571" s="117" t="str">
        <f>IF(tbl_Actual_costs_quantities34[[#This Row],[House Code]]&lt;&gt;"",tbl_Actual_costs_quantities34[[#This Row],[Total cost]]/INDEX(tbl_estimated_costs_quantities[],MATCH(tbl_Actual_costs_quantities34[[#This Row],[House Code]],tbl_estimated_costs_quantities[House Code],0),7),"")</f>
        <v/>
      </c>
      <c r="M57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1" s="75"/>
      <c r="O571" s="37"/>
      <c r="P571" s="86">
        <f>tbl_Actual_costs_quantities34[[#This Row],[Site Preparation]]*BOQs!$L$3</f>
        <v>0</v>
      </c>
      <c r="Q571" s="76"/>
      <c r="R571" s="37"/>
      <c r="S571" s="86">
        <f>tbl_Actual_costs_quantities34[[#This Row],[Demolition Removal Unsafe Structures]]*BOQs!$L$4</f>
        <v>0</v>
      </c>
      <c r="T571" s="76"/>
      <c r="U571" s="37"/>
      <c r="V571" s="86">
        <f>tbl_Actual_costs_quantities34[[#This Row],[Concrete Works]]*BOQs!$L$5</f>
        <v>0</v>
      </c>
      <c r="W571" s="76"/>
      <c r="X571" s="37"/>
      <c r="Y571" s="86">
        <f>tbl_Actual_costs_quantities34[[#This Row],[Closure External Openings Walls Windows]]*BOQs!$L$6</f>
        <v>0</v>
      </c>
      <c r="Z571" s="76"/>
      <c r="AA571" s="37"/>
      <c r="AB571" s="86">
        <f>tbl_Actual_costs_quantities34[[#This Row],[Plastering Painting]]*BOQs!$L$7</f>
        <v>0</v>
      </c>
      <c r="AC571" s="76"/>
      <c r="AD571" s="37"/>
      <c r="AE571" s="86">
        <f>tbl_Actual_costs_quantities34[[#This Row],[Floor Repairs]]*BOQs!$L$8</f>
        <v>0</v>
      </c>
      <c r="AF571" s="76"/>
      <c r="AG571" s="37"/>
      <c r="AH571" s="86">
        <f>tbl_Actual_costs_quantities34[[#This Row],[Doors Replacement Repair]]*BOQs!$L$9</f>
        <v>0</v>
      </c>
      <c r="AI571" s="76"/>
      <c r="AJ571" s="37"/>
      <c r="AK571" s="86">
        <f>tbl_Actual_costs_quantities34[[#This Row],[Windows Replacement Repair]]*BOQs!$L$10</f>
        <v>0</v>
      </c>
      <c r="AL571" s="76"/>
      <c r="AM571" s="37"/>
      <c r="AN571" s="86">
        <f>tbl_Actual_costs_quantities34[[#This Row],[Bathroom Rehabilitation]]*BOQs!$L$11</f>
        <v>0</v>
      </c>
      <c r="AO571" s="76"/>
      <c r="AP571" s="37"/>
      <c r="AQ571" s="86">
        <f>tbl_Actual_costs_quantities34[[#This Row],[Ceramic Tile Works WASH]]*BOQs!$L$12</f>
        <v>0</v>
      </c>
      <c r="AR571" s="76"/>
      <c r="AS571" s="37"/>
      <c r="AT571" s="86">
        <f>tbl_Actual_costs_quantities34[[#This Row],[Electrical Repairs Lighting]]*BOQs!$L$13</f>
        <v>0</v>
      </c>
      <c r="AU571" s="76"/>
      <c r="AV571" s="37"/>
      <c r="AW571" s="86">
        <f>tbl_Actual_costs_quantities34[[#This Row],[Roof Insulation Leak Sealing]]*BOQs!$L$14</f>
        <v>0</v>
      </c>
      <c r="AX571" s="76"/>
      <c r="AY571" s="37"/>
      <c r="AZ571" s="86">
        <f>tbl_Actual_costs_quantities34[[#This Row],[Chimney Duct Cleaning Repair]]*BOQs!$L$15</f>
        <v>0</v>
      </c>
      <c r="BA571" s="76"/>
      <c r="BB571" s="37"/>
      <c r="BC571" s="89">
        <f>tbl_Actual_costs_quantities34[[#This Row],[Accessibility Adaptations]]*BOQs!$L$16</f>
        <v>0</v>
      </c>
      <c r="BD571" s="41"/>
      <c r="BE571" s="37"/>
      <c r="BF571" s="37"/>
    </row>
    <row r="572" spans="2:58" ht="25.15" customHeight="1" x14ac:dyDescent="0.25">
      <c r="B572" s="49">
        <v>568</v>
      </c>
      <c r="C572" s="37"/>
      <c r="D572" s="41"/>
      <c r="E572" s="40"/>
      <c r="F572" s="87" t="str">
        <f>IF(tbl_Actual_costs_quantities34[[#This Row],[House Code]]&lt;&gt;"",INDEX(tbl_Assessment[],MATCH(tbl_Actual_costs_quantities34[[#This Row],[House Code]],tbl_Assessment[House Code],0),3),"")</f>
        <v/>
      </c>
      <c r="G572" s="116" t="str">
        <f>IF(tbl_Actual_costs_quantities34[[#This Row],[House Code]]&lt;&gt;"",INDEX(tbl_Assessment[],MATCH(tbl_Actual_costs_quantities34[[#This Row],[House Code]],tbl_Assessment[House Code],0),9),"")</f>
        <v/>
      </c>
      <c r="H572" s="41"/>
      <c r="I572" s="41"/>
      <c r="J572" s="41"/>
      <c r="K572" s="116"/>
      <c r="L572" s="117" t="str">
        <f>IF(tbl_Actual_costs_quantities34[[#This Row],[House Code]]&lt;&gt;"",tbl_Actual_costs_quantities34[[#This Row],[Total cost]]/INDEX(tbl_estimated_costs_quantities[],MATCH(tbl_Actual_costs_quantities34[[#This Row],[House Code]],tbl_estimated_costs_quantities[House Code],0),7),"")</f>
        <v/>
      </c>
      <c r="M57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2" s="75"/>
      <c r="O572" s="37"/>
      <c r="P572" s="86">
        <f>tbl_Actual_costs_quantities34[[#This Row],[Site Preparation]]*BOQs!$L$3</f>
        <v>0</v>
      </c>
      <c r="Q572" s="76"/>
      <c r="R572" s="37"/>
      <c r="S572" s="86">
        <f>tbl_Actual_costs_quantities34[[#This Row],[Demolition Removal Unsafe Structures]]*BOQs!$L$4</f>
        <v>0</v>
      </c>
      <c r="T572" s="76"/>
      <c r="U572" s="37"/>
      <c r="V572" s="86">
        <f>tbl_Actual_costs_quantities34[[#This Row],[Concrete Works]]*BOQs!$L$5</f>
        <v>0</v>
      </c>
      <c r="W572" s="76"/>
      <c r="X572" s="37"/>
      <c r="Y572" s="86">
        <f>tbl_Actual_costs_quantities34[[#This Row],[Closure External Openings Walls Windows]]*BOQs!$L$6</f>
        <v>0</v>
      </c>
      <c r="Z572" s="76"/>
      <c r="AA572" s="37"/>
      <c r="AB572" s="86">
        <f>tbl_Actual_costs_quantities34[[#This Row],[Plastering Painting]]*BOQs!$L$7</f>
        <v>0</v>
      </c>
      <c r="AC572" s="76"/>
      <c r="AD572" s="37"/>
      <c r="AE572" s="86">
        <f>tbl_Actual_costs_quantities34[[#This Row],[Floor Repairs]]*BOQs!$L$8</f>
        <v>0</v>
      </c>
      <c r="AF572" s="76"/>
      <c r="AG572" s="37"/>
      <c r="AH572" s="86">
        <f>tbl_Actual_costs_quantities34[[#This Row],[Doors Replacement Repair]]*BOQs!$L$9</f>
        <v>0</v>
      </c>
      <c r="AI572" s="76"/>
      <c r="AJ572" s="37"/>
      <c r="AK572" s="86">
        <f>tbl_Actual_costs_quantities34[[#This Row],[Windows Replacement Repair]]*BOQs!$L$10</f>
        <v>0</v>
      </c>
      <c r="AL572" s="76"/>
      <c r="AM572" s="37"/>
      <c r="AN572" s="86">
        <f>tbl_Actual_costs_quantities34[[#This Row],[Bathroom Rehabilitation]]*BOQs!$L$11</f>
        <v>0</v>
      </c>
      <c r="AO572" s="76"/>
      <c r="AP572" s="37"/>
      <c r="AQ572" s="86">
        <f>tbl_Actual_costs_quantities34[[#This Row],[Ceramic Tile Works WASH]]*BOQs!$L$12</f>
        <v>0</v>
      </c>
      <c r="AR572" s="76"/>
      <c r="AS572" s="37"/>
      <c r="AT572" s="86">
        <f>tbl_Actual_costs_quantities34[[#This Row],[Electrical Repairs Lighting]]*BOQs!$L$13</f>
        <v>0</v>
      </c>
      <c r="AU572" s="76"/>
      <c r="AV572" s="37"/>
      <c r="AW572" s="86">
        <f>tbl_Actual_costs_quantities34[[#This Row],[Roof Insulation Leak Sealing]]*BOQs!$L$14</f>
        <v>0</v>
      </c>
      <c r="AX572" s="76"/>
      <c r="AY572" s="37"/>
      <c r="AZ572" s="86">
        <f>tbl_Actual_costs_quantities34[[#This Row],[Chimney Duct Cleaning Repair]]*BOQs!$L$15</f>
        <v>0</v>
      </c>
      <c r="BA572" s="76"/>
      <c r="BB572" s="37"/>
      <c r="BC572" s="89">
        <f>tbl_Actual_costs_quantities34[[#This Row],[Accessibility Adaptations]]*BOQs!$L$16</f>
        <v>0</v>
      </c>
      <c r="BD572" s="41"/>
      <c r="BE572" s="37"/>
      <c r="BF572" s="37"/>
    </row>
    <row r="573" spans="2:58" ht="25.15" customHeight="1" x14ac:dyDescent="0.25">
      <c r="B573" s="49">
        <v>569</v>
      </c>
      <c r="C573" s="37"/>
      <c r="D573" s="41"/>
      <c r="E573" s="40"/>
      <c r="F573" s="87" t="str">
        <f>IF(tbl_Actual_costs_quantities34[[#This Row],[House Code]]&lt;&gt;"",INDEX(tbl_Assessment[],MATCH(tbl_Actual_costs_quantities34[[#This Row],[House Code]],tbl_Assessment[House Code],0),3),"")</f>
        <v/>
      </c>
      <c r="G573" s="116" t="str">
        <f>IF(tbl_Actual_costs_quantities34[[#This Row],[House Code]]&lt;&gt;"",INDEX(tbl_Assessment[],MATCH(tbl_Actual_costs_quantities34[[#This Row],[House Code]],tbl_Assessment[House Code],0),9),"")</f>
        <v/>
      </c>
      <c r="H573" s="41"/>
      <c r="I573" s="41"/>
      <c r="J573" s="41"/>
      <c r="K573" s="116"/>
      <c r="L573" s="117" t="str">
        <f>IF(tbl_Actual_costs_quantities34[[#This Row],[House Code]]&lt;&gt;"",tbl_Actual_costs_quantities34[[#This Row],[Total cost]]/INDEX(tbl_estimated_costs_quantities[],MATCH(tbl_Actual_costs_quantities34[[#This Row],[House Code]],tbl_estimated_costs_quantities[House Code],0),7),"")</f>
        <v/>
      </c>
      <c r="M57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3" s="75"/>
      <c r="O573" s="37"/>
      <c r="P573" s="86">
        <f>tbl_Actual_costs_quantities34[[#This Row],[Site Preparation]]*BOQs!$L$3</f>
        <v>0</v>
      </c>
      <c r="Q573" s="76"/>
      <c r="R573" s="37"/>
      <c r="S573" s="86">
        <f>tbl_Actual_costs_quantities34[[#This Row],[Demolition Removal Unsafe Structures]]*BOQs!$L$4</f>
        <v>0</v>
      </c>
      <c r="T573" s="76"/>
      <c r="U573" s="37"/>
      <c r="V573" s="86">
        <f>tbl_Actual_costs_quantities34[[#This Row],[Concrete Works]]*BOQs!$L$5</f>
        <v>0</v>
      </c>
      <c r="W573" s="76"/>
      <c r="X573" s="37"/>
      <c r="Y573" s="86">
        <f>tbl_Actual_costs_quantities34[[#This Row],[Closure External Openings Walls Windows]]*BOQs!$L$6</f>
        <v>0</v>
      </c>
      <c r="Z573" s="76"/>
      <c r="AA573" s="37"/>
      <c r="AB573" s="86">
        <f>tbl_Actual_costs_quantities34[[#This Row],[Plastering Painting]]*BOQs!$L$7</f>
        <v>0</v>
      </c>
      <c r="AC573" s="76"/>
      <c r="AD573" s="37"/>
      <c r="AE573" s="86">
        <f>tbl_Actual_costs_quantities34[[#This Row],[Floor Repairs]]*BOQs!$L$8</f>
        <v>0</v>
      </c>
      <c r="AF573" s="76"/>
      <c r="AG573" s="37"/>
      <c r="AH573" s="86">
        <f>tbl_Actual_costs_quantities34[[#This Row],[Doors Replacement Repair]]*BOQs!$L$9</f>
        <v>0</v>
      </c>
      <c r="AI573" s="76"/>
      <c r="AJ573" s="37"/>
      <c r="AK573" s="86">
        <f>tbl_Actual_costs_quantities34[[#This Row],[Windows Replacement Repair]]*BOQs!$L$10</f>
        <v>0</v>
      </c>
      <c r="AL573" s="76"/>
      <c r="AM573" s="37"/>
      <c r="AN573" s="86">
        <f>tbl_Actual_costs_quantities34[[#This Row],[Bathroom Rehabilitation]]*BOQs!$L$11</f>
        <v>0</v>
      </c>
      <c r="AO573" s="76"/>
      <c r="AP573" s="37"/>
      <c r="AQ573" s="86">
        <f>tbl_Actual_costs_quantities34[[#This Row],[Ceramic Tile Works WASH]]*BOQs!$L$12</f>
        <v>0</v>
      </c>
      <c r="AR573" s="76"/>
      <c r="AS573" s="37"/>
      <c r="AT573" s="86">
        <f>tbl_Actual_costs_quantities34[[#This Row],[Electrical Repairs Lighting]]*BOQs!$L$13</f>
        <v>0</v>
      </c>
      <c r="AU573" s="76"/>
      <c r="AV573" s="37"/>
      <c r="AW573" s="86">
        <f>tbl_Actual_costs_quantities34[[#This Row],[Roof Insulation Leak Sealing]]*BOQs!$L$14</f>
        <v>0</v>
      </c>
      <c r="AX573" s="76"/>
      <c r="AY573" s="37"/>
      <c r="AZ573" s="86">
        <f>tbl_Actual_costs_quantities34[[#This Row],[Chimney Duct Cleaning Repair]]*BOQs!$L$15</f>
        <v>0</v>
      </c>
      <c r="BA573" s="76"/>
      <c r="BB573" s="37"/>
      <c r="BC573" s="89">
        <f>tbl_Actual_costs_quantities34[[#This Row],[Accessibility Adaptations]]*BOQs!$L$16</f>
        <v>0</v>
      </c>
      <c r="BD573" s="41"/>
      <c r="BE573" s="37"/>
      <c r="BF573" s="37"/>
    </row>
    <row r="574" spans="2:58" ht="25.15" customHeight="1" x14ac:dyDescent="0.25">
      <c r="B574" s="49">
        <v>570</v>
      </c>
      <c r="C574" s="37"/>
      <c r="D574" s="41"/>
      <c r="E574" s="40"/>
      <c r="F574" s="87" t="str">
        <f>IF(tbl_Actual_costs_quantities34[[#This Row],[House Code]]&lt;&gt;"",INDEX(tbl_Assessment[],MATCH(tbl_Actual_costs_quantities34[[#This Row],[House Code]],tbl_Assessment[House Code],0),3),"")</f>
        <v/>
      </c>
      <c r="G574" s="116" t="str">
        <f>IF(tbl_Actual_costs_quantities34[[#This Row],[House Code]]&lt;&gt;"",INDEX(tbl_Assessment[],MATCH(tbl_Actual_costs_quantities34[[#This Row],[House Code]],tbl_Assessment[House Code],0),9),"")</f>
        <v/>
      </c>
      <c r="H574" s="41"/>
      <c r="I574" s="41"/>
      <c r="J574" s="41"/>
      <c r="K574" s="116"/>
      <c r="L574" s="117" t="str">
        <f>IF(tbl_Actual_costs_quantities34[[#This Row],[House Code]]&lt;&gt;"",tbl_Actual_costs_quantities34[[#This Row],[Total cost]]/INDEX(tbl_estimated_costs_quantities[],MATCH(tbl_Actual_costs_quantities34[[#This Row],[House Code]],tbl_estimated_costs_quantities[House Code],0),7),"")</f>
        <v/>
      </c>
      <c r="M57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4" s="75"/>
      <c r="O574" s="37"/>
      <c r="P574" s="86">
        <f>tbl_Actual_costs_quantities34[[#This Row],[Site Preparation]]*BOQs!$L$3</f>
        <v>0</v>
      </c>
      <c r="Q574" s="76"/>
      <c r="R574" s="37"/>
      <c r="S574" s="86">
        <f>tbl_Actual_costs_quantities34[[#This Row],[Demolition Removal Unsafe Structures]]*BOQs!$L$4</f>
        <v>0</v>
      </c>
      <c r="T574" s="76"/>
      <c r="U574" s="37"/>
      <c r="V574" s="86">
        <f>tbl_Actual_costs_quantities34[[#This Row],[Concrete Works]]*BOQs!$L$5</f>
        <v>0</v>
      </c>
      <c r="W574" s="76"/>
      <c r="X574" s="37"/>
      <c r="Y574" s="86">
        <f>tbl_Actual_costs_quantities34[[#This Row],[Closure External Openings Walls Windows]]*BOQs!$L$6</f>
        <v>0</v>
      </c>
      <c r="Z574" s="76"/>
      <c r="AA574" s="37"/>
      <c r="AB574" s="86">
        <f>tbl_Actual_costs_quantities34[[#This Row],[Plastering Painting]]*BOQs!$L$7</f>
        <v>0</v>
      </c>
      <c r="AC574" s="76"/>
      <c r="AD574" s="37"/>
      <c r="AE574" s="86">
        <f>tbl_Actual_costs_quantities34[[#This Row],[Floor Repairs]]*BOQs!$L$8</f>
        <v>0</v>
      </c>
      <c r="AF574" s="76"/>
      <c r="AG574" s="37"/>
      <c r="AH574" s="86">
        <f>tbl_Actual_costs_quantities34[[#This Row],[Doors Replacement Repair]]*BOQs!$L$9</f>
        <v>0</v>
      </c>
      <c r="AI574" s="76"/>
      <c r="AJ574" s="37"/>
      <c r="AK574" s="86">
        <f>tbl_Actual_costs_quantities34[[#This Row],[Windows Replacement Repair]]*BOQs!$L$10</f>
        <v>0</v>
      </c>
      <c r="AL574" s="76"/>
      <c r="AM574" s="37"/>
      <c r="AN574" s="86">
        <f>tbl_Actual_costs_quantities34[[#This Row],[Bathroom Rehabilitation]]*BOQs!$L$11</f>
        <v>0</v>
      </c>
      <c r="AO574" s="76"/>
      <c r="AP574" s="37"/>
      <c r="AQ574" s="86">
        <f>tbl_Actual_costs_quantities34[[#This Row],[Ceramic Tile Works WASH]]*BOQs!$L$12</f>
        <v>0</v>
      </c>
      <c r="AR574" s="76"/>
      <c r="AS574" s="37"/>
      <c r="AT574" s="86">
        <f>tbl_Actual_costs_quantities34[[#This Row],[Electrical Repairs Lighting]]*BOQs!$L$13</f>
        <v>0</v>
      </c>
      <c r="AU574" s="76"/>
      <c r="AV574" s="37"/>
      <c r="AW574" s="86">
        <f>tbl_Actual_costs_quantities34[[#This Row],[Roof Insulation Leak Sealing]]*BOQs!$L$14</f>
        <v>0</v>
      </c>
      <c r="AX574" s="76"/>
      <c r="AY574" s="37"/>
      <c r="AZ574" s="86">
        <f>tbl_Actual_costs_quantities34[[#This Row],[Chimney Duct Cleaning Repair]]*BOQs!$L$15</f>
        <v>0</v>
      </c>
      <c r="BA574" s="76"/>
      <c r="BB574" s="37"/>
      <c r="BC574" s="89">
        <f>tbl_Actual_costs_quantities34[[#This Row],[Accessibility Adaptations]]*BOQs!$L$16</f>
        <v>0</v>
      </c>
      <c r="BD574" s="41"/>
      <c r="BE574" s="37"/>
      <c r="BF574" s="37"/>
    </row>
    <row r="575" spans="2:58" ht="25.15" customHeight="1" x14ac:dyDescent="0.25">
      <c r="B575" s="49">
        <v>571</v>
      </c>
      <c r="C575" s="37"/>
      <c r="D575" s="41"/>
      <c r="E575" s="40"/>
      <c r="F575" s="87" t="str">
        <f>IF(tbl_Actual_costs_quantities34[[#This Row],[House Code]]&lt;&gt;"",INDEX(tbl_Assessment[],MATCH(tbl_Actual_costs_quantities34[[#This Row],[House Code]],tbl_Assessment[House Code],0),3),"")</f>
        <v/>
      </c>
      <c r="G575" s="116" t="str">
        <f>IF(tbl_Actual_costs_quantities34[[#This Row],[House Code]]&lt;&gt;"",INDEX(tbl_Assessment[],MATCH(tbl_Actual_costs_quantities34[[#This Row],[House Code]],tbl_Assessment[House Code],0),9),"")</f>
        <v/>
      </c>
      <c r="H575" s="41"/>
      <c r="I575" s="41"/>
      <c r="J575" s="41"/>
      <c r="K575" s="116"/>
      <c r="L575" s="117" t="str">
        <f>IF(tbl_Actual_costs_quantities34[[#This Row],[House Code]]&lt;&gt;"",tbl_Actual_costs_quantities34[[#This Row],[Total cost]]/INDEX(tbl_estimated_costs_quantities[],MATCH(tbl_Actual_costs_quantities34[[#This Row],[House Code]],tbl_estimated_costs_quantities[House Code],0),7),"")</f>
        <v/>
      </c>
      <c r="M57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5" s="75"/>
      <c r="O575" s="37"/>
      <c r="P575" s="86">
        <f>tbl_Actual_costs_quantities34[[#This Row],[Site Preparation]]*BOQs!$L$3</f>
        <v>0</v>
      </c>
      <c r="Q575" s="76"/>
      <c r="R575" s="37"/>
      <c r="S575" s="86">
        <f>tbl_Actual_costs_quantities34[[#This Row],[Demolition Removal Unsafe Structures]]*BOQs!$L$4</f>
        <v>0</v>
      </c>
      <c r="T575" s="76"/>
      <c r="U575" s="37"/>
      <c r="V575" s="86">
        <f>tbl_Actual_costs_quantities34[[#This Row],[Concrete Works]]*BOQs!$L$5</f>
        <v>0</v>
      </c>
      <c r="W575" s="76"/>
      <c r="X575" s="37"/>
      <c r="Y575" s="86">
        <f>tbl_Actual_costs_quantities34[[#This Row],[Closure External Openings Walls Windows]]*BOQs!$L$6</f>
        <v>0</v>
      </c>
      <c r="Z575" s="76"/>
      <c r="AA575" s="37"/>
      <c r="AB575" s="86">
        <f>tbl_Actual_costs_quantities34[[#This Row],[Plastering Painting]]*BOQs!$L$7</f>
        <v>0</v>
      </c>
      <c r="AC575" s="76"/>
      <c r="AD575" s="37"/>
      <c r="AE575" s="86">
        <f>tbl_Actual_costs_quantities34[[#This Row],[Floor Repairs]]*BOQs!$L$8</f>
        <v>0</v>
      </c>
      <c r="AF575" s="76"/>
      <c r="AG575" s="37"/>
      <c r="AH575" s="86">
        <f>tbl_Actual_costs_quantities34[[#This Row],[Doors Replacement Repair]]*BOQs!$L$9</f>
        <v>0</v>
      </c>
      <c r="AI575" s="76"/>
      <c r="AJ575" s="37"/>
      <c r="AK575" s="86">
        <f>tbl_Actual_costs_quantities34[[#This Row],[Windows Replacement Repair]]*BOQs!$L$10</f>
        <v>0</v>
      </c>
      <c r="AL575" s="76"/>
      <c r="AM575" s="37"/>
      <c r="AN575" s="86">
        <f>tbl_Actual_costs_quantities34[[#This Row],[Bathroom Rehabilitation]]*BOQs!$L$11</f>
        <v>0</v>
      </c>
      <c r="AO575" s="76"/>
      <c r="AP575" s="37"/>
      <c r="AQ575" s="86">
        <f>tbl_Actual_costs_quantities34[[#This Row],[Ceramic Tile Works WASH]]*BOQs!$L$12</f>
        <v>0</v>
      </c>
      <c r="AR575" s="76"/>
      <c r="AS575" s="37"/>
      <c r="AT575" s="86">
        <f>tbl_Actual_costs_quantities34[[#This Row],[Electrical Repairs Lighting]]*BOQs!$L$13</f>
        <v>0</v>
      </c>
      <c r="AU575" s="76"/>
      <c r="AV575" s="37"/>
      <c r="AW575" s="86">
        <f>tbl_Actual_costs_quantities34[[#This Row],[Roof Insulation Leak Sealing]]*BOQs!$L$14</f>
        <v>0</v>
      </c>
      <c r="AX575" s="76"/>
      <c r="AY575" s="37"/>
      <c r="AZ575" s="86">
        <f>tbl_Actual_costs_quantities34[[#This Row],[Chimney Duct Cleaning Repair]]*BOQs!$L$15</f>
        <v>0</v>
      </c>
      <c r="BA575" s="76"/>
      <c r="BB575" s="37"/>
      <c r="BC575" s="89">
        <f>tbl_Actual_costs_quantities34[[#This Row],[Accessibility Adaptations]]*BOQs!$L$16</f>
        <v>0</v>
      </c>
      <c r="BD575" s="41"/>
      <c r="BE575" s="37"/>
      <c r="BF575" s="37"/>
    </row>
    <row r="576" spans="2:58" ht="25.15" customHeight="1" x14ac:dyDescent="0.25">
      <c r="B576" s="49">
        <v>572</v>
      </c>
      <c r="C576" s="37"/>
      <c r="D576" s="41"/>
      <c r="E576" s="40"/>
      <c r="F576" s="87" t="str">
        <f>IF(tbl_Actual_costs_quantities34[[#This Row],[House Code]]&lt;&gt;"",INDEX(tbl_Assessment[],MATCH(tbl_Actual_costs_quantities34[[#This Row],[House Code]],tbl_Assessment[House Code],0),3),"")</f>
        <v/>
      </c>
      <c r="G576" s="116" t="str">
        <f>IF(tbl_Actual_costs_quantities34[[#This Row],[House Code]]&lt;&gt;"",INDEX(tbl_Assessment[],MATCH(tbl_Actual_costs_quantities34[[#This Row],[House Code]],tbl_Assessment[House Code],0),9),"")</f>
        <v/>
      </c>
      <c r="H576" s="41"/>
      <c r="I576" s="41"/>
      <c r="J576" s="41"/>
      <c r="K576" s="116"/>
      <c r="L576" s="117" t="str">
        <f>IF(tbl_Actual_costs_quantities34[[#This Row],[House Code]]&lt;&gt;"",tbl_Actual_costs_quantities34[[#This Row],[Total cost]]/INDEX(tbl_estimated_costs_quantities[],MATCH(tbl_Actual_costs_quantities34[[#This Row],[House Code]],tbl_estimated_costs_quantities[House Code],0),7),"")</f>
        <v/>
      </c>
      <c r="M57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6" s="75"/>
      <c r="O576" s="37"/>
      <c r="P576" s="86">
        <f>tbl_Actual_costs_quantities34[[#This Row],[Site Preparation]]*BOQs!$L$3</f>
        <v>0</v>
      </c>
      <c r="Q576" s="76"/>
      <c r="R576" s="37"/>
      <c r="S576" s="86">
        <f>tbl_Actual_costs_quantities34[[#This Row],[Demolition Removal Unsafe Structures]]*BOQs!$L$4</f>
        <v>0</v>
      </c>
      <c r="T576" s="76"/>
      <c r="U576" s="37"/>
      <c r="V576" s="86">
        <f>tbl_Actual_costs_quantities34[[#This Row],[Concrete Works]]*BOQs!$L$5</f>
        <v>0</v>
      </c>
      <c r="W576" s="76"/>
      <c r="X576" s="37"/>
      <c r="Y576" s="86">
        <f>tbl_Actual_costs_quantities34[[#This Row],[Closure External Openings Walls Windows]]*BOQs!$L$6</f>
        <v>0</v>
      </c>
      <c r="Z576" s="76"/>
      <c r="AA576" s="37"/>
      <c r="AB576" s="86">
        <f>tbl_Actual_costs_quantities34[[#This Row],[Plastering Painting]]*BOQs!$L$7</f>
        <v>0</v>
      </c>
      <c r="AC576" s="76"/>
      <c r="AD576" s="37"/>
      <c r="AE576" s="86">
        <f>tbl_Actual_costs_quantities34[[#This Row],[Floor Repairs]]*BOQs!$L$8</f>
        <v>0</v>
      </c>
      <c r="AF576" s="76"/>
      <c r="AG576" s="37"/>
      <c r="AH576" s="86">
        <f>tbl_Actual_costs_quantities34[[#This Row],[Doors Replacement Repair]]*BOQs!$L$9</f>
        <v>0</v>
      </c>
      <c r="AI576" s="76"/>
      <c r="AJ576" s="37"/>
      <c r="AK576" s="86">
        <f>tbl_Actual_costs_quantities34[[#This Row],[Windows Replacement Repair]]*BOQs!$L$10</f>
        <v>0</v>
      </c>
      <c r="AL576" s="76"/>
      <c r="AM576" s="37"/>
      <c r="AN576" s="86">
        <f>tbl_Actual_costs_quantities34[[#This Row],[Bathroom Rehabilitation]]*BOQs!$L$11</f>
        <v>0</v>
      </c>
      <c r="AO576" s="76"/>
      <c r="AP576" s="37"/>
      <c r="AQ576" s="86">
        <f>tbl_Actual_costs_quantities34[[#This Row],[Ceramic Tile Works WASH]]*BOQs!$L$12</f>
        <v>0</v>
      </c>
      <c r="AR576" s="76"/>
      <c r="AS576" s="37"/>
      <c r="AT576" s="86">
        <f>tbl_Actual_costs_quantities34[[#This Row],[Electrical Repairs Lighting]]*BOQs!$L$13</f>
        <v>0</v>
      </c>
      <c r="AU576" s="76"/>
      <c r="AV576" s="37"/>
      <c r="AW576" s="86">
        <f>tbl_Actual_costs_quantities34[[#This Row],[Roof Insulation Leak Sealing]]*BOQs!$L$14</f>
        <v>0</v>
      </c>
      <c r="AX576" s="76"/>
      <c r="AY576" s="37"/>
      <c r="AZ576" s="86">
        <f>tbl_Actual_costs_quantities34[[#This Row],[Chimney Duct Cleaning Repair]]*BOQs!$L$15</f>
        <v>0</v>
      </c>
      <c r="BA576" s="76"/>
      <c r="BB576" s="37"/>
      <c r="BC576" s="89">
        <f>tbl_Actual_costs_quantities34[[#This Row],[Accessibility Adaptations]]*BOQs!$L$16</f>
        <v>0</v>
      </c>
      <c r="BD576" s="41"/>
      <c r="BE576" s="37"/>
      <c r="BF576" s="37"/>
    </row>
    <row r="577" spans="2:58" ht="25.15" customHeight="1" x14ac:dyDescent="0.25">
      <c r="B577" s="49">
        <v>573</v>
      </c>
      <c r="C577" s="37"/>
      <c r="D577" s="41"/>
      <c r="E577" s="40"/>
      <c r="F577" s="87" t="str">
        <f>IF(tbl_Actual_costs_quantities34[[#This Row],[House Code]]&lt;&gt;"",INDEX(tbl_Assessment[],MATCH(tbl_Actual_costs_quantities34[[#This Row],[House Code]],tbl_Assessment[House Code],0),3),"")</f>
        <v/>
      </c>
      <c r="G577" s="116" t="str">
        <f>IF(tbl_Actual_costs_quantities34[[#This Row],[House Code]]&lt;&gt;"",INDEX(tbl_Assessment[],MATCH(tbl_Actual_costs_quantities34[[#This Row],[House Code]],tbl_Assessment[House Code],0),9),"")</f>
        <v/>
      </c>
      <c r="H577" s="41"/>
      <c r="I577" s="41"/>
      <c r="J577" s="41"/>
      <c r="K577" s="116"/>
      <c r="L577" s="117" t="str">
        <f>IF(tbl_Actual_costs_quantities34[[#This Row],[House Code]]&lt;&gt;"",tbl_Actual_costs_quantities34[[#This Row],[Total cost]]/INDEX(tbl_estimated_costs_quantities[],MATCH(tbl_Actual_costs_quantities34[[#This Row],[House Code]],tbl_estimated_costs_quantities[House Code],0),7),"")</f>
        <v/>
      </c>
      <c r="M57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7" s="75"/>
      <c r="O577" s="37"/>
      <c r="P577" s="86">
        <f>tbl_Actual_costs_quantities34[[#This Row],[Site Preparation]]*BOQs!$L$3</f>
        <v>0</v>
      </c>
      <c r="Q577" s="76"/>
      <c r="R577" s="37"/>
      <c r="S577" s="86">
        <f>tbl_Actual_costs_quantities34[[#This Row],[Demolition Removal Unsafe Structures]]*BOQs!$L$4</f>
        <v>0</v>
      </c>
      <c r="T577" s="76"/>
      <c r="U577" s="37"/>
      <c r="V577" s="86">
        <f>tbl_Actual_costs_quantities34[[#This Row],[Concrete Works]]*BOQs!$L$5</f>
        <v>0</v>
      </c>
      <c r="W577" s="76"/>
      <c r="X577" s="37"/>
      <c r="Y577" s="86">
        <f>tbl_Actual_costs_quantities34[[#This Row],[Closure External Openings Walls Windows]]*BOQs!$L$6</f>
        <v>0</v>
      </c>
      <c r="Z577" s="76"/>
      <c r="AA577" s="37"/>
      <c r="AB577" s="86">
        <f>tbl_Actual_costs_quantities34[[#This Row],[Plastering Painting]]*BOQs!$L$7</f>
        <v>0</v>
      </c>
      <c r="AC577" s="76"/>
      <c r="AD577" s="37"/>
      <c r="AE577" s="86">
        <f>tbl_Actual_costs_quantities34[[#This Row],[Floor Repairs]]*BOQs!$L$8</f>
        <v>0</v>
      </c>
      <c r="AF577" s="76"/>
      <c r="AG577" s="37"/>
      <c r="AH577" s="86">
        <f>tbl_Actual_costs_quantities34[[#This Row],[Doors Replacement Repair]]*BOQs!$L$9</f>
        <v>0</v>
      </c>
      <c r="AI577" s="76"/>
      <c r="AJ577" s="37"/>
      <c r="AK577" s="86">
        <f>tbl_Actual_costs_quantities34[[#This Row],[Windows Replacement Repair]]*BOQs!$L$10</f>
        <v>0</v>
      </c>
      <c r="AL577" s="76"/>
      <c r="AM577" s="37"/>
      <c r="AN577" s="86">
        <f>tbl_Actual_costs_quantities34[[#This Row],[Bathroom Rehabilitation]]*BOQs!$L$11</f>
        <v>0</v>
      </c>
      <c r="AO577" s="76"/>
      <c r="AP577" s="37"/>
      <c r="AQ577" s="86">
        <f>tbl_Actual_costs_quantities34[[#This Row],[Ceramic Tile Works WASH]]*BOQs!$L$12</f>
        <v>0</v>
      </c>
      <c r="AR577" s="76"/>
      <c r="AS577" s="37"/>
      <c r="AT577" s="86">
        <f>tbl_Actual_costs_quantities34[[#This Row],[Electrical Repairs Lighting]]*BOQs!$L$13</f>
        <v>0</v>
      </c>
      <c r="AU577" s="76"/>
      <c r="AV577" s="37"/>
      <c r="AW577" s="86">
        <f>tbl_Actual_costs_quantities34[[#This Row],[Roof Insulation Leak Sealing]]*BOQs!$L$14</f>
        <v>0</v>
      </c>
      <c r="AX577" s="76"/>
      <c r="AY577" s="37"/>
      <c r="AZ577" s="86">
        <f>tbl_Actual_costs_quantities34[[#This Row],[Chimney Duct Cleaning Repair]]*BOQs!$L$15</f>
        <v>0</v>
      </c>
      <c r="BA577" s="76"/>
      <c r="BB577" s="37"/>
      <c r="BC577" s="89">
        <f>tbl_Actual_costs_quantities34[[#This Row],[Accessibility Adaptations]]*BOQs!$L$16</f>
        <v>0</v>
      </c>
      <c r="BD577" s="41"/>
      <c r="BE577" s="37"/>
      <c r="BF577" s="37"/>
    </row>
    <row r="578" spans="2:58" ht="25.15" customHeight="1" x14ac:dyDescent="0.25">
      <c r="B578" s="49">
        <v>574</v>
      </c>
      <c r="C578" s="37"/>
      <c r="D578" s="41"/>
      <c r="E578" s="40"/>
      <c r="F578" s="87" t="str">
        <f>IF(tbl_Actual_costs_quantities34[[#This Row],[House Code]]&lt;&gt;"",INDEX(tbl_Assessment[],MATCH(tbl_Actual_costs_quantities34[[#This Row],[House Code]],tbl_Assessment[House Code],0),3),"")</f>
        <v/>
      </c>
      <c r="G578" s="116" t="str">
        <f>IF(tbl_Actual_costs_quantities34[[#This Row],[House Code]]&lt;&gt;"",INDEX(tbl_Assessment[],MATCH(tbl_Actual_costs_quantities34[[#This Row],[House Code]],tbl_Assessment[House Code],0),9),"")</f>
        <v/>
      </c>
      <c r="H578" s="41"/>
      <c r="I578" s="41"/>
      <c r="J578" s="41"/>
      <c r="K578" s="116"/>
      <c r="L578" s="117" t="str">
        <f>IF(tbl_Actual_costs_quantities34[[#This Row],[House Code]]&lt;&gt;"",tbl_Actual_costs_quantities34[[#This Row],[Total cost]]/INDEX(tbl_estimated_costs_quantities[],MATCH(tbl_Actual_costs_quantities34[[#This Row],[House Code]],tbl_estimated_costs_quantities[House Code],0),7),"")</f>
        <v/>
      </c>
      <c r="M57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8" s="75"/>
      <c r="O578" s="37"/>
      <c r="P578" s="86">
        <f>tbl_Actual_costs_quantities34[[#This Row],[Site Preparation]]*BOQs!$L$3</f>
        <v>0</v>
      </c>
      <c r="Q578" s="76"/>
      <c r="R578" s="37"/>
      <c r="S578" s="86">
        <f>tbl_Actual_costs_quantities34[[#This Row],[Demolition Removal Unsafe Structures]]*BOQs!$L$4</f>
        <v>0</v>
      </c>
      <c r="T578" s="76"/>
      <c r="U578" s="37"/>
      <c r="V578" s="86">
        <f>tbl_Actual_costs_quantities34[[#This Row],[Concrete Works]]*BOQs!$L$5</f>
        <v>0</v>
      </c>
      <c r="W578" s="76"/>
      <c r="X578" s="37"/>
      <c r="Y578" s="86">
        <f>tbl_Actual_costs_quantities34[[#This Row],[Closure External Openings Walls Windows]]*BOQs!$L$6</f>
        <v>0</v>
      </c>
      <c r="Z578" s="76"/>
      <c r="AA578" s="37"/>
      <c r="AB578" s="86">
        <f>tbl_Actual_costs_quantities34[[#This Row],[Plastering Painting]]*BOQs!$L$7</f>
        <v>0</v>
      </c>
      <c r="AC578" s="76"/>
      <c r="AD578" s="37"/>
      <c r="AE578" s="86">
        <f>tbl_Actual_costs_quantities34[[#This Row],[Floor Repairs]]*BOQs!$L$8</f>
        <v>0</v>
      </c>
      <c r="AF578" s="76"/>
      <c r="AG578" s="37"/>
      <c r="AH578" s="86">
        <f>tbl_Actual_costs_quantities34[[#This Row],[Doors Replacement Repair]]*BOQs!$L$9</f>
        <v>0</v>
      </c>
      <c r="AI578" s="76"/>
      <c r="AJ578" s="37"/>
      <c r="AK578" s="86">
        <f>tbl_Actual_costs_quantities34[[#This Row],[Windows Replacement Repair]]*BOQs!$L$10</f>
        <v>0</v>
      </c>
      <c r="AL578" s="76"/>
      <c r="AM578" s="37"/>
      <c r="AN578" s="86">
        <f>tbl_Actual_costs_quantities34[[#This Row],[Bathroom Rehabilitation]]*BOQs!$L$11</f>
        <v>0</v>
      </c>
      <c r="AO578" s="76"/>
      <c r="AP578" s="37"/>
      <c r="AQ578" s="86">
        <f>tbl_Actual_costs_quantities34[[#This Row],[Ceramic Tile Works WASH]]*BOQs!$L$12</f>
        <v>0</v>
      </c>
      <c r="AR578" s="76"/>
      <c r="AS578" s="37"/>
      <c r="AT578" s="86">
        <f>tbl_Actual_costs_quantities34[[#This Row],[Electrical Repairs Lighting]]*BOQs!$L$13</f>
        <v>0</v>
      </c>
      <c r="AU578" s="76"/>
      <c r="AV578" s="37"/>
      <c r="AW578" s="86">
        <f>tbl_Actual_costs_quantities34[[#This Row],[Roof Insulation Leak Sealing]]*BOQs!$L$14</f>
        <v>0</v>
      </c>
      <c r="AX578" s="76"/>
      <c r="AY578" s="37"/>
      <c r="AZ578" s="86">
        <f>tbl_Actual_costs_quantities34[[#This Row],[Chimney Duct Cleaning Repair]]*BOQs!$L$15</f>
        <v>0</v>
      </c>
      <c r="BA578" s="76"/>
      <c r="BB578" s="37"/>
      <c r="BC578" s="89">
        <f>tbl_Actual_costs_quantities34[[#This Row],[Accessibility Adaptations]]*BOQs!$L$16</f>
        <v>0</v>
      </c>
      <c r="BD578" s="41"/>
      <c r="BE578" s="37"/>
      <c r="BF578" s="37"/>
    </row>
    <row r="579" spans="2:58" ht="25.15" customHeight="1" x14ac:dyDescent="0.25">
      <c r="B579" s="49">
        <v>575</v>
      </c>
      <c r="C579" s="37"/>
      <c r="D579" s="41"/>
      <c r="E579" s="40"/>
      <c r="F579" s="87" t="str">
        <f>IF(tbl_Actual_costs_quantities34[[#This Row],[House Code]]&lt;&gt;"",INDEX(tbl_Assessment[],MATCH(tbl_Actual_costs_quantities34[[#This Row],[House Code]],tbl_Assessment[House Code],0),3),"")</f>
        <v/>
      </c>
      <c r="G579" s="116" t="str">
        <f>IF(tbl_Actual_costs_quantities34[[#This Row],[House Code]]&lt;&gt;"",INDEX(tbl_Assessment[],MATCH(tbl_Actual_costs_quantities34[[#This Row],[House Code]],tbl_Assessment[House Code],0),9),"")</f>
        <v/>
      </c>
      <c r="H579" s="41"/>
      <c r="I579" s="41"/>
      <c r="J579" s="41"/>
      <c r="K579" s="116"/>
      <c r="L579" s="117" t="str">
        <f>IF(tbl_Actual_costs_quantities34[[#This Row],[House Code]]&lt;&gt;"",tbl_Actual_costs_quantities34[[#This Row],[Total cost]]/INDEX(tbl_estimated_costs_quantities[],MATCH(tbl_Actual_costs_quantities34[[#This Row],[House Code]],tbl_estimated_costs_quantities[House Code],0),7),"")</f>
        <v/>
      </c>
      <c r="M57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79" s="75"/>
      <c r="O579" s="37"/>
      <c r="P579" s="86">
        <f>tbl_Actual_costs_quantities34[[#This Row],[Site Preparation]]*BOQs!$L$3</f>
        <v>0</v>
      </c>
      <c r="Q579" s="76"/>
      <c r="R579" s="37"/>
      <c r="S579" s="86">
        <f>tbl_Actual_costs_quantities34[[#This Row],[Demolition Removal Unsafe Structures]]*BOQs!$L$4</f>
        <v>0</v>
      </c>
      <c r="T579" s="76"/>
      <c r="U579" s="37"/>
      <c r="V579" s="86">
        <f>tbl_Actual_costs_quantities34[[#This Row],[Concrete Works]]*BOQs!$L$5</f>
        <v>0</v>
      </c>
      <c r="W579" s="76"/>
      <c r="X579" s="37"/>
      <c r="Y579" s="86">
        <f>tbl_Actual_costs_quantities34[[#This Row],[Closure External Openings Walls Windows]]*BOQs!$L$6</f>
        <v>0</v>
      </c>
      <c r="Z579" s="76"/>
      <c r="AA579" s="37"/>
      <c r="AB579" s="86">
        <f>tbl_Actual_costs_quantities34[[#This Row],[Plastering Painting]]*BOQs!$L$7</f>
        <v>0</v>
      </c>
      <c r="AC579" s="76"/>
      <c r="AD579" s="37"/>
      <c r="AE579" s="86">
        <f>tbl_Actual_costs_quantities34[[#This Row],[Floor Repairs]]*BOQs!$L$8</f>
        <v>0</v>
      </c>
      <c r="AF579" s="76"/>
      <c r="AG579" s="37"/>
      <c r="AH579" s="86">
        <f>tbl_Actual_costs_quantities34[[#This Row],[Doors Replacement Repair]]*BOQs!$L$9</f>
        <v>0</v>
      </c>
      <c r="AI579" s="76"/>
      <c r="AJ579" s="37"/>
      <c r="AK579" s="86">
        <f>tbl_Actual_costs_quantities34[[#This Row],[Windows Replacement Repair]]*BOQs!$L$10</f>
        <v>0</v>
      </c>
      <c r="AL579" s="76"/>
      <c r="AM579" s="37"/>
      <c r="AN579" s="86">
        <f>tbl_Actual_costs_quantities34[[#This Row],[Bathroom Rehabilitation]]*BOQs!$L$11</f>
        <v>0</v>
      </c>
      <c r="AO579" s="76"/>
      <c r="AP579" s="37"/>
      <c r="AQ579" s="86">
        <f>tbl_Actual_costs_quantities34[[#This Row],[Ceramic Tile Works WASH]]*BOQs!$L$12</f>
        <v>0</v>
      </c>
      <c r="AR579" s="76"/>
      <c r="AS579" s="37"/>
      <c r="AT579" s="86">
        <f>tbl_Actual_costs_quantities34[[#This Row],[Electrical Repairs Lighting]]*BOQs!$L$13</f>
        <v>0</v>
      </c>
      <c r="AU579" s="76"/>
      <c r="AV579" s="37"/>
      <c r="AW579" s="86">
        <f>tbl_Actual_costs_quantities34[[#This Row],[Roof Insulation Leak Sealing]]*BOQs!$L$14</f>
        <v>0</v>
      </c>
      <c r="AX579" s="76"/>
      <c r="AY579" s="37"/>
      <c r="AZ579" s="86">
        <f>tbl_Actual_costs_quantities34[[#This Row],[Chimney Duct Cleaning Repair]]*BOQs!$L$15</f>
        <v>0</v>
      </c>
      <c r="BA579" s="76"/>
      <c r="BB579" s="37"/>
      <c r="BC579" s="89">
        <f>tbl_Actual_costs_quantities34[[#This Row],[Accessibility Adaptations]]*BOQs!$L$16</f>
        <v>0</v>
      </c>
      <c r="BD579" s="41"/>
      <c r="BE579" s="37"/>
      <c r="BF579" s="37"/>
    </row>
    <row r="580" spans="2:58" ht="25.15" customHeight="1" x14ac:dyDescent="0.25">
      <c r="B580" s="49">
        <v>576</v>
      </c>
      <c r="C580" s="37"/>
      <c r="D580" s="41"/>
      <c r="E580" s="40"/>
      <c r="F580" s="87" t="str">
        <f>IF(tbl_Actual_costs_quantities34[[#This Row],[House Code]]&lt;&gt;"",INDEX(tbl_Assessment[],MATCH(tbl_Actual_costs_quantities34[[#This Row],[House Code]],tbl_Assessment[House Code],0),3),"")</f>
        <v/>
      </c>
      <c r="G580" s="116" t="str">
        <f>IF(tbl_Actual_costs_quantities34[[#This Row],[House Code]]&lt;&gt;"",INDEX(tbl_Assessment[],MATCH(tbl_Actual_costs_quantities34[[#This Row],[House Code]],tbl_Assessment[House Code],0),9),"")</f>
        <v/>
      </c>
      <c r="H580" s="41"/>
      <c r="I580" s="41"/>
      <c r="J580" s="41"/>
      <c r="K580" s="116"/>
      <c r="L580" s="117" t="str">
        <f>IF(tbl_Actual_costs_quantities34[[#This Row],[House Code]]&lt;&gt;"",tbl_Actual_costs_quantities34[[#This Row],[Total cost]]/INDEX(tbl_estimated_costs_quantities[],MATCH(tbl_Actual_costs_quantities34[[#This Row],[House Code]],tbl_estimated_costs_quantities[House Code],0),7),"")</f>
        <v/>
      </c>
      <c r="M58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0" s="75"/>
      <c r="O580" s="37"/>
      <c r="P580" s="86">
        <f>tbl_Actual_costs_quantities34[[#This Row],[Site Preparation]]*BOQs!$L$3</f>
        <v>0</v>
      </c>
      <c r="Q580" s="76"/>
      <c r="R580" s="37"/>
      <c r="S580" s="86">
        <f>tbl_Actual_costs_quantities34[[#This Row],[Demolition Removal Unsafe Structures]]*BOQs!$L$4</f>
        <v>0</v>
      </c>
      <c r="T580" s="76"/>
      <c r="U580" s="37"/>
      <c r="V580" s="86">
        <f>tbl_Actual_costs_quantities34[[#This Row],[Concrete Works]]*BOQs!$L$5</f>
        <v>0</v>
      </c>
      <c r="W580" s="76"/>
      <c r="X580" s="37"/>
      <c r="Y580" s="86">
        <f>tbl_Actual_costs_quantities34[[#This Row],[Closure External Openings Walls Windows]]*BOQs!$L$6</f>
        <v>0</v>
      </c>
      <c r="Z580" s="76"/>
      <c r="AA580" s="37"/>
      <c r="AB580" s="86">
        <f>tbl_Actual_costs_quantities34[[#This Row],[Plastering Painting]]*BOQs!$L$7</f>
        <v>0</v>
      </c>
      <c r="AC580" s="76"/>
      <c r="AD580" s="37"/>
      <c r="AE580" s="86">
        <f>tbl_Actual_costs_quantities34[[#This Row],[Floor Repairs]]*BOQs!$L$8</f>
        <v>0</v>
      </c>
      <c r="AF580" s="76"/>
      <c r="AG580" s="37"/>
      <c r="AH580" s="86">
        <f>tbl_Actual_costs_quantities34[[#This Row],[Doors Replacement Repair]]*BOQs!$L$9</f>
        <v>0</v>
      </c>
      <c r="AI580" s="76"/>
      <c r="AJ580" s="37"/>
      <c r="AK580" s="86">
        <f>tbl_Actual_costs_quantities34[[#This Row],[Windows Replacement Repair]]*BOQs!$L$10</f>
        <v>0</v>
      </c>
      <c r="AL580" s="76"/>
      <c r="AM580" s="37"/>
      <c r="AN580" s="86">
        <f>tbl_Actual_costs_quantities34[[#This Row],[Bathroom Rehabilitation]]*BOQs!$L$11</f>
        <v>0</v>
      </c>
      <c r="AO580" s="76"/>
      <c r="AP580" s="37"/>
      <c r="AQ580" s="86">
        <f>tbl_Actual_costs_quantities34[[#This Row],[Ceramic Tile Works WASH]]*BOQs!$L$12</f>
        <v>0</v>
      </c>
      <c r="AR580" s="76"/>
      <c r="AS580" s="37"/>
      <c r="AT580" s="86">
        <f>tbl_Actual_costs_quantities34[[#This Row],[Electrical Repairs Lighting]]*BOQs!$L$13</f>
        <v>0</v>
      </c>
      <c r="AU580" s="76"/>
      <c r="AV580" s="37"/>
      <c r="AW580" s="86">
        <f>tbl_Actual_costs_quantities34[[#This Row],[Roof Insulation Leak Sealing]]*BOQs!$L$14</f>
        <v>0</v>
      </c>
      <c r="AX580" s="76"/>
      <c r="AY580" s="37"/>
      <c r="AZ580" s="86">
        <f>tbl_Actual_costs_quantities34[[#This Row],[Chimney Duct Cleaning Repair]]*BOQs!$L$15</f>
        <v>0</v>
      </c>
      <c r="BA580" s="76"/>
      <c r="BB580" s="37"/>
      <c r="BC580" s="89">
        <f>tbl_Actual_costs_quantities34[[#This Row],[Accessibility Adaptations]]*BOQs!$L$16</f>
        <v>0</v>
      </c>
      <c r="BD580" s="41"/>
      <c r="BE580" s="37"/>
      <c r="BF580" s="37"/>
    </row>
    <row r="581" spans="2:58" ht="25.15" customHeight="1" x14ac:dyDescent="0.25">
      <c r="B581" s="49">
        <v>577</v>
      </c>
      <c r="C581" s="37"/>
      <c r="D581" s="41"/>
      <c r="E581" s="40"/>
      <c r="F581" s="87" t="str">
        <f>IF(tbl_Actual_costs_quantities34[[#This Row],[House Code]]&lt;&gt;"",INDEX(tbl_Assessment[],MATCH(tbl_Actual_costs_quantities34[[#This Row],[House Code]],tbl_Assessment[House Code],0),3),"")</f>
        <v/>
      </c>
      <c r="G581" s="116" t="str">
        <f>IF(tbl_Actual_costs_quantities34[[#This Row],[House Code]]&lt;&gt;"",INDEX(tbl_Assessment[],MATCH(tbl_Actual_costs_quantities34[[#This Row],[House Code]],tbl_Assessment[House Code],0),9),"")</f>
        <v/>
      </c>
      <c r="H581" s="41"/>
      <c r="I581" s="41"/>
      <c r="J581" s="41"/>
      <c r="K581" s="116"/>
      <c r="L581" s="117" t="str">
        <f>IF(tbl_Actual_costs_quantities34[[#This Row],[House Code]]&lt;&gt;"",tbl_Actual_costs_quantities34[[#This Row],[Total cost]]/INDEX(tbl_estimated_costs_quantities[],MATCH(tbl_Actual_costs_quantities34[[#This Row],[House Code]],tbl_estimated_costs_quantities[House Code],0),7),"")</f>
        <v/>
      </c>
      <c r="M58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1" s="75"/>
      <c r="O581" s="37"/>
      <c r="P581" s="86">
        <f>tbl_Actual_costs_quantities34[[#This Row],[Site Preparation]]*BOQs!$L$3</f>
        <v>0</v>
      </c>
      <c r="Q581" s="76"/>
      <c r="R581" s="37"/>
      <c r="S581" s="86">
        <f>tbl_Actual_costs_quantities34[[#This Row],[Demolition Removal Unsafe Structures]]*BOQs!$L$4</f>
        <v>0</v>
      </c>
      <c r="T581" s="76"/>
      <c r="U581" s="37"/>
      <c r="V581" s="86">
        <f>tbl_Actual_costs_quantities34[[#This Row],[Concrete Works]]*BOQs!$L$5</f>
        <v>0</v>
      </c>
      <c r="W581" s="76"/>
      <c r="X581" s="37"/>
      <c r="Y581" s="86">
        <f>tbl_Actual_costs_quantities34[[#This Row],[Closure External Openings Walls Windows]]*BOQs!$L$6</f>
        <v>0</v>
      </c>
      <c r="Z581" s="76"/>
      <c r="AA581" s="37"/>
      <c r="AB581" s="86">
        <f>tbl_Actual_costs_quantities34[[#This Row],[Plastering Painting]]*BOQs!$L$7</f>
        <v>0</v>
      </c>
      <c r="AC581" s="76"/>
      <c r="AD581" s="37"/>
      <c r="AE581" s="86">
        <f>tbl_Actual_costs_quantities34[[#This Row],[Floor Repairs]]*BOQs!$L$8</f>
        <v>0</v>
      </c>
      <c r="AF581" s="76"/>
      <c r="AG581" s="37"/>
      <c r="AH581" s="86">
        <f>tbl_Actual_costs_quantities34[[#This Row],[Doors Replacement Repair]]*BOQs!$L$9</f>
        <v>0</v>
      </c>
      <c r="AI581" s="76"/>
      <c r="AJ581" s="37"/>
      <c r="AK581" s="86">
        <f>tbl_Actual_costs_quantities34[[#This Row],[Windows Replacement Repair]]*BOQs!$L$10</f>
        <v>0</v>
      </c>
      <c r="AL581" s="76"/>
      <c r="AM581" s="37"/>
      <c r="AN581" s="86">
        <f>tbl_Actual_costs_quantities34[[#This Row],[Bathroom Rehabilitation]]*BOQs!$L$11</f>
        <v>0</v>
      </c>
      <c r="AO581" s="76"/>
      <c r="AP581" s="37"/>
      <c r="AQ581" s="86">
        <f>tbl_Actual_costs_quantities34[[#This Row],[Ceramic Tile Works WASH]]*BOQs!$L$12</f>
        <v>0</v>
      </c>
      <c r="AR581" s="76"/>
      <c r="AS581" s="37"/>
      <c r="AT581" s="86">
        <f>tbl_Actual_costs_quantities34[[#This Row],[Electrical Repairs Lighting]]*BOQs!$L$13</f>
        <v>0</v>
      </c>
      <c r="AU581" s="76"/>
      <c r="AV581" s="37"/>
      <c r="AW581" s="86">
        <f>tbl_Actual_costs_quantities34[[#This Row],[Roof Insulation Leak Sealing]]*BOQs!$L$14</f>
        <v>0</v>
      </c>
      <c r="AX581" s="76"/>
      <c r="AY581" s="37"/>
      <c r="AZ581" s="86">
        <f>tbl_Actual_costs_quantities34[[#This Row],[Chimney Duct Cleaning Repair]]*BOQs!$L$15</f>
        <v>0</v>
      </c>
      <c r="BA581" s="76"/>
      <c r="BB581" s="37"/>
      <c r="BC581" s="89">
        <f>tbl_Actual_costs_quantities34[[#This Row],[Accessibility Adaptations]]*BOQs!$L$16</f>
        <v>0</v>
      </c>
      <c r="BD581" s="41"/>
      <c r="BE581" s="37"/>
      <c r="BF581" s="37"/>
    </row>
    <row r="582" spans="2:58" ht="25.15" customHeight="1" x14ac:dyDescent="0.25">
      <c r="B582" s="49">
        <v>578</v>
      </c>
      <c r="C582" s="37"/>
      <c r="D582" s="41"/>
      <c r="E582" s="40"/>
      <c r="F582" s="87" t="str">
        <f>IF(tbl_Actual_costs_quantities34[[#This Row],[House Code]]&lt;&gt;"",INDEX(tbl_Assessment[],MATCH(tbl_Actual_costs_quantities34[[#This Row],[House Code]],tbl_Assessment[House Code],0),3),"")</f>
        <v/>
      </c>
      <c r="G582" s="116" t="str">
        <f>IF(tbl_Actual_costs_quantities34[[#This Row],[House Code]]&lt;&gt;"",INDEX(tbl_Assessment[],MATCH(tbl_Actual_costs_quantities34[[#This Row],[House Code]],tbl_Assessment[House Code],0),9),"")</f>
        <v/>
      </c>
      <c r="H582" s="41"/>
      <c r="I582" s="41"/>
      <c r="J582" s="41"/>
      <c r="K582" s="116"/>
      <c r="L582" s="117" t="str">
        <f>IF(tbl_Actual_costs_quantities34[[#This Row],[House Code]]&lt;&gt;"",tbl_Actual_costs_quantities34[[#This Row],[Total cost]]/INDEX(tbl_estimated_costs_quantities[],MATCH(tbl_Actual_costs_quantities34[[#This Row],[House Code]],tbl_estimated_costs_quantities[House Code],0),7),"")</f>
        <v/>
      </c>
      <c r="M58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2" s="75"/>
      <c r="O582" s="37"/>
      <c r="P582" s="86">
        <f>tbl_Actual_costs_quantities34[[#This Row],[Site Preparation]]*BOQs!$L$3</f>
        <v>0</v>
      </c>
      <c r="Q582" s="76"/>
      <c r="R582" s="37"/>
      <c r="S582" s="86">
        <f>tbl_Actual_costs_quantities34[[#This Row],[Demolition Removal Unsafe Structures]]*BOQs!$L$4</f>
        <v>0</v>
      </c>
      <c r="T582" s="76"/>
      <c r="U582" s="37"/>
      <c r="V582" s="86">
        <f>tbl_Actual_costs_quantities34[[#This Row],[Concrete Works]]*BOQs!$L$5</f>
        <v>0</v>
      </c>
      <c r="W582" s="76"/>
      <c r="X582" s="37"/>
      <c r="Y582" s="86">
        <f>tbl_Actual_costs_quantities34[[#This Row],[Closure External Openings Walls Windows]]*BOQs!$L$6</f>
        <v>0</v>
      </c>
      <c r="Z582" s="76"/>
      <c r="AA582" s="37"/>
      <c r="AB582" s="86">
        <f>tbl_Actual_costs_quantities34[[#This Row],[Plastering Painting]]*BOQs!$L$7</f>
        <v>0</v>
      </c>
      <c r="AC582" s="76"/>
      <c r="AD582" s="37"/>
      <c r="AE582" s="86">
        <f>tbl_Actual_costs_quantities34[[#This Row],[Floor Repairs]]*BOQs!$L$8</f>
        <v>0</v>
      </c>
      <c r="AF582" s="76"/>
      <c r="AG582" s="37"/>
      <c r="AH582" s="86">
        <f>tbl_Actual_costs_quantities34[[#This Row],[Doors Replacement Repair]]*BOQs!$L$9</f>
        <v>0</v>
      </c>
      <c r="AI582" s="76"/>
      <c r="AJ582" s="37"/>
      <c r="AK582" s="86">
        <f>tbl_Actual_costs_quantities34[[#This Row],[Windows Replacement Repair]]*BOQs!$L$10</f>
        <v>0</v>
      </c>
      <c r="AL582" s="76"/>
      <c r="AM582" s="37"/>
      <c r="AN582" s="86">
        <f>tbl_Actual_costs_quantities34[[#This Row],[Bathroom Rehabilitation]]*BOQs!$L$11</f>
        <v>0</v>
      </c>
      <c r="AO582" s="76"/>
      <c r="AP582" s="37"/>
      <c r="AQ582" s="86">
        <f>tbl_Actual_costs_quantities34[[#This Row],[Ceramic Tile Works WASH]]*BOQs!$L$12</f>
        <v>0</v>
      </c>
      <c r="AR582" s="76"/>
      <c r="AS582" s="37"/>
      <c r="AT582" s="86">
        <f>tbl_Actual_costs_quantities34[[#This Row],[Electrical Repairs Lighting]]*BOQs!$L$13</f>
        <v>0</v>
      </c>
      <c r="AU582" s="76"/>
      <c r="AV582" s="37"/>
      <c r="AW582" s="86">
        <f>tbl_Actual_costs_quantities34[[#This Row],[Roof Insulation Leak Sealing]]*BOQs!$L$14</f>
        <v>0</v>
      </c>
      <c r="AX582" s="76"/>
      <c r="AY582" s="37"/>
      <c r="AZ582" s="86">
        <f>tbl_Actual_costs_quantities34[[#This Row],[Chimney Duct Cleaning Repair]]*BOQs!$L$15</f>
        <v>0</v>
      </c>
      <c r="BA582" s="76"/>
      <c r="BB582" s="37"/>
      <c r="BC582" s="89">
        <f>tbl_Actual_costs_quantities34[[#This Row],[Accessibility Adaptations]]*BOQs!$L$16</f>
        <v>0</v>
      </c>
      <c r="BD582" s="41"/>
      <c r="BE582" s="37"/>
      <c r="BF582" s="37"/>
    </row>
    <row r="583" spans="2:58" ht="25.15" customHeight="1" x14ac:dyDescent="0.25">
      <c r="B583" s="49">
        <v>579</v>
      </c>
      <c r="C583" s="37"/>
      <c r="D583" s="41"/>
      <c r="E583" s="40"/>
      <c r="F583" s="87" t="str">
        <f>IF(tbl_Actual_costs_quantities34[[#This Row],[House Code]]&lt;&gt;"",INDEX(tbl_Assessment[],MATCH(tbl_Actual_costs_quantities34[[#This Row],[House Code]],tbl_Assessment[House Code],0),3),"")</f>
        <v/>
      </c>
      <c r="G583" s="116" t="str">
        <f>IF(tbl_Actual_costs_quantities34[[#This Row],[House Code]]&lt;&gt;"",INDEX(tbl_Assessment[],MATCH(tbl_Actual_costs_quantities34[[#This Row],[House Code]],tbl_Assessment[House Code],0),9),"")</f>
        <v/>
      </c>
      <c r="H583" s="41"/>
      <c r="I583" s="41"/>
      <c r="J583" s="41"/>
      <c r="K583" s="116"/>
      <c r="L583" s="117" t="str">
        <f>IF(tbl_Actual_costs_quantities34[[#This Row],[House Code]]&lt;&gt;"",tbl_Actual_costs_quantities34[[#This Row],[Total cost]]/INDEX(tbl_estimated_costs_quantities[],MATCH(tbl_Actual_costs_quantities34[[#This Row],[House Code]],tbl_estimated_costs_quantities[House Code],0),7),"")</f>
        <v/>
      </c>
      <c r="M58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3" s="75"/>
      <c r="O583" s="37"/>
      <c r="P583" s="86">
        <f>tbl_Actual_costs_quantities34[[#This Row],[Site Preparation]]*BOQs!$L$3</f>
        <v>0</v>
      </c>
      <c r="Q583" s="76"/>
      <c r="R583" s="37"/>
      <c r="S583" s="86">
        <f>tbl_Actual_costs_quantities34[[#This Row],[Demolition Removal Unsafe Structures]]*BOQs!$L$4</f>
        <v>0</v>
      </c>
      <c r="T583" s="76"/>
      <c r="U583" s="37"/>
      <c r="V583" s="86">
        <f>tbl_Actual_costs_quantities34[[#This Row],[Concrete Works]]*BOQs!$L$5</f>
        <v>0</v>
      </c>
      <c r="W583" s="76"/>
      <c r="X583" s="37"/>
      <c r="Y583" s="86">
        <f>tbl_Actual_costs_quantities34[[#This Row],[Closure External Openings Walls Windows]]*BOQs!$L$6</f>
        <v>0</v>
      </c>
      <c r="Z583" s="76"/>
      <c r="AA583" s="37"/>
      <c r="AB583" s="86">
        <f>tbl_Actual_costs_quantities34[[#This Row],[Plastering Painting]]*BOQs!$L$7</f>
        <v>0</v>
      </c>
      <c r="AC583" s="76"/>
      <c r="AD583" s="37"/>
      <c r="AE583" s="86">
        <f>tbl_Actual_costs_quantities34[[#This Row],[Floor Repairs]]*BOQs!$L$8</f>
        <v>0</v>
      </c>
      <c r="AF583" s="76"/>
      <c r="AG583" s="37"/>
      <c r="AH583" s="86">
        <f>tbl_Actual_costs_quantities34[[#This Row],[Doors Replacement Repair]]*BOQs!$L$9</f>
        <v>0</v>
      </c>
      <c r="AI583" s="76"/>
      <c r="AJ583" s="37"/>
      <c r="AK583" s="86">
        <f>tbl_Actual_costs_quantities34[[#This Row],[Windows Replacement Repair]]*BOQs!$L$10</f>
        <v>0</v>
      </c>
      <c r="AL583" s="76"/>
      <c r="AM583" s="37"/>
      <c r="AN583" s="86">
        <f>tbl_Actual_costs_quantities34[[#This Row],[Bathroom Rehabilitation]]*BOQs!$L$11</f>
        <v>0</v>
      </c>
      <c r="AO583" s="76"/>
      <c r="AP583" s="37"/>
      <c r="AQ583" s="86">
        <f>tbl_Actual_costs_quantities34[[#This Row],[Ceramic Tile Works WASH]]*BOQs!$L$12</f>
        <v>0</v>
      </c>
      <c r="AR583" s="76"/>
      <c r="AS583" s="37"/>
      <c r="AT583" s="86">
        <f>tbl_Actual_costs_quantities34[[#This Row],[Electrical Repairs Lighting]]*BOQs!$L$13</f>
        <v>0</v>
      </c>
      <c r="AU583" s="76"/>
      <c r="AV583" s="37"/>
      <c r="AW583" s="86">
        <f>tbl_Actual_costs_quantities34[[#This Row],[Roof Insulation Leak Sealing]]*BOQs!$L$14</f>
        <v>0</v>
      </c>
      <c r="AX583" s="76"/>
      <c r="AY583" s="37"/>
      <c r="AZ583" s="86">
        <f>tbl_Actual_costs_quantities34[[#This Row],[Chimney Duct Cleaning Repair]]*BOQs!$L$15</f>
        <v>0</v>
      </c>
      <c r="BA583" s="76"/>
      <c r="BB583" s="37"/>
      <c r="BC583" s="89">
        <f>tbl_Actual_costs_quantities34[[#This Row],[Accessibility Adaptations]]*BOQs!$L$16</f>
        <v>0</v>
      </c>
      <c r="BD583" s="41"/>
      <c r="BE583" s="37"/>
      <c r="BF583" s="37"/>
    </row>
    <row r="584" spans="2:58" ht="25.15" customHeight="1" x14ac:dyDescent="0.25">
      <c r="B584" s="49">
        <v>580</v>
      </c>
      <c r="C584" s="37"/>
      <c r="D584" s="41"/>
      <c r="E584" s="40"/>
      <c r="F584" s="87" t="str">
        <f>IF(tbl_Actual_costs_quantities34[[#This Row],[House Code]]&lt;&gt;"",INDEX(tbl_Assessment[],MATCH(tbl_Actual_costs_quantities34[[#This Row],[House Code]],tbl_Assessment[House Code],0),3),"")</f>
        <v/>
      </c>
      <c r="G584" s="116" t="str">
        <f>IF(tbl_Actual_costs_quantities34[[#This Row],[House Code]]&lt;&gt;"",INDEX(tbl_Assessment[],MATCH(tbl_Actual_costs_quantities34[[#This Row],[House Code]],tbl_Assessment[House Code],0),9),"")</f>
        <v/>
      </c>
      <c r="H584" s="41"/>
      <c r="I584" s="41"/>
      <c r="J584" s="41"/>
      <c r="K584" s="116"/>
      <c r="L584" s="117" t="str">
        <f>IF(tbl_Actual_costs_quantities34[[#This Row],[House Code]]&lt;&gt;"",tbl_Actual_costs_quantities34[[#This Row],[Total cost]]/INDEX(tbl_estimated_costs_quantities[],MATCH(tbl_Actual_costs_quantities34[[#This Row],[House Code]],tbl_estimated_costs_quantities[House Code],0),7),"")</f>
        <v/>
      </c>
      <c r="M58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4" s="75"/>
      <c r="O584" s="37"/>
      <c r="P584" s="86">
        <f>tbl_Actual_costs_quantities34[[#This Row],[Site Preparation]]*BOQs!$L$3</f>
        <v>0</v>
      </c>
      <c r="Q584" s="76"/>
      <c r="R584" s="37"/>
      <c r="S584" s="86">
        <f>tbl_Actual_costs_quantities34[[#This Row],[Demolition Removal Unsafe Structures]]*BOQs!$L$4</f>
        <v>0</v>
      </c>
      <c r="T584" s="76"/>
      <c r="U584" s="37"/>
      <c r="V584" s="86">
        <f>tbl_Actual_costs_quantities34[[#This Row],[Concrete Works]]*BOQs!$L$5</f>
        <v>0</v>
      </c>
      <c r="W584" s="76"/>
      <c r="X584" s="37"/>
      <c r="Y584" s="86">
        <f>tbl_Actual_costs_quantities34[[#This Row],[Closure External Openings Walls Windows]]*BOQs!$L$6</f>
        <v>0</v>
      </c>
      <c r="Z584" s="76"/>
      <c r="AA584" s="37"/>
      <c r="AB584" s="86">
        <f>tbl_Actual_costs_quantities34[[#This Row],[Plastering Painting]]*BOQs!$L$7</f>
        <v>0</v>
      </c>
      <c r="AC584" s="76"/>
      <c r="AD584" s="37"/>
      <c r="AE584" s="86">
        <f>tbl_Actual_costs_quantities34[[#This Row],[Floor Repairs]]*BOQs!$L$8</f>
        <v>0</v>
      </c>
      <c r="AF584" s="76"/>
      <c r="AG584" s="37"/>
      <c r="AH584" s="86">
        <f>tbl_Actual_costs_quantities34[[#This Row],[Doors Replacement Repair]]*BOQs!$L$9</f>
        <v>0</v>
      </c>
      <c r="AI584" s="76"/>
      <c r="AJ584" s="37"/>
      <c r="AK584" s="86">
        <f>tbl_Actual_costs_quantities34[[#This Row],[Windows Replacement Repair]]*BOQs!$L$10</f>
        <v>0</v>
      </c>
      <c r="AL584" s="76"/>
      <c r="AM584" s="37"/>
      <c r="AN584" s="86">
        <f>tbl_Actual_costs_quantities34[[#This Row],[Bathroom Rehabilitation]]*BOQs!$L$11</f>
        <v>0</v>
      </c>
      <c r="AO584" s="76"/>
      <c r="AP584" s="37"/>
      <c r="AQ584" s="86">
        <f>tbl_Actual_costs_quantities34[[#This Row],[Ceramic Tile Works WASH]]*BOQs!$L$12</f>
        <v>0</v>
      </c>
      <c r="AR584" s="76"/>
      <c r="AS584" s="37"/>
      <c r="AT584" s="86">
        <f>tbl_Actual_costs_quantities34[[#This Row],[Electrical Repairs Lighting]]*BOQs!$L$13</f>
        <v>0</v>
      </c>
      <c r="AU584" s="76"/>
      <c r="AV584" s="37"/>
      <c r="AW584" s="86">
        <f>tbl_Actual_costs_quantities34[[#This Row],[Roof Insulation Leak Sealing]]*BOQs!$L$14</f>
        <v>0</v>
      </c>
      <c r="AX584" s="76"/>
      <c r="AY584" s="37"/>
      <c r="AZ584" s="86">
        <f>tbl_Actual_costs_quantities34[[#This Row],[Chimney Duct Cleaning Repair]]*BOQs!$L$15</f>
        <v>0</v>
      </c>
      <c r="BA584" s="76"/>
      <c r="BB584" s="37"/>
      <c r="BC584" s="89">
        <f>tbl_Actual_costs_quantities34[[#This Row],[Accessibility Adaptations]]*BOQs!$L$16</f>
        <v>0</v>
      </c>
      <c r="BD584" s="41"/>
      <c r="BE584" s="37"/>
      <c r="BF584" s="37"/>
    </row>
    <row r="585" spans="2:58" ht="25.15" customHeight="1" x14ac:dyDescent="0.25">
      <c r="B585" s="49">
        <v>581</v>
      </c>
      <c r="C585" s="37"/>
      <c r="D585" s="41"/>
      <c r="E585" s="40"/>
      <c r="F585" s="87" t="str">
        <f>IF(tbl_Actual_costs_quantities34[[#This Row],[House Code]]&lt;&gt;"",INDEX(tbl_Assessment[],MATCH(tbl_Actual_costs_quantities34[[#This Row],[House Code]],tbl_Assessment[House Code],0),3),"")</f>
        <v/>
      </c>
      <c r="G585" s="116" t="str">
        <f>IF(tbl_Actual_costs_quantities34[[#This Row],[House Code]]&lt;&gt;"",INDEX(tbl_Assessment[],MATCH(tbl_Actual_costs_quantities34[[#This Row],[House Code]],tbl_Assessment[House Code],0),9),"")</f>
        <v/>
      </c>
      <c r="H585" s="41"/>
      <c r="I585" s="41"/>
      <c r="J585" s="41"/>
      <c r="K585" s="116"/>
      <c r="L585" s="117" t="str">
        <f>IF(tbl_Actual_costs_quantities34[[#This Row],[House Code]]&lt;&gt;"",tbl_Actual_costs_quantities34[[#This Row],[Total cost]]/INDEX(tbl_estimated_costs_quantities[],MATCH(tbl_Actual_costs_quantities34[[#This Row],[House Code]],tbl_estimated_costs_quantities[House Code],0),7),"")</f>
        <v/>
      </c>
      <c r="M58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5" s="75"/>
      <c r="O585" s="37"/>
      <c r="P585" s="86">
        <f>tbl_Actual_costs_quantities34[[#This Row],[Site Preparation]]*BOQs!$L$3</f>
        <v>0</v>
      </c>
      <c r="Q585" s="76"/>
      <c r="R585" s="37"/>
      <c r="S585" s="86">
        <f>tbl_Actual_costs_quantities34[[#This Row],[Demolition Removal Unsafe Structures]]*BOQs!$L$4</f>
        <v>0</v>
      </c>
      <c r="T585" s="76"/>
      <c r="U585" s="37"/>
      <c r="V585" s="86">
        <f>tbl_Actual_costs_quantities34[[#This Row],[Concrete Works]]*BOQs!$L$5</f>
        <v>0</v>
      </c>
      <c r="W585" s="76"/>
      <c r="X585" s="37"/>
      <c r="Y585" s="86">
        <f>tbl_Actual_costs_quantities34[[#This Row],[Closure External Openings Walls Windows]]*BOQs!$L$6</f>
        <v>0</v>
      </c>
      <c r="Z585" s="76"/>
      <c r="AA585" s="37"/>
      <c r="AB585" s="86">
        <f>tbl_Actual_costs_quantities34[[#This Row],[Plastering Painting]]*BOQs!$L$7</f>
        <v>0</v>
      </c>
      <c r="AC585" s="76"/>
      <c r="AD585" s="37"/>
      <c r="AE585" s="86">
        <f>tbl_Actual_costs_quantities34[[#This Row],[Floor Repairs]]*BOQs!$L$8</f>
        <v>0</v>
      </c>
      <c r="AF585" s="76"/>
      <c r="AG585" s="37"/>
      <c r="AH585" s="86">
        <f>tbl_Actual_costs_quantities34[[#This Row],[Doors Replacement Repair]]*BOQs!$L$9</f>
        <v>0</v>
      </c>
      <c r="AI585" s="76"/>
      <c r="AJ585" s="37"/>
      <c r="AK585" s="86">
        <f>tbl_Actual_costs_quantities34[[#This Row],[Windows Replacement Repair]]*BOQs!$L$10</f>
        <v>0</v>
      </c>
      <c r="AL585" s="76"/>
      <c r="AM585" s="37"/>
      <c r="AN585" s="86">
        <f>tbl_Actual_costs_quantities34[[#This Row],[Bathroom Rehabilitation]]*BOQs!$L$11</f>
        <v>0</v>
      </c>
      <c r="AO585" s="76"/>
      <c r="AP585" s="37"/>
      <c r="AQ585" s="86">
        <f>tbl_Actual_costs_quantities34[[#This Row],[Ceramic Tile Works WASH]]*BOQs!$L$12</f>
        <v>0</v>
      </c>
      <c r="AR585" s="76"/>
      <c r="AS585" s="37"/>
      <c r="AT585" s="86">
        <f>tbl_Actual_costs_quantities34[[#This Row],[Electrical Repairs Lighting]]*BOQs!$L$13</f>
        <v>0</v>
      </c>
      <c r="AU585" s="76"/>
      <c r="AV585" s="37"/>
      <c r="AW585" s="86">
        <f>tbl_Actual_costs_quantities34[[#This Row],[Roof Insulation Leak Sealing]]*BOQs!$L$14</f>
        <v>0</v>
      </c>
      <c r="AX585" s="76"/>
      <c r="AY585" s="37"/>
      <c r="AZ585" s="86">
        <f>tbl_Actual_costs_quantities34[[#This Row],[Chimney Duct Cleaning Repair]]*BOQs!$L$15</f>
        <v>0</v>
      </c>
      <c r="BA585" s="76"/>
      <c r="BB585" s="37"/>
      <c r="BC585" s="89">
        <f>tbl_Actual_costs_quantities34[[#This Row],[Accessibility Adaptations]]*BOQs!$L$16</f>
        <v>0</v>
      </c>
      <c r="BD585" s="41"/>
      <c r="BE585" s="37"/>
      <c r="BF585" s="37"/>
    </row>
    <row r="586" spans="2:58" ht="25.15" customHeight="1" x14ac:dyDescent="0.25">
      <c r="B586" s="49">
        <v>582</v>
      </c>
      <c r="C586" s="37"/>
      <c r="D586" s="41"/>
      <c r="E586" s="40"/>
      <c r="F586" s="87" t="str">
        <f>IF(tbl_Actual_costs_quantities34[[#This Row],[House Code]]&lt;&gt;"",INDEX(tbl_Assessment[],MATCH(tbl_Actual_costs_quantities34[[#This Row],[House Code]],tbl_Assessment[House Code],0),3),"")</f>
        <v/>
      </c>
      <c r="G586" s="116" t="str">
        <f>IF(tbl_Actual_costs_quantities34[[#This Row],[House Code]]&lt;&gt;"",INDEX(tbl_Assessment[],MATCH(tbl_Actual_costs_quantities34[[#This Row],[House Code]],tbl_Assessment[House Code],0),9),"")</f>
        <v/>
      </c>
      <c r="H586" s="41"/>
      <c r="I586" s="41"/>
      <c r="J586" s="41"/>
      <c r="K586" s="116"/>
      <c r="L586" s="117" t="str">
        <f>IF(tbl_Actual_costs_quantities34[[#This Row],[House Code]]&lt;&gt;"",tbl_Actual_costs_quantities34[[#This Row],[Total cost]]/INDEX(tbl_estimated_costs_quantities[],MATCH(tbl_Actual_costs_quantities34[[#This Row],[House Code]],tbl_estimated_costs_quantities[House Code],0),7),"")</f>
        <v/>
      </c>
      <c r="M58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6" s="75"/>
      <c r="O586" s="37"/>
      <c r="P586" s="86">
        <f>tbl_Actual_costs_quantities34[[#This Row],[Site Preparation]]*BOQs!$L$3</f>
        <v>0</v>
      </c>
      <c r="Q586" s="76"/>
      <c r="R586" s="37"/>
      <c r="S586" s="86">
        <f>tbl_Actual_costs_quantities34[[#This Row],[Demolition Removal Unsafe Structures]]*BOQs!$L$4</f>
        <v>0</v>
      </c>
      <c r="T586" s="76"/>
      <c r="U586" s="37"/>
      <c r="V586" s="86">
        <f>tbl_Actual_costs_quantities34[[#This Row],[Concrete Works]]*BOQs!$L$5</f>
        <v>0</v>
      </c>
      <c r="W586" s="76"/>
      <c r="X586" s="37"/>
      <c r="Y586" s="86">
        <f>tbl_Actual_costs_quantities34[[#This Row],[Closure External Openings Walls Windows]]*BOQs!$L$6</f>
        <v>0</v>
      </c>
      <c r="Z586" s="76"/>
      <c r="AA586" s="37"/>
      <c r="AB586" s="86">
        <f>tbl_Actual_costs_quantities34[[#This Row],[Plastering Painting]]*BOQs!$L$7</f>
        <v>0</v>
      </c>
      <c r="AC586" s="76"/>
      <c r="AD586" s="37"/>
      <c r="AE586" s="86">
        <f>tbl_Actual_costs_quantities34[[#This Row],[Floor Repairs]]*BOQs!$L$8</f>
        <v>0</v>
      </c>
      <c r="AF586" s="76"/>
      <c r="AG586" s="37"/>
      <c r="AH586" s="86">
        <f>tbl_Actual_costs_quantities34[[#This Row],[Doors Replacement Repair]]*BOQs!$L$9</f>
        <v>0</v>
      </c>
      <c r="AI586" s="76"/>
      <c r="AJ586" s="37"/>
      <c r="AK586" s="86">
        <f>tbl_Actual_costs_quantities34[[#This Row],[Windows Replacement Repair]]*BOQs!$L$10</f>
        <v>0</v>
      </c>
      <c r="AL586" s="76"/>
      <c r="AM586" s="37"/>
      <c r="AN586" s="86">
        <f>tbl_Actual_costs_quantities34[[#This Row],[Bathroom Rehabilitation]]*BOQs!$L$11</f>
        <v>0</v>
      </c>
      <c r="AO586" s="76"/>
      <c r="AP586" s="37"/>
      <c r="AQ586" s="86">
        <f>tbl_Actual_costs_quantities34[[#This Row],[Ceramic Tile Works WASH]]*BOQs!$L$12</f>
        <v>0</v>
      </c>
      <c r="AR586" s="76"/>
      <c r="AS586" s="37"/>
      <c r="AT586" s="86">
        <f>tbl_Actual_costs_quantities34[[#This Row],[Electrical Repairs Lighting]]*BOQs!$L$13</f>
        <v>0</v>
      </c>
      <c r="AU586" s="76"/>
      <c r="AV586" s="37"/>
      <c r="AW586" s="86">
        <f>tbl_Actual_costs_quantities34[[#This Row],[Roof Insulation Leak Sealing]]*BOQs!$L$14</f>
        <v>0</v>
      </c>
      <c r="AX586" s="76"/>
      <c r="AY586" s="37"/>
      <c r="AZ586" s="86">
        <f>tbl_Actual_costs_quantities34[[#This Row],[Chimney Duct Cleaning Repair]]*BOQs!$L$15</f>
        <v>0</v>
      </c>
      <c r="BA586" s="76"/>
      <c r="BB586" s="37"/>
      <c r="BC586" s="89">
        <f>tbl_Actual_costs_quantities34[[#This Row],[Accessibility Adaptations]]*BOQs!$L$16</f>
        <v>0</v>
      </c>
      <c r="BD586" s="41"/>
      <c r="BE586" s="37"/>
      <c r="BF586" s="37"/>
    </row>
    <row r="587" spans="2:58" ht="25.15" customHeight="1" x14ac:dyDescent="0.25">
      <c r="B587" s="49">
        <v>583</v>
      </c>
      <c r="C587" s="37"/>
      <c r="D587" s="41"/>
      <c r="E587" s="40"/>
      <c r="F587" s="87" t="str">
        <f>IF(tbl_Actual_costs_quantities34[[#This Row],[House Code]]&lt;&gt;"",INDEX(tbl_Assessment[],MATCH(tbl_Actual_costs_quantities34[[#This Row],[House Code]],tbl_Assessment[House Code],0),3),"")</f>
        <v/>
      </c>
      <c r="G587" s="116" t="str">
        <f>IF(tbl_Actual_costs_quantities34[[#This Row],[House Code]]&lt;&gt;"",INDEX(tbl_Assessment[],MATCH(tbl_Actual_costs_quantities34[[#This Row],[House Code]],tbl_Assessment[House Code],0),9),"")</f>
        <v/>
      </c>
      <c r="H587" s="41"/>
      <c r="I587" s="41"/>
      <c r="J587" s="41"/>
      <c r="K587" s="116"/>
      <c r="L587" s="117" t="str">
        <f>IF(tbl_Actual_costs_quantities34[[#This Row],[House Code]]&lt;&gt;"",tbl_Actual_costs_quantities34[[#This Row],[Total cost]]/INDEX(tbl_estimated_costs_quantities[],MATCH(tbl_Actual_costs_quantities34[[#This Row],[House Code]],tbl_estimated_costs_quantities[House Code],0),7),"")</f>
        <v/>
      </c>
      <c r="M58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7" s="75"/>
      <c r="O587" s="37"/>
      <c r="P587" s="86">
        <f>tbl_Actual_costs_quantities34[[#This Row],[Site Preparation]]*BOQs!$L$3</f>
        <v>0</v>
      </c>
      <c r="Q587" s="76"/>
      <c r="R587" s="37"/>
      <c r="S587" s="86">
        <f>tbl_Actual_costs_quantities34[[#This Row],[Demolition Removal Unsafe Structures]]*BOQs!$L$4</f>
        <v>0</v>
      </c>
      <c r="T587" s="76"/>
      <c r="U587" s="37"/>
      <c r="V587" s="86">
        <f>tbl_Actual_costs_quantities34[[#This Row],[Concrete Works]]*BOQs!$L$5</f>
        <v>0</v>
      </c>
      <c r="W587" s="76"/>
      <c r="X587" s="37"/>
      <c r="Y587" s="86">
        <f>tbl_Actual_costs_quantities34[[#This Row],[Closure External Openings Walls Windows]]*BOQs!$L$6</f>
        <v>0</v>
      </c>
      <c r="Z587" s="76"/>
      <c r="AA587" s="37"/>
      <c r="AB587" s="86">
        <f>tbl_Actual_costs_quantities34[[#This Row],[Plastering Painting]]*BOQs!$L$7</f>
        <v>0</v>
      </c>
      <c r="AC587" s="76"/>
      <c r="AD587" s="37"/>
      <c r="AE587" s="86">
        <f>tbl_Actual_costs_quantities34[[#This Row],[Floor Repairs]]*BOQs!$L$8</f>
        <v>0</v>
      </c>
      <c r="AF587" s="76"/>
      <c r="AG587" s="37"/>
      <c r="AH587" s="86">
        <f>tbl_Actual_costs_quantities34[[#This Row],[Doors Replacement Repair]]*BOQs!$L$9</f>
        <v>0</v>
      </c>
      <c r="AI587" s="76"/>
      <c r="AJ587" s="37"/>
      <c r="AK587" s="86">
        <f>tbl_Actual_costs_quantities34[[#This Row],[Windows Replacement Repair]]*BOQs!$L$10</f>
        <v>0</v>
      </c>
      <c r="AL587" s="76"/>
      <c r="AM587" s="37"/>
      <c r="AN587" s="86">
        <f>tbl_Actual_costs_quantities34[[#This Row],[Bathroom Rehabilitation]]*BOQs!$L$11</f>
        <v>0</v>
      </c>
      <c r="AO587" s="76"/>
      <c r="AP587" s="37"/>
      <c r="AQ587" s="86">
        <f>tbl_Actual_costs_quantities34[[#This Row],[Ceramic Tile Works WASH]]*BOQs!$L$12</f>
        <v>0</v>
      </c>
      <c r="AR587" s="76"/>
      <c r="AS587" s="37"/>
      <c r="AT587" s="86">
        <f>tbl_Actual_costs_quantities34[[#This Row],[Electrical Repairs Lighting]]*BOQs!$L$13</f>
        <v>0</v>
      </c>
      <c r="AU587" s="76"/>
      <c r="AV587" s="37"/>
      <c r="AW587" s="86">
        <f>tbl_Actual_costs_quantities34[[#This Row],[Roof Insulation Leak Sealing]]*BOQs!$L$14</f>
        <v>0</v>
      </c>
      <c r="AX587" s="76"/>
      <c r="AY587" s="37"/>
      <c r="AZ587" s="86">
        <f>tbl_Actual_costs_quantities34[[#This Row],[Chimney Duct Cleaning Repair]]*BOQs!$L$15</f>
        <v>0</v>
      </c>
      <c r="BA587" s="76"/>
      <c r="BB587" s="37"/>
      <c r="BC587" s="89">
        <f>tbl_Actual_costs_quantities34[[#This Row],[Accessibility Adaptations]]*BOQs!$L$16</f>
        <v>0</v>
      </c>
      <c r="BD587" s="41"/>
      <c r="BE587" s="37"/>
      <c r="BF587" s="37"/>
    </row>
    <row r="588" spans="2:58" ht="25.15" customHeight="1" x14ac:dyDescent="0.25">
      <c r="B588" s="49">
        <v>584</v>
      </c>
      <c r="C588" s="37"/>
      <c r="D588" s="41"/>
      <c r="E588" s="40"/>
      <c r="F588" s="87" t="str">
        <f>IF(tbl_Actual_costs_quantities34[[#This Row],[House Code]]&lt;&gt;"",INDEX(tbl_Assessment[],MATCH(tbl_Actual_costs_quantities34[[#This Row],[House Code]],tbl_Assessment[House Code],0),3),"")</f>
        <v/>
      </c>
      <c r="G588" s="116" t="str">
        <f>IF(tbl_Actual_costs_quantities34[[#This Row],[House Code]]&lt;&gt;"",INDEX(tbl_Assessment[],MATCH(tbl_Actual_costs_quantities34[[#This Row],[House Code]],tbl_Assessment[House Code],0),9),"")</f>
        <v/>
      </c>
      <c r="H588" s="41"/>
      <c r="I588" s="41"/>
      <c r="J588" s="41"/>
      <c r="K588" s="116"/>
      <c r="L588" s="117" t="str">
        <f>IF(tbl_Actual_costs_quantities34[[#This Row],[House Code]]&lt;&gt;"",tbl_Actual_costs_quantities34[[#This Row],[Total cost]]/INDEX(tbl_estimated_costs_quantities[],MATCH(tbl_Actual_costs_quantities34[[#This Row],[House Code]],tbl_estimated_costs_quantities[House Code],0),7),"")</f>
        <v/>
      </c>
      <c r="M58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8" s="75"/>
      <c r="O588" s="37"/>
      <c r="P588" s="86">
        <f>tbl_Actual_costs_quantities34[[#This Row],[Site Preparation]]*BOQs!$L$3</f>
        <v>0</v>
      </c>
      <c r="Q588" s="76"/>
      <c r="R588" s="37"/>
      <c r="S588" s="86">
        <f>tbl_Actual_costs_quantities34[[#This Row],[Demolition Removal Unsafe Structures]]*BOQs!$L$4</f>
        <v>0</v>
      </c>
      <c r="T588" s="76"/>
      <c r="U588" s="37"/>
      <c r="V588" s="86">
        <f>tbl_Actual_costs_quantities34[[#This Row],[Concrete Works]]*BOQs!$L$5</f>
        <v>0</v>
      </c>
      <c r="W588" s="76"/>
      <c r="X588" s="37"/>
      <c r="Y588" s="86">
        <f>tbl_Actual_costs_quantities34[[#This Row],[Closure External Openings Walls Windows]]*BOQs!$L$6</f>
        <v>0</v>
      </c>
      <c r="Z588" s="76"/>
      <c r="AA588" s="37"/>
      <c r="AB588" s="86">
        <f>tbl_Actual_costs_quantities34[[#This Row],[Plastering Painting]]*BOQs!$L$7</f>
        <v>0</v>
      </c>
      <c r="AC588" s="76"/>
      <c r="AD588" s="37"/>
      <c r="AE588" s="86">
        <f>tbl_Actual_costs_quantities34[[#This Row],[Floor Repairs]]*BOQs!$L$8</f>
        <v>0</v>
      </c>
      <c r="AF588" s="76"/>
      <c r="AG588" s="37"/>
      <c r="AH588" s="86">
        <f>tbl_Actual_costs_quantities34[[#This Row],[Doors Replacement Repair]]*BOQs!$L$9</f>
        <v>0</v>
      </c>
      <c r="AI588" s="76"/>
      <c r="AJ588" s="37"/>
      <c r="AK588" s="86">
        <f>tbl_Actual_costs_quantities34[[#This Row],[Windows Replacement Repair]]*BOQs!$L$10</f>
        <v>0</v>
      </c>
      <c r="AL588" s="76"/>
      <c r="AM588" s="37"/>
      <c r="AN588" s="86">
        <f>tbl_Actual_costs_quantities34[[#This Row],[Bathroom Rehabilitation]]*BOQs!$L$11</f>
        <v>0</v>
      </c>
      <c r="AO588" s="76"/>
      <c r="AP588" s="37"/>
      <c r="AQ588" s="86">
        <f>tbl_Actual_costs_quantities34[[#This Row],[Ceramic Tile Works WASH]]*BOQs!$L$12</f>
        <v>0</v>
      </c>
      <c r="AR588" s="76"/>
      <c r="AS588" s="37"/>
      <c r="AT588" s="86">
        <f>tbl_Actual_costs_quantities34[[#This Row],[Electrical Repairs Lighting]]*BOQs!$L$13</f>
        <v>0</v>
      </c>
      <c r="AU588" s="76"/>
      <c r="AV588" s="37"/>
      <c r="AW588" s="86">
        <f>tbl_Actual_costs_quantities34[[#This Row],[Roof Insulation Leak Sealing]]*BOQs!$L$14</f>
        <v>0</v>
      </c>
      <c r="AX588" s="76"/>
      <c r="AY588" s="37"/>
      <c r="AZ588" s="86">
        <f>tbl_Actual_costs_quantities34[[#This Row],[Chimney Duct Cleaning Repair]]*BOQs!$L$15</f>
        <v>0</v>
      </c>
      <c r="BA588" s="76"/>
      <c r="BB588" s="37"/>
      <c r="BC588" s="89">
        <f>tbl_Actual_costs_quantities34[[#This Row],[Accessibility Adaptations]]*BOQs!$L$16</f>
        <v>0</v>
      </c>
      <c r="BD588" s="41"/>
      <c r="BE588" s="37"/>
      <c r="BF588" s="37"/>
    </row>
    <row r="589" spans="2:58" ht="25.15" customHeight="1" x14ac:dyDescent="0.25">
      <c r="B589" s="49">
        <v>585</v>
      </c>
      <c r="C589" s="37"/>
      <c r="D589" s="41"/>
      <c r="E589" s="40"/>
      <c r="F589" s="87" t="str">
        <f>IF(tbl_Actual_costs_quantities34[[#This Row],[House Code]]&lt;&gt;"",INDEX(tbl_Assessment[],MATCH(tbl_Actual_costs_quantities34[[#This Row],[House Code]],tbl_Assessment[House Code],0),3),"")</f>
        <v/>
      </c>
      <c r="G589" s="116" t="str">
        <f>IF(tbl_Actual_costs_quantities34[[#This Row],[House Code]]&lt;&gt;"",INDEX(tbl_Assessment[],MATCH(tbl_Actual_costs_quantities34[[#This Row],[House Code]],tbl_Assessment[House Code],0),9),"")</f>
        <v/>
      </c>
      <c r="H589" s="41"/>
      <c r="I589" s="41"/>
      <c r="J589" s="41"/>
      <c r="K589" s="116"/>
      <c r="L589" s="117" t="str">
        <f>IF(tbl_Actual_costs_quantities34[[#This Row],[House Code]]&lt;&gt;"",tbl_Actual_costs_quantities34[[#This Row],[Total cost]]/INDEX(tbl_estimated_costs_quantities[],MATCH(tbl_Actual_costs_quantities34[[#This Row],[House Code]],tbl_estimated_costs_quantities[House Code],0),7),"")</f>
        <v/>
      </c>
      <c r="M58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89" s="75"/>
      <c r="O589" s="37"/>
      <c r="P589" s="86">
        <f>tbl_Actual_costs_quantities34[[#This Row],[Site Preparation]]*BOQs!$L$3</f>
        <v>0</v>
      </c>
      <c r="Q589" s="76"/>
      <c r="R589" s="37"/>
      <c r="S589" s="86">
        <f>tbl_Actual_costs_quantities34[[#This Row],[Demolition Removal Unsafe Structures]]*BOQs!$L$4</f>
        <v>0</v>
      </c>
      <c r="T589" s="76"/>
      <c r="U589" s="37"/>
      <c r="V589" s="86">
        <f>tbl_Actual_costs_quantities34[[#This Row],[Concrete Works]]*BOQs!$L$5</f>
        <v>0</v>
      </c>
      <c r="W589" s="76"/>
      <c r="X589" s="37"/>
      <c r="Y589" s="86">
        <f>tbl_Actual_costs_quantities34[[#This Row],[Closure External Openings Walls Windows]]*BOQs!$L$6</f>
        <v>0</v>
      </c>
      <c r="Z589" s="76"/>
      <c r="AA589" s="37"/>
      <c r="AB589" s="86">
        <f>tbl_Actual_costs_quantities34[[#This Row],[Plastering Painting]]*BOQs!$L$7</f>
        <v>0</v>
      </c>
      <c r="AC589" s="76"/>
      <c r="AD589" s="37"/>
      <c r="AE589" s="86">
        <f>tbl_Actual_costs_quantities34[[#This Row],[Floor Repairs]]*BOQs!$L$8</f>
        <v>0</v>
      </c>
      <c r="AF589" s="76"/>
      <c r="AG589" s="37"/>
      <c r="AH589" s="86">
        <f>tbl_Actual_costs_quantities34[[#This Row],[Doors Replacement Repair]]*BOQs!$L$9</f>
        <v>0</v>
      </c>
      <c r="AI589" s="76"/>
      <c r="AJ589" s="37"/>
      <c r="AK589" s="86">
        <f>tbl_Actual_costs_quantities34[[#This Row],[Windows Replacement Repair]]*BOQs!$L$10</f>
        <v>0</v>
      </c>
      <c r="AL589" s="76"/>
      <c r="AM589" s="37"/>
      <c r="AN589" s="86">
        <f>tbl_Actual_costs_quantities34[[#This Row],[Bathroom Rehabilitation]]*BOQs!$L$11</f>
        <v>0</v>
      </c>
      <c r="AO589" s="76"/>
      <c r="AP589" s="37"/>
      <c r="AQ589" s="86">
        <f>tbl_Actual_costs_quantities34[[#This Row],[Ceramic Tile Works WASH]]*BOQs!$L$12</f>
        <v>0</v>
      </c>
      <c r="AR589" s="76"/>
      <c r="AS589" s="37"/>
      <c r="AT589" s="86">
        <f>tbl_Actual_costs_quantities34[[#This Row],[Electrical Repairs Lighting]]*BOQs!$L$13</f>
        <v>0</v>
      </c>
      <c r="AU589" s="76"/>
      <c r="AV589" s="37"/>
      <c r="AW589" s="86">
        <f>tbl_Actual_costs_quantities34[[#This Row],[Roof Insulation Leak Sealing]]*BOQs!$L$14</f>
        <v>0</v>
      </c>
      <c r="AX589" s="76"/>
      <c r="AY589" s="37"/>
      <c r="AZ589" s="86">
        <f>tbl_Actual_costs_quantities34[[#This Row],[Chimney Duct Cleaning Repair]]*BOQs!$L$15</f>
        <v>0</v>
      </c>
      <c r="BA589" s="76"/>
      <c r="BB589" s="37"/>
      <c r="BC589" s="89">
        <f>tbl_Actual_costs_quantities34[[#This Row],[Accessibility Adaptations]]*BOQs!$L$16</f>
        <v>0</v>
      </c>
      <c r="BD589" s="41"/>
      <c r="BE589" s="37"/>
      <c r="BF589" s="37"/>
    </row>
    <row r="590" spans="2:58" ht="25.15" customHeight="1" x14ac:dyDescent="0.25">
      <c r="B590" s="49">
        <v>586</v>
      </c>
      <c r="C590" s="37"/>
      <c r="D590" s="41"/>
      <c r="E590" s="40"/>
      <c r="F590" s="87" t="str">
        <f>IF(tbl_Actual_costs_quantities34[[#This Row],[House Code]]&lt;&gt;"",INDEX(tbl_Assessment[],MATCH(tbl_Actual_costs_quantities34[[#This Row],[House Code]],tbl_Assessment[House Code],0),3),"")</f>
        <v/>
      </c>
      <c r="G590" s="116" t="str">
        <f>IF(tbl_Actual_costs_quantities34[[#This Row],[House Code]]&lt;&gt;"",INDEX(tbl_Assessment[],MATCH(tbl_Actual_costs_quantities34[[#This Row],[House Code]],tbl_Assessment[House Code],0),9),"")</f>
        <v/>
      </c>
      <c r="H590" s="41"/>
      <c r="I590" s="41"/>
      <c r="J590" s="41"/>
      <c r="K590" s="116"/>
      <c r="L590" s="117" t="str">
        <f>IF(tbl_Actual_costs_quantities34[[#This Row],[House Code]]&lt;&gt;"",tbl_Actual_costs_quantities34[[#This Row],[Total cost]]/INDEX(tbl_estimated_costs_quantities[],MATCH(tbl_Actual_costs_quantities34[[#This Row],[House Code]],tbl_estimated_costs_quantities[House Code],0),7),"")</f>
        <v/>
      </c>
      <c r="M59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0" s="75"/>
      <c r="O590" s="37"/>
      <c r="P590" s="86">
        <f>tbl_Actual_costs_quantities34[[#This Row],[Site Preparation]]*BOQs!$L$3</f>
        <v>0</v>
      </c>
      <c r="Q590" s="76"/>
      <c r="R590" s="37"/>
      <c r="S590" s="86">
        <f>tbl_Actual_costs_quantities34[[#This Row],[Demolition Removal Unsafe Structures]]*BOQs!$L$4</f>
        <v>0</v>
      </c>
      <c r="T590" s="76"/>
      <c r="U590" s="37"/>
      <c r="V590" s="86">
        <f>tbl_Actual_costs_quantities34[[#This Row],[Concrete Works]]*BOQs!$L$5</f>
        <v>0</v>
      </c>
      <c r="W590" s="76"/>
      <c r="X590" s="37"/>
      <c r="Y590" s="86">
        <f>tbl_Actual_costs_quantities34[[#This Row],[Closure External Openings Walls Windows]]*BOQs!$L$6</f>
        <v>0</v>
      </c>
      <c r="Z590" s="76"/>
      <c r="AA590" s="37"/>
      <c r="AB590" s="86">
        <f>tbl_Actual_costs_quantities34[[#This Row],[Plastering Painting]]*BOQs!$L$7</f>
        <v>0</v>
      </c>
      <c r="AC590" s="76"/>
      <c r="AD590" s="37"/>
      <c r="AE590" s="86">
        <f>tbl_Actual_costs_quantities34[[#This Row],[Floor Repairs]]*BOQs!$L$8</f>
        <v>0</v>
      </c>
      <c r="AF590" s="76"/>
      <c r="AG590" s="37"/>
      <c r="AH590" s="86">
        <f>tbl_Actual_costs_quantities34[[#This Row],[Doors Replacement Repair]]*BOQs!$L$9</f>
        <v>0</v>
      </c>
      <c r="AI590" s="76"/>
      <c r="AJ590" s="37"/>
      <c r="AK590" s="86">
        <f>tbl_Actual_costs_quantities34[[#This Row],[Windows Replacement Repair]]*BOQs!$L$10</f>
        <v>0</v>
      </c>
      <c r="AL590" s="76"/>
      <c r="AM590" s="37"/>
      <c r="AN590" s="86">
        <f>tbl_Actual_costs_quantities34[[#This Row],[Bathroom Rehabilitation]]*BOQs!$L$11</f>
        <v>0</v>
      </c>
      <c r="AO590" s="76"/>
      <c r="AP590" s="37"/>
      <c r="AQ590" s="86">
        <f>tbl_Actual_costs_quantities34[[#This Row],[Ceramic Tile Works WASH]]*BOQs!$L$12</f>
        <v>0</v>
      </c>
      <c r="AR590" s="76"/>
      <c r="AS590" s="37"/>
      <c r="AT590" s="86">
        <f>tbl_Actual_costs_quantities34[[#This Row],[Electrical Repairs Lighting]]*BOQs!$L$13</f>
        <v>0</v>
      </c>
      <c r="AU590" s="76"/>
      <c r="AV590" s="37"/>
      <c r="AW590" s="86">
        <f>tbl_Actual_costs_quantities34[[#This Row],[Roof Insulation Leak Sealing]]*BOQs!$L$14</f>
        <v>0</v>
      </c>
      <c r="AX590" s="76"/>
      <c r="AY590" s="37"/>
      <c r="AZ590" s="86">
        <f>tbl_Actual_costs_quantities34[[#This Row],[Chimney Duct Cleaning Repair]]*BOQs!$L$15</f>
        <v>0</v>
      </c>
      <c r="BA590" s="76"/>
      <c r="BB590" s="37"/>
      <c r="BC590" s="89">
        <f>tbl_Actual_costs_quantities34[[#This Row],[Accessibility Adaptations]]*BOQs!$L$16</f>
        <v>0</v>
      </c>
      <c r="BD590" s="41"/>
      <c r="BE590" s="37"/>
      <c r="BF590" s="37"/>
    </row>
    <row r="591" spans="2:58" ht="25.15" customHeight="1" x14ac:dyDescent="0.25">
      <c r="B591" s="49">
        <v>587</v>
      </c>
      <c r="C591" s="37"/>
      <c r="D591" s="41"/>
      <c r="E591" s="40"/>
      <c r="F591" s="87" t="str">
        <f>IF(tbl_Actual_costs_quantities34[[#This Row],[House Code]]&lt;&gt;"",INDEX(tbl_Assessment[],MATCH(tbl_Actual_costs_quantities34[[#This Row],[House Code]],tbl_Assessment[House Code],0),3),"")</f>
        <v/>
      </c>
      <c r="G591" s="116" t="str">
        <f>IF(tbl_Actual_costs_quantities34[[#This Row],[House Code]]&lt;&gt;"",INDEX(tbl_Assessment[],MATCH(tbl_Actual_costs_quantities34[[#This Row],[House Code]],tbl_Assessment[House Code],0),9),"")</f>
        <v/>
      </c>
      <c r="H591" s="41"/>
      <c r="I591" s="41"/>
      <c r="J591" s="41"/>
      <c r="K591" s="116"/>
      <c r="L591" s="117" t="str">
        <f>IF(tbl_Actual_costs_quantities34[[#This Row],[House Code]]&lt;&gt;"",tbl_Actual_costs_quantities34[[#This Row],[Total cost]]/INDEX(tbl_estimated_costs_quantities[],MATCH(tbl_Actual_costs_quantities34[[#This Row],[House Code]],tbl_estimated_costs_quantities[House Code],0),7),"")</f>
        <v/>
      </c>
      <c r="M59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1" s="75"/>
      <c r="O591" s="37"/>
      <c r="P591" s="86">
        <f>tbl_Actual_costs_quantities34[[#This Row],[Site Preparation]]*BOQs!$L$3</f>
        <v>0</v>
      </c>
      <c r="Q591" s="76"/>
      <c r="R591" s="37"/>
      <c r="S591" s="86">
        <f>tbl_Actual_costs_quantities34[[#This Row],[Demolition Removal Unsafe Structures]]*BOQs!$L$4</f>
        <v>0</v>
      </c>
      <c r="T591" s="76"/>
      <c r="U591" s="37"/>
      <c r="V591" s="86">
        <f>tbl_Actual_costs_quantities34[[#This Row],[Concrete Works]]*BOQs!$L$5</f>
        <v>0</v>
      </c>
      <c r="W591" s="76"/>
      <c r="X591" s="37"/>
      <c r="Y591" s="86">
        <f>tbl_Actual_costs_quantities34[[#This Row],[Closure External Openings Walls Windows]]*BOQs!$L$6</f>
        <v>0</v>
      </c>
      <c r="Z591" s="76"/>
      <c r="AA591" s="37"/>
      <c r="AB591" s="86">
        <f>tbl_Actual_costs_quantities34[[#This Row],[Plastering Painting]]*BOQs!$L$7</f>
        <v>0</v>
      </c>
      <c r="AC591" s="76"/>
      <c r="AD591" s="37"/>
      <c r="AE591" s="86">
        <f>tbl_Actual_costs_quantities34[[#This Row],[Floor Repairs]]*BOQs!$L$8</f>
        <v>0</v>
      </c>
      <c r="AF591" s="76"/>
      <c r="AG591" s="37"/>
      <c r="AH591" s="86">
        <f>tbl_Actual_costs_quantities34[[#This Row],[Doors Replacement Repair]]*BOQs!$L$9</f>
        <v>0</v>
      </c>
      <c r="AI591" s="76"/>
      <c r="AJ591" s="37"/>
      <c r="AK591" s="86">
        <f>tbl_Actual_costs_quantities34[[#This Row],[Windows Replacement Repair]]*BOQs!$L$10</f>
        <v>0</v>
      </c>
      <c r="AL591" s="76"/>
      <c r="AM591" s="37"/>
      <c r="AN591" s="86">
        <f>tbl_Actual_costs_quantities34[[#This Row],[Bathroom Rehabilitation]]*BOQs!$L$11</f>
        <v>0</v>
      </c>
      <c r="AO591" s="76"/>
      <c r="AP591" s="37"/>
      <c r="AQ591" s="86">
        <f>tbl_Actual_costs_quantities34[[#This Row],[Ceramic Tile Works WASH]]*BOQs!$L$12</f>
        <v>0</v>
      </c>
      <c r="AR591" s="76"/>
      <c r="AS591" s="37"/>
      <c r="AT591" s="86">
        <f>tbl_Actual_costs_quantities34[[#This Row],[Electrical Repairs Lighting]]*BOQs!$L$13</f>
        <v>0</v>
      </c>
      <c r="AU591" s="76"/>
      <c r="AV591" s="37"/>
      <c r="AW591" s="86">
        <f>tbl_Actual_costs_quantities34[[#This Row],[Roof Insulation Leak Sealing]]*BOQs!$L$14</f>
        <v>0</v>
      </c>
      <c r="AX591" s="76"/>
      <c r="AY591" s="37"/>
      <c r="AZ591" s="86">
        <f>tbl_Actual_costs_quantities34[[#This Row],[Chimney Duct Cleaning Repair]]*BOQs!$L$15</f>
        <v>0</v>
      </c>
      <c r="BA591" s="76"/>
      <c r="BB591" s="37"/>
      <c r="BC591" s="89">
        <f>tbl_Actual_costs_quantities34[[#This Row],[Accessibility Adaptations]]*BOQs!$L$16</f>
        <v>0</v>
      </c>
      <c r="BD591" s="41"/>
      <c r="BE591" s="37"/>
      <c r="BF591" s="37"/>
    </row>
    <row r="592" spans="2:58" ht="25.15" customHeight="1" x14ac:dyDescent="0.25">
      <c r="B592" s="49">
        <v>588</v>
      </c>
      <c r="C592" s="37"/>
      <c r="D592" s="41"/>
      <c r="E592" s="40"/>
      <c r="F592" s="87" t="str">
        <f>IF(tbl_Actual_costs_quantities34[[#This Row],[House Code]]&lt;&gt;"",INDEX(tbl_Assessment[],MATCH(tbl_Actual_costs_quantities34[[#This Row],[House Code]],tbl_Assessment[House Code],0),3),"")</f>
        <v/>
      </c>
      <c r="G592" s="116" t="str">
        <f>IF(tbl_Actual_costs_quantities34[[#This Row],[House Code]]&lt;&gt;"",INDEX(tbl_Assessment[],MATCH(tbl_Actual_costs_quantities34[[#This Row],[House Code]],tbl_Assessment[House Code],0),9),"")</f>
        <v/>
      </c>
      <c r="H592" s="41"/>
      <c r="I592" s="41"/>
      <c r="J592" s="41"/>
      <c r="K592" s="116"/>
      <c r="L592" s="117" t="str">
        <f>IF(tbl_Actual_costs_quantities34[[#This Row],[House Code]]&lt;&gt;"",tbl_Actual_costs_quantities34[[#This Row],[Total cost]]/INDEX(tbl_estimated_costs_quantities[],MATCH(tbl_Actual_costs_quantities34[[#This Row],[House Code]],tbl_estimated_costs_quantities[House Code],0),7),"")</f>
        <v/>
      </c>
      <c r="M59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2" s="75"/>
      <c r="O592" s="37"/>
      <c r="P592" s="86">
        <f>tbl_Actual_costs_quantities34[[#This Row],[Site Preparation]]*BOQs!$L$3</f>
        <v>0</v>
      </c>
      <c r="Q592" s="76"/>
      <c r="R592" s="37"/>
      <c r="S592" s="86">
        <f>tbl_Actual_costs_quantities34[[#This Row],[Demolition Removal Unsafe Structures]]*BOQs!$L$4</f>
        <v>0</v>
      </c>
      <c r="T592" s="76"/>
      <c r="U592" s="37"/>
      <c r="V592" s="86">
        <f>tbl_Actual_costs_quantities34[[#This Row],[Concrete Works]]*BOQs!$L$5</f>
        <v>0</v>
      </c>
      <c r="W592" s="76"/>
      <c r="X592" s="37"/>
      <c r="Y592" s="86">
        <f>tbl_Actual_costs_quantities34[[#This Row],[Closure External Openings Walls Windows]]*BOQs!$L$6</f>
        <v>0</v>
      </c>
      <c r="Z592" s="76"/>
      <c r="AA592" s="37"/>
      <c r="AB592" s="86">
        <f>tbl_Actual_costs_quantities34[[#This Row],[Plastering Painting]]*BOQs!$L$7</f>
        <v>0</v>
      </c>
      <c r="AC592" s="76"/>
      <c r="AD592" s="37"/>
      <c r="AE592" s="86">
        <f>tbl_Actual_costs_quantities34[[#This Row],[Floor Repairs]]*BOQs!$L$8</f>
        <v>0</v>
      </c>
      <c r="AF592" s="76"/>
      <c r="AG592" s="37"/>
      <c r="AH592" s="86">
        <f>tbl_Actual_costs_quantities34[[#This Row],[Doors Replacement Repair]]*BOQs!$L$9</f>
        <v>0</v>
      </c>
      <c r="AI592" s="76"/>
      <c r="AJ592" s="37"/>
      <c r="AK592" s="86">
        <f>tbl_Actual_costs_quantities34[[#This Row],[Windows Replacement Repair]]*BOQs!$L$10</f>
        <v>0</v>
      </c>
      <c r="AL592" s="76"/>
      <c r="AM592" s="37"/>
      <c r="AN592" s="86">
        <f>tbl_Actual_costs_quantities34[[#This Row],[Bathroom Rehabilitation]]*BOQs!$L$11</f>
        <v>0</v>
      </c>
      <c r="AO592" s="76"/>
      <c r="AP592" s="37"/>
      <c r="AQ592" s="86">
        <f>tbl_Actual_costs_quantities34[[#This Row],[Ceramic Tile Works WASH]]*BOQs!$L$12</f>
        <v>0</v>
      </c>
      <c r="AR592" s="76"/>
      <c r="AS592" s="37"/>
      <c r="AT592" s="86">
        <f>tbl_Actual_costs_quantities34[[#This Row],[Electrical Repairs Lighting]]*BOQs!$L$13</f>
        <v>0</v>
      </c>
      <c r="AU592" s="76"/>
      <c r="AV592" s="37"/>
      <c r="AW592" s="86">
        <f>tbl_Actual_costs_quantities34[[#This Row],[Roof Insulation Leak Sealing]]*BOQs!$L$14</f>
        <v>0</v>
      </c>
      <c r="AX592" s="76"/>
      <c r="AY592" s="37"/>
      <c r="AZ592" s="86">
        <f>tbl_Actual_costs_quantities34[[#This Row],[Chimney Duct Cleaning Repair]]*BOQs!$L$15</f>
        <v>0</v>
      </c>
      <c r="BA592" s="76"/>
      <c r="BB592" s="37"/>
      <c r="BC592" s="89">
        <f>tbl_Actual_costs_quantities34[[#This Row],[Accessibility Adaptations]]*BOQs!$L$16</f>
        <v>0</v>
      </c>
      <c r="BD592" s="41"/>
      <c r="BE592" s="37"/>
      <c r="BF592" s="37"/>
    </row>
    <row r="593" spans="2:58" ht="25.15" customHeight="1" x14ac:dyDescent="0.25">
      <c r="B593" s="49">
        <v>589</v>
      </c>
      <c r="C593" s="37"/>
      <c r="D593" s="41"/>
      <c r="E593" s="40"/>
      <c r="F593" s="87" t="str">
        <f>IF(tbl_Actual_costs_quantities34[[#This Row],[House Code]]&lt;&gt;"",INDEX(tbl_Assessment[],MATCH(tbl_Actual_costs_quantities34[[#This Row],[House Code]],tbl_Assessment[House Code],0),3),"")</f>
        <v/>
      </c>
      <c r="G593" s="116" t="str">
        <f>IF(tbl_Actual_costs_quantities34[[#This Row],[House Code]]&lt;&gt;"",INDEX(tbl_Assessment[],MATCH(tbl_Actual_costs_quantities34[[#This Row],[House Code]],tbl_Assessment[House Code],0),9),"")</f>
        <v/>
      </c>
      <c r="H593" s="41"/>
      <c r="I593" s="41"/>
      <c r="J593" s="41"/>
      <c r="K593" s="116"/>
      <c r="L593" s="117" t="str">
        <f>IF(tbl_Actual_costs_quantities34[[#This Row],[House Code]]&lt;&gt;"",tbl_Actual_costs_quantities34[[#This Row],[Total cost]]/INDEX(tbl_estimated_costs_quantities[],MATCH(tbl_Actual_costs_quantities34[[#This Row],[House Code]],tbl_estimated_costs_quantities[House Code],0),7),"")</f>
        <v/>
      </c>
      <c r="M59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3" s="75"/>
      <c r="O593" s="37"/>
      <c r="P593" s="86">
        <f>tbl_Actual_costs_quantities34[[#This Row],[Site Preparation]]*BOQs!$L$3</f>
        <v>0</v>
      </c>
      <c r="Q593" s="76"/>
      <c r="R593" s="37"/>
      <c r="S593" s="86">
        <f>tbl_Actual_costs_quantities34[[#This Row],[Demolition Removal Unsafe Structures]]*BOQs!$L$4</f>
        <v>0</v>
      </c>
      <c r="T593" s="76"/>
      <c r="U593" s="37"/>
      <c r="V593" s="86">
        <f>tbl_Actual_costs_quantities34[[#This Row],[Concrete Works]]*BOQs!$L$5</f>
        <v>0</v>
      </c>
      <c r="W593" s="76"/>
      <c r="X593" s="37"/>
      <c r="Y593" s="86">
        <f>tbl_Actual_costs_quantities34[[#This Row],[Closure External Openings Walls Windows]]*BOQs!$L$6</f>
        <v>0</v>
      </c>
      <c r="Z593" s="76"/>
      <c r="AA593" s="37"/>
      <c r="AB593" s="86">
        <f>tbl_Actual_costs_quantities34[[#This Row],[Plastering Painting]]*BOQs!$L$7</f>
        <v>0</v>
      </c>
      <c r="AC593" s="76"/>
      <c r="AD593" s="37"/>
      <c r="AE593" s="86">
        <f>tbl_Actual_costs_quantities34[[#This Row],[Floor Repairs]]*BOQs!$L$8</f>
        <v>0</v>
      </c>
      <c r="AF593" s="76"/>
      <c r="AG593" s="37"/>
      <c r="AH593" s="86">
        <f>tbl_Actual_costs_quantities34[[#This Row],[Doors Replacement Repair]]*BOQs!$L$9</f>
        <v>0</v>
      </c>
      <c r="AI593" s="76"/>
      <c r="AJ593" s="37"/>
      <c r="AK593" s="86">
        <f>tbl_Actual_costs_quantities34[[#This Row],[Windows Replacement Repair]]*BOQs!$L$10</f>
        <v>0</v>
      </c>
      <c r="AL593" s="76"/>
      <c r="AM593" s="37"/>
      <c r="AN593" s="86">
        <f>tbl_Actual_costs_quantities34[[#This Row],[Bathroom Rehabilitation]]*BOQs!$L$11</f>
        <v>0</v>
      </c>
      <c r="AO593" s="76"/>
      <c r="AP593" s="37"/>
      <c r="AQ593" s="86">
        <f>tbl_Actual_costs_quantities34[[#This Row],[Ceramic Tile Works WASH]]*BOQs!$L$12</f>
        <v>0</v>
      </c>
      <c r="AR593" s="76"/>
      <c r="AS593" s="37"/>
      <c r="AT593" s="86">
        <f>tbl_Actual_costs_quantities34[[#This Row],[Electrical Repairs Lighting]]*BOQs!$L$13</f>
        <v>0</v>
      </c>
      <c r="AU593" s="76"/>
      <c r="AV593" s="37"/>
      <c r="AW593" s="86">
        <f>tbl_Actual_costs_quantities34[[#This Row],[Roof Insulation Leak Sealing]]*BOQs!$L$14</f>
        <v>0</v>
      </c>
      <c r="AX593" s="76"/>
      <c r="AY593" s="37"/>
      <c r="AZ593" s="86">
        <f>tbl_Actual_costs_quantities34[[#This Row],[Chimney Duct Cleaning Repair]]*BOQs!$L$15</f>
        <v>0</v>
      </c>
      <c r="BA593" s="76"/>
      <c r="BB593" s="37"/>
      <c r="BC593" s="89">
        <f>tbl_Actual_costs_quantities34[[#This Row],[Accessibility Adaptations]]*BOQs!$L$16</f>
        <v>0</v>
      </c>
      <c r="BD593" s="41"/>
      <c r="BE593" s="37"/>
      <c r="BF593" s="37"/>
    </row>
    <row r="594" spans="2:58" ht="25.15" customHeight="1" x14ac:dyDescent="0.25">
      <c r="B594" s="49">
        <v>590</v>
      </c>
      <c r="C594" s="37"/>
      <c r="D594" s="41"/>
      <c r="E594" s="40"/>
      <c r="F594" s="87" t="str">
        <f>IF(tbl_Actual_costs_quantities34[[#This Row],[House Code]]&lt;&gt;"",INDEX(tbl_Assessment[],MATCH(tbl_Actual_costs_quantities34[[#This Row],[House Code]],tbl_Assessment[House Code],0),3),"")</f>
        <v/>
      </c>
      <c r="G594" s="116" t="str">
        <f>IF(tbl_Actual_costs_quantities34[[#This Row],[House Code]]&lt;&gt;"",INDEX(tbl_Assessment[],MATCH(tbl_Actual_costs_quantities34[[#This Row],[House Code]],tbl_Assessment[House Code],0),9),"")</f>
        <v/>
      </c>
      <c r="H594" s="41"/>
      <c r="I594" s="41"/>
      <c r="J594" s="41"/>
      <c r="K594" s="116"/>
      <c r="L594" s="117" t="str">
        <f>IF(tbl_Actual_costs_quantities34[[#This Row],[House Code]]&lt;&gt;"",tbl_Actual_costs_quantities34[[#This Row],[Total cost]]/INDEX(tbl_estimated_costs_quantities[],MATCH(tbl_Actual_costs_quantities34[[#This Row],[House Code]],tbl_estimated_costs_quantities[House Code],0),7),"")</f>
        <v/>
      </c>
      <c r="M59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4" s="75"/>
      <c r="O594" s="37"/>
      <c r="P594" s="86">
        <f>tbl_Actual_costs_quantities34[[#This Row],[Site Preparation]]*BOQs!$L$3</f>
        <v>0</v>
      </c>
      <c r="Q594" s="76"/>
      <c r="R594" s="37"/>
      <c r="S594" s="86">
        <f>tbl_Actual_costs_quantities34[[#This Row],[Demolition Removal Unsafe Structures]]*BOQs!$L$4</f>
        <v>0</v>
      </c>
      <c r="T594" s="76"/>
      <c r="U594" s="37"/>
      <c r="V594" s="86">
        <f>tbl_Actual_costs_quantities34[[#This Row],[Concrete Works]]*BOQs!$L$5</f>
        <v>0</v>
      </c>
      <c r="W594" s="76"/>
      <c r="X594" s="37"/>
      <c r="Y594" s="86">
        <f>tbl_Actual_costs_quantities34[[#This Row],[Closure External Openings Walls Windows]]*BOQs!$L$6</f>
        <v>0</v>
      </c>
      <c r="Z594" s="76"/>
      <c r="AA594" s="37"/>
      <c r="AB594" s="86">
        <f>tbl_Actual_costs_quantities34[[#This Row],[Plastering Painting]]*BOQs!$L$7</f>
        <v>0</v>
      </c>
      <c r="AC594" s="76"/>
      <c r="AD594" s="37"/>
      <c r="AE594" s="86">
        <f>tbl_Actual_costs_quantities34[[#This Row],[Floor Repairs]]*BOQs!$L$8</f>
        <v>0</v>
      </c>
      <c r="AF594" s="76"/>
      <c r="AG594" s="37"/>
      <c r="AH594" s="86">
        <f>tbl_Actual_costs_quantities34[[#This Row],[Doors Replacement Repair]]*BOQs!$L$9</f>
        <v>0</v>
      </c>
      <c r="AI594" s="76"/>
      <c r="AJ594" s="37"/>
      <c r="AK594" s="86">
        <f>tbl_Actual_costs_quantities34[[#This Row],[Windows Replacement Repair]]*BOQs!$L$10</f>
        <v>0</v>
      </c>
      <c r="AL594" s="76"/>
      <c r="AM594" s="37"/>
      <c r="AN594" s="86">
        <f>tbl_Actual_costs_quantities34[[#This Row],[Bathroom Rehabilitation]]*BOQs!$L$11</f>
        <v>0</v>
      </c>
      <c r="AO594" s="76"/>
      <c r="AP594" s="37"/>
      <c r="AQ594" s="86">
        <f>tbl_Actual_costs_quantities34[[#This Row],[Ceramic Tile Works WASH]]*BOQs!$L$12</f>
        <v>0</v>
      </c>
      <c r="AR594" s="76"/>
      <c r="AS594" s="37"/>
      <c r="AT594" s="86">
        <f>tbl_Actual_costs_quantities34[[#This Row],[Electrical Repairs Lighting]]*BOQs!$L$13</f>
        <v>0</v>
      </c>
      <c r="AU594" s="76"/>
      <c r="AV594" s="37"/>
      <c r="AW594" s="86">
        <f>tbl_Actual_costs_quantities34[[#This Row],[Roof Insulation Leak Sealing]]*BOQs!$L$14</f>
        <v>0</v>
      </c>
      <c r="AX594" s="76"/>
      <c r="AY594" s="37"/>
      <c r="AZ594" s="86">
        <f>tbl_Actual_costs_quantities34[[#This Row],[Chimney Duct Cleaning Repair]]*BOQs!$L$15</f>
        <v>0</v>
      </c>
      <c r="BA594" s="76"/>
      <c r="BB594" s="37"/>
      <c r="BC594" s="89">
        <f>tbl_Actual_costs_quantities34[[#This Row],[Accessibility Adaptations]]*BOQs!$L$16</f>
        <v>0</v>
      </c>
      <c r="BD594" s="41"/>
      <c r="BE594" s="37"/>
      <c r="BF594" s="37"/>
    </row>
    <row r="595" spans="2:58" ht="25.15" customHeight="1" x14ac:dyDescent="0.25">
      <c r="B595" s="49">
        <v>591</v>
      </c>
      <c r="C595" s="37"/>
      <c r="D595" s="41"/>
      <c r="E595" s="40"/>
      <c r="F595" s="87" t="str">
        <f>IF(tbl_Actual_costs_quantities34[[#This Row],[House Code]]&lt;&gt;"",INDEX(tbl_Assessment[],MATCH(tbl_Actual_costs_quantities34[[#This Row],[House Code]],tbl_Assessment[House Code],0),3),"")</f>
        <v/>
      </c>
      <c r="G595" s="116" t="str">
        <f>IF(tbl_Actual_costs_quantities34[[#This Row],[House Code]]&lt;&gt;"",INDEX(tbl_Assessment[],MATCH(tbl_Actual_costs_quantities34[[#This Row],[House Code]],tbl_Assessment[House Code],0),9),"")</f>
        <v/>
      </c>
      <c r="H595" s="41"/>
      <c r="I595" s="41"/>
      <c r="J595" s="41"/>
      <c r="K595" s="116"/>
      <c r="L595" s="117" t="str">
        <f>IF(tbl_Actual_costs_quantities34[[#This Row],[House Code]]&lt;&gt;"",tbl_Actual_costs_quantities34[[#This Row],[Total cost]]/INDEX(tbl_estimated_costs_quantities[],MATCH(tbl_Actual_costs_quantities34[[#This Row],[House Code]],tbl_estimated_costs_quantities[House Code],0),7),"")</f>
        <v/>
      </c>
      <c r="M59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5" s="75"/>
      <c r="O595" s="37"/>
      <c r="P595" s="86">
        <f>tbl_Actual_costs_quantities34[[#This Row],[Site Preparation]]*BOQs!$L$3</f>
        <v>0</v>
      </c>
      <c r="Q595" s="76"/>
      <c r="R595" s="37"/>
      <c r="S595" s="86">
        <f>tbl_Actual_costs_quantities34[[#This Row],[Demolition Removal Unsafe Structures]]*BOQs!$L$4</f>
        <v>0</v>
      </c>
      <c r="T595" s="76"/>
      <c r="U595" s="37"/>
      <c r="V595" s="86">
        <f>tbl_Actual_costs_quantities34[[#This Row],[Concrete Works]]*BOQs!$L$5</f>
        <v>0</v>
      </c>
      <c r="W595" s="76"/>
      <c r="X595" s="37"/>
      <c r="Y595" s="86">
        <f>tbl_Actual_costs_quantities34[[#This Row],[Closure External Openings Walls Windows]]*BOQs!$L$6</f>
        <v>0</v>
      </c>
      <c r="Z595" s="76"/>
      <c r="AA595" s="37"/>
      <c r="AB595" s="86">
        <f>tbl_Actual_costs_quantities34[[#This Row],[Plastering Painting]]*BOQs!$L$7</f>
        <v>0</v>
      </c>
      <c r="AC595" s="76"/>
      <c r="AD595" s="37"/>
      <c r="AE595" s="86">
        <f>tbl_Actual_costs_quantities34[[#This Row],[Floor Repairs]]*BOQs!$L$8</f>
        <v>0</v>
      </c>
      <c r="AF595" s="76"/>
      <c r="AG595" s="37"/>
      <c r="AH595" s="86">
        <f>tbl_Actual_costs_quantities34[[#This Row],[Doors Replacement Repair]]*BOQs!$L$9</f>
        <v>0</v>
      </c>
      <c r="AI595" s="76"/>
      <c r="AJ595" s="37"/>
      <c r="AK595" s="86">
        <f>tbl_Actual_costs_quantities34[[#This Row],[Windows Replacement Repair]]*BOQs!$L$10</f>
        <v>0</v>
      </c>
      <c r="AL595" s="76"/>
      <c r="AM595" s="37"/>
      <c r="AN595" s="86">
        <f>tbl_Actual_costs_quantities34[[#This Row],[Bathroom Rehabilitation]]*BOQs!$L$11</f>
        <v>0</v>
      </c>
      <c r="AO595" s="76"/>
      <c r="AP595" s="37"/>
      <c r="AQ595" s="86">
        <f>tbl_Actual_costs_quantities34[[#This Row],[Ceramic Tile Works WASH]]*BOQs!$L$12</f>
        <v>0</v>
      </c>
      <c r="AR595" s="76"/>
      <c r="AS595" s="37"/>
      <c r="AT595" s="86">
        <f>tbl_Actual_costs_quantities34[[#This Row],[Electrical Repairs Lighting]]*BOQs!$L$13</f>
        <v>0</v>
      </c>
      <c r="AU595" s="76"/>
      <c r="AV595" s="37"/>
      <c r="AW595" s="86">
        <f>tbl_Actual_costs_quantities34[[#This Row],[Roof Insulation Leak Sealing]]*BOQs!$L$14</f>
        <v>0</v>
      </c>
      <c r="AX595" s="76"/>
      <c r="AY595" s="37"/>
      <c r="AZ595" s="86">
        <f>tbl_Actual_costs_quantities34[[#This Row],[Chimney Duct Cleaning Repair]]*BOQs!$L$15</f>
        <v>0</v>
      </c>
      <c r="BA595" s="76"/>
      <c r="BB595" s="37"/>
      <c r="BC595" s="89">
        <f>tbl_Actual_costs_quantities34[[#This Row],[Accessibility Adaptations]]*BOQs!$L$16</f>
        <v>0</v>
      </c>
      <c r="BD595" s="41"/>
      <c r="BE595" s="37"/>
      <c r="BF595" s="37"/>
    </row>
    <row r="596" spans="2:58" ht="25.15" customHeight="1" x14ac:dyDescent="0.25">
      <c r="B596" s="49">
        <v>592</v>
      </c>
      <c r="C596" s="37"/>
      <c r="D596" s="41"/>
      <c r="E596" s="40"/>
      <c r="F596" s="87" t="str">
        <f>IF(tbl_Actual_costs_quantities34[[#This Row],[House Code]]&lt;&gt;"",INDEX(tbl_Assessment[],MATCH(tbl_Actual_costs_quantities34[[#This Row],[House Code]],tbl_Assessment[House Code],0),3),"")</f>
        <v/>
      </c>
      <c r="G596" s="116" t="str">
        <f>IF(tbl_Actual_costs_quantities34[[#This Row],[House Code]]&lt;&gt;"",INDEX(tbl_Assessment[],MATCH(tbl_Actual_costs_quantities34[[#This Row],[House Code]],tbl_Assessment[House Code],0),9),"")</f>
        <v/>
      </c>
      <c r="H596" s="41"/>
      <c r="I596" s="41"/>
      <c r="J596" s="41"/>
      <c r="K596" s="116"/>
      <c r="L596" s="117" t="str">
        <f>IF(tbl_Actual_costs_quantities34[[#This Row],[House Code]]&lt;&gt;"",tbl_Actual_costs_quantities34[[#This Row],[Total cost]]/INDEX(tbl_estimated_costs_quantities[],MATCH(tbl_Actual_costs_quantities34[[#This Row],[House Code]],tbl_estimated_costs_quantities[House Code],0),7),"")</f>
        <v/>
      </c>
      <c r="M59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6" s="75"/>
      <c r="O596" s="37"/>
      <c r="P596" s="86">
        <f>tbl_Actual_costs_quantities34[[#This Row],[Site Preparation]]*BOQs!$L$3</f>
        <v>0</v>
      </c>
      <c r="Q596" s="76"/>
      <c r="R596" s="37"/>
      <c r="S596" s="86">
        <f>tbl_Actual_costs_quantities34[[#This Row],[Demolition Removal Unsafe Structures]]*BOQs!$L$4</f>
        <v>0</v>
      </c>
      <c r="T596" s="76"/>
      <c r="U596" s="37"/>
      <c r="V596" s="86">
        <f>tbl_Actual_costs_quantities34[[#This Row],[Concrete Works]]*BOQs!$L$5</f>
        <v>0</v>
      </c>
      <c r="W596" s="76"/>
      <c r="X596" s="37"/>
      <c r="Y596" s="86">
        <f>tbl_Actual_costs_quantities34[[#This Row],[Closure External Openings Walls Windows]]*BOQs!$L$6</f>
        <v>0</v>
      </c>
      <c r="Z596" s="76"/>
      <c r="AA596" s="37"/>
      <c r="AB596" s="86">
        <f>tbl_Actual_costs_quantities34[[#This Row],[Plastering Painting]]*BOQs!$L$7</f>
        <v>0</v>
      </c>
      <c r="AC596" s="76"/>
      <c r="AD596" s="37"/>
      <c r="AE596" s="86">
        <f>tbl_Actual_costs_quantities34[[#This Row],[Floor Repairs]]*BOQs!$L$8</f>
        <v>0</v>
      </c>
      <c r="AF596" s="76"/>
      <c r="AG596" s="37"/>
      <c r="AH596" s="86">
        <f>tbl_Actual_costs_quantities34[[#This Row],[Doors Replacement Repair]]*BOQs!$L$9</f>
        <v>0</v>
      </c>
      <c r="AI596" s="76"/>
      <c r="AJ596" s="37"/>
      <c r="AK596" s="86">
        <f>tbl_Actual_costs_quantities34[[#This Row],[Windows Replacement Repair]]*BOQs!$L$10</f>
        <v>0</v>
      </c>
      <c r="AL596" s="76"/>
      <c r="AM596" s="37"/>
      <c r="AN596" s="86">
        <f>tbl_Actual_costs_quantities34[[#This Row],[Bathroom Rehabilitation]]*BOQs!$L$11</f>
        <v>0</v>
      </c>
      <c r="AO596" s="76"/>
      <c r="AP596" s="37"/>
      <c r="AQ596" s="86">
        <f>tbl_Actual_costs_quantities34[[#This Row],[Ceramic Tile Works WASH]]*BOQs!$L$12</f>
        <v>0</v>
      </c>
      <c r="AR596" s="76"/>
      <c r="AS596" s="37"/>
      <c r="AT596" s="86">
        <f>tbl_Actual_costs_quantities34[[#This Row],[Electrical Repairs Lighting]]*BOQs!$L$13</f>
        <v>0</v>
      </c>
      <c r="AU596" s="76"/>
      <c r="AV596" s="37"/>
      <c r="AW596" s="86">
        <f>tbl_Actual_costs_quantities34[[#This Row],[Roof Insulation Leak Sealing]]*BOQs!$L$14</f>
        <v>0</v>
      </c>
      <c r="AX596" s="76"/>
      <c r="AY596" s="37"/>
      <c r="AZ596" s="86">
        <f>tbl_Actual_costs_quantities34[[#This Row],[Chimney Duct Cleaning Repair]]*BOQs!$L$15</f>
        <v>0</v>
      </c>
      <c r="BA596" s="76"/>
      <c r="BB596" s="37"/>
      <c r="BC596" s="89">
        <f>tbl_Actual_costs_quantities34[[#This Row],[Accessibility Adaptations]]*BOQs!$L$16</f>
        <v>0</v>
      </c>
      <c r="BD596" s="41"/>
      <c r="BE596" s="37"/>
      <c r="BF596" s="37"/>
    </row>
    <row r="597" spans="2:58" ht="25.15" customHeight="1" x14ac:dyDescent="0.25">
      <c r="B597" s="49">
        <v>593</v>
      </c>
      <c r="C597" s="37"/>
      <c r="D597" s="41"/>
      <c r="E597" s="40"/>
      <c r="F597" s="87" t="str">
        <f>IF(tbl_Actual_costs_quantities34[[#This Row],[House Code]]&lt;&gt;"",INDEX(tbl_Assessment[],MATCH(tbl_Actual_costs_quantities34[[#This Row],[House Code]],tbl_Assessment[House Code],0),3),"")</f>
        <v/>
      </c>
      <c r="G597" s="116" t="str">
        <f>IF(tbl_Actual_costs_quantities34[[#This Row],[House Code]]&lt;&gt;"",INDEX(tbl_Assessment[],MATCH(tbl_Actual_costs_quantities34[[#This Row],[House Code]],tbl_Assessment[House Code],0),9),"")</f>
        <v/>
      </c>
      <c r="H597" s="41"/>
      <c r="I597" s="41"/>
      <c r="J597" s="41"/>
      <c r="K597" s="116"/>
      <c r="L597" s="117" t="str">
        <f>IF(tbl_Actual_costs_quantities34[[#This Row],[House Code]]&lt;&gt;"",tbl_Actual_costs_quantities34[[#This Row],[Total cost]]/INDEX(tbl_estimated_costs_quantities[],MATCH(tbl_Actual_costs_quantities34[[#This Row],[House Code]],tbl_estimated_costs_quantities[House Code],0),7),"")</f>
        <v/>
      </c>
      <c r="M59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7" s="75"/>
      <c r="O597" s="37"/>
      <c r="P597" s="86">
        <f>tbl_Actual_costs_quantities34[[#This Row],[Site Preparation]]*BOQs!$L$3</f>
        <v>0</v>
      </c>
      <c r="Q597" s="76"/>
      <c r="R597" s="37"/>
      <c r="S597" s="86">
        <f>tbl_Actual_costs_quantities34[[#This Row],[Demolition Removal Unsafe Structures]]*BOQs!$L$4</f>
        <v>0</v>
      </c>
      <c r="T597" s="76"/>
      <c r="U597" s="37"/>
      <c r="V597" s="86">
        <f>tbl_Actual_costs_quantities34[[#This Row],[Concrete Works]]*BOQs!$L$5</f>
        <v>0</v>
      </c>
      <c r="W597" s="76"/>
      <c r="X597" s="37"/>
      <c r="Y597" s="86">
        <f>tbl_Actual_costs_quantities34[[#This Row],[Closure External Openings Walls Windows]]*BOQs!$L$6</f>
        <v>0</v>
      </c>
      <c r="Z597" s="76"/>
      <c r="AA597" s="37"/>
      <c r="AB597" s="86">
        <f>tbl_Actual_costs_quantities34[[#This Row],[Plastering Painting]]*BOQs!$L$7</f>
        <v>0</v>
      </c>
      <c r="AC597" s="76"/>
      <c r="AD597" s="37"/>
      <c r="AE597" s="86">
        <f>tbl_Actual_costs_quantities34[[#This Row],[Floor Repairs]]*BOQs!$L$8</f>
        <v>0</v>
      </c>
      <c r="AF597" s="76"/>
      <c r="AG597" s="37"/>
      <c r="AH597" s="86">
        <f>tbl_Actual_costs_quantities34[[#This Row],[Doors Replacement Repair]]*BOQs!$L$9</f>
        <v>0</v>
      </c>
      <c r="AI597" s="76"/>
      <c r="AJ597" s="37"/>
      <c r="AK597" s="86">
        <f>tbl_Actual_costs_quantities34[[#This Row],[Windows Replacement Repair]]*BOQs!$L$10</f>
        <v>0</v>
      </c>
      <c r="AL597" s="76"/>
      <c r="AM597" s="37"/>
      <c r="AN597" s="86">
        <f>tbl_Actual_costs_quantities34[[#This Row],[Bathroom Rehabilitation]]*BOQs!$L$11</f>
        <v>0</v>
      </c>
      <c r="AO597" s="76"/>
      <c r="AP597" s="37"/>
      <c r="AQ597" s="86">
        <f>tbl_Actual_costs_quantities34[[#This Row],[Ceramic Tile Works WASH]]*BOQs!$L$12</f>
        <v>0</v>
      </c>
      <c r="AR597" s="76"/>
      <c r="AS597" s="37"/>
      <c r="AT597" s="86">
        <f>tbl_Actual_costs_quantities34[[#This Row],[Electrical Repairs Lighting]]*BOQs!$L$13</f>
        <v>0</v>
      </c>
      <c r="AU597" s="76"/>
      <c r="AV597" s="37"/>
      <c r="AW597" s="86">
        <f>tbl_Actual_costs_quantities34[[#This Row],[Roof Insulation Leak Sealing]]*BOQs!$L$14</f>
        <v>0</v>
      </c>
      <c r="AX597" s="76"/>
      <c r="AY597" s="37"/>
      <c r="AZ597" s="86">
        <f>tbl_Actual_costs_quantities34[[#This Row],[Chimney Duct Cleaning Repair]]*BOQs!$L$15</f>
        <v>0</v>
      </c>
      <c r="BA597" s="76"/>
      <c r="BB597" s="37"/>
      <c r="BC597" s="89">
        <f>tbl_Actual_costs_quantities34[[#This Row],[Accessibility Adaptations]]*BOQs!$L$16</f>
        <v>0</v>
      </c>
      <c r="BD597" s="41"/>
      <c r="BE597" s="37"/>
      <c r="BF597" s="37"/>
    </row>
    <row r="598" spans="2:58" ht="25.15" customHeight="1" x14ac:dyDescent="0.25">
      <c r="B598" s="49">
        <v>594</v>
      </c>
      <c r="C598" s="37"/>
      <c r="D598" s="41"/>
      <c r="E598" s="40"/>
      <c r="F598" s="87" t="str">
        <f>IF(tbl_Actual_costs_quantities34[[#This Row],[House Code]]&lt;&gt;"",INDEX(tbl_Assessment[],MATCH(tbl_Actual_costs_quantities34[[#This Row],[House Code]],tbl_Assessment[House Code],0),3),"")</f>
        <v/>
      </c>
      <c r="G598" s="116" t="str">
        <f>IF(tbl_Actual_costs_quantities34[[#This Row],[House Code]]&lt;&gt;"",INDEX(tbl_Assessment[],MATCH(tbl_Actual_costs_quantities34[[#This Row],[House Code]],tbl_Assessment[House Code],0),9),"")</f>
        <v/>
      </c>
      <c r="H598" s="41"/>
      <c r="I598" s="41"/>
      <c r="J598" s="41"/>
      <c r="K598" s="116"/>
      <c r="L598" s="117" t="str">
        <f>IF(tbl_Actual_costs_quantities34[[#This Row],[House Code]]&lt;&gt;"",tbl_Actual_costs_quantities34[[#This Row],[Total cost]]/INDEX(tbl_estimated_costs_quantities[],MATCH(tbl_Actual_costs_quantities34[[#This Row],[House Code]],tbl_estimated_costs_quantities[House Code],0),7),"")</f>
        <v/>
      </c>
      <c r="M59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8" s="75"/>
      <c r="O598" s="37"/>
      <c r="P598" s="86">
        <f>tbl_Actual_costs_quantities34[[#This Row],[Site Preparation]]*BOQs!$L$3</f>
        <v>0</v>
      </c>
      <c r="Q598" s="76"/>
      <c r="R598" s="37"/>
      <c r="S598" s="86">
        <f>tbl_Actual_costs_quantities34[[#This Row],[Demolition Removal Unsafe Structures]]*BOQs!$L$4</f>
        <v>0</v>
      </c>
      <c r="T598" s="76"/>
      <c r="U598" s="37"/>
      <c r="V598" s="86">
        <f>tbl_Actual_costs_quantities34[[#This Row],[Concrete Works]]*BOQs!$L$5</f>
        <v>0</v>
      </c>
      <c r="W598" s="76"/>
      <c r="X598" s="37"/>
      <c r="Y598" s="86">
        <f>tbl_Actual_costs_quantities34[[#This Row],[Closure External Openings Walls Windows]]*BOQs!$L$6</f>
        <v>0</v>
      </c>
      <c r="Z598" s="76"/>
      <c r="AA598" s="37"/>
      <c r="AB598" s="86">
        <f>tbl_Actual_costs_quantities34[[#This Row],[Plastering Painting]]*BOQs!$L$7</f>
        <v>0</v>
      </c>
      <c r="AC598" s="76"/>
      <c r="AD598" s="37"/>
      <c r="AE598" s="86">
        <f>tbl_Actual_costs_quantities34[[#This Row],[Floor Repairs]]*BOQs!$L$8</f>
        <v>0</v>
      </c>
      <c r="AF598" s="76"/>
      <c r="AG598" s="37"/>
      <c r="AH598" s="86">
        <f>tbl_Actual_costs_quantities34[[#This Row],[Doors Replacement Repair]]*BOQs!$L$9</f>
        <v>0</v>
      </c>
      <c r="AI598" s="76"/>
      <c r="AJ598" s="37"/>
      <c r="AK598" s="86">
        <f>tbl_Actual_costs_quantities34[[#This Row],[Windows Replacement Repair]]*BOQs!$L$10</f>
        <v>0</v>
      </c>
      <c r="AL598" s="76"/>
      <c r="AM598" s="37"/>
      <c r="AN598" s="86">
        <f>tbl_Actual_costs_quantities34[[#This Row],[Bathroom Rehabilitation]]*BOQs!$L$11</f>
        <v>0</v>
      </c>
      <c r="AO598" s="76"/>
      <c r="AP598" s="37"/>
      <c r="AQ598" s="86">
        <f>tbl_Actual_costs_quantities34[[#This Row],[Ceramic Tile Works WASH]]*BOQs!$L$12</f>
        <v>0</v>
      </c>
      <c r="AR598" s="76"/>
      <c r="AS598" s="37"/>
      <c r="AT598" s="86">
        <f>tbl_Actual_costs_quantities34[[#This Row],[Electrical Repairs Lighting]]*BOQs!$L$13</f>
        <v>0</v>
      </c>
      <c r="AU598" s="76"/>
      <c r="AV598" s="37"/>
      <c r="AW598" s="86">
        <f>tbl_Actual_costs_quantities34[[#This Row],[Roof Insulation Leak Sealing]]*BOQs!$L$14</f>
        <v>0</v>
      </c>
      <c r="AX598" s="76"/>
      <c r="AY598" s="37"/>
      <c r="AZ598" s="86">
        <f>tbl_Actual_costs_quantities34[[#This Row],[Chimney Duct Cleaning Repair]]*BOQs!$L$15</f>
        <v>0</v>
      </c>
      <c r="BA598" s="76"/>
      <c r="BB598" s="37"/>
      <c r="BC598" s="89">
        <f>tbl_Actual_costs_quantities34[[#This Row],[Accessibility Adaptations]]*BOQs!$L$16</f>
        <v>0</v>
      </c>
      <c r="BD598" s="41"/>
      <c r="BE598" s="37"/>
      <c r="BF598" s="37"/>
    </row>
    <row r="599" spans="2:58" ht="25.15" customHeight="1" x14ac:dyDescent="0.25">
      <c r="B599" s="49">
        <v>595</v>
      </c>
      <c r="C599" s="37"/>
      <c r="D599" s="41"/>
      <c r="E599" s="40"/>
      <c r="F599" s="87" t="str">
        <f>IF(tbl_Actual_costs_quantities34[[#This Row],[House Code]]&lt;&gt;"",INDEX(tbl_Assessment[],MATCH(tbl_Actual_costs_quantities34[[#This Row],[House Code]],tbl_Assessment[House Code],0),3),"")</f>
        <v/>
      </c>
      <c r="G599" s="116" t="str">
        <f>IF(tbl_Actual_costs_quantities34[[#This Row],[House Code]]&lt;&gt;"",INDEX(tbl_Assessment[],MATCH(tbl_Actual_costs_quantities34[[#This Row],[House Code]],tbl_Assessment[House Code],0),9),"")</f>
        <v/>
      </c>
      <c r="H599" s="41"/>
      <c r="I599" s="41"/>
      <c r="J599" s="41"/>
      <c r="K599" s="116"/>
      <c r="L599" s="117" t="str">
        <f>IF(tbl_Actual_costs_quantities34[[#This Row],[House Code]]&lt;&gt;"",tbl_Actual_costs_quantities34[[#This Row],[Total cost]]/INDEX(tbl_estimated_costs_quantities[],MATCH(tbl_Actual_costs_quantities34[[#This Row],[House Code]],tbl_estimated_costs_quantities[House Code],0),7),"")</f>
        <v/>
      </c>
      <c r="M59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599" s="75"/>
      <c r="O599" s="37"/>
      <c r="P599" s="86">
        <f>tbl_Actual_costs_quantities34[[#This Row],[Site Preparation]]*BOQs!$L$3</f>
        <v>0</v>
      </c>
      <c r="Q599" s="76"/>
      <c r="R599" s="37"/>
      <c r="S599" s="86">
        <f>tbl_Actual_costs_quantities34[[#This Row],[Demolition Removal Unsafe Structures]]*BOQs!$L$4</f>
        <v>0</v>
      </c>
      <c r="T599" s="76"/>
      <c r="U599" s="37"/>
      <c r="V599" s="86">
        <f>tbl_Actual_costs_quantities34[[#This Row],[Concrete Works]]*BOQs!$L$5</f>
        <v>0</v>
      </c>
      <c r="W599" s="76"/>
      <c r="X599" s="37"/>
      <c r="Y599" s="86">
        <f>tbl_Actual_costs_quantities34[[#This Row],[Closure External Openings Walls Windows]]*BOQs!$L$6</f>
        <v>0</v>
      </c>
      <c r="Z599" s="76"/>
      <c r="AA599" s="37"/>
      <c r="AB599" s="86">
        <f>tbl_Actual_costs_quantities34[[#This Row],[Plastering Painting]]*BOQs!$L$7</f>
        <v>0</v>
      </c>
      <c r="AC599" s="76"/>
      <c r="AD599" s="37"/>
      <c r="AE599" s="86">
        <f>tbl_Actual_costs_quantities34[[#This Row],[Floor Repairs]]*BOQs!$L$8</f>
        <v>0</v>
      </c>
      <c r="AF599" s="76"/>
      <c r="AG599" s="37"/>
      <c r="AH599" s="86">
        <f>tbl_Actual_costs_quantities34[[#This Row],[Doors Replacement Repair]]*BOQs!$L$9</f>
        <v>0</v>
      </c>
      <c r="AI599" s="76"/>
      <c r="AJ599" s="37"/>
      <c r="AK599" s="86">
        <f>tbl_Actual_costs_quantities34[[#This Row],[Windows Replacement Repair]]*BOQs!$L$10</f>
        <v>0</v>
      </c>
      <c r="AL599" s="76"/>
      <c r="AM599" s="37"/>
      <c r="AN599" s="86">
        <f>tbl_Actual_costs_quantities34[[#This Row],[Bathroom Rehabilitation]]*BOQs!$L$11</f>
        <v>0</v>
      </c>
      <c r="AO599" s="76"/>
      <c r="AP599" s="37"/>
      <c r="AQ599" s="86">
        <f>tbl_Actual_costs_quantities34[[#This Row],[Ceramic Tile Works WASH]]*BOQs!$L$12</f>
        <v>0</v>
      </c>
      <c r="AR599" s="76"/>
      <c r="AS599" s="37"/>
      <c r="AT599" s="86">
        <f>tbl_Actual_costs_quantities34[[#This Row],[Electrical Repairs Lighting]]*BOQs!$L$13</f>
        <v>0</v>
      </c>
      <c r="AU599" s="76"/>
      <c r="AV599" s="37"/>
      <c r="AW599" s="86">
        <f>tbl_Actual_costs_quantities34[[#This Row],[Roof Insulation Leak Sealing]]*BOQs!$L$14</f>
        <v>0</v>
      </c>
      <c r="AX599" s="76"/>
      <c r="AY599" s="37"/>
      <c r="AZ599" s="86">
        <f>tbl_Actual_costs_quantities34[[#This Row],[Chimney Duct Cleaning Repair]]*BOQs!$L$15</f>
        <v>0</v>
      </c>
      <c r="BA599" s="76"/>
      <c r="BB599" s="37"/>
      <c r="BC599" s="89">
        <f>tbl_Actual_costs_quantities34[[#This Row],[Accessibility Adaptations]]*BOQs!$L$16</f>
        <v>0</v>
      </c>
      <c r="BD599" s="41"/>
      <c r="BE599" s="37"/>
      <c r="BF599" s="37"/>
    </row>
    <row r="600" spans="2:58" ht="25.15" customHeight="1" x14ac:dyDescent="0.25">
      <c r="B600" s="49">
        <v>596</v>
      </c>
      <c r="C600" s="37"/>
      <c r="D600" s="41"/>
      <c r="E600" s="40"/>
      <c r="F600" s="87" t="str">
        <f>IF(tbl_Actual_costs_quantities34[[#This Row],[House Code]]&lt;&gt;"",INDEX(tbl_Assessment[],MATCH(tbl_Actual_costs_quantities34[[#This Row],[House Code]],tbl_Assessment[House Code],0),3),"")</f>
        <v/>
      </c>
      <c r="G600" s="116" t="str">
        <f>IF(tbl_Actual_costs_quantities34[[#This Row],[House Code]]&lt;&gt;"",INDEX(tbl_Assessment[],MATCH(tbl_Actual_costs_quantities34[[#This Row],[House Code]],tbl_Assessment[House Code],0),9),"")</f>
        <v/>
      </c>
      <c r="H600" s="41"/>
      <c r="I600" s="41"/>
      <c r="J600" s="41"/>
      <c r="K600" s="116"/>
      <c r="L600" s="117" t="str">
        <f>IF(tbl_Actual_costs_quantities34[[#This Row],[House Code]]&lt;&gt;"",tbl_Actual_costs_quantities34[[#This Row],[Total cost]]/INDEX(tbl_estimated_costs_quantities[],MATCH(tbl_Actual_costs_quantities34[[#This Row],[House Code]],tbl_estimated_costs_quantities[House Code],0),7),"")</f>
        <v/>
      </c>
      <c r="M60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0" s="75"/>
      <c r="O600" s="37"/>
      <c r="P600" s="86">
        <f>tbl_Actual_costs_quantities34[[#This Row],[Site Preparation]]*BOQs!$L$3</f>
        <v>0</v>
      </c>
      <c r="Q600" s="76"/>
      <c r="R600" s="37"/>
      <c r="S600" s="86">
        <f>tbl_Actual_costs_quantities34[[#This Row],[Demolition Removal Unsafe Structures]]*BOQs!$L$4</f>
        <v>0</v>
      </c>
      <c r="T600" s="76"/>
      <c r="U600" s="37"/>
      <c r="V600" s="86">
        <f>tbl_Actual_costs_quantities34[[#This Row],[Concrete Works]]*BOQs!$L$5</f>
        <v>0</v>
      </c>
      <c r="W600" s="76"/>
      <c r="X600" s="37"/>
      <c r="Y600" s="86">
        <f>tbl_Actual_costs_quantities34[[#This Row],[Closure External Openings Walls Windows]]*BOQs!$L$6</f>
        <v>0</v>
      </c>
      <c r="Z600" s="76"/>
      <c r="AA600" s="37"/>
      <c r="AB600" s="86">
        <f>tbl_Actual_costs_quantities34[[#This Row],[Plastering Painting]]*BOQs!$L$7</f>
        <v>0</v>
      </c>
      <c r="AC600" s="76"/>
      <c r="AD600" s="37"/>
      <c r="AE600" s="86">
        <f>tbl_Actual_costs_quantities34[[#This Row],[Floor Repairs]]*BOQs!$L$8</f>
        <v>0</v>
      </c>
      <c r="AF600" s="76"/>
      <c r="AG600" s="37"/>
      <c r="AH600" s="86">
        <f>tbl_Actual_costs_quantities34[[#This Row],[Doors Replacement Repair]]*BOQs!$L$9</f>
        <v>0</v>
      </c>
      <c r="AI600" s="76"/>
      <c r="AJ600" s="37"/>
      <c r="AK600" s="86">
        <f>tbl_Actual_costs_quantities34[[#This Row],[Windows Replacement Repair]]*BOQs!$L$10</f>
        <v>0</v>
      </c>
      <c r="AL600" s="76"/>
      <c r="AM600" s="37"/>
      <c r="AN600" s="86">
        <f>tbl_Actual_costs_quantities34[[#This Row],[Bathroom Rehabilitation]]*BOQs!$L$11</f>
        <v>0</v>
      </c>
      <c r="AO600" s="76"/>
      <c r="AP600" s="37"/>
      <c r="AQ600" s="86">
        <f>tbl_Actual_costs_quantities34[[#This Row],[Ceramic Tile Works WASH]]*BOQs!$L$12</f>
        <v>0</v>
      </c>
      <c r="AR600" s="76"/>
      <c r="AS600" s="37"/>
      <c r="AT600" s="86">
        <f>tbl_Actual_costs_quantities34[[#This Row],[Electrical Repairs Lighting]]*BOQs!$L$13</f>
        <v>0</v>
      </c>
      <c r="AU600" s="76"/>
      <c r="AV600" s="37"/>
      <c r="AW600" s="86">
        <f>tbl_Actual_costs_quantities34[[#This Row],[Roof Insulation Leak Sealing]]*BOQs!$L$14</f>
        <v>0</v>
      </c>
      <c r="AX600" s="76"/>
      <c r="AY600" s="37"/>
      <c r="AZ600" s="86">
        <f>tbl_Actual_costs_quantities34[[#This Row],[Chimney Duct Cleaning Repair]]*BOQs!$L$15</f>
        <v>0</v>
      </c>
      <c r="BA600" s="76"/>
      <c r="BB600" s="37"/>
      <c r="BC600" s="89">
        <f>tbl_Actual_costs_quantities34[[#This Row],[Accessibility Adaptations]]*BOQs!$L$16</f>
        <v>0</v>
      </c>
      <c r="BD600" s="41"/>
      <c r="BE600" s="37"/>
      <c r="BF600" s="37"/>
    </row>
    <row r="601" spans="2:58" ht="25.15" customHeight="1" x14ac:dyDescent="0.25">
      <c r="B601" s="49">
        <v>597</v>
      </c>
      <c r="C601" s="37"/>
      <c r="D601" s="41"/>
      <c r="E601" s="40"/>
      <c r="F601" s="87" t="str">
        <f>IF(tbl_Actual_costs_quantities34[[#This Row],[House Code]]&lt;&gt;"",INDEX(tbl_Assessment[],MATCH(tbl_Actual_costs_quantities34[[#This Row],[House Code]],tbl_Assessment[House Code],0),3),"")</f>
        <v/>
      </c>
      <c r="G601" s="116" t="str">
        <f>IF(tbl_Actual_costs_quantities34[[#This Row],[House Code]]&lt;&gt;"",INDEX(tbl_Assessment[],MATCH(tbl_Actual_costs_quantities34[[#This Row],[House Code]],tbl_Assessment[House Code],0),9),"")</f>
        <v/>
      </c>
      <c r="H601" s="41"/>
      <c r="I601" s="41"/>
      <c r="J601" s="41"/>
      <c r="K601" s="116"/>
      <c r="L601" s="117" t="str">
        <f>IF(tbl_Actual_costs_quantities34[[#This Row],[House Code]]&lt;&gt;"",tbl_Actual_costs_quantities34[[#This Row],[Total cost]]/INDEX(tbl_estimated_costs_quantities[],MATCH(tbl_Actual_costs_quantities34[[#This Row],[House Code]],tbl_estimated_costs_quantities[House Code],0),7),"")</f>
        <v/>
      </c>
      <c r="M60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1" s="75"/>
      <c r="O601" s="37"/>
      <c r="P601" s="86">
        <f>tbl_Actual_costs_quantities34[[#This Row],[Site Preparation]]*BOQs!$L$3</f>
        <v>0</v>
      </c>
      <c r="Q601" s="76"/>
      <c r="R601" s="37"/>
      <c r="S601" s="86">
        <f>tbl_Actual_costs_quantities34[[#This Row],[Demolition Removal Unsafe Structures]]*BOQs!$L$4</f>
        <v>0</v>
      </c>
      <c r="T601" s="76"/>
      <c r="U601" s="37"/>
      <c r="V601" s="86">
        <f>tbl_Actual_costs_quantities34[[#This Row],[Concrete Works]]*BOQs!$L$5</f>
        <v>0</v>
      </c>
      <c r="W601" s="76"/>
      <c r="X601" s="37"/>
      <c r="Y601" s="86">
        <f>tbl_Actual_costs_quantities34[[#This Row],[Closure External Openings Walls Windows]]*BOQs!$L$6</f>
        <v>0</v>
      </c>
      <c r="Z601" s="76"/>
      <c r="AA601" s="37"/>
      <c r="AB601" s="86">
        <f>tbl_Actual_costs_quantities34[[#This Row],[Plastering Painting]]*BOQs!$L$7</f>
        <v>0</v>
      </c>
      <c r="AC601" s="76"/>
      <c r="AD601" s="37"/>
      <c r="AE601" s="86">
        <f>tbl_Actual_costs_quantities34[[#This Row],[Floor Repairs]]*BOQs!$L$8</f>
        <v>0</v>
      </c>
      <c r="AF601" s="76"/>
      <c r="AG601" s="37"/>
      <c r="AH601" s="86">
        <f>tbl_Actual_costs_quantities34[[#This Row],[Doors Replacement Repair]]*BOQs!$L$9</f>
        <v>0</v>
      </c>
      <c r="AI601" s="76"/>
      <c r="AJ601" s="37"/>
      <c r="AK601" s="86">
        <f>tbl_Actual_costs_quantities34[[#This Row],[Windows Replacement Repair]]*BOQs!$L$10</f>
        <v>0</v>
      </c>
      <c r="AL601" s="76"/>
      <c r="AM601" s="37"/>
      <c r="AN601" s="86">
        <f>tbl_Actual_costs_quantities34[[#This Row],[Bathroom Rehabilitation]]*BOQs!$L$11</f>
        <v>0</v>
      </c>
      <c r="AO601" s="76"/>
      <c r="AP601" s="37"/>
      <c r="AQ601" s="86">
        <f>tbl_Actual_costs_quantities34[[#This Row],[Ceramic Tile Works WASH]]*BOQs!$L$12</f>
        <v>0</v>
      </c>
      <c r="AR601" s="76"/>
      <c r="AS601" s="37"/>
      <c r="AT601" s="86">
        <f>tbl_Actual_costs_quantities34[[#This Row],[Electrical Repairs Lighting]]*BOQs!$L$13</f>
        <v>0</v>
      </c>
      <c r="AU601" s="76"/>
      <c r="AV601" s="37"/>
      <c r="AW601" s="86">
        <f>tbl_Actual_costs_quantities34[[#This Row],[Roof Insulation Leak Sealing]]*BOQs!$L$14</f>
        <v>0</v>
      </c>
      <c r="AX601" s="76"/>
      <c r="AY601" s="37"/>
      <c r="AZ601" s="86">
        <f>tbl_Actual_costs_quantities34[[#This Row],[Chimney Duct Cleaning Repair]]*BOQs!$L$15</f>
        <v>0</v>
      </c>
      <c r="BA601" s="76"/>
      <c r="BB601" s="37"/>
      <c r="BC601" s="89">
        <f>tbl_Actual_costs_quantities34[[#This Row],[Accessibility Adaptations]]*BOQs!$L$16</f>
        <v>0</v>
      </c>
      <c r="BD601" s="41"/>
      <c r="BE601" s="37"/>
      <c r="BF601" s="37"/>
    </row>
    <row r="602" spans="2:58" ht="25.15" customHeight="1" x14ac:dyDescent="0.25">
      <c r="B602" s="49">
        <v>598</v>
      </c>
      <c r="C602" s="37"/>
      <c r="D602" s="41"/>
      <c r="E602" s="40"/>
      <c r="F602" s="87" t="str">
        <f>IF(tbl_Actual_costs_quantities34[[#This Row],[House Code]]&lt;&gt;"",INDEX(tbl_Assessment[],MATCH(tbl_Actual_costs_quantities34[[#This Row],[House Code]],tbl_Assessment[House Code],0),3),"")</f>
        <v/>
      </c>
      <c r="G602" s="116" t="str">
        <f>IF(tbl_Actual_costs_quantities34[[#This Row],[House Code]]&lt;&gt;"",INDEX(tbl_Assessment[],MATCH(tbl_Actual_costs_quantities34[[#This Row],[House Code]],tbl_Assessment[House Code],0),9),"")</f>
        <v/>
      </c>
      <c r="H602" s="41"/>
      <c r="I602" s="41"/>
      <c r="J602" s="41"/>
      <c r="K602" s="116"/>
      <c r="L602" s="117" t="str">
        <f>IF(tbl_Actual_costs_quantities34[[#This Row],[House Code]]&lt;&gt;"",tbl_Actual_costs_quantities34[[#This Row],[Total cost]]/INDEX(tbl_estimated_costs_quantities[],MATCH(tbl_Actual_costs_quantities34[[#This Row],[House Code]],tbl_estimated_costs_quantities[House Code],0),7),"")</f>
        <v/>
      </c>
      <c r="M60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2" s="75"/>
      <c r="O602" s="37"/>
      <c r="P602" s="86">
        <f>tbl_Actual_costs_quantities34[[#This Row],[Site Preparation]]*BOQs!$L$3</f>
        <v>0</v>
      </c>
      <c r="Q602" s="76"/>
      <c r="R602" s="37"/>
      <c r="S602" s="86">
        <f>tbl_Actual_costs_quantities34[[#This Row],[Demolition Removal Unsafe Structures]]*BOQs!$L$4</f>
        <v>0</v>
      </c>
      <c r="T602" s="76"/>
      <c r="U602" s="37"/>
      <c r="V602" s="86">
        <f>tbl_Actual_costs_quantities34[[#This Row],[Concrete Works]]*BOQs!$L$5</f>
        <v>0</v>
      </c>
      <c r="W602" s="76"/>
      <c r="X602" s="37"/>
      <c r="Y602" s="86">
        <f>tbl_Actual_costs_quantities34[[#This Row],[Closure External Openings Walls Windows]]*BOQs!$L$6</f>
        <v>0</v>
      </c>
      <c r="Z602" s="76"/>
      <c r="AA602" s="37"/>
      <c r="AB602" s="86">
        <f>tbl_Actual_costs_quantities34[[#This Row],[Plastering Painting]]*BOQs!$L$7</f>
        <v>0</v>
      </c>
      <c r="AC602" s="76"/>
      <c r="AD602" s="37"/>
      <c r="AE602" s="86">
        <f>tbl_Actual_costs_quantities34[[#This Row],[Floor Repairs]]*BOQs!$L$8</f>
        <v>0</v>
      </c>
      <c r="AF602" s="76"/>
      <c r="AG602" s="37"/>
      <c r="AH602" s="86">
        <f>tbl_Actual_costs_quantities34[[#This Row],[Doors Replacement Repair]]*BOQs!$L$9</f>
        <v>0</v>
      </c>
      <c r="AI602" s="76"/>
      <c r="AJ602" s="37"/>
      <c r="AK602" s="86">
        <f>tbl_Actual_costs_quantities34[[#This Row],[Windows Replacement Repair]]*BOQs!$L$10</f>
        <v>0</v>
      </c>
      <c r="AL602" s="76"/>
      <c r="AM602" s="37"/>
      <c r="AN602" s="86">
        <f>tbl_Actual_costs_quantities34[[#This Row],[Bathroom Rehabilitation]]*BOQs!$L$11</f>
        <v>0</v>
      </c>
      <c r="AO602" s="76"/>
      <c r="AP602" s="37"/>
      <c r="AQ602" s="86">
        <f>tbl_Actual_costs_quantities34[[#This Row],[Ceramic Tile Works WASH]]*BOQs!$L$12</f>
        <v>0</v>
      </c>
      <c r="AR602" s="76"/>
      <c r="AS602" s="37"/>
      <c r="AT602" s="86">
        <f>tbl_Actual_costs_quantities34[[#This Row],[Electrical Repairs Lighting]]*BOQs!$L$13</f>
        <v>0</v>
      </c>
      <c r="AU602" s="76"/>
      <c r="AV602" s="37"/>
      <c r="AW602" s="86">
        <f>tbl_Actual_costs_quantities34[[#This Row],[Roof Insulation Leak Sealing]]*BOQs!$L$14</f>
        <v>0</v>
      </c>
      <c r="AX602" s="76"/>
      <c r="AY602" s="37"/>
      <c r="AZ602" s="86">
        <f>tbl_Actual_costs_quantities34[[#This Row],[Chimney Duct Cleaning Repair]]*BOQs!$L$15</f>
        <v>0</v>
      </c>
      <c r="BA602" s="76"/>
      <c r="BB602" s="37"/>
      <c r="BC602" s="89">
        <f>tbl_Actual_costs_quantities34[[#This Row],[Accessibility Adaptations]]*BOQs!$L$16</f>
        <v>0</v>
      </c>
      <c r="BD602" s="41"/>
      <c r="BE602" s="37"/>
      <c r="BF602" s="37"/>
    </row>
    <row r="603" spans="2:58" ht="25.15" customHeight="1" x14ac:dyDescent="0.25">
      <c r="B603" s="49">
        <v>599</v>
      </c>
      <c r="C603" s="37"/>
      <c r="D603" s="41"/>
      <c r="E603" s="40"/>
      <c r="F603" s="87" t="str">
        <f>IF(tbl_Actual_costs_quantities34[[#This Row],[House Code]]&lt;&gt;"",INDEX(tbl_Assessment[],MATCH(tbl_Actual_costs_quantities34[[#This Row],[House Code]],tbl_Assessment[House Code],0),3),"")</f>
        <v/>
      </c>
      <c r="G603" s="116" t="str">
        <f>IF(tbl_Actual_costs_quantities34[[#This Row],[House Code]]&lt;&gt;"",INDEX(tbl_Assessment[],MATCH(tbl_Actual_costs_quantities34[[#This Row],[House Code]],tbl_Assessment[House Code],0),9),"")</f>
        <v/>
      </c>
      <c r="H603" s="41"/>
      <c r="I603" s="41"/>
      <c r="J603" s="41"/>
      <c r="K603" s="116"/>
      <c r="L603" s="117" t="str">
        <f>IF(tbl_Actual_costs_quantities34[[#This Row],[House Code]]&lt;&gt;"",tbl_Actual_costs_quantities34[[#This Row],[Total cost]]/INDEX(tbl_estimated_costs_quantities[],MATCH(tbl_Actual_costs_quantities34[[#This Row],[House Code]],tbl_estimated_costs_quantities[House Code],0),7),"")</f>
        <v/>
      </c>
      <c r="M60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3" s="75"/>
      <c r="O603" s="37"/>
      <c r="P603" s="86">
        <f>tbl_Actual_costs_quantities34[[#This Row],[Site Preparation]]*BOQs!$L$3</f>
        <v>0</v>
      </c>
      <c r="Q603" s="76"/>
      <c r="R603" s="37"/>
      <c r="S603" s="86">
        <f>tbl_Actual_costs_quantities34[[#This Row],[Demolition Removal Unsafe Structures]]*BOQs!$L$4</f>
        <v>0</v>
      </c>
      <c r="T603" s="76"/>
      <c r="U603" s="37"/>
      <c r="V603" s="86">
        <f>tbl_Actual_costs_quantities34[[#This Row],[Concrete Works]]*BOQs!$L$5</f>
        <v>0</v>
      </c>
      <c r="W603" s="76"/>
      <c r="X603" s="37"/>
      <c r="Y603" s="86">
        <f>tbl_Actual_costs_quantities34[[#This Row],[Closure External Openings Walls Windows]]*BOQs!$L$6</f>
        <v>0</v>
      </c>
      <c r="Z603" s="76"/>
      <c r="AA603" s="37"/>
      <c r="AB603" s="86">
        <f>tbl_Actual_costs_quantities34[[#This Row],[Plastering Painting]]*BOQs!$L$7</f>
        <v>0</v>
      </c>
      <c r="AC603" s="76"/>
      <c r="AD603" s="37"/>
      <c r="AE603" s="86">
        <f>tbl_Actual_costs_quantities34[[#This Row],[Floor Repairs]]*BOQs!$L$8</f>
        <v>0</v>
      </c>
      <c r="AF603" s="76"/>
      <c r="AG603" s="37"/>
      <c r="AH603" s="86">
        <f>tbl_Actual_costs_quantities34[[#This Row],[Doors Replacement Repair]]*BOQs!$L$9</f>
        <v>0</v>
      </c>
      <c r="AI603" s="76"/>
      <c r="AJ603" s="37"/>
      <c r="AK603" s="86">
        <f>tbl_Actual_costs_quantities34[[#This Row],[Windows Replacement Repair]]*BOQs!$L$10</f>
        <v>0</v>
      </c>
      <c r="AL603" s="76"/>
      <c r="AM603" s="37"/>
      <c r="AN603" s="86">
        <f>tbl_Actual_costs_quantities34[[#This Row],[Bathroom Rehabilitation]]*BOQs!$L$11</f>
        <v>0</v>
      </c>
      <c r="AO603" s="76"/>
      <c r="AP603" s="37"/>
      <c r="AQ603" s="86">
        <f>tbl_Actual_costs_quantities34[[#This Row],[Ceramic Tile Works WASH]]*BOQs!$L$12</f>
        <v>0</v>
      </c>
      <c r="AR603" s="76"/>
      <c r="AS603" s="37"/>
      <c r="AT603" s="86">
        <f>tbl_Actual_costs_quantities34[[#This Row],[Electrical Repairs Lighting]]*BOQs!$L$13</f>
        <v>0</v>
      </c>
      <c r="AU603" s="76"/>
      <c r="AV603" s="37"/>
      <c r="AW603" s="86">
        <f>tbl_Actual_costs_quantities34[[#This Row],[Roof Insulation Leak Sealing]]*BOQs!$L$14</f>
        <v>0</v>
      </c>
      <c r="AX603" s="76"/>
      <c r="AY603" s="37"/>
      <c r="AZ603" s="86">
        <f>tbl_Actual_costs_quantities34[[#This Row],[Chimney Duct Cleaning Repair]]*BOQs!$L$15</f>
        <v>0</v>
      </c>
      <c r="BA603" s="76"/>
      <c r="BB603" s="37"/>
      <c r="BC603" s="89">
        <f>tbl_Actual_costs_quantities34[[#This Row],[Accessibility Adaptations]]*BOQs!$L$16</f>
        <v>0</v>
      </c>
      <c r="BD603" s="41"/>
      <c r="BE603" s="37"/>
      <c r="BF603" s="37"/>
    </row>
    <row r="604" spans="2:58" ht="25.15" customHeight="1" x14ac:dyDescent="0.25">
      <c r="B604" s="49">
        <v>600</v>
      </c>
      <c r="C604" s="37"/>
      <c r="D604" s="41"/>
      <c r="E604" s="40"/>
      <c r="F604" s="87" t="str">
        <f>IF(tbl_Actual_costs_quantities34[[#This Row],[House Code]]&lt;&gt;"",INDEX(tbl_Assessment[],MATCH(tbl_Actual_costs_quantities34[[#This Row],[House Code]],tbl_Assessment[House Code],0),3),"")</f>
        <v/>
      </c>
      <c r="G604" s="116" t="str">
        <f>IF(tbl_Actual_costs_quantities34[[#This Row],[House Code]]&lt;&gt;"",INDEX(tbl_Assessment[],MATCH(tbl_Actual_costs_quantities34[[#This Row],[House Code]],tbl_Assessment[House Code],0),9),"")</f>
        <v/>
      </c>
      <c r="H604" s="41"/>
      <c r="I604" s="41"/>
      <c r="J604" s="41"/>
      <c r="K604" s="116"/>
      <c r="L604" s="117" t="str">
        <f>IF(tbl_Actual_costs_quantities34[[#This Row],[House Code]]&lt;&gt;"",tbl_Actual_costs_quantities34[[#This Row],[Total cost]]/INDEX(tbl_estimated_costs_quantities[],MATCH(tbl_Actual_costs_quantities34[[#This Row],[House Code]],tbl_estimated_costs_quantities[House Code],0),7),"")</f>
        <v/>
      </c>
      <c r="M60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4" s="75"/>
      <c r="O604" s="37"/>
      <c r="P604" s="86">
        <f>tbl_Actual_costs_quantities34[[#This Row],[Site Preparation]]*BOQs!$L$3</f>
        <v>0</v>
      </c>
      <c r="Q604" s="76"/>
      <c r="R604" s="37"/>
      <c r="S604" s="86">
        <f>tbl_Actual_costs_quantities34[[#This Row],[Demolition Removal Unsafe Structures]]*BOQs!$L$4</f>
        <v>0</v>
      </c>
      <c r="T604" s="76"/>
      <c r="U604" s="37"/>
      <c r="V604" s="86">
        <f>tbl_Actual_costs_quantities34[[#This Row],[Concrete Works]]*BOQs!$L$5</f>
        <v>0</v>
      </c>
      <c r="W604" s="76"/>
      <c r="X604" s="37"/>
      <c r="Y604" s="86">
        <f>tbl_Actual_costs_quantities34[[#This Row],[Closure External Openings Walls Windows]]*BOQs!$L$6</f>
        <v>0</v>
      </c>
      <c r="Z604" s="76"/>
      <c r="AA604" s="37"/>
      <c r="AB604" s="86">
        <f>tbl_Actual_costs_quantities34[[#This Row],[Plastering Painting]]*BOQs!$L$7</f>
        <v>0</v>
      </c>
      <c r="AC604" s="76"/>
      <c r="AD604" s="37"/>
      <c r="AE604" s="86">
        <f>tbl_Actual_costs_quantities34[[#This Row],[Floor Repairs]]*BOQs!$L$8</f>
        <v>0</v>
      </c>
      <c r="AF604" s="76"/>
      <c r="AG604" s="37"/>
      <c r="AH604" s="86">
        <f>tbl_Actual_costs_quantities34[[#This Row],[Doors Replacement Repair]]*BOQs!$L$9</f>
        <v>0</v>
      </c>
      <c r="AI604" s="76"/>
      <c r="AJ604" s="37"/>
      <c r="AK604" s="86">
        <f>tbl_Actual_costs_quantities34[[#This Row],[Windows Replacement Repair]]*BOQs!$L$10</f>
        <v>0</v>
      </c>
      <c r="AL604" s="76"/>
      <c r="AM604" s="37"/>
      <c r="AN604" s="86">
        <f>tbl_Actual_costs_quantities34[[#This Row],[Bathroom Rehabilitation]]*BOQs!$L$11</f>
        <v>0</v>
      </c>
      <c r="AO604" s="76"/>
      <c r="AP604" s="37"/>
      <c r="AQ604" s="86">
        <f>tbl_Actual_costs_quantities34[[#This Row],[Ceramic Tile Works WASH]]*BOQs!$L$12</f>
        <v>0</v>
      </c>
      <c r="AR604" s="76"/>
      <c r="AS604" s="37"/>
      <c r="AT604" s="86">
        <f>tbl_Actual_costs_quantities34[[#This Row],[Electrical Repairs Lighting]]*BOQs!$L$13</f>
        <v>0</v>
      </c>
      <c r="AU604" s="76"/>
      <c r="AV604" s="37"/>
      <c r="AW604" s="86">
        <f>tbl_Actual_costs_quantities34[[#This Row],[Roof Insulation Leak Sealing]]*BOQs!$L$14</f>
        <v>0</v>
      </c>
      <c r="AX604" s="76"/>
      <c r="AY604" s="37"/>
      <c r="AZ604" s="86">
        <f>tbl_Actual_costs_quantities34[[#This Row],[Chimney Duct Cleaning Repair]]*BOQs!$L$15</f>
        <v>0</v>
      </c>
      <c r="BA604" s="76"/>
      <c r="BB604" s="37"/>
      <c r="BC604" s="89">
        <f>tbl_Actual_costs_quantities34[[#This Row],[Accessibility Adaptations]]*BOQs!$L$16</f>
        <v>0</v>
      </c>
      <c r="BD604" s="41"/>
      <c r="BE604" s="37"/>
      <c r="BF604" s="37"/>
    </row>
    <row r="605" spans="2:58" ht="25.15" customHeight="1" x14ac:dyDescent="0.25">
      <c r="B605" s="49">
        <v>601</v>
      </c>
      <c r="C605" s="37"/>
      <c r="D605" s="41"/>
      <c r="E605" s="40"/>
      <c r="F605" s="87" t="str">
        <f>IF(tbl_Actual_costs_quantities34[[#This Row],[House Code]]&lt;&gt;"",INDEX(tbl_Assessment[],MATCH(tbl_Actual_costs_quantities34[[#This Row],[House Code]],tbl_Assessment[House Code],0),3),"")</f>
        <v/>
      </c>
      <c r="G605" s="116" t="str">
        <f>IF(tbl_Actual_costs_quantities34[[#This Row],[House Code]]&lt;&gt;"",INDEX(tbl_Assessment[],MATCH(tbl_Actual_costs_quantities34[[#This Row],[House Code]],tbl_Assessment[House Code],0),9),"")</f>
        <v/>
      </c>
      <c r="H605" s="41"/>
      <c r="I605" s="41"/>
      <c r="J605" s="41"/>
      <c r="K605" s="116"/>
      <c r="L605" s="117" t="str">
        <f>IF(tbl_Actual_costs_quantities34[[#This Row],[House Code]]&lt;&gt;"",tbl_Actual_costs_quantities34[[#This Row],[Total cost]]/INDEX(tbl_estimated_costs_quantities[],MATCH(tbl_Actual_costs_quantities34[[#This Row],[House Code]],tbl_estimated_costs_quantities[House Code],0),7),"")</f>
        <v/>
      </c>
      <c r="M60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5" s="75"/>
      <c r="O605" s="37"/>
      <c r="P605" s="86">
        <f>tbl_Actual_costs_quantities34[[#This Row],[Site Preparation]]*BOQs!$L$3</f>
        <v>0</v>
      </c>
      <c r="Q605" s="76"/>
      <c r="R605" s="37"/>
      <c r="S605" s="86">
        <f>tbl_Actual_costs_quantities34[[#This Row],[Demolition Removal Unsafe Structures]]*BOQs!$L$4</f>
        <v>0</v>
      </c>
      <c r="T605" s="76"/>
      <c r="U605" s="37"/>
      <c r="V605" s="86">
        <f>tbl_Actual_costs_quantities34[[#This Row],[Concrete Works]]*BOQs!$L$5</f>
        <v>0</v>
      </c>
      <c r="W605" s="76"/>
      <c r="X605" s="37"/>
      <c r="Y605" s="86">
        <f>tbl_Actual_costs_quantities34[[#This Row],[Closure External Openings Walls Windows]]*BOQs!$L$6</f>
        <v>0</v>
      </c>
      <c r="Z605" s="76"/>
      <c r="AA605" s="37"/>
      <c r="AB605" s="86">
        <f>tbl_Actual_costs_quantities34[[#This Row],[Plastering Painting]]*BOQs!$L$7</f>
        <v>0</v>
      </c>
      <c r="AC605" s="76"/>
      <c r="AD605" s="37"/>
      <c r="AE605" s="86">
        <f>tbl_Actual_costs_quantities34[[#This Row],[Floor Repairs]]*BOQs!$L$8</f>
        <v>0</v>
      </c>
      <c r="AF605" s="76"/>
      <c r="AG605" s="37"/>
      <c r="AH605" s="86">
        <f>tbl_Actual_costs_quantities34[[#This Row],[Doors Replacement Repair]]*BOQs!$L$9</f>
        <v>0</v>
      </c>
      <c r="AI605" s="76"/>
      <c r="AJ605" s="37"/>
      <c r="AK605" s="86">
        <f>tbl_Actual_costs_quantities34[[#This Row],[Windows Replacement Repair]]*BOQs!$L$10</f>
        <v>0</v>
      </c>
      <c r="AL605" s="76"/>
      <c r="AM605" s="37"/>
      <c r="AN605" s="86">
        <f>tbl_Actual_costs_quantities34[[#This Row],[Bathroom Rehabilitation]]*BOQs!$L$11</f>
        <v>0</v>
      </c>
      <c r="AO605" s="76"/>
      <c r="AP605" s="37"/>
      <c r="AQ605" s="86">
        <f>tbl_Actual_costs_quantities34[[#This Row],[Ceramic Tile Works WASH]]*BOQs!$L$12</f>
        <v>0</v>
      </c>
      <c r="AR605" s="76"/>
      <c r="AS605" s="37"/>
      <c r="AT605" s="86">
        <f>tbl_Actual_costs_quantities34[[#This Row],[Electrical Repairs Lighting]]*BOQs!$L$13</f>
        <v>0</v>
      </c>
      <c r="AU605" s="76"/>
      <c r="AV605" s="37"/>
      <c r="AW605" s="86">
        <f>tbl_Actual_costs_quantities34[[#This Row],[Roof Insulation Leak Sealing]]*BOQs!$L$14</f>
        <v>0</v>
      </c>
      <c r="AX605" s="76"/>
      <c r="AY605" s="37"/>
      <c r="AZ605" s="86">
        <f>tbl_Actual_costs_quantities34[[#This Row],[Chimney Duct Cleaning Repair]]*BOQs!$L$15</f>
        <v>0</v>
      </c>
      <c r="BA605" s="76"/>
      <c r="BB605" s="37"/>
      <c r="BC605" s="89">
        <f>tbl_Actual_costs_quantities34[[#This Row],[Accessibility Adaptations]]*BOQs!$L$16</f>
        <v>0</v>
      </c>
      <c r="BD605" s="41"/>
      <c r="BE605" s="37"/>
      <c r="BF605" s="37"/>
    </row>
    <row r="606" spans="2:58" ht="25.15" customHeight="1" x14ac:dyDescent="0.25">
      <c r="B606" s="49">
        <v>602</v>
      </c>
      <c r="C606" s="37"/>
      <c r="D606" s="41"/>
      <c r="E606" s="40"/>
      <c r="F606" s="87" t="str">
        <f>IF(tbl_Actual_costs_quantities34[[#This Row],[House Code]]&lt;&gt;"",INDEX(tbl_Assessment[],MATCH(tbl_Actual_costs_quantities34[[#This Row],[House Code]],tbl_Assessment[House Code],0),3),"")</f>
        <v/>
      </c>
      <c r="G606" s="116" t="str">
        <f>IF(tbl_Actual_costs_quantities34[[#This Row],[House Code]]&lt;&gt;"",INDEX(tbl_Assessment[],MATCH(tbl_Actual_costs_quantities34[[#This Row],[House Code]],tbl_Assessment[House Code],0),9),"")</f>
        <v/>
      </c>
      <c r="H606" s="41"/>
      <c r="I606" s="41"/>
      <c r="J606" s="41"/>
      <c r="K606" s="116"/>
      <c r="L606" s="117" t="str">
        <f>IF(tbl_Actual_costs_quantities34[[#This Row],[House Code]]&lt;&gt;"",tbl_Actual_costs_quantities34[[#This Row],[Total cost]]/INDEX(tbl_estimated_costs_quantities[],MATCH(tbl_Actual_costs_quantities34[[#This Row],[House Code]],tbl_estimated_costs_quantities[House Code],0),7),"")</f>
        <v/>
      </c>
      <c r="M60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6" s="75"/>
      <c r="O606" s="37"/>
      <c r="P606" s="86">
        <f>tbl_Actual_costs_quantities34[[#This Row],[Site Preparation]]*BOQs!$L$3</f>
        <v>0</v>
      </c>
      <c r="Q606" s="76"/>
      <c r="R606" s="37"/>
      <c r="S606" s="86">
        <f>tbl_Actual_costs_quantities34[[#This Row],[Demolition Removal Unsafe Structures]]*BOQs!$L$4</f>
        <v>0</v>
      </c>
      <c r="T606" s="76"/>
      <c r="U606" s="37"/>
      <c r="V606" s="86">
        <f>tbl_Actual_costs_quantities34[[#This Row],[Concrete Works]]*BOQs!$L$5</f>
        <v>0</v>
      </c>
      <c r="W606" s="76"/>
      <c r="X606" s="37"/>
      <c r="Y606" s="86">
        <f>tbl_Actual_costs_quantities34[[#This Row],[Closure External Openings Walls Windows]]*BOQs!$L$6</f>
        <v>0</v>
      </c>
      <c r="Z606" s="76"/>
      <c r="AA606" s="37"/>
      <c r="AB606" s="86">
        <f>tbl_Actual_costs_quantities34[[#This Row],[Plastering Painting]]*BOQs!$L$7</f>
        <v>0</v>
      </c>
      <c r="AC606" s="76"/>
      <c r="AD606" s="37"/>
      <c r="AE606" s="86">
        <f>tbl_Actual_costs_quantities34[[#This Row],[Floor Repairs]]*BOQs!$L$8</f>
        <v>0</v>
      </c>
      <c r="AF606" s="76"/>
      <c r="AG606" s="37"/>
      <c r="AH606" s="86">
        <f>tbl_Actual_costs_quantities34[[#This Row],[Doors Replacement Repair]]*BOQs!$L$9</f>
        <v>0</v>
      </c>
      <c r="AI606" s="76"/>
      <c r="AJ606" s="37"/>
      <c r="AK606" s="86">
        <f>tbl_Actual_costs_quantities34[[#This Row],[Windows Replacement Repair]]*BOQs!$L$10</f>
        <v>0</v>
      </c>
      <c r="AL606" s="76"/>
      <c r="AM606" s="37"/>
      <c r="AN606" s="86">
        <f>tbl_Actual_costs_quantities34[[#This Row],[Bathroom Rehabilitation]]*BOQs!$L$11</f>
        <v>0</v>
      </c>
      <c r="AO606" s="76"/>
      <c r="AP606" s="37"/>
      <c r="AQ606" s="86">
        <f>tbl_Actual_costs_quantities34[[#This Row],[Ceramic Tile Works WASH]]*BOQs!$L$12</f>
        <v>0</v>
      </c>
      <c r="AR606" s="76"/>
      <c r="AS606" s="37"/>
      <c r="AT606" s="86">
        <f>tbl_Actual_costs_quantities34[[#This Row],[Electrical Repairs Lighting]]*BOQs!$L$13</f>
        <v>0</v>
      </c>
      <c r="AU606" s="76"/>
      <c r="AV606" s="37"/>
      <c r="AW606" s="86">
        <f>tbl_Actual_costs_quantities34[[#This Row],[Roof Insulation Leak Sealing]]*BOQs!$L$14</f>
        <v>0</v>
      </c>
      <c r="AX606" s="76"/>
      <c r="AY606" s="37"/>
      <c r="AZ606" s="86">
        <f>tbl_Actual_costs_quantities34[[#This Row],[Chimney Duct Cleaning Repair]]*BOQs!$L$15</f>
        <v>0</v>
      </c>
      <c r="BA606" s="76"/>
      <c r="BB606" s="37"/>
      <c r="BC606" s="89">
        <f>tbl_Actual_costs_quantities34[[#This Row],[Accessibility Adaptations]]*BOQs!$L$16</f>
        <v>0</v>
      </c>
      <c r="BD606" s="41"/>
      <c r="BE606" s="37"/>
      <c r="BF606" s="37"/>
    </row>
    <row r="607" spans="2:58" ht="25.15" customHeight="1" x14ac:dyDescent="0.25">
      <c r="B607" s="49">
        <v>603</v>
      </c>
      <c r="C607" s="37"/>
      <c r="D607" s="41"/>
      <c r="E607" s="40"/>
      <c r="F607" s="87" t="str">
        <f>IF(tbl_Actual_costs_quantities34[[#This Row],[House Code]]&lt;&gt;"",INDEX(tbl_Assessment[],MATCH(tbl_Actual_costs_quantities34[[#This Row],[House Code]],tbl_Assessment[House Code],0),3),"")</f>
        <v/>
      </c>
      <c r="G607" s="116" t="str">
        <f>IF(tbl_Actual_costs_quantities34[[#This Row],[House Code]]&lt;&gt;"",INDEX(tbl_Assessment[],MATCH(tbl_Actual_costs_quantities34[[#This Row],[House Code]],tbl_Assessment[House Code],0),9),"")</f>
        <v/>
      </c>
      <c r="H607" s="41"/>
      <c r="I607" s="41"/>
      <c r="J607" s="41"/>
      <c r="K607" s="116"/>
      <c r="L607" s="117" t="str">
        <f>IF(tbl_Actual_costs_quantities34[[#This Row],[House Code]]&lt;&gt;"",tbl_Actual_costs_quantities34[[#This Row],[Total cost]]/INDEX(tbl_estimated_costs_quantities[],MATCH(tbl_Actual_costs_quantities34[[#This Row],[House Code]],tbl_estimated_costs_quantities[House Code],0),7),"")</f>
        <v/>
      </c>
      <c r="M60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7" s="75"/>
      <c r="O607" s="37"/>
      <c r="P607" s="86">
        <f>tbl_Actual_costs_quantities34[[#This Row],[Site Preparation]]*BOQs!$L$3</f>
        <v>0</v>
      </c>
      <c r="Q607" s="76"/>
      <c r="R607" s="37"/>
      <c r="S607" s="86">
        <f>tbl_Actual_costs_quantities34[[#This Row],[Demolition Removal Unsafe Structures]]*BOQs!$L$4</f>
        <v>0</v>
      </c>
      <c r="T607" s="76"/>
      <c r="U607" s="37"/>
      <c r="V607" s="86">
        <f>tbl_Actual_costs_quantities34[[#This Row],[Concrete Works]]*BOQs!$L$5</f>
        <v>0</v>
      </c>
      <c r="W607" s="76"/>
      <c r="X607" s="37"/>
      <c r="Y607" s="86">
        <f>tbl_Actual_costs_quantities34[[#This Row],[Closure External Openings Walls Windows]]*BOQs!$L$6</f>
        <v>0</v>
      </c>
      <c r="Z607" s="76"/>
      <c r="AA607" s="37"/>
      <c r="AB607" s="86">
        <f>tbl_Actual_costs_quantities34[[#This Row],[Plastering Painting]]*BOQs!$L$7</f>
        <v>0</v>
      </c>
      <c r="AC607" s="76"/>
      <c r="AD607" s="37"/>
      <c r="AE607" s="86">
        <f>tbl_Actual_costs_quantities34[[#This Row],[Floor Repairs]]*BOQs!$L$8</f>
        <v>0</v>
      </c>
      <c r="AF607" s="76"/>
      <c r="AG607" s="37"/>
      <c r="AH607" s="86">
        <f>tbl_Actual_costs_quantities34[[#This Row],[Doors Replacement Repair]]*BOQs!$L$9</f>
        <v>0</v>
      </c>
      <c r="AI607" s="76"/>
      <c r="AJ607" s="37"/>
      <c r="AK607" s="86">
        <f>tbl_Actual_costs_quantities34[[#This Row],[Windows Replacement Repair]]*BOQs!$L$10</f>
        <v>0</v>
      </c>
      <c r="AL607" s="76"/>
      <c r="AM607" s="37"/>
      <c r="AN607" s="86">
        <f>tbl_Actual_costs_quantities34[[#This Row],[Bathroom Rehabilitation]]*BOQs!$L$11</f>
        <v>0</v>
      </c>
      <c r="AO607" s="76"/>
      <c r="AP607" s="37"/>
      <c r="AQ607" s="86">
        <f>tbl_Actual_costs_quantities34[[#This Row],[Ceramic Tile Works WASH]]*BOQs!$L$12</f>
        <v>0</v>
      </c>
      <c r="AR607" s="76"/>
      <c r="AS607" s="37"/>
      <c r="AT607" s="86">
        <f>tbl_Actual_costs_quantities34[[#This Row],[Electrical Repairs Lighting]]*BOQs!$L$13</f>
        <v>0</v>
      </c>
      <c r="AU607" s="76"/>
      <c r="AV607" s="37"/>
      <c r="AW607" s="86">
        <f>tbl_Actual_costs_quantities34[[#This Row],[Roof Insulation Leak Sealing]]*BOQs!$L$14</f>
        <v>0</v>
      </c>
      <c r="AX607" s="76"/>
      <c r="AY607" s="37"/>
      <c r="AZ607" s="86">
        <f>tbl_Actual_costs_quantities34[[#This Row],[Chimney Duct Cleaning Repair]]*BOQs!$L$15</f>
        <v>0</v>
      </c>
      <c r="BA607" s="76"/>
      <c r="BB607" s="37"/>
      <c r="BC607" s="89">
        <f>tbl_Actual_costs_quantities34[[#This Row],[Accessibility Adaptations]]*BOQs!$L$16</f>
        <v>0</v>
      </c>
      <c r="BD607" s="41"/>
      <c r="BE607" s="37"/>
      <c r="BF607" s="37"/>
    </row>
    <row r="608" spans="2:58" ht="25.15" customHeight="1" x14ac:dyDescent="0.25">
      <c r="B608" s="49">
        <v>604</v>
      </c>
      <c r="C608" s="37"/>
      <c r="D608" s="41"/>
      <c r="E608" s="40"/>
      <c r="F608" s="87" t="str">
        <f>IF(tbl_Actual_costs_quantities34[[#This Row],[House Code]]&lt;&gt;"",INDEX(tbl_Assessment[],MATCH(tbl_Actual_costs_quantities34[[#This Row],[House Code]],tbl_Assessment[House Code],0),3),"")</f>
        <v/>
      </c>
      <c r="G608" s="116" t="str">
        <f>IF(tbl_Actual_costs_quantities34[[#This Row],[House Code]]&lt;&gt;"",INDEX(tbl_Assessment[],MATCH(tbl_Actual_costs_quantities34[[#This Row],[House Code]],tbl_Assessment[House Code],0),9),"")</f>
        <v/>
      </c>
      <c r="H608" s="41"/>
      <c r="I608" s="41"/>
      <c r="J608" s="41"/>
      <c r="K608" s="116"/>
      <c r="L608" s="117" t="str">
        <f>IF(tbl_Actual_costs_quantities34[[#This Row],[House Code]]&lt;&gt;"",tbl_Actual_costs_quantities34[[#This Row],[Total cost]]/INDEX(tbl_estimated_costs_quantities[],MATCH(tbl_Actual_costs_quantities34[[#This Row],[House Code]],tbl_estimated_costs_quantities[House Code],0),7),"")</f>
        <v/>
      </c>
      <c r="M60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8" s="75"/>
      <c r="O608" s="37"/>
      <c r="P608" s="86">
        <f>tbl_Actual_costs_quantities34[[#This Row],[Site Preparation]]*BOQs!$L$3</f>
        <v>0</v>
      </c>
      <c r="Q608" s="76"/>
      <c r="R608" s="37"/>
      <c r="S608" s="86">
        <f>tbl_Actual_costs_quantities34[[#This Row],[Demolition Removal Unsafe Structures]]*BOQs!$L$4</f>
        <v>0</v>
      </c>
      <c r="T608" s="76"/>
      <c r="U608" s="37"/>
      <c r="V608" s="86">
        <f>tbl_Actual_costs_quantities34[[#This Row],[Concrete Works]]*BOQs!$L$5</f>
        <v>0</v>
      </c>
      <c r="W608" s="76"/>
      <c r="X608" s="37"/>
      <c r="Y608" s="86">
        <f>tbl_Actual_costs_quantities34[[#This Row],[Closure External Openings Walls Windows]]*BOQs!$L$6</f>
        <v>0</v>
      </c>
      <c r="Z608" s="76"/>
      <c r="AA608" s="37"/>
      <c r="AB608" s="86">
        <f>tbl_Actual_costs_quantities34[[#This Row],[Plastering Painting]]*BOQs!$L$7</f>
        <v>0</v>
      </c>
      <c r="AC608" s="76"/>
      <c r="AD608" s="37"/>
      <c r="AE608" s="86">
        <f>tbl_Actual_costs_quantities34[[#This Row],[Floor Repairs]]*BOQs!$L$8</f>
        <v>0</v>
      </c>
      <c r="AF608" s="76"/>
      <c r="AG608" s="37"/>
      <c r="AH608" s="86">
        <f>tbl_Actual_costs_quantities34[[#This Row],[Doors Replacement Repair]]*BOQs!$L$9</f>
        <v>0</v>
      </c>
      <c r="AI608" s="76"/>
      <c r="AJ608" s="37"/>
      <c r="AK608" s="86">
        <f>tbl_Actual_costs_quantities34[[#This Row],[Windows Replacement Repair]]*BOQs!$L$10</f>
        <v>0</v>
      </c>
      <c r="AL608" s="76"/>
      <c r="AM608" s="37"/>
      <c r="AN608" s="86">
        <f>tbl_Actual_costs_quantities34[[#This Row],[Bathroom Rehabilitation]]*BOQs!$L$11</f>
        <v>0</v>
      </c>
      <c r="AO608" s="76"/>
      <c r="AP608" s="37"/>
      <c r="AQ608" s="86">
        <f>tbl_Actual_costs_quantities34[[#This Row],[Ceramic Tile Works WASH]]*BOQs!$L$12</f>
        <v>0</v>
      </c>
      <c r="AR608" s="76"/>
      <c r="AS608" s="37"/>
      <c r="AT608" s="86">
        <f>tbl_Actual_costs_quantities34[[#This Row],[Electrical Repairs Lighting]]*BOQs!$L$13</f>
        <v>0</v>
      </c>
      <c r="AU608" s="76"/>
      <c r="AV608" s="37"/>
      <c r="AW608" s="86">
        <f>tbl_Actual_costs_quantities34[[#This Row],[Roof Insulation Leak Sealing]]*BOQs!$L$14</f>
        <v>0</v>
      </c>
      <c r="AX608" s="76"/>
      <c r="AY608" s="37"/>
      <c r="AZ608" s="86">
        <f>tbl_Actual_costs_quantities34[[#This Row],[Chimney Duct Cleaning Repair]]*BOQs!$L$15</f>
        <v>0</v>
      </c>
      <c r="BA608" s="76"/>
      <c r="BB608" s="37"/>
      <c r="BC608" s="89">
        <f>tbl_Actual_costs_quantities34[[#This Row],[Accessibility Adaptations]]*BOQs!$L$16</f>
        <v>0</v>
      </c>
      <c r="BD608" s="41"/>
      <c r="BE608" s="37"/>
      <c r="BF608" s="37"/>
    </row>
    <row r="609" spans="2:58" ht="25.15" customHeight="1" x14ac:dyDescent="0.25">
      <c r="B609" s="49">
        <v>605</v>
      </c>
      <c r="C609" s="37"/>
      <c r="D609" s="41"/>
      <c r="E609" s="40"/>
      <c r="F609" s="87" t="str">
        <f>IF(tbl_Actual_costs_quantities34[[#This Row],[House Code]]&lt;&gt;"",INDEX(tbl_Assessment[],MATCH(tbl_Actual_costs_quantities34[[#This Row],[House Code]],tbl_Assessment[House Code],0),3),"")</f>
        <v/>
      </c>
      <c r="G609" s="116" t="str">
        <f>IF(tbl_Actual_costs_quantities34[[#This Row],[House Code]]&lt;&gt;"",INDEX(tbl_Assessment[],MATCH(tbl_Actual_costs_quantities34[[#This Row],[House Code]],tbl_Assessment[House Code],0),9),"")</f>
        <v/>
      </c>
      <c r="H609" s="41"/>
      <c r="I609" s="41"/>
      <c r="J609" s="41"/>
      <c r="K609" s="116"/>
      <c r="L609" s="117" t="str">
        <f>IF(tbl_Actual_costs_quantities34[[#This Row],[House Code]]&lt;&gt;"",tbl_Actual_costs_quantities34[[#This Row],[Total cost]]/INDEX(tbl_estimated_costs_quantities[],MATCH(tbl_Actual_costs_quantities34[[#This Row],[House Code]],tbl_estimated_costs_quantities[House Code],0),7),"")</f>
        <v/>
      </c>
      <c r="M60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09" s="75"/>
      <c r="O609" s="37"/>
      <c r="P609" s="86">
        <f>tbl_Actual_costs_quantities34[[#This Row],[Site Preparation]]*BOQs!$L$3</f>
        <v>0</v>
      </c>
      <c r="Q609" s="76"/>
      <c r="R609" s="37"/>
      <c r="S609" s="86">
        <f>tbl_Actual_costs_quantities34[[#This Row],[Demolition Removal Unsafe Structures]]*BOQs!$L$4</f>
        <v>0</v>
      </c>
      <c r="T609" s="76"/>
      <c r="U609" s="37"/>
      <c r="V609" s="86">
        <f>tbl_Actual_costs_quantities34[[#This Row],[Concrete Works]]*BOQs!$L$5</f>
        <v>0</v>
      </c>
      <c r="W609" s="76"/>
      <c r="X609" s="37"/>
      <c r="Y609" s="86">
        <f>tbl_Actual_costs_quantities34[[#This Row],[Closure External Openings Walls Windows]]*BOQs!$L$6</f>
        <v>0</v>
      </c>
      <c r="Z609" s="76"/>
      <c r="AA609" s="37"/>
      <c r="AB609" s="86">
        <f>tbl_Actual_costs_quantities34[[#This Row],[Plastering Painting]]*BOQs!$L$7</f>
        <v>0</v>
      </c>
      <c r="AC609" s="76"/>
      <c r="AD609" s="37"/>
      <c r="AE609" s="86">
        <f>tbl_Actual_costs_quantities34[[#This Row],[Floor Repairs]]*BOQs!$L$8</f>
        <v>0</v>
      </c>
      <c r="AF609" s="76"/>
      <c r="AG609" s="37"/>
      <c r="AH609" s="86">
        <f>tbl_Actual_costs_quantities34[[#This Row],[Doors Replacement Repair]]*BOQs!$L$9</f>
        <v>0</v>
      </c>
      <c r="AI609" s="76"/>
      <c r="AJ609" s="37"/>
      <c r="AK609" s="86">
        <f>tbl_Actual_costs_quantities34[[#This Row],[Windows Replacement Repair]]*BOQs!$L$10</f>
        <v>0</v>
      </c>
      <c r="AL609" s="76"/>
      <c r="AM609" s="37"/>
      <c r="AN609" s="86">
        <f>tbl_Actual_costs_quantities34[[#This Row],[Bathroom Rehabilitation]]*BOQs!$L$11</f>
        <v>0</v>
      </c>
      <c r="AO609" s="76"/>
      <c r="AP609" s="37"/>
      <c r="AQ609" s="86">
        <f>tbl_Actual_costs_quantities34[[#This Row],[Ceramic Tile Works WASH]]*BOQs!$L$12</f>
        <v>0</v>
      </c>
      <c r="AR609" s="76"/>
      <c r="AS609" s="37"/>
      <c r="AT609" s="86">
        <f>tbl_Actual_costs_quantities34[[#This Row],[Electrical Repairs Lighting]]*BOQs!$L$13</f>
        <v>0</v>
      </c>
      <c r="AU609" s="76"/>
      <c r="AV609" s="37"/>
      <c r="AW609" s="86">
        <f>tbl_Actual_costs_quantities34[[#This Row],[Roof Insulation Leak Sealing]]*BOQs!$L$14</f>
        <v>0</v>
      </c>
      <c r="AX609" s="76"/>
      <c r="AY609" s="37"/>
      <c r="AZ609" s="86">
        <f>tbl_Actual_costs_quantities34[[#This Row],[Chimney Duct Cleaning Repair]]*BOQs!$L$15</f>
        <v>0</v>
      </c>
      <c r="BA609" s="76"/>
      <c r="BB609" s="37"/>
      <c r="BC609" s="89">
        <f>tbl_Actual_costs_quantities34[[#This Row],[Accessibility Adaptations]]*BOQs!$L$16</f>
        <v>0</v>
      </c>
      <c r="BD609" s="41"/>
      <c r="BE609" s="37"/>
      <c r="BF609" s="37"/>
    </row>
    <row r="610" spans="2:58" ht="25.15" customHeight="1" x14ac:dyDescent="0.25">
      <c r="B610" s="49">
        <v>606</v>
      </c>
      <c r="C610" s="37"/>
      <c r="D610" s="41"/>
      <c r="E610" s="40"/>
      <c r="F610" s="87" t="str">
        <f>IF(tbl_Actual_costs_quantities34[[#This Row],[House Code]]&lt;&gt;"",INDEX(tbl_Assessment[],MATCH(tbl_Actual_costs_quantities34[[#This Row],[House Code]],tbl_Assessment[House Code],0),3),"")</f>
        <v/>
      </c>
      <c r="G610" s="116" t="str">
        <f>IF(tbl_Actual_costs_quantities34[[#This Row],[House Code]]&lt;&gt;"",INDEX(tbl_Assessment[],MATCH(tbl_Actual_costs_quantities34[[#This Row],[House Code]],tbl_Assessment[House Code],0),9),"")</f>
        <v/>
      </c>
      <c r="H610" s="41"/>
      <c r="I610" s="41"/>
      <c r="J610" s="41"/>
      <c r="K610" s="116"/>
      <c r="L610" s="117" t="str">
        <f>IF(tbl_Actual_costs_quantities34[[#This Row],[House Code]]&lt;&gt;"",tbl_Actual_costs_quantities34[[#This Row],[Total cost]]/INDEX(tbl_estimated_costs_quantities[],MATCH(tbl_Actual_costs_quantities34[[#This Row],[House Code]],tbl_estimated_costs_quantities[House Code],0),7),"")</f>
        <v/>
      </c>
      <c r="M61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0" s="75"/>
      <c r="O610" s="37"/>
      <c r="P610" s="86">
        <f>tbl_Actual_costs_quantities34[[#This Row],[Site Preparation]]*BOQs!$L$3</f>
        <v>0</v>
      </c>
      <c r="Q610" s="76"/>
      <c r="R610" s="37"/>
      <c r="S610" s="86">
        <f>tbl_Actual_costs_quantities34[[#This Row],[Demolition Removal Unsafe Structures]]*BOQs!$L$4</f>
        <v>0</v>
      </c>
      <c r="T610" s="76"/>
      <c r="U610" s="37"/>
      <c r="V610" s="86">
        <f>tbl_Actual_costs_quantities34[[#This Row],[Concrete Works]]*BOQs!$L$5</f>
        <v>0</v>
      </c>
      <c r="W610" s="76"/>
      <c r="X610" s="37"/>
      <c r="Y610" s="86">
        <f>tbl_Actual_costs_quantities34[[#This Row],[Closure External Openings Walls Windows]]*BOQs!$L$6</f>
        <v>0</v>
      </c>
      <c r="Z610" s="76"/>
      <c r="AA610" s="37"/>
      <c r="AB610" s="86">
        <f>tbl_Actual_costs_quantities34[[#This Row],[Plastering Painting]]*BOQs!$L$7</f>
        <v>0</v>
      </c>
      <c r="AC610" s="76"/>
      <c r="AD610" s="37"/>
      <c r="AE610" s="86">
        <f>tbl_Actual_costs_quantities34[[#This Row],[Floor Repairs]]*BOQs!$L$8</f>
        <v>0</v>
      </c>
      <c r="AF610" s="76"/>
      <c r="AG610" s="37"/>
      <c r="AH610" s="86">
        <f>tbl_Actual_costs_quantities34[[#This Row],[Doors Replacement Repair]]*BOQs!$L$9</f>
        <v>0</v>
      </c>
      <c r="AI610" s="76"/>
      <c r="AJ610" s="37"/>
      <c r="AK610" s="86">
        <f>tbl_Actual_costs_quantities34[[#This Row],[Windows Replacement Repair]]*BOQs!$L$10</f>
        <v>0</v>
      </c>
      <c r="AL610" s="76"/>
      <c r="AM610" s="37"/>
      <c r="AN610" s="86">
        <f>tbl_Actual_costs_quantities34[[#This Row],[Bathroom Rehabilitation]]*BOQs!$L$11</f>
        <v>0</v>
      </c>
      <c r="AO610" s="76"/>
      <c r="AP610" s="37"/>
      <c r="AQ610" s="86">
        <f>tbl_Actual_costs_quantities34[[#This Row],[Ceramic Tile Works WASH]]*BOQs!$L$12</f>
        <v>0</v>
      </c>
      <c r="AR610" s="76"/>
      <c r="AS610" s="37"/>
      <c r="AT610" s="86">
        <f>tbl_Actual_costs_quantities34[[#This Row],[Electrical Repairs Lighting]]*BOQs!$L$13</f>
        <v>0</v>
      </c>
      <c r="AU610" s="76"/>
      <c r="AV610" s="37"/>
      <c r="AW610" s="86">
        <f>tbl_Actual_costs_quantities34[[#This Row],[Roof Insulation Leak Sealing]]*BOQs!$L$14</f>
        <v>0</v>
      </c>
      <c r="AX610" s="76"/>
      <c r="AY610" s="37"/>
      <c r="AZ610" s="86">
        <f>tbl_Actual_costs_quantities34[[#This Row],[Chimney Duct Cleaning Repair]]*BOQs!$L$15</f>
        <v>0</v>
      </c>
      <c r="BA610" s="76"/>
      <c r="BB610" s="37"/>
      <c r="BC610" s="89">
        <f>tbl_Actual_costs_quantities34[[#This Row],[Accessibility Adaptations]]*BOQs!$L$16</f>
        <v>0</v>
      </c>
      <c r="BD610" s="41"/>
      <c r="BE610" s="37"/>
      <c r="BF610" s="37"/>
    </row>
    <row r="611" spans="2:58" ht="25.15" customHeight="1" x14ac:dyDescent="0.25">
      <c r="B611" s="49">
        <v>607</v>
      </c>
      <c r="C611" s="37"/>
      <c r="D611" s="41"/>
      <c r="E611" s="40"/>
      <c r="F611" s="87" t="str">
        <f>IF(tbl_Actual_costs_quantities34[[#This Row],[House Code]]&lt;&gt;"",INDEX(tbl_Assessment[],MATCH(tbl_Actual_costs_quantities34[[#This Row],[House Code]],tbl_Assessment[House Code],0),3),"")</f>
        <v/>
      </c>
      <c r="G611" s="116" t="str">
        <f>IF(tbl_Actual_costs_quantities34[[#This Row],[House Code]]&lt;&gt;"",INDEX(tbl_Assessment[],MATCH(tbl_Actual_costs_quantities34[[#This Row],[House Code]],tbl_Assessment[House Code],0),9),"")</f>
        <v/>
      </c>
      <c r="H611" s="41"/>
      <c r="I611" s="41"/>
      <c r="J611" s="41"/>
      <c r="K611" s="116"/>
      <c r="L611" s="117" t="str">
        <f>IF(tbl_Actual_costs_quantities34[[#This Row],[House Code]]&lt;&gt;"",tbl_Actual_costs_quantities34[[#This Row],[Total cost]]/INDEX(tbl_estimated_costs_quantities[],MATCH(tbl_Actual_costs_quantities34[[#This Row],[House Code]],tbl_estimated_costs_quantities[House Code],0),7),"")</f>
        <v/>
      </c>
      <c r="M61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1" s="75"/>
      <c r="O611" s="37"/>
      <c r="P611" s="86">
        <f>tbl_Actual_costs_quantities34[[#This Row],[Site Preparation]]*BOQs!$L$3</f>
        <v>0</v>
      </c>
      <c r="Q611" s="76"/>
      <c r="R611" s="37"/>
      <c r="S611" s="86">
        <f>tbl_Actual_costs_quantities34[[#This Row],[Demolition Removal Unsafe Structures]]*BOQs!$L$4</f>
        <v>0</v>
      </c>
      <c r="T611" s="76"/>
      <c r="U611" s="37"/>
      <c r="V611" s="86">
        <f>tbl_Actual_costs_quantities34[[#This Row],[Concrete Works]]*BOQs!$L$5</f>
        <v>0</v>
      </c>
      <c r="W611" s="76"/>
      <c r="X611" s="37"/>
      <c r="Y611" s="86">
        <f>tbl_Actual_costs_quantities34[[#This Row],[Closure External Openings Walls Windows]]*BOQs!$L$6</f>
        <v>0</v>
      </c>
      <c r="Z611" s="76"/>
      <c r="AA611" s="37"/>
      <c r="AB611" s="86">
        <f>tbl_Actual_costs_quantities34[[#This Row],[Plastering Painting]]*BOQs!$L$7</f>
        <v>0</v>
      </c>
      <c r="AC611" s="76"/>
      <c r="AD611" s="37"/>
      <c r="AE611" s="86">
        <f>tbl_Actual_costs_quantities34[[#This Row],[Floor Repairs]]*BOQs!$L$8</f>
        <v>0</v>
      </c>
      <c r="AF611" s="76"/>
      <c r="AG611" s="37"/>
      <c r="AH611" s="86">
        <f>tbl_Actual_costs_quantities34[[#This Row],[Doors Replacement Repair]]*BOQs!$L$9</f>
        <v>0</v>
      </c>
      <c r="AI611" s="76"/>
      <c r="AJ611" s="37"/>
      <c r="AK611" s="86">
        <f>tbl_Actual_costs_quantities34[[#This Row],[Windows Replacement Repair]]*BOQs!$L$10</f>
        <v>0</v>
      </c>
      <c r="AL611" s="76"/>
      <c r="AM611" s="37"/>
      <c r="AN611" s="86">
        <f>tbl_Actual_costs_quantities34[[#This Row],[Bathroom Rehabilitation]]*BOQs!$L$11</f>
        <v>0</v>
      </c>
      <c r="AO611" s="76"/>
      <c r="AP611" s="37"/>
      <c r="AQ611" s="86">
        <f>tbl_Actual_costs_quantities34[[#This Row],[Ceramic Tile Works WASH]]*BOQs!$L$12</f>
        <v>0</v>
      </c>
      <c r="AR611" s="76"/>
      <c r="AS611" s="37"/>
      <c r="AT611" s="86">
        <f>tbl_Actual_costs_quantities34[[#This Row],[Electrical Repairs Lighting]]*BOQs!$L$13</f>
        <v>0</v>
      </c>
      <c r="AU611" s="76"/>
      <c r="AV611" s="37"/>
      <c r="AW611" s="86">
        <f>tbl_Actual_costs_quantities34[[#This Row],[Roof Insulation Leak Sealing]]*BOQs!$L$14</f>
        <v>0</v>
      </c>
      <c r="AX611" s="76"/>
      <c r="AY611" s="37"/>
      <c r="AZ611" s="86">
        <f>tbl_Actual_costs_quantities34[[#This Row],[Chimney Duct Cleaning Repair]]*BOQs!$L$15</f>
        <v>0</v>
      </c>
      <c r="BA611" s="76"/>
      <c r="BB611" s="37"/>
      <c r="BC611" s="89">
        <f>tbl_Actual_costs_quantities34[[#This Row],[Accessibility Adaptations]]*BOQs!$L$16</f>
        <v>0</v>
      </c>
      <c r="BD611" s="41"/>
      <c r="BE611" s="37"/>
      <c r="BF611" s="37"/>
    </row>
    <row r="612" spans="2:58" ht="25.15" customHeight="1" x14ac:dyDescent="0.25">
      <c r="B612" s="49">
        <v>608</v>
      </c>
      <c r="C612" s="37"/>
      <c r="D612" s="41"/>
      <c r="E612" s="40"/>
      <c r="F612" s="87" t="str">
        <f>IF(tbl_Actual_costs_quantities34[[#This Row],[House Code]]&lt;&gt;"",INDEX(tbl_Assessment[],MATCH(tbl_Actual_costs_quantities34[[#This Row],[House Code]],tbl_Assessment[House Code],0),3),"")</f>
        <v/>
      </c>
      <c r="G612" s="116" t="str">
        <f>IF(tbl_Actual_costs_quantities34[[#This Row],[House Code]]&lt;&gt;"",INDEX(tbl_Assessment[],MATCH(tbl_Actual_costs_quantities34[[#This Row],[House Code]],tbl_Assessment[House Code],0),9),"")</f>
        <v/>
      </c>
      <c r="H612" s="41"/>
      <c r="I612" s="41"/>
      <c r="J612" s="41"/>
      <c r="K612" s="116"/>
      <c r="L612" s="117" t="str">
        <f>IF(tbl_Actual_costs_quantities34[[#This Row],[House Code]]&lt;&gt;"",tbl_Actual_costs_quantities34[[#This Row],[Total cost]]/INDEX(tbl_estimated_costs_quantities[],MATCH(tbl_Actual_costs_quantities34[[#This Row],[House Code]],tbl_estimated_costs_quantities[House Code],0),7),"")</f>
        <v/>
      </c>
      <c r="M61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2" s="75"/>
      <c r="O612" s="37"/>
      <c r="P612" s="86">
        <f>tbl_Actual_costs_quantities34[[#This Row],[Site Preparation]]*BOQs!$L$3</f>
        <v>0</v>
      </c>
      <c r="Q612" s="76"/>
      <c r="R612" s="37"/>
      <c r="S612" s="86">
        <f>tbl_Actual_costs_quantities34[[#This Row],[Demolition Removal Unsafe Structures]]*BOQs!$L$4</f>
        <v>0</v>
      </c>
      <c r="T612" s="76"/>
      <c r="U612" s="37"/>
      <c r="V612" s="86">
        <f>tbl_Actual_costs_quantities34[[#This Row],[Concrete Works]]*BOQs!$L$5</f>
        <v>0</v>
      </c>
      <c r="W612" s="76"/>
      <c r="X612" s="37"/>
      <c r="Y612" s="86">
        <f>tbl_Actual_costs_quantities34[[#This Row],[Closure External Openings Walls Windows]]*BOQs!$L$6</f>
        <v>0</v>
      </c>
      <c r="Z612" s="76"/>
      <c r="AA612" s="37"/>
      <c r="AB612" s="86">
        <f>tbl_Actual_costs_quantities34[[#This Row],[Plastering Painting]]*BOQs!$L$7</f>
        <v>0</v>
      </c>
      <c r="AC612" s="76"/>
      <c r="AD612" s="37"/>
      <c r="AE612" s="86">
        <f>tbl_Actual_costs_quantities34[[#This Row],[Floor Repairs]]*BOQs!$L$8</f>
        <v>0</v>
      </c>
      <c r="AF612" s="76"/>
      <c r="AG612" s="37"/>
      <c r="AH612" s="86">
        <f>tbl_Actual_costs_quantities34[[#This Row],[Doors Replacement Repair]]*BOQs!$L$9</f>
        <v>0</v>
      </c>
      <c r="AI612" s="76"/>
      <c r="AJ612" s="37"/>
      <c r="AK612" s="86">
        <f>tbl_Actual_costs_quantities34[[#This Row],[Windows Replacement Repair]]*BOQs!$L$10</f>
        <v>0</v>
      </c>
      <c r="AL612" s="76"/>
      <c r="AM612" s="37"/>
      <c r="AN612" s="86">
        <f>tbl_Actual_costs_quantities34[[#This Row],[Bathroom Rehabilitation]]*BOQs!$L$11</f>
        <v>0</v>
      </c>
      <c r="AO612" s="76"/>
      <c r="AP612" s="37"/>
      <c r="AQ612" s="86">
        <f>tbl_Actual_costs_quantities34[[#This Row],[Ceramic Tile Works WASH]]*BOQs!$L$12</f>
        <v>0</v>
      </c>
      <c r="AR612" s="76"/>
      <c r="AS612" s="37"/>
      <c r="AT612" s="86">
        <f>tbl_Actual_costs_quantities34[[#This Row],[Electrical Repairs Lighting]]*BOQs!$L$13</f>
        <v>0</v>
      </c>
      <c r="AU612" s="76"/>
      <c r="AV612" s="37"/>
      <c r="AW612" s="86">
        <f>tbl_Actual_costs_quantities34[[#This Row],[Roof Insulation Leak Sealing]]*BOQs!$L$14</f>
        <v>0</v>
      </c>
      <c r="AX612" s="76"/>
      <c r="AY612" s="37"/>
      <c r="AZ612" s="86">
        <f>tbl_Actual_costs_quantities34[[#This Row],[Chimney Duct Cleaning Repair]]*BOQs!$L$15</f>
        <v>0</v>
      </c>
      <c r="BA612" s="76"/>
      <c r="BB612" s="37"/>
      <c r="BC612" s="89">
        <f>tbl_Actual_costs_quantities34[[#This Row],[Accessibility Adaptations]]*BOQs!$L$16</f>
        <v>0</v>
      </c>
      <c r="BD612" s="41"/>
      <c r="BE612" s="37"/>
      <c r="BF612" s="37"/>
    </row>
    <row r="613" spans="2:58" ht="25.15" customHeight="1" x14ac:dyDescent="0.25">
      <c r="B613" s="49">
        <v>609</v>
      </c>
      <c r="C613" s="37"/>
      <c r="D613" s="41"/>
      <c r="E613" s="40"/>
      <c r="F613" s="87" t="str">
        <f>IF(tbl_Actual_costs_quantities34[[#This Row],[House Code]]&lt;&gt;"",INDEX(tbl_Assessment[],MATCH(tbl_Actual_costs_quantities34[[#This Row],[House Code]],tbl_Assessment[House Code],0),3),"")</f>
        <v/>
      </c>
      <c r="G613" s="116" t="str">
        <f>IF(tbl_Actual_costs_quantities34[[#This Row],[House Code]]&lt;&gt;"",INDEX(tbl_Assessment[],MATCH(tbl_Actual_costs_quantities34[[#This Row],[House Code]],tbl_Assessment[House Code],0),9),"")</f>
        <v/>
      </c>
      <c r="H613" s="41"/>
      <c r="I613" s="41"/>
      <c r="J613" s="41"/>
      <c r="K613" s="116"/>
      <c r="L613" s="117" t="str">
        <f>IF(tbl_Actual_costs_quantities34[[#This Row],[House Code]]&lt;&gt;"",tbl_Actual_costs_quantities34[[#This Row],[Total cost]]/INDEX(tbl_estimated_costs_quantities[],MATCH(tbl_Actual_costs_quantities34[[#This Row],[House Code]],tbl_estimated_costs_quantities[House Code],0),7),"")</f>
        <v/>
      </c>
      <c r="M61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3" s="75"/>
      <c r="O613" s="37"/>
      <c r="P613" s="86">
        <f>tbl_Actual_costs_quantities34[[#This Row],[Site Preparation]]*BOQs!$L$3</f>
        <v>0</v>
      </c>
      <c r="Q613" s="76"/>
      <c r="R613" s="37"/>
      <c r="S613" s="86">
        <f>tbl_Actual_costs_quantities34[[#This Row],[Demolition Removal Unsafe Structures]]*BOQs!$L$4</f>
        <v>0</v>
      </c>
      <c r="T613" s="76"/>
      <c r="U613" s="37"/>
      <c r="V613" s="86">
        <f>tbl_Actual_costs_quantities34[[#This Row],[Concrete Works]]*BOQs!$L$5</f>
        <v>0</v>
      </c>
      <c r="W613" s="76"/>
      <c r="X613" s="37"/>
      <c r="Y613" s="86">
        <f>tbl_Actual_costs_quantities34[[#This Row],[Closure External Openings Walls Windows]]*BOQs!$L$6</f>
        <v>0</v>
      </c>
      <c r="Z613" s="76"/>
      <c r="AA613" s="37"/>
      <c r="AB613" s="86">
        <f>tbl_Actual_costs_quantities34[[#This Row],[Plastering Painting]]*BOQs!$L$7</f>
        <v>0</v>
      </c>
      <c r="AC613" s="76"/>
      <c r="AD613" s="37"/>
      <c r="AE613" s="86">
        <f>tbl_Actual_costs_quantities34[[#This Row],[Floor Repairs]]*BOQs!$L$8</f>
        <v>0</v>
      </c>
      <c r="AF613" s="76"/>
      <c r="AG613" s="37"/>
      <c r="AH613" s="86">
        <f>tbl_Actual_costs_quantities34[[#This Row],[Doors Replacement Repair]]*BOQs!$L$9</f>
        <v>0</v>
      </c>
      <c r="AI613" s="76"/>
      <c r="AJ613" s="37"/>
      <c r="AK613" s="86">
        <f>tbl_Actual_costs_quantities34[[#This Row],[Windows Replacement Repair]]*BOQs!$L$10</f>
        <v>0</v>
      </c>
      <c r="AL613" s="76"/>
      <c r="AM613" s="37"/>
      <c r="AN613" s="86">
        <f>tbl_Actual_costs_quantities34[[#This Row],[Bathroom Rehabilitation]]*BOQs!$L$11</f>
        <v>0</v>
      </c>
      <c r="AO613" s="76"/>
      <c r="AP613" s="37"/>
      <c r="AQ613" s="86">
        <f>tbl_Actual_costs_quantities34[[#This Row],[Ceramic Tile Works WASH]]*BOQs!$L$12</f>
        <v>0</v>
      </c>
      <c r="AR613" s="76"/>
      <c r="AS613" s="37"/>
      <c r="AT613" s="86">
        <f>tbl_Actual_costs_quantities34[[#This Row],[Electrical Repairs Lighting]]*BOQs!$L$13</f>
        <v>0</v>
      </c>
      <c r="AU613" s="76"/>
      <c r="AV613" s="37"/>
      <c r="AW613" s="86">
        <f>tbl_Actual_costs_quantities34[[#This Row],[Roof Insulation Leak Sealing]]*BOQs!$L$14</f>
        <v>0</v>
      </c>
      <c r="AX613" s="76"/>
      <c r="AY613" s="37"/>
      <c r="AZ613" s="86">
        <f>tbl_Actual_costs_quantities34[[#This Row],[Chimney Duct Cleaning Repair]]*BOQs!$L$15</f>
        <v>0</v>
      </c>
      <c r="BA613" s="76"/>
      <c r="BB613" s="37"/>
      <c r="BC613" s="89">
        <f>tbl_Actual_costs_quantities34[[#This Row],[Accessibility Adaptations]]*BOQs!$L$16</f>
        <v>0</v>
      </c>
      <c r="BD613" s="41"/>
      <c r="BE613" s="37"/>
      <c r="BF613" s="37"/>
    </row>
    <row r="614" spans="2:58" ht="25.15" customHeight="1" x14ac:dyDescent="0.25">
      <c r="B614" s="49">
        <v>610</v>
      </c>
      <c r="C614" s="37"/>
      <c r="D614" s="41"/>
      <c r="E614" s="40"/>
      <c r="F614" s="87" t="str">
        <f>IF(tbl_Actual_costs_quantities34[[#This Row],[House Code]]&lt;&gt;"",INDEX(tbl_Assessment[],MATCH(tbl_Actual_costs_quantities34[[#This Row],[House Code]],tbl_Assessment[House Code],0),3),"")</f>
        <v/>
      </c>
      <c r="G614" s="116" t="str">
        <f>IF(tbl_Actual_costs_quantities34[[#This Row],[House Code]]&lt;&gt;"",INDEX(tbl_Assessment[],MATCH(tbl_Actual_costs_quantities34[[#This Row],[House Code]],tbl_Assessment[House Code],0),9),"")</f>
        <v/>
      </c>
      <c r="H614" s="41"/>
      <c r="I614" s="41"/>
      <c r="J614" s="41"/>
      <c r="K614" s="116"/>
      <c r="L614" s="117" t="str">
        <f>IF(tbl_Actual_costs_quantities34[[#This Row],[House Code]]&lt;&gt;"",tbl_Actual_costs_quantities34[[#This Row],[Total cost]]/INDEX(tbl_estimated_costs_quantities[],MATCH(tbl_Actual_costs_quantities34[[#This Row],[House Code]],tbl_estimated_costs_quantities[House Code],0),7),"")</f>
        <v/>
      </c>
      <c r="M61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4" s="75"/>
      <c r="O614" s="37"/>
      <c r="P614" s="86">
        <f>tbl_Actual_costs_quantities34[[#This Row],[Site Preparation]]*BOQs!$L$3</f>
        <v>0</v>
      </c>
      <c r="Q614" s="76"/>
      <c r="R614" s="37"/>
      <c r="S614" s="86">
        <f>tbl_Actual_costs_quantities34[[#This Row],[Demolition Removal Unsafe Structures]]*BOQs!$L$4</f>
        <v>0</v>
      </c>
      <c r="T614" s="76"/>
      <c r="U614" s="37"/>
      <c r="V614" s="86">
        <f>tbl_Actual_costs_quantities34[[#This Row],[Concrete Works]]*BOQs!$L$5</f>
        <v>0</v>
      </c>
      <c r="W614" s="76"/>
      <c r="X614" s="37"/>
      <c r="Y614" s="86">
        <f>tbl_Actual_costs_quantities34[[#This Row],[Closure External Openings Walls Windows]]*BOQs!$L$6</f>
        <v>0</v>
      </c>
      <c r="Z614" s="76"/>
      <c r="AA614" s="37"/>
      <c r="AB614" s="86">
        <f>tbl_Actual_costs_quantities34[[#This Row],[Plastering Painting]]*BOQs!$L$7</f>
        <v>0</v>
      </c>
      <c r="AC614" s="76"/>
      <c r="AD614" s="37"/>
      <c r="AE614" s="86">
        <f>tbl_Actual_costs_quantities34[[#This Row],[Floor Repairs]]*BOQs!$L$8</f>
        <v>0</v>
      </c>
      <c r="AF614" s="76"/>
      <c r="AG614" s="37"/>
      <c r="AH614" s="86">
        <f>tbl_Actual_costs_quantities34[[#This Row],[Doors Replacement Repair]]*BOQs!$L$9</f>
        <v>0</v>
      </c>
      <c r="AI614" s="76"/>
      <c r="AJ614" s="37"/>
      <c r="AK614" s="86">
        <f>tbl_Actual_costs_quantities34[[#This Row],[Windows Replacement Repair]]*BOQs!$L$10</f>
        <v>0</v>
      </c>
      <c r="AL614" s="76"/>
      <c r="AM614" s="37"/>
      <c r="AN614" s="86">
        <f>tbl_Actual_costs_quantities34[[#This Row],[Bathroom Rehabilitation]]*BOQs!$L$11</f>
        <v>0</v>
      </c>
      <c r="AO614" s="76"/>
      <c r="AP614" s="37"/>
      <c r="AQ614" s="86">
        <f>tbl_Actual_costs_quantities34[[#This Row],[Ceramic Tile Works WASH]]*BOQs!$L$12</f>
        <v>0</v>
      </c>
      <c r="AR614" s="76"/>
      <c r="AS614" s="37"/>
      <c r="AT614" s="86">
        <f>tbl_Actual_costs_quantities34[[#This Row],[Electrical Repairs Lighting]]*BOQs!$L$13</f>
        <v>0</v>
      </c>
      <c r="AU614" s="76"/>
      <c r="AV614" s="37"/>
      <c r="AW614" s="86">
        <f>tbl_Actual_costs_quantities34[[#This Row],[Roof Insulation Leak Sealing]]*BOQs!$L$14</f>
        <v>0</v>
      </c>
      <c r="AX614" s="76"/>
      <c r="AY614" s="37"/>
      <c r="AZ614" s="86">
        <f>tbl_Actual_costs_quantities34[[#This Row],[Chimney Duct Cleaning Repair]]*BOQs!$L$15</f>
        <v>0</v>
      </c>
      <c r="BA614" s="76"/>
      <c r="BB614" s="37"/>
      <c r="BC614" s="89">
        <f>tbl_Actual_costs_quantities34[[#This Row],[Accessibility Adaptations]]*BOQs!$L$16</f>
        <v>0</v>
      </c>
      <c r="BD614" s="41"/>
      <c r="BE614" s="37"/>
      <c r="BF614" s="37"/>
    </row>
    <row r="615" spans="2:58" ht="25.15" customHeight="1" x14ac:dyDescent="0.25">
      <c r="B615" s="49">
        <v>611</v>
      </c>
      <c r="C615" s="37"/>
      <c r="D615" s="41"/>
      <c r="E615" s="40"/>
      <c r="F615" s="87" t="str">
        <f>IF(tbl_Actual_costs_quantities34[[#This Row],[House Code]]&lt;&gt;"",INDEX(tbl_Assessment[],MATCH(tbl_Actual_costs_quantities34[[#This Row],[House Code]],tbl_Assessment[House Code],0),3),"")</f>
        <v/>
      </c>
      <c r="G615" s="116" t="str">
        <f>IF(tbl_Actual_costs_quantities34[[#This Row],[House Code]]&lt;&gt;"",INDEX(tbl_Assessment[],MATCH(tbl_Actual_costs_quantities34[[#This Row],[House Code]],tbl_Assessment[House Code],0),9),"")</f>
        <v/>
      </c>
      <c r="H615" s="41"/>
      <c r="I615" s="41"/>
      <c r="J615" s="41"/>
      <c r="K615" s="116"/>
      <c r="L615" s="117" t="str">
        <f>IF(tbl_Actual_costs_quantities34[[#This Row],[House Code]]&lt;&gt;"",tbl_Actual_costs_quantities34[[#This Row],[Total cost]]/INDEX(tbl_estimated_costs_quantities[],MATCH(tbl_Actual_costs_quantities34[[#This Row],[House Code]],tbl_estimated_costs_quantities[House Code],0),7),"")</f>
        <v/>
      </c>
      <c r="M61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5" s="75"/>
      <c r="O615" s="37"/>
      <c r="P615" s="86">
        <f>tbl_Actual_costs_quantities34[[#This Row],[Site Preparation]]*BOQs!$L$3</f>
        <v>0</v>
      </c>
      <c r="Q615" s="76"/>
      <c r="R615" s="37"/>
      <c r="S615" s="86">
        <f>tbl_Actual_costs_quantities34[[#This Row],[Demolition Removal Unsafe Structures]]*BOQs!$L$4</f>
        <v>0</v>
      </c>
      <c r="T615" s="76"/>
      <c r="U615" s="37"/>
      <c r="V615" s="86">
        <f>tbl_Actual_costs_quantities34[[#This Row],[Concrete Works]]*BOQs!$L$5</f>
        <v>0</v>
      </c>
      <c r="W615" s="76"/>
      <c r="X615" s="37"/>
      <c r="Y615" s="86">
        <f>tbl_Actual_costs_quantities34[[#This Row],[Closure External Openings Walls Windows]]*BOQs!$L$6</f>
        <v>0</v>
      </c>
      <c r="Z615" s="76"/>
      <c r="AA615" s="37"/>
      <c r="AB615" s="86">
        <f>tbl_Actual_costs_quantities34[[#This Row],[Plastering Painting]]*BOQs!$L$7</f>
        <v>0</v>
      </c>
      <c r="AC615" s="76"/>
      <c r="AD615" s="37"/>
      <c r="AE615" s="86">
        <f>tbl_Actual_costs_quantities34[[#This Row],[Floor Repairs]]*BOQs!$L$8</f>
        <v>0</v>
      </c>
      <c r="AF615" s="76"/>
      <c r="AG615" s="37"/>
      <c r="AH615" s="86">
        <f>tbl_Actual_costs_quantities34[[#This Row],[Doors Replacement Repair]]*BOQs!$L$9</f>
        <v>0</v>
      </c>
      <c r="AI615" s="76"/>
      <c r="AJ615" s="37"/>
      <c r="AK615" s="86">
        <f>tbl_Actual_costs_quantities34[[#This Row],[Windows Replacement Repair]]*BOQs!$L$10</f>
        <v>0</v>
      </c>
      <c r="AL615" s="76"/>
      <c r="AM615" s="37"/>
      <c r="AN615" s="86">
        <f>tbl_Actual_costs_quantities34[[#This Row],[Bathroom Rehabilitation]]*BOQs!$L$11</f>
        <v>0</v>
      </c>
      <c r="AO615" s="76"/>
      <c r="AP615" s="37"/>
      <c r="AQ615" s="86">
        <f>tbl_Actual_costs_quantities34[[#This Row],[Ceramic Tile Works WASH]]*BOQs!$L$12</f>
        <v>0</v>
      </c>
      <c r="AR615" s="76"/>
      <c r="AS615" s="37"/>
      <c r="AT615" s="86">
        <f>tbl_Actual_costs_quantities34[[#This Row],[Electrical Repairs Lighting]]*BOQs!$L$13</f>
        <v>0</v>
      </c>
      <c r="AU615" s="76"/>
      <c r="AV615" s="37"/>
      <c r="AW615" s="86">
        <f>tbl_Actual_costs_quantities34[[#This Row],[Roof Insulation Leak Sealing]]*BOQs!$L$14</f>
        <v>0</v>
      </c>
      <c r="AX615" s="76"/>
      <c r="AY615" s="37"/>
      <c r="AZ615" s="86">
        <f>tbl_Actual_costs_quantities34[[#This Row],[Chimney Duct Cleaning Repair]]*BOQs!$L$15</f>
        <v>0</v>
      </c>
      <c r="BA615" s="76"/>
      <c r="BB615" s="37"/>
      <c r="BC615" s="89">
        <f>tbl_Actual_costs_quantities34[[#This Row],[Accessibility Adaptations]]*BOQs!$L$16</f>
        <v>0</v>
      </c>
      <c r="BD615" s="41"/>
      <c r="BE615" s="37"/>
      <c r="BF615" s="37"/>
    </row>
    <row r="616" spans="2:58" ht="25.15" customHeight="1" x14ac:dyDescent="0.25">
      <c r="B616" s="49">
        <v>612</v>
      </c>
      <c r="C616" s="37"/>
      <c r="D616" s="41"/>
      <c r="E616" s="40"/>
      <c r="F616" s="87" t="str">
        <f>IF(tbl_Actual_costs_quantities34[[#This Row],[House Code]]&lt;&gt;"",INDEX(tbl_Assessment[],MATCH(tbl_Actual_costs_quantities34[[#This Row],[House Code]],tbl_Assessment[House Code],0),3),"")</f>
        <v/>
      </c>
      <c r="G616" s="116" t="str">
        <f>IF(tbl_Actual_costs_quantities34[[#This Row],[House Code]]&lt;&gt;"",INDEX(tbl_Assessment[],MATCH(tbl_Actual_costs_quantities34[[#This Row],[House Code]],tbl_Assessment[House Code],0),9),"")</f>
        <v/>
      </c>
      <c r="H616" s="41"/>
      <c r="I616" s="41"/>
      <c r="J616" s="41"/>
      <c r="K616" s="116"/>
      <c r="L616" s="117" t="str">
        <f>IF(tbl_Actual_costs_quantities34[[#This Row],[House Code]]&lt;&gt;"",tbl_Actual_costs_quantities34[[#This Row],[Total cost]]/INDEX(tbl_estimated_costs_quantities[],MATCH(tbl_Actual_costs_quantities34[[#This Row],[House Code]],tbl_estimated_costs_quantities[House Code],0),7),"")</f>
        <v/>
      </c>
      <c r="M61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6" s="75"/>
      <c r="O616" s="37"/>
      <c r="P616" s="86">
        <f>tbl_Actual_costs_quantities34[[#This Row],[Site Preparation]]*BOQs!$L$3</f>
        <v>0</v>
      </c>
      <c r="Q616" s="76"/>
      <c r="R616" s="37"/>
      <c r="S616" s="86">
        <f>tbl_Actual_costs_quantities34[[#This Row],[Demolition Removal Unsafe Structures]]*BOQs!$L$4</f>
        <v>0</v>
      </c>
      <c r="T616" s="76"/>
      <c r="U616" s="37"/>
      <c r="V616" s="86">
        <f>tbl_Actual_costs_quantities34[[#This Row],[Concrete Works]]*BOQs!$L$5</f>
        <v>0</v>
      </c>
      <c r="W616" s="76"/>
      <c r="X616" s="37"/>
      <c r="Y616" s="86">
        <f>tbl_Actual_costs_quantities34[[#This Row],[Closure External Openings Walls Windows]]*BOQs!$L$6</f>
        <v>0</v>
      </c>
      <c r="Z616" s="76"/>
      <c r="AA616" s="37"/>
      <c r="AB616" s="86">
        <f>tbl_Actual_costs_quantities34[[#This Row],[Plastering Painting]]*BOQs!$L$7</f>
        <v>0</v>
      </c>
      <c r="AC616" s="76"/>
      <c r="AD616" s="37"/>
      <c r="AE616" s="86">
        <f>tbl_Actual_costs_quantities34[[#This Row],[Floor Repairs]]*BOQs!$L$8</f>
        <v>0</v>
      </c>
      <c r="AF616" s="76"/>
      <c r="AG616" s="37"/>
      <c r="AH616" s="86">
        <f>tbl_Actual_costs_quantities34[[#This Row],[Doors Replacement Repair]]*BOQs!$L$9</f>
        <v>0</v>
      </c>
      <c r="AI616" s="76"/>
      <c r="AJ616" s="37"/>
      <c r="AK616" s="86">
        <f>tbl_Actual_costs_quantities34[[#This Row],[Windows Replacement Repair]]*BOQs!$L$10</f>
        <v>0</v>
      </c>
      <c r="AL616" s="76"/>
      <c r="AM616" s="37"/>
      <c r="AN616" s="86">
        <f>tbl_Actual_costs_quantities34[[#This Row],[Bathroom Rehabilitation]]*BOQs!$L$11</f>
        <v>0</v>
      </c>
      <c r="AO616" s="76"/>
      <c r="AP616" s="37"/>
      <c r="AQ616" s="86">
        <f>tbl_Actual_costs_quantities34[[#This Row],[Ceramic Tile Works WASH]]*BOQs!$L$12</f>
        <v>0</v>
      </c>
      <c r="AR616" s="76"/>
      <c r="AS616" s="37"/>
      <c r="AT616" s="86">
        <f>tbl_Actual_costs_quantities34[[#This Row],[Electrical Repairs Lighting]]*BOQs!$L$13</f>
        <v>0</v>
      </c>
      <c r="AU616" s="76"/>
      <c r="AV616" s="37"/>
      <c r="AW616" s="86">
        <f>tbl_Actual_costs_quantities34[[#This Row],[Roof Insulation Leak Sealing]]*BOQs!$L$14</f>
        <v>0</v>
      </c>
      <c r="AX616" s="76"/>
      <c r="AY616" s="37"/>
      <c r="AZ616" s="86">
        <f>tbl_Actual_costs_quantities34[[#This Row],[Chimney Duct Cleaning Repair]]*BOQs!$L$15</f>
        <v>0</v>
      </c>
      <c r="BA616" s="76"/>
      <c r="BB616" s="37"/>
      <c r="BC616" s="89">
        <f>tbl_Actual_costs_quantities34[[#This Row],[Accessibility Adaptations]]*BOQs!$L$16</f>
        <v>0</v>
      </c>
      <c r="BD616" s="41"/>
      <c r="BE616" s="37"/>
      <c r="BF616" s="37"/>
    </row>
    <row r="617" spans="2:58" ht="25.15" customHeight="1" x14ac:dyDescent="0.25">
      <c r="B617" s="49">
        <v>613</v>
      </c>
      <c r="C617" s="37"/>
      <c r="D617" s="41"/>
      <c r="E617" s="40"/>
      <c r="F617" s="87" t="str">
        <f>IF(tbl_Actual_costs_quantities34[[#This Row],[House Code]]&lt;&gt;"",INDEX(tbl_Assessment[],MATCH(tbl_Actual_costs_quantities34[[#This Row],[House Code]],tbl_Assessment[House Code],0),3),"")</f>
        <v/>
      </c>
      <c r="G617" s="116" t="str">
        <f>IF(tbl_Actual_costs_quantities34[[#This Row],[House Code]]&lt;&gt;"",INDEX(tbl_Assessment[],MATCH(tbl_Actual_costs_quantities34[[#This Row],[House Code]],tbl_Assessment[House Code],0),9),"")</f>
        <v/>
      </c>
      <c r="H617" s="41"/>
      <c r="I617" s="41"/>
      <c r="J617" s="41"/>
      <c r="K617" s="116"/>
      <c r="L617" s="117" t="str">
        <f>IF(tbl_Actual_costs_quantities34[[#This Row],[House Code]]&lt;&gt;"",tbl_Actual_costs_quantities34[[#This Row],[Total cost]]/INDEX(tbl_estimated_costs_quantities[],MATCH(tbl_Actual_costs_quantities34[[#This Row],[House Code]],tbl_estimated_costs_quantities[House Code],0),7),"")</f>
        <v/>
      </c>
      <c r="M61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7" s="75"/>
      <c r="O617" s="37"/>
      <c r="P617" s="86">
        <f>tbl_Actual_costs_quantities34[[#This Row],[Site Preparation]]*BOQs!$L$3</f>
        <v>0</v>
      </c>
      <c r="Q617" s="76"/>
      <c r="R617" s="37"/>
      <c r="S617" s="86">
        <f>tbl_Actual_costs_quantities34[[#This Row],[Demolition Removal Unsafe Structures]]*BOQs!$L$4</f>
        <v>0</v>
      </c>
      <c r="T617" s="76"/>
      <c r="U617" s="37"/>
      <c r="V617" s="86">
        <f>tbl_Actual_costs_quantities34[[#This Row],[Concrete Works]]*BOQs!$L$5</f>
        <v>0</v>
      </c>
      <c r="W617" s="76"/>
      <c r="X617" s="37"/>
      <c r="Y617" s="86">
        <f>tbl_Actual_costs_quantities34[[#This Row],[Closure External Openings Walls Windows]]*BOQs!$L$6</f>
        <v>0</v>
      </c>
      <c r="Z617" s="76"/>
      <c r="AA617" s="37"/>
      <c r="AB617" s="86">
        <f>tbl_Actual_costs_quantities34[[#This Row],[Plastering Painting]]*BOQs!$L$7</f>
        <v>0</v>
      </c>
      <c r="AC617" s="76"/>
      <c r="AD617" s="37"/>
      <c r="AE617" s="86">
        <f>tbl_Actual_costs_quantities34[[#This Row],[Floor Repairs]]*BOQs!$L$8</f>
        <v>0</v>
      </c>
      <c r="AF617" s="76"/>
      <c r="AG617" s="37"/>
      <c r="AH617" s="86">
        <f>tbl_Actual_costs_quantities34[[#This Row],[Doors Replacement Repair]]*BOQs!$L$9</f>
        <v>0</v>
      </c>
      <c r="AI617" s="76"/>
      <c r="AJ617" s="37"/>
      <c r="AK617" s="86">
        <f>tbl_Actual_costs_quantities34[[#This Row],[Windows Replacement Repair]]*BOQs!$L$10</f>
        <v>0</v>
      </c>
      <c r="AL617" s="76"/>
      <c r="AM617" s="37"/>
      <c r="AN617" s="86">
        <f>tbl_Actual_costs_quantities34[[#This Row],[Bathroom Rehabilitation]]*BOQs!$L$11</f>
        <v>0</v>
      </c>
      <c r="AO617" s="76"/>
      <c r="AP617" s="37"/>
      <c r="AQ617" s="86">
        <f>tbl_Actual_costs_quantities34[[#This Row],[Ceramic Tile Works WASH]]*BOQs!$L$12</f>
        <v>0</v>
      </c>
      <c r="AR617" s="76"/>
      <c r="AS617" s="37"/>
      <c r="AT617" s="86">
        <f>tbl_Actual_costs_quantities34[[#This Row],[Electrical Repairs Lighting]]*BOQs!$L$13</f>
        <v>0</v>
      </c>
      <c r="AU617" s="76"/>
      <c r="AV617" s="37"/>
      <c r="AW617" s="86">
        <f>tbl_Actual_costs_quantities34[[#This Row],[Roof Insulation Leak Sealing]]*BOQs!$L$14</f>
        <v>0</v>
      </c>
      <c r="AX617" s="76"/>
      <c r="AY617" s="37"/>
      <c r="AZ617" s="86">
        <f>tbl_Actual_costs_quantities34[[#This Row],[Chimney Duct Cleaning Repair]]*BOQs!$L$15</f>
        <v>0</v>
      </c>
      <c r="BA617" s="76"/>
      <c r="BB617" s="37"/>
      <c r="BC617" s="89">
        <f>tbl_Actual_costs_quantities34[[#This Row],[Accessibility Adaptations]]*BOQs!$L$16</f>
        <v>0</v>
      </c>
      <c r="BD617" s="41"/>
      <c r="BE617" s="37"/>
      <c r="BF617" s="37"/>
    </row>
    <row r="618" spans="2:58" ht="25.15" customHeight="1" x14ac:dyDescent="0.25">
      <c r="B618" s="49">
        <v>614</v>
      </c>
      <c r="C618" s="37"/>
      <c r="D618" s="41"/>
      <c r="E618" s="40"/>
      <c r="F618" s="87" t="str">
        <f>IF(tbl_Actual_costs_quantities34[[#This Row],[House Code]]&lt;&gt;"",INDEX(tbl_Assessment[],MATCH(tbl_Actual_costs_quantities34[[#This Row],[House Code]],tbl_Assessment[House Code],0),3),"")</f>
        <v/>
      </c>
      <c r="G618" s="116" t="str">
        <f>IF(tbl_Actual_costs_quantities34[[#This Row],[House Code]]&lt;&gt;"",INDEX(tbl_Assessment[],MATCH(tbl_Actual_costs_quantities34[[#This Row],[House Code]],tbl_Assessment[House Code],0),9),"")</f>
        <v/>
      </c>
      <c r="H618" s="41"/>
      <c r="I618" s="41"/>
      <c r="J618" s="41"/>
      <c r="K618" s="116"/>
      <c r="L618" s="117" t="str">
        <f>IF(tbl_Actual_costs_quantities34[[#This Row],[House Code]]&lt;&gt;"",tbl_Actual_costs_quantities34[[#This Row],[Total cost]]/INDEX(tbl_estimated_costs_quantities[],MATCH(tbl_Actual_costs_quantities34[[#This Row],[House Code]],tbl_estimated_costs_quantities[House Code],0),7),"")</f>
        <v/>
      </c>
      <c r="M61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8" s="75"/>
      <c r="O618" s="37"/>
      <c r="P618" s="86">
        <f>tbl_Actual_costs_quantities34[[#This Row],[Site Preparation]]*BOQs!$L$3</f>
        <v>0</v>
      </c>
      <c r="Q618" s="76"/>
      <c r="R618" s="37"/>
      <c r="S618" s="86">
        <f>tbl_Actual_costs_quantities34[[#This Row],[Demolition Removal Unsafe Structures]]*BOQs!$L$4</f>
        <v>0</v>
      </c>
      <c r="T618" s="76"/>
      <c r="U618" s="37"/>
      <c r="V618" s="86">
        <f>tbl_Actual_costs_quantities34[[#This Row],[Concrete Works]]*BOQs!$L$5</f>
        <v>0</v>
      </c>
      <c r="W618" s="76"/>
      <c r="X618" s="37"/>
      <c r="Y618" s="86">
        <f>tbl_Actual_costs_quantities34[[#This Row],[Closure External Openings Walls Windows]]*BOQs!$L$6</f>
        <v>0</v>
      </c>
      <c r="Z618" s="76"/>
      <c r="AA618" s="37"/>
      <c r="AB618" s="86">
        <f>tbl_Actual_costs_quantities34[[#This Row],[Plastering Painting]]*BOQs!$L$7</f>
        <v>0</v>
      </c>
      <c r="AC618" s="76"/>
      <c r="AD618" s="37"/>
      <c r="AE618" s="86">
        <f>tbl_Actual_costs_quantities34[[#This Row],[Floor Repairs]]*BOQs!$L$8</f>
        <v>0</v>
      </c>
      <c r="AF618" s="76"/>
      <c r="AG618" s="37"/>
      <c r="AH618" s="86">
        <f>tbl_Actual_costs_quantities34[[#This Row],[Doors Replacement Repair]]*BOQs!$L$9</f>
        <v>0</v>
      </c>
      <c r="AI618" s="76"/>
      <c r="AJ618" s="37"/>
      <c r="AK618" s="86">
        <f>tbl_Actual_costs_quantities34[[#This Row],[Windows Replacement Repair]]*BOQs!$L$10</f>
        <v>0</v>
      </c>
      <c r="AL618" s="76"/>
      <c r="AM618" s="37"/>
      <c r="AN618" s="86">
        <f>tbl_Actual_costs_quantities34[[#This Row],[Bathroom Rehabilitation]]*BOQs!$L$11</f>
        <v>0</v>
      </c>
      <c r="AO618" s="76"/>
      <c r="AP618" s="37"/>
      <c r="AQ618" s="86">
        <f>tbl_Actual_costs_quantities34[[#This Row],[Ceramic Tile Works WASH]]*BOQs!$L$12</f>
        <v>0</v>
      </c>
      <c r="AR618" s="76"/>
      <c r="AS618" s="37"/>
      <c r="AT618" s="86">
        <f>tbl_Actual_costs_quantities34[[#This Row],[Electrical Repairs Lighting]]*BOQs!$L$13</f>
        <v>0</v>
      </c>
      <c r="AU618" s="76"/>
      <c r="AV618" s="37"/>
      <c r="AW618" s="86">
        <f>tbl_Actual_costs_quantities34[[#This Row],[Roof Insulation Leak Sealing]]*BOQs!$L$14</f>
        <v>0</v>
      </c>
      <c r="AX618" s="76"/>
      <c r="AY618" s="37"/>
      <c r="AZ618" s="86">
        <f>tbl_Actual_costs_quantities34[[#This Row],[Chimney Duct Cleaning Repair]]*BOQs!$L$15</f>
        <v>0</v>
      </c>
      <c r="BA618" s="76"/>
      <c r="BB618" s="37"/>
      <c r="BC618" s="89">
        <f>tbl_Actual_costs_quantities34[[#This Row],[Accessibility Adaptations]]*BOQs!$L$16</f>
        <v>0</v>
      </c>
      <c r="BD618" s="41"/>
      <c r="BE618" s="37"/>
      <c r="BF618" s="37"/>
    </row>
    <row r="619" spans="2:58" ht="25.15" customHeight="1" x14ac:dyDescent="0.25">
      <c r="B619" s="49">
        <v>615</v>
      </c>
      <c r="C619" s="37"/>
      <c r="D619" s="41"/>
      <c r="E619" s="40"/>
      <c r="F619" s="87" t="str">
        <f>IF(tbl_Actual_costs_quantities34[[#This Row],[House Code]]&lt;&gt;"",INDEX(tbl_Assessment[],MATCH(tbl_Actual_costs_quantities34[[#This Row],[House Code]],tbl_Assessment[House Code],0),3),"")</f>
        <v/>
      </c>
      <c r="G619" s="116" t="str">
        <f>IF(tbl_Actual_costs_quantities34[[#This Row],[House Code]]&lt;&gt;"",INDEX(tbl_Assessment[],MATCH(tbl_Actual_costs_quantities34[[#This Row],[House Code]],tbl_Assessment[House Code],0),9),"")</f>
        <v/>
      </c>
      <c r="H619" s="41"/>
      <c r="I619" s="41"/>
      <c r="J619" s="41"/>
      <c r="K619" s="116"/>
      <c r="L619" s="117" t="str">
        <f>IF(tbl_Actual_costs_quantities34[[#This Row],[House Code]]&lt;&gt;"",tbl_Actual_costs_quantities34[[#This Row],[Total cost]]/INDEX(tbl_estimated_costs_quantities[],MATCH(tbl_Actual_costs_quantities34[[#This Row],[House Code]],tbl_estimated_costs_quantities[House Code],0),7),"")</f>
        <v/>
      </c>
      <c r="M61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19" s="75"/>
      <c r="O619" s="37"/>
      <c r="P619" s="86">
        <f>tbl_Actual_costs_quantities34[[#This Row],[Site Preparation]]*BOQs!$L$3</f>
        <v>0</v>
      </c>
      <c r="Q619" s="76"/>
      <c r="R619" s="37"/>
      <c r="S619" s="86">
        <f>tbl_Actual_costs_quantities34[[#This Row],[Demolition Removal Unsafe Structures]]*BOQs!$L$4</f>
        <v>0</v>
      </c>
      <c r="T619" s="76"/>
      <c r="U619" s="37"/>
      <c r="V619" s="86">
        <f>tbl_Actual_costs_quantities34[[#This Row],[Concrete Works]]*BOQs!$L$5</f>
        <v>0</v>
      </c>
      <c r="W619" s="76"/>
      <c r="X619" s="37"/>
      <c r="Y619" s="86">
        <f>tbl_Actual_costs_quantities34[[#This Row],[Closure External Openings Walls Windows]]*BOQs!$L$6</f>
        <v>0</v>
      </c>
      <c r="Z619" s="76"/>
      <c r="AA619" s="37"/>
      <c r="AB619" s="86">
        <f>tbl_Actual_costs_quantities34[[#This Row],[Plastering Painting]]*BOQs!$L$7</f>
        <v>0</v>
      </c>
      <c r="AC619" s="76"/>
      <c r="AD619" s="37"/>
      <c r="AE619" s="86">
        <f>tbl_Actual_costs_quantities34[[#This Row],[Floor Repairs]]*BOQs!$L$8</f>
        <v>0</v>
      </c>
      <c r="AF619" s="76"/>
      <c r="AG619" s="37"/>
      <c r="AH619" s="86">
        <f>tbl_Actual_costs_quantities34[[#This Row],[Doors Replacement Repair]]*BOQs!$L$9</f>
        <v>0</v>
      </c>
      <c r="AI619" s="76"/>
      <c r="AJ619" s="37"/>
      <c r="AK619" s="86">
        <f>tbl_Actual_costs_quantities34[[#This Row],[Windows Replacement Repair]]*BOQs!$L$10</f>
        <v>0</v>
      </c>
      <c r="AL619" s="76"/>
      <c r="AM619" s="37"/>
      <c r="AN619" s="86">
        <f>tbl_Actual_costs_quantities34[[#This Row],[Bathroom Rehabilitation]]*BOQs!$L$11</f>
        <v>0</v>
      </c>
      <c r="AO619" s="76"/>
      <c r="AP619" s="37"/>
      <c r="AQ619" s="86">
        <f>tbl_Actual_costs_quantities34[[#This Row],[Ceramic Tile Works WASH]]*BOQs!$L$12</f>
        <v>0</v>
      </c>
      <c r="AR619" s="76"/>
      <c r="AS619" s="37"/>
      <c r="AT619" s="86">
        <f>tbl_Actual_costs_quantities34[[#This Row],[Electrical Repairs Lighting]]*BOQs!$L$13</f>
        <v>0</v>
      </c>
      <c r="AU619" s="76"/>
      <c r="AV619" s="37"/>
      <c r="AW619" s="86">
        <f>tbl_Actual_costs_quantities34[[#This Row],[Roof Insulation Leak Sealing]]*BOQs!$L$14</f>
        <v>0</v>
      </c>
      <c r="AX619" s="76"/>
      <c r="AY619" s="37"/>
      <c r="AZ619" s="86">
        <f>tbl_Actual_costs_quantities34[[#This Row],[Chimney Duct Cleaning Repair]]*BOQs!$L$15</f>
        <v>0</v>
      </c>
      <c r="BA619" s="76"/>
      <c r="BB619" s="37"/>
      <c r="BC619" s="89">
        <f>tbl_Actual_costs_quantities34[[#This Row],[Accessibility Adaptations]]*BOQs!$L$16</f>
        <v>0</v>
      </c>
      <c r="BD619" s="41"/>
      <c r="BE619" s="37"/>
      <c r="BF619" s="37"/>
    </row>
    <row r="620" spans="2:58" ht="25.15" customHeight="1" x14ac:dyDescent="0.25">
      <c r="B620" s="49">
        <v>616</v>
      </c>
      <c r="C620" s="37"/>
      <c r="D620" s="41"/>
      <c r="E620" s="40"/>
      <c r="F620" s="87" t="str">
        <f>IF(tbl_Actual_costs_quantities34[[#This Row],[House Code]]&lt;&gt;"",INDEX(tbl_Assessment[],MATCH(tbl_Actual_costs_quantities34[[#This Row],[House Code]],tbl_Assessment[House Code],0),3),"")</f>
        <v/>
      </c>
      <c r="G620" s="116" t="str">
        <f>IF(tbl_Actual_costs_quantities34[[#This Row],[House Code]]&lt;&gt;"",INDEX(tbl_Assessment[],MATCH(tbl_Actual_costs_quantities34[[#This Row],[House Code]],tbl_Assessment[House Code],0),9),"")</f>
        <v/>
      </c>
      <c r="H620" s="41"/>
      <c r="I620" s="41"/>
      <c r="J620" s="41"/>
      <c r="K620" s="116"/>
      <c r="L620" s="117" t="str">
        <f>IF(tbl_Actual_costs_quantities34[[#This Row],[House Code]]&lt;&gt;"",tbl_Actual_costs_quantities34[[#This Row],[Total cost]]/INDEX(tbl_estimated_costs_quantities[],MATCH(tbl_Actual_costs_quantities34[[#This Row],[House Code]],tbl_estimated_costs_quantities[House Code],0),7),"")</f>
        <v/>
      </c>
      <c r="M62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0" s="75"/>
      <c r="O620" s="37"/>
      <c r="P620" s="86">
        <f>tbl_Actual_costs_quantities34[[#This Row],[Site Preparation]]*BOQs!$L$3</f>
        <v>0</v>
      </c>
      <c r="Q620" s="76"/>
      <c r="R620" s="37"/>
      <c r="S620" s="86">
        <f>tbl_Actual_costs_quantities34[[#This Row],[Demolition Removal Unsafe Structures]]*BOQs!$L$4</f>
        <v>0</v>
      </c>
      <c r="T620" s="76"/>
      <c r="U620" s="37"/>
      <c r="V620" s="86">
        <f>tbl_Actual_costs_quantities34[[#This Row],[Concrete Works]]*BOQs!$L$5</f>
        <v>0</v>
      </c>
      <c r="W620" s="76"/>
      <c r="X620" s="37"/>
      <c r="Y620" s="86">
        <f>tbl_Actual_costs_quantities34[[#This Row],[Closure External Openings Walls Windows]]*BOQs!$L$6</f>
        <v>0</v>
      </c>
      <c r="Z620" s="76"/>
      <c r="AA620" s="37"/>
      <c r="AB620" s="86">
        <f>tbl_Actual_costs_quantities34[[#This Row],[Plastering Painting]]*BOQs!$L$7</f>
        <v>0</v>
      </c>
      <c r="AC620" s="76"/>
      <c r="AD620" s="37"/>
      <c r="AE620" s="86">
        <f>tbl_Actual_costs_quantities34[[#This Row],[Floor Repairs]]*BOQs!$L$8</f>
        <v>0</v>
      </c>
      <c r="AF620" s="76"/>
      <c r="AG620" s="37"/>
      <c r="AH620" s="86">
        <f>tbl_Actual_costs_quantities34[[#This Row],[Doors Replacement Repair]]*BOQs!$L$9</f>
        <v>0</v>
      </c>
      <c r="AI620" s="76"/>
      <c r="AJ620" s="37"/>
      <c r="AK620" s="86">
        <f>tbl_Actual_costs_quantities34[[#This Row],[Windows Replacement Repair]]*BOQs!$L$10</f>
        <v>0</v>
      </c>
      <c r="AL620" s="76"/>
      <c r="AM620" s="37"/>
      <c r="AN620" s="86">
        <f>tbl_Actual_costs_quantities34[[#This Row],[Bathroom Rehabilitation]]*BOQs!$L$11</f>
        <v>0</v>
      </c>
      <c r="AO620" s="76"/>
      <c r="AP620" s="37"/>
      <c r="AQ620" s="86">
        <f>tbl_Actual_costs_quantities34[[#This Row],[Ceramic Tile Works WASH]]*BOQs!$L$12</f>
        <v>0</v>
      </c>
      <c r="AR620" s="76"/>
      <c r="AS620" s="37"/>
      <c r="AT620" s="86">
        <f>tbl_Actual_costs_quantities34[[#This Row],[Electrical Repairs Lighting]]*BOQs!$L$13</f>
        <v>0</v>
      </c>
      <c r="AU620" s="76"/>
      <c r="AV620" s="37"/>
      <c r="AW620" s="86">
        <f>tbl_Actual_costs_quantities34[[#This Row],[Roof Insulation Leak Sealing]]*BOQs!$L$14</f>
        <v>0</v>
      </c>
      <c r="AX620" s="76"/>
      <c r="AY620" s="37"/>
      <c r="AZ620" s="86">
        <f>tbl_Actual_costs_quantities34[[#This Row],[Chimney Duct Cleaning Repair]]*BOQs!$L$15</f>
        <v>0</v>
      </c>
      <c r="BA620" s="76"/>
      <c r="BB620" s="37"/>
      <c r="BC620" s="89">
        <f>tbl_Actual_costs_quantities34[[#This Row],[Accessibility Adaptations]]*BOQs!$L$16</f>
        <v>0</v>
      </c>
      <c r="BD620" s="41"/>
      <c r="BE620" s="37"/>
      <c r="BF620" s="37"/>
    </row>
    <row r="621" spans="2:58" ht="25.15" customHeight="1" x14ac:dyDescent="0.25">
      <c r="B621" s="49">
        <v>617</v>
      </c>
      <c r="C621" s="37"/>
      <c r="D621" s="41"/>
      <c r="E621" s="40"/>
      <c r="F621" s="87" t="str">
        <f>IF(tbl_Actual_costs_quantities34[[#This Row],[House Code]]&lt;&gt;"",INDEX(tbl_Assessment[],MATCH(tbl_Actual_costs_quantities34[[#This Row],[House Code]],tbl_Assessment[House Code],0),3),"")</f>
        <v/>
      </c>
      <c r="G621" s="116" t="str">
        <f>IF(tbl_Actual_costs_quantities34[[#This Row],[House Code]]&lt;&gt;"",INDEX(tbl_Assessment[],MATCH(tbl_Actual_costs_quantities34[[#This Row],[House Code]],tbl_Assessment[House Code],0),9),"")</f>
        <v/>
      </c>
      <c r="H621" s="41"/>
      <c r="I621" s="41"/>
      <c r="J621" s="41"/>
      <c r="K621" s="116"/>
      <c r="L621" s="117" t="str">
        <f>IF(tbl_Actual_costs_quantities34[[#This Row],[House Code]]&lt;&gt;"",tbl_Actual_costs_quantities34[[#This Row],[Total cost]]/INDEX(tbl_estimated_costs_quantities[],MATCH(tbl_Actual_costs_quantities34[[#This Row],[House Code]],tbl_estimated_costs_quantities[House Code],0),7),"")</f>
        <v/>
      </c>
      <c r="M62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1" s="75"/>
      <c r="O621" s="37"/>
      <c r="P621" s="86">
        <f>tbl_Actual_costs_quantities34[[#This Row],[Site Preparation]]*BOQs!$L$3</f>
        <v>0</v>
      </c>
      <c r="Q621" s="76"/>
      <c r="R621" s="37"/>
      <c r="S621" s="86">
        <f>tbl_Actual_costs_quantities34[[#This Row],[Demolition Removal Unsafe Structures]]*BOQs!$L$4</f>
        <v>0</v>
      </c>
      <c r="T621" s="76"/>
      <c r="U621" s="37"/>
      <c r="V621" s="86">
        <f>tbl_Actual_costs_quantities34[[#This Row],[Concrete Works]]*BOQs!$L$5</f>
        <v>0</v>
      </c>
      <c r="W621" s="76"/>
      <c r="X621" s="37"/>
      <c r="Y621" s="86">
        <f>tbl_Actual_costs_quantities34[[#This Row],[Closure External Openings Walls Windows]]*BOQs!$L$6</f>
        <v>0</v>
      </c>
      <c r="Z621" s="76"/>
      <c r="AA621" s="37"/>
      <c r="AB621" s="86">
        <f>tbl_Actual_costs_quantities34[[#This Row],[Plastering Painting]]*BOQs!$L$7</f>
        <v>0</v>
      </c>
      <c r="AC621" s="76"/>
      <c r="AD621" s="37"/>
      <c r="AE621" s="86">
        <f>tbl_Actual_costs_quantities34[[#This Row],[Floor Repairs]]*BOQs!$L$8</f>
        <v>0</v>
      </c>
      <c r="AF621" s="76"/>
      <c r="AG621" s="37"/>
      <c r="AH621" s="86">
        <f>tbl_Actual_costs_quantities34[[#This Row],[Doors Replacement Repair]]*BOQs!$L$9</f>
        <v>0</v>
      </c>
      <c r="AI621" s="76"/>
      <c r="AJ621" s="37"/>
      <c r="AK621" s="86">
        <f>tbl_Actual_costs_quantities34[[#This Row],[Windows Replacement Repair]]*BOQs!$L$10</f>
        <v>0</v>
      </c>
      <c r="AL621" s="76"/>
      <c r="AM621" s="37"/>
      <c r="AN621" s="86">
        <f>tbl_Actual_costs_quantities34[[#This Row],[Bathroom Rehabilitation]]*BOQs!$L$11</f>
        <v>0</v>
      </c>
      <c r="AO621" s="76"/>
      <c r="AP621" s="37"/>
      <c r="AQ621" s="86">
        <f>tbl_Actual_costs_quantities34[[#This Row],[Ceramic Tile Works WASH]]*BOQs!$L$12</f>
        <v>0</v>
      </c>
      <c r="AR621" s="76"/>
      <c r="AS621" s="37"/>
      <c r="AT621" s="86">
        <f>tbl_Actual_costs_quantities34[[#This Row],[Electrical Repairs Lighting]]*BOQs!$L$13</f>
        <v>0</v>
      </c>
      <c r="AU621" s="76"/>
      <c r="AV621" s="37"/>
      <c r="AW621" s="86">
        <f>tbl_Actual_costs_quantities34[[#This Row],[Roof Insulation Leak Sealing]]*BOQs!$L$14</f>
        <v>0</v>
      </c>
      <c r="AX621" s="76"/>
      <c r="AY621" s="37"/>
      <c r="AZ621" s="86">
        <f>tbl_Actual_costs_quantities34[[#This Row],[Chimney Duct Cleaning Repair]]*BOQs!$L$15</f>
        <v>0</v>
      </c>
      <c r="BA621" s="76"/>
      <c r="BB621" s="37"/>
      <c r="BC621" s="89">
        <f>tbl_Actual_costs_quantities34[[#This Row],[Accessibility Adaptations]]*BOQs!$L$16</f>
        <v>0</v>
      </c>
      <c r="BD621" s="41"/>
      <c r="BE621" s="37"/>
      <c r="BF621" s="37"/>
    </row>
    <row r="622" spans="2:58" ht="25.15" customHeight="1" x14ac:dyDescent="0.25">
      <c r="B622" s="49">
        <v>618</v>
      </c>
      <c r="C622" s="37"/>
      <c r="D622" s="41"/>
      <c r="E622" s="40"/>
      <c r="F622" s="87" t="str">
        <f>IF(tbl_Actual_costs_quantities34[[#This Row],[House Code]]&lt;&gt;"",INDEX(tbl_Assessment[],MATCH(tbl_Actual_costs_quantities34[[#This Row],[House Code]],tbl_Assessment[House Code],0),3),"")</f>
        <v/>
      </c>
      <c r="G622" s="116" t="str">
        <f>IF(tbl_Actual_costs_quantities34[[#This Row],[House Code]]&lt;&gt;"",INDEX(tbl_Assessment[],MATCH(tbl_Actual_costs_quantities34[[#This Row],[House Code]],tbl_Assessment[House Code],0),9),"")</f>
        <v/>
      </c>
      <c r="H622" s="41"/>
      <c r="I622" s="41"/>
      <c r="J622" s="41"/>
      <c r="K622" s="116"/>
      <c r="L622" s="117" t="str">
        <f>IF(tbl_Actual_costs_quantities34[[#This Row],[House Code]]&lt;&gt;"",tbl_Actual_costs_quantities34[[#This Row],[Total cost]]/INDEX(tbl_estimated_costs_quantities[],MATCH(tbl_Actual_costs_quantities34[[#This Row],[House Code]],tbl_estimated_costs_quantities[House Code],0),7),"")</f>
        <v/>
      </c>
      <c r="M62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2" s="75"/>
      <c r="O622" s="37"/>
      <c r="P622" s="86">
        <f>tbl_Actual_costs_quantities34[[#This Row],[Site Preparation]]*BOQs!$L$3</f>
        <v>0</v>
      </c>
      <c r="Q622" s="76"/>
      <c r="R622" s="37"/>
      <c r="S622" s="86">
        <f>tbl_Actual_costs_quantities34[[#This Row],[Demolition Removal Unsafe Structures]]*BOQs!$L$4</f>
        <v>0</v>
      </c>
      <c r="T622" s="76"/>
      <c r="U622" s="37"/>
      <c r="V622" s="86">
        <f>tbl_Actual_costs_quantities34[[#This Row],[Concrete Works]]*BOQs!$L$5</f>
        <v>0</v>
      </c>
      <c r="W622" s="76"/>
      <c r="X622" s="37"/>
      <c r="Y622" s="86">
        <f>tbl_Actual_costs_quantities34[[#This Row],[Closure External Openings Walls Windows]]*BOQs!$L$6</f>
        <v>0</v>
      </c>
      <c r="Z622" s="76"/>
      <c r="AA622" s="37"/>
      <c r="AB622" s="86">
        <f>tbl_Actual_costs_quantities34[[#This Row],[Plastering Painting]]*BOQs!$L$7</f>
        <v>0</v>
      </c>
      <c r="AC622" s="76"/>
      <c r="AD622" s="37"/>
      <c r="AE622" s="86">
        <f>tbl_Actual_costs_quantities34[[#This Row],[Floor Repairs]]*BOQs!$L$8</f>
        <v>0</v>
      </c>
      <c r="AF622" s="76"/>
      <c r="AG622" s="37"/>
      <c r="AH622" s="86">
        <f>tbl_Actual_costs_quantities34[[#This Row],[Doors Replacement Repair]]*BOQs!$L$9</f>
        <v>0</v>
      </c>
      <c r="AI622" s="76"/>
      <c r="AJ622" s="37"/>
      <c r="AK622" s="86">
        <f>tbl_Actual_costs_quantities34[[#This Row],[Windows Replacement Repair]]*BOQs!$L$10</f>
        <v>0</v>
      </c>
      <c r="AL622" s="76"/>
      <c r="AM622" s="37"/>
      <c r="AN622" s="86">
        <f>tbl_Actual_costs_quantities34[[#This Row],[Bathroom Rehabilitation]]*BOQs!$L$11</f>
        <v>0</v>
      </c>
      <c r="AO622" s="76"/>
      <c r="AP622" s="37"/>
      <c r="AQ622" s="86">
        <f>tbl_Actual_costs_quantities34[[#This Row],[Ceramic Tile Works WASH]]*BOQs!$L$12</f>
        <v>0</v>
      </c>
      <c r="AR622" s="76"/>
      <c r="AS622" s="37"/>
      <c r="AT622" s="86">
        <f>tbl_Actual_costs_quantities34[[#This Row],[Electrical Repairs Lighting]]*BOQs!$L$13</f>
        <v>0</v>
      </c>
      <c r="AU622" s="76"/>
      <c r="AV622" s="37"/>
      <c r="AW622" s="86">
        <f>tbl_Actual_costs_quantities34[[#This Row],[Roof Insulation Leak Sealing]]*BOQs!$L$14</f>
        <v>0</v>
      </c>
      <c r="AX622" s="76"/>
      <c r="AY622" s="37"/>
      <c r="AZ622" s="86">
        <f>tbl_Actual_costs_quantities34[[#This Row],[Chimney Duct Cleaning Repair]]*BOQs!$L$15</f>
        <v>0</v>
      </c>
      <c r="BA622" s="76"/>
      <c r="BB622" s="37"/>
      <c r="BC622" s="89">
        <f>tbl_Actual_costs_quantities34[[#This Row],[Accessibility Adaptations]]*BOQs!$L$16</f>
        <v>0</v>
      </c>
      <c r="BD622" s="41"/>
      <c r="BE622" s="37"/>
      <c r="BF622" s="37"/>
    </row>
    <row r="623" spans="2:58" ht="25.15" customHeight="1" x14ac:dyDescent="0.25">
      <c r="B623" s="49">
        <v>619</v>
      </c>
      <c r="C623" s="37"/>
      <c r="D623" s="41"/>
      <c r="E623" s="40"/>
      <c r="F623" s="87" t="str">
        <f>IF(tbl_Actual_costs_quantities34[[#This Row],[House Code]]&lt;&gt;"",INDEX(tbl_Assessment[],MATCH(tbl_Actual_costs_quantities34[[#This Row],[House Code]],tbl_Assessment[House Code],0),3),"")</f>
        <v/>
      </c>
      <c r="G623" s="116" t="str">
        <f>IF(tbl_Actual_costs_quantities34[[#This Row],[House Code]]&lt;&gt;"",INDEX(tbl_Assessment[],MATCH(tbl_Actual_costs_quantities34[[#This Row],[House Code]],tbl_Assessment[House Code],0),9),"")</f>
        <v/>
      </c>
      <c r="H623" s="41"/>
      <c r="I623" s="41"/>
      <c r="J623" s="41"/>
      <c r="K623" s="116"/>
      <c r="L623" s="117" t="str">
        <f>IF(tbl_Actual_costs_quantities34[[#This Row],[House Code]]&lt;&gt;"",tbl_Actual_costs_quantities34[[#This Row],[Total cost]]/INDEX(tbl_estimated_costs_quantities[],MATCH(tbl_Actual_costs_quantities34[[#This Row],[House Code]],tbl_estimated_costs_quantities[House Code],0),7),"")</f>
        <v/>
      </c>
      <c r="M62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3" s="75"/>
      <c r="O623" s="37"/>
      <c r="P623" s="86">
        <f>tbl_Actual_costs_quantities34[[#This Row],[Site Preparation]]*BOQs!$L$3</f>
        <v>0</v>
      </c>
      <c r="Q623" s="76"/>
      <c r="R623" s="37"/>
      <c r="S623" s="86">
        <f>tbl_Actual_costs_quantities34[[#This Row],[Demolition Removal Unsafe Structures]]*BOQs!$L$4</f>
        <v>0</v>
      </c>
      <c r="T623" s="76"/>
      <c r="U623" s="37"/>
      <c r="V623" s="86">
        <f>tbl_Actual_costs_quantities34[[#This Row],[Concrete Works]]*BOQs!$L$5</f>
        <v>0</v>
      </c>
      <c r="W623" s="76"/>
      <c r="X623" s="37"/>
      <c r="Y623" s="86">
        <f>tbl_Actual_costs_quantities34[[#This Row],[Closure External Openings Walls Windows]]*BOQs!$L$6</f>
        <v>0</v>
      </c>
      <c r="Z623" s="76"/>
      <c r="AA623" s="37"/>
      <c r="AB623" s="86">
        <f>tbl_Actual_costs_quantities34[[#This Row],[Plastering Painting]]*BOQs!$L$7</f>
        <v>0</v>
      </c>
      <c r="AC623" s="76"/>
      <c r="AD623" s="37"/>
      <c r="AE623" s="86">
        <f>tbl_Actual_costs_quantities34[[#This Row],[Floor Repairs]]*BOQs!$L$8</f>
        <v>0</v>
      </c>
      <c r="AF623" s="76"/>
      <c r="AG623" s="37"/>
      <c r="AH623" s="86">
        <f>tbl_Actual_costs_quantities34[[#This Row],[Doors Replacement Repair]]*BOQs!$L$9</f>
        <v>0</v>
      </c>
      <c r="AI623" s="76"/>
      <c r="AJ623" s="37"/>
      <c r="AK623" s="86">
        <f>tbl_Actual_costs_quantities34[[#This Row],[Windows Replacement Repair]]*BOQs!$L$10</f>
        <v>0</v>
      </c>
      <c r="AL623" s="76"/>
      <c r="AM623" s="37"/>
      <c r="AN623" s="86">
        <f>tbl_Actual_costs_quantities34[[#This Row],[Bathroom Rehabilitation]]*BOQs!$L$11</f>
        <v>0</v>
      </c>
      <c r="AO623" s="76"/>
      <c r="AP623" s="37"/>
      <c r="AQ623" s="86">
        <f>tbl_Actual_costs_quantities34[[#This Row],[Ceramic Tile Works WASH]]*BOQs!$L$12</f>
        <v>0</v>
      </c>
      <c r="AR623" s="76"/>
      <c r="AS623" s="37"/>
      <c r="AT623" s="86">
        <f>tbl_Actual_costs_quantities34[[#This Row],[Electrical Repairs Lighting]]*BOQs!$L$13</f>
        <v>0</v>
      </c>
      <c r="AU623" s="76"/>
      <c r="AV623" s="37"/>
      <c r="AW623" s="86">
        <f>tbl_Actual_costs_quantities34[[#This Row],[Roof Insulation Leak Sealing]]*BOQs!$L$14</f>
        <v>0</v>
      </c>
      <c r="AX623" s="76"/>
      <c r="AY623" s="37"/>
      <c r="AZ623" s="86">
        <f>tbl_Actual_costs_quantities34[[#This Row],[Chimney Duct Cleaning Repair]]*BOQs!$L$15</f>
        <v>0</v>
      </c>
      <c r="BA623" s="76"/>
      <c r="BB623" s="37"/>
      <c r="BC623" s="89">
        <f>tbl_Actual_costs_quantities34[[#This Row],[Accessibility Adaptations]]*BOQs!$L$16</f>
        <v>0</v>
      </c>
      <c r="BD623" s="41"/>
      <c r="BE623" s="37"/>
      <c r="BF623" s="37"/>
    </row>
    <row r="624" spans="2:58" ht="25.15" customHeight="1" x14ac:dyDescent="0.25">
      <c r="B624" s="49">
        <v>620</v>
      </c>
      <c r="C624" s="37"/>
      <c r="D624" s="41"/>
      <c r="E624" s="40"/>
      <c r="F624" s="87" t="str">
        <f>IF(tbl_Actual_costs_quantities34[[#This Row],[House Code]]&lt;&gt;"",INDEX(tbl_Assessment[],MATCH(tbl_Actual_costs_quantities34[[#This Row],[House Code]],tbl_Assessment[House Code],0),3),"")</f>
        <v/>
      </c>
      <c r="G624" s="116" t="str">
        <f>IF(tbl_Actual_costs_quantities34[[#This Row],[House Code]]&lt;&gt;"",INDEX(tbl_Assessment[],MATCH(tbl_Actual_costs_quantities34[[#This Row],[House Code]],tbl_Assessment[House Code],0),9),"")</f>
        <v/>
      </c>
      <c r="H624" s="41"/>
      <c r="I624" s="41"/>
      <c r="J624" s="41"/>
      <c r="K624" s="116"/>
      <c r="L624" s="117" t="str">
        <f>IF(tbl_Actual_costs_quantities34[[#This Row],[House Code]]&lt;&gt;"",tbl_Actual_costs_quantities34[[#This Row],[Total cost]]/INDEX(tbl_estimated_costs_quantities[],MATCH(tbl_Actual_costs_quantities34[[#This Row],[House Code]],tbl_estimated_costs_quantities[House Code],0),7),"")</f>
        <v/>
      </c>
      <c r="M62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4" s="75"/>
      <c r="O624" s="37"/>
      <c r="P624" s="86">
        <f>tbl_Actual_costs_quantities34[[#This Row],[Site Preparation]]*BOQs!$L$3</f>
        <v>0</v>
      </c>
      <c r="Q624" s="76"/>
      <c r="R624" s="37"/>
      <c r="S624" s="86">
        <f>tbl_Actual_costs_quantities34[[#This Row],[Demolition Removal Unsafe Structures]]*BOQs!$L$4</f>
        <v>0</v>
      </c>
      <c r="T624" s="76"/>
      <c r="U624" s="37"/>
      <c r="V624" s="86">
        <f>tbl_Actual_costs_quantities34[[#This Row],[Concrete Works]]*BOQs!$L$5</f>
        <v>0</v>
      </c>
      <c r="W624" s="76"/>
      <c r="X624" s="37"/>
      <c r="Y624" s="86">
        <f>tbl_Actual_costs_quantities34[[#This Row],[Closure External Openings Walls Windows]]*BOQs!$L$6</f>
        <v>0</v>
      </c>
      <c r="Z624" s="76"/>
      <c r="AA624" s="37"/>
      <c r="AB624" s="86">
        <f>tbl_Actual_costs_quantities34[[#This Row],[Plastering Painting]]*BOQs!$L$7</f>
        <v>0</v>
      </c>
      <c r="AC624" s="76"/>
      <c r="AD624" s="37"/>
      <c r="AE624" s="86">
        <f>tbl_Actual_costs_quantities34[[#This Row],[Floor Repairs]]*BOQs!$L$8</f>
        <v>0</v>
      </c>
      <c r="AF624" s="76"/>
      <c r="AG624" s="37"/>
      <c r="AH624" s="86">
        <f>tbl_Actual_costs_quantities34[[#This Row],[Doors Replacement Repair]]*BOQs!$L$9</f>
        <v>0</v>
      </c>
      <c r="AI624" s="76"/>
      <c r="AJ624" s="37"/>
      <c r="AK624" s="86">
        <f>tbl_Actual_costs_quantities34[[#This Row],[Windows Replacement Repair]]*BOQs!$L$10</f>
        <v>0</v>
      </c>
      <c r="AL624" s="76"/>
      <c r="AM624" s="37"/>
      <c r="AN624" s="86">
        <f>tbl_Actual_costs_quantities34[[#This Row],[Bathroom Rehabilitation]]*BOQs!$L$11</f>
        <v>0</v>
      </c>
      <c r="AO624" s="76"/>
      <c r="AP624" s="37"/>
      <c r="AQ624" s="86">
        <f>tbl_Actual_costs_quantities34[[#This Row],[Ceramic Tile Works WASH]]*BOQs!$L$12</f>
        <v>0</v>
      </c>
      <c r="AR624" s="76"/>
      <c r="AS624" s="37"/>
      <c r="AT624" s="86">
        <f>tbl_Actual_costs_quantities34[[#This Row],[Electrical Repairs Lighting]]*BOQs!$L$13</f>
        <v>0</v>
      </c>
      <c r="AU624" s="76"/>
      <c r="AV624" s="37"/>
      <c r="AW624" s="86">
        <f>tbl_Actual_costs_quantities34[[#This Row],[Roof Insulation Leak Sealing]]*BOQs!$L$14</f>
        <v>0</v>
      </c>
      <c r="AX624" s="76"/>
      <c r="AY624" s="37"/>
      <c r="AZ624" s="86">
        <f>tbl_Actual_costs_quantities34[[#This Row],[Chimney Duct Cleaning Repair]]*BOQs!$L$15</f>
        <v>0</v>
      </c>
      <c r="BA624" s="76"/>
      <c r="BB624" s="37"/>
      <c r="BC624" s="89">
        <f>tbl_Actual_costs_quantities34[[#This Row],[Accessibility Adaptations]]*BOQs!$L$16</f>
        <v>0</v>
      </c>
      <c r="BD624" s="41"/>
      <c r="BE624" s="37"/>
      <c r="BF624" s="37"/>
    </row>
    <row r="625" spans="2:58" ht="25.15" customHeight="1" x14ac:dyDescent="0.25">
      <c r="B625" s="49">
        <v>621</v>
      </c>
      <c r="C625" s="37"/>
      <c r="D625" s="41"/>
      <c r="E625" s="40"/>
      <c r="F625" s="87" t="str">
        <f>IF(tbl_Actual_costs_quantities34[[#This Row],[House Code]]&lt;&gt;"",INDEX(tbl_Assessment[],MATCH(tbl_Actual_costs_quantities34[[#This Row],[House Code]],tbl_Assessment[House Code],0),3),"")</f>
        <v/>
      </c>
      <c r="G625" s="116" t="str">
        <f>IF(tbl_Actual_costs_quantities34[[#This Row],[House Code]]&lt;&gt;"",INDEX(tbl_Assessment[],MATCH(tbl_Actual_costs_quantities34[[#This Row],[House Code]],tbl_Assessment[House Code],0),9),"")</f>
        <v/>
      </c>
      <c r="H625" s="41"/>
      <c r="I625" s="41"/>
      <c r="J625" s="41"/>
      <c r="K625" s="116"/>
      <c r="L625" s="117" t="str">
        <f>IF(tbl_Actual_costs_quantities34[[#This Row],[House Code]]&lt;&gt;"",tbl_Actual_costs_quantities34[[#This Row],[Total cost]]/INDEX(tbl_estimated_costs_quantities[],MATCH(tbl_Actual_costs_quantities34[[#This Row],[House Code]],tbl_estimated_costs_quantities[House Code],0),7),"")</f>
        <v/>
      </c>
      <c r="M62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5" s="75"/>
      <c r="O625" s="37"/>
      <c r="P625" s="86">
        <f>tbl_Actual_costs_quantities34[[#This Row],[Site Preparation]]*BOQs!$L$3</f>
        <v>0</v>
      </c>
      <c r="Q625" s="76"/>
      <c r="R625" s="37"/>
      <c r="S625" s="86">
        <f>tbl_Actual_costs_quantities34[[#This Row],[Demolition Removal Unsafe Structures]]*BOQs!$L$4</f>
        <v>0</v>
      </c>
      <c r="T625" s="76"/>
      <c r="U625" s="37"/>
      <c r="V625" s="86">
        <f>tbl_Actual_costs_quantities34[[#This Row],[Concrete Works]]*BOQs!$L$5</f>
        <v>0</v>
      </c>
      <c r="W625" s="76"/>
      <c r="X625" s="37"/>
      <c r="Y625" s="86">
        <f>tbl_Actual_costs_quantities34[[#This Row],[Closure External Openings Walls Windows]]*BOQs!$L$6</f>
        <v>0</v>
      </c>
      <c r="Z625" s="76"/>
      <c r="AA625" s="37"/>
      <c r="AB625" s="86">
        <f>tbl_Actual_costs_quantities34[[#This Row],[Plastering Painting]]*BOQs!$L$7</f>
        <v>0</v>
      </c>
      <c r="AC625" s="76"/>
      <c r="AD625" s="37"/>
      <c r="AE625" s="86">
        <f>tbl_Actual_costs_quantities34[[#This Row],[Floor Repairs]]*BOQs!$L$8</f>
        <v>0</v>
      </c>
      <c r="AF625" s="76"/>
      <c r="AG625" s="37"/>
      <c r="AH625" s="86">
        <f>tbl_Actual_costs_quantities34[[#This Row],[Doors Replacement Repair]]*BOQs!$L$9</f>
        <v>0</v>
      </c>
      <c r="AI625" s="76"/>
      <c r="AJ625" s="37"/>
      <c r="AK625" s="86">
        <f>tbl_Actual_costs_quantities34[[#This Row],[Windows Replacement Repair]]*BOQs!$L$10</f>
        <v>0</v>
      </c>
      <c r="AL625" s="76"/>
      <c r="AM625" s="37"/>
      <c r="AN625" s="86">
        <f>tbl_Actual_costs_quantities34[[#This Row],[Bathroom Rehabilitation]]*BOQs!$L$11</f>
        <v>0</v>
      </c>
      <c r="AO625" s="76"/>
      <c r="AP625" s="37"/>
      <c r="AQ625" s="86">
        <f>tbl_Actual_costs_quantities34[[#This Row],[Ceramic Tile Works WASH]]*BOQs!$L$12</f>
        <v>0</v>
      </c>
      <c r="AR625" s="76"/>
      <c r="AS625" s="37"/>
      <c r="AT625" s="86">
        <f>tbl_Actual_costs_quantities34[[#This Row],[Electrical Repairs Lighting]]*BOQs!$L$13</f>
        <v>0</v>
      </c>
      <c r="AU625" s="76"/>
      <c r="AV625" s="37"/>
      <c r="AW625" s="86">
        <f>tbl_Actual_costs_quantities34[[#This Row],[Roof Insulation Leak Sealing]]*BOQs!$L$14</f>
        <v>0</v>
      </c>
      <c r="AX625" s="76"/>
      <c r="AY625" s="37"/>
      <c r="AZ625" s="86">
        <f>tbl_Actual_costs_quantities34[[#This Row],[Chimney Duct Cleaning Repair]]*BOQs!$L$15</f>
        <v>0</v>
      </c>
      <c r="BA625" s="76"/>
      <c r="BB625" s="37"/>
      <c r="BC625" s="89">
        <f>tbl_Actual_costs_quantities34[[#This Row],[Accessibility Adaptations]]*BOQs!$L$16</f>
        <v>0</v>
      </c>
      <c r="BD625" s="41"/>
      <c r="BE625" s="37"/>
      <c r="BF625" s="37"/>
    </row>
    <row r="626" spans="2:58" ht="25.15" customHeight="1" x14ac:dyDescent="0.25">
      <c r="B626" s="49">
        <v>622</v>
      </c>
      <c r="C626" s="37"/>
      <c r="D626" s="41"/>
      <c r="E626" s="40"/>
      <c r="F626" s="87" t="str">
        <f>IF(tbl_Actual_costs_quantities34[[#This Row],[House Code]]&lt;&gt;"",INDEX(tbl_Assessment[],MATCH(tbl_Actual_costs_quantities34[[#This Row],[House Code]],tbl_Assessment[House Code],0),3),"")</f>
        <v/>
      </c>
      <c r="G626" s="116" t="str">
        <f>IF(tbl_Actual_costs_quantities34[[#This Row],[House Code]]&lt;&gt;"",INDEX(tbl_Assessment[],MATCH(tbl_Actual_costs_quantities34[[#This Row],[House Code]],tbl_Assessment[House Code],0),9),"")</f>
        <v/>
      </c>
      <c r="H626" s="41"/>
      <c r="I626" s="41"/>
      <c r="J626" s="41"/>
      <c r="K626" s="116"/>
      <c r="L626" s="117" t="str">
        <f>IF(tbl_Actual_costs_quantities34[[#This Row],[House Code]]&lt;&gt;"",tbl_Actual_costs_quantities34[[#This Row],[Total cost]]/INDEX(tbl_estimated_costs_quantities[],MATCH(tbl_Actual_costs_quantities34[[#This Row],[House Code]],tbl_estimated_costs_quantities[House Code],0),7),"")</f>
        <v/>
      </c>
      <c r="M62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6" s="75"/>
      <c r="O626" s="37"/>
      <c r="P626" s="86">
        <f>tbl_Actual_costs_quantities34[[#This Row],[Site Preparation]]*BOQs!$L$3</f>
        <v>0</v>
      </c>
      <c r="Q626" s="76"/>
      <c r="R626" s="37"/>
      <c r="S626" s="86">
        <f>tbl_Actual_costs_quantities34[[#This Row],[Demolition Removal Unsafe Structures]]*BOQs!$L$4</f>
        <v>0</v>
      </c>
      <c r="T626" s="76"/>
      <c r="U626" s="37"/>
      <c r="V626" s="86">
        <f>tbl_Actual_costs_quantities34[[#This Row],[Concrete Works]]*BOQs!$L$5</f>
        <v>0</v>
      </c>
      <c r="W626" s="76"/>
      <c r="X626" s="37"/>
      <c r="Y626" s="86">
        <f>tbl_Actual_costs_quantities34[[#This Row],[Closure External Openings Walls Windows]]*BOQs!$L$6</f>
        <v>0</v>
      </c>
      <c r="Z626" s="76"/>
      <c r="AA626" s="37"/>
      <c r="AB626" s="86">
        <f>tbl_Actual_costs_quantities34[[#This Row],[Plastering Painting]]*BOQs!$L$7</f>
        <v>0</v>
      </c>
      <c r="AC626" s="76"/>
      <c r="AD626" s="37"/>
      <c r="AE626" s="86">
        <f>tbl_Actual_costs_quantities34[[#This Row],[Floor Repairs]]*BOQs!$L$8</f>
        <v>0</v>
      </c>
      <c r="AF626" s="76"/>
      <c r="AG626" s="37"/>
      <c r="AH626" s="86">
        <f>tbl_Actual_costs_quantities34[[#This Row],[Doors Replacement Repair]]*BOQs!$L$9</f>
        <v>0</v>
      </c>
      <c r="AI626" s="76"/>
      <c r="AJ626" s="37"/>
      <c r="AK626" s="86">
        <f>tbl_Actual_costs_quantities34[[#This Row],[Windows Replacement Repair]]*BOQs!$L$10</f>
        <v>0</v>
      </c>
      <c r="AL626" s="76"/>
      <c r="AM626" s="37"/>
      <c r="AN626" s="86">
        <f>tbl_Actual_costs_quantities34[[#This Row],[Bathroom Rehabilitation]]*BOQs!$L$11</f>
        <v>0</v>
      </c>
      <c r="AO626" s="76"/>
      <c r="AP626" s="37"/>
      <c r="AQ626" s="86">
        <f>tbl_Actual_costs_quantities34[[#This Row],[Ceramic Tile Works WASH]]*BOQs!$L$12</f>
        <v>0</v>
      </c>
      <c r="AR626" s="76"/>
      <c r="AS626" s="37"/>
      <c r="AT626" s="86">
        <f>tbl_Actual_costs_quantities34[[#This Row],[Electrical Repairs Lighting]]*BOQs!$L$13</f>
        <v>0</v>
      </c>
      <c r="AU626" s="76"/>
      <c r="AV626" s="37"/>
      <c r="AW626" s="86">
        <f>tbl_Actual_costs_quantities34[[#This Row],[Roof Insulation Leak Sealing]]*BOQs!$L$14</f>
        <v>0</v>
      </c>
      <c r="AX626" s="76"/>
      <c r="AY626" s="37"/>
      <c r="AZ626" s="86">
        <f>tbl_Actual_costs_quantities34[[#This Row],[Chimney Duct Cleaning Repair]]*BOQs!$L$15</f>
        <v>0</v>
      </c>
      <c r="BA626" s="76"/>
      <c r="BB626" s="37"/>
      <c r="BC626" s="89">
        <f>tbl_Actual_costs_quantities34[[#This Row],[Accessibility Adaptations]]*BOQs!$L$16</f>
        <v>0</v>
      </c>
      <c r="BD626" s="41"/>
      <c r="BE626" s="37"/>
      <c r="BF626" s="37"/>
    </row>
    <row r="627" spans="2:58" ht="25.15" customHeight="1" x14ac:dyDescent="0.25">
      <c r="B627" s="49">
        <v>623</v>
      </c>
      <c r="C627" s="37"/>
      <c r="D627" s="41"/>
      <c r="E627" s="40"/>
      <c r="F627" s="87" t="str">
        <f>IF(tbl_Actual_costs_quantities34[[#This Row],[House Code]]&lt;&gt;"",INDEX(tbl_Assessment[],MATCH(tbl_Actual_costs_quantities34[[#This Row],[House Code]],tbl_Assessment[House Code],0),3),"")</f>
        <v/>
      </c>
      <c r="G627" s="116" t="str">
        <f>IF(tbl_Actual_costs_quantities34[[#This Row],[House Code]]&lt;&gt;"",INDEX(tbl_Assessment[],MATCH(tbl_Actual_costs_quantities34[[#This Row],[House Code]],tbl_Assessment[House Code],0),9),"")</f>
        <v/>
      </c>
      <c r="H627" s="41"/>
      <c r="I627" s="41"/>
      <c r="J627" s="41"/>
      <c r="K627" s="116"/>
      <c r="L627" s="117" t="str">
        <f>IF(tbl_Actual_costs_quantities34[[#This Row],[House Code]]&lt;&gt;"",tbl_Actual_costs_quantities34[[#This Row],[Total cost]]/INDEX(tbl_estimated_costs_quantities[],MATCH(tbl_Actual_costs_quantities34[[#This Row],[House Code]],tbl_estimated_costs_quantities[House Code],0),7),"")</f>
        <v/>
      </c>
      <c r="M62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7" s="75"/>
      <c r="O627" s="37"/>
      <c r="P627" s="86">
        <f>tbl_Actual_costs_quantities34[[#This Row],[Site Preparation]]*BOQs!$L$3</f>
        <v>0</v>
      </c>
      <c r="Q627" s="76"/>
      <c r="R627" s="37"/>
      <c r="S627" s="86">
        <f>tbl_Actual_costs_quantities34[[#This Row],[Demolition Removal Unsafe Structures]]*BOQs!$L$4</f>
        <v>0</v>
      </c>
      <c r="T627" s="76"/>
      <c r="U627" s="37"/>
      <c r="V627" s="86">
        <f>tbl_Actual_costs_quantities34[[#This Row],[Concrete Works]]*BOQs!$L$5</f>
        <v>0</v>
      </c>
      <c r="W627" s="76"/>
      <c r="X627" s="37"/>
      <c r="Y627" s="86">
        <f>tbl_Actual_costs_quantities34[[#This Row],[Closure External Openings Walls Windows]]*BOQs!$L$6</f>
        <v>0</v>
      </c>
      <c r="Z627" s="76"/>
      <c r="AA627" s="37"/>
      <c r="AB627" s="86">
        <f>tbl_Actual_costs_quantities34[[#This Row],[Plastering Painting]]*BOQs!$L$7</f>
        <v>0</v>
      </c>
      <c r="AC627" s="76"/>
      <c r="AD627" s="37"/>
      <c r="AE627" s="86">
        <f>tbl_Actual_costs_quantities34[[#This Row],[Floor Repairs]]*BOQs!$L$8</f>
        <v>0</v>
      </c>
      <c r="AF627" s="76"/>
      <c r="AG627" s="37"/>
      <c r="AH627" s="86">
        <f>tbl_Actual_costs_quantities34[[#This Row],[Doors Replacement Repair]]*BOQs!$L$9</f>
        <v>0</v>
      </c>
      <c r="AI627" s="76"/>
      <c r="AJ627" s="37"/>
      <c r="AK627" s="86">
        <f>tbl_Actual_costs_quantities34[[#This Row],[Windows Replacement Repair]]*BOQs!$L$10</f>
        <v>0</v>
      </c>
      <c r="AL627" s="76"/>
      <c r="AM627" s="37"/>
      <c r="AN627" s="86">
        <f>tbl_Actual_costs_quantities34[[#This Row],[Bathroom Rehabilitation]]*BOQs!$L$11</f>
        <v>0</v>
      </c>
      <c r="AO627" s="76"/>
      <c r="AP627" s="37"/>
      <c r="AQ627" s="86">
        <f>tbl_Actual_costs_quantities34[[#This Row],[Ceramic Tile Works WASH]]*BOQs!$L$12</f>
        <v>0</v>
      </c>
      <c r="AR627" s="76"/>
      <c r="AS627" s="37"/>
      <c r="AT627" s="86">
        <f>tbl_Actual_costs_quantities34[[#This Row],[Electrical Repairs Lighting]]*BOQs!$L$13</f>
        <v>0</v>
      </c>
      <c r="AU627" s="76"/>
      <c r="AV627" s="37"/>
      <c r="AW627" s="86">
        <f>tbl_Actual_costs_quantities34[[#This Row],[Roof Insulation Leak Sealing]]*BOQs!$L$14</f>
        <v>0</v>
      </c>
      <c r="AX627" s="76"/>
      <c r="AY627" s="37"/>
      <c r="AZ627" s="86">
        <f>tbl_Actual_costs_quantities34[[#This Row],[Chimney Duct Cleaning Repair]]*BOQs!$L$15</f>
        <v>0</v>
      </c>
      <c r="BA627" s="76"/>
      <c r="BB627" s="37"/>
      <c r="BC627" s="89">
        <f>tbl_Actual_costs_quantities34[[#This Row],[Accessibility Adaptations]]*BOQs!$L$16</f>
        <v>0</v>
      </c>
      <c r="BD627" s="41"/>
      <c r="BE627" s="37"/>
      <c r="BF627" s="37"/>
    </row>
    <row r="628" spans="2:58" ht="25.15" customHeight="1" x14ac:dyDescent="0.25">
      <c r="B628" s="49">
        <v>624</v>
      </c>
      <c r="C628" s="37"/>
      <c r="D628" s="41"/>
      <c r="E628" s="40"/>
      <c r="F628" s="87" t="str">
        <f>IF(tbl_Actual_costs_quantities34[[#This Row],[House Code]]&lt;&gt;"",INDEX(tbl_Assessment[],MATCH(tbl_Actual_costs_quantities34[[#This Row],[House Code]],tbl_Assessment[House Code],0),3),"")</f>
        <v/>
      </c>
      <c r="G628" s="116" t="str">
        <f>IF(tbl_Actual_costs_quantities34[[#This Row],[House Code]]&lt;&gt;"",INDEX(tbl_Assessment[],MATCH(tbl_Actual_costs_quantities34[[#This Row],[House Code]],tbl_Assessment[House Code],0),9),"")</f>
        <v/>
      </c>
      <c r="H628" s="41"/>
      <c r="I628" s="41"/>
      <c r="J628" s="41"/>
      <c r="K628" s="116"/>
      <c r="L628" s="117" t="str">
        <f>IF(tbl_Actual_costs_quantities34[[#This Row],[House Code]]&lt;&gt;"",tbl_Actual_costs_quantities34[[#This Row],[Total cost]]/INDEX(tbl_estimated_costs_quantities[],MATCH(tbl_Actual_costs_quantities34[[#This Row],[House Code]],tbl_estimated_costs_quantities[House Code],0),7),"")</f>
        <v/>
      </c>
      <c r="M62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8" s="75"/>
      <c r="O628" s="37"/>
      <c r="P628" s="86">
        <f>tbl_Actual_costs_quantities34[[#This Row],[Site Preparation]]*BOQs!$L$3</f>
        <v>0</v>
      </c>
      <c r="Q628" s="76"/>
      <c r="R628" s="37"/>
      <c r="S628" s="86">
        <f>tbl_Actual_costs_quantities34[[#This Row],[Demolition Removal Unsafe Structures]]*BOQs!$L$4</f>
        <v>0</v>
      </c>
      <c r="T628" s="76"/>
      <c r="U628" s="37"/>
      <c r="V628" s="86">
        <f>tbl_Actual_costs_quantities34[[#This Row],[Concrete Works]]*BOQs!$L$5</f>
        <v>0</v>
      </c>
      <c r="W628" s="76"/>
      <c r="X628" s="37"/>
      <c r="Y628" s="86">
        <f>tbl_Actual_costs_quantities34[[#This Row],[Closure External Openings Walls Windows]]*BOQs!$L$6</f>
        <v>0</v>
      </c>
      <c r="Z628" s="76"/>
      <c r="AA628" s="37"/>
      <c r="AB628" s="86">
        <f>tbl_Actual_costs_quantities34[[#This Row],[Plastering Painting]]*BOQs!$L$7</f>
        <v>0</v>
      </c>
      <c r="AC628" s="76"/>
      <c r="AD628" s="37"/>
      <c r="AE628" s="86">
        <f>tbl_Actual_costs_quantities34[[#This Row],[Floor Repairs]]*BOQs!$L$8</f>
        <v>0</v>
      </c>
      <c r="AF628" s="76"/>
      <c r="AG628" s="37"/>
      <c r="AH628" s="86">
        <f>tbl_Actual_costs_quantities34[[#This Row],[Doors Replacement Repair]]*BOQs!$L$9</f>
        <v>0</v>
      </c>
      <c r="AI628" s="76"/>
      <c r="AJ628" s="37"/>
      <c r="AK628" s="86">
        <f>tbl_Actual_costs_quantities34[[#This Row],[Windows Replacement Repair]]*BOQs!$L$10</f>
        <v>0</v>
      </c>
      <c r="AL628" s="76"/>
      <c r="AM628" s="37"/>
      <c r="AN628" s="86">
        <f>tbl_Actual_costs_quantities34[[#This Row],[Bathroom Rehabilitation]]*BOQs!$L$11</f>
        <v>0</v>
      </c>
      <c r="AO628" s="76"/>
      <c r="AP628" s="37"/>
      <c r="AQ628" s="86">
        <f>tbl_Actual_costs_quantities34[[#This Row],[Ceramic Tile Works WASH]]*BOQs!$L$12</f>
        <v>0</v>
      </c>
      <c r="AR628" s="76"/>
      <c r="AS628" s="37"/>
      <c r="AT628" s="86">
        <f>tbl_Actual_costs_quantities34[[#This Row],[Electrical Repairs Lighting]]*BOQs!$L$13</f>
        <v>0</v>
      </c>
      <c r="AU628" s="76"/>
      <c r="AV628" s="37"/>
      <c r="AW628" s="86">
        <f>tbl_Actual_costs_quantities34[[#This Row],[Roof Insulation Leak Sealing]]*BOQs!$L$14</f>
        <v>0</v>
      </c>
      <c r="AX628" s="76"/>
      <c r="AY628" s="37"/>
      <c r="AZ628" s="86">
        <f>tbl_Actual_costs_quantities34[[#This Row],[Chimney Duct Cleaning Repair]]*BOQs!$L$15</f>
        <v>0</v>
      </c>
      <c r="BA628" s="76"/>
      <c r="BB628" s="37"/>
      <c r="BC628" s="89">
        <f>tbl_Actual_costs_quantities34[[#This Row],[Accessibility Adaptations]]*BOQs!$L$16</f>
        <v>0</v>
      </c>
      <c r="BD628" s="41"/>
      <c r="BE628" s="37"/>
      <c r="BF628" s="37"/>
    </row>
    <row r="629" spans="2:58" ht="25.15" customHeight="1" x14ac:dyDescent="0.25">
      <c r="B629" s="49">
        <v>625</v>
      </c>
      <c r="C629" s="37"/>
      <c r="D629" s="41"/>
      <c r="E629" s="40"/>
      <c r="F629" s="87" t="str">
        <f>IF(tbl_Actual_costs_quantities34[[#This Row],[House Code]]&lt;&gt;"",INDEX(tbl_Assessment[],MATCH(tbl_Actual_costs_quantities34[[#This Row],[House Code]],tbl_Assessment[House Code],0),3),"")</f>
        <v/>
      </c>
      <c r="G629" s="116" t="str">
        <f>IF(tbl_Actual_costs_quantities34[[#This Row],[House Code]]&lt;&gt;"",INDEX(tbl_Assessment[],MATCH(tbl_Actual_costs_quantities34[[#This Row],[House Code]],tbl_Assessment[House Code],0),9),"")</f>
        <v/>
      </c>
      <c r="H629" s="41"/>
      <c r="I629" s="41"/>
      <c r="J629" s="41"/>
      <c r="K629" s="116"/>
      <c r="L629" s="117" t="str">
        <f>IF(tbl_Actual_costs_quantities34[[#This Row],[House Code]]&lt;&gt;"",tbl_Actual_costs_quantities34[[#This Row],[Total cost]]/INDEX(tbl_estimated_costs_quantities[],MATCH(tbl_Actual_costs_quantities34[[#This Row],[House Code]],tbl_estimated_costs_quantities[House Code],0),7),"")</f>
        <v/>
      </c>
      <c r="M62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29" s="75"/>
      <c r="O629" s="37"/>
      <c r="P629" s="86">
        <f>tbl_Actual_costs_quantities34[[#This Row],[Site Preparation]]*BOQs!$L$3</f>
        <v>0</v>
      </c>
      <c r="Q629" s="76"/>
      <c r="R629" s="37"/>
      <c r="S629" s="86">
        <f>tbl_Actual_costs_quantities34[[#This Row],[Demolition Removal Unsafe Structures]]*BOQs!$L$4</f>
        <v>0</v>
      </c>
      <c r="T629" s="76"/>
      <c r="U629" s="37"/>
      <c r="V629" s="86">
        <f>tbl_Actual_costs_quantities34[[#This Row],[Concrete Works]]*BOQs!$L$5</f>
        <v>0</v>
      </c>
      <c r="W629" s="76"/>
      <c r="X629" s="37"/>
      <c r="Y629" s="86">
        <f>tbl_Actual_costs_quantities34[[#This Row],[Closure External Openings Walls Windows]]*BOQs!$L$6</f>
        <v>0</v>
      </c>
      <c r="Z629" s="76"/>
      <c r="AA629" s="37"/>
      <c r="AB629" s="86">
        <f>tbl_Actual_costs_quantities34[[#This Row],[Plastering Painting]]*BOQs!$L$7</f>
        <v>0</v>
      </c>
      <c r="AC629" s="76"/>
      <c r="AD629" s="37"/>
      <c r="AE629" s="86">
        <f>tbl_Actual_costs_quantities34[[#This Row],[Floor Repairs]]*BOQs!$L$8</f>
        <v>0</v>
      </c>
      <c r="AF629" s="76"/>
      <c r="AG629" s="37"/>
      <c r="AH629" s="86">
        <f>tbl_Actual_costs_quantities34[[#This Row],[Doors Replacement Repair]]*BOQs!$L$9</f>
        <v>0</v>
      </c>
      <c r="AI629" s="76"/>
      <c r="AJ629" s="37"/>
      <c r="AK629" s="86">
        <f>tbl_Actual_costs_quantities34[[#This Row],[Windows Replacement Repair]]*BOQs!$L$10</f>
        <v>0</v>
      </c>
      <c r="AL629" s="76"/>
      <c r="AM629" s="37"/>
      <c r="AN629" s="86">
        <f>tbl_Actual_costs_quantities34[[#This Row],[Bathroom Rehabilitation]]*BOQs!$L$11</f>
        <v>0</v>
      </c>
      <c r="AO629" s="76"/>
      <c r="AP629" s="37"/>
      <c r="AQ629" s="86">
        <f>tbl_Actual_costs_quantities34[[#This Row],[Ceramic Tile Works WASH]]*BOQs!$L$12</f>
        <v>0</v>
      </c>
      <c r="AR629" s="76"/>
      <c r="AS629" s="37"/>
      <c r="AT629" s="86">
        <f>tbl_Actual_costs_quantities34[[#This Row],[Electrical Repairs Lighting]]*BOQs!$L$13</f>
        <v>0</v>
      </c>
      <c r="AU629" s="76"/>
      <c r="AV629" s="37"/>
      <c r="AW629" s="86">
        <f>tbl_Actual_costs_quantities34[[#This Row],[Roof Insulation Leak Sealing]]*BOQs!$L$14</f>
        <v>0</v>
      </c>
      <c r="AX629" s="76"/>
      <c r="AY629" s="37"/>
      <c r="AZ629" s="86">
        <f>tbl_Actual_costs_quantities34[[#This Row],[Chimney Duct Cleaning Repair]]*BOQs!$L$15</f>
        <v>0</v>
      </c>
      <c r="BA629" s="76"/>
      <c r="BB629" s="37"/>
      <c r="BC629" s="89">
        <f>tbl_Actual_costs_quantities34[[#This Row],[Accessibility Adaptations]]*BOQs!$L$16</f>
        <v>0</v>
      </c>
      <c r="BD629" s="41"/>
      <c r="BE629" s="37"/>
      <c r="BF629" s="37"/>
    </row>
    <row r="630" spans="2:58" ht="25.15" customHeight="1" x14ac:dyDescent="0.25">
      <c r="B630" s="49">
        <v>626</v>
      </c>
      <c r="C630" s="37"/>
      <c r="D630" s="41"/>
      <c r="E630" s="40"/>
      <c r="F630" s="87" t="str">
        <f>IF(tbl_Actual_costs_quantities34[[#This Row],[House Code]]&lt;&gt;"",INDEX(tbl_Assessment[],MATCH(tbl_Actual_costs_quantities34[[#This Row],[House Code]],tbl_Assessment[House Code],0),3),"")</f>
        <v/>
      </c>
      <c r="G630" s="116" t="str">
        <f>IF(tbl_Actual_costs_quantities34[[#This Row],[House Code]]&lt;&gt;"",INDEX(tbl_Assessment[],MATCH(tbl_Actual_costs_quantities34[[#This Row],[House Code]],tbl_Assessment[House Code],0),9),"")</f>
        <v/>
      </c>
      <c r="H630" s="41"/>
      <c r="I630" s="41"/>
      <c r="J630" s="41"/>
      <c r="K630" s="116"/>
      <c r="L630" s="117" t="str">
        <f>IF(tbl_Actual_costs_quantities34[[#This Row],[House Code]]&lt;&gt;"",tbl_Actual_costs_quantities34[[#This Row],[Total cost]]/INDEX(tbl_estimated_costs_quantities[],MATCH(tbl_Actual_costs_quantities34[[#This Row],[House Code]],tbl_estimated_costs_quantities[House Code],0),7),"")</f>
        <v/>
      </c>
      <c r="M63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0" s="75"/>
      <c r="O630" s="37"/>
      <c r="P630" s="86">
        <f>tbl_Actual_costs_quantities34[[#This Row],[Site Preparation]]*BOQs!$L$3</f>
        <v>0</v>
      </c>
      <c r="Q630" s="76"/>
      <c r="R630" s="37"/>
      <c r="S630" s="86">
        <f>tbl_Actual_costs_quantities34[[#This Row],[Demolition Removal Unsafe Structures]]*BOQs!$L$4</f>
        <v>0</v>
      </c>
      <c r="T630" s="76"/>
      <c r="U630" s="37"/>
      <c r="V630" s="86">
        <f>tbl_Actual_costs_quantities34[[#This Row],[Concrete Works]]*BOQs!$L$5</f>
        <v>0</v>
      </c>
      <c r="W630" s="76"/>
      <c r="X630" s="37"/>
      <c r="Y630" s="86">
        <f>tbl_Actual_costs_quantities34[[#This Row],[Closure External Openings Walls Windows]]*BOQs!$L$6</f>
        <v>0</v>
      </c>
      <c r="Z630" s="76"/>
      <c r="AA630" s="37"/>
      <c r="AB630" s="86">
        <f>tbl_Actual_costs_quantities34[[#This Row],[Plastering Painting]]*BOQs!$L$7</f>
        <v>0</v>
      </c>
      <c r="AC630" s="76"/>
      <c r="AD630" s="37"/>
      <c r="AE630" s="86">
        <f>tbl_Actual_costs_quantities34[[#This Row],[Floor Repairs]]*BOQs!$L$8</f>
        <v>0</v>
      </c>
      <c r="AF630" s="76"/>
      <c r="AG630" s="37"/>
      <c r="AH630" s="86">
        <f>tbl_Actual_costs_quantities34[[#This Row],[Doors Replacement Repair]]*BOQs!$L$9</f>
        <v>0</v>
      </c>
      <c r="AI630" s="76"/>
      <c r="AJ630" s="37"/>
      <c r="AK630" s="86">
        <f>tbl_Actual_costs_quantities34[[#This Row],[Windows Replacement Repair]]*BOQs!$L$10</f>
        <v>0</v>
      </c>
      <c r="AL630" s="76"/>
      <c r="AM630" s="37"/>
      <c r="AN630" s="86">
        <f>tbl_Actual_costs_quantities34[[#This Row],[Bathroom Rehabilitation]]*BOQs!$L$11</f>
        <v>0</v>
      </c>
      <c r="AO630" s="76"/>
      <c r="AP630" s="37"/>
      <c r="AQ630" s="86">
        <f>tbl_Actual_costs_quantities34[[#This Row],[Ceramic Tile Works WASH]]*BOQs!$L$12</f>
        <v>0</v>
      </c>
      <c r="AR630" s="76"/>
      <c r="AS630" s="37"/>
      <c r="AT630" s="86">
        <f>tbl_Actual_costs_quantities34[[#This Row],[Electrical Repairs Lighting]]*BOQs!$L$13</f>
        <v>0</v>
      </c>
      <c r="AU630" s="76"/>
      <c r="AV630" s="37"/>
      <c r="AW630" s="86">
        <f>tbl_Actual_costs_quantities34[[#This Row],[Roof Insulation Leak Sealing]]*BOQs!$L$14</f>
        <v>0</v>
      </c>
      <c r="AX630" s="76"/>
      <c r="AY630" s="37"/>
      <c r="AZ630" s="86">
        <f>tbl_Actual_costs_quantities34[[#This Row],[Chimney Duct Cleaning Repair]]*BOQs!$L$15</f>
        <v>0</v>
      </c>
      <c r="BA630" s="76"/>
      <c r="BB630" s="37"/>
      <c r="BC630" s="89">
        <f>tbl_Actual_costs_quantities34[[#This Row],[Accessibility Adaptations]]*BOQs!$L$16</f>
        <v>0</v>
      </c>
      <c r="BD630" s="41"/>
      <c r="BE630" s="37"/>
      <c r="BF630" s="37"/>
    </row>
    <row r="631" spans="2:58" ht="25.15" customHeight="1" x14ac:dyDescent="0.25">
      <c r="B631" s="49">
        <v>627</v>
      </c>
      <c r="C631" s="37"/>
      <c r="D631" s="41"/>
      <c r="E631" s="40"/>
      <c r="F631" s="87" t="str">
        <f>IF(tbl_Actual_costs_quantities34[[#This Row],[House Code]]&lt;&gt;"",INDEX(tbl_Assessment[],MATCH(tbl_Actual_costs_quantities34[[#This Row],[House Code]],tbl_Assessment[House Code],0),3),"")</f>
        <v/>
      </c>
      <c r="G631" s="116" t="str">
        <f>IF(tbl_Actual_costs_quantities34[[#This Row],[House Code]]&lt;&gt;"",INDEX(tbl_Assessment[],MATCH(tbl_Actual_costs_quantities34[[#This Row],[House Code]],tbl_Assessment[House Code],0),9),"")</f>
        <v/>
      </c>
      <c r="H631" s="41"/>
      <c r="I631" s="41"/>
      <c r="J631" s="41"/>
      <c r="K631" s="116"/>
      <c r="L631" s="117" t="str">
        <f>IF(tbl_Actual_costs_quantities34[[#This Row],[House Code]]&lt;&gt;"",tbl_Actual_costs_quantities34[[#This Row],[Total cost]]/INDEX(tbl_estimated_costs_quantities[],MATCH(tbl_Actual_costs_quantities34[[#This Row],[House Code]],tbl_estimated_costs_quantities[House Code],0),7),"")</f>
        <v/>
      </c>
      <c r="M63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1" s="75"/>
      <c r="O631" s="37"/>
      <c r="P631" s="86">
        <f>tbl_Actual_costs_quantities34[[#This Row],[Site Preparation]]*BOQs!$L$3</f>
        <v>0</v>
      </c>
      <c r="Q631" s="76"/>
      <c r="R631" s="37"/>
      <c r="S631" s="86">
        <f>tbl_Actual_costs_quantities34[[#This Row],[Demolition Removal Unsafe Structures]]*BOQs!$L$4</f>
        <v>0</v>
      </c>
      <c r="T631" s="76"/>
      <c r="U631" s="37"/>
      <c r="V631" s="86">
        <f>tbl_Actual_costs_quantities34[[#This Row],[Concrete Works]]*BOQs!$L$5</f>
        <v>0</v>
      </c>
      <c r="W631" s="76"/>
      <c r="X631" s="37"/>
      <c r="Y631" s="86">
        <f>tbl_Actual_costs_quantities34[[#This Row],[Closure External Openings Walls Windows]]*BOQs!$L$6</f>
        <v>0</v>
      </c>
      <c r="Z631" s="76"/>
      <c r="AA631" s="37"/>
      <c r="AB631" s="86">
        <f>tbl_Actual_costs_quantities34[[#This Row],[Plastering Painting]]*BOQs!$L$7</f>
        <v>0</v>
      </c>
      <c r="AC631" s="76"/>
      <c r="AD631" s="37"/>
      <c r="AE631" s="86">
        <f>tbl_Actual_costs_quantities34[[#This Row],[Floor Repairs]]*BOQs!$L$8</f>
        <v>0</v>
      </c>
      <c r="AF631" s="76"/>
      <c r="AG631" s="37"/>
      <c r="AH631" s="86">
        <f>tbl_Actual_costs_quantities34[[#This Row],[Doors Replacement Repair]]*BOQs!$L$9</f>
        <v>0</v>
      </c>
      <c r="AI631" s="76"/>
      <c r="AJ631" s="37"/>
      <c r="AK631" s="86">
        <f>tbl_Actual_costs_quantities34[[#This Row],[Windows Replacement Repair]]*BOQs!$L$10</f>
        <v>0</v>
      </c>
      <c r="AL631" s="76"/>
      <c r="AM631" s="37"/>
      <c r="AN631" s="86">
        <f>tbl_Actual_costs_quantities34[[#This Row],[Bathroom Rehabilitation]]*BOQs!$L$11</f>
        <v>0</v>
      </c>
      <c r="AO631" s="76"/>
      <c r="AP631" s="37"/>
      <c r="AQ631" s="86">
        <f>tbl_Actual_costs_quantities34[[#This Row],[Ceramic Tile Works WASH]]*BOQs!$L$12</f>
        <v>0</v>
      </c>
      <c r="AR631" s="76"/>
      <c r="AS631" s="37"/>
      <c r="AT631" s="86">
        <f>tbl_Actual_costs_quantities34[[#This Row],[Electrical Repairs Lighting]]*BOQs!$L$13</f>
        <v>0</v>
      </c>
      <c r="AU631" s="76"/>
      <c r="AV631" s="37"/>
      <c r="AW631" s="86">
        <f>tbl_Actual_costs_quantities34[[#This Row],[Roof Insulation Leak Sealing]]*BOQs!$L$14</f>
        <v>0</v>
      </c>
      <c r="AX631" s="76"/>
      <c r="AY631" s="37"/>
      <c r="AZ631" s="86">
        <f>tbl_Actual_costs_quantities34[[#This Row],[Chimney Duct Cleaning Repair]]*BOQs!$L$15</f>
        <v>0</v>
      </c>
      <c r="BA631" s="76"/>
      <c r="BB631" s="37"/>
      <c r="BC631" s="89">
        <f>tbl_Actual_costs_quantities34[[#This Row],[Accessibility Adaptations]]*BOQs!$L$16</f>
        <v>0</v>
      </c>
      <c r="BD631" s="41"/>
      <c r="BE631" s="37"/>
      <c r="BF631" s="37"/>
    </row>
    <row r="632" spans="2:58" ht="25.15" customHeight="1" x14ac:dyDescent="0.25">
      <c r="B632" s="49">
        <v>628</v>
      </c>
      <c r="C632" s="37"/>
      <c r="D632" s="41"/>
      <c r="E632" s="40"/>
      <c r="F632" s="87" t="str">
        <f>IF(tbl_Actual_costs_quantities34[[#This Row],[House Code]]&lt;&gt;"",INDEX(tbl_Assessment[],MATCH(tbl_Actual_costs_quantities34[[#This Row],[House Code]],tbl_Assessment[House Code],0),3),"")</f>
        <v/>
      </c>
      <c r="G632" s="116" t="str">
        <f>IF(tbl_Actual_costs_quantities34[[#This Row],[House Code]]&lt;&gt;"",INDEX(tbl_Assessment[],MATCH(tbl_Actual_costs_quantities34[[#This Row],[House Code]],tbl_Assessment[House Code],0),9),"")</f>
        <v/>
      </c>
      <c r="H632" s="41"/>
      <c r="I632" s="41"/>
      <c r="J632" s="41"/>
      <c r="K632" s="116"/>
      <c r="L632" s="117" t="str">
        <f>IF(tbl_Actual_costs_quantities34[[#This Row],[House Code]]&lt;&gt;"",tbl_Actual_costs_quantities34[[#This Row],[Total cost]]/INDEX(tbl_estimated_costs_quantities[],MATCH(tbl_Actual_costs_quantities34[[#This Row],[House Code]],tbl_estimated_costs_quantities[House Code],0),7),"")</f>
        <v/>
      </c>
      <c r="M63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2" s="75"/>
      <c r="O632" s="37"/>
      <c r="P632" s="86">
        <f>tbl_Actual_costs_quantities34[[#This Row],[Site Preparation]]*BOQs!$L$3</f>
        <v>0</v>
      </c>
      <c r="Q632" s="76"/>
      <c r="R632" s="37"/>
      <c r="S632" s="86">
        <f>tbl_Actual_costs_quantities34[[#This Row],[Demolition Removal Unsafe Structures]]*BOQs!$L$4</f>
        <v>0</v>
      </c>
      <c r="T632" s="76"/>
      <c r="U632" s="37"/>
      <c r="V632" s="86">
        <f>tbl_Actual_costs_quantities34[[#This Row],[Concrete Works]]*BOQs!$L$5</f>
        <v>0</v>
      </c>
      <c r="W632" s="76"/>
      <c r="X632" s="37"/>
      <c r="Y632" s="86">
        <f>tbl_Actual_costs_quantities34[[#This Row],[Closure External Openings Walls Windows]]*BOQs!$L$6</f>
        <v>0</v>
      </c>
      <c r="Z632" s="76"/>
      <c r="AA632" s="37"/>
      <c r="AB632" s="86">
        <f>tbl_Actual_costs_quantities34[[#This Row],[Plastering Painting]]*BOQs!$L$7</f>
        <v>0</v>
      </c>
      <c r="AC632" s="76"/>
      <c r="AD632" s="37"/>
      <c r="AE632" s="86">
        <f>tbl_Actual_costs_quantities34[[#This Row],[Floor Repairs]]*BOQs!$L$8</f>
        <v>0</v>
      </c>
      <c r="AF632" s="76"/>
      <c r="AG632" s="37"/>
      <c r="AH632" s="86">
        <f>tbl_Actual_costs_quantities34[[#This Row],[Doors Replacement Repair]]*BOQs!$L$9</f>
        <v>0</v>
      </c>
      <c r="AI632" s="76"/>
      <c r="AJ632" s="37"/>
      <c r="AK632" s="86">
        <f>tbl_Actual_costs_quantities34[[#This Row],[Windows Replacement Repair]]*BOQs!$L$10</f>
        <v>0</v>
      </c>
      <c r="AL632" s="76"/>
      <c r="AM632" s="37"/>
      <c r="AN632" s="86">
        <f>tbl_Actual_costs_quantities34[[#This Row],[Bathroom Rehabilitation]]*BOQs!$L$11</f>
        <v>0</v>
      </c>
      <c r="AO632" s="76"/>
      <c r="AP632" s="37"/>
      <c r="AQ632" s="86">
        <f>tbl_Actual_costs_quantities34[[#This Row],[Ceramic Tile Works WASH]]*BOQs!$L$12</f>
        <v>0</v>
      </c>
      <c r="AR632" s="76"/>
      <c r="AS632" s="37"/>
      <c r="AT632" s="86">
        <f>tbl_Actual_costs_quantities34[[#This Row],[Electrical Repairs Lighting]]*BOQs!$L$13</f>
        <v>0</v>
      </c>
      <c r="AU632" s="76"/>
      <c r="AV632" s="37"/>
      <c r="AW632" s="86">
        <f>tbl_Actual_costs_quantities34[[#This Row],[Roof Insulation Leak Sealing]]*BOQs!$L$14</f>
        <v>0</v>
      </c>
      <c r="AX632" s="76"/>
      <c r="AY632" s="37"/>
      <c r="AZ632" s="86">
        <f>tbl_Actual_costs_quantities34[[#This Row],[Chimney Duct Cleaning Repair]]*BOQs!$L$15</f>
        <v>0</v>
      </c>
      <c r="BA632" s="76"/>
      <c r="BB632" s="37"/>
      <c r="BC632" s="89">
        <f>tbl_Actual_costs_quantities34[[#This Row],[Accessibility Adaptations]]*BOQs!$L$16</f>
        <v>0</v>
      </c>
      <c r="BD632" s="41"/>
      <c r="BE632" s="37"/>
      <c r="BF632" s="37"/>
    </row>
    <row r="633" spans="2:58" ht="25.15" customHeight="1" x14ac:dyDescent="0.25">
      <c r="B633" s="49">
        <v>629</v>
      </c>
      <c r="C633" s="37"/>
      <c r="D633" s="41"/>
      <c r="E633" s="40"/>
      <c r="F633" s="87" t="str">
        <f>IF(tbl_Actual_costs_quantities34[[#This Row],[House Code]]&lt;&gt;"",INDEX(tbl_Assessment[],MATCH(tbl_Actual_costs_quantities34[[#This Row],[House Code]],tbl_Assessment[House Code],0),3),"")</f>
        <v/>
      </c>
      <c r="G633" s="116" t="str">
        <f>IF(tbl_Actual_costs_quantities34[[#This Row],[House Code]]&lt;&gt;"",INDEX(tbl_Assessment[],MATCH(tbl_Actual_costs_quantities34[[#This Row],[House Code]],tbl_Assessment[House Code],0),9),"")</f>
        <v/>
      </c>
      <c r="H633" s="41"/>
      <c r="I633" s="41"/>
      <c r="J633" s="41"/>
      <c r="K633" s="116"/>
      <c r="L633" s="117" t="str">
        <f>IF(tbl_Actual_costs_quantities34[[#This Row],[House Code]]&lt;&gt;"",tbl_Actual_costs_quantities34[[#This Row],[Total cost]]/INDEX(tbl_estimated_costs_quantities[],MATCH(tbl_Actual_costs_quantities34[[#This Row],[House Code]],tbl_estimated_costs_quantities[House Code],0),7),"")</f>
        <v/>
      </c>
      <c r="M63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3" s="75"/>
      <c r="O633" s="37"/>
      <c r="P633" s="86">
        <f>tbl_Actual_costs_quantities34[[#This Row],[Site Preparation]]*BOQs!$L$3</f>
        <v>0</v>
      </c>
      <c r="Q633" s="76"/>
      <c r="R633" s="37"/>
      <c r="S633" s="86">
        <f>tbl_Actual_costs_quantities34[[#This Row],[Demolition Removal Unsafe Structures]]*BOQs!$L$4</f>
        <v>0</v>
      </c>
      <c r="T633" s="76"/>
      <c r="U633" s="37"/>
      <c r="V633" s="86">
        <f>tbl_Actual_costs_quantities34[[#This Row],[Concrete Works]]*BOQs!$L$5</f>
        <v>0</v>
      </c>
      <c r="W633" s="76"/>
      <c r="X633" s="37"/>
      <c r="Y633" s="86">
        <f>tbl_Actual_costs_quantities34[[#This Row],[Closure External Openings Walls Windows]]*BOQs!$L$6</f>
        <v>0</v>
      </c>
      <c r="Z633" s="76"/>
      <c r="AA633" s="37"/>
      <c r="AB633" s="86">
        <f>tbl_Actual_costs_quantities34[[#This Row],[Plastering Painting]]*BOQs!$L$7</f>
        <v>0</v>
      </c>
      <c r="AC633" s="76"/>
      <c r="AD633" s="37"/>
      <c r="AE633" s="86">
        <f>tbl_Actual_costs_quantities34[[#This Row],[Floor Repairs]]*BOQs!$L$8</f>
        <v>0</v>
      </c>
      <c r="AF633" s="76"/>
      <c r="AG633" s="37"/>
      <c r="AH633" s="86">
        <f>tbl_Actual_costs_quantities34[[#This Row],[Doors Replacement Repair]]*BOQs!$L$9</f>
        <v>0</v>
      </c>
      <c r="AI633" s="76"/>
      <c r="AJ633" s="37"/>
      <c r="AK633" s="86">
        <f>tbl_Actual_costs_quantities34[[#This Row],[Windows Replacement Repair]]*BOQs!$L$10</f>
        <v>0</v>
      </c>
      <c r="AL633" s="76"/>
      <c r="AM633" s="37"/>
      <c r="AN633" s="86">
        <f>tbl_Actual_costs_quantities34[[#This Row],[Bathroom Rehabilitation]]*BOQs!$L$11</f>
        <v>0</v>
      </c>
      <c r="AO633" s="76"/>
      <c r="AP633" s="37"/>
      <c r="AQ633" s="86">
        <f>tbl_Actual_costs_quantities34[[#This Row],[Ceramic Tile Works WASH]]*BOQs!$L$12</f>
        <v>0</v>
      </c>
      <c r="AR633" s="76"/>
      <c r="AS633" s="37"/>
      <c r="AT633" s="86">
        <f>tbl_Actual_costs_quantities34[[#This Row],[Electrical Repairs Lighting]]*BOQs!$L$13</f>
        <v>0</v>
      </c>
      <c r="AU633" s="76"/>
      <c r="AV633" s="37"/>
      <c r="AW633" s="86">
        <f>tbl_Actual_costs_quantities34[[#This Row],[Roof Insulation Leak Sealing]]*BOQs!$L$14</f>
        <v>0</v>
      </c>
      <c r="AX633" s="76"/>
      <c r="AY633" s="37"/>
      <c r="AZ633" s="86">
        <f>tbl_Actual_costs_quantities34[[#This Row],[Chimney Duct Cleaning Repair]]*BOQs!$L$15</f>
        <v>0</v>
      </c>
      <c r="BA633" s="76"/>
      <c r="BB633" s="37"/>
      <c r="BC633" s="89">
        <f>tbl_Actual_costs_quantities34[[#This Row],[Accessibility Adaptations]]*BOQs!$L$16</f>
        <v>0</v>
      </c>
      <c r="BD633" s="41"/>
      <c r="BE633" s="37"/>
      <c r="BF633" s="37"/>
    </row>
    <row r="634" spans="2:58" ht="25.15" customHeight="1" x14ac:dyDescent="0.25">
      <c r="B634" s="49">
        <v>630</v>
      </c>
      <c r="C634" s="37"/>
      <c r="D634" s="41"/>
      <c r="E634" s="40"/>
      <c r="F634" s="87" t="str">
        <f>IF(tbl_Actual_costs_quantities34[[#This Row],[House Code]]&lt;&gt;"",INDEX(tbl_Assessment[],MATCH(tbl_Actual_costs_quantities34[[#This Row],[House Code]],tbl_Assessment[House Code],0),3),"")</f>
        <v/>
      </c>
      <c r="G634" s="116" t="str">
        <f>IF(tbl_Actual_costs_quantities34[[#This Row],[House Code]]&lt;&gt;"",INDEX(tbl_Assessment[],MATCH(tbl_Actual_costs_quantities34[[#This Row],[House Code]],tbl_Assessment[House Code],0),9),"")</f>
        <v/>
      </c>
      <c r="H634" s="41"/>
      <c r="I634" s="41"/>
      <c r="J634" s="41"/>
      <c r="K634" s="116"/>
      <c r="L634" s="117" t="str">
        <f>IF(tbl_Actual_costs_quantities34[[#This Row],[House Code]]&lt;&gt;"",tbl_Actual_costs_quantities34[[#This Row],[Total cost]]/INDEX(tbl_estimated_costs_quantities[],MATCH(tbl_Actual_costs_quantities34[[#This Row],[House Code]],tbl_estimated_costs_quantities[House Code],0),7),"")</f>
        <v/>
      </c>
      <c r="M63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4" s="75"/>
      <c r="O634" s="37"/>
      <c r="P634" s="86">
        <f>tbl_Actual_costs_quantities34[[#This Row],[Site Preparation]]*BOQs!$L$3</f>
        <v>0</v>
      </c>
      <c r="Q634" s="76"/>
      <c r="R634" s="37"/>
      <c r="S634" s="86">
        <f>tbl_Actual_costs_quantities34[[#This Row],[Demolition Removal Unsafe Structures]]*BOQs!$L$4</f>
        <v>0</v>
      </c>
      <c r="T634" s="76"/>
      <c r="U634" s="37"/>
      <c r="V634" s="86">
        <f>tbl_Actual_costs_quantities34[[#This Row],[Concrete Works]]*BOQs!$L$5</f>
        <v>0</v>
      </c>
      <c r="W634" s="76"/>
      <c r="X634" s="37"/>
      <c r="Y634" s="86">
        <f>tbl_Actual_costs_quantities34[[#This Row],[Closure External Openings Walls Windows]]*BOQs!$L$6</f>
        <v>0</v>
      </c>
      <c r="Z634" s="76"/>
      <c r="AA634" s="37"/>
      <c r="AB634" s="86">
        <f>tbl_Actual_costs_quantities34[[#This Row],[Plastering Painting]]*BOQs!$L$7</f>
        <v>0</v>
      </c>
      <c r="AC634" s="76"/>
      <c r="AD634" s="37"/>
      <c r="AE634" s="86">
        <f>tbl_Actual_costs_quantities34[[#This Row],[Floor Repairs]]*BOQs!$L$8</f>
        <v>0</v>
      </c>
      <c r="AF634" s="76"/>
      <c r="AG634" s="37"/>
      <c r="AH634" s="86">
        <f>tbl_Actual_costs_quantities34[[#This Row],[Doors Replacement Repair]]*BOQs!$L$9</f>
        <v>0</v>
      </c>
      <c r="AI634" s="76"/>
      <c r="AJ634" s="37"/>
      <c r="AK634" s="86">
        <f>tbl_Actual_costs_quantities34[[#This Row],[Windows Replacement Repair]]*BOQs!$L$10</f>
        <v>0</v>
      </c>
      <c r="AL634" s="76"/>
      <c r="AM634" s="37"/>
      <c r="AN634" s="86">
        <f>tbl_Actual_costs_quantities34[[#This Row],[Bathroom Rehabilitation]]*BOQs!$L$11</f>
        <v>0</v>
      </c>
      <c r="AO634" s="76"/>
      <c r="AP634" s="37"/>
      <c r="AQ634" s="86">
        <f>tbl_Actual_costs_quantities34[[#This Row],[Ceramic Tile Works WASH]]*BOQs!$L$12</f>
        <v>0</v>
      </c>
      <c r="AR634" s="76"/>
      <c r="AS634" s="37"/>
      <c r="AT634" s="86">
        <f>tbl_Actual_costs_quantities34[[#This Row],[Electrical Repairs Lighting]]*BOQs!$L$13</f>
        <v>0</v>
      </c>
      <c r="AU634" s="76"/>
      <c r="AV634" s="37"/>
      <c r="AW634" s="86">
        <f>tbl_Actual_costs_quantities34[[#This Row],[Roof Insulation Leak Sealing]]*BOQs!$L$14</f>
        <v>0</v>
      </c>
      <c r="AX634" s="76"/>
      <c r="AY634" s="37"/>
      <c r="AZ634" s="86">
        <f>tbl_Actual_costs_quantities34[[#This Row],[Chimney Duct Cleaning Repair]]*BOQs!$L$15</f>
        <v>0</v>
      </c>
      <c r="BA634" s="76"/>
      <c r="BB634" s="37"/>
      <c r="BC634" s="89">
        <f>tbl_Actual_costs_quantities34[[#This Row],[Accessibility Adaptations]]*BOQs!$L$16</f>
        <v>0</v>
      </c>
      <c r="BD634" s="41"/>
      <c r="BE634" s="37"/>
      <c r="BF634" s="37"/>
    </row>
    <row r="635" spans="2:58" ht="25.15" customHeight="1" x14ac:dyDescent="0.25">
      <c r="B635" s="49">
        <v>631</v>
      </c>
      <c r="C635" s="37"/>
      <c r="D635" s="41"/>
      <c r="E635" s="40"/>
      <c r="F635" s="87" t="str">
        <f>IF(tbl_Actual_costs_quantities34[[#This Row],[House Code]]&lt;&gt;"",INDEX(tbl_Assessment[],MATCH(tbl_Actual_costs_quantities34[[#This Row],[House Code]],tbl_Assessment[House Code],0),3),"")</f>
        <v/>
      </c>
      <c r="G635" s="116" t="str">
        <f>IF(tbl_Actual_costs_quantities34[[#This Row],[House Code]]&lt;&gt;"",INDEX(tbl_Assessment[],MATCH(tbl_Actual_costs_quantities34[[#This Row],[House Code]],tbl_Assessment[House Code],0),9),"")</f>
        <v/>
      </c>
      <c r="H635" s="41"/>
      <c r="I635" s="41"/>
      <c r="J635" s="41"/>
      <c r="K635" s="116"/>
      <c r="L635" s="117" t="str">
        <f>IF(tbl_Actual_costs_quantities34[[#This Row],[House Code]]&lt;&gt;"",tbl_Actual_costs_quantities34[[#This Row],[Total cost]]/INDEX(tbl_estimated_costs_quantities[],MATCH(tbl_Actual_costs_quantities34[[#This Row],[House Code]],tbl_estimated_costs_quantities[House Code],0),7),"")</f>
        <v/>
      </c>
      <c r="M63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5" s="75"/>
      <c r="O635" s="37"/>
      <c r="P635" s="86">
        <f>tbl_Actual_costs_quantities34[[#This Row],[Site Preparation]]*BOQs!$L$3</f>
        <v>0</v>
      </c>
      <c r="Q635" s="76"/>
      <c r="R635" s="37"/>
      <c r="S635" s="86">
        <f>tbl_Actual_costs_quantities34[[#This Row],[Demolition Removal Unsafe Structures]]*BOQs!$L$4</f>
        <v>0</v>
      </c>
      <c r="T635" s="76"/>
      <c r="U635" s="37"/>
      <c r="V635" s="86">
        <f>tbl_Actual_costs_quantities34[[#This Row],[Concrete Works]]*BOQs!$L$5</f>
        <v>0</v>
      </c>
      <c r="W635" s="76"/>
      <c r="X635" s="37"/>
      <c r="Y635" s="86">
        <f>tbl_Actual_costs_quantities34[[#This Row],[Closure External Openings Walls Windows]]*BOQs!$L$6</f>
        <v>0</v>
      </c>
      <c r="Z635" s="76"/>
      <c r="AA635" s="37"/>
      <c r="AB635" s="86">
        <f>tbl_Actual_costs_quantities34[[#This Row],[Plastering Painting]]*BOQs!$L$7</f>
        <v>0</v>
      </c>
      <c r="AC635" s="76"/>
      <c r="AD635" s="37"/>
      <c r="AE635" s="86">
        <f>tbl_Actual_costs_quantities34[[#This Row],[Floor Repairs]]*BOQs!$L$8</f>
        <v>0</v>
      </c>
      <c r="AF635" s="76"/>
      <c r="AG635" s="37"/>
      <c r="AH635" s="86">
        <f>tbl_Actual_costs_quantities34[[#This Row],[Doors Replacement Repair]]*BOQs!$L$9</f>
        <v>0</v>
      </c>
      <c r="AI635" s="76"/>
      <c r="AJ635" s="37"/>
      <c r="AK635" s="86">
        <f>tbl_Actual_costs_quantities34[[#This Row],[Windows Replacement Repair]]*BOQs!$L$10</f>
        <v>0</v>
      </c>
      <c r="AL635" s="76"/>
      <c r="AM635" s="37"/>
      <c r="AN635" s="86">
        <f>tbl_Actual_costs_quantities34[[#This Row],[Bathroom Rehabilitation]]*BOQs!$L$11</f>
        <v>0</v>
      </c>
      <c r="AO635" s="76"/>
      <c r="AP635" s="37"/>
      <c r="AQ635" s="86">
        <f>tbl_Actual_costs_quantities34[[#This Row],[Ceramic Tile Works WASH]]*BOQs!$L$12</f>
        <v>0</v>
      </c>
      <c r="AR635" s="76"/>
      <c r="AS635" s="37"/>
      <c r="AT635" s="86">
        <f>tbl_Actual_costs_quantities34[[#This Row],[Electrical Repairs Lighting]]*BOQs!$L$13</f>
        <v>0</v>
      </c>
      <c r="AU635" s="76"/>
      <c r="AV635" s="37"/>
      <c r="AW635" s="86">
        <f>tbl_Actual_costs_quantities34[[#This Row],[Roof Insulation Leak Sealing]]*BOQs!$L$14</f>
        <v>0</v>
      </c>
      <c r="AX635" s="76"/>
      <c r="AY635" s="37"/>
      <c r="AZ635" s="86">
        <f>tbl_Actual_costs_quantities34[[#This Row],[Chimney Duct Cleaning Repair]]*BOQs!$L$15</f>
        <v>0</v>
      </c>
      <c r="BA635" s="76"/>
      <c r="BB635" s="37"/>
      <c r="BC635" s="89">
        <f>tbl_Actual_costs_quantities34[[#This Row],[Accessibility Adaptations]]*BOQs!$L$16</f>
        <v>0</v>
      </c>
      <c r="BD635" s="41"/>
      <c r="BE635" s="37"/>
      <c r="BF635" s="37"/>
    </row>
    <row r="636" spans="2:58" ht="25.15" customHeight="1" x14ac:dyDescent="0.25">
      <c r="B636" s="49">
        <v>632</v>
      </c>
      <c r="C636" s="37"/>
      <c r="D636" s="41"/>
      <c r="E636" s="40"/>
      <c r="F636" s="87" t="str">
        <f>IF(tbl_Actual_costs_quantities34[[#This Row],[House Code]]&lt;&gt;"",INDEX(tbl_Assessment[],MATCH(tbl_Actual_costs_quantities34[[#This Row],[House Code]],tbl_Assessment[House Code],0),3),"")</f>
        <v/>
      </c>
      <c r="G636" s="116" t="str">
        <f>IF(tbl_Actual_costs_quantities34[[#This Row],[House Code]]&lt;&gt;"",INDEX(tbl_Assessment[],MATCH(tbl_Actual_costs_quantities34[[#This Row],[House Code]],tbl_Assessment[House Code],0),9),"")</f>
        <v/>
      </c>
      <c r="H636" s="41"/>
      <c r="I636" s="41"/>
      <c r="J636" s="41"/>
      <c r="K636" s="116"/>
      <c r="L636" s="117" t="str">
        <f>IF(tbl_Actual_costs_quantities34[[#This Row],[House Code]]&lt;&gt;"",tbl_Actual_costs_quantities34[[#This Row],[Total cost]]/INDEX(tbl_estimated_costs_quantities[],MATCH(tbl_Actual_costs_quantities34[[#This Row],[House Code]],tbl_estimated_costs_quantities[House Code],0),7),"")</f>
        <v/>
      </c>
      <c r="M63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6" s="75"/>
      <c r="O636" s="37"/>
      <c r="P636" s="86">
        <f>tbl_Actual_costs_quantities34[[#This Row],[Site Preparation]]*BOQs!$L$3</f>
        <v>0</v>
      </c>
      <c r="Q636" s="76"/>
      <c r="R636" s="37"/>
      <c r="S636" s="86">
        <f>tbl_Actual_costs_quantities34[[#This Row],[Demolition Removal Unsafe Structures]]*BOQs!$L$4</f>
        <v>0</v>
      </c>
      <c r="T636" s="76"/>
      <c r="U636" s="37"/>
      <c r="V636" s="86">
        <f>tbl_Actual_costs_quantities34[[#This Row],[Concrete Works]]*BOQs!$L$5</f>
        <v>0</v>
      </c>
      <c r="W636" s="76"/>
      <c r="X636" s="37"/>
      <c r="Y636" s="86">
        <f>tbl_Actual_costs_quantities34[[#This Row],[Closure External Openings Walls Windows]]*BOQs!$L$6</f>
        <v>0</v>
      </c>
      <c r="Z636" s="76"/>
      <c r="AA636" s="37"/>
      <c r="AB636" s="86">
        <f>tbl_Actual_costs_quantities34[[#This Row],[Plastering Painting]]*BOQs!$L$7</f>
        <v>0</v>
      </c>
      <c r="AC636" s="76"/>
      <c r="AD636" s="37"/>
      <c r="AE636" s="86">
        <f>tbl_Actual_costs_quantities34[[#This Row],[Floor Repairs]]*BOQs!$L$8</f>
        <v>0</v>
      </c>
      <c r="AF636" s="76"/>
      <c r="AG636" s="37"/>
      <c r="AH636" s="86">
        <f>tbl_Actual_costs_quantities34[[#This Row],[Doors Replacement Repair]]*BOQs!$L$9</f>
        <v>0</v>
      </c>
      <c r="AI636" s="76"/>
      <c r="AJ636" s="37"/>
      <c r="AK636" s="86">
        <f>tbl_Actual_costs_quantities34[[#This Row],[Windows Replacement Repair]]*BOQs!$L$10</f>
        <v>0</v>
      </c>
      <c r="AL636" s="76"/>
      <c r="AM636" s="37"/>
      <c r="AN636" s="86">
        <f>tbl_Actual_costs_quantities34[[#This Row],[Bathroom Rehabilitation]]*BOQs!$L$11</f>
        <v>0</v>
      </c>
      <c r="AO636" s="76"/>
      <c r="AP636" s="37"/>
      <c r="AQ636" s="86">
        <f>tbl_Actual_costs_quantities34[[#This Row],[Ceramic Tile Works WASH]]*BOQs!$L$12</f>
        <v>0</v>
      </c>
      <c r="AR636" s="76"/>
      <c r="AS636" s="37"/>
      <c r="AT636" s="86">
        <f>tbl_Actual_costs_quantities34[[#This Row],[Electrical Repairs Lighting]]*BOQs!$L$13</f>
        <v>0</v>
      </c>
      <c r="AU636" s="76"/>
      <c r="AV636" s="37"/>
      <c r="AW636" s="86">
        <f>tbl_Actual_costs_quantities34[[#This Row],[Roof Insulation Leak Sealing]]*BOQs!$L$14</f>
        <v>0</v>
      </c>
      <c r="AX636" s="76"/>
      <c r="AY636" s="37"/>
      <c r="AZ636" s="86">
        <f>tbl_Actual_costs_quantities34[[#This Row],[Chimney Duct Cleaning Repair]]*BOQs!$L$15</f>
        <v>0</v>
      </c>
      <c r="BA636" s="76"/>
      <c r="BB636" s="37"/>
      <c r="BC636" s="89">
        <f>tbl_Actual_costs_quantities34[[#This Row],[Accessibility Adaptations]]*BOQs!$L$16</f>
        <v>0</v>
      </c>
      <c r="BD636" s="41"/>
      <c r="BE636" s="37"/>
      <c r="BF636" s="37"/>
    </row>
    <row r="637" spans="2:58" ht="25.15" customHeight="1" x14ac:dyDescent="0.25">
      <c r="B637" s="49">
        <v>633</v>
      </c>
      <c r="C637" s="37"/>
      <c r="D637" s="41"/>
      <c r="E637" s="40"/>
      <c r="F637" s="87" t="str">
        <f>IF(tbl_Actual_costs_quantities34[[#This Row],[House Code]]&lt;&gt;"",INDEX(tbl_Assessment[],MATCH(tbl_Actual_costs_quantities34[[#This Row],[House Code]],tbl_Assessment[House Code],0),3),"")</f>
        <v/>
      </c>
      <c r="G637" s="116" t="str">
        <f>IF(tbl_Actual_costs_quantities34[[#This Row],[House Code]]&lt;&gt;"",INDEX(tbl_Assessment[],MATCH(tbl_Actual_costs_quantities34[[#This Row],[House Code]],tbl_Assessment[House Code],0),9),"")</f>
        <v/>
      </c>
      <c r="H637" s="41"/>
      <c r="I637" s="41"/>
      <c r="J637" s="41"/>
      <c r="K637" s="116"/>
      <c r="L637" s="117" t="str">
        <f>IF(tbl_Actual_costs_quantities34[[#This Row],[House Code]]&lt;&gt;"",tbl_Actual_costs_quantities34[[#This Row],[Total cost]]/INDEX(tbl_estimated_costs_quantities[],MATCH(tbl_Actual_costs_quantities34[[#This Row],[House Code]],tbl_estimated_costs_quantities[House Code],0),7),"")</f>
        <v/>
      </c>
      <c r="M63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7" s="75"/>
      <c r="O637" s="37"/>
      <c r="P637" s="86">
        <f>tbl_Actual_costs_quantities34[[#This Row],[Site Preparation]]*BOQs!$L$3</f>
        <v>0</v>
      </c>
      <c r="Q637" s="76"/>
      <c r="R637" s="37"/>
      <c r="S637" s="86">
        <f>tbl_Actual_costs_quantities34[[#This Row],[Demolition Removal Unsafe Structures]]*BOQs!$L$4</f>
        <v>0</v>
      </c>
      <c r="T637" s="76"/>
      <c r="U637" s="37"/>
      <c r="V637" s="86">
        <f>tbl_Actual_costs_quantities34[[#This Row],[Concrete Works]]*BOQs!$L$5</f>
        <v>0</v>
      </c>
      <c r="W637" s="76"/>
      <c r="X637" s="37"/>
      <c r="Y637" s="86">
        <f>tbl_Actual_costs_quantities34[[#This Row],[Closure External Openings Walls Windows]]*BOQs!$L$6</f>
        <v>0</v>
      </c>
      <c r="Z637" s="76"/>
      <c r="AA637" s="37"/>
      <c r="AB637" s="86">
        <f>tbl_Actual_costs_quantities34[[#This Row],[Plastering Painting]]*BOQs!$L$7</f>
        <v>0</v>
      </c>
      <c r="AC637" s="76"/>
      <c r="AD637" s="37"/>
      <c r="AE637" s="86">
        <f>tbl_Actual_costs_quantities34[[#This Row],[Floor Repairs]]*BOQs!$L$8</f>
        <v>0</v>
      </c>
      <c r="AF637" s="76"/>
      <c r="AG637" s="37"/>
      <c r="AH637" s="86">
        <f>tbl_Actual_costs_quantities34[[#This Row],[Doors Replacement Repair]]*BOQs!$L$9</f>
        <v>0</v>
      </c>
      <c r="AI637" s="76"/>
      <c r="AJ637" s="37"/>
      <c r="AK637" s="86">
        <f>tbl_Actual_costs_quantities34[[#This Row],[Windows Replacement Repair]]*BOQs!$L$10</f>
        <v>0</v>
      </c>
      <c r="AL637" s="76"/>
      <c r="AM637" s="37"/>
      <c r="AN637" s="86">
        <f>tbl_Actual_costs_quantities34[[#This Row],[Bathroom Rehabilitation]]*BOQs!$L$11</f>
        <v>0</v>
      </c>
      <c r="AO637" s="76"/>
      <c r="AP637" s="37"/>
      <c r="AQ637" s="86">
        <f>tbl_Actual_costs_quantities34[[#This Row],[Ceramic Tile Works WASH]]*BOQs!$L$12</f>
        <v>0</v>
      </c>
      <c r="AR637" s="76"/>
      <c r="AS637" s="37"/>
      <c r="AT637" s="86">
        <f>tbl_Actual_costs_quantities34[[#This Row],[Electrical Repairs Lighting]]*BOQs!$L$13</f>
        <v>0</v>
      </c>
      <c r="AU637" s="76"/>
      <c r="AV637" s="37"/>
      <c r="AW637" s="86">
        <f>tbl_Actual_costs_quantities34[[#This Row],[Roof Insulation Leak Sealing]]*BOQs!$L$14</f>
        <v>0</v>
      </c>
      <c r="AX637" s="76"/>
      <c r="AY637" s="37"/>
      <c r="AZ637" s="86">
        <f>tbl_Actual_costs_quantities34[[#This Row],[Chimney Duct Cleaning Repair]]*BOQs!$L$15</f>
        <v>0</v>
      </c>
      <c r="BA637" s="76"/>
      <c r="BB637" s="37"/>
      <c r="BC637" s="89">
        <f>tbl_Actual_costs_quantities34[[#This Row],[Accessibility Adaptations]]*BOQs!$L$16</f>
        <v>0</v>
      </c>
      <c r="BD637" s="41"/>
      <c r="BE637" s="37"/>
      <c r="BF637" s="37"/>
    </row>
    <row r="638" spans="2:58" ht="25.15" customHeight="1" x14ac:dyDescent="0.25">
      <c r="B638" s="49">
        <v>634</v>
      </c>
      <c r="C638" s="37"/>
      <c r="D638" s="41"/>
      <c r="E638" s="40"/>
      <c r="F638" s="87" t="str">
        <f>IF(tbl_Actual_costs_quantities34[[#This Row],[House Code]]&lt;&gt;"",INDEX(tbl_Assessment[],MATCH(tbl_Actual_costs_quantities34[[#This Row],[House Code]],tbl_Assessment[House Code],0),3),"")</f>
        <v/>
      </c>
      <c r="G638" s="116" t="str">
        <f>IF(tbl_Actual_costs_quantities34[[#This Row],[House Code]]&lt;&gt;"",INDEX(tbl_Assessment[],MATCH(tbl_Actual_costs_quantities34[[#This Row],[House Code]],tbl_Assessment[House Code],0),9),"")</f>
        <v/>
      </c>
      <c r="H638" s="41"/>
      <c r="I638" s="41"/>
      <c r="J638" s="41"/>
      <c r="K638" s="116"/>
      <c r="L638" s="117" t="str">
        <f>IF(tbl_Actual_costs_quantities34[[#This Row],[House Code]]&lt;&gt;"",tbl_Actual_costs_quantities34[[#This Row],[Total cost]]/INDEX(tbl_estimated_costs_quantities[],MATCH(tbl_Actual_costs_quantities34[[#This Row],[House Code]],tbl_estimated_costs_quantities[House Code],0),7),"")</f>
        <v/>
      </c>
      <c r="M63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8" s="75"/>
      <c r="O638" s="37"/>
      <c r="P638" s="86">
        <f>tbl_Actual_costs_quantities34[[#This Row],[Site Preparation]]*BOQs!$L$3</f>
        <v>0</v>
      </c>
      <c r="Q638" s="76"/>
      <c r="R638" s="37"/>
      <c r="S638" s="86">
        <f>tbl_Actual_costs_quantities34[[#This Row],[Demolition Removal Unsafe Structures]]*BOQs!$L$4</f>
        <v>0</v>
      </c>
      <c r="T638" s="76"/>
      <c r="U638" s="37"/>
      <c r="V638" s="86">
        <f>tbl_Actual_costs_quantities34[[#This Row],[Concrete Works]]*BOQs!$L$5</f>
        <v>0</v>
      </c>
      <c r="W638" s="76"/>
      <c r="X638" s="37"/>
      <c r="Y638" s="86">
        <f>tbl_Actual_costs_quantities34[[#This Row],[Closure External Openings Walls Windows]]*BOQs!$L$6</f>
        <v>0</v>
      </c>
      <c r="Z638" s="76"/>
      <c r="AA638" s="37"/>
      <c r="AB638" s="86">
        <f>tbl_Actual_costs_quantities34[[#This Row],[Plastering Painting]]*BOQs!$L$7</f>
        <v>0</v>
      </c>
      <c r="AC638" s="76"/>
      <c r="AD638" s="37"/>
      <c r="AE638" s="86">
        <f>tbl_Actual_costs_quantities34[[#This Row],[Floor Repairs]]*BOQs!$L$8</f>
        <v>0</v>
      </c>
      <c r="AF638" s="76"/>
      <c r="AG638" s="37"/>
      <c r="AH638" s="86">
        <f>tbl_Actual_costs_quantities34[[#This Row],[Doors Replacement Repair]]*BOQs!$L$9</f>
        <v>0</v>
      </c>
      <c r="AI638" s="76"/>
      <c r="AJ638" s="37"/>
      <c r="AK638" s="86">
        <f>tbl_Actual_costs_quantities34[[#This Row],[Windows Replacement Repair]]*BOQs!$L$10</f>
        <v>0</v>
      </c>
      <c r="AL638" s="76"/>
      <c r="AM638" s="37"/>
      <c r="AN638" s="86">
        <f>tbl_Actual_costs_quantities34[[#This Row],[Bathroom Rehabilitation]]*BOQs!$L$11</f>
        <v>0</v>
      </c>
      <c r="AO638" s="76"/>
      <c r="AP638" s="37"/>
      <c r="AQ638" s="86">
        <f>tbl_Actual_costs_quantities34[[#This Row],[Ceramic Tile Works WASH]]*BOQs!$L$12</f>
        <v>0</v>
      </c>
      <c r="AR638" s="76"/>
      <c r="AS638" s="37"/>
      <c r="AT638" s="86">
        <f>tbl_Actual_costs_quantities34[[#This Row],[Electrical Repairs Lighting]]*BOQs!$L$13</f>
        <v>0</v>
      </c>
      <c r="AU638" s="76"/>
      <c r="AV638" s="37"/>
      <c r="AW638" s="86">
        <f>tbl_Actual_costs_quantities34[[#This Row],[Roof Insulation Leak Sealing]]*BOQs!$L$14</f>
        <v>0</v>
      </c>
      <c r="AX638" s="76"/>
      <c r="AY638" s="37"/>
      <c r="AZ638" s="86">
        <f>tbl_Actual_costs_quantities34[[#This Row],[Chimney Duct Cleaning Repair]]*BOQs!$L$15</f>
        <v>0</v>
      </c>
      <c r="BA638" s="76"/>
      <c r="BB638" s="37"/>
      <c r="BC638" s="89">
        <f>tbl_Actual_costs_quantities34[[#This Row],[Accessibility Adaptations]]*BOQs!$L$16</f>
        <v>0</v>
      </c>
      <c r="BD638" s="41"/>
      <c r="BE638" s="37"/>
      <c r="BF638" s="37"/>
    </row>
    <row r="639" spans="2:58" ht="25.15" customHeight="1" x14ac:dyDescent="0.25">
      <c r="B639" s="49">
        <v>635</v>
      </c>
      <c r="C639" s="37"/>
      <c r="D639" s="41"/>
      <c r="E639" s="40"/>
      <c r="F639" s="87" t="str">
        <f>IF(tbl_Actual_costs_quantities34[[#This Row],[House Code]]&lt;&gt;"",INDEX(tbl_Assessment[],MATCH(tbl_Actual_costs_quantities34[[#This Row],[House Code]],tbl_Assessment[House Code],0),3),"")</f>
        <v/>
      </c>
      <c r="G639" s="116" t="str">
        <f>IF(tbl_Actual_costs_quantities34[[#This Row],[House Code]]&lt;&gt;"",INDEX(tbl_Assessment[],MATCH(tbl_Actual_costs_quantities34[[#This Row],[House Code]],tbl_Assessment[House Code],0),9),"")</f>
        <v/>
      </c>
      <c r="H639" s="41"/>
      <c r="I639" s="41"/>
      <c r="J639" s="41"/>
      <c r="K639" s="116"/>
      <c r="L639" s="117" t="str">
        <f>IF(tbl_Actual_costs_quantities34[[#This Row],[House Code]]&lt;&gt;"",tbl_Actual_costs_quantities34[[#This Row],[Total cost]]/INDEX(tbl_estimated_costs_quantities[],MATCH(tbl_Actual_costs_quantities34[[#This Row],[House Code]],tbl_estimated_costs_quantities[House Code],0),7),"")</f>
        <v/>
      </c>
      <c r="M63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39" s="75"/>
      <c r="O639" s="37"/>
      <c r="P639" s="86">
        <f>tbl_Actual_costs_quantities34[[#This Row],[Site Preparation]]*BOQs!$L$3</f>
        <v>0</v>
      </c>
      <c r="Q639" s="76"/>
      <c r="R639" s="37"/>
      <c r="S639" s="86">
        <f>tbl_Actual_costs_quantities34[[#This Row],[Demolition Removal Unsafe Structures]]*BOQs!$L$4</f>
        <v>0</v>
      </c>
      <c r="T639" s="76"/>
      <c r="U639" s="37"/>
      <c r="V639" s="86">
        <f>tbl_Actual_costs_quantities34[[#This Row],[Concrete Works]]*BOQs!$L$5</f>
        <v>0</v>
      </c>
      <c r="W639" s="76"/>
      <c r="X639" s="37"/>
      <c r="Y639" s="86">
        <f>tbl_Actual_costs_quantities34[[#This Row],[Closure External Openings Walls Windows]]*BOQs!$L$6</f>
        <v>0</v>
      </c>
      <c r="Z639" s="76"/>
      <c r="AA639" s="37"/>
      <c r="AB639" s="86">
        <f>tbl_Actual_costs_quantities34[[#This Row],[Plastering Painting]]*BOQs!$L$7</f>
        <v>0</v>
      </c>
      <c r="AC639" s="76"/>
      <c r="AD639" s="37"/>
      <c r="AE639" s="86">
        <f>tbl_Actual_costs_quantities34[[#This Row],[Floor Repairs]]*BOQs!$L$8</f>
        <v>0</v>
      </c>
      <c r="AF639" s="76"/>
      <c r="AG639" s="37"/>
      <c r="AH639" s="86">
        <f>tbl_Actual_costs_quantities34[[#This Row],[Doors Replacement Repair]]*BOQs!$L$9</f>
        <v>0</v>
      </c>
      <c r="AI639" s="76"/>
      <c r="AJ639" s="37"/>
      <c r="AK639" s="86">
        <f>tbl_Actual_costs_quantities34[[#This Row],[Windows Replacement Repair]]*BOQs!$L$10</f>
        <v>0</v>
      </c>
      <c r="AL639" s="76"/>
      <c r="AM639" s="37"/>
      <c r="AN639" s="86">
        <f>tbl_Actual_costs_quantities34[[#This Row],[Bathroom Rehabilitation]]*BOQs!$L$11</f>
        <v>0</v>
      </c>
      <c r="AO639" s="76"/>
      <c r="AP639" s="37"/>
      <c r="AQ639" s="86">
        <f>tbl_Actual_costs_quantities34[[#This Row],[Ceramic Tile Works WASH]]*BOQs!$L$12</f>
        <v>0</v>
      </c>
      <c r="AR639" s="76"/>
      <c r="AS639" s="37"/>
      <c r="AT639" s="86">
        <f>tbl_Actual_costs_quantities34[[#This Row],[Electrical Repairs Lighting]]*BOQs!$L$13</f>
        <v>0</v>
      </c>
      <c r="AU639" s="76"/>
      <c r="AV639" s="37"/>
      <c r="AW639" s="86">
        <f>tbl_Actual_costs_quantities34[[#This Row],[Roof Insulation Leak Sealing]]*BOQs!$L$14</f>
        <v>0</v>
      </c>
      <c r="AX639" s="76"/>
      <c r="AY639" s="37"/>
      <c r="AZ639" s="86">
        <f>tbl_Actual_costs_quantities34[[#This Row],[Chimney Duct Cleaning Repair]]*BOQs!$L$15</f>
        <v>0</v>
      </c>
      <c r="BA639" s="76"/>
      <c r="BB639" s="37"/>
      <c r="BC639" s="89">
        <f>tbl_Actual_costs_quantities34[[#This Row],[Accessibility Adaptations]]*BOQs!$L$16</f>
        <v>0</v>
      </c>
      <c r="BD639" s="41"/>
      <c r="BE639" s="37"/>
      <c r="BF639" s="37"/>
    </row>
    <row r="640" spans="2:58" ht="25.15" customHeight="1" x14ac:dyDescent="0.25">
      <c r="B640" s="49">
        <v>636</v>
      </c>
      <c r="C640" s="37"/>
      <c r="D640" s="41"/>
      <c r="E640" s="40"/>
      <c r="F640" s="87" t="str">
        <f>IF(tbl_Actual_costs_quantities34[[#This Row],[House Code]]&lt;&gt;"",INDEX(tbl_Assessment[],MATCH(tbl_Actual_costs_quantities34[[#This Row],[House Code]],tbl_Assessment[House Code],0),3),"")</f>
        <v/>
      </c>
      <c r="G640" s="116" t="str">
        <f>IF(tbl_Actual_costs_quantities34[[#This Row],[House Code]]&lt;&gt;"",INDEX(tbl_Assessment[],MATCH(tbl_Actual_costs_quantities34[[#This Row],[House Code]],tbl_Assessment[House Code],0),9),"")</f>
        <v/>
      </c>
      <c r="H640" s="41"/>
      <c r="I640" s="41"/>
      <c r="J640" s="41"/>
      <c r="K640" s="116"/>
      <c r="L640" s="117" t="str">
        <f>IF(tbl_Actual_costs_quantities34[[#This Row],[House Code]]&lt;&gt;"",tbl_Actual_costs_quantities34[[#This Row],[Total cost]]/INDEX(tbl_estimated_costs_quantities[],MATCH(tbl_Actual_costs_quantities34[[#This Row],[House Code]],tbl_estimated_costs_quantities[House Code],0),7),"")</f>
        <v/>
      </c>
      <c r="M64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0" s="75"/>
      <c r="O640" s="37"/>
      <c r="P640" s="86">
        <f>tbl_Actual_costs_quantities34[[#This Row],[Site Preparation]]*BOQs!$L$3</f>
        <v>0</v>
      </c>
      <c r="Q640" s="76"/>
      <c r="R640" s="37"/>
      <c r="S640" s="86">
        <f>tbl_Actual_costs_quantities34[[#This Row],[Demolition Removal Unsafe Structures]]*BOQs!$L$4</f>
        <v>0</v>
      </c>
      <c r="T640" s="76"/>
      <c r="U640" s="37"/>
      <c r="V640" s="86">
        <f>tbl_Actual_costs_quantities34[[#This Row],[Concrete Works]]*BOQs!$L$5</f>
        <v>0</v>
      </c>
      <c r="W640" s="76"/>
      <c r="X640" s="37"/>
      <c r="Y640" s="86">
        <f>tbl_Actual_costs_quantities34[[#This Row],[Closure External Openings Walls Windows]]*BOQs!$L$6</f>
        <v>0</v>
      </c>
      <c r="Z640" s="76"/>
      <c r="AA640" s="37"/>
      <c r="AB640" s="86">
        <f>tbl_Actual_costs_quantities34[[#This Row],[Plastering Painting]]*BOQs!$L$7</f>
        <v>0</v>
      </c>
      <c r="AC640" s="76"/>
      <c r="AD640" s="37"/>
      <c r="AE640" s="86">
        <f>tbl_Actual_costs_quantities34[[#This Row],[Floor Repairs]]*BOQs!$L$8</f>
        <v>0</v>
      </c>
      <c r="AF640" s="76"/>
      <c r="AG640" s="37"/>
      <c r="AH640" s="86">
        <f>tbl_Actual_costs_quantities34[[#This Row],[Doors Replacement Repair]]*BOQs!$L$9</f>
        <v>0</v>
      </c>
      <c r="AI640" s="76"/>
      <c r="AJ640" s="37"/>
      <c r="AK640" s="86">
        <f>tbl_Actual_costs_quantities34[[#This Row],[Windows Replacement Repair]]*BOQs!$L$10</f>
        <v>0</v>
      </c>
      <c r="AL640" s="76"/>
      <c r="AM640" s="37"/>
      <c r="AN640" s="86">
        <f>tbl_Actual_costs_quantities34[[#This Row],[Bathroom Rehabilitation]]*BOQs!$L$11</f>
        <v>0</v>
      </c>
      <c r="AO640" s="76"/>
      <c r="AP640" s="37"/>
      <c r="AQ640" s="86">
        <f>tbl_Actual_costs_quantities34[[#This Row],[Ceramic Tile Works WASH]]*BOQs!$L$12</f>
        <v>0</v>
      </c>
      <c r="AR640" s="76"/>
      <c r="AS640" s="37"/>
      <c r="AT640" s="86">
        <f>tbl_Actual_costs_quantities34[[#This Row],[Electrical Repairs Lighting]]*BOQs!$L$13</f>
        <v>0</v>
      </c>
      <c r="AU640" s="76"/>
      <c r="AV640" s="37"/>
      <c r="AW640" s="86">
        <f>tbl_Actual_costs_quantities34[[#This Row],[Roof Insulation Leak Sealing]]*BOQs!$L$14</f>
        <v>0</v>
      </c>
      <c r="AX640" s="76"/>
      <c r="AY640" s="37"/>
      <c r="AZ640" s="86">
        <f>tbl_Actual_costs_quantities34[[#This Row],[Chimney Duct Cleaning Repair]]*BOQs!$L$15</f>
        <v>0</v>
      </c>
      <c r="BA640" s="76"/>
      <c r="BB640" s="37"/>
      <c r="BC640" s="89">
        <f>tbl_Actual_costs_quantities34[[#This Row],[Accessibility Adaptations]]*BOQs!$L$16</f>
        <v>0</v>
      </c>
      <c r="BD640" s="41"/>
      <c r="BE640" s="37"/>
      <c r="BF640" s="37"/>
    </row>
    <row r="641" spans="2:58" ht="25.15" customHeight="1" x14ac:dyDescent="0.25">
      <c r="B641" s="49">
        <v>637</v>
      </c>
      <c r="C641" s="37"/>
      <c r="D641" s="41"/>
      <c r="E641" s="40"/>
      <c r="F641" s="87" t="str">
        <f>IF(tbl_Actual_costs_quantities34[[#This Row],[House Code]]&lt;&gt;"",INDEX(tbl_Assessment[],MATCH(tbl_Actual_costs_quantities34[[#This Row],[House Code]],tbl_Assessment[House Code],0),3),"")</f>
        <v/>
      </c>
      <c r="G641" s="116" t="str">
        <f>IF(tbl_Actual_costs_quantities34[[#This Row],[House Code]]&lt;&gt;"",INDEX(tbl_Assessment[],MATCH(tbl_Actual_costs_quantities34[[#This Row],[House Code]],tbl_Assessment[House Code],0),9),"")</f>
        <v/>
      </c>
      <c r="H641" s="41"/>
      <c r="I641" s="41"/>
      <c r="J641" s="41"/>
      <c r="K641" s="116"/>
      <c r="L641" s="117" t="str">
        <f>IF(tbl_Actual_costs_quantities34[[#This Row],[House Code]]&lt;&gt;"",tbl_Actual_costs_quantities34[[#This Row],[Total cost]]/INDEX(tbl_estimated_costs_quantities[],MATCH(tbl_Actual_costs_quantities34[[#This Row],[House Code]],tbl_estimated_costs_quantities[House Code],0),7),"")</f>
        <v/>
      </c>
      <c r="M64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1" s="75"/>
      <c r="O641" s="37"/>
      <c r="P641" s="86">
        <f>tbl_Actual_costs_quantities34[[#This Row],[Site Preparation]]*BOQs!$L$3</f>
        <v>0</v>
      </c>
      <c r="Q641" s="76"/>
      <c r="R641" s="37"/>
      <c r="S641" s="86">
        <f>tbl_Actual_costs_quantities34[[#This Row],[Demolition Removal Unsafe Structures]]*BOQs!$L$4</f>
        <v>0</v>
      </c>
      <c r="T641" s="76"/>
      <c r="U641" s="37"/>
      <c r="V641" s="86">
        <f>tbl_Actual_costs_quantities34[[#This Row],[Concrete Works]]*BOQs!$L$5</f>
        <v>0</v>
      </c>
      <c r="W641" s="76"/>
      <c r="X641" s="37"/>
      <c r="Y641" s="86">
        <f>tbl_Actual_costs_quantities34[[#This Row],[Closure External Openings Walls Windows]]*BOQs!$L$6</f>
        <v>0</v>
      </c>
      <c r="Z641" s="76"/>
      <c r="AA641" s="37"/>
      <c r="AB641" s="86">
        <f>tbl_Actual_costs_quantities34[[#This Row],[Plastering Painting]]*BOQs!$L$7</f>
        <v>0</v>
      </c>
      <c r="AC641" s="76"/>
      <c r="AD641" s="37"/>
      <c r="AE641" s="86">
        <f>tbl_Actual_costs_quantities34[[#This Row],[Floor Repairs]]*BOQs!$L$8</f>
        <v>0</v>
      </c>
      <c r="AF641" s="76"/>
      <c r="AG641" s="37"/>
      <c r="AH641" s="86">
        <f>tbl_Actual_costs_quantities34[[#This Row],[Doors Replacement Repair]]*BOQs!$L$9</f>
        <v>0</v>
      </c>
      <c r="AI641" s="76"/>
      <c r="AJ641" s="37"/>
      <c r="AK641" s="86">
        <f>tbl_Actual_costs_quantities34[[#This Row],[Windows Replacement Repair]]*BOQs!$L$10</f>
        <v>0</v>
      </c>
      <c r="AL641" s="76"/>
      <c r="AM641" s="37"/>
      <c r="AN641" s="86">
        <f>tbl_Actual_costs_quantities34[[#This Row],[Bathroom Rehabilitation]]*BOQs!$L$11</f>
        <v>0</v>
      </c>
      <c r="AO641" s="76"/>
      <c r="AP641" s="37"/>
      <c r="AQ641" s="86">
        <f>tbl_Actual_costs_quantities34[[#This Row],[Ceramic Tile Works WASH]]*BOQs!$L$12</f>
        <v>0</v>
      </c>
      <c r="AR641" s="76"/>
      <c r="AS641" s="37"/>
      <c r="AT641" s="86">
        <f>tbl_Actual_costs_quantities34[[#This Row],[Electrical Repairs Lighting]]*BOQs!$L$13</f>
        <v>0</v>
      </c>
      <c r="AU641" s="76"/>
      <c r="AV641" s="37"/>
      <c r="AW641" s="86">
        <f>tbl_Actual_costs_quantities34[[#This Row],[Roof Insulation Leak Sealing]]*BOQs!$L$14</f>
        <v>0</v>
      </c>
      <c r="AX641" s="76"/>
      <c r="AY641" s="37"/>
      <c r="AZ641" s="86">
        <f>tbl_Actual_costs_quantities34[[#This Row],[Chimney Duct Cleaning Repair]]*BOQs!$L$15</f>
        <v>0</v>
      </c>
      <c r="BA641" s="76"/>
      <c r="BB641" s="37"/>
      <c r="BC641" s="89">
        <f>tbl_Actual_costs_quantities34[[#This Row],[Accessibility Adaptations]]*BOQs!$L$16</f>
        <v>0</v>
      </c>
      <c r="BD641" s="41"/>
      <c r="BE641" s="37"/>
      <c r="BF641" s="37"/>
    </row>
    <row r="642" spans="2:58" ht="25.15" customHeight="1" x14ac:dyDescent="0.25">
      <c r="B642" s="49">
        <v>638</v>
      </c>
      <c r="C642" s="37"/>
      <c r="D642" s="41"/>
      <c r="E642" s="40"/>
      <c r="F642" s="87" t="str">
        <f>IF(tbl_Actual_costs_quantities34[[#This Row],[House Code]]&lt;&gt;"",INDEX(tbl_Assessment[],MATCH(tbl_Actual_costs_quantities34[[#This Row],[House Code]],tbl_Assessment[House Code],0),3),"")</f>
        <v/>
      </c>
      <c r="G642" s="116" t="str">
        <f>IF(tbl_Actual_costs_quantities34[[#This Row],[House Code]]&lt;&gt;"",INDEX(tbl_Assessment[],MATCH(tbl_Actual_costs_quantities34[[#This Row],[House Code]],tbl_Assessment[House Code],0),9),"")</f>
        <v/>
      </c>
      <c r="H642" s="41"/>
      <c r="I642" s="41"/>
      <c r="J642" s="41"/>
      <c r="K642" s="116"/>
      <c r="L642" s="117" t="str">
        <f>IF(tbl_Actual_costs_quantities34[[#This Row],[House Code]]&lt;&gt;"",tbl_Actual_costs_quantities34[[#This Row],[Total cost]]/INDEX(tbl_estimated_costs_quantities[],MATCH(tbl_Actual_costs_quantities34[[#This Row],[House Code]],tbl_estimated_costs_quantities[House Code],0),7),"")</f>
        <v/>
      </c>
      <c r="M64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2" s="75"/>
      <c r="O642" s="37"/>
      <c r="P642" s="86">
        <f>tbl_Actual_costs_quantities34[[#This Row],[Site Preparation]]*BOQs!$L$3</f>
        <v>0</v>
      </c>
      <c r="Q642" s="76"/>
      <c r="R642" s="37"/>
      <c r="S642" s="86">
        <f>tbl_Actual_costs_quantities34[[#This Row],[Demolition Removal Unsafe Structures]]*BOQs!$L$4</f>
        <v>0</v>
      </c>
      <c r="T642" s="76"/>
      <c r="U642" s="37"/>
      <c r="V642" s="86">
        <f>tbl_Actual_costs_quantities34[[#This Row],[Concrete Works]]*BOQs!$L$5</f>
        <v>0</v>
      </c>
      <c r="W642" s="76"/>
      <c r="X642" s="37"/>
      <c r="Y642" s="86">
        <f>tbl_Actual_costs_quantities34[[#This Row],[Closure External Openings Walls Windows]]*BOQs!$L$6</f>
        <v>0</v>
      </c>
      <c r="Z642" s="76"/>
      <c r="AA642" s="37"/>
      <c r="AB642" s="86">
        <f>tbl_Actual_costs_quantities34[[#This Row],[Plastering Painting]]*BOQs!$L$7</f>
        <v>0</v>
      </c>
      <c r="AC642" s="76"/>
      <c r="AD642" s="37"/>
      <c r="AE642" s="86">
        <f>tbl_Actual_costs_quantities34[[#This Row],[Floor Repairs]]*BOQs!$L$8</f>
        <v>0</v>
      </c>
      <c r="AF642" s="76"/>
      <c r="AG642" s="37"/>
      <c r="AH642" s="86">
        <f>tbl_Actual_costs_quantities34[[#This Row],[Doors Replacement Repair]]*BOQs!$L$9</f>
        <v>0</v>
      </c>
      <c r="AI642" s="76"/>
      <c r="AJ642" s="37"/>
      <c r="AK642" s="86">
        <f>tbl_Actual_costs_quantities34[[#This Row],[Windows Replacement Repair]]*BOQs!$L$10</f>
        <v>0</v>
      </c>
      <c r="AL642" s="76"/>
      <c r="AM642" s="37"/>
      <c r="AN642" s="86">
        <f>tbl_Actual_costs_quantities34[[#This Row],[Bathroom Rehabilitation]]*BOQs!$L$11</f>
        <v>0</v>
      </c>
      <c r="AO642" s="76"/>
      <c r="AP642" s="37"/>
      <c r="AQ642" s="86">
        <f>tbl_Actual_costs_quantities34[[#This Row],[Ceramic Tile Works WASH]]*BOQs!$L$12</f>
        <v>0</v>
      </c>
      <c r="AR642" s="76"/>
      <c r="AS642" s="37"/>
      <c r="AT642" s="86">
        <f>tbl_Actual_costs_quantities34[[#This Row],[Electrical Repairs Lighting]]*BOQs!$L$13</f>
        <v>0</v>
      </c>
      <c r="AU642" s="76"/>
      <c r="AV642" s="37"/>
      <c r="AW642" s="86">
        <f>tbl_Actual_costs_quantities34[[#This Row],[Roof Insulation Leak Sealing]]*BOQs!$L$14</f>
        <v>0</v>
      </c>
      <c r="AX642" s="76"/>
      <c r="AY642" s="37"/>
      <c r="AZ642" s="86">
        <f>tbl_Actual_costs_quantities34[[#This Row],[Chimney Duct Cleaning Repair]]*BOQs!$L$15</f>
        <v>0</v>
      </c>
      <c r="BA642" s="76"/>
      <c r="BB642" s="37"/>
      <c r="BC642" s="89">
        <f>tbl_Actual_costs_quantities34[[#This Row],[Accessibility Adaptations]]*BOQs!$L$16</f>
        <v>0</v>
      </c>
      <c r="BD642" s="41"/>
      <c r="BE642" s="37"/>
      <c r="BF642" s="37"/>
    </row>
    <row r="643" spans="2:58" ht="25.15" customHeight="1" x14ac:dyDescent="0.25">
      <c r="B643" s="49">
        <v>639</v>
      </c>
      <c r="C643" s="37"/>
      <c r="D643" s="41"/>
      <c r="E643" s="40"/>
      <c r="F643" s="87" t="str">
        <f>IF(tbl_Actual_costs_quantities34[[#This Row],[House Code]]&lt;&gt;"",INDEX(tbl_Assessment[],MATCH(tbl_Actual_costs_quantities34[[#This Row],[House Code]],tbl_Assessment[House Code],0),3),"")</f>
        <v/>
      </c>
      <c r="G643" s="116" t="str">
        <f>IF(tbl_Actual_costs_quantities34[[#This Row],[House Code]]&lt;&gt;"",INDEX(tbl_Assessment[],MATCH(tbl_Actual_costs_quantities34[[#This Row],[House Code]],tbl_Assessment[House Code],0),9),"")</f>
        <v/>
      </c>
      <c r="H643" s="41"/>
      <c r="I643" s="41"/>
      <c r="J643" s="41"/>
      <c r="K643" s="116"/>
      <c r="L643" s="117" t="str">
        <f>IF(tbl_Actual_costs_quantities34[[#This Row],[House Code]]&lt;&gt;"",tbl_Actual_costs_quantities34[[#This Row],[Total cost]]/INDEX(tbl_estimated_costs_quantities[],MATCH(tbl_Actual_costs_quantities34[[#This Row],[House Code]],tbl_estimated_costs_quantities[House Code],0),7),"")</f>
        <v/>
      </c>
      <c r="M64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3" s="75"/>
      <c r="O643" s="37"/>
      <c r="P643" s="86">
        <f>tbl_Actual_costs_quantities34[[#This Row],[Site Preparation]]*BOQs!$L$3</f>
        <v>0</v>
      </c>
      <c r="Q643" s="76"/>
      <c r="R643" s="37"/>
      <c r="S643" s="86">
        <f>tbl_Actual_costs_quantities34[[#This Row],[Demolition Removal Unsafe Structures]]*BOQs!$L$4</f>
        <v>0</v>
      </c>
      <c r="T643" s="76"/>
      <c r="U643" s="37"/>
      <c r="V643" s="86">
        <f>tbl_Actual_costs_quantities34[[#This Row],[Concrete Works]]*BOQs!$L$5</f>
        <v>0</v>
      </c>
      <c r="W643" s="76"/>
      <c r="X643" s="37"/>
      <c r="Y643" s="86">
        <f>tbl_Actual_costs_quantities34[[#This Row],[Closure External Openings Walls Windows]]*BOQs!$L$6</f>
        <v>0</v>
      </c>
      <c r="Z643" s="76"/>
      <c r="AA643" s="37"/>
      <c r="AB643" s="86">
        <f>tbl_Actual_costs_quantities34[[#This Row],[Plastering Painting]]*BOQs!$L$7</f>
        <v>0</v>
      </c>
      <c r="AC643" s="76"/>
      <c r="AD643" s="37"/>
      <c r="AE643" s="86">
        <f>tbl_Actual_costs_quantities34[[#This Row],[Floor Repairs]]*BOQs!$L$8</f>
        <v>0</v>
      </c>
      <c r="AF643" s="76"/>
      <c r="AG643" s="37"/>
      <c r="AH643" s="86">
        <f>tbl_Actual_costs_quantities34[[#This Row],[Doors Replacement Repair]]*BOQs!$L$9</f>
        <v>0</v>
      </c>
      <c r="AI643" s="76"/>
      <c r="AJ643" s="37"/>
      <c r="AK643" s="86">
        <f>tbl_Actual_costs_quantities34[[#This Row],[Windows Replacement Repair]]*BOQs!$L$10</f>
        <v>0</v>
      </c>
      <c r="AL643" s="76"/>
      <c r="AM643" s="37"/>
      <c r="AN643" s="86">
        <f>tbl_Actual_costs_quantities34[[#This Row],[Bathroom Rehabilitation]]*BOQs!$L$11</f>
        <v>0</v>
      </c>
      <c r="AO643" s="76"/>
      <c r="AP643" s="37"/>
      <c r="AQ643" s="86">
        <f>tbl_Actual_costs_quantities34[[#This Row],[Ceramic Tile Works WASH]]*BOQs!$L$12</f>
        <v>0</v>
      </c>
      <c r="AR643" s="76"/>
      <c r="AS643" s="37"/>
      <c r="AT643" s="86">
        <f>tbl_Actual_costs_quantities34[[#This Row],[Electrical Repairs Lighting]]*BOQs!$L$13</f>
        <v>0</v>
      </c>
      <c r="AU643" s="76"/>
      <c r="AV643" s="37"/>
      <c r="AW643" s="86">
        <f>tbl_Actual_costs_quantities34[[#This Row],[Roof Insulation Leak Sealing]]*BOQs!$L$14</f>
        <v>0</v>
      </c>
      <c r="AX643" s="76"/>
      <c r="AY643" s="37"/>
      <c r="AZ643" s="86">
        <f>tbl_Actual_costs_quantities34[[#This Row],[Chimney Duct Cleaning Repair]]*BOQs!$L$15</f>
        <v>0</v>
      </c>
      <c r="BA643" s="76"/>
      <c r="BB643" s="37"/>
      <c r="BC643" s="89">
        <f>tbl_Actual_costs_quantities34[[#This Row],[Accessibility Adaptations]]*BOQs!$L$16</f>
        <v>0</v>
      </c>
      <c r="BD643" s="41"/>
      <c r="BE643" s="37"/>
      <c r="BF643" s="37"/>
    </row>
    <row r="644" spans="2:58" ht="25.15" customHeight="1" x14ac:dyDescent="0.25">
      <c r="B644" s="49">
        <v>640</v>
      </c>
      <c r="C644" s="37"/>
      <c r="D644" s="41"/>
      <c r="E644" s="40"/>
      <c r="F644" s="87" t="str">
        <f>IF(tbl_Actual_costs_quantities34[[#This Row],[House Code]]&lt;&gt;"",INDEX(tbl_Assessment[],MATCH(tbl_Actual_costs_quantities34[[#This Row],[House Code]],tbl_Assessment[House Code],0),3),"")</f>
        <v/>
      </c>
      <c r="G644" s="116" t="str">
        <f>IF(tbl_Actual_costs_quantities34[[#This Row],[House Code]]&lt;&gt;"",INDEX(tbl_Assessment[],MATCH(tbl_Actual_costs_quantities34[[#This Row],[House Code]],tbl_Assessment[House Code],0),9),"")</f>
        <v/>
      </c>
      <c r="H644" s="41"/>
      <c r="I644" s="41"/>
      <c r="J644" s="41"/>
      <c r="K644" s="116"/>
      <c r="L644" s="117" t="str">
        <f>IF(tbl_Actual_costs_quantities34[[#This Row],[House Code]]&lt;&gt;"",tbl_Actual_costs_quantities34[[#This Row],[Total cost]]/INDEX(tbl_estimated_costs_quantities[],MATCH(tbl_Actual_costs_quantities34[[#This Row],[House Code]],tbl_estimated_costs_quantities[House Code],0),7),"")</f>
        <v/>
      </c>
      <c r="M64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4" s="75"/>
      <c r="O644" s="37"/>
      <c r="P644" s="86">
        <f>tbl_Actual_costs_quantities34[[#This Row],[Site Preparation]]*BOQs!$L$3</f>
        <v>0</v>
      </c>
      <c r="Q644" s="76"/>
      <c r="R644" s="37"/>
      <c r="S644" s="86">
        <f>tbl_Actual_costs_quantities34[[#This Row],[Demolition Removal Unsafe Structures]]*BOQs!$L$4</f>
        <v>0</v>
      </c>
      <c r="T644" s="76"/>
      <c r="U644" s="37"/>
      <c r="V644" s="86">
        <f>tbl_Actual_costs_quantities34[[#This Row],[Concrete Works]]*BOQs!$L$5</f>
        <v>0</v>
      </c>
      <c r="W644" s="76"/>
      <c r="X644" s="37"/>
      <c r="Y644" s="86">
        <f>tbl_Actual_costs_quantities34[[#This Row],[Closure External Openings Walls Windows]]*BOQs!$L$6</f>
        <v>0</v>
      </c>
      <c r="Z644" s="76"/>
      <c r="AA644" s="37"/>
      <c r="AB644" s="86">
        <f>tbl_Actual_costs_quantities34[[#This Row],[Plastering Painting]]*BOQs!$L$7</f>
        <v>0</v>
      </c>
      <c r="AC644" s="76"/>
      <c r="AD644" s="37"/>
      <c r="AE644" s="86">
        <f>tbl_Actual_costs_quantities34[[#This Row],[Floor Repairs]]*BOQs!$L$8</f>
        <v>0</v>
      </c>
      <c r="AF644" s="76"/>
      <c r="AG644" s="37"/>
      <c r="AH644" s="86">
        <f>tbl_Actual_costs_quantities34[[#This Row],[Doors Replacement Repair]]*BOQs!$L$9</f>
        <v>0</v>
      </c>
      <c r="AI644" s="76"/>
      <c r="AJ644" s="37"/>
      <c r="AK644" s="86">
        <f>tbl_Actual_costs_quantities34[[#This Row],[Windows Replacement Repair]]*BOQs!$L$10</f>
        <v>0</v>
      </c>
      <c r="AL644" s="76"/>
      <c r="AM644" s="37"/>
      <c r="AN644" s="86">
        <f>tbl_Actual_costs_quantities34[[#This Row],[Bathroom Rehabilitation]]*BOQs!$L$11</f>
        <v>0</v>
      </c>
      <c r="AO644" s="76"/>
      <c r="AP644" s="37"/>
      <c r="AQ644" s="86">
        <f>tbl_Actual_costs_quantities34[[#This Row],[Ceramic Tile Works WASH]]*BOQs!$L$12</f>
        <v>0</v>
      </c>
      <c r="AR644" s="76"/>
      <c r="AS644" s="37"/>
      <c r="AT644" s="86">
        <f>tbl_Actual_costs_quantities34[[#This Row],[Electrical Repairs Lighting]]*BOQs!$L$13</f>
        <v>0</v>
      </c>
      <c r="AU644" s="76"/>
      <c r="AV644" s="37"/>
      <c r="AW644" s="86">
        <f>tbl_Actual_costs_quantities34[[#This Row],[Roof Insulation Leak Sealing]]*BOQs!$L$14</f>
        <v>0</v>
      </c>
      <c r="AX644" s="76"/>
      <c r="AY644" s="37"/>
      <c r="AZ644" s="86">
        <f>tbl_Actual_costs_quantities34[[#This Row],[Chimney Duct Cleaning Repair]]*BOQs!$L$15</f>
        <v>0</v>
      </c>
      <c r="BA644" s="76"/>
      <c r="BB644" s="37"/>
      <c r="BC644" s="89">
        <f>tbl_Actual_costs_quantities34[[#This Row],[Accessibility Adaptations]]*BOQs!$L$16</f>
        <v>0</v>
      </c>
      <c r="BD644" s="41"/>
      <c r="BE644" s="37"/>
      <c r="BF644" s="37"/>
    </row>
    <row r="645" spans="2:58" ht="25.15" customHeight="1" x14ac:dyDescent="0.25">
      <c r="B645" s="49">
        <v>641</v>
      </c>
      <c r="C645" s="37"/>
      <c r="D645" s="41"/>
      <c r="E645" s="40"/>
      <c r="F645" s="87" t="str">
        <f>IF(tbl_Actual_costs_quantities34[[#This Row],[House Code]]&lt;&gt;"",INDEX(tbl_Assessment[],MATCH(tbl_Actual_costs_quantities34[[#This Row],[House Code]],tbl_Assessment[House Code],0),3),"")</f>
        <v/>
      </c>
      <c r="G645" s="116" t="str">
        <f>IF(tbl_Actual_costs_quantities34[[#This Row],[House Code]]&lt;&gt;"",INDEX(tbl_Assessment[],MATCH(tbl_Actual_costs_quantities34[[#This Row],[House Code]],tbl_Assessment[House Code],0),9),"")</f>
        <v/>
      </c>
      <c r="H645" s="41"/>
      <c r="I645" s="41"/>
      <c r="J645" s="41"/>
      <c r="K645" s="116"/>
      <c r="L645" s="117" t="str">
        <f>IF(tbl_Actual_costs_quantities34[[#This Row],[House Code]]&lt;&gt;"",tbl_Actual_costs_quantities34[[#This Row],[Total cost]]/INDEX(tbl_estimated_costs_quantities[],MATCH(tbl_Actual_costs_quantities34[[#This Row],[House Code]],tbl_estimated_costs_quantities[House Code],0),7),"")</f>
        <v/>
      </c>
      <c r="M64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5" s="75"/>
      <c r="O645" s="37"/>
      <c r="P645" s="86">
        <f>tbl_Actual_costs_quantities34[[#This Row],[Site Preparation]]*BOQs!$L$3</f>
        <v>0</v>
      </c>
      <c r="Q645" s="76"/>
      <c r="R645" s="37"/>
      <c r="S645" s="86">
        <f>tbl_Actual_costs_quantities34[[#This Row],[Demolition Removal Unsafe Structures]]*BOQs!$L$4</f>
        <v>0</v>
      </c>
      <c r="T645" s="76"/>
      <c r="U645" s="37"/>
      <c r="V645" s="86">
        <f>tbl_Actual_costs_quantities34[[#This Row],[Concrete Works]]*BOQs!$L$5</f>
        <v>0</v>
      </c>
      <c r="W645" s="76"/>
      <c r="X645" s="37"/>
      <c r="Y645" s="86">
        <f>tbl_Actual_costs_quantities34[[#This Row],[Closure External Openings Walls Windows]]*BOQs!$L$6</f>
        <v>0</v>
      </c>
      <c r="Z645" s="76"/>
      <c r="AA645" s="37"/>
      <c r="AB645" s="86">
        <f>tbl_Actual_costs_quantities34[[#This Row],[Plastering Painting]]*BOQs!$L$7</f>
        <v>0</v>
      </c>
      <c r="AC645" s="76"/>
      <c r="AD645" s="37"/>
      <c r="AE645" s="86">
        <f>tbl_Actual_costs_quantities34[[#This Row],[Floor Repairs]]*BOQs!$L$8</f>
        <v>0</v>
      </c>
      <c r="AF645" s="76"/>
      <c r="AG645" s="37"/>
      <c r="AH645" s="86">
        <f>tbl_Actual_costs_quantities34[[#This Row],[Doors Replacement Repair]]*BOQs!$L$9</f>
        <v>0</v>
      </c>
      <c r="AI645" s="76"/>
      <c r="AJ645" s="37"/>
      <c r="AK645" s="86">
        <f>tbl_Actual_costs_quantities34[[#This Row],[Windows Replacement Repair]]*BOQs!$L$10</f>
        <v>0</v>
      </c>
      <c r="AL645" s="76"/>
      <c r="AM645" s="37"/>
      <c r="AN645" s="86">
        <f>tbl_Actual_costs_quantities34[[#This Row],[Bathroom Rehabilitation]]*BOQs!$L$11</f>
        <v>0</v>
      </c>
      <c r="AO645" s="76"/>
      <c r="AP645" s="37"/>
      <c r="AQ645" s="86">
        <f>tbl_Actual_costs_quantities34[[#This Row],[Ceramic Tile Works WASH]]*BOQs!$L$12</f>
        <v>0</v>
      </c>
      <c r="AR645" s="76"/>
      <c r="AS645" s="37"/>
      <c r="AT645" s="86">
        <f>tbl_Actual_costs_quantities34[[#This Row],[Electrical Repairs Lighting]]*BOQs!$L$13</f>
        <v>0</v>
      </c>
      <c r="AU645" s="76"/>
      <c r="AV645" s="37"/>
      <c r="AW645" s="86">
        <f>tbl_Actual_costs_quantities34[[#This Row],[Roof Insulation Leak Sealing]]*BOQs!$L$14</f>
        <v>0</v>
      </c>
      <c r="AX645" s="76"/>
      <c r="AY645" s="37"/>
      <c r="AZ645" s="86">
        <f>tbl_Actual_costs_quantities34[[#This Row],[Chimney Duct Cleaning Repair]]*BOQs!$L$15</f>
        <v>0</v>
      </c>
      <c r="BA645" s="76"/>
      <c r="BB645" s="37"/>
      <c r="BC645" s="89">
        <f>tbl_Actual_costs_quantities34[[#This Row],[Accessibility Adaptations]]*BOQs!$L$16</f>
        <v>0</v>
      </c>
      <c r="BD645" s="41"/>
      <c r="BE645" s="37"/>
      <c r="BF645" s="37"/>
    </row>
    <row r="646" spans="2:58" ht="25.15" customHeight="1" x14ac:dyDescent="0.25">
      <c r="B646" s="49">
        <v>642</v>
      </c>
      <c r="C646" s="37"/>
      <c r="D646" s="41"/>
      <c r="E646" s="40"/>
      <c r="F646" s="87" t="str">
        <f>IF(tbl_Actual_costs_quantities34[[#This Row],[House Code]]&lt;&gt;"",INDEX(tbl_Assessment[],MATCH(tbl_Actual_costs_quantities34[[#This Row],[House Code]],tbl_Assessment[House Code],0),3),"")</f>
        <v/>
      </c>
      <c r="G646" s="116" t="str">
        <f>IF(tbl_Actual_costs_quantities34[[#This Row],[House Code]]&lt;&gt;"",INDEX(tbl_Assessment[],MATCH(tbl_Actual_costs_quantities34[[#This Row],[House Code]],tbl_Assessment[House Code],0),9),"")</f>
        <v/>
      </c>
      <c r="H646" s="41"/>
      <c r="I646" s="41"/>
      <c r="J646" s="41"/>
      <c r="K646" s="116"/>
      <c r="L646" s="117" t="str">
        <f>IF(tbl_Actual_costs_quantities34[[#This Row],[House Code]]&lt;&gt;"",tbl_Actual_costs_quantities34[[#This Row],[Total cost]]/INDEX(tbl_estimated_costs_quantities[],MATCH(tbl_Actual_costs_quantities34[[#This Row],[House Code]],tbl_estimated_costs_quantities[House Code],0),7),"")</f>
        <v/>
      </c>
      <c r="M64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6" s="75"/>
      <c r="O646" s="37"/>
      <c r="P646" s="86">
        <f>tbl_Actual_costs_quantities34[[#This Row],[Site Preparation]]*BOQs!$L$3</f>
        <v>0</v>
      </c>
      <c r="Q646" s="76"/>
      <c r="R646" s="37"/>
      <c r="S646" s="86">
        <f>tbl_Actual_costs_quantities34[[#This Row],[Demolition Removal Unsafe Structures]]*BOQs!$L$4</f>
        <v>0</v>
      </c>
      <c r="T646" s="76"/>
      <c r="U646" s="37"/>
      <c r="V646" s="86">
        <f>tbl_Actual_costs_quantities34[[#This Row],[Concrete Works]]*BOQs!$L$5</f>
        <v>0</v>
      </c>
      <c r="W646" s="76"/>
      <c r="X646" s="37"/>
      <c r="Y646" s="86">
        <f>tbl_Actual_costs_quantities34[[#This Row],[Closure External Openings Walls Windows]]*BOQs!$L$6</f>
        <v>0</v>
      </c>
      <c r="Z646" s="76"/>
      <c r="AA646" s="37"/>
      <c r="AB646" s="86">
        <f>tbl_Actual_costs_quantities34[[#This Row],[Plastering Painting]]*BOQs!$L$7</f>
        <v>0</v>
      </c>
      <c r="AC646" s="76"/>
      <c r="AD646" s="37"/>
      <c r="AE646" s="86">
        <f>tbl_Actual_costs_quantities34[[#This Row],[Floor Repairs]]*BOQs!$L$8</f>
        <v>0</v>
      </c>
      <c r="AF646" s="76"/>
      <c r="AG646" s="37"/>
      <c r="AH646" s="86">
        <f>tbl_Actual_costs_quantities34[[#This Row],[Doors Replacement Repair]]*BOQs!$L$9</f>
        <v>0</v>
      </c>
      <c r="AI646" s="76"/>
      <c r="AJ646" s="37"/>
      <c r="AK646" s="86">
        <f>tbl_Actual_costs_quantities34[[#This Row],[Windows Replacement Repair]]*BOQs!$L$10</f>
        <v>0</v>
      </c>
      <c r="AL646" s="76"/>
      <c r="AM646" s="37"/>
      <c r="AN646" s="86">
        <f>tbl_Actual_costs_quantities34[[#This Row],[Bathroom Rehabilitation]]*BOQs!$L$11</f>
        <v>0</v>
      </c>
      <c r="AO646" s="76"/>
      <c r="AP646" s="37"/>
      <c r="AQ646" s="86">
        <f>tbl_Actual_costs_quantities34[[#This Row],[Ceramic Tile Works WASH]]*BOQs!$L$12</f>
        <v>0</v>
      </c>
      <c r="AR646" s="76"/>
      <c r="AS646" s="37"/>
      <c r="AT646" s="86">
        <f>tbl_Actual_costs_quantities34[[#This Row],[Electrical Repairs Lighting]]*BOQs!$L$13</f>
        <v>0</v>
      </c>
      <c r="AU646" s="76"/>
      <c r="AV646" s="37"/>
      <c r="AW646" s="86">
        <f>tbl_Actual_costs_quantities34[[#This Row],[Roof Insulation Leak Sealing]]*BOQs!$L$14</f>
        <v>0</v>
      </c>
      <c r="AX646" s="76"/>
      <c r="AY646" s="37"/>
      <c r="AZ646" s="86">
        <f>tbl_Actual_costs_quantities34[[#This Row],[Chimney Duct Cleaning Repair]]*BOQs!$L$15</f>
        <v>0</v>
      </c>
      <c r="BA646" s="76"/>
      <c r="BB646" s="37"/>
      <c r="BC646" s="89">
        <f>tbl_Actual_costs_quantities34[[#This Row],[Accessibility Adaptations]]*BOQs!$L$16</f>
        <v>0</v>
      </c>
      <c r="BD646" s="41"/>
      <c r="BE646" s="37"/>
      <c r="BF646" s="37"/>
    </row>
    <row r="647" spans="2:58" ht="25.15" customHeight="1" x14ac:dyDescent="0.25">
      <c r="B647" s="49">
        <v>643</v>
      </c>
      <c r="C647" s="37"/>
      <c r="D647" s="41"/>
      <c r="E647" s="40"/>
      <c r="F647" s="87" t="str">
        <f>IF(tbl_Actual_costs_quantities34[[#This Row],[House Code]]&lt;&gt;"",INDEX(tbl_Assessment[],MATCH(tbl_Actual_costs_quantities34[[#This Row],[House Code]],tbl_Assessment[House Code],0),3),"")</f>
        <v/>
      </c>
      <c r="G647" s="116" t="str">
        <f>IF(tbl_Actual_costs_quantities34[[#This Row],[House Code]]&lt;&gt;"",INDEX(tbl_Assessment[],MATCH(tbl_Actual_costs_quantities34[[#This Row],[House Code]],tbl_Assessment[House Code],0),9),"")</f>
        <v/>
      </c>
      <c r="H647" s="41"/>
      <c r="I647" s="41"/>
      <c r="J647" s="41"/>
      <c r="K647" s="116"/>
      <c r="L647" s="117" t="str">
        <f>IF(tbl_Actual_costs_quantities34[[#This Row],[House Code]]&lt;&gt;"",tbl_Actual_costs_quantities34[[#This Row],[Total cost]]/INDEX(tbl_estimated_costs_quantities[],MATCH(tbl_Actual_costs_quantities34[[#This Row],[House Code]],tbl_estimated_costs_quantities[House Code],0),7),"")</f>
        <v/>
      </c>
      <c r="M64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7" s="75"/>
      <c r="O647" s="37"/>
      <c r="P647" s="86">
        <f>tbl_Actual_costs_quantities34[[#This Row],[Site Preparation]]*BOQs!$L$3</f>
        <v>0</v>
      </c>
      <c r="Q647" s="76"/>
      <c r="R647" s="37"/>
      <c r="S647" s="86">
        <f>tbl_Actual_costs_quantities34[[#This Row],[Demolition Removal Unsafe Structures]]*BOQs!$L$4</f>
        <v>0</v>
      </c>
      <c r="T647" s="76"/>
      <c r="U647" s="37"/>
      <c r="V647" s="86">
        <f>tbl_Actual_costs_quantities34[[#This Row],[Concrete Works]]*BOQs!$L$5</f>
        <v>0</v>
      </c>
      <c r="W647" s="76"/>
      <c r="X647" s="37"/>
      <c r="Y647" s="86">
        <f>tbl_Actual_costs_quantities34[[#This Row],[Closure External Openings Walls Windows]]*BOQs!$L$6</f>
        <v>0</v>
      </c>
      <c r="Z647" s="76"/>
      <c r="AA647" s="37"/>
      <c r="AB647" s="86">
        <f>tbl_Actual_costs_quantities34[[#This Row],[Plastering Painting]]*BOQs!$L$7</f>
        <v>0</v>
      </c>
      <c r="AC647" s="76"/>
      <c r="AD647" s="37"/>
      <c r="AE647" s="86">
        <f>tbl_Actual_costs_quantities34[[#This Row],[Floor Repairs]]*BOQs!$L$8</f>
        <v>0</v>
      </c>
      <c r="AF647" s="76"/>
      <c r="AG647" s="37"/>
      <c r="AH647" s="86">
        <f>tbl_Actual_costs_quantities34[[#This Row],[Doors Replacement Repair]]*BOQs!$L$9</f>
        <v>0</v>
      </c>
      <c r="AI647" s="76"/>
      <c r="AJ647" s="37"/>
      <c r="AK647" s="86">
        <f>tbl_Actual_costs_quantities34[[#This Row],[Windows Replacement Repair]]*BOQs!$L$10</f>
        <v>0</v>
      </c>
      <c r="AL647" s="76"/>
      <c r="AM647" s="37"/>
      <c r="AN647" s="86">
        <f>tbl_Actual_costs_quantities34[[#This Row],[Bathroom Rehabilitation]]*BOQs!$L$11</f>
        <v>0</v>
      </c>
      <c r="AO647" s="76"/>
      <c r="AP647" s="37"/>
      <c r="AQ647" s="86">
        <f>tbl_Actual_costs_quantities34[[#This Row],[Ceramic Tile Works WASH]]*BOQs!$L$12</f>
        <v>0</v>
      </c>
      <c r="AR647" s="76"/>
      <c r="AS647" s="37"/>
      <c r="AT647" s="86">
        <f>tbl_Actual_costs_quantities34[[#This Row],[Electrical Repairs Lighting]]*BOQs!$L$13</f>
        <v>0</v>
      </c>
      <c r="AU647" s="76"/>
      <c r="AV647" s="37"/>
      <c r="AW647" s="86">
        <f>tbl_Actual_costs_quantities34[[#This Row],[Roof Insulation Leak Sealing]]*BOQs!$L$14</f>
        <v>0</v>
      </c>
      <c r="AX647" s="76"/>
      <c r="AY647" s="37"/>
      <c r="AZ647" s="86">
        <f>tbl_Actual_costs_quantities34[[#This Row],[Chimney Duct Cleaning Repair]]*BOQs!$L$15</f>
        <v>0</v>
      </c>
      <c r="BA647" s="76"/>
      <c r="BB647" s="37"/>
      <c r="BC647" s="89">
        <f>tbl_Actual_costs_quantities34[[#This Row],[Accessibility Adaptations]]*BOQs!$L$16</f>
        <v>0</v>
      </c>
      <c r="BD647" s="41"/>
      <c r="BE647" s="37"/>
      <c r="BF647" s="37"/>
    </row>
    <row r="648" spans="2:58" ht="25.15" customHeight="1" x14ac:dyDescent="0.25">
      <c r="B648" s="49">
        <v>644</v>
      </c>
      <c r="C648" s="37"/>
      <c r="D648" s="41"/>
      <c r="E648" s="40"/>
      <c r="F648" s="87" t="str">
        <f>IF(tbl_Actual_costs_quantities34[[#This Row],[House Code]]&lt;&gt;"",INDEX(tbl_Assessment[],MATCH(tbl_Actual_costs_quantities34[[#This Row],[House Code]],tbl_Assessment[House Code],0),3),"")</f>
        <v/>
      </c>
      <c r="G648" s="116" t="str">
        <f>IF(tbl_Actual_costs_quantities34[[#This Row],[House Code]]&lt;&gt;"",INDEX(tbl_Assessment[],MATCH(tbl_Actual_costs_quantities34[[#This Row],[House Code]],tbl_Assessment[House Code],0),9),"")</f>
        <v/>
      </c>
      <c r="H648" s="41"/>
      <c r="I648" s="41"/>
      <c r="J648" s="41"/>
      <c r="K648" s="116"/>
      <c r="L648" s="117" t="str">
        <f>IF(tbl_Actual_costs_quantities34[[#This Row],[House Code]]&lt;&gt;"",tbl_Actual_costs_quantities34[[#This Row],[Total cost]]/INDEX(tbl_estimated_costs_quantities[],MATCH(tbl_Actual_costs_quantities34[[#This Row],[House Code]],tbl_estimated_costs_quantities[House Code],0),7),"")</f>
        <v/>
      </c>
      <c r="M64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8" s="75"/>
      <c r="O648" s="37"/>
      <c r="P648" s="86">
        <f>tbl_Actual_costs_quantities34[[#This Row],[Site Preparation]]*BOQs!$L$3</f>
        <v>0</v>
      </c>
      <c r="Q648" s="76"/>
      <c r="R648" s="37"/>
      <c r="S648" s="86">
        <f>tbl_Actual_costs_quantities34[[#This Row],[Demolition Removal Unsafe Structures]]*BOQs!$L$4</f>
        <v>0</v>
      </c>
      <c r="T648" s="76"/>
      <c r="U648" s="37"/>
      <c r="V648" s="86">
        <f>tbl_Actual_costs_quantities34[[#This Row],[Concrete Works]]*BOQs!$L$5</f>
        <v>0</v>
      </c>
      <c r="W648" s="76"/>
      <c r="X648" s="37"/>
      <c r="Y648" s="86">
        <f>tbl_Actual_costs_quantities34[[#This Row],[Closure External Openings Walls Windows]]*BOQs!$L$6</f>
        <v>0</v>
      </c>
      <c r="Z648" s="76"/>
      <c r="AA648" s="37"/>
      <c r="AB648" s="86">
        <f>tbl_Actual_costs_quantities34[[#This Row],[Plastering Painting]]*BOQs!$L$7</f>
        <v>0</v>
      </c>
      <c r="AC648" s="76"/>
      <c r="AD648" s="37"/>
      <c r="AE648" s="86">
        <f>tbl_Actual_costs_quantities34[[#This Row],[Floor Repairs]]*BOQs!$L$8</f>
        <v>0</v>
      </c>
      <c r="AF648" s="76"/>
      <c r="AG648" s="37"/>
      <c r="AH648" s="86">
        <f>tbl_Actual_costs_quantities34[[#This Row],[Doors Replacement Repair]]*BOQs!$L$9</f>
        <v>0</v>
      </c>
      <c r="AI648" s="76"/>
      <c r="AJ648" s="37"/>
      <c r="AK648" s="86">
        <f>tbl_Actual_costs_quantities34[[#This Row],[Windows Replacement Repair]]*BOQs!$L$10</f>
        <v>0</v>
      </c>
      <c r="AL648" s="76"/>
      <c r="AM648" s="37"/>
      <c r="AN648" s="86">
        <f>tbl_Actual_costs_quantities34[[#This Row],[Bathroom Rehabilitation]]*BOQs!$L$11</f>
        <v>0</v>
      </c>
      <c r="AO648" s="76"/>
      <c r="AP648" s="37"/>
      <c r="AQ648" s="86">
        <f>tbl_Actual_costs_quantities34[[#This Row],[Ceramic Tile Works WASH]]*BOQs!$L$12</f>
        <v>0</v>
      </c>
      <c r="AR648" s="76"/>
      <c r="AS648" s="37"/>
      <c r="AT648" s="86">
        <f>tbl_Actual_costs_quantities34[[#This Row],[Electrical Repairs Lighting]]*BOQs!$L$13</f>
        <v>0</v>
      </c>
      <c r="AU648" s="76"/>
      <c r="AV648" s="37"/>
      <c r="AW648" s="86">
        <f>tbl_Actual_costs_quantities34[[#This Row],[Roof Insulation Leak Sealing]]*BOQs!$L$14</f>
        <v>0</v>
      </c>
      <c r="AX648" s="76"/>
      <c r="AY648" s="37"/>
      <c r="AZ648" s="86">
        <f>tbl_Actual_costs_quantities34[[#This Row],[Chimney Duct Cleaning Repair]]*BOQs!$L$15</f>
        <v>0</v>
      </c>
      <c r="BA648" s="76"/>
      <c r="BB648" s="37"/>
      <c r="BC648" s="89">
        <f>tbl_Actual_costs_quantities34[[#This Row],[Accessibility Adaptations]]*BOQs!$L$16</f>
        <v>0</v>
      </c>
      <c r="BD648" s="41"/>
      <c r="BE648" s="37"/>
      <c r="BF648" s="37"/>
    </row>
    <row r="649" spans="2:58" ht="25.15" customHeight="1" x14ac:dyDescent="0.25">
      <c r="B649" s="49">
        <v>645</v>
      </c>
      <c r="C649" s="37"/>
      <c r="D649" s="41"/>
      <c r="E649" s="40"/>
      <c r="F649" s="87" t="str">
        <f>IF(tbl_Actual_costs_quantities34[[#This Row],[House Code]]&lt;&gt;"",INDEX(tbl_Assessment[],MATCH(tbl_Actual_costs_quantities34[[#This Row],[House Code]],tbl_Assessment[House Code],0),3),"")</f>
        <v/>
      </c>
      <c r="G649" s="116" t="str">
        <f>IF(tbl_Actual_costs_quantities34[[#This Row],[House Code]]&lt;&gt;"",INDEX(tbl_Assessment[],MATCH(tbl_Actual_costs_quantities34[[#This Row],[House Code]],tbl_Assessment[House Code],0),9),"")</f>
        <v/>
      </c>
      <c r="H649" s="41"/>
      <c r="I649" s="41"/>
      <c r="J649" s="41"/>
      <c r="K649" s="116"/>
      <c r="L649" s="117" t="str">
        <f>IF(tbl_Actual_costs_quantities34[[#This Row],[House Code]]&lt;&gt;"",tbl_Actual_costs_quantities34[[#This Row],[Total cost]]/INDEX(tbl_estimated_costs_quantities[],MATCH(tbl_Actual_costs_quantities34[[#This Row],[House Code]],tbl_estimated_costs_quantities[House Code],0),7),"")</f>
        <v/>
      </c>
      <c r="M64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49" s="75"/>
      <c r="O649" s="37"/>
      <c r="P649" s="86">
        <f>tbl_Actual_costs_quantities34[[#This Row],[Site Preparation]]*BOQs!$L$3</f>
        <v>0</v>
      </c>
      <c r="Q649" s="76"/>
      <c r="R649" s="37"/>
      <c r="S649" s="86">
        <f>tbl_Actual_costs_quantities34[[#This Row],[Demolition Removal Unsafe Structures]]*BOQs!$L$4</f>
        <v>0</v>
      </c>
      <c r="T649" s="76"/>
      <c r="U649" s="37"/>
      <c r="V649" s="86">
        <f>tbl_Actual_costs_quantities34[[#This Row],[Concrete Works]]*BOQs!$L$5</f>
        <v>0</v>
      </c>
      <c r="W649" s="76"/>
      <c r="X649" s="37"/>
      <c r="Y649" s="86">
        <f>tbl_Actual_costs_quantities34[[#This Row],[Closure External Openings Walls Windows]]*BOQs!$L$6</f>
        <v>0</v>
      </c>
      <c r="Z649" s="76"/>
      <c r="AA649" s="37"/>
      <c r="AB649" s="86">
        <f>tbl_Actual_costs_quantities34[[#This Row],[Plastering Painting]]*BOQs!$L$7</f>
        <v>0</v>
      </c>
      <c r="AC649" s="76"/>
      <c r="AD649" s="37"/>
      <c r="AE649" s="86">
        <f>tbl_Actual_costs_quantities34[[#This Row],[Floor Repairs]]*BOQs!$L$8</f>
        <v>0</v>
      </c>
      <c r="AF649" s="76"/>
      <c r="AG649" s="37"/>
      <c r="AH649" s="86">
        <f>tbl_Actual_costs_quantities34[[#This Row],[Doors Replacement Repair]]*BOQs!$L$9</f>
        <v>0</v>
      </c>
      <c r="AI649" s="76"/>
      <c r="AJ649" s="37"/>
      <c r="AK649" s="86">
        <f>tbl_Actual_costs_quantities34[[#This Row],[Windows Replacement Repair]]*BOQs!$L$10</f>
        <v>0</v>
      </c>
      <c r="AL649" s="76"/>
      <c r="AM649" s="37"/>
      <c r="AN649" s="86">
        <f>tbl_Actual_costs_quantities34[[#This Row],[Bathroom Rehabilitation]]*BOQs!$L$11</f>
        <v>0</v>
      </c>
      <c r="AO649" s="76"/>
      <c r="AP649" s="37"/>
      <c r="AQ649" s="86">
        <f>tbl_Actual_costs_quantities34[[#This Row],[Ceramic Tile Works WASH]]*BOQs!$L$12</f>
        <v>0</v>
      </c>
      <c r="AR649" s="76"/>
      <c r="AS649" s="37"/>
      <c r="AT649" s="86">
        <f>tbl_Actual_costs_quantities34[[#This Row],[Electrical Repairs Lighting]]*BOQs!$L$13</f>
        <v>0</v>
      </c>
      <c r="AU649" s="76"/>
      <c r="AV649" s="37"/>
      <c r="AW649" s="86">
        <f>tbl_Actual_costs_quantities34[[#This Row],[Roof Insulation Leak Sealing]]*BOQs!$L$14</f>
        <v>0</v>
      </c>
      <c r="AX649" s="76"/>
      <c r="AY649" s="37"/>
      <c r="AZ649" s="86">
        <f>tbl_Actual_costs_quantities34[[#This Row],[Chimney Duct Cleaning Repair]]*BOQs!$L$15</f>
        <v>0</v>
      </c>
      <c r="BA649" s="76"/>
      <c r="BB649" s="37"/>
      <c r="BC649" s="89">
        <f>tbl_Actual_costs_quantities34[[#This Row],[Accessibility Adaptations]]*BOQs!$L$16</f>
        <v>0</v>
      </c>
      <c r="BD649" s="41"/>
      <c r="BE649" s="37"/>
      <c r="BF649" s="37"/>
    </row>
    <row r="650" spans="2:58" ht="25.15" customHeight="1" x14ac:dyDescent="0.25">
      <c r="B650" s="49">
        <v>646</v>
      </c>
      <c r="C650" s="37"/>
      <c r="D650" s="41"/>
      <c r="E650" s="40"/>
      <c r="F650" s="87" t="str">
        <f>IF(tbl_Actual_costs_quantities34[[#This Row],[House Code]]&lt;&gt;"",INDEX(tbl_Assessment[],MATCH(tbl_Actual_costs_quantities34[[#This Row],[House Code]],tbl_Assessment[House Code],0),3),"")</f>
        <v/>
      </c>
      <c r="G650" s="116" t="str">
        <f>IF(tbl_Actual_costs_quantities34[[#This Row],[House Code]]&lt;&gt;"",INDEX(tbl_Assessment[],MATCH(tbl_Actual_costs_quantities34[[#This Row],[House Code]],tbl_Assessment[House Code],0),9),"")</f>
        <v/>
      </c>
      <c r="H650" s="41"/>
      <c r="I650" s="41"/>
      <c r="J650" s="41"/>
      <c r="K650" s="116"/>
      <c r="L650" s="117" t="str">
        <f>IF(tbl_Actual_costs_quantities34[[#This Row],[House Code]]&lt;&gt;"",tbl_Actual_costs_quantities34[[#This Row],[Total cost]]/INDEX(tbl_estimated_costs_quantities[],MATCH(tbl_Actual_costs_quantities34[[#This Row],[House Code]],tbl_estimated_costs_quantities[House Code],0),7),"")</f>
        <v/>
      </c>
      <c r="M65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0" s="75"/>
      <c r="O650" s="37"/>
      <c r="P650" s="86">
        <f>tbl_Actual_costs_quantities34[[#This Row],[Site Preparation]]*BOQs!$L$3</f>
        <v>0</v>
      </c>
      <c r="Q650" s="76"/>
      <c r="R650" s="37"/>
      <c r="S650" s="86">
        <f>tbl_Actual_costs_quantities34[[#This Row],[Demolition Removal Unsafe Structures]]*BOQs!$L$4</f>
        <v>0</v>
      </c>
      <c r="T650" s="76"/>
      <c r="U650" s="37"/>
      <c r="V650" s="86">
        <f>tbl_Actual_costs_quantities34[[#This Row],[Concrete Works]]*BOQs!$L$5</f>
        <v>0</v>
      </c>
      <c r="W650" s="76"/>
      <c r="X650" s="37"/>
      <c r="Y650" s="86">
        <f>tbl_Actual_costs_quantities34[[#This Row],[Closure External Openings Walls Windows]]*BOQs!$L$6</f>
        <v>0</v>
      </c>
      <c r="Z650" s="76"/>
      <c r="AA650" s="37"/>
      <c r="AB650" s="86">
        <f>tbl_Actual_costs_quantities34[[#This Row],[Plastering Painting]]*BOQs!$L$7</f>
        <v>0</v>
      </c>
      <c r="AC650" s="76"/>
      <c r="AD650" s="37"/>
      <c r="AE650" s="86">
        <f>tbl_Actual_costs_quantities34[[#This Row],[Floor Repairs]]*BOQs!$L$8</f>
        <v>0</v>
      </c>
      <c r="AF650" s="76"/>
      <c r="AG650" s="37"/>
      <c r="AH650" s="86">
        <f>tbl_Actual_costs_quantities34[[#This Row],[Doors Replacement Repair]]*BOQs!$L$9</f>
        <v>0</v>
      </c>
      <c r="AI650" s="76"/>
      <c r="AJ650" s="37"/>
      <c r="AK650" s="86">
        <f>tbl_Actual_costs_quantities34[[#This Row],[Windows Replacement Repair]]*BOQs!$L$10</f>
        <v>0</v>
      </c>
      <c r="AL650" s="76"/>
      <c r="AM650" s="37"/>
      <c r="AN650" s="86">
        <f>tbl_Actual_costs_quantities34[[#This Row],[Bathroom Rehabilitation]]*BOQs!$L$11</f>
        <v>0</v>
      </c>
      <c r="AO650" s="76"/>
      <c r="AP650" s="37"/>
      <c r="AQ650" s="86">
        <f>tbl_Actual_costs_quantities34[[#This Row],[Ceramic Tile Works WASH]]*BOQs!$L$12</f>
        <v>0</v>
      </c>
      <c r="AR650" s="76"/>
      <c r="AS650" s="37"/>
      <c r="AT650" s="86">
        <f>tbl_Actual_costs_quantities34[[#This Row],[Electrical Repairs Lighting]]*BOQs!$L$13</f>
        <v>0</v>
      </c>
      <c r="AU650" s="76"/>
      <c r="AV650" s="37"/>
      <c r="AW650" s="86">
        <f>tbl_Actual_costs_quantities34[[#This Row],[Roof Insulation Leak Sealing]]*BOQs!$L$14</f>
        <v>0</v>
      </c>
      <c r="AX650" s="76"/>
      <c r="AY650" s="37"/>
      <c r="AZ650" s="86">
        <f>tbl_Actual_costs_quantities34[[#This Row],[Chimney Duct Cleaning Repair]]*BOQs!$L$15</f>
        <v>0</v>
      </c>
      <c r="BA650" s="76"/>
      <c r="BB650" s="37"/>
      <c r="BC650" s="89">
        <f>tbl_Actual_costs_quantities34[[#This Row],[Accessibility Adaptations]]*BOQs!$L$16</f>
        <v>0</v>
      </c>
      <c r="BD650" s="41"/>
      <c r="BE650" s="37"/>
      <c r="BF650" s="37"/>
    </row>
    <row r="651" spans="2:58" ht="25.15" customHeight="1" x14ac:dyDescent="0.25">
      <c r="B651" s="49">
        <v>647</v>
      </c>
      <c r="C651" s="37"/>
      <c r="D651" s="41"/>
      <c r="E651" s="40"/>
      <c r="F651" s="87" t="str">
        <f>IF(tbl_Actual_costs_quantities34[[#This Row],[House Code]]&lt;&gt;"",INDEX(tbl_Assessment[],MATCH(tbl_Actual_costs_quantities34[[#This Row],[House Code]],tbl_Assessment[House Code],0),3),"")</f>
        <v/>
      </c>
      <c r="G651" s="116" t="str">
        <f>IF(tbl_Actual_costs_quantities34[[#This Row],[House Code]]&lt;&gt;"",INDEX(tbl_Assessment[],MATCH(tbl_Actual_costs_quantities34[[#This Row],[House Code]],tbl_Assessment[House Code],0),9),"")</f>
        <v/>
      </c>
      <c r="H651" s="41"/>
      <c r="I651" s="41"/>
      <c r="J651" s="41"/>
      <c r="K651" s="116"/>
      <c r="L651" s="117" t="str">
        <f>IF(tbl_Actual_costs_quantities34[[#This Row],[House Code]]&lt;&gt;"",tbl_Actual_costs_quantities34[[#This Row],[Total cost]]/INDEX(tbl_estimated_costs_quantities[],MATCH(tbl_Actual_costs_quantities34[[#This Row],[House Code]],tbl_estimated_costs_quantities[House Code],0),7),"")</f>
        <v/>
      </c>
      <c r="M65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1" s="75"/>
      <c r="O651" s="37"/>
      <c r="P651" s="86">
        <f>tbl_Actual_costs_quantities34[[#This Row],[Site Preparation]]*BOQs!$L$3</f>
        <v>0</v>
      </c>
      <c r="Q651" s="76"/>
      <c r="R651" s="37"/>
      <c r="S651" s="86">
        <f>tbl_Actual_costs_quantities34[[#This Row],[Demolition Removal Unsafe Structures]]*BOQs!$L$4</f>
        <v>0</v>
      </c>
      <c r="T651" s="76"/>
      <c r="U651" s="37"/>
      <c r="V651" s="86">
        <f>tbl_Actual_costs_quantities34[[#This Row],[Concrete Works]]*BOQs!$L$5</f>
        <v>0</v>
      </c>
      <c r="W651" s="76"/>
      <c r="X651" s="37"/>
      <c r="Y651" s="86">
        <f>tbl_Actual_costs_quantities34[[#This Row],[Closure External Openings Walls Windows]]*BOQs!$L$6</f>
        <v>0</v>
      </c>
      <c r="Z651" s="76"/>
      <c r="AA651" s="37"/>
      <c r="AB651" s="86">
        <f>tbl_Actual_costs_quantities34[[#This Row],[Plastering Painting]]*BOQs!$L$7</f>
        <v>0</v>
      </c>
      <c r="AC651" s="76"/>
      <c r="AD651" s="37"/>
      <c r="AE651" s="86">
        <f>tbl_Actual_costs_quantities34[[#This Row],[Floor Repairs]]*BOQs!$L$8</f>
        <v>0</v>
      </c>
      <c r="AF651" s="76"/>
      <c r="AG651" s="37"/>
      <c r="AH651" s="86">
        <f>tbl_Actual_costs_quantities34[[#This Row],[Doors Replacement Repair]]*BOQs!$L$9</f>
        <v>0</v>
      </c>
      <c r="AI651" s="76"/>
      <c r="AJ651" s="37"/>
      <c r="AK651" s="86">
        <f>tbl_Actual_costs_quantities34[[#This Row],[Windows Replacement Repair]]*BOQs!$L$10</f>
        <v>0</v>
      </c>
      <c r="AL651" s="76"/>
      <c r="AM651" s="37"/>
      <c r="AN651" s="86">
        <f>tbl_Actual_costs_quantities34[[#This Row],[Bathroom Rehabilitation]]*BOQs!$L$11</f>
        <v>0</v>
      </c>
      <c r="AO651" s="76"/>
      <c r="AP651" s="37"/>
      <c r="AQ651" s="86">
        <f>tbl_Actual_costs_quantities34[[#This Row],[Ceramic Tile Works WASH]]*BOQs!$L$12</f>
        <v>0</v>
      </c>
      <c r="AR651" s="76"/>
      <c r="AS651" s="37"/>
      <c r="AT651" s="86">
        <f>tbl_Actual_costs_quantities34[[#This Row],[Electrical Repairs Lighting]]*BOQs!$L$13</f>
        <v>0</v>
      </c>
      <c r="AU651" s="76"/>
      <c r="AV651" s="37"/>
      <c r="AW651" s="86">
        <f>tbl_Actual_costs_quantities34[[#This Row],[Roof Insulation Leak Sealing]]*BOQs!$L$14</f>
        <v>0</v>
      </c>
      <c r="AX651" s="76"/>
      <c r="AY651" s="37"/>
      <c r="AZ651" s="86">
        <f>tbl_Actual_costs_quantities34[[#This Row],[Chimney Duct Cleaning Repair]]*BOQs!$L$15</f>
        <v>0</v>
      </c>
      <c r="BA651" s="76"/>
      <c r="BB651" s="37"/>
      <c r="BC651" s="89">
        <f>tbl_Actual_costs_quantities34[[#This Row],[Accessibility Adaptations]]*BOQs!$L$16</f>
        <v>0</v>
      </c>
      <c r="BD651" s="41"/>
      <c r="BE651" s="37"/>
      <c r="BF651" s="37"/>
    </row>
    <row r="652" spans="2:58" ht="25.15" customHeight="1" x14ac:dyDescent="0.25">
      <c r="B652" s="49">
        <v>648</v>
      </c>
      <c r="C652" s="37"/>
      <c r="D652" s="41"/>
      <c r="E652" s="40"/>
      <c r="F652" s="87" t="str">
        <f>IF(tbl_Actual_costs_quantities34[[#This Row],[House Code]]&lt;&gt;"",INDEX(tbl_Assessment[],MATCH(tbl_Actual_costs_quantities34[[#This Row],[House Code]],tbl_Assessment[House Code],0),3),"")</f>
        <v/>
      </c>
      <c r="G652" s="116" t="str">
        <f>IF(tbl_Actual_costs_quantities34[[#This Row],[House Code]]&lt;&gt;"",INDEX(tbl_Assessment[],MATCH(tbl_Actual_costs_quantities34[[#This Row],[House Code]],tbl_Assessment[House Code],0),9),"")</f>
        <v/>
      </c>
      <c r="H652" s="41"/>
      <c r="I652" s="41"/>
      <c r="J652" s="41"/>
      <c r="K652" s="116"/>
      <c r="L652" s="117" t="str">
        <f>IF(tbl_Actual_costs_quantities34[[#This Row],[House Code]]&lt;&gt;"",tbl_Actual_costs_quantities34[[#This Row],[Total cost]]/INDEX(tbl_estimated_costs_quantities[],MATCH(tbl_Actual_costs_quantities34[[#This Row],[House Code]],tbl_estimated_costs_quantities[House Code],0),7),"")</f>
        <v/>
      </c>
      <c r="M65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2" s="75"/>
      <c r="O652" s="37"/>
      <c r="P652" s="86">
        <f>tbl_Actual_costs_quantities34[[#This Row],[Site Preparation]]*BOQs!$L$3</f>
        <v>0</v>
      </c>
      <c r="Q652" s="76"/>
      <c r="R652" s="37"/>
      <c r="S652" s="86">
        <f>tbl_Actual_costs_quantities34[[#This Row],[Demolition Removal Unsafe Structures]]*BOQs!$L$4</f>
        <v>0</v>
      </c>
      <c r="T652" s="76"/>
      <c r="U652" s="37"/>
      <c r="V652" s="86">
        <f>tbl_Actual_costs_quantities34[[#This Row],[Concrete Works]]*BOQs!$L$5</f>
        <v>0</v>
      </c>
      <c r="W652" s="76"/>
      <c r="X652" s="37"/>
      <c r="Y652" s="86">
        <f>tbl_Actual_costs_quantities34[[#This Row],[Closure External Openings Walls Windows]]*BOQs!$L$6</f>
        <v>0</v>
      </c>
      <c r="Z652" s="76"/>
      <c r="AA652" s="37"/>
      <c r="AB652" s="86">
        <f>tbl_Actual_costs_quantities34[[#This Row],[Plastering Painting]]*BOQs!$L$7</f>
        <v>0</v>
      </c>
      <c r="AC652" s="76"/>
      <c r="AD652" s="37"/>
      <c r="AE652" s="86">
        <f>tbl_Actual_costs_quantities34[[#This Row],[Floor Repairs]]*BOQs!$L$8</f>
        <v>0</v>
      </c>
      <c r="AF652" s="76"/>
      <c r="AG652" s="37"/>
      <c r="AH652" s="86">
        <f>tbl_Actual_costs_quantities34[[#This Row],[Doors Replacement Repair]]*BOQs!$L$9</f>
        <v>0</v>
      </c>
      <c r="AI652" s="76"/>
      <c r="AJ652" s="37"/>
      <c r="AK652" s="86">
        <f>tbl_Actual_costs_quantities34[[#This Row],[Windows Replacement Repair]]*BOQs!$L$10</f>
        <v>0</v>
      </c>
      <c r="AL652" s="76"/>
      <c r="AM652" s="37"/>
      <c r="AN652" s="86">
        <f>tbl_Actual_costs_quantities34[[#This Row],[Bathroom Rehabilitation]]*BOQs!$L$11</f>
        <v>0</v>
      </c>
      <c r="AO652" s="76"/>
      <c r="AP652" s="37"/>
      <c r="AQ652" s="86">
        <f>tbl_Actual_costs_quantities34[[#This Row],[Ceramic Tile Works WASH]]*BOQs!$L$12</f>
        <v>0</v>
      </c>
      <c r="AR652" s="76"/>
      <c r="AS652" s="37"/>
      <c r="AT652" s="86">
        <f>tbl_Actual_costs_quantities34[[#This Row],[Electrical Repairs Lighting]]*BOQs!$L$13</f>
        <v>0</v>
      </c>
      <c r="AU652" s="76"/>
      <c r="AV652" s="37"/>
      <c r="AW652" s="86">
        <f>tbl_Actual_costs_quantities34[[#This Row],[Roof Insulation Leak Sealing]]*BOQs!$L$14</f>
        <v>0</v>
      </c>
      <c r="AX652" s="76"/>
      <c r="AY652" s="37"/>
      <c r="AZ652" s="86">
        <f>tbl_Actual_costs_quantities34[[#This Row],[Chimney Duct Cleaning Repair]]*BOQs!$L$15</f>
        <v>0</v>
      </c>
      <c r="BA652" s="76"/>
      <c r="BB652" s="37"/>
      <c r="BC652" s="89">
        <f>tbl_Actual_costs_quantities34[[#This Row],[Accessibility Adaptations]]*BOQs!$L$16</f>
        <v>0</v>
      </c>
      <c r="BD652" s="41"/>
      <c r="BE652" s="37"/>
      <c r="BF652" s="37"/>
    </row>
    <row r="653" spans="2:58" ht="25.15" customHeight="1" x14ac:dyDescent="0.25">
      <c r="B653" s="49">
        <v>649</v>
      </c>
      <c r="C653" s="37"/>
      <c r="D653" s="41"/>
      <c r="E653" s="40"/>
      <c r="F653" s="87" t="str">
        <f>IF(tbl_Actual_costs_quantities34[[#This Row],[House Code]]&lt;&gt;"",INDEX(tbl_Assessment[],MATCH(tbl_Actual_costs_quantities34[[#This Row],[House Code]],tbl_Assessment[House Code],0),3),"")</f>
        <v/>
      </c>
      <c r="G653" s="116" t="str">
        <f>IF(tbl_Actual_costs_quantities34[[#This Row],[House Code]]&lt;&gt;"",INDEX(tbl_Assessment[],MATCH(tbl_Actual_costs_quantities34[[#This Row],[House Code]],tbl_Assessment[House Code],0),9),"")</f>
        <v/>
      </c>
      <c r="H653" s="41"/>
      <c r="I653" s="41"/>
      <c r="J653" s="41"/>
      <c r="K653" s="116"/>
      <c r="L653" s="117" t="str">
        <f>IF(tbl_Actual_costs_quantities34[[#This Row],[House Code]]&lt;&gt;"",tbl_Actual_costs_quantities34[[#This Row],[Total cost]]/INDEX(tbl_estimated_costs_quantities[],MATCH(tbl_Actual_costs_quantities34[[#This Row],[House Code]],tbl_estimated_costs_quantities[House Code],0),7),"")</f>
        <v/>
      </c>
      <c r="M65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3" s="75"/>
      <c r="O653" s="37"/>
      <c r="P653" s="86">
        <f>tbl_Actual_costs_quantities34[[#This Row],[Site Preparation]]*BOQs!$L$3</f>
        <v>0</v>
      </c>
      <c r="Q653" s="76"/>
      <c r="R653" s="37"/>
      <c r="S653" s="86">
        <f>tbl_Actual_costs_quantities34[[#This Row],[Demolition Removal Unsafe Structures]]*BOQs!$L$4</f>
        <v>0</v>
      </c>
      <c r="T653" s="76"/>
      <c r="U653" s="37"/>
      <c r="V653" s="86">
        <f>tbl_Actual_costs_quantities34[[#This Row],[Concrete Works]]*BOQs!$L$5</f>
        <v>0</v>
      </c>
      <c r="W653" s="76"/>
      <c r="X653" s="37"/>
      <c r="Y653" s="86">
        <f>tbl_Actual_costs_quantities34[[#This Row],[Closure External Openings Walls Windows]]*BOQs!$L$6</f>
        <v>0</v>
      </c>
      <c r="Z653" s="76"/>
      <c r="AA653" s="37"/>
      <c r="AB653" s="86">
        <f>tbl_Actual_costs_quantities34[[#This Row],[Plastering Painting]]*BOQs!$L$7</f>
        <v>0</v>
      </c>
      <c r="AC653" s="76"/>
      <c r="AD653" s="37"/>
      <c r="AE653" s="86">
        <f>tbl_Actual_costs_quantities34[[#This Row],[Floor Repairs]]*BOQs!$L$8</f>
        <v>0</v>
      </c>
      <c r="AF653" s="76"/>
      <c r="AG653" s="37"/>
      <c r="AH653" s="86">
        <f>tbl_Actual_costs_quantities34[[#This Row],[Doors Replacement Repair]]*BOQs!$L$9</f>
        <v>0</v>
      </c>
      <c r="AI653" s="76"/>
      <c r="AJ653" s="37"/>
      <c r="AK653" s="86">
        <f>tbl_Actual_costs_quantities34[[#This Row],[Windows Replacement Repair]]*BOQs!$L$10</f>
        <v>0</v>
      </c>
      <c r="AL653" s="76"/>
      <c r="AM653" s="37"/>
      <c r="AN653" s="86">
        <f>tbl_Actual_costs_quantities34[[#This Row],[Bathroom Rehabilitation]]*BOQs!$L$11</f>
        <v>0</v>
      </c>
      <c r="AO653" s="76"/>
      <c r="AP653" s="37"/>
      <c r="AQ653" s="86">
        <f>tbl_Actual_costs_quantities34[[#This Row],[Ceramic Tile Works WASH]]*BOQs!$L$12</f>
        <v>0</v>
      </c>
      <c r="AR653" s="76"/>
      <c r="AS653" s="37"/>
      <c r="AT653" s="86">
        <f>tbl_Actual_costs_quantities34[[#This Row],[Electrical Repairs Lighting]]*BOQs!$L$13</f>
        <v>0</v>
      </c>
      <c r="AU653" s="76"/>
      <c r="AV653" s="37"/>
      <c r="AW653" s="86">
        <f>tbl_Actual_costs_quantities34[[#This Row],[Roof Insulation Leak Sealing]]*BOQs!$L$14</f>
        <v>0</v>
      </c>
      <c r="AX653" s="76"/>
      <c r="AY653" s="37"/>
      <c r="AZ653" s="86">
        <f>tbl_Actual_costs_quantities34[[#This Row],[Chimney Duct Cleaning Repair]]*BOQs!$L$15</f>
        <v>0</v>
      </c>
      <c r="BA653" s="76"/>
      <c r="BB653" s="37"/>
      <c r="BC653" s="89">
        <f>tbl_Actual_costs_quantities34[[#This Row],[Accessibility Adaptations]]*BOQs!$L$16</f>
        <v>0</v>
      </c>
      <c r="BD653" s="41"/>
      <c r="BE653" s="37"/>
      <c r="BF653" s="37"/>
    </row>
    <row r="654" spans="2:58" ht="25.15" customHeight="1" x14ac:dyDescent="0.25">
      <c r="B654" s="49">
        <v>650</v>
      </c>
      <c r="C654" s="37"/>
      <c r="D654" s="41"/>
      <c r="E654" s="40"/>
      <c r="F654" s="87" t="str">
        <f>IF(tbl_Actual_costs_quantities34[[#This Row],[House Code]]&lt;&gt;"",INDEX(tbl_Assessment[],MATCH(tbl_Actual_costs_quantities34[[#This Row],[House Code]],tbl_Assessment[House Code],0),3),"")</f>
        <v/>
      </c>
      <c r="G654" s="116" t="str">
        <f>IF(tbl_Actual_costs_quantities34[[#This Row],[House Code]]&lt;&gt;"",INDEX(tbl_Assessment[],MATCH(tbl_Actual_costs_quantities34[[#This Row],[House Code]],tbl_Assessment[House Code],0),9),"")</f>
        <v/>
      </c>
      <c r="H654" s="41"/>
      <c r="I654" s="41"/>
      <c r="J654" s="41"/>
      <c r="K654" s="116"/>
      <c r="L654" s="117" t="str">
        <f>IF(tbl_Actual_costs_quantities34[[#This Row],[House Code]]&lt;&gt;"",tbl_Actual_costs_quantities34[[#This Row],[Total cost]]/INDEX(tbl_estimated_costs_quantities[],MATCH(tbl_Actual_costs_quantities34[[#This Row],[House Code]],tbl_estimated_costs_quantities[House Code],0),7),"")</f>
        <v/>
      </c>
      <c r="M65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4" s="75"/>
      <c r="O654" s="37"/>
      <c r="P654" s="86">
        <f>tbl_Actual_costs_quantities34[[#This Row],[Site Preparation]]*BOQs!$L$3</f>
        <v>0</v>
      </c>
      <c r="Q654" s="76"/>
      <c r="R654" s="37"/>
      <c r="S654" s="86">
        <f>tbl_Actual_costs_quantities34[[#This Row],[Demolition Removal Unsafe Structures]]*BOQs!$L$4</f>
        <v>0</v>
      </c>
      <c r="T654" s="76"/>
      <c r="U654" s="37"/>
      <c r="V654" s="86">
        <f>tbl_Actual_costs_quantities34[[#This Row],[Concrete Works]]*BOQs!$L$5</f>
        <v>0</v>
      </c>
      <c r="W654" s="76"/>
      <c r="X654" s="37"/>
      <c r="Y654" s="86">
        <f>tbl_Actual_costs_quantities34[[#This Row],[Closure External Openings Walls Windows]]*BOQs!$L$6</f>
        <v>0</v>
      </c>
      <c r="Z654" s="76"/>
      <c r="AA654" s="37"/>
      <c r="AB654" s="86">
        <f>tbl_Actual_costs_quantities34[[#This Row],[Plastering Painting]]*BOQs!$L$7</f>
        <v>0</v>
      </c>
      <c r="AC654" s="76"/>
      <c r="AD654" s="37"/>
      <c r="AE654" s="86">
        <f>tbl_Actual_costs_quantities34[[#This Row],[Floor Repairs]]*BOQs!$L$8</f>
        <v>0</v>
      </c>
      <c r="AF654" s="76"/>
      <c r="AG654" s="37"/>
      <c r="AH654" s="86">
        <f>tbl_Actual_costs_quantities34[[#This Row],[Doors Replacement Repair]]*BOQs!$L$9</f>
        <v>0</v>
      </c>
      <c r="AI654" s="76"/>
      <c r="AJ654" s="37"/>
      <c r="AK654" s="86">
        <f>tbl_Actual_costs_quantities34[[#This Row],[Windows Replacement Repair]]*BOQs!$L$10</f>
        <v>0</v>
      </c>
      <c r="AL654" s="76"/>
      <c r="AM654" s="37"/>
      <c r="AN654" s="86">
        <f>tbl_Actual_costs_quantities34[[#This Row],[Bathroom Rehabilitation]]*BOQs!$L$11</f>
        <v>0</v>
      </c>
      <c r="AO654" s="76"/>
      <c r="AP654" s="37"/>
      <c r="AQ654" s="86">
        <f>tbl_Actual_costs_quantities34[[#This Row],[Ceramic Tile Works WASH]]*BOQs!$L$12</f>
        <v>0</v>
      </c>
      <c r="AR654" s="76"/>
      <c r="AS654" s="37"/>
      <c r="AT654" s="86">
        <f>tbl_Actual_costs_quantities34[[#This Row],[Electrical Repairs Lighting]]*BOQs!$L$13</f>
        <v>0</v>
      </c>
      <c r="AU654" s="76"/>
      <c r="AV654" s="37"/>
      <c r="AW654" s="86">
        <f>tbl_Actual_costs_quantities34[[#This Row],[Roof Insulation Leak Sealing]]*BOQs!$L$14</f>
        <v>0</v>
      </c>
      <c r="AX654" s="76"/>
      <c r="AY654" s="37"/>
      <c r="AZ654" s="86">
        <f>tbl_Actual_costs_quantities34[[#This Row],[Chimney Duct Cleaning Repair]]*BOQs!$L$15</f>
        <v>0</v>
      </c>
      <c r="BA654" s="76"/>
      <c r="BB654" s="37"/>
      <c r="BC654" s="89">
        <f>tbl_Actual_costs_quantities34[[#This Row],[Accessibility Adaptations]]*BOQs!$L$16</f>
        <v>0</v>
      </c>
      <c r="BD654" s="41"/>
      <c r="BE654" s="37"/>
      <c r="BF654" s="37"/>
    </row>
    <row r="655" spans="2:58" ht="25.15" customHeight="1" x14ac:dyDescent="0.25">
      <c r="B655" s="49">
        <v>651</v>
      </c>
      <c r="C655" s="37"/>
      <c r="D655" s="41"/>
      <c r="E655" s="40"/>
      <c r="F655" s="87" t="str">
        <f>IF(tbl_Actual_costs_quantities34[[#This Row],[House Code]]&lt;&gt;"",INDEX(tbl_Assessment[],MATCH(tbl_Actual_costs_quantities34[[#This Row],[House Code]],tbl_Assessment[House Code],0),3),"")</f>
        <v/>
      </c>
      <c r="G655" s="116" t="str">
        <f>IF(tbl_Actual_costs_quantities34[[#This Row],[House Code]]&lt;&gt;"",INDEX(tbl_Assessment[],MATCH(tbl_Actual_costs_quantities34[[#This Row],[House Code]],tbl_Assessment[House Code],0),9),"")</f>
        <v/>
      </c>
      <c r="H655" s="41"/>
      <c r="I655" s="41"/>
      <c r="J655" s="41"/>
      <c r="K655" s="116"/>
      <c r="L655" s="117" t="str">
        <f>IF(tbl_Actual_costs_quantities34[[#This Row],[House Code]]&lt;&gt;"",tbl_Actual_costs_quantities34[[#This Row],[Total cost]]/INDEX(tbl_estimated_costs_quantities[],MATCH(tbl_Actual_costs_quantities34[[#This Row],[House Code]],tbl_estimated_costs_quantities[House Code],0),7),"")</f>
        <v/>
      </c>
      <c r="M65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5" s="75"/>
      <c r="O655" s="37"/>
      <c r="P655" s="86">
        <f>tbl_Actual_costs_quantities34[[#This Row],[Site Preparation]]*BOQs!$L$3</f>
        <v>0</v>
      </c>
      <c r="Q655" s="76"/>
      <c r="R655" s="37"/>
      <c r="S655" s="86">
        <f>tbl_Actual_costs_quantities34[[#This Row],[Demolition Removal Unsafe Structures]]*BOQs!$L$4</f>
        <v>0</v>
      </c>
      <c r="T655" s="76"/>
      <c r="U655" s="37"/>
      <c r="V655" s="86">
        <f>tbl_Actual_costs_quantities34[[#This Row],[Concrete Works]]*BOQs!$L$5</f>
        <v>0</v>
      </c>
      <c r="W655" s="76"/>
      <c r="X655" s="37"/>
      <c r="Y655" s="86">
        <f>tbl_Actual_costs_quantities34[[#This Row],[Closure External Openings Walls Windows]]*BOQs!$L$6</f>
        <v>0</v>
      </c>
      <c r="Z655" s="76"/>
      <c r="AA655" s="37"/>
      <c r="AB655" s="86">
        <f>tbl_Actual_costs_quantities34[[#This Row],[Plastering Painting]]*BOQs!$L$7</f>
        <v>0</v>
      </c>
      <c r="AC655" s="76"/>
      <c r="AD655" s="37"/>
      <c r="AE655" s="86">
        <f>tbl_Actual_costs_quantities34[[#This Row],[Floor Repairs]]*BOQs!$L$8</f>
        <v>0</v>
      </c>
      <c r="AF655" s="76"/>
      <c r="AG655" s="37"/>
      <c r="AH655" s="86">
        <f>tbl_Actual_costs_quantities34[[#This Row],[Doors Replacement Repair]]*BOQs!$L$9</f>
        <v>0</v>
      </c>
      <c r="AI655" s="76"/>
      <c r="AJ655" s="37"/>
      <c r="AK655" s="86">
        <f>tbl_Actual_costs_quantities34[[#This Row],[Windows Replacement Repair]]*BOQs!$L$10</f>
        <v>0</v>
      </c>
      <c r="AL655" s="76"/>
      <c r="AM655" s="37"/>
      <c r="AN655" s="86">
        <f>tbl_Actual_costs_quantities34[[#This Row],[Bathroom Rehabilitation]]*BOQs!$L$11</f>
        <v>0</v>
      </c>
      <c r="AO655" s="76"/>
      <c r="AP655" s="37"/>
      <c r="AQ655" s="86">
        <f>tbl_Actual_costs_quantities34[[#This Row],[Ceramic Tile Works WASH]]*BOQs!$L$12</f>
        <v>0</v>
      </c>
      <c r="AR655" s="76"/>
      <c r="AS655" s="37"/>
      <c r="AT655" s="86">
        <f>tbl_Actual_costs_quantities34[[#This Row],[Electrical Repairs Lighting]]*BOQs!$L$13</f>
        <v>0</v>
      </c>
      <c r="AU655" s="76"/>
      <c r="AV655" s="37"/>
      <c r="AW655" s="86">
        <f>tbl_Actual_costs_quantities34[[#This Row],[Roof Insulation Leak Sealing]]*BOQs!$L$14</f>
        <v>0</v>
      </c>
      <c r="AX655" s="76"/>
      <c r="AY655" s="37"/>
      <c r="AZ655" s="86">
        <f>tbl_Actual_costs_quantities34[[#This Row],[Chimney Duct Cleaning Repair]]*BOQs!$L$15</f>
        <v>0</v>
      </c>
      <c r="BA655" s="76"/>
      <c r="BB655" s="37"/>
      <c r="BC655" s="89">
        <f>tbl_Actual_costs_quantities34[[#This Row],[Accessibility Adaptations]]*BOQs!$L$16</f>
        <v>0</v>
      </c>
      <c r="BD655" s="41"/>
      <c r="BE655" s="37"/>
      <c r="BF655" s="37"/>
    </row>
    <row r="656" spans="2:58" ht="25.15" customHeight="1" x14ac:dyDescent="0.25">
      <c r="B656" s="49">
        <v>652</v>
      </c>
      <c r="C656" s="37"/>
      <c r="D656" s="41"/>
      <c r="E656" s="40"/>
      <c r="F656" s="87" t="str">
        <f>IF(tbl_Actual_costs_quantities34[[#This Row],[House Code]]&lt;&gt;"",INDEX(tbl_Assessment[],MATCH(tbl_Actual_costs_quantities34[[#This Row],[House Code]],tbl_Assessment[House Code],0),3),"")</f>
        <v/>
      </c>
      <c r="G656" s="116" t="str">
        <f>IF(tbl_Actual_costs_quantities34[[#This Row],[House Code]]&lt;&gt;"",INDEX(tbl_Assessment[],MATCH(tbl_Actual_costs_quantities34[[#This Row],[House Code]],tbl_Assessment[House Code],0),9),"")</f>
        <v/>
      </c>
      <c r="H656" s="41"/>
      <c r="I656" s="41"/>
      <c r="J656" s="41"/>
      <c r="K656" s="116"/>
      <c r="L656" s="117" t="str">
        <f>IF(tbl_Actual_costs_quantities34[[#This Row],[House Code]]&lt;&gt;"",tbl_Actual_costs_quantities34[[#This Row],[Total cost]]/INDEX(tbl_estimated_costs_quantities[],MATCH(tbl_Actual_costs_quantities34[[#This Row],[House Code]],tbl_estimated_costs_quantities[House Code],0),7),"")</f>
        <v/>
      </c>
      <c r="M65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6" s="75"/>
      <c r="O656" s="37"/>
      <c r="P656" s="86">
        <f>tbl_Actual_costs_quantities34[[#This Row],[Site Preparation]]*BOQs!$L$3</f>
        <v>0</v>
      </c>
      <c r="Q656" s="76"/>
      <c r="R656" s="37"/>
      <c r="S656" s="86">
        <f>tbl_Actual_costs_quantities34[[#This Row],[Demolition Removal Unsafe Structures]]*BOQs!$L$4</f>
        <v>0</v>
      </c>
      <c r="T656" s="76"/>
      <c r="U656" s="37"/>
      <c r="V656" s="86">
        <f>tbl_Actual_costs_quantities34[[#This Row],[Concrete Works]]*BOQs!$L$5</f>
        <v>0</v>
      </c>
      <c r="W656" s="76"/>
      <c r="X656" s="37"/>
      <c r="Y656" s="86">
        <f>tbl_Actual_costs_quantities34[[#This Row],[Closure External Openings Walls Windows]]*BOQs!$L$6</f>
        <v>0</v>
      </c>
      <c r="Z656" s="76"/>
      <c r="AA656" s="37"/>
      <c r="AB656" s="86">
        <f>tbl_Actual_costs_quantities34[[#This Row],[Plastering Painting]]*BOQs!$L$7</f>
        <v>0</v>
      </c>
      <c r="AC656" s="76"/>
      <c r="AD656" s="37"/>
      <c r="AE656" s="86">
        <f>tbl_Actual_costs_quantities34[[#This Row],[Floor Repairs]]*BOQs!$L$8</f>
        <v>0</v>
      </c>
      <c r="AF656" s="76"/>
      <c r="AG656" s="37"/>
      <c r="AH656" s="86">
        <f>tbl_Actual_costs_quantities34[[#This Row],[Doors Replacement Repair]]*BOQs!$L$9</f>
        <v>0</v>
      </c>
      <c r="AI656" s="76"/>
      <c r="AJ656" s="37"/>
      <c r="AK656" s="86">
        <f>tbl_Actual_costs_quantities34[[#This Row],[Windows Replacement Repair]]*BOQs!$L$10</f>
        <v>0</v>
      </c>
      <c r="AL656" s="76"/>
      <c r="AM656" s="37"/>
      <c r="AN656" s="86">
        <f>tbl_Actual_costs_quantities34[[#This Row],[Bathroom Rehabilitation]]*BOQs!$L$11</f>
        <v>0</v>
      </c>
      <c r="AO656" s="76"/>
      <c r="AP656" s="37"/>
      <c r="AQ656" s="86">
        <f>tbl_Actual_costs_quantities34[[#This Row],[Ceramic Tile Works WASH]]*BOQs!$L$12</f>
        <v>0</v>
      </c>
      <c r="AR656" s="76"/>
      <c r="AS656" s="37"/>
      <c r="AT656" s="86">
        <f>tbl_Actual_costs_quantities34[[#This Row],[Electrical Repairs Lighting]]*BOQs!$L$13</f>
        <v>0</v>
      </c>
      <c r="AU656" s="76"/>
      <c r="AV656" s="37"/>
      <c r="AW656" s="86">
        <f>tbl_Actual_costs_quantities34[[#This Row],[Roof Insulation Leak Sealing]]*BOQs!$L$14</f>
        <v>0</v>
      </c>
      <c r="AX656" s="76"/>
      <c r="AY656" s="37"/>
      <c r="AZ656" s="86">
        <f>tbl_Actual_costs_quantities34[[#This Row],[Chimney Duct Cleaning Repair]]*BOQs!$L$15</f>
        <v>0</v>
      </c>
      <c r="BA656" s="76"/>
      <c r="BB656" s="37"/>
      <c r="BC656" s="89">
        <f>tbl_Actual_costs_quantities34[[#This Row],[Accessibility Adaptations]]*BOQs!$L$16</f>
        <v>0</v>
      </c>
      <c r="BD656" s="41"/>
      <c r="BE656" s="37"/>
      <c r="BF656" s="37"/>
    </row>
    <row r="657" spans="2:58" ht="25.15" customHeight="1" x14ac:dyDescent="0.25">
      <c r="B657" s="49">
        <v>653</v>
      </c>
      <c r="C657" s="37"/>
      <c r="D657" s="41"/>
      <c r="E657" s="40"/>
      <c r="F657" s="87" t="str">
        <f>IF(tbl_Actual_costs_quantities34[[#This Row],[House Code]]&lt;&gt;"",INDEX(tbl_Assessment[],MATCH(tbl_Actual_costs_quantities34[[#This Row],[House Code]],tbl_Assessment[House Code],0),3),"")</f>
        <v/>
      </c>
      <c r="G657" s="116" t="str">
        <f>IF(tbl_Actual_costs_quantities34[[#This Row],[House Code]]&lt;&gt;"",INDEX(tbl_Assessment[],MATCH(tbl_Actual_costs_quantities34[[#This Row],[House Code]],tbl_Assessment[House Code],0),9),"")</f>
        <v/>
      </c>
      <c r="H657" s="41"/>
      <c r="I657" s="41"/>
      <c r="J657" s="41"/>
      <c r="K657" s="116"/>
      <c r="L657" s="117" t="str">
        <f>IF(tbl_Actual_costs_quantities34[[#This Row],[House Code]]&lt;&gt;"",tbl_Actual_costs_quantities34[[#This Row],[Total cost]]/INDEX(tbl_estimated_costs_quantities[],MATCH(tbl_Actual_costs_quantities34[[#This Row],[House Code]],tbl_estimated_costs_quantities[House Code],0),7),"")</f>
        <v/>
      </c>
      <c r="M65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7" s="75"/>
      <c r="O657" s="37"/>
      <c r="P657" s="86">
        <f>tbl_Actual_costs_quantities34[[#This Row],[Site Preparation]]*BOQs!$L$3</f>
        <v>0</v>
      </c>
      <c r="Q657" s="76"/>
      <c r="R657" s="37"/>
      <c r="S657" s="86">
        <f>tbl_Actual_costs_quantities34[[#This Row],[Demolition Removal Unsafe Structures]]*BOQs!$L$4</f>
        <v>0</v>
      </c>
      <c r="T657" s="76"/>
      <c r="U657" s="37"/>
      <c r="V657" s="86">
        <f>tbl_Actual_costs_quantities34[[#This Row],[Concrete Works]]*BOQs!$L$5</f>
        <v>0</v>
      </c>
      <c r="W657" s="76"/>
      <c r="X657" s="37"/>
      <c r="Y657" s="86">
        <f>tbl_Actual_costs_quantities34[[#This Row],[Closure External Openings Walls Windows]]*BOQs!$L$6</f>
        <v>0</v>
      </c>
      <c r="Z657" s="76"/>
      <c r="AA657" s="37"/>
      <c r="AB657" s="86">
        <f>tbl_Actual_costs_quantities34[[#This Row],[Plastering Painting]]*BOQs!$L$7</f>
        <v>0</v>
      </c>
      <c r="AC657" s="76"/>
      <c r="AD657" s="37"/>
      <c r="AE657" s="86">
        <f>tbl_Actual_costs_quantities34[[#This Row],[Floor Repairs]]*BOQs!$L$8</f>
        <v>0</v>
      </c>
      <c r="AF657" s="76"/>
      <c r="AG657" s="37"/>
      <c r="AH657" s="86">
        <f>tbl_Actual_costs_quantities34[[#This Row],[Doors Replacement Repair]]*BOQs!$L$9</f>
        <v>0</v>
      </c>
      <c r="AI657" s="76"/>
      <c r="AJ657" s="37"/>
      <c r="AK657" s="86">
        <f>tbl_Actual_costs_quantities34[[#This Row],[Windows Replacement Repair]]*BOQs!$L$10</f>
        <v>0</v>
      </c>
      <c r="AL657" s="76"/>
      <c r="AM657" s="37"/>
      <c r="AN657" s="86">
        <f>tbl_Actual_costs_quantities34[[#This Row],[Bathroom Rehabilitation]]*BOQs!$L$11</f>
        <v>0</v>
      </c>
      <c r="AO657" s="76"/>
      <c r="AP657" s="37"/>
      <c r="AQ657" s="86">
        <f>tbl_Actual_costs_quantities34[[#This Row],[Ceramic Tile Works WASH]]*BOQs!$L$12</f>
        <v>0</v>
      </c>
      <c r="AR657" s="76"/>
      <c r="AS657" s="37"/>
      <c r="AT657" s="86">
        <f>tbl_Actual_costs_quantities34[[#This Row],[Electrical Repairs Lighting]]*BOQs!$L$13</f>
        <v>0</v>
      </c>
      <c r="AU657" s="76"/>
      <c r="AV657" s="37"/>
      <c r="AW657" s="86">
        <f>tbl_Actual_costs_quantities34[[#This Row],[Roof Insulation Leak Sealing]]*BOQs!$L$14</f>
        <v>0</v>
      </c>
      <c r="AX657" s="76"/>
      <c r="AY657" s="37"/>
      <c r="AZ657" s="86">
        <f>tbl_Actual_costs_quantities34[[#This Row],[Chimney Duct Cleaning Repair]]*BOQs!$L$15</f>
        <v>0</v>
      </c>
      <c r="BA657" s="76"/>
      <c r="BB657" s="37"/>
      <c r="BC657" s="89">
        <f>tbl_Actual_costs_quantities34[[#This Row],[Accessibility Adaptations]]*BOQs!$L$16</f>
        <v>0</v>
      </c>
      <c r="BD657" s="41"/>
      <c r="BE657" s="37"/>
      <c r="BF657" s="37"/>
    </row>
    <row r="658" spans="2:58" ht="25.15" customHeight="1" x14ac:dyDescent="0.25">
      <c r="B658" s="49">
        <v>654</v>
      </c>
      <c r="C658" s="37"/>
      <c r="D658" s="41"/>
      <c r="E658" s="40"/>
      <c r="F658" s="87" t="str">
        <f>IF(tbl_Actual_costs_quantities34[[#This Row],[House Code]]&lt;&gt;"",INDEX(tbl_Assessment[],MATCH(tbl_Actual_costs_quantities34[[#This Row],[House Code]],tbl_Assessment[House Code],0),3),"")</f>
        <v/>
      </c>
      <c r="G658" s="116" t="str">
        <f>IF(tbl_Actual_costs_quantities34[[#This Row],[House Code]]&lt;&gt;"",INDEX(tbl_Assessment[],MATCH(tbl_Actual_costs_quantities34[[#This Row],[House Code]],tbl_Assessment[House Code],0),9),"")</f>
        <v/>
      </c>
      <c r="H658" s="41"/>
      <c r="I658" s="41"/>
      <c r="J658" s="41"/>
      <c r="K658" s="116"/>
      <c r="L658" s="117" t="str">
        <f>IF(tbl_Actual_costs_quantities34[[#This Row],[House Code]]&lt;&gt;"",tbl_Actual_costs_quantities34[[#This Row],[Total cost]]/INDEX(tbl_estimated_costs_quantities[],MATCH(tbl_Actual_costs_quantities34[[#This Row],[House Code]],tbl_estimated_costs_quantities[House Code],0),7),"")</f>
        <v/>
      </c>
      <c r="M65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8" s="75"/>
      <c r="O658" s="37"/>
      <c r="P658" s="86">
        <f>tbl_Actual_costs_quantities34[[#This Row],[Site Preparation]]*BOQs!$L$3</f>
        <v>0</v>
      </c>
      <c r="Q658" s="76"/>
      <c r="R658" s="37"/>
      <c r="S658" s="86">
        <f>tbl_Actual_costs_quantities34[[#This Row],[Demolition Removal Unsafe Structures]]*BOQs!$L$4</f>
        <v>0</v>
      </c>
      <c r="T658" s="76"/>
      <c r="U658" s="37"/>
      <c r="V658" s="86">
        <f>tbl_Actual_costs_quantities34[[#This Row],[Concrete Works]]*BOQs!$L$5</f>
        <v>0</v>
      </c>
      <c r="W658" s="76"/>
      <c r="X658" s="37"/>
      <c r="Y658" s="86">
        <f>tbl_Actual_costs_quantities34[[#This Row],[Closure External Openings Walls Windows]]*BOQs!$L$6</f>
        <v>0</v>
      </c>
      <c r="Z658" s="76"/>
      <c r="AA658" s="37"/>
      <c r="AB658" s="86">
        <f>tbl_Actual_costs_quantities34[[#This Row],[Plastering Painting]]*BOQs!$L$7</f>
        <v>0</v>
      </c>
      <c r="AC658" s="76"/>
      <c r="AD658" s="37"/>
      <c r="AE658" s="86">
        <f>tbl_Actual_costs_quantities34[[#This Row],[Floor Repairs]]*BOQs!$L$8</f>
        <v>0</v>
      </c>
      <c r="AF658" s="76"/>
      <c r="AG658" s="37"/>
      <c r="AH658" s="86">
        <f>tbl_Actual_costs_quantities34[[#This Row],[Doors Replacement Repair]]*BOQs!$L$9</f>
        <v>0</v>
      </c>
      <c r="AI658" s="76"/>
      <c r="AJ658" s="37"/>
      <c r="AK658" s="86">
        <f>tbl_Actual_costs_quantities34[[#This Row],[Windows Replacement Repair]]*BOQs!$L$10</f>
        <v>0</v>
      </c>
      <c r="AL658" s="76"/>
      <c r="AM658" s="37"/>
      <c r="AN658" s="86">
        <f>tbl_Actual_costs_quantities34[[#This Row],[Bathroom Rehabilitation]]*BOQs!$L$11</f>
        <v>0</v>
      </c>
      <c r="AO658" s="76"/>
      <c r="AP658" s="37"/>
      <c r="AQ658" s="86">
        <f>tbl_Actual_costs_quantities34[[#This Row],[Ceramic Tile Works WASH]]*BOQs!$L$12</f>
        <v>0</v>
      </c>
      <c r="AR658" s="76"/>
      <c r="AS658" s="37"/>
      <c r="AT658" s="86">
        <f>tbl_Actual_costs_quantities34[[#This Row],[Electrical Repairs Lighting]]*BOQs!$L$13</f>
        <v>0</v>
      </c>
      <c r="AU658" s="76"/>
      <c r="AV658" s="37"/>
      <c r="AW658" s="86">
        <f>tbl_Actual_costs_quantities34[[#This Row],[Roof Insulation Leak Sealing]]*BOQs!$L$14</f>
        <v>0</v>
      </c>
      <c r="AX658" s="76"/>
      <c r="AY658" s="37"/>
      <c r="AZ658" s="86">
        <f>tbl_Actual_costs_quantities34[[#This Row],[Chimney Duct Cleaning Repair]]*BOQs!$L$15</f>
        <v>0</v>
      </c>
      <c r="BA658" s="76"/>
      <c r="BB658" s="37"/>
      <c r="BC658" s="89">
        <f>tbl_Actual_costs_quantities34[[#This Row],[Accessibility Adaptations]]*BOQs!$L$16</f>
        <v>0</v>
      </c>
      <c r="BD658" s="41"/>
      <c r="BE658" s="37"/>
      <c r="BF658" s="37"/>
    </row>
    <row r="659" spans="2:58" ht="25.15" customHeight="1" x14ac:dyDescent="0.25">
      <c r="B659" s="49">
        <v>655</v>
      </c>
      <c r="C659" s="37"/>
      <c r="D659" s="41"/>
      <c r="E659" s="40"/>
      <c r="F659" s="87" t="str">
        <f>IF(tbl_Actual_costs_quantities34[[#This Row],[House Code]]&lt;&gt;"",INDEX(tbl_Assessment[],MATCH(tbl_Actual_costs_quantities34[[#This Row],[House Code]],tbl_Assessment[House Code],0),3),"")</f>
        <v/>
      </c>
      <c r="G659" s="116" t="str">
        <f>IF(tbl_Actual_costs_quantities34[[#This Row],[House Code]]&lt;&gt;"",INDEX(tbl_Assessment[],MATCH(tbl_Actual_costs_quantities34[[#This Row],[House Code]],tbl_Assessment[House Code],0),9),"")</f>
        <v/>
      </c>
      <c r="H659" s="41"/>
      <c r="I659" s="41"/>
      <c r="J659" s="41"/>
      <c r="K659" s="116"/>
      <c r="L659" s="117" t="str">
        <f>IF(tbl_Actual_costs_quantities34[[#This Row],[House Code]]&lt;&gt;"",tbl_Actual_costs_quantities34[[#This Row],[Total cost]]/INDEX(tbl_estimated_costs_quantities[],MATCH(tbl_Actual_costs_quantities34[[#This Row],[House Code]],tbl_estimated_costs_quantities[House Code],0),7),"")</f>
        <v/>
      </c>
      <c r="M65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59" s="75"/>
      <c r="O659" s="37"/>
      <c r="P659" s="86">
        <f>tbl_Actual_costs_quantities34[[#This Row],[Site Preparation]]*BOQs!$L$3</f>
        <v>0</v>
      </c>
      <c r="Q659" s="76"/>
      <c r="R659" s="37"/>
      <c r="S659" s="86">
        <f>tbl_Actual_costs_quantities34[[#This Row],[Demolition Removal Unsafe Structures]]*BOQs!$L$4</f>
        <v>0</v>
      </c>
      <c r="T659" s="76"/>
      <c r="U659" s="37"/>
      <c r="V659" s="86">
        <f>tbl_Actual_costs_quantities34[[#This Row],[Concrete Works]]*BOQs!$L$5</f>
        <v>0</v>
      </c>
      <c r="W659" s="76"/>
      <c r="X659" s="37"/>
      <c r="Y659" s="86">
        <f>tbl_Actual_costs_quantities34[[#This Row],[Closure External Openings Walls Windows]]*BOQs!$L$6</f>
        <v>0</v>
      </c>
      <c r="Z659" s="76"/>
      <c r="AA659" s="37"/>
      <c r="AB659" s="86">
        <f>tbl_Actual_costs_quantities34[[#This Row],[Plastering Painting]]*BOQs!$L$7</f>
        <v>0</v>
      </c>
      <c r="AC659" s="76"/>
      <c r="AD659" s="37"/>
      <c r="AE659" s="86">
        <f>tbl_Actual_costs_quantities34[[#This Row],[Floor Repairs]]*BOQs!$L$8</f>
        <v>0</v>
      </c>
      <c r="AF659" s="76"/>
      <c r="AG659" s="37"/>
      <c r="AH659" s="86">
        <f>tbl_Actual_costs_quantities34[[#This Row],[Doors Replacement Repair]]*BOQs!$L$9</f>
        <v>0</v>
      </c>
      <c r="AI659" s="76"/>
      <c r="AJ659" s="37"/>
      <c r="AK659" s="86">
        <f>tbl_Actual_costs_quantities34[[#This Row],[Windows Replacement Repair]]*BOQs!$L$10</f>
        <v>0</v>
      </c>
      <c r="AL659" s="76"/>
      <c r="AM659" s="37"/>
      <c r="AN659" s="86">
        <f>tbl_Actual_costs_quantities34[[#This Row],[Bathroom Rehabilitation]]*BOQs!$L$11</f>
        <v>0</v>
      </c>
      <c r="AO659" s="76"/>
      <c r="AP659" s="37"/>
      <c r="AQ659" s="86">
        <f>tbl_Actual_costs_quantities34[[#This Row],[Ceramic Tile Works WASH]]*BOQs!$L$12</f>
        <v>0</v>
      </c>
      <c r="AR659" s="76"/>
      <c r="AS659" s="37"/>
      <c r="AT659" s="86">
        <f>tbl_Actual_costs_quantities34[[#This Row],[Electrical Repairs Lighting]]*BOQs!$L$13</f>
        <v>0</v>
      </c>
      <c r="AU659" s="76"/>
      <c r="AV659" s="37"/>
      <c r="AW659" s="86">
        <f>tbl_Actual_costs_quantities34[[#This Row],[Roof Insulation Leak Sealing]]*BOQs!$L$14</f>
        <v>0</v>
      </c>
      <c r="AX659" s="76"/>
      <c r="AY659" s="37"/>
      <c r="AZ659" s="86">
        <f>tbl_Actual_costs_quantities34[[#This Row],[Chimney Duct Cleaning Repair]]*BOQs!$L$15</f>
        <v>0</v>
      </c>
      <c r="BA659" s="76"/>
      <c r="BB659" s="37"/>
      <c r="BC659" s="89">
        <f>tbl_Actual_costs_quantities34[[#This Row],[Accessibility Adaptations]]*BOQs!$L$16</f>
        <v>0</v>
      </c>
      <c r="BD659" s="41"/>
      <c r="BE659" s="37"/>
      <c r="BF659" s="37"/>
    </row>
    <row r="660" spans="2:58" ht="25.15" customHeight="1" x14ac:dyDescent="0.25">
      <c r="B660" s="49">
        <v>656</v>
      </c>
      <c r="C660" s="37"/>
      <c r="D660" s="41"/>
      <c r="E660" s="40"/>
      <c r="F660" s="87" t="str">
        <f>IF(tbl_Actual_costs_quantities34[[#This Row],[House Code]]&lt;&gt;"",INDEX(tbl_Assessment[],MATCH(tbl_Actual_costs_quantities34[[#This Row],[House Code]],tbl_Assessment[House Code],0),3),"")</f>
        <v/>
      </c>
      <c r="G660" s="116" t="str">
        <f>IF(tbl_Actual_costs_quantities34[[#This Row],[House Code]]&lt;&gt;"",INDEX(tbl_Assessment[],MATCH(tbl_Actual_costs_quantities34[[#This Row],[House Code]],tbl_Assessment[House Code],0),9),"")</f>
        <v/>
      </c>
      <c r="H660" s="41"/>
      <c r="I660" s="41"/>
      <c r="J660" s="41"/>
      <c r="K660" s="116"/>
      <c r="L660" s="117" t="str">
        <f>IF(tbl_Actual_costs_quantities34[[#This Row],[House Code]]&lt;&gt;"",tbl_Actual_costs_quantities34[[#This Row],[Total cost]]/INDEX(tbl_estimated_costs_quantities[],MATCH(tbl_Actual_costs_quantities34[[#This Row],[House Code]],tbl_estimated_costs_quantities[House Code],0),7),"")</f>
        <v/>
      </c>
      <c r="M66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0" s="75"/>
      <c r="O660" s="37"/>
      <c r="P660" s="86">
        <f>tbl_Actual_costs_quantities34[[#This Row],[Site Preparation]]*BOQs!$L$3</f>
        <v>0</v>
      </c>
      <c r="Q660" s="76"/>
      <c r="R660" s="37"/>
      <c r="S660" s="86">
        <f>tbl_Actual_costs_quantities34[[#This Row],[Demolition Removal Unsafe Structures]]*BOQs!$L$4</f>
        <v>0</v>
      </c>
      <c r="T660" s="76"/>
      <c r="U660" s="37"/>
      <c r="V660" s="86">
        <f>tbl_Actual_costs_quantities34[[#This Row],[Concrete Works]]*BOQs!$L$5</f>
        <v>0</v>
      </c>
      <c r="W660" s="76"/>
      <c r="X660" s="37"/>
      <c r="Y660" s="86">
        <f>tbl_Actual_costs_quantities34[[#This Row],[Closure External Openings Walls Windows]]*BOQs!$L$6</f>
        <v>0</v>
      </c>
      <c r="Z660" s="76"/>
      <c r="AA660" s="37"/>
      <c r="AB660" s="86">
        <f>tbl_Actual_costs_quantities34[[#This Row],[Plastering Painting]]*BOQs!$L$7</f>
        <v>0</v>
      </c>
      <c r="AC660" s="76"/>
      <c r="AD660" s="37"/>
      <c r="AE660" s="86">
        <f>tbl_Actual_costs_quantities34[[#This Row],[Floor Repairs]]*BOQs!$L$8</f>
        <v>0</v>
      </c>
      <c r="AF660" s="76"/>
      <c r="AG660" s="37"/>
      <c r="AH660" s="86">
        <f>tbl_Actual_costs_quantities34[[#This Row],[Doors Replacement Repair]]*BOQs!$L$9</f>
        <v>0</v>
      </c>
      <c r="AI660" s="76"/>
      <c r="AJ660" s="37"/>
      <c r="AK660" s="86">
        <f>tbl_Actual_costs_quantities34[[#This Row],[Windows Replacement Repair]]*BOQs!$L$10</f>
        <v>0</v>
      </c>
      <c r="AL660" s="76"/>
      <c r="AM660" s="37"/>
      <c r="AN660" s="86">
        <f>tbl_Actual_costs_quantities34[[#This Row],[Bathroom Rehabilitation]]*BOQs!$L$11</f>
        <v>0</v>
      </c>
      <c r="AO660" s="76"/>
      <c r="AP660" s="37"/>
      <c r="AQ660" s="86">
        <f>tbl_Actual_costs_quantities34[[#This Row],[Ceramic Tile Works WASH]]*BOQs!$L$12</f>
        <v>0</v>
      </c>
      <c r="AR660" s="76"/>
      <c r="AS660" s="37"/>
      <c r="AT660" s="86">
        <f>tbl_Actual_costs_quantities34[[#This Row],[Electrical Repairs Lighting]]*BOQs!$L$13</f>
        <v>0</v>
      </c>
      <c r="AU660" s="76"/>
      <c r="AV660" s="37"/>
      <c r="AW660" s="86">
        <f>tbl_Actual_costs_quantities34[[#This Row],[Roof Insulation Leak Sealing]]*BOQs!$L$14</f>
        <v>0</v>
      </c>
      <c r="AX660" s="76"/>
      <c r="AY660" s="37"/>
      <c r="AZ660" s="86">
        <f>tbl_Actual_costs_quantities34[[#This Row],[Chimney Duct Cleaning Repair]]*BOQs!$L$15</f>
        <v>0</v>
      </c>
      <c r="BA660" s="76"/>
      <c r="BB660" s="37"/>
      <c r="BC660" s="89">
        <f>tbl_Actual_costs_quantities34[[#This Row],[Accessibility Adaptations]]*BOQs!$L$16</f>
        <v>0</v>
      </c>
      <c r="BD660" s="41"/>
      <c r="BE660" s="37"/>
      <c r="BF660" s="37"/>
    </row>
    <row r="661" spans="2:58" ht="25.15" customHeight="1" x14ac:dyDescent="0.25">
      <c r="B661" s="49">
        <v>657</v>
      </c>
      <c r="C661" s="37"/>
      <c r="D661" s="41"/>
      <c r="E661" s="40"/>
      <c r="F661" s="87" t="str">
        <f>IF(tbl_Actual_costs_quantities34[[#This Row],[House Code]]&lt;&gt;"",INDEX(tbl_Assessment[],MATCH(tbl_Actual_costs_quantities34[[#This Row],[House Code]],tbl_Assessment[House Code],0),3),"")</f>
        <v/>
      </c>
      <c r="G661" s="116" t="str">
        <f>IF(tbl_Actual_costs_quantities34[[#This Row],[House Code]]&lt;&gt;"",INDEX(tbl_Assessment[],MATCH(tbl_Actual_costs_quantities34[[#This Row],[House Code]],tbl_Assessment[House Code],0),9),"")</f>
        <v/>
      </c>
      <c r="H661" s="41"/>
      <c r="I661" s="41"/>
      <c r="J661" s="41"/>
      <c r="K661" s="116"/>
      <c r="L661" s="117" t="str">
        <f>IF(tbl_Actual_costs_quantities34[[#This Row],[House Code]]&lt;&gt;"",tbl_Actual_costs_quantities34[[#This Row],[Total cost]]/INDEX(tbl_estimated_costs_quantities[],MATCH(tbl_Actual_costs_quantities34[[#This Row],[House Code]],tbl_estimated_costs_quantities[House Code],0),7),"")</f>
        <v/>
      </c>
      <c r="M66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1" s="75"/>
      <c r="O661" s="37"/>
      <c r="P661" s="86">
        <f>tbl_Actual_costs_quantities34[[#This Row],[Site Preparation]]*BOQs!$L$3</f>
        <v>0</v>
      </c>
      <c r="Q661" s="76"/>
      <c r="R661" s="37"/>
      <c r="S661" s="86">
        <f>tbl_Actual_costs_quantities34[[#This Row],[Demolition Removal Unsafe Structures]]*BOQs!$L$4</f>
        <v>0</v>
      </c>
      <c r="T661" s="76"/>
      <c r="U661" s="37"/>
      <c r="V661" s="86">
        <f>tbl_Actual_costs_quantities34[[#This Row],[Concrete Works]]*BOQs!$L$5</f>
        <v>0</v>
      </c>
      <c r="W661" s="76"/>
      <c r="X661" s="37"/>
      <c r="Y661" s="86">
        <f>tbl_Actual_costs_quantities34[[#This Row],[Closure External Openings Walls Windows]]*BOQs!$L$6</f>
        <v>0</v>
      </c>
      <c r="Z661" s="76"/>
      <c r="AA661" s="37"/>
      <c r="AB661" s="86">
        <f>tbl_Actual_costs_quantities34[[#This Row],[Plastering Painting]]*BOQs!$L$7</f>
        <v>0</v>
      </c>
      <c r="AC661" s="76"/>
      <c r="AD661" s="37"/>
      <c r="AE661" s="86">
        <f>tbl_Actual_costs_quantities34[[#This Row],[Floor Repairs]]*BOQs!$L$8</f>
        <v>0</v>
      </c>
      <c r="AF661" s="76"/>
      <c r="AG661" s="37"/>
      <c r="AH661" s="86">
        <f>tbl_Actual_costs_quantities34[[#This Row],[Doors Replacement Repair]]*BOQs!$L$9</f>
        <v>0</v>
      </c>
      <c r="AI661" s="76"/>
      <c r="AJ661" s="37"/>
      <c r="AK661" s="86">
        <f>tbl_Actual_costs_quantities34[[#This Row],[Windows Replacement Repair]]*BOQs!$L$10</f>
        <v>0</v>
      </c>
      <c r="AL661" s="76"/>
      <c r="AM661" s="37"/>
      <c r="AN661" s="86">
        <f>tbl_Actual_costs_quantities34[[#This Row],[Bathroom Rehabilitation]]*BOQs!$L$11</f>
        <v>0</v>
      </c>
      <c r="AO661" s="76"/>
      <c r="AP661" s="37"/>
      <c r="AQ661" s="86">
        <f>tbl_Actual_costs_quantities34[[#This Row],[Ceramic Tile Works WASH]]*BOQs!$L$12</f>
        <v>0</v>
      </c>
      <c r="AR661" s="76"/>
      <c r="AS661" s="37"/>
      <c r="AT661" s="86">
        <f>tbl_Actual_costs_quantities34[[#This Row],[Electrical Repairs Lighting]]*BOQs!$L$13</f>
        <v>0</v>
      </c>
      <c r="AU661" s="76"/>
      <c r="AV661" s="37"/>
      <c r="AW661" s="86">
        <f>tbl_Actual_costs_quantities34[[#This Row],[Roof Insulation Leak Sealing]]*BOQs!$L$14</f>
        <v>0</v>
      </c>
      <c r="AX661" s="76"/>
      <c r="AY661" s="37"/>
      <c r="AZ661" s="86">
        <f>tbl_Actual_costs_quantities34[[#This Row],[Chimney Duct Cleaning Repair]]*BOQs!$L$15</f>
        <v>0</v>
      </c>
      <c r="BA661" s="76"/>
      <c r="BB661" s="37"/>
      <c r="BC661" s="89">
        <f>tbl_Actual_costs_quantities34[[#This Row],[Accessibility Adaptations]]*BOQs!$L$16</f>
        <v>0</v>
      </c>
      <c r="BD661" s="41"/>
      <c r="BE661" s="37"/>
      <c r="BF661" s="37"/>
    </row>
    <row r="662" spans="2:58" ht="25.15" customHeight="1" x14ac:dyDescent="0.25">
      <c r="B662" s="49">
        <v>658</v>
      </c>
      <c r="C662" s="37"/>
      <c r="D662" s="41"/>
      <c r="E662" s="40"/>
      <c r="F662" s="87" t="str">
        <f>IF(tbl_Actual_costs_quantities34[[#This Row],[House Code]]&lt;&gt;"",INDEX(tbl_Assessment[],MATCH(tbl_Actual_costs_quantities34[[#This Row],[House Code]],tbl_Assessment[House Code],0),3),"")</f>
        <v/>
      </c>
      <c r="G662" s="116" t="str">
        <f>IF(tbl_Actual_costs_quantities34[[#This Row],[House Code]]&lt;&gt;"",INDEX(tbl_Assessment[],MATCH(tbl_Actual_costs_quantities34[[#This Row],[House Code]],tbl_Assessment[House Code],0),9),"")</f>
        <v/>
      </c>
      <c r="H662" s="41"/>
      <c r="I662" s="41"/>
      <c r="J662" s="41"/>
      <c r="K662" s="116"/>
      <c r="L662" s="117" t="str">
        <f>IF(tbl_Actual_costs_quantities34[[#This Row],[House Code]]&lt;&gt;"",tbl_Actual_costs_quantities34[[#This Row],[Total cost]]/INDEX(tbl_estimated_costs_quantities[],MATCH(tbl_Actual_costs_quantities34[[#This Row],[House Code]],tbl_estimated_costs_quantities[House Code],0),7),"")</f>
        <v/>
      </c>
      <c r="M66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2" s="75"/>
      <c r="O662" s="37"/>
      <c r="P662" s="86">
        <f>tbl_Actual_costs_quantities34[[#This Row],[Site Preparation]]*BOQs!$L$3</f>
        <v>0</v>
      </c>
      <c r="Q662" s="76"/>
      <c r="R662" s="37"/>
      <c r="S662" s="86">
        <f>tbl_Actual_costs_quantities34[[#This Row],[Demolition Removal Unsafe Structures]]*BOQs!$L$4</f>
        <v>0</v>
      </c>
      <c r="T662" s="76"/>
      <c r="U662" s="37"/>
      <c r="V662" s="86">
        <f>tbl_Actual_costs_quantities34[[#This Row],[Concrete Works]]*BOQs!$L$5</f>
        <v>0</v>
      </c>
      <c r="W662" s="76"/>
      <c r="X662" s="37"/>
      <c r="Y662" s="86">
        <f>tbl_Actual_costs_quantities34[[#This Row],[Closure External Openings Walls Windows]]*BOQs!$L$6</f>
        <v>0</v>
      </c>
      <c r="Z662" s="76"/>
      <c r="AA662" s="37"/>
      <c r="AB662" s="86">
        <f>tbl_Actual_costs_quantities34[[#This Row],[Plastering Painting]]*BOQs!$L$7</f>
        <v>0</v>
      </c>
      <c r="AC662" s="76"/>
      <c r="AD662" s="37"/>
      <c r="AE662" s="86">
        <f>tbl_Actual_costs_quantities34[[#This Row],[Floor Repairs]]*BOQs!$L$8</f>
        <v>0</v>
      </c>
      <c r="AF662" s="76"/>
      <c r="AG662" s="37"/>
      <c r="AH662" s="86">
        <f>tbl_Actual_costs_quantities34[[#This Row],[Doors Replacement Repair]]*BOQs!$L$9</f>
        <v>0</v>
      </c>
      <c r="AI662" s="76"/>
      <c r="AJ662" s="37"/>
      <c r="AK662" s="86">
        <f>tbl_Actual_costs_quantities34[[#This Row],[Windows Replacement Repair]]*BOQs!$L$10</f>
        <v>0</v>
      </c>
      <c r="AL662" s="76"/>
      <c r="AM662" s="37"/>
      <c r="AN662" s="86">
        <f>tbl_Actual_costs_quantities34[[#This Row],[Bathroom Rehabilitation]]*BOQs!$L$11</f>
        <v>0</v>
      </c>
      <c r="AO662" s="76"/>
      <c r="AP662" s="37"/>
      <c r="AQ662" s="86">
        <f>tbl_Actual_costs_quantities34[[#This Row],[Ceramic Tile Works WASH]]*BOQs!$L$12</f>
        <v>0</v>
      </c>
      <c r="AR662" s="76"/>
      <c r="AS662" s="37"/>
      <c r="AT662" s="86">
        <f>tbl_Actual_costs_quantities34[[#This Row],[Electrical Repairs Lighting]]*BOQs!$L$13</f>
        <v>0</v>
      </c>
      <c r="AU662" s="76"/>
      <c r="AV662" s="37"/>
      <c r="AW662" s="86">
        <f>tbl_Actual_costs_quantities34[[#This Row],[Roof Insulation Leak Sealing]]*BOQs!$L$14</f>
        <v>0</v>
      </c>
      <c r="AX662" s="76"/>
      <c r="AY662" s="37"/>
      <c r="AZ662" s="86">
        <f>tbl_Actual_costs_quantities34[[#This Row],[Chimney Duct Cleaning Repair]]*BOQs!$L$15</f>
        <v>0</v>
      </c>
      <c r="BA662" s="76"/>
      <c r="BB662" s="37"/>
      <c r="BC662" s="89">
        <f>tbl_Actual_costs_quantities34[[#This Row],[Accessibility Adaptations]]*BOQs!$L$16</f>
        <v>0</v>
      </c>
      <c r="BD662" s="41"/>
      <c r="BE662" s="37"/>
      <c r="BF662" s="37"/>
    </row>
    <row r="663" spans="2:58" ht="25.15" customHeight="1" x14ac:dyDescent="0.25">
      <c r="B663" s="49">
        <v>659</v>
      </c>
      <c r="C663" s="37"/>
      <c r="D663" s="41"/>
      <c r="E663" s="40"/>
      <c r="F663" s="87" t="str">
        <f>IF(tbl_Actual_costs_quantities34[[#This Row],[House Code]]&lt;&gt;"",INDEX(tbl_Assessment[],MATCH(tbl_Actual_costs_quantities34[[#This Row],[House Code]],tbl_Assessment[House Code],0),3),"")</f>
        <v/>
      </c>
      <c r="G663" s="116" t="str">
        <f>IF(tbl_Actual_costs_quantities34[[#This Row],[House Code]]&lt;&gt;"",INDEX(tbl_Assessment[],MATCH(tbl_Actual_costs_quantities34[[#This Row],[House Code]],tbl_Assessment[House Code],0),9),"")</f>
        <v/>
      </c>
      <c r="H663" s="41"/>
      <c r="I663" s="41"/>
      <c r="J663" s="41"/>
      <c r="K663" s="116"/>
      <c r="L663" s="117" t="str">
        <f>IF(tbl_Actual_costs_quantities34[[#This Row],[House Code]]&lt;&gt;"",tbl_Actual_costs_quantities34[[#This Row],[Total cost]]/INDEX(tbl_estimated_costs_quantities[],MATCH(tbl_Actual_costs_quantities34[[#This Row],[House Code]],tbl_estimated_costs_quantities[House Code],0),7),"")</f>
        <v/>
      </c>
      <c r="M66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3" s="75"/>
      <c r="O663" s="37"/>
      <c r="P663" s="86">
        <f>tbl_Actual_costs_quantities34[[#This Row],[Site Preparation]]*BOQs!$L$3</f>
        <v>0</v>
      </c>
      <c r="Q663" s="76"/>
      <c r="R663" s="37"/>
      <c r="S663" s="86">
        <f>tbl_Actual_costs_quantities34[[#This Row],[Demolition Removal Unsafe Structures]]*BOQs!$L$4</f>
        <v>0</v>
      </c>
      <c r="T663" s="76"/>
      <c r="U663" s="37"/>
      <c r="V663" s="86">
        <f>tbl_Actual_costs_quantities34[[#This Row],[Concrete Works]]*BOQs!$L$5</f>
        <v>0</v>
      </c>
      <c r="W663" s="76"/>
      <c r="X663" s="37"/>
      <c r="Y663" s="86">
        <f>tbl_Actual_costs_quantities34[[#This Row],[Closure External Openings Walls Windows]]*BOQs!$L$6</f>
        <v>0</v>
      </c>
      <c r="Z663" s="76"/>
      <c r="AA663" s="37"/>
      <c r="AB663" s="86">
        <f>tbl_Actual_costs_quantities34[[#This Row],[Plastering Painting]]*BOQs!$L$7</f>
        <v>0</v>
      </c>
      <c r="AC663" s="76"/>
      <c r="AD663" s="37"/>
      <c r="AE663" s="86">
        <f>tbl_Actual_costs_quantities34[[#This Row],[Floor Repairs]]*BOQs!$L$8</f>
        <v>0</v>
      </c>
      <c r="AF663" s="76"/>
      <c r="AG663" s="37"/>
      <c r="AH663" s="86">
        <f>tbl_Actual_costs_quantities34[[#This Row],[Doors Replacement Repair]]*BOQs!$L$9</f>
        <v>0</v>
      </c>
      <c r="AI663" s="76"/>
      <c r="AJ663" s="37"/>
      <c r="AK663" s="86">
        <f>tbl_Actual_costs_quantities34[[#This Row],[Windows Replacement Repair]]*BOQs!$L$10</f>
        <v>0</v>
      </c>
      <c r="AL663" s="76"/>
      <c r="AM663" s="37"/>
      <c r="AN663" s="86">
        <f>tbl_Actual_costs_quantities34[[#This Row],[Bathroom Rehabilitation]]*BOQs!$L$11</f>
        <v>0</v>
      </c>
      <c r="AO663" s="76"/>
      <c r="AP663" s="37"/>
      <c r="AQ663" s="86">
        <f>tbl_Actual_costs_quantities34[[#This Row],[Ceramic Tile Works WASH]]*BOQs!$L$12</f>
        <v>0</v>
      </c>
      <c r="AR663" s="76"/>
      <c r="AS663" s="37"/>
      <c r="AT663" s="86">
        <f>tbl_Actual_costs_quantities34[[#This Row],[Electrical Repairs Lighting]]*BOQs!$L$13</f>
        <v>0</v>
      </c>
      <c r="AU663" s="76"/>
      <c r="AV663" s="37"/>
      <c r="AW663" s="86">
        <f>tbl_Actual_costs_quantities34[[#This Row],[Roof Insulation Leak Sealing]]*BOQs!$L$14</f>
        <v>0</v>
      </c>
      <c r="AX663" s="76"/>
      <c r="AY663" s="37"/>
      <c r="AZ663" s="86">
        <f>tbl_Actual_costs_quantities34[[#This Row],[Chimney Duct Cleaning Repair]]*BOQs!$L$15</f>
        <v>0</v>
      </c>
      <c r="BA663" s="76"/>
      <c r="BB663" s="37"/>
      <c r="BC663" s="89">
        <f>tbl_Actual_costs_quantities34[[#This Row],[Accessibility Adaptations]]*BOQs!$L$16</f>
        <v>0</v>
      </c>
      <c r="BD663" s="41"/>
      <c r="BE663" s="37"/>
      <c r="BF663" s="37"/>
    </row>
    <row r="664" spans="2:58" ht="25.15" customHeight="1" x14ac:dyDescent="0.25">
      <c r="B664" s="49">
        <v>660</v>
      </c>
      <c r="C664" s="37"/>
      <c r="D664" s="41"/>
      <c r="E664" s="40"/>
      <c r="F664" s="87" t="str">
        <f>IF(tbl_Actual_costs_quantities34[[#This Row],[House Code]]&lt;&gt;"",INDEX(tbl_Assessment[],MATCH(tbl_Actual_costs_quantities34[[#This Row],[House Code]],tbl_Assessment[House Code],0),3),"")</f>
        <v/>
      </c>
      <c r="G664" s="116" t="str">
        <f>IF(tbl_Actual_costs_quantities34[[#This Row],[House Code]]&lt;&gt;"",INDEX(tbl_Assessment[],MATCH(tbl_Actual_costs_quantities34[[#This Row],[House Code]],tbl_Assessment[House Code],0),9),"")</f>
        <v/>
      </c>
      <c r="H664" s="41"/>
      <c r="I664" s="41"/>
      <c r="J664" s="41"/>
      <c r="K664" s="116"/>
      <c r="L664" s="117" t="str">
        <f>IF(tbl_Actual_costs_quantities34[[#This Row],[House Code]]&lt;&gt;"",tbl_Actual_costs_quantities34[[#This Row],[Total cost]]/INDEX(tbl_estimated_costs_quantities[],MATCH(tbl_Actual_costs_quantities34[[#This Row],[House Code]],tbl_estimated_costs_quantities[House Code],0),7),"")</f>
        <v/>
      </c>
      <c r="M66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4" s="75"/>
      <c r="O664" s="37"/>
      <c r="P664" s="86">
        <f>tbl_Actual_costs_quantities34[[#This Row],[Site Preparation]]*BOQs!$L$3</f>
        <v>0</v>
      </c>
      <c r="Q664" s="76"/>
      <c r="R664" s="37"/>
      <c r="S664" s="86">
        <f>tbl_Actual_costs_quantities34[[#This Row],[Demolition Removal Unsafe Structures]]*BOQs!$L$4</f>
        <v>0</v>
      </c>
      <c r="T664" s="76"/>
      <c r="U664" s="37"/>
      <c r="V664" s="86">
        <f>tbl_Actual_costs_quantities34[[#This Row],[Concrete Works]]*BOQs!$L$5</f>
        <v>0</v>
      </c>
      <c r="W664" s="76"/>
      <c r="X664" s="37"/>
      <c r="Y664" s="86">
        <f>tbl_Actual_costs_quantities34[[#This Row],[Closure External Openings Walls Windows]]*BOQs!$L$6</f>
        <v>0</v>
      </c>
      <c r="Z664" s="76"/>
      <c r="AA664" s="37"/>
      <c r="AB664" s="86">
        <f>tbl_Actual_costs_quantities34[[#This Row],[Plastering Painting]]*BOQs!$L$7</f>
        <v>0</v>
      </c>
      <c r="AC664" s="76"/>
      <c r="AD664" s="37"/>
      <c r="AE664" s="86">
        <f>tbl_Actual_costs_quantities34[[#This Row],[Floor Repairs]]*BOQs!$L$8</f>
        <v>0</v>
      </c>
      <c r="AF664" s="76"/>
      <c r="AG664" s="37"/>
      <c r="AH664" s="86">
        <f>tbl_Actual_costs_quantities34[[#This Row],[Doors Replacement Repair]]*BOQs!$L$9</f>
        <v>0</v>
      </c>
      <c r="AI664" s="76"/>
      <c r="AJ664" s="37"/>
      <c r="AK664" s="86">
        <f>tbl_Actual_costs_quantities34[[#This Row],[Windows Replacement Repair]]*BOQs!$L$10</f>
        <v>0</v>
      </c>
      <c r="AL664" s="76"/>
      <c r="AM664" s="37"/>
      <c r="AN664" s="86">
        <f>tbl_Actual_costs_quantities34[[#This Row],[Bathroom Rehabilitation]]*BOQs!$L$11</f>
        <v>0</v>
      </c>
      <c r="AO664" s="76"/>
      <c r="AP664" s="37"/>
      <c r="AQ664" s="86">
        <f>tbl_Actual_costs_quantities34[[#This Row],[Ceramic Tile Works WASH]]*BOQs!$L$12</f>
        <v>0</v>
      </c>
      <c r="AR664" s="76"/>
      <c r="AS664" s="37"/>
      <c r="AT664" s="86">
        <f>tbl_Actual_costs_quantities34[[#This Row],[Electrical Repairs Lighting]]*BOQs!$L$13</f>
        <v>0</v>
      </c>
      <c r="AU664" s="76"/>
      <c r="AV664" s="37"/>
      <c r="AW664" s="86">
        <f>tbl_Actual_costs_quantities34[[#This Row],[Roof Insulation Leak Sealing]]*BOQs!$L$14</f>
        <v>0</v>
      </c>
      <c r="AX664" s="76"/>
      <c r="AY664" s="37"/>
      <c r="AZ664" s="86">
        <f>tbl_Actual_costs_quantities34[[#This Row],[Chimney Duct Cleaning Repair]]*BOQs!$L$15</f>
        <v>0</v>
      </c>
      <c r="BA664" s="76"/>
      <c r="BB664" s="37"/>
      <c r="BC664" s="89">
        <f>tbl_Actual_costs_quantities34[[#This Row],[Accessibility Adaptations]]*BOQs!$L$16</f>
        <v>0</v>
      </c>
      <c r="BD664" s="41"/>
      <c r="BE664" s="37"/>
      <c r="BF664" s="37"/>
    </row>
    <row r="665" spans="2:58" ht="25.15" customHeight="1" x14ac:dyDescent="0.25">
      <c r="B665" s="49">
        <v>661</v>
      </c>
      <c r="C665" s="37"/>
      <c r="D665" s="41"/>
      <c r="E665" s="40"/>
      <c r="F665" s="87" t="str">
        <f>IF(tbl_Actual_costs_quantities34[[#This Row],[House Code]]&lt;&gt;"",INDEX(tbl_Assessment[],MATCH(tbl_Actual_costs_quantities34[[#This Row],[House Code]],tbl_Assessment[House Code],0),3),"")</f>
        <v/>
      </c>
      <c r="G665" s="116" t="str">
        <f>IF(tbl_Actual_costs_quantities34[[#This Row],[House Code]]&lt;&gt;"",INDEX(tbl_Assessment[],MATCH(tbl_Actual_costs_quantities34[[#This Row],[House Code]],tbl_Assessment[House Code],0),9),"")</f>
        <v/>
      </c>
      <c r="H665" s="41"/>
      <c r="I665" s="41"/>
      <c r="J665" s="41"/>
      <c r="K665" s="116"/>
      <c r="L665" s="117" t="str">
        <f>IF(tbl_Actual_costs_quantities34[[#This Row],[House Code]]&lt;&gt;"",tbl_Actual_costs_quantities34[[#This Row],[Total cost]]/INDEX(tbl_estimated_costs_quantities[],MATCH(tbl_Actual_costs_quantities34[[#This Row],[House Code]],tbl_estimated_costs_quantities[House Code],0),7),"")</f>
        <v/>
      </c>
      <c r="M66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5" s="75"/>
      <c r="O665" s="37"/>
      <c r="P665" s="86">
        <f>tbl_Actual_costs_quantities34[[#This Row],[Site Preparation]]*BOQs!$L$3</f>
        <v>0</v>
      </c>
      <c r="Q665" s="76"/>
      <c r="R665" s="37"/>
      <c r="S665" s="86">
        <f>tbl_Actual_costs_quantities34[[#This Row],[Demolition Removal Unsafe Structures]]*BOQs!$L$4</f>
        <v>0</v>
      </c>
      <c r="T665" s="76"/>
      <c r="U665" s="37"/>
      <c r="V665" s="86">
        <f>tbl_Actual_costs_quantities34[[#This Row],[Concrete Works]]*BOQs!$L$5</f>
        <v>0</v>
      </c>
      <c r="W665" s="76"/>
      <c r="X665" s="37"/>
      <c r="Y665" s="86">
        <f>tbl_Actual_costs_quantities34[[#This Row],[Closure External Openings Walls Windows]]*BOQs!$L$6</f>
        <v>0</v>
      </c>
      <c r="Z665" s="76"/>
      <c r="AA665" s="37"/>
      <c r="AB665" s="86">
        <f>tbl_Actual_costs_quantities34[[#This Row],[Plastering Painting]]*BOQs!$L$7</f>
        <v>0</v>
      </c>
      <c r="AC665" s="76"/>
      <c r="AD665" s="37"/>
      <c r="AE665" s="86">
        <f>tbl_Actual_costs_quantities34[[#This Row],[Floor Repairs]]*BOQs!$L$8</f>
        <v>0</v>
      </c>
      <c r="AF665" s="76"/>
      <c r="AG665" s="37"/>
      <c r="AH665" s="86">
        <f>tbl_Actual_costs_quantities34[[#This Row],[Doors Replacement Repair]]*BOQs!$L$9</f>
        <v>0</v>
      </c>
      <c r="AI665" s="76"/>
      <c r="AJ665" s="37"/>
      <c r="AK665" s="86">
        <f>tbl_Actual_costs_quantities34[[#This Row],[Windows Replacement Repair]]*BOQs!$L$10</f>
        <v>0</v>
      </c>
      <c r="AL665" s="76"/>
      <c r="AM665" s="37"/>
      <c r="AN665" s="86">
        <f>tbl_Actual_costs_quantities34[[#This Row],[Bathroom Rehabilitation]]*BOQs!$L$11</f>
        <v>0</v>
      </c>
      <c r="AO665" s="76"/>
      <c r="AP665" s="37"/>
      <c r="AQ665" s="86">
        <f>tbl_Actual_costs_quantities34[[#This Row],[Ceramic Tile Works WASH]]*BOQs!$L$12</f>
        <v>0</v>
      </c>
      <c r="AR665" s="76"/>
      <c r="AS665" s="37"/>
      <c r="AT665" s="86">
        <f>tbl_Actual_costs_quantities34[[#This Row],[Electrical Repairs Lighting]]*BOQs!$L$13</f>
        <v>0</v>
      </c>
      <c r="AU665" s="76"/>
      <c r="AV665" s="37"/>
      <c r="AW665" s="86">
        <f>tbl_Actual_costs_quantities34[[#This Row],[Roof Insulation Leak Sealing]]*BOQs!$L$14</f>
        <v>0</v>
      </c>
      <c r="AX665" s="76"/>
      <c r="AY665" s="37"/>
      <c r="AZ665" s="86">
        <f>tbl_Actual_costs_quantities34[[#This Row],[Chimney Duct Cleaning Repair]]*BOQs!$L$15</f>
        <v>0</v>
      </c>
      <c r="BA665" s="76"/>
      <c r="BB665" s="37"/>
      <c r="BC665" s="89">
        <f>tbl_Actual_costs_quantities34[[#This Row],[Accessibility Adaptations]]*BOQs!$L$16</f>
        <v>0</v>
      </c>
      <c r="BD665" s="41"/>
      <c r="BE665" s="37"/>
      <c r="BF665" s="37"/>
    </row>
    <row r="666" spans="2:58" ht="25.15" customHeight="1" x14ac:dyDescent="0.25">
      <c r="B666" s="49">
        <v>662</v>
      </c>
      <c r="C666" s="37"/>
      <c r="D666" s="41"/>
      <c r="E666" s="40"/>
      <c r="F666" s="87" t="str">
        <f>IF(tbl_Actual_costs_quantities34[[#This Row],[House Code]]&lt;&gt;"",INDEX(tbl_Assessment[],MATCH(tbl_Actual_costs_quantities34[[#This Row],[House Code]],tbl_Assessment[House Code],0),3),"")</f>
        <v/>
      </c>
      <c r="G666" s="116" t="str">
        <f>IF(tbl_Actual_costs_quantities34[[#This Row],[House Code]]&lt;&gt;"",INDEX(tbl_Assessment[],MATCH(tbl_Actual_costs_quantities34[[#This Row],[House Code]],tbl_Assessment[House Code],0),9),"")</f>
        <v/>
      </c>
      <c r="H666" s="41"/>
      <c r="I666" s="41"/>
      <c r="J666" s="41"/>
      <c r="K666" s="116"/>
      <c r="L666" s="117" t="str">
        <f>IF(tbl_Actual_costs_quantities34[[#This Row],[House Code]]&lt;&gt;"",tbl_Actual_costs_quantities34[[#This Row],[Total cost]]/INDEX(tbl_estimated_costs_quantities[],MATCH(tbl_Actual_costs_quantities34[[#This Row],[House Code]],tbl_estimated_costs_quantities[House Code],0),7),"")</f>
        <v/>
      </c>
      <c r="M66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6" s="75"/>
      <c r="O666" s="37"/>
      <c r="P666" s="86">
        <f>tbl_Actual_costs_quantities34[[#This Row],[Site Preparation]]*BOQs!$L$3</f>
        <v>0</v>
      </c>
      <c r="Q666" s="76"/>
      <c r="R666" s="37"/>
      <c r="S666" s="86">
        <f>tbl_Actual_costs_quantities34[[#This Row],[Demolition Removal Unsafe Structures]]*BOQs!$L$4</f>
        <v>0</v>
      </c>
      <c r="T666" s="76"/>
      <c r="U666" s="37"/>
      <c r="V666" s="86">
        <f>tbl_Actual_costs_quantities34[[#This Row],[Concrete Works]]*BOQs!$L$5</f>
        <v>0</v>
      </c>
      <c r="W666" s="76"/>
      <c r="X666" s="37"/>
      <c r="Y666" s="86">
        <f>tbl_Actual_costs_quantities34[[#This Row],[Closure External Openings Walls Windows]]*BOQs!$L$6</f>
        <v>0</v>
      </c>
      <c r="Z666" s="76"/>
      <c r="AA666" s="37"/>
      <c r="AB666" s="86">
        <f>tbl_Actual_costs_quantities34[[#This Row],[Plastering Painting]]*BOQs!$L$7</f>
        <v>0</v>
      </c>
      <c r="AC666" s="76"/>
      <c r="AD666" s="37"/>
      <c r="AE666" s="86">
        <f>tbl_Actual_costs_quantities34[[#This Row],[Floor Repairs]]*BOQs!$L$8</f>
        <v>0</v>
      </c>
      <c r="AF666" s="76"/>
      <c r="AG666" s="37"/>
      <c r="AH666" s="86">
        <f>tbl_Actual_costs_quantities34[[#This Row],[Doors Replacement Repair]]*BOQs!$L$9</f>
        <v>0</v>
      </c>
      <c r="AI666" s="76"/>
      <c r="AJ666" s="37"/>
      <c r="AK666" s="86">
        <f>tbl_Actual_costs_quantities34[[#This Row],[Windows Replacement Repair]]*BOQs!$L$10</f>
        <v>0</v>
      </c>
      <c r="AL666" s="76"/>
      <c r="AM666" s="37"/>
      <c r="AN666" s="86">
        <f>tbl_Actual_costs_quantities34[[#This Row],[Bathroom Rehabilitation]]*BOQs!$L$11</f>
        <v>0</v>
      </c>
      <c r="AO666" s="76"/>
      <c r="AP666" s="37"/>
      <c r="AQ666" s="86">
        <f>tbl_Actual_costs_quantities34[[#This Row],[Ceramic Tile Works WASH]]*BOQs!$L$12</f>
        <v>0</v>
      </c>
      <c r="AR666" s="76"/>
      <c r="AS666" s="37"/>
      <c r="AT666" s="86">
        <f>tbl_Actual_costs_quantities34[[#This Row],[Electrical Repairs Lighting]]*BOQs!$L$13</f>
        <v>0</v>
      </c>
      <c r="AU666" s="76"/>
      <c r="AV666" s="37"/>
      <c r="AW666" s="86">
        <f>tbl_Actual_costs_quantities34[[#This Row],[Roof Insulation Leak Sealing]]*BOQs!$L$14</f>
        <v>0</v>
      </c>
      <c r="AX666" s="76"/>
      <c r="AY666" s="37"/>
      <c r="AZ666" s="86">
        <f>tbl_Actual_costs_quantities34[[#This Row],[Chimney Duct Cleaning Repair]]*BOQs!$L$15</f>
        <v>0</v>
      </c>
      <c r="BA666" s="76"/>
      <c r="BB666" s="37"/>
      <c r="BC666" s="89">
        <f>tbl_Actual_costs_quantities34[[#This Row],[Accessibility Adaptations]]*BOQs!$L$16</f>
        <v>0</v>
      </c>
      <c r="BD666" s="41"/>
      <c r="BE666" s="37"/>
      <c r="BF666" s="37"/>
    </row>
    <row r="667" spans="2:58" ht="25.15" customHeight="1" x14ac:dyDescent="0.25">
      <c r="B667" s="49">
        <v>663</v>
      </c>
      <c r="C667" s="37"/>
      <c r="D667" s="41"/>
      <c r="E667" s="40"/>
      <c r="F667" s="87" t="str">
        <f>IF(tbl_Actual_costs_quantities34[[#This Row],[House Code]]&lt;&gt;"",INDEX(tbl_Assessment[],MATCH(tbl_Actual_costs_quantities34[[#This Row],[House Code]],tbl_Assessment[House Code],0),3),"")</f>
        <v/>
      </c>
      <c r="G667" s="116" t="str">
        <f>IF(tbl_Actual_costs_quantities34[[#This Row],[House Code]]&lt;&gt;"",INDEX(tbl_Assessment[],MATCH(tbl_Actual_costs_quantities34[[#This Row],[House Code]],tbl_Assessment[House Code],0),9),"")</f>
        <v/>
      </c>
      <c r="H667" s="41"/>
      <c r="I667" s="41"/>
      <c r="J667" s="41"/>
      <c r="K667" s="116"/>
      <c r="L667" s="117" t="str">
        <f>IF(tbl_Actual_costs_quantities34[[#This Row],[House Code]]&lt;&gt;"",tbl_Actual_costs_quantities34[[#This Row],[Total cost]]/INDEX(tbl_estimated_costs_quantities[],MATCH(tbl_Actual_costs_quantities34[[#This Row],[House Code]],tbl_estimated_costs_quantities[House Code],0),7),"")</f>
        <v/>
      </c>
      <c r="M66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7" s="75"/>
      <c r="O667" s="37"/>
      <c r="P667" s="86">
        <f>tbl_Actual_costs_quantities34[[#This Row],[Site Preparation]]*BOQs!$L$3</f>
        <v>0</v>
      </c>
      <c r="Q667" s="76"/>
      <c r="R667" s="37"/>
      <c r="S667" s="86">
        <f>tbl_Actual_costs_quantities34[[#This Row],[Demolition Removal Unsafe Structures]]*BOQs!$L$4</f>
        <v>0</v>
      </c>
      <c r="T667" s="76"/>
      <c r="U667" s="37"/>
      <c r="V667" s="86">
        <f>tbl_Actual_costs_quantities34[[#This Row],[Concrete Works]]*BOQs!$L$5</f>
        <v>0</v>
      </c>
      <c r="W667" s="76"/>
      <c r="X667" s="37"/>
      <c r="Y667" s="86">
        <f>tbl_Actual_costs_quantities34[[#This Row],[Closure External Openings Walls Windows]]*BOQs!$L$6</f>
        <v>0</v>
      </c>
      <c r="Z667" s="76"/>
      <c r="AA667" s="37"/>
      <c r="AB667" s="86">
        <f>tbl_Actual_costs_quantities34[[#This Row],[Plastering Painting]]*BOQs!$L$7</f>
        <v>0</v>
      </c>
      <c r="AC667" s="76"/>
      <c r="AD667" s="37"/>
      <c r="AE667" s="86">
        <f>tbl_Actual_costs_quantities34[[#This Row],[Floor Repairs]]*BOQs!$L$8</f>
        <v>0</v>
      </c>
      <c r="AF667" s="76"/>
      <c r="AG667" s="37"/>
      <c r="AH667" s="86">
        <f>tbl_Actual_costs_quantities34[[#This Row],[Doors Replacement Repair]]*BOQs!$L$9</f>
        <v>0</v>
      </c>
      <c r="AI667" s="76"/>
      <c r="AJ667" s="37"/>
      <c r="AK667" s="86">
        <f>tbl_Actual_costs_quantities34[[#This Row],[Windows Replacement Repair]]*BOQs!$L$10</f>
        <v>0</v>
      </c>
      <c r="AL667" s="76"/>
      <c r="AM667" s="37"/>
      <c r="AN667" s="86">
        <f>tbl_Actual_costs_quantities34[[#This Row],[Bathroom Rehabilitation]]*BOQs!$L$11</f>
        <v>0</v>
      </c>
      <c r="AO667" s="76"/>
      <c r="AP667" s="37"/>
      <c r="AQ667" s="86">
        <f>tbl_Actual_costs_quantities34[[#This Row],[Ceramic Tile Works WASH]]*BOQs!$L$12</f>
        <v>0</v>
      </c>
      <c r="AR667" s="76"/>
      <c r="AS667" s="37"/>
      <c r="AT667" s="86">
        <f>tbl_Actual_costs_quantities34[[#This Row],[Electrical Repairs Lighting]]*BOQs!$L$13</f>
        <v>0</v>
      </c>
      <c r="AU667" s="76"/>
      <c r="AV667" s="37"/>
      <c r="AW667" s="86">
        <f>tbl_Actual_costs_quantities34[[#This Row],[Roof Insulation Leak Sealing]]*BOQs!$L$14</f>
        <v>0</v>
      </c>
      <c r="AX667" s="76"/>
      <c r="AY667" s="37"/>
      <c r="AZ667" s="86">
        <f>tbl_Actual_costs_quantities34[[#This Row],[Chimney Duct Cleaning Repair]]*BOQs!$L$15</f>
        <v>0</v>
      </c>
      <c r="BA667" s="76"/>
      <c r="BB667" s="37"/>
      <c r="BC667" s="89">
        <f>tbl_Actual_costs_quantities34[[#This Row],[Accessibility Adaptations]]*BOQs!$L$16</f>
        <v>0</v>
      </c>
      <c r="BD667" s="41"/>
      <c r="BE667" s="37"/>
      <c r="BF667" s="37"/>
    </row>
    <row r="668" spans="2:58" ht="25.15" customHeight="1" x14ac:dyDescent="0.25">
      <c r="B668" s="49">
        <v>664</v>
      </c>
      <c r="C668" s="37"/>
      <c r="D668" s="41"/>
      <c r="E668" s="40"/>
      <c r="F668" s="87" t="str">
        <f>IF(tbl_Actual_costs_quantities34[[#This Row],[House Code]]&lt;&gt;"",INDEX(tbl_Assessment[],MATCH(tbl_Actual_costs_quantities34[[#This Row],[House Code]],tbl_Assessment[House Code],0),3),"")</f>
        <v/>
      </c>
      <c r="G668" s="116" t="str">
        <f>IF(tbl_Actual_costs_quantities34[[#This Row],[House Code]]&lt;&gt;"",INDEX(tbl_Assessment[],MATCH(tbl_Actual_costs_quantities34[[#This Row],[House Code]],tbl_Assessment[House Code],0),9),"")</f>
        <v/>
      </c>
      <c r="H668" s="41"/>
      <c r="I668" s="41"/>
      <c r="J668" s="41"/>
      <c r="K668" s="116"/>
      <c r="L668" s="117" t="str">
        <f>IF(tbl_Actual_costs_quantities34[[#This Row],[House Code]]&lt;&gt;"",tbl_Actual_costs_quantities34[[#This Row],[Total cost]]/INDEX(tbl_estimated_costs_quantities[],MATCH(tbl_Actual_costs_quantities34[[#This Row],[House Code]],tbl_estimated_costs_quantities[House Code],0),7),"")</f>
        <v/>
      </c>
      <c r="M66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8" s="75"/>
      <c r="O668" s="37"/>
      <c r="P668" s="86">
        <f>tbl_Actual_costs_quantities34[[#This Row],[Site Preparation]]*BOQs!$L$3</f>
        <v>0</v>
      </c>
      <c r="Q668" s="76"/>
      <c r="R668" s="37"/>
      <c r="S668" s="86">
        <f>tbl_Actual_costs_quantities34[[#This Row],[Demolition Removal Unsafe Structures]]*BOQs!$L$4</f>
        <v>0</v>
      </c>
      <c r="T668" s="76"/>
      <c r="U668" s="37"/>
      <c r="V668" s="86">
        <f>tbl_Actual_costs_quantities34[[#This Row],[Concrete Works]]*BOQs!$L$5</f>
        <v>0</v>
      </c>
      <c r="W668" s="76"/>
      <c r="X668" s="37"/>
      <c r="Y668" s="86">
        <f>tbl_Actual_costs_quantities34[[#This Row],[Closure External Openings Walls Windows]]*BOQs!$L$6</f>
        <v>0</v>
      </c>
      <c r="Z668" s="76"/>
      <c r="AA668" s="37"/>
      <c r="AB668" s="86">
        <f>tbl_Actual_costs_quantities34[[#This Row],[Plastering Painting]]*BOQs!$L$7</f>
        <v>0</v>
      </c>
      <c r="AC668" s="76"/>
      <c r="AD668" s="37"/>
      <c r="AE668" s="86">
        <f>tbl_Actual_costs_quantities34[[#This Row],[Floor Repairs]]*BOQs!$L$8</f>
        <v>0</v>
      </c>
      <c r="AF668" s="76"/>
      <c r="AG668" s="37"/>
      <c r="AH668" s="86">
        <f>tbl_Actual_costs_quantities34[[#This Row],[Doors Replacement Repair]]*BOQs!$L$9</f>
        <v>0</v>
      </c>
      <c r="AI668" s="76"/>
      <c r="AJ668" s="37"/>
      <c r="AK668" s="86">
        <f>tbl_Actual_costs_quantities34[[#This Row],[Windows Replacement Repair]]*BOQs!$L$10</f>
        <v>0</v>
      </c>
      <c r="AL668" s="76"/>
      <c r="AM668" s="37"/>
      <c r="AN668" s="86">
        <f>tbl_Actual_costs_quantities34[[#This Row],[Bathroom Rehabilitation]]*BOQs!$L$11</f>
        <v>0</v>
      </c>
      <c r="AO668" s="76"/>
      <c r="AP668" s="37"/>
      <c r="AQ668" s="86">
        <f>tbl_Actual_costs_quantities34[[#This Row],[Ceramic Tile Works WASH]]*BOQs!$L$12</f>
        <v>0</v>
      </c>
      <c r="AR668" s="76"/>
      <c r="AS668" s="37"/>
      <c r="AT668" s="86">
        <f>tbl_Actual_costs_quantities34[[#This Row],[Electrical Repairs Lighting]]*BOQs!$L$13</f>
        <v>0</v>
      </c>
      <c r="AU668" s="76"/>
      <c r="AV668" s="37"/>
      <c r="AW668" s="86">
        <f>tbl_Actual_costs_quantities34[[#This Row],[Roof Insulation Leak Sealing]]*BOQs!$L$14</f>
        <v>0</v>
      </c>
      <c r="AX668" s="76"/>
      <c r="AY668" s="37"/>
      <c r="AZ668" s="86">
        <f>tbl_Actual_costs_quantities34[[#This Row],[Chimney Duct Cleaning Repair]]*BOQs!$L$15</f>
        <v>0</v>
      </c>
      <c r="BA668" s="76"/>
      <c r="BB668" s="37"/>
      <c r="BC668" s="89">
        <f>tbl_Actual_costs_quantities34[[#This Row],[Accessibility Adaptations]]*BOQs!$L$16</f>
        <v>0</v>
      </c>
      <c r="BD668" s="41"/>
      <c r="BE668" s="37"/>
      <c r="BF668" s="37"/>
    </row>
    <row r="669" spans="2:58" ht="25.15" customHeight="1" x14ac:dyDescent="0.25">
      <c r="B669" s="49">
        <v>665</v>
      </c>
      <c r="C669" s="37"/>
      <c r="D669" s="41"/>
      <c r="E669" s="40"/>
      <c r="F669" s="87" t="str">
        <f>IF(tbl_Actual_costs_quantities34[[#This Row],[House Code]]&lt;&gt;"",INDEX(tbl_Assessment[],MATCH(tbl_Actual_costs_quantities34[[#This Row],[House Code]],tbl_Assessment[House Code],0),3),"")</f>
        <v/>
      </c>
      <c r="G669" s="116" t="str">
        <f>IF(tbl_Actual_costs_quantities34[[#This Row],[House Code]]&lt;&gt;"",INDEX(tbl_Assessment[],MATCH(tbl_Actual_costs_quantities34[[#This Row],[House Code]],tbl_Assessment[House Code],0),9),"")</f>
        <v/>
      </c>
      <c r="H669" s="41"/>
      <c r="I669" s="41"/>
      <c r="J669" s="41"/>
      <c r="K669" s="116"/>
      <c r="L669" s="117" t="str">
        <f>IF(tbl_Actual_costs_quantities34[[#This Row],[House Code]]&lt;&gt;"",tbl_Actual_costs_quantities34[[#This Row],[Total cost]]/INDEX(tbl_estimated_costs_quantities[],MATCH(tbl_Actual_costs_quantities34[[#This Row],[House Code]],tbl_estimated_costs_quantities[House Code],0),7),"")</f>
        <v/>
      </c>
      <c r="M66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69" s="75"/>
      <c r="O669" s="37"/>
      <c r="P669" s="86">
        <f>tbl_Actual_costs_quantities34[[#This Row],[Site Preparation]]*BOQs!$L$3</f>
        <v>0</v>
      </c>
      <c r="Q669" s="76"/>
      <c r="R669" s="37"/>
      <c r="S669" s="86">
        <f>tbl_Actual_costs_quantities34[[#This Row],[Demolition Removal Unsafe Structures]]*BOQs!$L$4</f>
        <v>0</v>
      </c>
      <c r="T669" s="76"/>
      <c r="U669" s="37"/>
      <c r="V669" s="86">
        <f>tbl_Actual_costs_quantities34[[#This Row],[Concrete Works]]*BOQs!$L$5</f>
        <v>0</v>
      </c>
      <c r="W669" s="76"/>
      <c r="X669" s="37"/>
      <c r="Y669" s="86">
        <f>tbl_Actual_costs_quantities34[[#This Row],[Closure External Openings Walls Windows]]*BOQs!$L$6</f>
        <v>0</v>
      </c>
      <c r="Z669" s="76"/>
      <c r="AA669" s="37"/>
      <c r="AB669" s="86">
        <f>tbl_Actual_costs_quantities34[[#This Row],[Plastering Painting]]*BOQs!$L$7</f>
        <v>0</v>
      </c>
      <c r="AC669" s="76"/>
      <c r="AD669" s="37"/>
      <c r="AE669" s="86">
        <f>tbl_Actual_costs_quantities34[[#This Row],[Floor Repairs]]*BOQs!$L$8</f>
        <v>0</v>
      </c>
      <c r="AF669" s="76"/>
      <c r="AG669" s="37"/>
      <c r="AH669" s="86">
        <f>tbl_Actual_costs_quantities34[[#This Row],[Doors Replacement Repair]]*BOQs!$L$9</f>
        <v>0</v>
      </c>
      <c r="AI669" s="76"/>
      <c r="AJ669" s="37"/>
      <c r="AK669" s="86">
        <f>tbl_Actual_costs_quantities34[[#This Row],[Windows Replacement Repair]]*BOQs!$L$10</f>
        <v>0</v>
      </c>
      <c r="AL669" s="76"/>
      <c r="AM669" s="37"/>
      <c r="AN669" s="86">
        <f>tbl_Actual_costs_quantities34[[#This Row],[Bathroom Rehabilitation]]*BOQs!$L$11</f>
        <v>0</v>
      </c>
      <c r="AO669" s="76"/>
      <c r="AP669" s="37"/>
      <c r="AQ669" s="86">
        <f>tbl_Actual_costs_quantities34[[#This Row],[Ceramic Tile Works WASH]]*BOQs!$L$12</f>
        <v>0</v>
      </c>
      <c r="AR669" s="76"/>
      <c r="AS669" s="37"/>
      <c r="AT669" s="86">
        <f>tbl_Actual_costs_quantities34[[#This Row],[Electrical Repairs Lighting]]*BOQs!$L$13</f>
        <v>0</v>
      </c>
      <c r="AU669" s="76"/>
      <c r="AV669" s="37"/>
      <c r="AW669" s="86">
        <f>tbl_Actual_costs_quantities34[[#This Row],[Roof Insulation Leak Sealing]]*BOQs!$L$14</f>
        <v>0</v>
      </c>
      <c r="AX669" s="76"/>
      <c r="AY669" s="37"/>
      <c r="AZ669" s="86">
        <f>tbl_Actual_costs_quantities34[[#This Row],[Chimney Duct Cleaning Repair]]*BOQs!$L$15</f>
        <v>0</v>
      </c>
      <c r="BA669" s="76"/>
      <c r="BB669" s="37"/>
      <c r="BC669" s="89">
        <f>tbl_Actual_costs_quantities34[[#This Row],[Accessibility Adaptations]]*BOQs!$L$16</f>
        <v>0</v>
      </c>
      <c r="BD669" s="41"/>
      <c r="BE669" s="37"/>
      <c r="BF669" s="37"/>
    </row>
    <row r="670" spans="2:58" ht="25.15" customHeight="1" x14ac:dyDescent="0.25">
      <c r="B670" s="49">
        <v>666</v>
      </c>
      <c r="C670" s="37"/>
      <c r="D670" s="41"/>
      <c r="E670" s="40"/>
      <c r="F670" s="87" t="str">
        <f>IF(tbl_Actual_costs_quantities34[[#This Row],[House Code]]&lt;&gt;"",INDEX(tbl_Assessment[],MATCH(tbl_Actual_costs_quantities34[[#This Row],[House Code]],tbl_Assessment[House Code],0),3),"")</f>
        <v/>
      </c>
      <c r="G670" s="116" t="str">
        <f>IF(tbl_Actual_costs_quantities34[[#This Row],[House Code]]&lt;&gt;"",INDEX(tbl_Assessment[],MATCH(tbl_Actual_costs_quantities34[[#This Row],[House Code]],tbl_Assessment[House Code],0),9),"")</f>
        <v/>
      </c>
      <c r="H670" s="41"/>
      <c r="I670" s="41"/>
      <c r="J670" s="41"/>
      <c r="K670" s="116"/>
      <c r="L670" s="117" t="str">
        <f>IF(tbl_Actual_costs_quantities34[[#This Row],[House Code]]&lt;&gt;"",tbl_Actual_costs_quantities34[[#This Row],[Total cost]]/INDEX(tbl_estimated_costs_quantities[],MATCH(tbl_Actual_costs_quantities34[[#This Row],[House Code]],tbl_estimated_costs_quantities[House Code],0),7),"")</f>
        <v/>
      </c>
      <c r="M67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0" s="75"/>
      <c r="O670" s="37"/>
      <c r="P670" s="86">
        <f>tbl_Actual_costs_quantities34[[#This Row],[Site Preparation]]*BOQs!$L$3</f>
        <v>0</v>
      </c>
      <c r="Q670" s="76"/>
      <c r="R670" s="37"/>
      <c r="S670" s="86">
        <f>tbl_Actual_costs_quantities34[[#This Row],[Demolition Removal Unsafe Structures]]*BOQs!$L$4</f>
        <v>0</v>
      </c>
      <c r="T670" s="76"/>
      <c r="U670" s="37"/>
      <c r="V670" s="86">
        <f>tbl_Actual_costs_quantities34[[#This Row],[Concrete Works]]*BOQs!$L$5</f>
        <v>0</v>
      </c>
      <c r="W670" s="76"/>
      <c r="X670" s="37"/>
      <c r="Y670" s="86">
        <f>tbl_Actual_costs_quantities34[[#This Row],[Closure External Openings Walls Windows]]*BOQs!$L$6</f>
        <v>0</v>
      </c>
      <c r="Z670" s="76"/>
      <c r="AA670" s="37"/>
      <c r="AB670" s="86">
        <f>tbl_Actual_costs_quantities34[[#This Row],[Plastering Painting]]*BOQs!$L$7</f>
        <v>0</v>
      </c>
      <c r="AC670" s="76"/>
      <c r="AD670" s="37"/>
      <c r="AE670" s="86">
        <f>tbl_Actual_costs_quantities34[[#This Row],[Floor Repairs]]*BOQs!$L$8</f>
        <v>0</v>
      </c>
      <c r="AF670" s="76"/>
      <c r="AG670" s="37"/>
      <c r="AH670" s="86">
        <f>tbl_Actual_costs_quantities34[[#This Row],[Doors Replacement Repair]]*BOQs!$L$9</f>
        <v>0</v>
      </c>
      <c r="AI670" s="76"/>
      <c r="AJ670" s="37"/>
      <c r="AK670" s="86">
        <f>tbl_Actual_costs_quantities34[[#This Row],[Windows Replacement Repair]]*BOQs!$L$10</f>
        <v>0</v>
      </c>
      <c r="AL670" s="76"/>
      <c r="AM670" s="37"/>
      <c r="AN670" s="86">
        <f>tbl_Actual_costs_quantities34[[#This Row],[Bathroom Rehabilitation]]*BOQs!$L$11</f>
        <v>0</v>
      </c>
      <c r="AO670" s="76"/>
      <c r="AP670" s="37"/>
      <c r="AQ670" s="86">
        <f>tbl_Actual_costs_quantities34[[#This Row],[Ceramic Tile Works WASH]]*BOQs!$L$12</f>
        <v>0</v>
      </c>
      <c r="AR670" s="76"/>
      <c r="AS670" s="37"/>
      <c r="AT670" s="86">
        <f>tbl_Actual_costs_quantities34[[#This Row],[Electrical Repairs Lighting]]*BOQs!$L$13</f>
        <v>0</v>
      </c>
      <c r="AU670" s="76"/>
      <c r="AV670" s="37"/>
      <c r="AW670" s="86">
        <f>tbl_Actual_costs_quantities34[[#This Row],[Roof Insulation Leak Sealing]]*BOQs!$L$14</f>
        <v>0</v>
      </c>
      <c r="AX670" s="76"/>
      <c r="AY670" s="37"/>
      <c r="AZ670" s="86">
        <f>tbl_Actual_costs_quantities34[[#This Row],[Chimney Duct Cleaning Repair]]*BOQs!$L$15</f>
        <v>0</v>
      </c>
      <c r="BA670" s="76"/>
      <c r="BB670" s="37"/>
      <c r="BC670" s="89">
        <f>tbl_Actual_costs_quantities34[[#This Row],[Accessibility Adaptations]]*BOQs!$L$16</f>
        <v>0</v>
      </c>
      <c r="BD670" s="41"/>
      <c r="BE670" s="37"/>
      <c r="BF670" s="37"/>
    </row>
    <row r="671" spans="2:58" ht="25.15" customHeight="1" x14ac:dyDescent="0.25">
      <c r="B671" s="49">
        <v>667</v>
      </c>
      <c r="C671" s="37"/>
      <c r="D671" s="41"/>
      <c r="E671" s="40"/>
      <c r="F671" s="87" t="str">
        <f>IF(tbl_Actual_costs_quantities34[[#This Row],[House Code]]&lt;&gt;"",INDEX(tbl_Assessment[],MATCH(tbl_Actual_costs_quantities34[[#This Row],[House Code]],tbl_Assessment[House Code],0),3),"")</f>
        <v/>
      </c>
      <c r="G671" s="116" t="str">
        <f>IF(tbl_Actual_costs_quantities34[[#This Row],[House Code]]&lt;&gt;"",INDEX(tbl_Assessment[],MATCH(tbl_Actual_costs_quantities34[[#This Row],[House Code]],tbl_Assessment[House Code],0),9),"")</f>
        <v/>
      </c>
      <c r="H671" s="41"/>
      <c r="I671" s="41"/>
      <c r="J671" s="41"/>
      <c r="K671" s="116"/>
      <c r="L671" s="117" t="str">
        <f>IF(tbl_Actual_costs_quantities34[[#This Row],[House Code]]&lt;&gt;"",tbl_Actual_costs_quantities34[[#This Row],[Total cost]]/INDEX(tbl_estimated_costs_quantities[],MATCH(tbl_Actual_costs_quantities34[[#This Row],[House Code]],tbl_estimated_costs_quantities[House Code],0),7),"")</f>
        <v/>
      </c>
      <c r="M67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1" s="75"/>
      <c r="O671" s="37"/>
      <c r="P671" s="86">
        <f>tbl_Actual_costs_quantities34[[#This Row],[Site Preparation]]*BOQs!$L$3</f>
        <v>0</v>
      </c>
      <c r="Q671" s="76"/>
      <c r="R671" s="37"/>
      <c r="S671" s="86">
        <f>tbl_Actual_costs_quantities34[[#This Row],[Demolition Removal Unsafe Structures]]*BOQs!$L$4</f>
        <v>0</v>
      </c>
      <c r="T671" s="76"/>
      <c r="U671" s="37"/>
      <c r="V671" s="86">
        <f>tbl_Actual_costs_quantities34[[#This Row],[Concrete Works]]*BOQs!$L$5</f>
        <v>0</v>
      </c>
      <c r="W671" s="76"/>
      <c r="X671" s="37"/>
      <c r="Y671" s="86">
        <f>tbl_Actual_costs_quantities34[[#This Row],[Closure External Openings Walls Windows]]*BOQs!$L$6</f>
        <v>0</v>
      </c>
      <c r="Z671" s="76"/>
      <c r="AA671" s="37"/>
      <c r="AB671" s="86">
        <f>tbl_Actual_costs_quantities34[[#This Row],[Plastering Painting]]*BOQs!$L$7</f>
        <v>0</v>
      </c>
      <c r="AC671" s="76"/>
      <c r="AD671" s="37"/>
      <c r="AE671" s="86">
        <f>tbl_Actual_costs_quantities34[[#This Row],[Floor Repairs]]*BOQs!$L$8</f>
        <v>0</v>
      </c>
      <c r="AF671" s="76"/>
      <c r="AG671" s="37"/>
      <c r="AH671" s="86">
        <f>tbl_Actual_costs_quantities34[[#This Row],[Doors Replacement Repair]]*BOQs!$L$9</f>
        <v>0</v>
      </c>
      <c r="AI671" s="76"/>
      <c r="AJ671" s="37"/>
      <c r="AK671" s="86">
        <f>tbl_Actual_costs_quantities34[[#This Row],[Windows Replacement Repair]]*BOQs!$L$10</f>
        <v>0</v>
      </c>
      <c r="AL671" s="76"/>
      <c r="AM671" s="37"/>
      <c r="AN671" s="86">
        <f>tbl_Actual_costs_quantities34[[#This Row],[Bathroom Rehabilitation]]*BOQs!$L$11</f>
        <v>0</v>
      </c>
      <c r="AO671" s="76"/>
      <c r="AP671" s="37"/>
      <c r="AQ671" s="86">
        <f>tbl_Actual_costs_quantities34[[#This Row],[Ceramic Tile Works WASH]]*BOQs!$L$12</f>
        <v>0</v>
      </c>
      <c r="AR671" s="76"/>
      <c r="AS671" s="37"/>
      <c r="AT671" s="86">
        <f>tbl_Actual_costs_quantities34[[#This Row],[Electrical Repairs Lighting]]*BOQs!$L$13</f>
        <v>0</v>
      </c>
      <c r="AU671" s="76"/>
      <c r="AV671" s="37"/>
      <c r="AW671" s="86">
        <f>tbl_Actual_costs_quantities34[[#This Row],[Roof Insulation Leak Sealing]]*BOQs!$L$14</f>
        <v>0</v>
      </c>
      <c r="AX671" s="76"/>
      <c r="AY671" s="37"/>
      <c r="AZ671" s="86">
        <f>tbl_Actual_costs_quantities34[[#This Row],[Chimney Duct Cleaning Repair]]*BOQs!$L$15</f>
        <v>0</v>
      </c>
      <c r="BA671" s="76"/>
      <c r="BB671" s="37"/>
      <c r="BC671" s="89">
        <f>tbl_Actual_costs_quantities34[[#This Row],[Accessibility Adaptations]]*BOQs!$L$16</f>
        <v>0</v>
      </c>
      <c r="BD671" s="41"/>
      <c r="BE671" s="37"/>
      <c r="BF671" s="37"/>
    </row>
    <row r="672" spans="2:58" ht="25.15" customHeight="1" x14ac:dyDescent="0.25">
      <c r="B672" s="49">
        <v>668</v>
      </c>
      <c r="C672" s="37"/>
      <c r="D672" s="41"/>
      <c r="E672" s="40"/>
      <c r="F672" s="87" t="str">
        <f>IF(tbl_Actual_costs_quantities34[[#This Row],[House Code]]&lt;&gt;"",INDEX(tbl_Assessment[],MATCH(tbl_Actual_costs_quantities34[[#This Row],[House Code]],tbl_Assessment[House Code],0),3),"")</f>
        <v/>
      </c>
      <c r="G672" s="116" t="str">
        <f>IF(tbl_Actual_costs_quantities34[[#This Row],[House Code]]&lt;&gt;"",INDEX(tbl_Assessment[],MATCH(tbl_Actual_costs_quantities34[[#This Row],[House Code]],tbl_Assessment[House Code],0),9),"")</f>
        <v/>
      </c>
      <c r="H672" s="41"/>
      <c r="I672" s="41"/>
      <c r="J672" s="41"/>
      <c r="K672" s="116"/>
      <c r="L672" s="117" t="str">
        <f>IF(tbl_Actual_costs_quantities34[[#This Row],[House Code]]&lt;&gt;"",tbl_Actual_costs_quantities34[[#This Row],[Total cost]]/INDEX(tbl_estimated_costs_quantities[],MATCH(tbl_Actual_costs_quantities34[[#This Row],[House Code]],tbl_estimated_costs_quantities[House Code],0),7),"")</f>
        <v/>
      </c>
      <c r="M67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2" s="75"/>
      <c r="O672" s="37"/>
      <c r="P672" s="86">
        <f>tbl_Actual_costs_quantities34[[#This Row],[Site Preparation]]*BOQs!$L$3</f>
        <v>0</v>
      </c>
      <c r="Q672" s="76"/>
      <c r="R672" s="37"/>
      <c r="S672" s="86">
        <f>tbl_Actual_costs_quantities34[[#This Row],[Demolition Removal Unsafe Structures]]*BOQs!$L$4</f>
        <v>0</v>
      </c>
      <c r="T672" s="76"/>
      <c r="U672" s="37"/>
      <c r="V672" s="86">
        <f>tbl_Actual_costs_quantities34[[#This Row],[Concrete Works]]*BOQs!$L$5</f>
        <v>0</v>
      </c>
      <c r="W672" s="76"/>
      <c r="X672" s="37"/>
      <c r="Y672" s="86">
        <f>tbl_Actual_costs_quantities34[[#This Row],[Closure External Openings Walls Windows]]*BOQs!$L$6</f>
        <v>0</v>
      </c>
      <c r="Z672" s="76"/>
      <c r="AA672" s="37"/>
      <c r="AB672" s="86">
        <f>tbl_Actual_costs_quantities34[[#This Row],[Plastering Painting]]*BOQs!$L$7</f>
        <v>0</v>
      </c>
      <c r="AC672" s="76"/>
      <c r="AD672" s="37"/>
      <c r="AE672" s="86">
        <f>tbl_Actual_costs_quantities34[[#This Row],[Floor Repairs]]*BOQs!$L$8</f>
        <v>0</v>
      </c>
      <c r="AF672" s="76"/>
      <c r="AG672" s="37"/>
      <c r="AH672" s="86">
        <f>tbl_Actual_costs_quantities34[[#This Row],[Doors Replacement Repair]]*BOQs!$L$9</f>
        <v>0</v>
      </c>
      <c r="AI672" s="76"/>
      <c r="AJ672" s="37"/>
      <c r="AK672" s="86">
        <f>tbl_Actual_costs_quantities34[[#This Row],[Windows Replacement Repair]]*BOQs!$L$10</f>
        <v>0</v>
      </c>
      <c r="AL672" s="76"/>
      <c r="AM672" s="37"/>
      <c r="AN672" s="86">
        <f>tbl_Actual_costs_quantities34[[#This Row],[Bathroom Rehabilitation]]*BOQs!$L$11</f>
        <v>0</v>
      </c>
      <c r="AO672" s="76"/>
      <c r="AP672" s="37"/>
      <c r="AQ672" s="86">
        <f>tbl_Actual_costs_quantities34[[#This Row],[Ceramic Tile Works WASH]]*BOQs!$L$12</f>
        <v>0</v>
      </c>
      <c r="AR672" s="76"/>
      <c r="AS672" s="37"/>
      <c r="AT672" s="86">
        <f>tbl_Actual_costs_quantities34[[#This Row],[Electrical Repairs Lighting]]*BOQs!$L$13</f>
        <v>0</v>
      </c>
      <c r="AU672" s="76"/>
      <c r="AV672" s="37"/>
      <c r="AW672" s="86">
        <f>tbl_Actual_costs_quantities34[[#This Row],[Roof Insulation Leak Sealing]]*BOQs!$L$14</f>
        <v>0</v>
      </c>
      <c r="AX672" s="76"/>
      <c r="AY672" s="37"/>
      <c r="AZ672" s="86">
        <f>tbl_Actual_costs_quantities34[[#This Row],[Chimney Duct Cleaning Repair]]*BOQs!$L$15</f>
        <v>0</v>
      </c>
      <c r="BA672" s="76"/>
      <c r="BB672" s="37"/>
      <c r="BC672" s="89">
        <f>tbl_Actual_costs_quantities34[[#This Row],[Accessibility Adaptations]]*BOQs!$L$16</f>
        <v>0</v>
      </c>
      <c r="BD672" s="41"/>
      <c r="BE672" s="37"/>
      <c r="BF672" s="37"/>
    </row>
    <row r="673" spans="2:58" ht="25.15" customHeight="1" x14ac:dyDescent="0.25">
      <c r="B673" s="49">
        <v>669</v>
      </c>
      <c r="C673" s="37"/>
      <c r="D673" s="41"/>
      <c r="E673" s="40"/>
      <c r="F673" s="87" t="str">
        <f>IF(tbl_Actual_costs_quantities34[[#This Row],[House Code]]&lt;&gt;"",INDEX(tbl_Assessment[],MATCH(tbl_Actual_costs_quantities34[[#This Row],[House Code]],tbl_Assessment[House Code],0),3),"")</f>
        <v/>
      </c>
      <c r="G673" s="116" t="str">
        <f>IF(tbl_Actual_costs_quantities34[[#This Row],[House Code]]&lt;&gt;"",INDEX(tbl_Assessment[],MATCH(tbl_Actual_costs_quantities34[[#This Row],[House Code]],tbl_Assessment[House Code],0),9),"")</f>
        <v/>
      </c>
      <c r="H673" s="41"/>
      <c r="I673" s="41"/>
      <c r="J673" s="41"/>
      <c r="K673" s="116"/>
      <c r="L673" s="117" t="str">
        <f>IF(tbl_Actual_costs_quantities34[[#This Row],[House Code]]&lt;&gt;"",tbl_Actual_costs_quantities34[[#This Row],[Total cost]]/INDEX(tbl_estimated_costs_quantities[],MATCH(tbl_Actual_costs_quantities34[[#This Row],[House Code]],tbl_estimated_costs_quantities[House Code],0),7),"")</f>
        <v/>
      </c>
      <c r="M67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3" s="75"/>
      <c r="O673" s="37"/>
      <c r="P673" s="86">
        <f>tbl_Actual_costs_quantities34[[#This Row],[Site Preparation]]*BOQs!$L$3</f>
        <v>0</v>
      </c>
      <c r="Q673" s="76"/>
      <c r="R673" s="37"/>
      <c r="S673" s="86">
        <f>tbl_Actual_costs_quantities34[[#This Row],[Demolition Removal Unsafe Structures]]*BOQs!$L$4</f>
        <v>0</v>
      </c>
      <c r="T673" s="76"/>
      <c r="U673" s="37"/>
      <c r="V673" s="86">
        <f>tbl_Actual_costs_quantities34[[#This Row],[Concrete Works]]*BOQs!$L$5</f>
        <v>0</v>
      </c>
      <c r="W673" s="76"/>
      <c r="X673" s="37"/>
      <c r="Y673" s="86">
        <f>tbl_Actual_costs_quantities34[[#This Row],[Closure External Openings Walls Windows]]*BOQs!$L$6</f>
        <v>0</v>
      </c>
      <c r="Z673" s="76"/>
      <c r="AA673" s="37"/>
      <c r="AB673" s="86">
        <f>tbl_Actual_costs_quantities34[[#This Row],[Plastering Painting]]*BOQs!$L$7</f>
        <v>0</v>
      </c>
      <c r="AC673" s="76"/>
      <c r="AD673" s="37"/>
      <c r="AE673" s="86">
        <f>tbl_Actual_costs_quantities34[[#This Row],[Floor Repairs]]*BOQs!$L$8</f>
        <v>0</v>
      </c>
      <c r="AF673" s="76"/>
      <c r="AG673" s="37"/>
      <c r="AH673" s="86">
        <f>tbl_Actual_costs_quantities34[[#This Row],[Doors Replacement Repair]]*BOQs!$L$9</f>
        <v>0</v>
      </c>
      <c r="AI673" s="76"/>
      <c r="AJ673" s="37"/>
      <c r="AK673" s="86">
        <f>tbl_Actual_costs_quantities34[[#This Row],[Windows Replacement Repair]]*BOQs!$L$10</f>
        <v>0</v>
      </c>
      <c r="AL673" s="76"/>
      <c r="AM673" s="37"/>
      <c r="AN673" s="86">
        <f>tbl_Actual_costs_quantities34[[#This Row],[Bathroom Rehabilitation]]*BOQs!$L$11</f>
        <v>0</v>
      </c>
      <c r="AO673" s="76"/>
      <c r="AP673" s="37"/>
      <c r="AQ673" s="86">
        <f>tbl_Actual_costs_quantities34[[#This Row],[Ceramic Tile Works WASH]]*BOQs!$L$12</f>
        <v>0</v>
      </c>
      <c r="AR673" s="76"/>
      <c r="AS673" s="37"/>
      <c r="AT673" s="86">
        <f>tbl_Actual_costs_quantities34[[#This Row],[Electrical Repairs Lighting]]*BOQs!$L$13</f>
        <v>0</v>
      </c>
      <c r="AU673" s="76"/>
      <c r="AV673" s="37"/>
      <c r="AW673" s="86">
        <f>tbl_Actual_costs_quantities34[[#This Row],[Roof Insulation Leak Sealing]]*BOQs!$L$14</f>
        <v>0</v>
      </c>
      <c r="AX673" s="76"/>
      <c r="AY673" s="37"/>
      <c r="AZ673" s="86">
        <f>tbl_Actual_costs_quantities34[[#This Row],[Chimney Duct Cleaning Repair]]*BOQs!$L$15</f>
        <v>0</v>
      </c>
      <c r="BA673" s="76"/>
      <c r="BB673" s="37"/>
      <c r="BC673" s="89">
        <f>tbl_Actual_costs_quantities34[[#This Row],[Accessibility Adaptations]]*BOQs!$L$16</f>
        <v>0</v>
      </c>
      <c r="BD673" s="41"/>
      <c r="BE673" s="37"/>
      <c r="BF673" s="37"/>
    </row>
    <row r="674" spans="2:58" ht="25.15" customHeight="1" x14ac:dyDescent="0.25">
      <c r="B674" s="49">
        <v>670</v>
      </c>
      <c r="C674" s="37"/>
      <c r="D674" s="41"/>
      <c r="E674" s="40"/>
      <c r="F674" s="87" t="str">
        <f>IF(tbl_Actual_costs_quantities34[[#This Row],[House Code]]&lt;&gt;"",INDEX(tbl_Assessment[],MATCH(tbl_Actual_costs_quantities34[[#This Row],[House Code]],tbl_Assessment[House Code],0),3),"")</f>
        <v/>
      </c>
      <c r="G674" s="116" t="str">
        <f>IF(tbl_Actual_costs_quantities34[[#This Row],[House Code]]&lt;&gt;"",INDEX(tbl_Assessment[],MATCH(tbl_Actual_costs_quantities34[[#This Row],[House Code]],tbl_Assessment[House Code],0),9),"")</f>
        <v/>
      </c>
      <c r="H674" s="41"/>
      <c r="I674" s="41"/>
      <c r="J674" s="41"/>
      <c r="K674" s="116"/>
      <c r="L674" s="117" t="str">
        <f>IF(tbl_Actual_costs_quantities34[[#This Row],[House Code]]&lt;&gt;"",tbl_Actual_costs_quantities34[[#This Row],[Total cost]]/INDEX(tbl_estimated_costs_quantities[],MATCH(tbl_Actual_costs_quantities34[[#This Row],[House Code]],tbl_estimated_costs_quantities[House Code],0),7),"")</f>
        <v/>
      </c>
      <c r="M67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4" s="75"/>
      <c r="O674" s="37"/>
      <c r="P674" s="86">
        <f>tbl_Actual_costs_quantities34[[#This Row],[Site Preparation]]*BOQs!$L$3</f>
        <v>0</v>
      </c>
      <c r="Q674" s="76"/>
      <c r="R674" s="37"/>
      <c r="S674" s="86">
        <f>tbl_Actual_costs_quantities34[[#This Row],[Demolition Removal Unsafe Structures]]*BOQs!$L$4</f>
        <v>0</v>
      </c>
      <c r="T674" s="76"/>
      <c r="U674" s="37"/>
      <c r="V674" s="86">
        <f>tbl_Actual_costs_quantities34[[#This Row],[Concrete Works]]*BOQs!$L$5</f>
        <v>0</v>
      </c>
      <c r="W674" s="76"/>
      <c r="X674" s="37"/>
      <c r="Y674" s="86">
        <f>tbl_Actual_costs_quantities34[[#This Row],[Closure External Openings Walls Windows]]*BOQs!$L$6</f>
        <v>0</v>
      </c>
      <c r="Z674" s="76"/>
      <c r="AA674" s="37"/>
      <c r="AB674" s="86">
        <f>tbl_Actual_costs_quantities34[[#This Row],[Plastering Painting]]*BOQs!$L$7</f>
        <v>0</v>
      </c>
      <c r="AC674" s="76"/>
      <c r="AD674" s="37"/>
      <c r="AE674" s="86">
        <f>tbl_Actual_costs_quantities34[[#This Row],[Floor Repairs]]*BOQs!$L$8</f>
        <v>0</v>
      </c>
      <c r="AF674" s="76"/>
      <c r="AG674" s="37"/>
      <c r="AH674" s="86">
        <f>tbl_Actual_costs_quantities34[[#This Row],[Doors Replacement Repair]]*BOQs!$L$9</f>
        <v>0</v>
      </c>
      <c r="AI674" s="76"/>
      <c r="AJ674" s="37"/>
      <c r="AK674" s="86">
        <f>tbl_Actual_costs_quantities34[[#This Row],[Windows Replacement Repair]]*BOQs!$L$10</f>
        <v>0</v>
      </c>
      <c r="AL674" s="76"/>
      <c r="AM674" s="37"/>
      <c r="AN674" s="86">
        <f>tbl_Actual_costs_quantities34[[#This Row],[Bathroom Rehabilitation]]*BOQs!$L$11</f>
        <v>0</v>
      </c>
      <c r="AO674" s="76"/>
      <c r="AP674" s="37"/>
      <c r="AQ674" s="86">
        <f>tbl_Actual_costs_quantities34[[#This Row],[Ceramic Tile Works WASH]]*BOQs!$L$12</f>
        <v>0</v>
      </c>
      <c r="AR674" s="76"/>
      <c r="AS674" s="37"/>
      <c r="AT674" s="86">
        <f>tbl_Actual_costs_quantities34[[#This Row],[Electrical Repairs Lighting]]*BOQs!$L$13</f>
        <v>0</v>
      </c>
      <c r="AU674" s="76"/>
      <c r="AV674" s="37"/>
      <c r="AW674" s="86">
        <f>tbl_Actual_costs_quantities34[[#This Row],[Roof Insulation Leak Sealing]]*BOQs!$L$14</f>
        <v>0</v>
      </c>
      <c r="AX674" s="76"/>
      <c r="AY674" s="37"/>
      <c r="AZ674" s="86">
        <f>tbl_Actual_costs_quantities34[[#This Row],[Chimney Duct Cleaning Repair]]*BOQs!$L$15</f>
        <v>0</v>
      </c>
      <c r="BA674" s="76"/>
      <c r="BB674" s="37"/>
      <c r="BC674" s="89">
        <f>tbl_Actual_costs_quantities34[[#This Row],[Accessibility Adaptations]]*BOQs!$L$16</f>
        <v>0</v>
      </c>
      <c r="BD674" s="41"/>
      <c r="BE674" s="37"/>
      <c r="BF674" s="37"/>
    </row>
    <row r="675" spans="2:58" ht="25.15" customHeight="1" x14ac:dyDescent="0.25">
      <c r="B675" s="49">
        <v>671</v>
      </c>
      <c r="C675" s="37"/>
      <c r="D675" s="41"/>
      <c r="E675" s="40"/>
      <c r="F675" s="87" t="str">
        <f>IF(tbl_Actual_costs_quantities34[[#This Row],[House Code]]&lt;&gt;"",INDEX(tbl_Assessment[],MATCH(tbl_Actual_costs_quantities34[[#This Row],[House Code]],tbl_Assessment[House Code],0),3),"")</f>
        <v/>
      </c>
      <c r="G675" s="116" t="str">
        <f>IF(tbl_Actual_costs_quantities34[[#This Row],[House Code]]&lt;&gt;"",INDEX(tbl_Assessment[],MATCH(tbl_Actual_costs_quantities34[[#This Row],[House Code]],tbl_Assessment[House Code],0),9),"")</f>
        <v/>
      </c>
      <c r="H675" s="41"/>
      <c r="I675" s="41"/>
      <c r="J675" s="41"/>
      <c r="K675" s="116"/>
      <c r="L675" s="117" t="str">
        <f>IF(tbl_Actual_costs_quantities34[[#This Row],[House Code]]&lt;&gt;"",tbl_Actual_costs_quantities34[[#This Row],[Total cost]]/INDEX(tbl_estimated_costs_quantities[],MATCH(tbl_Actual_costs_quantities34[[#This Row],[House Code]],tbl_estimated_costs_quantities[House Code],0),7),"")</f>
        <v/>
      </c>
      <c r="M67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5" s="75"/>
      <c r="O675" s="37"/>
      <c r="P675" s="86">
        <f>tbl_Actual_costs_quantities34[[#This Row],[Site Preparation]]*BOQs!$L$3</f>
        <v>0</v>
      </c>
      <c r="Q675" s="76"/>
      <c r="R675" s="37"/>
      <c r="S675" s="86">
        <f>tbl_Actual_costs_quantities34[[#This Row],[Demolition Removal Unsafe Structures]]*BOQs!$L$4</f>
        <v>0</v>
      </c>
      <c r="T675" s="76"/>
      <c r="U675" s="37"/>
      <c r="V675" s="86">
        <f>tbl_Actual_costs_quantities34[[#This Row],[Concrete Works]]*BOQs!$L$5</f>
        <v>0</v>
      </c>
      <c r="W675" s="76"/>
      <c r="X675" s="37"/>
      <c r="Y675" s="86">
        <f>tbl_Actual_costs_quantities34[[#This Row],[Closure External Openings Walls Windows]]*BOQs!$L$6</f>
        <v>0</v>
      </c>
      <c r="Z675" s="76"/>
      <c r="AA675" s="37"/>
      <c r="AB675" s="86">
        <f>tbl_Actual_costs_quantities34[[#This Row],[Plastering Painting]]*BOQs!$L$7</f>
        <v>0</v>
      </c>
      <c r="AC675" s="76"/>
      <c r="AD675" s="37"/>
      <c r="AE675" s="86">
        <f>tbl_Actual_costs_quantities34[[#This Row],[Floor Repairs]]*BOQs!$L$8</f>
        <v>0</v>
      </c>
      <c r="AF675" s="76"/>
      <c r="AG675" s="37"/>
      <c r="AH675" s="86">
        <f>tbl_Actual_costs_quantities34[[#This Row],[Doors Replacement Repair]]*BOQs!$L$9</f>
        <v>0</v>
      </c>
      <c r="AI675" s="76"/>
      <c r="AJ675" s="37"/>
      <c r="AK675" s="86">
        <f>tbl_Actual_costs_quantities34[[#This Row],[Windows Replacement Repair]]*BOQs!$L$10</f>
        <v>0</v>
      </c>
      <c r="AL675" s="76"/>
      <c r="AM675" s="37"/>
      <c r="AN675" s="86">
        <f>tbl_Actual_costs_quantities34[[#This Row],[Bathroom Rehabilitation]]*BOQs!$L$11</f>
        <v>0</v>
      </c>
      <c r="AO675" s="76"/>
      <c r="AP675" s="37"/>
      <c r="AQ675" s="86">
        <f>tbl_Actual_costs_quantities34[[#This Row],[Ceramic Tile Works WASH]]*BOQs!$L$12</f>
        <v>0</v>
      </c>
      <c r="AR675" s="76"/>
      <c r="AS675" s="37"/>
      <c r="AT675" s="86">
        <f>tbl_Actual_costs_quantities34[[#This Row],[Electrical Repairs Lighting]]*BOQs!$L$13</f>
        <v>0</v>
      </c>
      <c r="AU675" s="76"/>
      <c r="AV675" s="37"/>
      <c r="AW675" s="86">
        <f>tbl_Actual_costs_quantities34[[#This Row],[Roof Insulation Leak Sealing]]*BOQs!$L$14</f>
        <v>0</v>
      </c>
      <c r="AX675" s="76"/>
      <c r="AY675" s="37"/>
      <c r="AZ675" s="86">
        <f>tbl_Actual_costs_quantities34[[#This Row],[Chimney Duct Cleaning Repair]]*BOQs!$L$15</f>
        <v>0</v>
      </c>
      <c r="BA675" s="76"/>
      <c r="BB675" s="37"/>
      <c r="BC675" s="89">
        <f>tbl_Actual_costs_quantities34[[#This Row],[Accessibility Adaptations]]*BOQs!$L$16</f>
        <v>0</v>
      </c>
      <c r="BD675" s="41"/>
      <c r="BE675" s="37"/>
      <c r="BF675" s="37"/>
    </row>
    <row r="676" spans="2:58" ht="25.15" customHeight="1" x14ac:dyDescent="0.25">
      <c r="B676" s="49">
        <v>672</v>
      </c>
      <c r="C676" s="37"/>
      <c r="D676" s="41"/>
      <c r="E676" s="40"/>
      <c r="F676" s="87" t="str">
        <f>IF(tbl_Actual_costs_quantities34[[#This Row],[House Code]]&lt;&gt;"",INDEX(tbl_Assessment[],MATCH(tbl_Actual_costs_quantities34[[#This Row],[House Code]],tbl_Assessment[House Code],0),3),"")</f>
        <v/>
      </c>
      <c r="G676" s="116" t="str">
        <f>IF(tbl_Actual_costs_quantities34[[#This Row],[House Code]]&lt;&gt;"",INDEX(tbl_Assessment[],MATCH(tbl_Actual_costs_quantities34[[#This Row],[House Code]],tbl_Assessment[House Code],0),9),"")</f>
        <v/>
      </c>
      <c r="H676" s="41"/>
      <c r="I676" s="41"/>
      <c r="J676" s="41"/>
      <c r="K676" s="116"/>
      <c r="L676" s="117" t="str">
        <f>IF(tbl_Actual_costs_quantities34[[#This Row],[House Code]]&lt;&gt;"",tbl_Actual_costs_quantities34[[#This Row],[Total cost]]/INDEX(tbl_estimated_costs_quantities[],MATCH(tbl_Actual_costs_quantities34[[#This Row],[House Code]],tbl_estimated_costs_quantities[House Code],0),7),"")</f>
        <v/>
      </c>
      <c r="M67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6" s="75"/>
      <c r="O676" s="37"/>
      <c r="P676" s="86">
        <f>tbl_Actual_costs_quantities34[[#This Row],[Site Preparation]]*BOQs!$L$3</f>
        <v>0</v>
      </c>
      <c r="Q676" s="76"/>
      <c r="R676" s="37"/>
      <c r="S676" s="86">
        <f>tbl_Actual_costs_quantities34[[#This Row],[Demolition Removal Unsafe Structures]]*BOQs!$L$4</f>
        <v>0</v>
      </c>
      <c r="T676" s="76"/>
      <c r="U676" s="37"/>
      <c r="V676" s="86">
        <f>tbl_Actual_costs_quantities34[[#This Row],[Concrete Works]]*BOQs!$L$5</f>
        <v>0</v>
      </c>
      <c r="W676" s="76"/>
      <c r="X676" s="37"/>
      <c r="Y676" s="86">
        <f>tbl_Actual_costs_quantities34[[#This Row],[Closure External Openings Walls Windows]]*BOQs!$L$6</f>
        <v>0</v>
      </c>
      <c r="Z676" s="76"/>
      <c r="AA676" s="37"/>
      <c r="AB676" s="86">
        <f>tbl_Actual_costs_quantities34[[#This Row],[Plastering Painting]]*BOQs!$L$7</f>
        <v>0</v>
      </c>
      <c r="AC676" s="76"/>
      <c r="AD676" s="37"/>
      <c r="AE676" s="86">
        <f>tbl_Actual_costs_quantities34[[#This Row],[Floor Repairs]]*BOQs!$L$8</f>
        <v>0</v>
      </c>
      <c r="AF676" s="76"/>
      <c r="AG676" s="37"/>
      <c r="AH676" s="86">
        <f>tbl_Actual_costs_quantities34[[#This Row],[Doors Replacement Repair]]*BOQs!$L$9</f>
        <v>0</v>
      </c>
      <c r="AI676" s="76"/>
      <c r="AJ676" s="37"/>
      <c r="AK676" s="86">
        <f>tbl_Actual_costs_quantities34[[#This Row],[Windows Replacement Repair]]*BOQs!$L$10</f>
        <v>0</v>
      </c>
      <c r="AL676" s="76"/>
      <c r="AM676" s="37"/>
      <c r="AN676" s="86">
        <f>tbl_Actual_costs_quantities34[[#This Row],[Bathroom Rehabilitation]]*BOQs!$L$11</f>
        <v>0</v>
      </c>
      <c r="AO676" s="76"/>
      <c r="AP676" s="37"/>
      <c r="AQ676" s="86">
        <f>tbl_Actual_costs_quantities34[[#This Row],[Ceramic Tile Works WASH]]*BOQs!$L$12</f>
        <v>0</v>
      </c>
      <c r="AR676" s="76"/>
      <c r="AS676" s="37"/>
      <c r="AT676" s="86">
        <f>tbl_Actual_costs_quantities34[[#This Row],[Electrical Repairs Lighting]]*BOQs!$L$13</f>
        <v>0</v>
      </c>
      <c r="AU676" s="76"/>
      <c r="AV676" s="37"/>
      <c r="AW676" s="86">
        <f>tbl_Actual_costs_quantities34[[#This Row],[Roof Insulation Leak Sealing]]*BOQs!$L$14</f>
        <v>0</v>
      </c>
      <c r="AX676" s="76"/>
      <c r="AY676" s="37"/>
      <c r="AZ676" s="86">
        <f>tbl_Actual_costs_quantities34[[#This Row],[Chimney Duct Cleaning Repair]]*BOQs!$L$15</f>
        <v>0</v>
      </c>
      <c r="BA676" s="76"/>
      <c r="BB676" s="37"/>
      <c r="BC676" s="89">
        <f>tbl_Actual_costs_quantities34[[#This Row],[Accessibility Adaptations]]*BOQs!$L$16</f>
        <v>0</v>
      </c>
      <c r="BD676" s="41"/>
      <c r="BE676" s="37"/>
      <c r="BF676" s="37"/>
    </row>
    <row r="677" spans="2:58" ht="25.15" customHeight="1" x14ac:dyDescent="0.25">
      <c r="B677" s="49">
        <v>673</v>
      </c>
      <c r="C677" s="37"/>
      <c r="D677" s="41"/>
      <c r="E677" s="40"/>
      <c r="F677" s="87" t="str">
        <f>IF(tbl_Actual_costs_quantities34[[#This Row],[House Code]]&lt;&gt;"",INDEX(tbl_Assessment[],MATCH(tbl_Actual_costs_quantities34[[#This Row],[House Code]],tbl_Assessment[House Code],0),3),"")</f>
        <v/>
      </c>
      <c r="G677" s="116" t="str">
        <f>IF(tbl_Actual_costs_quantities34[[#This Row],[House Code]]&lt;&gt;"",INDEX(tbl_Assessment[],MATCH(tbl_Actual_costs_quantities34[[#This Row],[House Code]],tbl_Assessment[House Code],0),9),"")</f>
        <v/>
      </c>
      <c r="H677" s="41"/>
      <c r="I677" s="41"/>
      <c r="J677" s="41"/>
      <c r="K677" s="116"/>
      <c r="L677" s="117" t="str">
        <f>IF(tbl_Actual_costs_quantities34[[#This Row],[House Code]]&lt;&gt;"",tbl_Actual_costs_quantities34[[#This Row],[Total cost]]/INDEX(tbl_estimated_costs_quantities[],MATCH(tbl_Actual_costs_quantities34[[#This Row],[House Code]],tbl_estimated_costs_quantities[House Code],0),7),"")</f>
        <v/>
      </c>
      <c r="M67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7" s="75"/>
      <c r="O677" s="37"/>
      <c r="P677" s="86">
        <f>tbl_Actual_costs_quantities34[[#This Row],[Site Preparation]]*BOQs!$L$3</f>
        <v>0</v>
      </c>
      <c r="Q677" s="76"/>
      <c r="R677" s="37"/>
      <c r="S677" s="86">
        <f>tbl_Actual_costs_quantities34[[#This Row],[Demolition Removal Unsafe Structures]]*BOQs!$L$4</f>
        <v>0</v>
      </c>
      <c r="T677" s="76"/>
      <c r="U677" s="37"/>
      <c r="V677" s="86">
        <f>tbl_Actual_costs_quantities34[[#This Row],[Concrete Works]]*BOQs!$L$5</f>
        <v>0</v>
      </c>
      <c r="W677" s="76"/>
      <c r="X677" s="37"/>
      <c r="Y677" s="86">
        <f>tbl_Actual_costs_quantities34[[#This Row],[Closure External Openings Walls Windows]]*BOQs!$L$6</f>
        <v>0</v>
      </c>
      <c r="Z677" s="76"/>
      <c r="AA677" s="37"/>
      <c r="AB677" s="86">
        <f>tbl_Actual_costs_quantities34[[#This Row],[Plastering Painting]]*BOQs!$L$7</f>
        <v>0</v>
      </c>
      <c r="AC677" s="76"/>
      <c r="AD677" s="37"/>
      <c r="AE677" s="86">
        <f>tbl_Actual_costs_quantities34[[#This Row],[Floor Repairs]]*BOQs!$L$8</f>
        <v>0</v>
      </c>
      <c r="AF677" s="76"/>
      <c r="AG677" s="37"/>
      <c r="AH677" s="86">
        <f>tbl_Actual_costs_quantities34[[#This Row],[Doors Replacement Repair]]*BOQs!$L$9</f>
        <v>0</v>
      </c>
      <c r="AI677" s="76"/>
      <c r="AJ677" s="37"/>
      <c r="AK677" s="86">
        <f>tbl_Actual_costs_quantities34[[#This Row],[Windows Replacement Repair]]*BOQs!$L$10</f>
        <v>0</v>
      </c>
      <c r="AL677" s="76"/>
      <c r="AM677" s="37"/>
      <c r="AN677" s="86">
        <f>tbl_Actual_costs_quantities34[[#This Row],[Bathroom Rehabilitation]]*BOQs!$L$11</f>
        <v>0</v>
      </c>
      <c r="AO677" s="76"/>
      <c r="AP677" s="37"/>
      <c r="AQ677" s="86">
        <f>tbl_Actual_costs_quantities34[[#This Row],[Ceramic Tile Works WASH]]*BOQs!$L$12</f>
        <v>0</v>
      </c>
      <c r="AR677" s="76"/>
      <c r="AS677" s="37"/>
      <c r="AT677" s="86">
        <f>tbl_Actual_costs_quantities34[[#This Row],[Electrical Repairs Lighting]]*BOQs!$L$13</f>
        <v>0</v>
      </c>
      <c r="AU677" s="76"/>
      <c r="AV677" s="37"/>
      <c r="AW677" s="86">
        <f>tbl_Actual_costs_quantities34[[#This Row],[Roof Insulation Leak Sealing]]*BOQs!$L$14</f>
        <v>0</v>
      </c>
      <c r="AX677" s="76"/>
      <c r="AY677" s="37"/>
      <c r="AZ677" s="86">
        <f>tbl_Actual_costs_quantities34[[#This Row],[Chimney Duct Cleaning Repair]]*BOQs!$L$15</f>
        <v>0</v>
      </c>
      <c r="BA677" s="76"/>
      <c r="BB677" s="37"/>
      <c r="BC677" s="89">
        <f>tbl_Actual_costs_quantities34[[#This Row],[Accessibility Adaptations]]*BOQs!$L$16</f>
        <v>0</v>
      </c>
      <c r="BD677" s="41"/>
      <c r="BE677" s="37"/>
      <c r="BF677" s="37"/>
    </row>
    <row r="678" spans="2:58" ht="25.15" customHeight="1" x14ac:dyDescent="0.25">
      <c r="B678" s="49">
        <v>674</v>
      </c>
      <c r="C678" s="37"/>
      <c r="D678" s="41"/>
      <c r="E678" s="40"/>
      <c r="F678" s="87" t="str">
        <f>IF(tbl_Actual_costs_quantities34[[#This Row],[House Code]]&lt;&gt;"",INDEX(tbl_Assessment[],MATCH(tbl_Actual_costs_quantities34[[#This Row],[House Code]],tbl_Assessment[House Code],0),3),"")</f>
        <v/>
      </c>
      <c r="G678" s="116" t="str">
        <f>IF(tbl_Actual_costs_quantities34[[#This Row],[House Code]]&lt;&gt;"",INDEX(tbl_Assessment[],MATCH(tbl_Actual_costs_quantities34[[#This Row],[House Code]],tbl_Assessment[House Code],0),9),"")</f>
        <v/>
      </c>
      <c r="H678" s="41"/>
      <c r="I678" s="41"/>
      <c r="J678" s="41"/>
      <c r="K678" s="116"/>
      <c r="L678" s="117" t="str">
        <f>IF(tbl_Actual_costs_quantities34[[#This Row],[House Code]]&lt;&gt;"",tbl_Actual_costs_quantities34[[#This Row],[Total cost]]/INDEX(tbl_estimated_costs_quantities[],MATCH(tbl_Actual_costs_quantities34[[#This Row],[House Code]],tbl_estimated_costs_quantities[House Code],0),7),"")</f>
        <v/>
      </c>
      <c r="M67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8" s="75"/>
      <c r="O678" s="37"/>
      <c r="P678" s="86">
        <f>tbl_Actual_costs_quantities34[[#This Row],[Site Preparation]]*BOQs!$L$3</f>
        <v>0</v>
      </c>
      <c r="Q678" s="76"/>
      <c r="R678" s="37"/>
      <c r="S678" s="86">
        <f>tbl_Actual_costs_quantities34[[#This Row],[Demolition Removal Unsafe Structures]]*BOQs!$L$4</f>
        <v>0</v>
      </c>
      <c r="T678" s="76"/>
      <c r="U678" s="37"/>
      <c r="V678" s="86">
        <f>tbl_Actual_costs_quantities34[[#This Row],[Concrete Works]]*BOQs!$L$5</f>
        <v>0</v>
      </c>
      <c r="W678" s="76"/>
      <c r="X678" s="37"/>
      <c r="Y678" s="86">
        <f>tbl_Actual_costs_quantities34[[#This Row],[Closure External Openings Walls Windows]]*BOQs!$L$6</f>
        <v>0</v>
      </c>
      <c r="Z678" s="76"/>
      <c r="AA678" s="37"/>
      <c r="AB678" s="86">
        <f>tbl_Actual_costs_quantities34[[#This Row],[Plastering Painting]]*BOQs!$L$7</f>
        <v>0</v>
      </c>
      <c r="AC678" s="76"/>
      <c r="AD678" s="37"/>
      <c r="AE678" s="86">
        <f>tbl_Actual_costs_quantities34[[#This Row],[Floor Repairs]]*BOQs!$L$8</f>
        <v>0</v>
      </c>
      <c r="AF678" s="76"/>
      <c r="AG678" s="37"/>
      <c r="AH678" s="86">
        <f>tbl_Actual_costs_quantities34[[#This Row],[Doors Replacement Repair]]*BOQs!$L$9</f>
        <v>0</v>
      </c>
      <c r="AI678" s="76"/>
      <c r="AJ678" s="37"/>
      <c r="AK678" s="86">
        <f>tbl_Actual_costs_quantities34[[#This Row],[Windows Replacement Repair]]*BOQs!$L$10</f>
        <v>0</v>
      </c>
      <c r="AL678" s="76"/>
      <c r="AM678" s="37"/>
      <c r="AN678" s="86">
        <f>tbl_Actual_costs_quantities34[[#This Row],[Bathroom Rehabilitation]]*BOQs!$L$11</f>
        <v>0</v>
      </c>
      <c r="AO678" s="76"/>
      <c r="AP678" s="37"/>
      <c r="AQ678" s="86">
        <f>tbl_Actual_costs_quantities34[[#This Row],[Ceramic Tile Works WASH]]*BOQs!$L$12</f>
        <v>0</v>
      </c>
      <c r="AR678" s="76"/>
      <c r="AS678" s="37"/>
      <c r="AT678" s="86">
        <f>tbl_Actual_costs_quantities34[[#This Row],[Electrical Repairs Lighting]]*BOQs!$L$13</f>
        <v>0</v>
      </c>
      <c r="AU678" s="76"/>
      <c r="AV678" s="37"/>
      <c r="AW678" s="86">
        <f>tbl_Actual_costs_quantities34[[#This Row],[Roof Insulation Leak Sealing]]*BOQs!$L$14</f>
        <v>0</v>
      </c>
      <c r="AX678" s="76"/>
      <c r="AY678" s="37"/>
      <c r="AZ678" s="86">
        <f>tbl_Actual_costs_quantities34[[#This Row],[Chimney Duct Cleaning Repair]]*BOQs!$L$15</f>
        <v>0</v>
      </c>
      <c r="BA678" s="76"/>
      <c r="BB678" s="37"/>
      <c r="BC678" s="89">
        <f>tbl_Actual_costs_quantities34[[#This Row],[Accessibility Adaptations]]*BOQs!$L$16</f>
        <v>0</v>
      </c>
      <c r="BD678" s="41"/>
      <c r="BE678" s="37"/>
      <c r="BF678" s="37"/>
    </row>
    <row r="679" spans="2:58" ht="25.15" customHeight="1" x14ac:dyDescent="0.25">
      <c r="B679" s="49">
        <v>675</v>
      </c>
      <c r="C679" s="37"/>
      <c r="D679" s="41"/>
      <c r="E679" s="40"/>
      <c r="F679" s="87" t="str">
        <f>IF(tbl_Actual_costs_quantities34[[#This Row],[House Code]]&lt;&gt;"",INDEX(tbl_Assessment[],MATCH(tbl_Actual_costs_quantities34[[#This Row],[House Code]],tbl_Assessment[House Code],0),3),"")</f>
        <v/>
      </c>
      <c r="G679" s="116" t="str">
        <f>IF(tbl_Actual_costs_quantities34[[#This Row],[House Code]]&lt;&gt;"",INDEX(tbl_Assessment[],MATCH(tbl_Actual_costs_quantities34[[#This Row],[House Code]],tbl_Assessment[House Code],0),9),"")</f>
        <v/>
      </c>
      <c r="H679" s="41"/>
      <c r="I679" s="41"/>
      <c r="J679" s="41"/>
      <c r="K679" s="116"/>
      <c r="L679" s="117" t="str">
        <f>IF(tbl_Actual_costs_quantities34[[#This Row],[House Code]]&lt;&gt;"",tbl_Actual_costs_quantities34[[#This Row],[Total cost]]/INDEX(tbl_estimated_costs_quantities[],MATCH(tbl_Actual_costs_quantities34[[#This Row],[House Code]],tbl_estimated_costs_quantities[House Code],0),7),"")</f>
        <v/>
      </c>
      <c r="M67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79" s="75"/>
      <c r="O679" s="37"/>
      <c r="P679" s="86">
        <f>tbl_Actual_costs_quantities34[[#This Row],[Site Preparation]]*BOQs!$L$3</f>
        <v>0</v>
      </c>
      <c r="Q679" s="76"/>
      <c r="R679" s="37"/>
      <c r="S679" s="86">
        <f>tbl_Actual_costs_quantities34[[#This Row],[Demolition Removal Unsafe Structures]]*BOQs!$L$4</f>
        <v>0</v>
      </c>
      <c r="T679" s="76"/>
      <c r="U679" s="37"/>
      <c r="V679" s="86">
        <f>tbl_Actual_costs_quantities34[[#This Row],[Concrete Works]]*BOQs!$L$5</f>
        <v>0</v>
      </c>
      <c r="W679" s="76"/>
      <c r="X679" s="37"/>
      <c r="Y679" s="86">
        <f>tbl_Actual_costs_quantities34[[#This Row],[Closure External Openings Walls Windows]]*BOQs!$L$6</f>
        <v>0</v>
      </c>
      <c r="Z679" s="76"/>
      <c r="AA679" s="37"/>
      <c r="AB679" s="86">
        <f>tbl_Actual_costs_quantities34[[#This Row],[Plastering Painting]]*BOQs!$L$7</f>
        <v>0</v>
      </c>
      <c r="AC679" s="76"/>
      <c r="AD679" s="37"/>
      <c r="AE679" s="86">
        <f>tbl_Actual_costs_quantities34[[#This Row],[Floor Repairs]]*BOQs!$L$8</f>
        <v>0</v>
      </c>
      <c r="AF679" s="76"/>
      <c r="AG679" s="37"/>
      <c r="AH679" s="86">
        <f>tbl_Actual_costs_quantities34[[#This Row],[Doors Replacement Repair]]*BOQs!$L$9</f>
        <v>0</v>
      </c>
      <c r="AI679" s="76"/>
      <c r="AJ679" s="37"/>
      <c r="AK679" s="86">
        <f>tbl_Actual_costs_quantities34[[#This Row],[Windows Replacement Repair]]*BOQs!$L$10</f>
        <v>0</v>
      </c>
      <c r="AL679" s="76"/>
      <c r="AM679" s="37"/>
      <c r="AN679" s="86">
        <f>tbl_Actual_costs_quantities34[[#This Row],[Bathroom Rehabilitation]]*BOQs!$L$11</f>
        <v>0</v>
      </c>
      <c r="AO679" s="76"/>
      <c r="AP679" s="37"/>
      <c r="AQ679" s="86">
        <f>tbl_Actual_costs_quantities34[[#This Row],[Ceramic Tile Works WASH]]*BOQs!$L$12</f>
        <v>0</v>
      </c>
      <c r="AR679" s="76"/>
      <c r="AS679" s="37"/>
      <c r="AT679" s="86">
        <f>tbl_Actual_costs_quantities34[[#This Row],[Electrical Repairs Lighting]]*BOQs!$L$13</f>
        <v>0</v>
      </c>
      <c r="AU679" s="76"/>
      <c r="AV679" s="37"/>
      <c r="AW679" s="86">
        <f>tbl_Actual_costs_quantities34[[#This Row],[Roof Insulation Leak Sealing]]*BOQs!$L$14</f>
        <v>0</v>
      </c>
      <c r="AX679" s="76"/>
      <c r="AY679" s="37"/>
      <c r="AZ679" s="86">
        <f>tbl_Actual_costs_quantities34[[#This Row],[Chimney Duct Cleaning Repair]]*BOQs!$L$15</f>
        <v>0</v>
      </c>
      <c r="BA679" s="76"/>
      <c r="BB679" s="37"/>
      <c r="BC679" s="89">
        <f>tbl_Actual_costs_quantities34[[#This Row],[Accessibility Adaptations]]*BOQs!$L$16</f>
        <v>0</v>
      </c>
      <c r="BD679" s="41"/>
      <c r="BE679" s="37"/>
      <c r="BF679" s="37"/>
    </row>
    <row r="680" spans="2:58" ht="25.15" customHeight="1" x14ac:dyDescent="0.25">
      <c r="B680" s="49">
        <v>676</v>
      </c>
      <c r="C680" s="37"/>
      <c r="D680" s="41"/>
      <c r="E680" s="40"/>
      <c r="F680" s="87" t="str">
        <f>IF(tbl_Actual_costs_quantities34[[#This Row],[House Code]]&lt;&gt;"",INDEX(tbl_Assessment[],MATCH(tbl_Actual_costs_quantities34[[#This Row],[House Code]],tbl_Assessment[House Code],0),3),"")</f>
        <v/>
      </c>
      <c r="G680" s="116" t="str">
        <f>IF(tbl_Actual_costs_quantities34[[#This Row],[House Code]]&lt;&gt;"",INDEX(tbl_Assessment[],MATCH(tbl_Actual_costs_quantities34[[#This Row],[House Code]],tbl_Assessment[House Code],0),9),"")</f>
        <v/>
      </c>
      <c r="H680" s="41"/>
      <c r="I680" s="41"/>
      <c r="J680" s="41"/>
      <c r="K680" s="116"/>
      <c r="L680" s="117" t="str">
        <f>IF(tbl_Actual_costs_quantities34[[#This Row],[House Code]]&lt;&gt;"",tbl_Actual_costs_quantities34[[#This Row],[Total cost]]/INDEX(tbl_estimated_costs_quantities[],MATCH(tbl_Actual_costs_quantities34[[#This Row],[House Code]],tbl_estimated_costs_quantities[House Code],0),7),"")</f>
        <v/>
      </c>
      <c r="M68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0" s="75"/>
      <c r="O680" s="37"/>
      <c r="P680" s="86">
        <f>tbl_Actual_costs_quantities34[[#This Row],[Site Preparation]]*BOQs!$L$3</f>
        <v>0</v>
      </c>
      <c r="Q680" s="76"/>
      <c r="R680" s="37"/>
      <c r="S680" s="86">
        <f>tbl_Actual_costs_quantities34[[#This Row],[Demolition Removal Unsafe Structures]]*BOQs!$L$4</f>
        <v>0</v>
      </c>
      <c r="T680" s="76"/>
      <c r="U680" s="37"/>
      <c r="V680" s="86">
        <f>tbl_Actual_costs_quantities34[[#This Row],[Concrete Works]]*BOQs!$L$5</f>
        <v>0</v>
      </c>
      <c r="W680" s="76"/>
      <c r="X680" s="37"/>
      <c r="Y680" s="86">
        <f>tbl_Actual_costs_quantities34[[#This Row],[Closure External Openings Walls Windows]]*BOQs!$L$6</f>
        <v>0</v>
      </c>
      <c r="Z680" s="76"/>
      <c r="AA680" s="37"/>
      <c r="AB680" s="86">
        <f>tbl_Actual_costs_quantities34[[#This Row],[Plastering Painting]]*BOQs!$L$7</f>
        <v>0</v>
      </c>
      <c r="AC680" s="76"/>
      <c r="AD680" s="37"/>
      <c r="AE680" s="86">
        <f>tbl_Actual_costs_quantities34[[#This Row],[Floor Repairs]]*BOQs!$L$8</f>
        <v>0</v>
      </c>
      <c r="AF680" s="76"/>
      <c r="AG680" s="37"/>
      <c r="AH680" s="86">
        <f>tbl_Actual_costs_quantities34[[#This Row],[Doors Replacement Repair]]*BOQs!$L$9</f>
        <v>0</v>
      </c>
      <c r="AI680" s="76"/>
      <c r="AJ680" s="37"/>
      <c r="AK680" s="86">
        <f>tbl_Actual_costs_quantities34[[#This Row],[Windows Replacement Repair]]*BOQs!$L$10</f>
        <v>0</v>
      </c>
      <c r="AL680" s="76"/>
      <c r="AM680" s="37"/>
      <c r="AN680" s="86">
        <f>tbl_Actual_costs_quantities34[[#This Row],[Bathroom Rehabilitation]]*BOQs!$L$11</f>
        <v>0</v>
      </c>
      <c r="AO680" s="76"/>
      <c r="AP680" s="37"/>
      <c r="AQ680" s="86">
        <f>tbl_Actual_costs_quantities34[[#This Row],[Ceramic Tile Works WASH]]*BOQs!$L$12</f>
        <v>0</v>
      </c>
      <c r="AR680" s="76"/>
      <c r="AS680" s="37"/>
      <c r="AT680" s="86">
        <f>tbl_Actual_costs_quantities34[[#This Row],[Electrical Repairs Lighting]]*BOQs!$L$13</f>
        <v>0</v>
      </c>
      <c r="AU680" s="76"/>
      <c r="AV680" s="37"/>
      <c r="AW680" s="86">
        <f>tbl_Actual_costs_quantities34[[#This Row],[Roof Insulation Leak Sealing]]*BOQs!$L$14</f>
        <v>0</v>
      </c>
      <c r="AX680" s="76"/>
      <c r="AY680" s="37"/>
      <c r="AZ680" s="86">
        <f>tbl_Actual_costs_quantities34[[#This Row],[Chimney Duct Cleaning Repair]]*BOQs!$L$15</f>
        <v>0</v>
      </c>
      <c r="BA680" s="76"/>
      <c r="BB680" s="37"/>
      <c r="BC680" s="89">
        <f>tbl_Actual_costs_quantities34[[#This Row],[Accessibility Adaptations]]*BOQs!$L$16</f>
        <v>0</v>
      </c>
      <c r="BD680" s="41"/>
      <c r="BE680" s="37"/>
      <c r="BF680" s="37"/>
    </row>
    <row r="681" spans="2:58" ht="25.15" customHeight="1" x14ac:dyDescent="0.25">
      <c r="B681" s="49">
        <v>677</v>
      </c>
      <c r="C681" s="37"/>
      <c r="D681" s="41"/>
      <c r="E681" s="40"/>
      <c r="F681" s="87" t="str">
        <f>IF(tbl_Actual_costs_quantities34[[#This Row],[House Code]]&lt;&gt;"",INDEX(tbl_Assessment[],MATCH(tbl_Actual_costs_quantities34[[#This Row],[House Code]],tbl_Assessment[House Code],0),3),"")</f>
        <v/>
      </c>
      <c r="G681" s="116" t="str">
        <f>IF(tbl_Actual_costs_quantities34[[#This Row],[House Code]]&lt;&gt;"",INDEX(tbl_Assessment[],MATCH(tbl_Actual_costs_quantities34[[#This Row],[House Code]],tbl_Assessment[House Code],0),9),"")</f>
        <v/>
      </c>
      <c r="H681" s="41"/>
      <c r="I681" s="41"/>
      <c r="J681" s="41"/>
      <c r="K681" s="116"/>
      <c r="L681" s="117" t="str">
        <f>IF(tbl_Actual_costs_quantities34[[#This Row],[House Code]]&lt;&gt;"",tbl_Actual_costs_quantities34[[#This Row],[Total cost]]/INDEX(tbl_estimated_costs_quantities[],MATCH(tbl_Actual_costs_quantities34[[#This Row],[House Code]],tbl_estimated_costs_quantities[House Code],0),7),"")</f>
        <v/>
      </c>
      <c r="M68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1" s="75"/>
      <c r="O681" s="37"/>
      <c r="P681" s="86">
        <f>tbl_Actual_costs_quantities34[[#This Row],[Site Preparation]]*BOQs!$L$3</f>
        <v>0</v>
      </c>
      <c r="Q681" s="76"/>
      <c r="R681" s="37"/>
      <c r="S681" s="86">
        <f>tbl_Actual_costs_quantities34[[#This Row],[Demolition Removal Unsafe Structures]]*BOQs!$L$4</f>
        <v>0</v>
      </c>
      <c r="T681" s="76"/>
      <c r="U681" s="37"/>
      <c r="V681" s="86">
        <f>tbl_Actual_costs_quantities34[[#This Row],[Concrete Works]]*BOQs!$L$5</f>
        <v>0</v>
      </c>
      <c r="W681" s="76"/>
      <c r="X681" s="37"/>
      <c r="Y681" s="86">
        <f>tbl_Actual_costs_quantities34[[#This Row],[Closure External Openings Walls Windows]]*BOQs!$L$6</f>
        <v>0</v>
      </c>
      <c r="Z681" s="76"/>
      <c r="AA681" s="37"/>
      <c r="AB681" s="86">
        <f>tbl_Actual_costs_quantities34[[#This Row],[Plastering Painting]]*BOQs!$L$7</f>
        <v>0</v>
      </c>
      <c r="AC681" s="76"/>
      <c r="AD681" s="37"/>
      <c r="AE681" s="86">
        <f>tbl_Actual_costs_quantities34[[#This Row],[Floor Repairs]]*BOQs!$L$8</f>
        <v>0</v>
      </c>
      <c r="AF681" s="76"/>
      <c r="AG681" s="37"/>
      <c r="AH681" s="86">
        <f>tbl_Actual_costs_quantities34[[#This Row],[Doors Replacement Repair]]*BOQs!$L$9</f>
        <v>0</v>
      </c>
      <c r="AI681" s="76"/>
      <c r="AJ681" s="37"/>
      <c r="AK681" s="86">
        <f>tbl_Actual_costs_quantities34[[#This Row],[Windows Replacement Repair]]*BOQs!$L$10</f>
        <v>0</v>
      </c>
      <c r="AL681" s="76"/>
      <c r="AM681" s="37"/>
      <c r="AN681" s="86">
        <f>tbl_Actual_costs_quantities34[[#This Row],[Bathroom Rehabilitation]]*BOQs!$L$11</f>
        <v>0</v>
      </c>
      <c r="AO681" s="76"/>
      <c r="AP681" s="37"/>
      <c r="AQ681" s="86">
        <f>tbl_Actual_costs_quantities34[[#This Row],[Ceramic Tile Works WASH]]*BOQs!$L$12</f>
        <v>0</v>
      </c>
      <c r="AR681" s="76"/>
      <c r="AS681" s="37"/>
      <c r="AT681" s="86">
        <f>tbl_Actual_costs_quantities34[[#This Row],[Electrical Repairs Lighting]]*BOQs!$L$13</f>
        <v>0</v>
      </c>
      <c r="AU681" s="76"/>
      <c r="AV681" s="37"/>
      <c r="AW681" s="86">
        <f>tbl_Actual_costs_quantities34[[#This Row],[Roof Insulation Leak Sealing]]*BOQs!$L$14</f>
        <v>0</v>
      </c>
      <c r="AX681" s="76"/>
      <c r="AY681" s="37"/>
      <c r="AZ681" s="86">
        <f>tbl_Actual_costs_quantities34[[#This Row],[Chimney Duct Cleaning Repair]]*BOQs!$L$15</f>
        <v>0</v>
      </c>
      <c r="BA681" s="76"/>
      <c r="BB681" s="37"/>
      <c r="BC681" s="89">
        <f>tbl_Actual_costs_quantities34[[#This Row],[Accessibility Adaptations]]*BOQs!$L$16</f>
        <v>0</v>
      </c>
      <c r="BD681" s="41"/>
      <c r="BE681" s="37"/>
      <c r="BF681" s="37"/>
    </row>
    <row r="682" spans="2:58" ht="25.15" customHeight="1" x14ac:dyDescent="0.25">
      <c r="B682" s="49">
        <v>678</v>
      </c>
      <c r="C682" s="37"/>
      <c r="D682" s="41"/>
      <c r="E682" s="40"/>
      <c r="F682" s="87" t="str">
        <f>IF(tbl_Actual_costs_quantities34[[#This Row],[House Code]]&lt;&gt;"",INDEX(tbl_Assessment[],MATCH(tbl_Actual_costs_quantities34[[#This Row],[House Code]],tbl_Assessment[House Code],0),3),"")</f>
        <v/>
      </c>
      <c r="G682" s="116" t="str">
        <f>IF(tbl_Actual_costs_quantities34[[#This Row],[House Code]]&lt;&gt;"",INDEX(tbl_Assessment[],MATCH(tbl_Actual_costs_quantities34[[#This Row],[House Code]],tbl_Assessment[House Code],0),9),"")</f>
        <v/>
      </c>
      <c r="H682" s="41"/>
      <c r="I682" s="41"/>
      <c r="J682" s="41"/>
      <c r="K682" s="116"/>
      <c r="L682" s="117" t="str">
        <f>IF(tbl_Actual_costs_quantities34[[#This Row],[House Code]]&lt;&gt;"",tbl_Actual_costs_quantities34[[#This Row],[Total cost]]/INDEX(tbl_estimated_costs_quantities[],MATCH(tbl_Actual_costs_quantities34[[#This Row],[House Code]],tbl_estimated_costs_quantities[House Code],0),7),"")</f>
        <v/>
      </c>
      <c r="M68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2" s="75"/>
      <c r="O682" s="37"/>
      <c r="P682" s="86">
        <f>tbl_Actual_costs_quantities34[[#This Row],[Site Preparation]]*BOQs!$L$3</f>
        <v>0</v>
      </c>
      <c r="Q682" s="76"/>
      <c r="R682" s="37"/>
      <c r="S682" s="86">
        <f>tbl_Actual_costs_quantities34[[#This Row],[Demolition Removal Unsafe Structures]]*BOQs!$L$4</f>
        <v>0</v>
      </c>
      <c r="T682" s="76"/>
      <c r="U682" s="37"/>
      <c r="V682" s="86">
        <f>tbl_Actual_costs_quantities34[[#This Row],[Concrete Works]]*BOQs!$L$5</f>
        <v>0</v>
      </c>
      <c r="W682" s="76"/>
      <c r="X682" s="37"/>
      <c r="Y682" s="86">
        <f>tbl_Actual_costs_quantities34[[#This Row],[Closure External Openings Walls Windows]]*BOQs!$L$6</f>
        <v>0</v>
      </c>
      <c r="Z682" s="76"/>
      <c r="AA682" s="37"/>
      <c r="AB682" s="86">
        <f>tbl_Actual_costs_quantities34[[#This Row],[Plastering Painting]]*BOQs!$L$7</f>
        <v>0</v>
      </c>
      <c r="AC682" s="76"/>
      <c r="AD682" s="37"/>
      <c r="AE682" s="86">
        <f>tbl_Actual_costs_quantities34[[#This Row],[Floor Repairs]]*BOQs!$L$8</f>
        <v>0</v>
      </c>
      <c r="AF682" s="76"/>
      <c r="AG682" s="37"/>
      <c r="AH682" s="86">
        <f>tbl_Actual_costs_quantities34[[#This Row],[Doors Replacement Repair]]*BOQs!$L$9</f>
        <v>0</v>
      </c>
      <c r="AI682" s="76"/>
      <c r="AJ682" s="37"/>
      <c r="AK682" s="86">
        <f>tbl_Actual_costs_quantities34[[#This Row],[Windows Replacement Repair]]*BOQs!$L$10</f>
        <v>0</v>
      </c>
      <c r="AL682" s="76"/>
      <c r="AM682" s="37"/>
      <c r="AN682" s="86">
        <f>tbl_Actual_costs_quantities34[[#This Row],[Bathroom Rehabilitation]]*BOQs!$L$11</f>
        <v>0</v>
      </c>
      <c r="AO682" s="76"/>
      <c r="AP682" s="37"/>
      <c r="AQ682" s="86">
        <f>tbl_Actual_costs_quantities34[[#This Row],[Ceramic Tile Works WASH]]*BOQs!$L$12</f>
        <v>0</v>
      </c>
      <c r="AR682" s="76"/>
      <c r="AS682" s="37"/>
      <c r="AT682" s="86">
        <f>tbl_Actual_costs_quantities34[[#This Row],[Electrical Repairs Lighting]]*BOQs!$L$13</f>
        <v>0</v>
      </c>
      <c r="AU682" s="76"/>
      <c r="AV682" s="37"/>
      <c r="AW682" s="86">
        <f>tbl_Actual_costs_quantities34[[#This Row],[Roof Insulation Leak Sealing]]*BOQs!$L$14</f>
        <v>0</v>
      </c>
      <c r="AX682" s="76"/>
      <c r="AY682" s="37"/>
      <c r="AZ682" s="86">
        <f>tbl_Actual_costs_quantities34[[#This Row],[Chimney Duct Cleaning Repair]]*BOQs!$L$15</f>
        <v>0</v>
      </c>
      <c r="BA682" s="76"/>
      <c r="BB682" s="37"/>
      <c r="BC682" s="89">
        <f>tbl_Actual_costs_quantities34[[#This Row],[Accessibility Adaptations]]*BOQs!$L$16</f>
        <v>0</v>
      </c>
      <c r="BD682" s="41"/>
      <c r="BE682" s="37"/>
      <c r="BF682" s="37"/>
    </row>
    <row r="683" spans="2:58" ht="25.15" customHeight="1" x14ac:dyDescent="0.25">
      <c r="B683" s="49">
        <v>679</v>
      </c>
      <c r="C683" s="37"/>
      <c r="D683" s="41"/>
      <c r="E683" s="40"/>
      <c r="F683" s="87" t="str">
        <f>IF(tbl_Actual_costs_quantities34[[#This Row],[House Code]]&lt;&gt;"",INDEX(tbl_Assessment[],MATCH(tbl_Actual_costs_quantities34[[#This Row],[House Code]],tbl_Assessment[House Code],0),3),"")</f>
        <v/>
      </c>
      <c r="G683" s="116" t="str">
        <f>IF(tbl_Actual_costs_quantities34[[#This Row],[House Code]]&lt;&gt;"",INDEX(tbl_Assessment[],MATCH(tbl_Actual_costs_quantities34[[#This Row],[House Code]],tbl_Assessment[House Code],0),9),"")</f>
        <v/>
      </c>
      <c r="H683" s="41"/>
      <c r="I683" s="41"/>
      <c r="J683" s="41"/>
      <c r="K683" s="116"/>
      <c r="L683" s="117" t="str">
        <f>IF(tbl_Actual_costs_quantities34[[#This Row],[House Code]]&lt;&gt;"",tbl_Actual_costs_quantities34[[#This Row],[Total cost]]/INDEX(tbl_estimated_costs_quantities[],MATCH(tbl_Actual_costs_quantities34[[#This Row],[House Code]],tbl_estimated_costs_quantities[House Code],0),7),"")</f>
        <v/>
      </c>
      <c r="M68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3" s="75"/>
      <c r="O683" s="37"/>
      <c r="P683" s="86">
        <f>tbl_Actual_costs_quantities34[[#This Row],[Site Preparation]]*BOQs!$L$3</f>
        <v>0</v>
      </c>
      <c r="Q683" s="76"/>
      <c r="R683" s="37"/>
      <c r="S683" s="86">
        <f>tbl_Actual_costs_quantities34[[#This Row],[Demolition Removal Unsafe Structures]]*BOQs!$L$4</f>
        <v>0</v>
      </c>
      <c r="T683" s="76"/>
      <c r="U683" s="37"/>
      <c r="V683" s="86">
        <f>tbl_Actual_costs_quantities34[[#This Row],[Concrete Works]]*BOQs!$L$5</f>
        <v>0</v>
      </c>
      <c r="W683" s="76"/>
      <c r="X683" s="37"/>
      <c r="Y683" s="86">
        <f>tbl_Actual_costs_quantities34[[#This Row],[Closure External Openings Walls Windows]]*BOQs!$L$6</f>
        <v>0</v>
      </c>
      <c r="Z683" s="76"/>
      <c r="AA683" s="37"/>
      <c r="AB683" s="86">
        <f>tbl_Actual_costs_quantities34[[#This Row],[Plastering Painting]]*BOQs!$L$7</f>
        <v>0</v>
      </c>
      <c r="AC683" s="76"/>
      <c r="AD683" s="37"/>
      <c r="AE683" s="86">
        <f>tbl_Actual_costs_quantities34[[#This Row],[Floor Repairs]]*BOQs!$L$8</f>
        <v>0</v>
      </c>
      <c r="AF683" s="76"/>
      <c r="AG683" s="37"/>
      <c r="AH683" s="86">
        <f>tbl_Actual_costs_quantities34[[#This Row],[Doors Replacement Repair]]*BOQs!$L$9</f>
        <v>0</v>
      </c>
      <c r="AI683" s="76"/>
      <c r="AJ683" s="37"/>
      <c r="AK683" s="86">
        <f>tbl_Actual_costs_quantities34[[#This Row],[Windows Replacement Repair]]*BOQs!$L$10</f>
        <v>0</v>
      </c>
      <c r="AL683" s="76"/>
      <c r="AM683" s="37"/>
      <c r="AN683" s="86">
        <f>tbl_Actual_costs_quantities34[[#This Row],[Bathroom Rehabilitation]]*BOQs!$L$11</f>
        <v>0</v>
      </c>
      <c r="AO683" s="76"/>
      <c r="AP683" s="37"/>
      <c r="AQ683" s="86">
        <f>tbl_Actual_costs_quantities34[[#This Row],[Ceramic Tile Works WASH]]*BOQs!$L$12</f>
        <v>0</v>
      </c>
      <c r="AR683" s="76"/>
      <c r="AS683" s="37"/>
      <c r="AT683" s="86">
        <f>tbl_Actual_costs_quantities34[[#This Row],[Electrical Repairs Lighting]]*BOQs!$L$13</f>
        <v>0</v>
      </c>
      <c r="AU683" s="76"/>
      <c r="AV683" s="37"/>
      <c r="AW683" s="86">
        <f>tbl_Actual_costs_quantities34[[#This Row],[Roof Insulation Leak Sealing]]*BOQs!$L$14</f>
        <v>0</v>
      </c>
      <c r="AX683" s="76"/>
      <c r="AY683" s="37"/>
      <c r="AZ683" s="86">
        <f>tbl_Actual_costs_quantities34[[#This Row],[Chimney Duct Cleaning Repair]]*BOQs!$L$15</f>
        <v>0</v>
      </c>
      <c r="BA683" s="76"/>
      <c r="BB683" s="37"/>
      <c r="BC683" s="89">
        <f>tbl_Actual_costs_quantities34[[#This Row],[Accessibility Adaptations]]*BOQs!$L$16</f>
        <v>0</v>
      </c>
      <c r="BD683" s="41"/>
      <c r="BE683" s="37"/>
      <c r="BF683" s="37"/>
    </row>
    <row r="684" spans="2:58" ht="25.15" customHeight="1" x14ac:dyDescent="0.25">
      <c r="B684" s="49">
        <v>680</v>
      </c>
      <c r="C684" s="37"/>
      <c r="D684" s="41"/>
      <c r="E684" s="40"/>
      <c r="F684" s="87" t="str">
        <f>IF(tbl_Actual_costs_quantities34[[#This Row],[House Code]]&lt;&gt;"",INDEX(tbl_Assessment[],MATCH(tbl_Actual_costs_quantities34[[#This Row],[House Code]],tbl_Assessment[House Code],0),3),"")</f>
        <v/>
      </c>
      <c r="G684" s="116" t="str">
        <f>IF(tbl_Actual_costs_quantities34[[#This Row],[House Code]]&lt;&gt;"",INDEX(tbl_Assessment[],MATCH(tbl_Actual_costs_quantities34[[#This Row],[House Code]],tbl_Assessment[House Code],0),9),"")</f>
        <v/>
      </c>
      <c r="H684" s="41"/>
      <c r="I684" s="41"/>
      <c r="J684" s="41"/>
      <c r="K684" s="116"/>
      <c r="L684" s="117" t="str">
        <f>IF(tbl_Actual_costs_quantities34[[#This Row],[House Code]]&lt;&gt;"",tbl_Actual_costs_quantities34[[#This Row],[Total cost]]/INDEX(tbl_estimated_costs_quantities[],MATCH(tbl_Actual_costs_quantities34[[#This Row],[House Code]],tbl_estimated_costs_quantities[House Code],0),7),"")</f>
        <v/>
      </c>
      <c r="M68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4" s="75"/>
      <c r="O684" s="37"/>
      <c r="P684" s="86">
        <f>tbl_Actual_costs_quantities34[[#This Row],[Site Preparation]]*BOQs!$L$3</f>
        <v>0</v>
      </c>
      <c r="Q684" s="76"/>
      <c r="R684" s="37"/>
      <c r="S684" s="86">
        <f>tbl_Actual_costs_quantities34[[#This Row],[Demolition Removal Unsafe Structures]]*BOQs!$L$4</f>
        <v>0</v>
      </c>
      <c r="T684" s="76"/>
      <c r="U684" s="37"/>
      <c r="V684" s="86">
        <f>tbl_Actual_costs_quantities34[[#This Row],[Concrete Works]]*BOQs!$L$5</f>
        <v>0</v>
      </c>
      <c r="W684" s="76"/>
      <c r="X684" s="37"/>
      <c r="Y684" s="86">
        <f>tbl_Actual_costs_quantities34[[#This Row],[Closure External Openings Walls Windows]]*BOQs!$L$6</f>
        <v>0</v>
      </c>
      <c r="Z684" s="76"/>
      <c r="AA684" s="37"/>
      <c r="AB684" s="86">
        <f>tbl_Actual_costs_quantities34[[#This Row],[Plastering Painting]]*BOQs!$L$7</f>
        <v>0</v>
      </c>
      <c r="AC684" s="76"/>
      <c r="AD684" s="37"/>
      <c r="AE684" s="86">
        <f>tbl_Actual_costs_quantities34[[#This Row],[Floor Repairs]]*BOQs!$L$8</f>
        <v>0</v>
      </c>
      <c r="AF684" s="76"/>
      <c r="AG684" s="37"/>
      <c r="AH684" s="86">
        <f>tbl_Actual_costs_quantities34[[#This Row],[Doors Replacement Repair]]*BOQs!$L$9</f>
        <v>0</v>
      </c>
      <c r="AI684" s="76"/>
      <c r="AJ684" s="37"/>
      <c r="AK684" s="86">
        <f>tbl_Actual_costs_quantities34[[#This Row],[Windows Replacement Repair]]*BOQs!$L$10</f>
        <v>0</v>
      </c>
      <c r="AL684" s="76"/>
      <c r="AM684" s="37"/>
      <c r="AN684" s="86">
        <f>tbl_Actual_costs_quantities34[[#This Row],[Bathroom Rehabilitation]]*BOQs!$L$11</f>
        <v>0</v>
      </c>
      <c r="AO684" s="76"/>
      <c r="AP684" s="37"/>
      <c r="AQ684" s="86">
        <f>tbl_Actual_costs_quantities34[[#This Row],[Ceramic Tile Works WASH]]*BOQs!$L$12</f>
        <v>0</v>
      </c>
      <c r="AR684" s="76"/>
      <c r="AS684" s="37"/>
      <c r="AT684" s="86">
        <f>tbl_Actual_costs_quantities34[[#This Row],[Electrical Repairs Lighting]]*BOQs!$L$13</f>
        <v>0</v>
      </c>
      <c r="AU684" s="76"/>
      <c r="AV684" s="37"/>
      <c r="AW684" s="86">
        <f>tbl_Actual_costs_quantities34[[#This Row],[Roof Insulation Leak Sealing]]*BOQs!$L$14</f>
        <v>0</v>
      </c>
      <c r="AX684" s="76"/>
      <c r="AY684" s="37"/>
      <c r="AZ684" s="86">
        <f>tbl_Actual_costs_quantities34[[#This Row],[Chimney Duct Cleaning Repair]]*BOQs!$L$15</f>
        <v>0</v>
      </c>
      <c r="BA684" s="76"/>
      <c r="BB684" s="37"/>
      <c r="BC684" s="89">
        <f>tbl_Actual_costs_quantities34[[#This Row],[Accessibility Adaptations]]*BOQs!$L$16</f>
        <v>0</v>
      </c>
      <c r="BD684" s="41"/>
      <c r="BE684" s="37"/>
      <c r="BF684" s="37"/>
    </row>
    <row r="685" spans="2:58" ht="25.15" customHeight="1" x14ac:dyDescent="0.25">
      <c r="B685" s="49">
        <v>681</v>
      </c>
      <c r="C685" s="37"/>
      <c r="D685" s="41"/>
      <c r="E685" s="40"/>
      <c r="F685" s="87" t="str">
        <f>IF(tbl_Actual_costs_quantities34[[#This Row],[House Code]]&lt;&gt;"",INDEX(tbl_Assessment[],MATCH(tbl_Actual_costs_quantities34[[#This Row],[House Code]],tbl_Assessment[House Code],0),3),"")</f>
        <v/>
      </c>
      <c r="G685" s="116" t="str">
        <f>IF(tbl_Actual_costs_quantities34[[#This Row],[House Code]]&lt;&gt;"",INDEX(tbl_Assessment[],MATCH(tbl_Actual_costs_quantities34[[#This Row],[House Code]],tbl_Assessment[House Code],0),9),"")</f>
        <v/>
      </c>
      <c r="H685" s="41"/>
      <c r="I685" s="41"/>
      <c r="J685" s="41"/>
      <c r="K685" s="116"/>
      <c r="L685" s="117" t="str">
        <f>IF(tbl_Actual_costs_quantities34[[#This Row],[House Code]]&lt;&gt;"",tbl_Actual_costs_quantities34[[#This Row],[Total cost]]/INDEX(tbl_estimated_costs_quantities[],MATCH(tbl_Actual_costs_quantities34[[#This Row],[House Code]],tbl_estimated_costs_quantities[House Code],0),7),"")</f>
        <v/>
      </c>
      <c r="M68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5" s="75"/>
      <c r="O685" s="37"/>
      <c r="P685" s="86">
        <f>tbl_Actual_costs_quantities34[[#This Row],[Site Preparation]]*BOQs!$L$3</f>
        <v>0</v>
      </c>
      <c r="Q685" s="76"/>
      <c r="R685" s="37"/>
      <c r="S685" s="86">
        <f>tbl_Actual_costs_quantities34[[#This Row],[Demolition Removal Unsafe Structures]]*BOQs!$L$4</f>
        <v>0</v>
      </c>
      <c r="T685" s="76"/>
      <c r="U685" s="37"/>
      <c r="V685" s="86">
        <f>tbl_Actual_costs_quantities34[[#This Row],[Concrete Works]]*BOQs!$L$5</f>
        <v>0</v>
      </c>
      <c r="W685" s="76"/>
      <c r="X685" s="37"/>
      <c r="Y685" s="86">
        <f>tbl_Actual_costs_quantities34[[#This Row],[Closure External Openings Walls Windows]]*BOQs!$L$6</f>
        <v>0</v>
      </c>
      <c r="Z685" s="76"/>
      <c r="AA685" s="37"/>
      <c r="AB685" s="86">
        <f>tbl_Actual_costs_quantities34[[#This Row],[Plastering Painting]]*BOQs!$L$7</f>
        <v>0</v>
      </c>
      <c r="AC685" s="76"/>
      <c r="AD685" s="37"/>
      <c r="AE685" s="86">
        <f>tbl_Actual_costs_quantities34[[#This Row],[Floor Repairs]]*BOQs!$L$8</f>
        <v>0</v>
      </c>
      <c r="AF685" s="76"/>
      <c r="AG685" s="37"/>
      <c r="AH685" s="86">
        <f>tbl_Actual_costs_quantities34[[#This Row],[Doors Replacement Repair]]*BOQs!$L$9</f>
        <v>0</v>
      </c>
      <c r="AI685" s="76"/>
      <c r="AJ685" s="37"/>
      <c r="AK685" s="86">
        <f>tbl_Actual_costs_quantities34[[#This Row],[Windows Replacement Repair]]*BOQs!$L$10</f>
        <v>0</v>
      </c>
      <c r="AL685" s="76"/>
      <c r="AM685" s="37"/>
      <c r="AN685" s="86">
        <f>tbl_Actual_costs_quantities34[[#This Row],[Bathroom Rehabilitation]]*BOQs!$L$11</f>
        <v>0</v>
      </c>
      <c r="AO685" s="76"/>
      <c r="AP685" s="37"/>
      <c r="AQ685" s="86">
        <f>tbl_Actual_costs_quantities34[[#This Row],[Ceramic Tile Works WASH]]*BOQs!$L$12</f>
        <v>0</v>
      </c>
      <c r="AR685" s="76"/>
      <c r="AS685" s="37"/>
      <c r="AT685" s="86">
        <f>tbl_Actual_costs_quantities34[[#This Row],[Electrical Repairs Lighting]]*BOQs!$L$13</f>
        <v>0</v>
      </c>
      <c r="AU685" s="76"/>
      <c r="AV685" s="37"/>
      <c r="AW685" s="86">
        <f>tbl_Actual_costs_quantities34[[#This Row],[Roof Insulation Leak Sealing]]*BOQs!$L$14</f>
        <v>0</v>
      </c>
      <c r="AX685" s="76"/>
      <c r="AY685" s="37"/>
      <c r="AZ685" s="86">
        <f>tbl_Actual_costs_quantities34[[#This Row],[Chimney Duct Cleaning Repair]]*BOQs!$L$15</f>
        <v>0</v>
      </c>
      <c r="BA685" s="76"/>
      <c r="BB685" s="37"/>
      <c r="BC685" s="89">
        <f>tbl_Actual_costs_quantities34[[#This Row],[Accessibility Adaptations]]*BOQs!$L$16</f>
        <v>0</v>
      </c>
      <c r="BD685" s="41"/>
      <c r="BE685" s="37"/>
      <c r="BF685" s="37"/>
    </row>
    <row r="686" spans="2:58" ht="25.15" customHeight="1" x14ac:dyDescent="0.25">
      <c r="B686" s="49">
        <v>682</v>
      </c>
      <c r="C686" s="37"/>
      <c r="D686" s="41"/>
      <c r="E686" s="40"/>
      <c r="F686" s="87" t="str">
        <f>IF(tbl_Actual_costs_quantities34[[#This Row],[House Code]]&lt;&gt;"",INDEX(tbl_Assessment[],MATCH(tbl_Actual_costs_quantities34[[#This Row],[House Code]],tbl_Assessment[House Code],0),3),"")</f>
        <v/>
      </c>
      <c r="G686" s="116" t="str">
        <f>IF(tbl_Actual_costs_quantities34[[#This Row],[House Code]]&lt;&gt;"",INDEX(tbl_Assessment[],MATCH(tbl_Actual_costs_quantities34[[#This Row],[House Code]],tbl_Assessment[House Code],0),9),"")</f>
        <v/>
      </c>
      <c r="H686" s="41"/>
      <c r="I686" s="41"/>
      <c r="J686" s="41"/>
      <c r="K686" s="116"/>
      <c r="L686" s="117" t="str">
        <f>IF(tbl_Actual_costs_quantities34[[#This Row],[House Code]]&lt;&gt;"",tbl_Actual_costs_quantities34[[#This Row],[Total cost]]/INDEX(tbl_estimated_costs_quantities[],MATCH(tbl_Actual_costs_quantities34[[#This Row],[House Code]],tbl_estimated_costs_quantities[House Code],0),7),"")</f>
        <v/>
      </c>
      <c r="M68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6" s="75"/>
      <c r="O686" s="37"/>
      <c r="P686" s="86">
        <f>tbl_Actual_costs_quantities34[[#This Row],[Site Preparation]]*BOQs!$L$3</f>
        <v>0</v>
      </c>
      <c r="Q686" s="76"/>
      <c r="R686" s="37"/>
      <c r="S686" s="86">
        <f>tbl_Actual_costs_quantities34[[#This Row],[Demolition Removal Unsafe Structures]]*BOQs!$L$4</f>
        <v>0</v>
      </c>
      <c r="T686" s="76"/>
      <c r="U686" s="37"/>
      <c r="V686" s="86">
        <f>tbl_Actual_costs_quantities34[[#This Row],[Concrete Works]]*BOQs!$L$5</f>
        <v>0</v>
      </c>
      <c r="W686" s="76"/>
      <c r="X686" s="37"/>
      <c r="Y686" s="86">
        <f>tbl_Actual_costs_quantities34[[#This Row],[Closure External Openings Walls Windows]]*BOQs!$L$6</f>
        <v>0</v>
      </c>
      <c r="Z686" s="76"/>
      <c r="AA686" s="37"/>
      <c r="AB686" s="86">
        <f>tbl_Actual_costs_quantities34[[#This Row],[Plastering Painting]]*BOQs!$L$7</f>
        <v>0</v>
      </c>
      <c r="AC686" s="76"/>
      <c r="AD686" s="37"/>
      <c r="AE686" s="86">
        <f>tbl_Actual_costs_quantities34[[#This Row],[Floor Repairs]]*BOQs!$L$8</f>
        <v>0</v>
      </c>
      <c r="AF686" s="76"/>
      <c r="AG686" s="37"/>
      <c r="AH686" s="86">
        <f>tbl_Actual_costs_quantities34[[#This Row],[Doors Replacement Repair]]*BOQs!$L$9</f>
        <v>0</v>
      </c>
      <c r="AI686" s="76"/>
      <c r="AJ686" s="37"/>
      <c r="AK686" s="86">
        <f>tbl_Actual_costs_quantities34[[#This Row],[Windows Replacement Repair]]*BOQs!$L$10</f>
        <v>0</v>
      </c>
      <c r="AL686" s="76"/>
      <c r="AM686" s="37"/>
      <c r="AN686" s="86">
        <f>tbl_Actual_costs_quantities34[[#This Row],[Bathroom Rehabilitation]]*BOQs!$L$11</f>
        <v>0</v>
      </c>
      <c r="AO686" s="76"/>
      <c r="AP686" s="37"/>
      <c r="AQ686" s="86">
        <f>tbl_Actual_costs_quantities34[[#This Row],[Ceramic Tile Works WASH]]*BOQs!$L$12</f>
        <v>0</v>
      </c>
      <c r="AR686" s="76"/>
      <c r="AS686" s="37"/>
      <c r="AT686" s="86">
        <f>tbl_Actual_costs_quantities34[[#This Row],[Electrical Repairs Lighting]]*BOQs!$L$13</f>
        <v>0</v>
      </c>
      <c r="AU686" s="76"/>
      <c r="AV686" s="37"/>
      <c r="AW686" s="86">
        <f>tbl_Actual_costs_quantities34[[#This Row],[Roof Insulation Leak Sealing]]*BOQs!$L$14</f>
        <v>0</v>
      </c>
      <c r="AX686" s="76"/>
      <c r="AY686" s="37"/>
      <c r="AZ686" s="86">
        <f>tbl_Actual_costs_quantities34[[#This Row],[Chimney Duct Cleaning Repair]]*BOQs!$L$15</f>
        <v>0</v>
      </c>
      <c r="BA686" s="76"/>
      <c r="BB686" s="37"/>
      <c r="BC686" s="89">
        <f>tbl_Actual_costs_quantities34[[#This Row],[Accessibility Adaptations]]*BOQs!$L$16</f>
        <v>0</v>
      </c>
      <c r="BD686" s="41"/>
      <c r="BE686" s="37"/>
      <c r="BF686" s="37"/>
    </row>
    <row r="687" spans="2:58" ht="25.15" customHeight="1" x14ac:dyDescent="0.25">
      <c r="B687" s="49">
        <v>683</v>
      </c>
      <c r="C687" s="37"/>
      <c r="D687" s="41"/>
      <c r="E687" s="40"/>
      <c r="F687" s="87" t="str">
        <f>IF(tbl_Actual_costs_quantities34[[#This Row],[House Code]]&lt;&gt;"",INDEX(tbl_Assessment[],MATCH(tbl_Actual_costs_quantities34[[#This Row],[House Code]],tbl_Assessment[House Code],0),3),"")</f>
        <v/>
      </c>
      <c r="G687" s="116" t="str">
        <f>IF(tbl_Actual_costs_quantities34[[#This Row],[House Code]]&lt;&gt;"",INDEX(tbl_Assessment[],MATCH(tbl_Actual_costs_quantities34[[#This Row],[House Code]],tbl_Assessment[House Code],0),9),"")</f>
        <v/>
      </c>
      <c r="H687" s="41"/>
      <c r="I687" s="41"/>
      <c r="J687" s="41"/>
      <c r="K687" s="116"/>
      <c r="L687" s="117" t="str">
        <f>IF(tbl_Actual_costs_quantities34[[#This Row],[House Code]]&lt;&gt;"",tbl_Actual_costs_quantities34[[#This Row],[Total cost]]/INDEX(tbl_estimated_costs_quantities[],MATCH(tbl_Actual_costs_quantities34[[#This Row],[House Code]],tbl_estimated_costs_quantities[House Code],0),7),"")</f>
        <v/>
      </c>
      <c r="M68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7" s="75"/>
      <c r="O687" s="37"/>
      <c r="P687" s="86">
        <f>tbl_Actual_costs_quantities34[[#This Row],[Site Preparation]]*BOQs!$L$3</f>
        <v>0</v>
      </c>
      <c r="Q687" s="76"/>
      <c r="R687" s="37"/>
      <c r="S687" s="86">
        <f>tbl_Actual_costs_quantities34[[#This Row],[Demolition Removal Unsafe Structures]]*BOQs!$L$4</f>
        <v>0</v>
      </c>
      <c r="T687" s="76"/>
      <c r="U687" s="37"/>
      <c r="V687" s="86">
        <f>tbl_Actual_costs_quantities34[[#This Row],[Concrete Works]]*BOQs!$L$5</f>
        <v>0</v>
      </c>
      <c r="W687" s="76"/>
      <c r="X687" s="37"/>
      <c r="Y687" s="86">
        <f>tbl_Actual_costs_quantities34[[#This Row],[Closure External Openings Walls Windows]]*BOQs!$L$6</f>
        <v>0</v>
      </c>
      <c r="Z687" s="76"/>
      <c r="AA687" s="37"/>
      <c r="AB687" s="86">
        <f>tbl_Actual_costs_quantities34[[#This Row],[Plastering Painting]]*BOQs!$L$7</f>
        <v>0</v>
      </c>
      <c r="AC687" s="76"/>
      <c r="AD687" s="37"/>
      <c r="AE687" s="86">
        <f>tbl_Actual_costs_quantities34[[#This Row],[Floor Repairs]]*BOQs!$L$8</f>
        <v>0</v>
      </c>
      <c r="AF687" s="76"/>
      <c r="AG687" s="37"/>
      <c r="AH687" s="86">
        <f>tbl_Actual_costs_quantities34[[#This Row],[Doors Replacement Repair]]*BOQs!$L$9</f>
        <v>0</v>
      </c>
      <c r="AI687" s="76"/>
      <c r="AJ687" s="37"/>
      <c r="AK687" s="86">
        <f>tbl_Actual_costs_quantities34[[#This Row],[Windows Replacement Repair]]*BOQs!$L$10</f>
        <v>0</v>
      </c>
      <c r="AL687" s="76"/>
      <c r="AM687" s="37"/>
      <c r="AN687" s="86">
        <f>tbl_Actual_costs_quantities34[[#This Row],[Bathroom Rehabilitation]]*BOQs!$L$11</f>
        <v>0</v>
      </c>
      <c r="AO687" s="76"/>
      <c r="AP687" s="37"/>
      <c r="AQ687" s="86">
        <f>tbl_Actual_costs_quantities34[[#This Row],[Ceramic Tile Works WASH]]*BOQs!$L$12</f>
        <v>0</v>
      </c>
      <c r="AR687" s="76"/>
      <c r="AS687" s="37"/>
      <c r="AT687" s="86">
        <f>tbl_Actual_costs_quantities34[[#This Row],[Electrical Repairs Lighting]]*BOQs!$L$13</f>
        <v>0</v>
      </c>
      <c r="AU687" s="76"/>
      <c r="AV687" s="37"/>
      <c r="AW687" s="86">
        <f>tbl_Actual_costs_quantities34[[#This Row],[Roof Insulation Leak Sealing]]*BOQs!$L$14</f>
        <v>0</v>
      </c>
      <c r="AX687" s="76"/>
      <c r="AY687" s="37"/>
      <c r="AZ687" s="86">
        <f>tbl_Actual_costs_quantities34[[#This Row],[Chimney Duct Cleaning Repair]]*BOQs!$L$15</f>
        <v>0</v>
      </c>
      <c r="BA687" s="76"/>
      <c r="BB687" s="37"/>
      <c r="BC687" s="89">
        <f>tbl_Actual_costs_quantities34[[#This Row],[Accessibility Adaptations]]*BOQs!$L$16</f>
        <v>0</v>
      </c>
      <c r="BD687" s="41"/>
      <c r="BE687" s="37"/>
      <c r="BF687" s="37"/>
    </row>
    <row r="688" spans="2:58" ht="25.15" customHeight="1" x14ac:dyDescent="0.25">
      <c r="B688" s="49">
        <v>684</v>
      </c>
      <c r="C688" s="37"/>
      <c r="D688" s="41"/>
      <c r="E688" s="40"/>
      <c r="F688" s="87" t="str">
        <f>IF(tbl_Actual_costs_quantities34[[#This Row],[House Code]]&lt;&gt;"",INDEX(tbl_Assessment[],MATCH(tbl_Actual_costs_quantities34[[#This Row],[House Code]],tbl_Assessment[House Code],0),3),"")</f>
        <v/>
      </c>
      <c r="G688" s="116" t="str">
        <f>IF(tbl_Actual_costs_quantities34[[#This Row],[House Code]]&lt;&gt;"",INDEX(tbl_Assessment[],MATCH(tbl_Actual_costs_quantities34[[#This Row],[House Code]],tbl_Assessment[House Code],0),9),"")</f>
        <v/>
      </c>
      <c r="H688" s="41"/>
      <c r="I688" s="41"/>
      <c r="J688" s="41"/>
      <c r="K688" s="116"/>
      <c r="L688" s="117" t="str">
        <f>IF(tbl_Actual_costs_quantities34[[#This Row],[House Code]]&lt;&gt;"",tbl_Actual_costs_quantities34[[#This Row],[Total cost]]/INDEX(tbl_estimated_costs_quantities[],MATCH(tbl_Actual_costs_quantities34[[#This Row],[House Code]],tbl_estimated_costs_quantities[House Code],0),7),"")</f>
        <v/>
      </c>
      <c r="M68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8" s="75"/>
      <c r="O688" s="37"/>
      <c r="P688" s="86">
        <f>tbl_Actual_costs_quantities34[[#This Row],[Site Preparation]]*BOQs!$L$3</f>
        <v>0</v>
      </c>
      <c r="Q688" s="76"/>
      <c r="R688" s="37"/>
      <c r="S688" s="86">
        <f>tbl_Actual_costs_quantities34[[#This Row],[Demolition Removal Unsafe Structures]]*BOQs!$L$4</f>
        <v>0</v>
      </c>
      <c r="T688" s="76"/>
      <c r="U688" s="37"/>
      <c r="V688" s="86">
        <f>tbl_Actual_costs_quantities34[[#This Row],[Concrete Works]]*BOQs!$L$5</f>
        <v>0</v>
      </c>
      <c r="W688" s="76"/>
      <c r="X688" s="37"/>
      <c r="Y688" s="86">
        <f>tbl_Actual_costs_quantities34[[#This Row],[Closure External Openings Walls Windows]]*BOQs!$L$6</f>
        <v>0</v>
      </c>
      <c r="Z688" s="76"/>
      <c r="AA688" s="37"/>
      <c r="AB688" s="86">
        <f>tbl_Actual_costs_quantities34[[#This Row],[Plastering Painting]]*BOQs!$L$7</f>
        <v>0</v>
      </c>
      <c r="AC688" s="76"/>
      <c r="AD688" s="37"/>
      <c r="AE688" s="86">
        <f>tbl_Actual_costs_quantities34[[#This Row],[Floor Repairs]]*BOQs!$L$8</f>
        <v>0</v>
      </c>
      <c r="AF688" s="76"/>
      <c r="AG688" s="37"/>
      <c r="AH688" s="86">
        <f>tbl_Actual_costs_quantities34[[#This Row],[Doors Replacement Repair]]*BOQs!$L$9</f>
        <v>0</v>
      </c>
      <c r="AI688" s="76"/>
      <c r="AJ688" s="37"/>
      <c r="AK688" s="86">
        <f>tbl_Actual_costs_quantities34[[#This Row],[Windows Replacement Repair]]*BOQs!$L$10</f>
        <v>0</v>
      </c>
      <c r="AL688" s="76"/>
      <c r="AM688" s="37"/>
      <c r="AN688" s="86">
        <f>tbl_Actual_costs_quantities34[[#This Row],[Bathroom Rehabilitation]]*BOQs!$L$11</f>
        <v>0</v>
      </c>
      <c r="AO688" s="76"/>
      <c r="AP688" s="37"/>
      <c r="AQ688" s="86">
        <f>tbl_Actual_costs_quantities34[[#This Row],[Ceramic Tile Works WASH]]*BOQs!$L$12</f>
        <v>0</v>
      </c>
      <c r="AR688" s="76"/>
      <c r="AS688" s="37"/>
      <c r="AT688" s="86">
        <f>tbl_Actual_costs_quantities34[[#This Row],[Electrical Repairs Lighting]]*BOQs!$L$13</f>
        <v>0</v>
      </c>
      <c r="AU688" s="76"/>
      <c r="AV688" s="37"/>
      <c r="AW688" s="86">
        <f>tbl_Actual_costs_quantities34[[#This Row],[Roof Insulation Leak Sealing]]*BOQs!$L$14</f>
        <v>0</v>
      </c>
      <c r="AX688" s="76"/>
      <c r="AY688" s="37"/>
      <c r="AZ688" s="86">
        <f>tbl_Actual_costs_quantities34[[#This Row],[Chimney Duct Cleaning Repair]]*BOQs!$L$15</f>
        <v>0</v>
      </c>
      <c r="BA688" s="76"/>
      <c r="BB688" s="37"/>
      <c r="BC688" s="89">
        <f>tbl_Actual_costs_quantities34[[#This Row],[Accessibility Adaptations]]*BOQs!$L$16</f>
        <v>0</v>
      </c>
      <c r="BD688" s="41"/>
      <c r="BE688" s="37"/>
      <c r="BF688" s="37"/>
    </row>
    <row r="689" spans="2:58" ht="25.15" customHeight="1" x14ac:dyDescent="0.25">
      <c r="B689" s="49">
        <v>685</v>
      </c>
      <c r="C689" s="37"/>
      <c r="D689" s="41"/>
      <c r="E689" s="40"/>
      <c r="F689" s="87" t="str">
        <f>IF(tbl_Actual_costs_quantities34[[#This Row],[House Code]]&lt;&gt;"",INDEX(tbl_Assessment[],MATCH(tbl_Actual_costs_quantities34[[#This Row],[House Code]],tbl_Assessment[House Code],0),3),"")</f>
        <v/>
      </c>
      <c r="G689" s="116" t="str">
        <f>IF(tbl_Actual_costs_quantities34[[#This Row],[House Code]]&lt;&gt;"",INDEX(tbl_Assessment[],MATCH(tbl_Actual_costs_quantities34[[#This Row],[House Code]],tbl_Assessment[House Code],0),9),"")</f>
        <v/>
      </c>
      <c r="H689" s="41"/>
      <c r="I689" s="41"/>
      <c r="J689" s="41"/>
      <c r="K689" s="116"/>
      <c r="L689" s="117" t="str">
        <f>IF(tbl_Actual_costs_quantities34[[#This Row],[House Code]]&lt;&gt;"",tbl_Actual_costs_quantities34[[#This Row],[Total cost]]/INDEX(tbl_estimated_costs_quantities[],MATCH(tbl_Actual_costs_quantities34[[#This Row],[House Code]],tbl_estimated_costs_quantities[House Code],0),7),"")</f>
        <v/>
      </c>
      <c r="M68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89" s="75"/>
      <c r="O689" s="37"/>
      <c r="P689" s="86">
        <f>tbl_Actual_costs_quantities34[[#This Row],[Site Preparation]]*BOQs!$L$3</f>
        <v>0</v>
      </c>
      <c r="Q689" s="76"/>
      <c r="R689" s="37"/>
      <c r="S689" s="86">
        <f>tbl_Actual_costs_quantities34[[#This Row],[Demolition Removal Unsafe Structures]]*BOQs!$L$4</f>
        <v>0</v>
      </c>
      <c r="T689" s="76"/>
      <c r="U689" s="37"/>
      <c r="V689" s="86">
        <f>tbl_Actual_costs_quantities34[[#This Row],[Concrete Works]]*BOQs!$L$5</f>
        <v>0</v>
      </c>
      <c r="W689" s="76"/>
      <c r="X689" s="37"/>
      <c r="Y689" s="86">
        <f>tbl_Actual_costs_quantities34[[#This Row],[Closure External Openings Walls Windows]]*BOQs!$L$6</f>
        <v>0</v>
      </c>
      <c r="Z689" s="76"/>
      <c r="AA689" s="37"/>
      <c r="AB689" s="86">
        <f>tbl_Actual_costs_quantities34[[#This Row],[Plastering Painting]]*BOQs!$L$7</f>
        <v>0</v>
      </c>
      <c r="AC689" s="76"/>
      <c r="AD689" s="37"/>
      <c r="AE689" s="86">
        <f>tbl_Actual_costs_quantities34[[#This Row],[Floor Repairs]]*BOQs!$L$8</f>
        <v>0</v>
      </c>
      <c r="AF689" s="76"/>
      <c r="AG689" s="37"/>
      <c r="AH689" s="86">
        <f>tbl_Actual_costs_quantities34[[#This Row],[Doors Replacement Repair]]*BOQs!$L$9</f>
        <v>0</v>
      </c>
      <c r="AI689" s="76"/>
      <c r="AJ689" s="37"/>
      <c r="AK689" s="86">
        <f>tbl_Actual_costs_quantities34[[#This Row],[Windows Replacement Repair]]*BOQs!$L$10</f>
        <v>0</v>
      </c>
      <c r="AL689" s="76"/>
      <c r="AM689" s="37"/>
      <c r="AN689" s="86">
        <f>tbl_Actual_costs_quantities34[[#This Row],[Bathroom Rehabilitation]]*BOQs!$L$11</f>
        <v>0</v>
      </c>
      <c r="AO689" s="76"/>
      <c r="AP689" s="37"/>
      <c r="AQ689" s="86">
        <f>tbl_Actual_costs_quantities34[[#This Row],[Ceramic Tile Works WASH]]*BOQs!$L$12</f>
        <v>0</v>
      </c>
      <c r="AR689" s="76"/>
      <c r="AS689" s="37"/>
      <c r="AT689" s="86">
        <f>tbl_Actual_costs_quantities34[[#This Row],[Electrical Repairs Lighting]]*BOQs!$L$13</f>
        <v>0</v>
      </c>
      <c r="AU689" s="76"/>
      <c r="AV689" s="37"/>
      <c r="AW689" s="86">
        <f>tbl_Actual_costs_quantities34[[#This Row],[Roof Insulation Leak Sealing]]*BOQs!$L$14</f>
        <v>0</v>
      </c>
      <c r="AX689" s="76"/>
      <c r="AY689" s="37"/>
      <c r="AZ689" s="86">
        <f>tbl_Actual_costs_quantities34[[#This Row],[Chimney Duct Cleaning Repair]]*BOQs!$L$15</f>
        <v>0</v>
      </c>
      <c r="BA689" s="76"/>
      <c r="BB689" s="37"/>
      <c r="BC689" s="89">
        <f>tbl_Actual_costs_quantities34[[#This Row],[Accessibility Adaptations]]*BOQs!$L$16</f>
        <v>0</v>
      </c>
      <c r="BD689" s="41"/>
      <c r="BE689" s="37"/>
      <c r="BF689" s="37"/>
    </row>
    <row r="690" spans="2:58" ht="25.15" customHeight="1" x14ac:dyDescent="0.25">
      <c r="B690" s="49">
        <v>686</v>
      </c>
      <c r="C690" s="37"/>
      <c r="D690" s="41"/>
      <c r="E690" s="40"/>
      <c r="F690" s="87" t="str">
        <f>IF(tbl_Actual_costs_quantities34[[#This Row],[House Code]]&lt;&gt;"",INDEX(tbl_Assessment[],MATCH(tbl_Actual_costs_quantities34[[#This Row],[House Code]],tbl_Assessment[House Code],0),3),"")</f>
        <v/>
      </c>
      <c r="G690" s="116" t="str">
        <f>IF(tbl_Actual_costs_quantities34[[#This Row],[House Code]]&lt;&gt;"",INDEX(tbl_Assessment[],MATCH(tbl_Actual_costs_quantities34[[#This Row],[House Code]],tbl_Assessment[House Code],0),9),"")</f>
        <v/>
      </c>
      <c r="H690" s="41"/>
      <c r="I690" s="41"/>
      <c r="J690" s="41"/>
      <c r="K690" s="116"/>
      <c r="L690" s="117" t="str">
        <f>IF(tbl_Actual_costs_quantities34[[#This Row],[House Code]]&lt;&gt;"",tbl_Actual_costs_quantities34[[#This Row],[Total cost]]/INDEX(tbl_estimated_costs_quantities[],MATCH(tbl_Actual_costs_quantities34[[#This Row],[House Code]],tbl_estimated_costs_quantities[House Code],0),7),"")</f>
        <v/>
      </c>
      <c r="M69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0" s="75"/>
      <c r="O690" s="37"/>
      <c r="P690" s="86">
        <f>tbl_Actual_costs_quantities34[[#This Row],[Site Preparation]]*BOQs!$L$3</f>
        <v>0</v>
      </c>
      <c r="Q690" s="76"/>
      <c r="R690" s="37"/>
      <c r="S690" s="86">
        <f>tbl_Actual_costs_quantities34[[#This Row],[Demolition Removal Unsafe Structures]]*BOQs!$L$4</f>
        <v>0</v>
      </c>
      <c r="T690" s="76"/>
      <c r="U690" s="37"/>
      <c r="V690" s="86">
        <f>tbl_Actual_costs_quantities34[[#This Row],[Concrete Works]]*BOQs!$L$5</f>
        <v>0</v>
      </c>
      <c r="W690" s="76"/>
      <c r="X690" s="37"/>
      <c r="Y690" s="86">
        <f>tbl_Actual_costs_quantities34[[#This Row],[Closure External Openings Walls Windows]]*BOQs!$L$6</f>
        <v>0</v>
      </c>
      <c r="Z690" s="76"/>
      <c r="AA690" s="37"/>
      <c r="AB690" s="86">
        <f>tbl_Actual_costs_quantities34[[#This Row],[Plastering Painting]]*BOQs!$L$7</f>
        <v>0</v>
      </c>
      <c r="AC690" s="76"/>
      <c r="AD690" s="37"/>
      <c r="AE690" s="86">
        <f>tbl_Actual_costs_quantities34[[#This Row],[Floor Repairs]]*BOQs!$L$8</f>
        <v>0</v>
      </c>
      <c r="AF690" s="76"/>
      <c r="AG690" s="37"/>
      <c r="AH690" s="86">
        <f>tbl_Actual_costs_quantities34[[#This Row],[Doors Replacement Repair]]*BOQs!$L$9</f>
        <v>0</v>
      </c>
      <c r="AI690" s="76"/>
      <c r="AJ690" s="37"/>
      <c r="AK690" s="86">
        <f>tbl_Actual_costs_quantities34[[#This Row],[Windows Replacement Repair]]*BOQs!$L$10</f>
        <v>0</v>
      </c>
      <c r="AL690" s="76"/>
      <c r="AM690" s="37"/>
      <c r="AN690" s="86">
        <f>tbl_Actual_costs_quantities34[[#This Row],[Bathroom Rehabilitation]]*BOQs!$L$11</f>
        <v>0</v>
      </c>
      <c r="AO690" s="76"/>
      <c r="AP690" s="37"/>
      <c r="AQ690" s="86">
        <f>tbl_Actual_costs_quantities34[[#This Row],[Ceramic Tile Works WASH]]*BOQs!$L$12</f>
        <v>0</v>
      </c>
      <c r="AR690" s="76"/>
      <c r="AS690" s="37"/>
      <c r="AT690" s="86">
        <f>tbl_Actual_costs_quantities34[[#This Row],[Electrical Repairs Lighting]]*BOQs!$L$13</f>
        <v>0</v>
      </c>
      <c r="AU690" s="76"/>
      <c r="AV690" s="37"/>
      <c r="AW690" s="86">
        <f>tbl_Actual_costs_quantities34[[#This Row],[Roof Insulation Leak Sealing]]*BOQs!$L$14</f>
        <v>0</v>
      </c>
      <c r="AX690" s="76"/>
      <c r="AY690" s="37"/>
      <c r="AZ690" s="86">
        <f>tbl_Actual_costs_quantities34[[#This Row],[Chimney Duct Cleaning Repair]]*BOQs!$L$15</f>
        <v>0</v>
      </c>
      <c r="BA690" s="76"/>
      <c r="BB690" s="37"/>
      <c r="BC690" s="89">
        <f>tbl_Actual_costs_quantities34[[#This Row],[Accessibility Adaptations]]*BOQs!$L$16</f>
        <v>0</v>
      </c>
      <c r="BD690" s="41"/>
      <c r="BE690" s="37"/>
      <c r="BF690" s="37"/>
    </row>
    <row r="691" spans="2:58" ht="25.15" customHeight="1" x14ac:dyDescent="0.25">
      <c r="B691" s="49">
        <v>687</v>
      </c>
      <c r="C691" s="37"/>
      <c r="D691" s="41"/>
      <c r="E691" s="40"/>
      <c r="F691" s="87" t="str">
        <f>IF(tbl_Actual_costs_quantities34[[#This Row],[House Code]]&lt;&gt;"",INDEX(tbl_Assessment[],MATCH(tbl_Actual_costs_quantities34[[#This Row],[House Code]],tbl_Assessment[House Code],0),3),"")</f>
        <v/>
      </c>
      <c r="G691" s="116" t="str">
        <f>IF(tbl_Actual_costs_quantities34[[#This Row],[House Code]]&lt;&gt;"",INDEX(tbl_Assessment[],MATCH(tbl_Actual_costs_quantities34[[#This Row],[House Code]],tbl_Assessment[House Code],0),9),"")</f>
        <v/>
      </c>
      <c r="H691" s="41"/>
      <c r="I691" s="41"/>
      <c r="J691" s="41"/>
      <c r="K691" s="116"/>
      <c r="L691" s="117" t="str">
        <f>IF(tbl_Actual_costs_quantities34[[#This Row],[House Code]]&lt;&gt;"",tbl_Actual_costs_quantities34[[#This Row],[Total cost]]/INDEX(tbl_estimated_costs_quantities[],MATCH(tbl_Actual_costs_quantities34[[#This Row],[House Code]],tbl_estimated_costs_quantities[House Code],0),7),"")</f>
        <v/>
      </c>
      <c r="M69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1" s="75"/>
      <c r="O691" s="37"/>
      <c r="P691" s="86">
        <f>tbl_Actual_costs_quantities34[[#This Row],[Site Preparation]]*BOQs!$L$3</f>
        <v>0</v>
      </c>
      <c r="Q691" s="76"/>
      <c r="R691" s="37"/>
      <c r="S691" s="86">
        <f>tbl_Actual_costs_quantities34[[#This Row],[Demolition Removal Unsafe Structures]]*BOQs!$L$4</f>
        <v>0</v>
      </c>
      <c r="T691" s="76"/>
      <c r="U691" s="37"/>
      <c r="V691" s="86">
        <f>tbl_Actual_costs_quantities34[[#This Row],[Concrete Works]]*BOQs!$L$5</f>
        <v>0</v>
      </c>
      <c r="W691" s="76"/>
      <c r="X691" s="37"/>
      <c r="Y691" s="86">
        <f>tbl_Actual_costs_quantities34[[#This Row],[Closure External Openings Walls Windows]]*BOQs!$L$6</f>
        <v>0</v>
      </c>
      <c r="Z691" s="76"/>
      <c r="AA691" s="37"/>
      <c r="AB691" s="86">
        <f>tbl_Actual_costs_quantities34[[#This Row],[Plastering Painting]]*BOQs!$L$7</f>
        <v>0</v>
      </c>
      <c r="AC691" s="76"/>
      <c r="AD691" s="37"/>
      <c r="AE691" s="86">
        <f>tbl_Actual_costs_quantities34[[#This Row],[Floor Repairs]]*BOQs!$L$8</f>
        <v>0</v>
      </c>
      <c r="AF691" s="76"/>
      <c r="AG691" s="37"/>
      <c r="AH691" s="86">
        <f>tbl_Actual_costs_quantities34[[#This Row],[Doors Replacement Repair]]*BOQs!$L$9</f>
        <v>0</v>
      </c>
      <c r="AI691" s="76"/>
      <c r="AJ691" s="37"/>
      <c r="AK691" s="86">
        <f>tbl_Actual_costs_quantities34[[#This Row],[Windows Replacement Repair]]*BOQs!$L$10</f>
        <v>0</v>
      </c>
      <c r="AL691" s="76"/>
      <c r="AM691" s="37"/>
      <c r="AN691" s="86">
        <f>tbl_Actual_costs_quantities34[[#This Row],[Bathroom Rehabilitation]]*BOQs!$L$11</f>
        <v>0</v>
      </c>
      <c r="AO691" s="76"/>
      <c r="AP691" s="37"/>
      <c r="AQ691" s="86">
        <f>tbl_Actual_costs_quantities34[[#This Row],[Ceramic Tile Works WASH]]*BOQs!$L$12</f>
        <v>0</v>
      </c>
      <c r="AR691" s="76"/>
      <c r="AS691" s="37"/>
      <c r="AT691" s="86">
        <f>tbl_Actual_costs_quantities34[[#This Row],[Electrical Repairs Lighting]]*BOQs!$L$13</f>
        <v>0</v>
      </c>
      <c r="AU691" s="76"/>
      <c r="AV691" s="37"/>
      <c r="AW691" s="86">
        <f>tbl_Actual_costs_quantities34[[#This Row],[Roof Insulation Leak Sealing]]*BOQs!$L$14</f>
        <v>0</v>
      </c>
      <c r="AX691" s="76"/>
      <c r="AY691" s="37"/>
      <c r="AZ691" s="86">
        <f>tbl_Actual_costs_quantities34[[#This Row],[Chimney Duct Cleaning Repair]]*BOQs!$L$15</f>
        <v>0</v>
      </c>
      <c r="BA691" s="76"/>
      <c r="BB691" s="37"/>
      <c r="BC691" s="89">
        <f>tbl_Actual_costs_quantities34[[#This Row],[Accessibility Adaptations]]*BOQs!$L$16</f>
        <v>0</v>
      </c>
      <c r="BD691" s="41"/>
      <c r="BE691" s="37"/>
      <c r="BF691" s="37"/>
    </row>
    <row r="692" spans="2:58" ht="25.15" customHeight="1" x14ac:dyDescent="0.25">
      <c r="B692" s="49">
        <v>688</v>
      </c>
      <c r="C692" s="37"/>
      <c r="D692" s="41"/>
      <c r="E692" s="40"/>
      <c r="F692" s="87" t="str">
        <f>IF(tbl_Actual_costs_quantities34[[#This Row],[House Code]]&lt;&gt;"",INDEX(tbl_Assessment[],MATCH(tbl_Actual_costs_quantities34[[#This Row],[House Code]],tbl_Assessment[House Code],0),3),"")</f>
        <v/>
      </c>
      <c r="G692" s="116" t="str">
        <f>IF(tbl_Actual_costs_quantities34[[#This Row],[House Code]]&lt;&gt;"",INDEX(tbl_Assessment[],MATCH(tbl_Actual_costs_quantities34[[#This Row],[House Code]],tbl_Assessment[House Code],0),9),"")</f>
        <v/>
      </c>
      <c r="H692" s="41"/>
      <c r="I692" s="41"/>
      <c r="J692" s="41"/>
      <c r="K692" s="116"/>
      <c r="L692" s="117" t="str">
        <f>IF(tbl_Actual_costs_quantities34[[#This Row],[House Code]]&lt;&gt;"",tbl_Actual_costs_quantities34[[#This Row],[Total cost]]/INDEX(tbl_estimated_costs_quantities[],MATCH(tbl_Actual_costs_quantities34[[#This Row],[House Code]],tbl_estimated_costs_quantities[House Code],0),7),"")</f>
        <v/>
      </c>
      <c r="M69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2" s="75"/>
      <c r="O692" s="37"/>
      <c r="P692" s="86">
        <f>tbl_Actual_costs_quantities34[[#This Row],[Site Preparation]]*BOQs!$L$3</f>
        <v>0</v>
      </c>
      <c r="Q692" s="76"/>
      <c r="R692" s="37"/>
      <c r="S692" s="86">
        <f>tbl_Actual_costs_quantities34[[#This Row],[Demolition Removal Unsafe Structures]]*BOQs!$L$4</f>
        <v>0</v>
      </c>
      <c r="T692" s="76"/>
      <c r="U692" s="37"/>
      <c r="V692" s="86">
        <f>tbl_Actual_costs_quantities34[[#This Row],[Concrete Works]]*BOQs!$L$5</f>
        <v>0</v>
      </c>
      <c r="W692" s="76"/>
      <c r="X692" s="37"/>
      <c r="Y692" s="86">
        <f>tbl_Actual_costs_quantities34[[#This Row],[Closure External Openings Walls Windows]]*BOQs!$L$6</f>
        <v>0</v>
      </c>
      <c r="Z692" s="76"/>
      <c r="AA692" s="37"/>
      <c r="AB692" s="86">
        <f>tbl_Actual_costs_quantities34[[#This Row],[Plastering Painting]]*BOQs!$L$7</f>
        <v>0</v>
      </c>
      <c r="AC692" s="76"/>
      <c r="AD692" s="37"/>
      <c r="AE692" s="86">
        <f>tbl_Actual_costs_quantities34[[#This Row],[Floor Repairs]]*BOQs!$L$8</f>
        <v>0</v>
      </c>
      <c r="AF692" s="76"/>
      <c r="AG692" s="37"/>
      <c r="AH692" s="86">
        <f>tbl_Actual_costs_quantities34[[#This Row],[Doors Replacement Repair]]*BOQs!$L$9</f>
        <v>0</v>
      </c>
      <c r="AI692" s="76"/>
      <c r="AJ692" s="37"/>
      <c r="AK692" s="86">
        <f>tbl_Actual_costs_quantities34[[#This Row],[Windows Replacement Repair]]*BOQs!$L$10</f>
        <v>0</v>
      </c>
      <c r="AL692" s="76"/>
      <c r="AM692" s="37"/>
      <c r="AN692" s="86">
        <f>tbl_Actual_costs_quantities34[[#This Row],[Bathroom Rehabilitation]]*BOQs!$L$11</f>
        <v>0</v>
      </c>
      <c r="AO692" s="76"/>
      <c r="AP692" s="37"/>
      <c r="AQ692" s="86">
        <f>tbl_Actual_costs_quantities34[[#This Row],[Ceramic Tile Works WASH]]*BOQs!$L$12</f>
        <v>0</v>
      </c>
      <c r="AR692" s="76"/>
      <c r="AS692" s="37"/>
      <c r="AT692" s="86">
        <f>tbl_Actual_costs_quantities34[[#This Row],[Electrical Repairs Lighting]]*BOQs!$L$13</f>
        <v>0</v>
      </c>
      <c r="AU692" s="76"/>
      <c r="AV692" s="37"/>
      <c r="AW692" s="86">
        <f>tbl_Actual_costs_quantities34[[#This Row],[Roof Insulation Leak Sealing]]*BOQs!$L$14</f>
        <v>0</v>
      </c>
      <c r="AX692" s="76"/>
      <c r="AY692" s="37"/>
      <c r="AZ692" s="86">
        <f>tbl_Actual_costs_quantities34[[#This Row],[Chimney Duct Cleaning Repair]]*BOQs!$L$15</f>
        <v>0</v>
      </c>
      <c r="BA692" s="76"/>
      <c r="BB692" s="37"/>
      <c r="BC692" s="89">
        <f>tbl_Actual_costs_quantities34[[#This Row],[Accessibility Adaptations]]*BOQs!$L$16</f>
        <v>0</v>
      </c>
      <c r="BD692" s="41"/>
      <c r="BE692" s="37"/>
      <c r="BF692" s="37"/>
    </row>
    <row r="693" spans="2:58" ht="25.15" customHeight="1" x14ac:dyDescent="0.25">
      <c r="B693" s="49">
        <v>689</v>
      </c>
      <c r="C693" s="37"/>
      <c r="D693" s="41"/>
      <c r="E693" s="40"/>
      <c r="F693" s="87" t="str">
        <f>IF(tbl_Actual_costs_quantities34[[#This Row],[House Code]]&lt;&gt;"",INDEX(tbl_Assessment[],MATCH(tbl_Actual_costs_quantities34[[#This Row],[House Code]],tbl_Assessment[House Code],0),3),"")</f>
        <v/>
      </c>
      <c r="G693" s="116" t="str">
        <f>IF(tbl_Actual_costs_quantities34[[#This Row],[House Code]]&lt;&gt;"",INDEX(tbl_Assessment[],MATCH(tbl_Actual_costs_quantities34[[#This Row],[House Code]],tbl_Assessment[House Code],0),9),"")</f>
        <v/>
      </c>
      <c r="H693" s="41"/>
      <c r="I693" s="41"/>
      <c r="J693" s="41"/>
      <c r="K693" s="116"/>
      <c r="L693" s="117" t="str">
        <f>IF(tbl_Actual_costs_quantities34[[#This Row],[House Code]]&lt;&gt;"",tbl_Actual_costs_quantities34[[#This Row],[Total cost]]/INDEX(tbl_estimated_costs_quantities[],MATCH(tbl_Actual_costs_quantities34[[#This Row],[House Code]],tbl_estimated_costs_quantities[House Code],0),7),"")</f>
        <v/>
      </c>
      <c r="M69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3" s="75"/>
      <c r="O693" s="37"/>
      <c r="P693" s="86">
        <f>tbl_Actual_costs_quantities34[[#This Row],[Site Preparation]]*BOQs!$L$3</f>
        <v>0</v>
      </c>
      <c r="Q693" s="76"/>
      <c r="R693" s="37"/>
      <c r="S693" s="86">
        <f>tbl_Actual_costs_quantities34[[#This Row],[Demolition Removal Unsafe Structures]]*BOQs!$L$4</f>
        <v>0</v>
      </c>
      <c r="T693" s="76"/>
      <c r="U693" s="37"/>
      <c r="V693" s="86">
        <f>tbl_Actual_costs_quantities34[[#This Row],[Concrete Works]]*BOQs!$L$5</f>
        <v>0</v>
      </c>
      <c r="W693" s="76"/>
      <c r="X693" s="37"/>
      <c r="Y693" s="86">
        <f>tbl_Actual_costs_quantities34[[#This Row],[Closure External Openings Walls Windows]]*BOQs!$L$6</f>
        <v>0</v>
      </c>
      <c r="Z693" s="76"/>
      <c r="AA693" s="37"/>
      <c r="AB693" s="86">
        <f>tbl_Actual_costs_quantities34[[#This Row],[Plastering Painting]]*BOQs!$L$7</f>
        <v>0</v>
      </c>
      <c r="AC693" s="76"/>
      <c r="AD693" s="37"/>
      <c r="AE693" s="86">
        <f>tbl_Actual_costs_quantities34[[#This Row],[Floor Repairs]]*BOQs!$L$8</f>
        <v>0</v>
      </c>
      <c r="AF693" s="76"/>
      <c r="AG693" s="37"/>
      <c r="AH693" s="86">
        <f>tbl_Actual_costs_quantities34[[#This Row],[Doors Replacement Repair]]*BOQs!$L$9</f>
        <v>0</v>
      </c>
      <c r="AI693" s="76"/>
      <c r="AJ693" s="37"/>
      <c r="AK693" s="86">
        <f>tbl_Actual_costs_quantities34[[#This Row],[Windows Replacement Repair]]*BOQs!$L$10</f>
        <v>0</v>
      </c>
      <c r="AL693" s="76"/>
      <c r="AM693" s="37"/>
      <c r="AN693" s="86">
        <f>tbl_Actual_costs_quantities34[[#This Row],[Bathroom Rehabilitation]]*BOQs!$L$11</f>
        <v>0</v>
      </c>
      <c r="AO693" s="76"/>
      <c r="AP693" s="37"/>
      <c r="AQ693" s="86">
        <f>tbl_Actual_costs_quantities34[[#This Row],[Ceramic Tile Works WASH]]*BOQs!$L$12</f>
        <v>0</v>
      </c>
      <c r="AR693" s="76"/>
      <c r="AS693" s="37"/>
      <c r="AT693" s="86">
        <f>tbl_Actual_costs_quantities34[[#This Row],[Electrical Repairs Lighting]]*BOQs!$L$13</f>
        <v>0</v>
      </c>
      <c r="AU693" s="76"/>
      <c r="AV693" s="37"/>
      <c r="AW693" s="86">
        <f>tbl_Actual_costs_quantities34[[#This Row],[Roof Insulation Leak Sealing]]*BOQs!$L$14</f>
        <v>0</v>
      </c>
      <c r="AX693" s="76"/>
      <c r="AY693" s="37"/>
      <c r="AZ693" s="86">
        <f>tbl_Actual_costs_quantities34[[#This Row],[Chimney Duct Cleaning Repair]]*BOQs!$L$15</f>
        <v>0</v>
      </c>
      <c r="BA693" s="76"/>
      <c r="BB693" s="37"/>
      <c r="BC693" s="89">
        <f>tbl_Actual_costs_quantities34[[#This Row],[Accessibility Adaptations]]*BOQs!$L$16</f>
        <v>0</v>
      </c>
      <c r="BD693" s="41"/>
      <c r="BE693" s="37"/>
      <c r="BF693" s="37"/>
    </row>
    <row r="694" spans="2:58" ht="25.15" customHeight="1" x14ac:dyDescent="0.25">
      <c r="B694" s="49">
        <v>690</v>
      </c>
      <c r="C694" s="37"/>
      <c r="D694" s="41"/>
      <c r="E694" s="40"/>
      <c r="F694" s="87" t="str">
        <f>IF(tbl_Actual_costs_quantities34[[#This Row],[House Code]]&lt;&gt;"",INDEX(tbl_Assessment[],MATCH(tbl_Actual_costs_quantities34[[#This Row],[House Code]],tbl_Assessment[House Code],0),3),"")</f>
        <v/>
      </c>
      <c r="G694" s="116" t="str">
        <f>IF(tbl_Actual_costs_quantities34[[#This Row],[House Code]]&lt;&gt;"",INDEX(tbl_Assessment[],MATCH(tbl_Actual_costs_quantities34[[#This Row],[House Code]],tbl_Assessment[House Code],0),9),"")</f>
        <v/>
      </c>
      <c r="H694" s="41"/>
      <c r="I694" s="41"/>
      <c r="J694" s="41"/>
      <c r="K694" s="116"/>
      <c r="L694" s="117" t="str">
        <f>IF(tbl_Actual_costs_quantities34[[#This Row],[House Code]]&lt;&gt;"",tbl_Actual_costs_quantities34[[#This Row],[Total cost]]/INDEX(tbl_estimated_costs_quantities[],MATCH(tbl_Actual_costs_quantities34[[#This Row],[House Code]],tbl_estimated_costs_quantities[House Code],0),7),"")</f>
        <v/>
      </c>
      <c r="M69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4" s="75"/>
      <c r="O694" s="37"/>
      <c r="P694" s="86">
        <f>tbl_Actual_costs_quantities34[[#This Row],[Site Preparation]]*BOQs!$L$3</f>
        <v>0</v>
      </c>
      <c r="Q694" s="76"/>
      <c r="R694" s="37"/>
      <c r="S694" s="86">
        <f>tbl_Actual_costs_quantities34[[#This Row],[Demolition Removal Unsafe Structures]]*BOQs!$L$4</f>
        <v>0</v>
      </c>
      <c r="T694" s="76"/>
      <c r="U694" s="37"/>
      <c r="V694" s="86">
        <f>tbl_Actual_costs_quantities34[[#This Row],[Concrete Works]]*BOQs!$L$5</f>
        <v>0</v>
      </c>
      <c r="W694" s="76"/>
      <c r="X694" s="37"/>
      <c r="Y694" s="86">
        <f>tbl_Actual_costs_quantities34[[#This Row],[Closure External Openings Walls Windows]]*BOQs!$L$6</f>
        <v>0</v>
      </c>
      <c r="Z694" s="76"/>
      <c r="AA694" s="37"/>
      <c r="AB694" s="86">
        <f>tbl_Actual_costs_quantities34[[#This Row],[Plastering Painting]]*BOQs!$L$7</f>
        <v>0</v>
      </c>
      <c r="AC694" s="76"/>
      <c r="AD694" s="37"/>
      <c r="AE694" s="86">
        <f>tbl_Actual_costs_quantities34[[#This Row],[Floor Repairs]]*BOQs!$L$8</f>
        <v>0</v>
      </c>
      <c r="AF694" s="76"/>
      <c r="AG694" s="37"/>
      <c r="AH694" s="86">
        <f>tbl_Actual_costs_quantities34[[#This Row],[Doors Replacement Repair]]*BOQs!$L$9</f>
        <v>0</v>
      </c>
      <c r="AI694" s="76"/>
      <c r="AJ694" s="37"/>
      <c r="AK694" s="86">
        <f>tbl_Actual_costs_quantities34[[#This Row],[Windows Replacement Repair]]*BOQs!$L$10</f>
        <v>0</v>
      </c>
      <c r="AL694" s="76"/>
      <c r="AM694" s="37"/>
      <c r="AN694" s="86">
        <f>tbl_Actual_costs_quantities34[[#This Row],[Bathroom Rehabilitation]]*BOQs!$L$11</f>
        <v>0</v>
      </c>
      <c r="AO694" s="76"/>
      <c r="AP694" s="37"/>
      <c r="AQ694" s="86">
        <f>tbl_Actual_costs_quantities34[[#This Row],[Ceramic Tile Works WASH]]*BOQs!$L$12</f>
        <v>0</v>
      </c>
      <c r="AR694" s="76"/>
      <c r="AS694" s="37"/>
      <c r="AT694" s="86">
        <f>tbl_Actual_costs_quantities34[[#This Row],[Electrical Repairs Lighting]]*BOQs!$L$13</f>
        <v>0</v>
      </c>
      <c r="AU694" s="76"/>
      <c r="AV694" s="37"/>
      <c r="AW694" s="86">
        <f>tbl_Actual_costs_quantities34[[#This Row],[Roof Insulation Leak Sealing]]*BOQs!$L$14</f>
        <v>0</v>
      </c>
      <c r="AX694" s="76"/>
      <c r="AY694" s="37"/>
      <c r="AZ694" s="86">
        <f>tbl_Actual_costs_quantities34[[#This Row],[Chimney Duct Cleaning Repair]]*BOQs!$L$15</f>
        <v>0</v>
      </c>
      <c r="BA694" s="76"/>
      <c r="BB694" s="37"/>
      <c r="BC694" s="89">
        <f>tbl_Actual_costs_quantities34[[#This Row],[Accessibility Adaptations]]*BOQs!$L$16</f>
        <v>0</v>
      </c>
      <c r="BD694" s="41"/>
      <c r="BE694" s="37"/>
      <c r="BF694" s="37"/>
    </row>
    <row r="695" spans="2:58" ht="25.15" customHeight="1" x14ac:dyDescent="0.25">
      <c r="B695" s="49">
        <v>691</v>
      </c>
      <c r="C695" s="37"/>
      <c r="D695" s="41"/>
      <c r="E695" s="40"/>
      <c r="F695" s="87" t="str">
        <f>IF(tbl_Actual_costs_quantities34[[#This Row],[House Code]]&lt;&gt;"",INDEX(tbl_Assessment[],MATCH(tbl_Actual_costs_quantities34[[#This Row],[House Code]],tbl_Assessment[House Code],0),3),"")</f>
        <v/>
      </c>
      <c r="G695" s="116" t="str">
        <f>IF(tbl_Actual_costs_quantities34[[#This Row],[House Code]]&lt;&gt;"",INDEX(tbl_Assessment[],MATCH(tbl_Actual_costs_quantities34[[#This Row],[House Code]],tbl_Assessment[House Code],0),9),"")</f>
        <v/>
      </c>
      <c r="H695" s="41"/>
      <c r="I695" s="41"/>
      <c r="J695" s="41"/>
      <c r="K695" s="116"/>
      <c r="L695" s="117" t="str">
        <f>IF(tbl_Actual_costs_quantities34[[#This Row],[House Code]]&lt;&gt;"",tbl_Actual_costs_quantities34[[#This Row],[Total cost]]/INDEX(tbl_estimated_costs_quantities[],MATCH(tbl_Actual_costs_quantities34[[#This Row],[House Code]],tbl_estimated_costs_quantities[House Code],0),7),"")</f>
        <v/>
      </c>
      <c r="M695"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5" s="75"/>
      <c r="O695" s="37"/>
      <c r="P695" s="86">
        <f>tbl_Actual_costs_quantities34[[#This Row],[Site Preparation]]*BOQs!$L$3</f>
        <v>0</v>
      </c>
      <c r="Q695" s="76"/>
      <c r="R695" s="37"/>
      <c r="S695" s="86">
        <f>tbl_Actual_costs_quantities34[[#This Row],[Demolition Removal Unsafe Structures]]*BOQs!$L$4</f>
        <v>0</v>
      </c>
      <c r="T695" s="76"/>
      <c r="U695" s="37"/>
      <c r="V695" s="86">
        <f>tbl_Actual_costs_quantities34[[#This Row],[Concrete Works]]*BOQs!$L$5</f>
        <v>0</v>
      </c>
      <c r="W695" s="76"/>
      <c r="X695" s="37"/>
      <c r="Y695" s="86">
        <f>tbl_Actual_costs_quantities34[[#This Row],[Closure External Openings Walls Windows]]*BOQs!$L$6</f>
        <v>0</v>
      </c>
      <c r="Z695" s="76"/>
      <c r="AA695" s="37"/>
      <c r="AB695" s="86">
        <f>tbl_Actual_costs_quantities34[[#This Row],[Plastering Painting]]*BOQs!$L$7</f>
        <v>0</v>
      </c>
      <c r="AC695" s="76"/>
      <c r="AD695" s="37"/>
      <c r="AE695" s="86">
        <f>tbl_Actual_costs_quantities34[[#This Row],[Floor Repairs]]*BOQs!$L$8</f>
        <v>0</v>
      </c>
      <c r="AF695" s="76"/>
      <c r="AG695" s="37"/>
      <c r="AH695" s="86">
        <f>tbl_Actual_costs_quantities34[[#This Row],[Doors Replacement Repair]]*BOQs!$L$9</f>
        <v>0</v>
      </c>
      <c r="AI695" s="76"/>
      <c r="AJ695" s="37"/>
      <c r="AK695" s="86">
        <f>tbl_Actual_costs_quantities34[[#This Row],[Windows Replacement Repair]]*BOQs!$L$10</f>
        <v>0</v>
      </c>
      <c r="AL695" s="76"/>
      <c r="AM695" s="37"/>
      <c r="AN695" s="86">
        <f>tbl_Actual_costs_quantities34[[#This Row],[Bathroom Rehabilitation]]*BOQs!$L$11</f>
        <v>0</v>
      </c>
      <c r="AO695" s="76"/>
      <c r="AP695" s="37"/>
      <c r="AQ695" s="86">
        <f>tbl_Actual_costs_quantities34[[#This Row],[Ceramic Tile Works WASH]]*BOQs!$L$12</f>
        <v>0</v>
      </c>
      <c r="AR695" s="76"/>
      <c r="AS695" s="37"/>
      <c r="AT695" s="86">
        <f>tbl_Actual_costs_quantities34[[#This Row],[Electrical Repairs Lighting]]*BOQs!$L$13</f>
        <v>0</v>
      </c>
      <c r="AU695" s="76"/>
      <c r="AV695" s="37"/>
      <c r="AW695" s="86">
        <f>tbl_Actual_costs_quantities34[[#This Row],[Roof Insulation Leak Sealing]]*BOQs!$L$14</f>
        <v>0</v>
      </c>
      <c r="AX695" s="76"/>
      <c r="AY695" s="37"/>
      <c r="AZ695" s="86">
        <f>tbl_Actual_costs_quantities34[[#This Row],[Chimney Duct Cleaning Repair]]*BOQs!$L$15</f>
        <v>0</v>
      </c>
      <c r="BA695" s="76"/>
      <c r="BB695" s="37"/>
      <c r="BC695" s="89">
        <f>tbl_Actual_costs_quantities34[[#This Row],[Accessibility Adaptations]]*BOQs!$L$16</f>
        <v>0</v>
      </c>
      <c r="BD695" s="41"/>
      <c r="BE695" s="37"/>
      <c r="BF695" s="37"/>
    </row>
    <row r="696" spans="2:58" ht="25.15" customHeight="1" x14ac:dyDescent="0.25">
      <c r="B696" s="49">
        <v>692</v>
      </c>
      <c r="C696" s="37"/>
      <c r="D696" s="41"/>
      <c r="E696" s="40"/>
      <c r="F696" s="87" t="str">
        <f>IF(tbl_Actual_costs_quantities34[[#This Row],[House Code]]&lt;&gt;"",INDEX(tbl_Assessment[],MATCH(tbl_Actual_costs_quantities34[[#This Row],[House Code]],tbl_Assessment[House Code],0),3),"")</f>
        <v/>
      </c>
      <c r="G696" s="116" t="str">
        <f>IF(tbl_Actual_costs_quantities34[[#This Row],[House Code]]&lt;&gt;"",INDEX(tbl_Assessment[],MATCH(tbl_Actual_costs_quantities34[[#This Row],[House Code]],tbl_Assessment[House Code],0),9),"")</f>
        <v/>
      </c>
      <c r="H696" s="41"/>
      <c r="I696" s="41"/>
      <c r="J696" s="41"/>
      <c r="K696" s="116"/>
      <c r="L696" s="117" t="str">
        <f>IF(tbl_Actual_costs_quantities34[[#This Row],[House Code]]&lt;&gt;"",tbl_Actual_costs_quantities34[[#This Row],[Total cost]]/INDEX(tbl_estimated_costs_quantities[],MATCH(tbl_Actual_costs_quantities34[[#This Row],[House Code]],tbl_estimated_costs_quantities[House Code],0),7),"")</f>
        <v/>
      </c>
      <c r="M696"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6" s="75"/>
      <c r="O696" s="37"/>
      <c r="P696" s="86">
        <f>tbl_Actual_costs_quantities34[[#This Row],[Site Preparation]]*BOQs!$L$3</f>
        <v>0</v>
      </c>
      <c r="Q696" s="76"/>
      <c r="R696" s="37"/>
      <c r="S696" s="86">
        <f>tbl_Actual_costs_quantities34[[#This Row],[Demolition Removal Unsafe Structures]]*BOQs!$L$4</f>
        <v>0</v>
      </c>
      <c r="T696" s="76"/>
      <c r="U696" s="37"/>
      <c r="V696" s="86">
        <f>tbl_Actual_costs_quantities34[[#This Row],[Concrete Works]]*BOQs!$L$5</f>
        <v>0</v>
      </c>
      <c r="W696" s="76"/>
      <c r="X696" s="37"/>
      <c r="Y696" s="86">
        <f>tbl_Actual_costs_quantities34[[#This Row],[Closure External Openings Walls Windows]]*BOQs!$L$6</f>
        <v>0</v>
      </c>
      <c r="Z696" s="76"/>
      <c r="AA696" s="37"/>
      <c r="AB696" s="86">
        <f>tbl_Actual_costs_quantities34[[#This Row],[Plastering Painting]]*BOQs!$L$7</f>
        <v>0</v>
      </c>
      <c r="AC696" s="76"/>
      <c r="AD696" s="37"/>
      <c r="AE696" s="86">
        <f>tbl_Actual_costs_quantities34[[#This Row],[Floor Repairs]]*BOQs!$L$8</f>
        <v>0</v>
      </c>
      <c r="AF696" s="76"/>
      <c r="AG696" s="37"/>
      <c r="AH696" s="86">
        <f>tbl_Actual_costs_quantities34[[#This Row],[Doors Replacement Repair]]*BOQs!$L$9</f>
        <v>0</v>
      </c>
      <c r="AI696" s="76"/>
      <c r="AJ696" s="37"/>
      <c r="AK696" s="86">
        <f>tbl_Actual_costs_quantities34[[#This Row],[Windows Replacement Repair]]*BOQs!$L$10</f>
        <v>0</v>
      </c>
      <c r="AL696" s="76"/>
      <c r="AM696" s="37"/>
      <c r="AN696" s="86">
        <f>tbl_Actual_costs_quantities34[[#This Row],[Bathroom Rehabilitation]]*BOQs!$L$11</f>
        <v>0</v>
      </c>
      <c r="AO696" s="76"/>
      <c r="AP696" s="37"/>
      <c r="AQ696" s="86">
        <f>tbl_Actual_costs_quantities34[[#This Row],[Ceramic Tile Works WASH]]*BOQs!$L$12</f>
        <v>0</v>
      </c>
      <c r="AR696" s="76"/>
      <c r="AS696" s="37"/>
      <c r="AT696" s="86">
        <f>tbl_Actual_costs_quantities34[[#This Row],[Electrical Repairs Lighting]]*BOQs!$L$13</f>
        <v>0</v>
      </c>
      <c r="AU696" s="76"/>
      <c r="AV696" s="37"/>
      <c r="AW696" s="86">
        <f>tbl_Actual_costs_quantities34[[#This Row],[Roof Insulation Leak Sealing]]*BOQs!$L$14</f>
        <v>0</v>
      </c>
      <c r="AX696" s="76"/>
      <c r="AY696" s="37"/>
      <c r="AZ696" s="86">
        <f>tbl_Actual_costs_quantities34[[#This Row],[Chimney Duct Cleaning Repair]]*BOQs!$L$15</f>
        <v>0</v>
      </c>
      <c r="BA696" s="76"/>
      <c r="BB696" s="37"/>
      <c r="BC696" s="89">
        <f>tbl_Actual_costs_quantities34[[#This Row],[Accessibility Adaptations]]*BOQs!$L$16</f>
        <v>0</v>
      </c>
      <c r="BD696" s="41"/>
      <c r="BE696" s="37"/>
      <c r="BF696" s="37"/>
    </row>
    <row r="697" spans="2:58" ht="25.15" customHeight="1" x14ac:dyDescent="0.25">
      <c r="B697" s="49">
        <v>693</v>
      </c>
      <c r="C697" s="37"/>
      <c r="D697" s="41"/>
      <c r="E697" s="40"/>
      <c r="F697" s="87" t="str">
        <f>IF(tbl_Actual_costs_quantities34[[#This Row],[House Code]]&lt;&gt;"",INDEX(tbl_Assessment[],MATCH(tbl_Actual_costs_quantities34[[#This Row],[House Code]],tbl_Assessment[House Code],0),3),"")</f>
        <v/>
      </c>
      <c r="G697" s="116" t="str">
        <f>IF(tbl_Actual_costs_quantities34[[#This Row],[House Code]]&lt;&gt;"",INDEX(tbl_Assessment[],MATCH(tbl_Actual_costs_quantities34[[#This Row],[House Code]],tbl_Assessment[House Code],0),9),"")</f>
        <v/>
      </c>
      <c r="H697" s="41"/>
      <c r="I697" s="41"/>
      <c r="J697" s="41"/>
      <c r="K697" s="116"/>
      <c r="L697" s="117" t="str">
        <f>IF(tbl_Actual_costs_quantities34[[#This Row],[House Code]]&lt;&gt;"",tbl_Actual_costs_quantities34[[#This Row],[Total cost]]/INDEX(tbl_estimated_costs_quantities[],MATCH(tbl_Actual_costs_quantities34[[#This Row],[House Code]],tbl_estimated_costs_quantities[House Code],0),7),"")</f>
        <v/>
      </c>
      <c r="M697"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7" s="75"/>
      <c r="O697" s="37"/>
      <c r="P697" s="86">
        <f>tbl_Actual_costs_quantities34[[#This Row],[Site Preparation]]*BOQs!$L$3</f>
        <v>0</v>
      </c>
      <c r="Q697" s="76"/>
      <c r="R697" s="37"/>
      <c r="S697" s="86">
        <f>tbl_Actual_costs_quantities34[[#This Row],[Demolition Removal Unsafe Structures]]*BOQs!$L$4</f>
        <v>0</v>
      </c>
      <c r="T697" s="76"/>
      <c r="U697" s="37"/>
      <c r="V697" s="86">
        <f>tbl_Actual_costs_quantities34[[#This Row],[Concrete Works]]*BOQs!$L$5</f>
        <v>0</v>
      </c>
      <c r="W697" s="76"/>
      <c r="X697" s="37"/>
      <c r="Y697" s="86">
        <f>tbl_Actual_costs_quantities34[[#This Row],[Closure External Openings Walls Windows]]*BOQs!$L$6</f>
        <v>0</v>
      </c>
      <c r="Z697" s="76"/>
      <c r="AA697" s="37"/>
      <c r="AB697" s="86">
        <f>tbl_Actual_costs_quantities34[[#This Row],[Plastering Painting]]*BOQs!$L$7</f>
        <v>0</v>
      </c>
      <c r="AC697" s="76"/>
      <c r="AD697" s="37"/>
      <c r="AE697" s="86">
        <f>tbl_Actual_costs_quantities34[[#This Row],[Floor Repairs]]*BOQs!$L$8</f>
        <v>0</v>
      </c>
      <c r="AF697" s="76"/>
      <c r="AG697" s="37"/>
      <c r="AH697" s="86">
        <f>tbl_Actual_costs_quantities34[[#This Row],[Doors Replacement Repair]]*BOQs!$L$9</f>
        <v>0</v>
      </c>
      <c r="AI697" s="76"/>
      <c r="AJ697" s="37"/>
      <c r="AK697" s="86">
        <f>tbl_Actual_costs_quantities34[[#This Row],[Windows Replacement Repair]]*BOQs!$L$10</f>
        <v>0</v>
      </c>
      <c r="AL697" s="76"/>
      <c r="AM697" s="37"/>
      <c r="AN697" s="86">
        <f>tbl_Actual_costs_quantities34[[#This Row],[Bathroom Rehabilitation]]*BOQs!$L$11</f>
        <v>0</v>
      </c>
      <c r="AO697" s="76"/>
      <c r="AP697" s="37"/>
      <c r="AQ697" s="86">
        <f>tbl_Actual_costs_quantities34[[#This Row],[Ceramic Tile Works WASH]]*BOQs!$L$12</f>
        <v>0</v>
      </c>
      <c r="AR697" s="76"/>
      <c r="AS697" s="37"/>
      <c r="AT697" s="86">
        <f>tbl_Actual_costs_quantities34[[#This Row],[Electrical Repairs Lighting]]*BOQs!$L$13</f>
        <v>0</v>
      </c>
      <c r="AU697" s="76"/>
      <c r="AV697" s="37"/>
      <c r="AW697" s="86">
        <f>tbl_Actual_costs_quantities34[[#This Row],[Roof Insulation Leak Sealing]]*BOQs!$L$14</f>
        <v>0</v>
      </c>
      <c r="AX697" s="76"/>
      <c r="AY697" s="37"/>
      <c r="AZ697" s="86">
        <f>tbl_Actual_costs_quantities34[[#This Row],[Chimney Duct Cleaning Repair]]*BOQs!$L$15</f>
        <v>0</v>
      </c>
      <c r="BA697" s="76"/>
      <c r="BB697" s="37"/>
      <c r="BC697" s="89">
        <f>tbl_Actual_costs_quantities34[[#This Row],[Accessibility Adaptations]]*BOQs!$L$16</f>
        <v>0</v>
      </c>
      <c r="BD697" s="41"/>
      <c r="BE697" s="37"/>
      <c r="BF697" s="37"/>
    </row>
    <row r="698" spans="2:58" ht="25.15" customHeight="1" x14ac:dyDescent="0.25">
      <c r="B698" s="49">
        <v>694</v>
      </c>
      <c r="C698" s="37"/>
      <c r="D698" s="41"/>
      <c r="E698" s="40"/>
      <c r="F698" s="87" t="str">
        <f>IF(tbl_Actual_costs_quantities34[[#This Row],[House Code]]&lt;&gt;"",INDEX(tbl_Assessment[],MATCH(tbl_Actual_costs_quantities34[[#This Row],[House Code]],tbl_Assessment[House Code],0),3),"")</f>
        <v/>
      </c>
      <c r="G698" s="116" t="str">
        <f>IF(tbl_Actual_costs_quantities34[[#This Row],[House Code]]&lt;&gt;"",INDEX(tbl_Assessment[],MATCH(tbl_Actual_costs_quantities34[[#This Row],[House Code]],tbl_Assessment[House Code],0),9),"")</f>
        <v/>
      </c>
      <c r="H698" s="41"/>
      <c r="I698" s="41"/>
      <c r="J698" s="41"/>
      <c r="K698" s="116"/>
      <c r="L698" s="117" t="str">
        <f>IF(tbl_Actual_costs_quantities34[[#This Row],[House Code]]&lt;&gt;"",tbl_Actual_costs_quantities34[[#This Row],[Total cost]]/INDEX(tbl_estimated_costs_quantities[],MATCH(tbl_Actual_costs_quantities34[[#This Row],[House Code]],tbl_estimated_costs_quantities[House Code],0),7),"")</f>
        <v/>
      </c>
      <c r="M698"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8" s="75"/>
      <c r="O698" s="37"/>
      <c r="P698" s="86">
        <f>tbl_Actual_costs_quantities34[[#This Row],[Site Preparation]]*BOQs!$L$3</f>
        <v>0</v>
      </c>
      <c r="Q698" s="76"/>
      <c r="R698" s="37"/>
      <c r="S698" s="86">
        <f>tbl_Actual_costs_quantities34[[#This Row],[Demolition Removal Unsafe Structures]]*BOQs!$L$4</f>
        <v>0</v>
      </c>
      <c r="T698" s="76"/>
      <c r="U698" s="37"/>
      <c r="V698" s="86">
        <f>tbl_Actual_costs_quantities34[[#This Row],[Concrete Works]]*BOQs!$L$5</f>
        <v>0</v>
      </c>
      <c r="W698" s="76"/>
      <c r="X698" s="37"/>
      <c r="Y698" s="86">
        <f>tbl_Actual_costs_quantities34[[#This Row],[Closure External Openings Walls Windows]]*BOQs!$L$6</f>
        <v>0</v>
      </c>
      <c r="Z698" s="76"/>
      <c r="AA698" s="37"/>
      <c r="AB698" s="86">
        <f>tbl_Actual_costs_quantities34[[#This Row],[Plastering Painting]]*BOQs!$L$7</f>
        <v>0</v>
      </c>
      <c r="AC698" s="76"/>
      <c r="AD698" s="37"/>
      <c r="AE698" s="86">
        <f>tbl_Actual_costs_quantities34[[#This Row],[Floor Repairs]]*BOQs!$L$8</f>
        <v>0</v>
      </c>
      <c r="AF698" s="76"/>
      <c r="AG698" s="37"/>
      <c r="AH698" s="86">
        <f>tbl_Actual_costs_quantities34[[#This Row],[Doors Replacement Repair]]*BOQs!$L$9</f>
        <v>0</v>
      </c>
      <c r="AI698" s="76"/>
      <c r="AJ698" s="37"/>
      <c r="AK698" s="86">
        <f>tbl_Actual_costs_quantities34[[#This Row],[Windows Replacement Repair]]*BOQs!$L$10</f>
        <v>0</v>
      </c>
      <c r="AL698" s="76"/>
      <c r="AM698" s="37"/>
      <c r="AN698" s="86">
        <f>tbl_Actual_costs_quantities34[[#This Row],[Bathroom Rehabilitation]]*BOQs!$L$11</f>
        <v>0</v>
      </c>
      <c r="AO698" s="76"/>
      <c r="AP698" s="37"/>
      <c r="AQ698" s="86">
        <f>tbl_Actual_costs_quantities34[[#This Row],[Ceramic Tile Works WASH]]*BOQs!$L$12</f>
        <v>0</v>
      </c>
      <c r="AR698" s="76"/>
      <c r="AS698" s="37"/>
      <c r="AT698" s="86">
        <f>tbl_Actual_costs_quantities34[[#This Row],[Electrical Repairs Lighting]]*BOQs!$L$13</f>
        <v>0</v>
      </c>
      <c r="AU698" s="76"/>
      <c r="AV698" s="37"/>
      <c r="AW698" s="86">
        <f>tbl_Actual_costs_quantities34[[#This Row],[Roof Insulation Leak Sealing]]*BOQs!$L$14</f>
        <v>0</v>
      </c>
      <c r="AX698" s="76"/>
      <c r="AY698" s="37"/>
      <c r="AZ698" s="86">
        <f>tbl_Actual_costs_quantities34[[#This Row],[Chimney Duct Cleaning Repair]]*BOQs!$L$15</f>
        <v>0</v>
      </c>
      <c r="BA698" s="76"/>
      <c r="BB698" s="37"/>
      <c r="BC698" s="89">
        <f>tbl_Actual_costs_quantities34[[#This Row],[Accessibility Adaptations]]*BOQs!$L$16</f>
        <v>0</v>
      </c>
      <c r="BD698" s="41"/>
      <c r="BE698" s="37"/>
      <c r="BF698" s="37"/>
    </row>
    <row r="699" spans="2:58" ht="25.15" customHeight="1" x14ac:dyDescent="0.25">
      <c r="B699" s="49">
        <v>695</v>
      </c>
      <c r="C699" s="37"/>
      <c r="D699" s="41"/>
      <c r="E699" s="40"/>
      <c r="F699" s="87" t="str">
        <f>IF(tbl_Actual_costs_quantities34[[#This Row],[House Code]]&lt;&gt;"",INDEX(tbl_Assessment[],MATCH(tbl_Actual_costs_quantities34[[#This Row],[House Code]],tbl_Assessment[House Code],0),3),"")</f>
        <v/>
      </c>
      <c r="G699" s="116" t="str">
        <f>IF(tbl_Actual_costs_quantities34[[#This Row],[House Code]]&lt;&gt;"",INDEX(tbl_Assessment[],MATCH(tbl_Actual_costs_quantities34[[#This Row],[House Code]],tbl_Assessment[House Code],0),9),"")</f>
        <v/>
      </c>
      <c r="H699" s="41"/>
      <c r="I699" s="41"/>
      <c r="J699" s="41"/>
      <c r="K699" s="116"/>
      <c r="L699" s="117" t="str">
        <f>IF(tbl_Actual_costs_quantities34[[#This Row],[House Code]]&lt;&gt;"",tbl_Actual_costs_quantities34[[#This Row],[Total cost]]/INDEX(tbl_estimated_costs_quantities[],MATCH(tbl_Actual_costs_quantities34[[#This Row],[House Code]],tbl_estimated_costs_quantities[House Code],0),7),"")</f>
        <v/>
      </c>
      <c r="M699"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699" s="75"/>
      <c r="O699" s="37"/>
      <c r="P699" s="86">
        <f>tbl_Actual_costs_quantities34[[#This Row],[Site Preparation]]*BOQs!$L$3</f>
        <v>0</v>
      </c>
      <c r="Q699" s="76"/>
      <c r="R699" s="37"/>
      <c r="S699" s="86">
        <f>tbl_Actual_costs_quantities34[[#This Row],[Demolition Removal Unsafe Structures]]*BOQs!$L$4</f>
        <v>0</v>
      </c>
      <c r="T699" s="76"/>
      <c r="U699" s="37"/>
      <c r="V699" s="86">
        <f>tbl_Actual_costs_quantities34[[#This Row],[Concrete Works]]*BOQs!$L$5</f>
        <v>0</v>
      </c>
      <c r="W699" s="76"/>
      <c r="X699" s="37"/>
      <c r="Y699" s="86">
        <f>tbl_Actual_costs_quantities34[[#This Row],[Closure External Openings Walls Windows]]*BOQs!$L$6</f>
        <v>0</v>
      </c>
      <c r="Z699" s="76"/>
      <c r="AA699" s="37"/>
      <c r="AB699" s="86">
        <f>tbl_Actual_costs_quantities34[[#This Row],[Plastering Painting]]*BOQs!$L$7</f>
        <v>0</v>
      </c>
      <c r="AC699" s="76"/>
      <c r="AD699" s="37"/>
      <c r="AE699" s="86">
        <f>tbl_Actual_costs_quantities34[[#This Row],[Floor Repairs]]*BOQs!$L$8</f>
        <v>0</v>
      </c>
      <c r="AF699" s="76"/>
      <c r="AG699" s="37"/>
      <c r="AH699" s="86">
        <f>tbl_Actual_costs_quantities34[[#This Row],[Doors Replacement Repair]]*BOQs!$L$9</f>
        <v>0</v>
      </c>
      <c r="AI699" s="76"/>
      <c r="AJ699" s="37"/>
      <c r="AK699" s="86">
        <f>tbl_Actual_costs_quantities34[[#This Row],[Windows Replacement Repair]]*BOQs!$L$10</f>
        <v>0</v>
      </c>
      <c r="AL699" s="76"/>
      <c r="AM699" s="37"/>
      <c r="AN699" s="86">
        <f>tbl_Actual_costs_quantities34[[#This Row],[Bathroom Rehabilitation]]*BOQs!$L$11</f>
        <v>0</v>
      </c>
      <c r="AO699" s="76"/>
      <c r="AP699" s="37"/>
      <c r="AQ699" s="86">
        <f>tbl_Actual_costs_quantities34[[#This Row],[Ceramic Tile Works WASH]]*BOQs!$L$12</f>
        <v>0</v>
      </c>
      <c r="AR699" s="76"/>
      <c r="AS699" s="37"/>
      <c r="AT699" s="86">
        <f>tbl_Actual_costs_quantities34[[#This Row],[Electrical Repairs Lighting]]*BOQs!$L$13</f>
        <v>0</v>
      </c>
      <c r="AU699" s="76"/>
      <c r="AV699" s="37"/>
      <c r="AW699" s="86">
        <f>tbl_Actual_costs_quantities34[[#This Row],[Roof Insulation Leak Sealing]]*BOQs!$L$14</f>
        <v>0</v>
      </c>
      <c r="AX699" s="76"/>
      <c r="AY699" s="37"/>
      <c r="AZ699" s="86">
        <f>tbl_Actual_costs_quantities34[[#This Row],[Chimney Duct Cleaning Repair]]*BOQs!$L$15</f>
        <v>0</v>
      </c>
      <c r="BA699" s="76"/>
      <c r="BB699" s="37"/>
      <c r="BC699" s="89">
        <f>tbl_Actual_costs_quantities34[[#This Row],[Accessibility Adaptations]]*BOQs!$L$16</f>
        <v>0</v>
      </c>
      <c r="BD699" s="41"/>
      <c r="BE699" s="37"/>
      <c r="BF699" s="37"/>
    </row>
    <row r="700" spans="2:58" ht="25.15" customHeight="1" x14ac:dyDescent="0.25">
      <c r="B700" s="49">
        <v>696</v>
      </c>
      <c r="C700" s="37"/>
      <c r="D700" s="41"/>
      <c r="E700" s="40"/>
      <c r="F700" s="87" t="str">
        <f>IF(tbl_Actual_costs_quantities34[[#This Row],[House Code]]&lt;&gt;"",INDEX(tbl_Assessment[],MATCH(tbl_Actual_costs_quantities34[[#This Row],[House Code]],tbl_Assessment[House Code],0),3),"")</f>
        <v/>
      </c>
      <c r="G700" s="116" t="str">
        <f>IF(tbl_Actual_costs_quantities34[[#This Row],[House Code]]&lt;&gt;"",INDEX(tbl_Assessment[],MATCH(tbl_Actual_costs_quantities34[[#This Row],[House Code]],tbl_Assessment[House Code],0),9),"")</f>
        <v/>
      </c>
      <c r="H700" s="41"/>
      <c r="I700" s="41"/>
      <c r="J700" s="41"/>
      <c r="K700" s="116"/>
      <c r="L700" s="117" t="str">
        <f>IF(tbl_Actual_costs_quantities34[[#This Row],[House Code]]&lt;&gt;"",tbl_Actual_costs_quantities34[[#This Row],[Total cost]]/INDEX(tbl_estimated_costs_quantities[],MATCH(tbl_Actual_costs_quantities34[[#This Row],[House Code]],tbl_estimated_costs_quantities[House Code],0),7),"")</f>
        <v/>
      </c>
      <c r="M700"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00" s="75"/>
      <c r="O700" s="37"/>
      <c r="P700" s="86">
        <f>tbl_Actual_costs_quantities34[[#This Row],[Site Preparation]]*BOQs!$L$3</f>
        <v>0</v>
      </c>
      <c r="Q700" s="76"/>
      <c r="R700" s="37"/>
      <c r="S700" s="86">
        <f>tbl_Actual_costs_quantities34[[#This Row],[Demolition Removal Unsafe Structures]]*BOQs!$L$4</f>
        <v>0</v>
      </c>
      <c r="T700" s="76"/>
      <c r="U700" s="37"/>
      <c r="V700" s="86">
        <f>tbl_Actual_costs_quantities34[[#This Row],[Concrete Works]]*BOQs!$L$5</f>
        <v>0</v>
      </c>
      <c r="W700" s="76"/>
      <c r="X700" s="37"/>
      <c r="Y700" s="86">
        <f>tbl_Actual_costs_quantities34[[#This Row],[Closure External Openings Walls Windows]]*BOQs!$L$6</f>
        <v>0</v>
      </c>
      <c r="Z700" s="76"/>
      <c r="AA700" s="37"/>
      <c r="AB700" s="86">
        <f>tbl_Actual_costs_quantities34[[#This Row],[Plastering Painting]]*BOQs!$L$7</f>
        <v>0</v>
      </c>
      <c r="AC700" s="76"/>
      <c r="AD700" s="37"/>
      <c r="AE700" s="86">
        <f>tbl_Actual_costs_quantities34[[#This Row],[Floor Repairs]]*BOQs!$L$8</f>
        <v>0</v>
      </c>
      <c r="AF700" s="76"/>
      <c r="AG700" s="37"/>
      <c r="AH700" s="86">
        <f>tbl_Actual_costs_quantities34[[#This Row],[Doors Replacement Repair]]*BOQs!$L$9</f>
        <v>0</v>
      </c>
      <c r="AI700" s="76"/>
      <c r="AJ700" s="37"/>
      <c r="AK700" s="86">
        <f>tbl_Actual_costs_quantities34[[#This Row],[Windows Replacement Repair]]*BOQs!$L$10</f>
        <v>0</v>
      </c>
      <c r="AL700" s="76"/>
      <c r="AM700" s="37"/>
      <c r="AN700" s="86">
        <f>tbl_Actual_costs_quantities34[[#This Row],[Bathroom Rehabilitation]]*BOQs!$L$11</f>
        <v>0</v>
      </c>
      <c r="AO700" s="76"/>
      <c r="AP700" s="37"/>
      <c r="AQ700" s="86">
        <f>tbl_Actual_costs_quantities34[[#This Row],[Ceramic Tile Works WASH]]*BOQs!$L$12</f>
        <v>0</v>
      </c>
      <c r="AR700" s="76"/>
      <c r="AS700" s="37"/>
      <c r="AT700" s="86">
        <f>tbl_Actual_costs_quantities34[[#This Row],[Electrical Repairs Lighting]]*BOQs!$L$13</f>
        <v>0</v>
      </c>
      <c r="AU700" s="76"/>
      <c r="AV700" s="37"/>
      <c r="AW700" s="86">
        <f>tbl_Actual_costs_quantities34[[#This Row],[Roof Insulation Leak Sealing]]*BOQs!$L$14</f>
        <v>0</v>
      </c>
      <c r="AX700" s="76"/>
      <c r="AY700" s="37"/>
      <c r="AZ700" s="86">
        <f>tbl_Actual_costs_quantities34[[#This Row],[Chimney Duct Cleaning Repair]]*BOQs!$L$15</f>
        <v>0</v>
      </c>
      <c r="BA700" s="76"/>
      <c r="BB700" s="37"/>
      <c r="BC700" s="89">
        <f>tbl_Actual_costs_quantities34[[#This Row],[Accessibility Adaptations]]*BOQs!$L$16</f>
        <v>0</v>
      </c>
      <c r="BD700" s="41"/>
      <c r="BE700" s="37"/>
      <c r="BF700" s="37"/>
    </row>
    <row r="701" spans="2:58" ht="25.15" customHeight="1" x14ac:dyDescent="0.25">
      <c r="B701" s="49">
        <v>697</v>
      </c>
      <c r="C701" s="37"/>
      <c r="D701" s="41"/>
      <c r="E701" s="40"/>
      <c r="F701" s="87" t="str">
        <f>IF(tbl_Actual_costs_quantities34[[#This Row],[House Code]]&lt;&gt;"",INDEX(tbl_Assessment[],MATCH(tbl_Actual_costs_quantities34[[#This Row],[House Code]],tbl_Assessment[House Code],0),3),"")</f>
        <v/>
      </c>
      <c r="G701" s="116" t="str">
        <f>IF(tbl_Actual_costs_quantities34[[#This Row],[House Code]]&lt;&gt;"",INDEX(tbl_Assessment[],MATCH(tbl_Actual_costs_quantities34[[#This Row],[House Code]],tbl_Assessment[House Code],0),9),"")</f>
        <v/>
      </c>
      <c r="H701" s="41"/>
      <c r="I701" s="41"/>
      <c r="J701" s="41"/>
      <c r="K701" s="116"/>
      <c r="L701" s="117" t="str">
        <f>IF(tbl_Actual_costs_quantities34[[#This Row],[House Code]]&lt;&gt;"",tbl_Actual_costs_quantities34[[#This Row],[Total cost]]/INDEX(tbl_estimated_costs_quantities[],MATCH(tbl_Actual_costs_quantities34[[#This Row],[House Code]],tbl_estimated_costs_quantities[House Code],0),7),"")</f>
        <v/>
      </c>
      <c r="M701"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01" s="75"/>
      <c r="O701" s="37"/>
      <c r="P701" s="86">
        <f>tbl_Actual_costs_quantities34[[#This Row],[Site Preparation]]*BOQs!$L$3</f>
        <v>0</v>
      </c>
      <c r="Q701" s="76"/>
      <c r="R701" s="37"/>
      <c r="S701" s="86">
        <f>tbl_Actual_costs_quantities34[[#This Row],[Demolition Removal Unsafe Structures]]*BOQs!$L$4</f>
        <v>0</v>
      </c>
      <c r="T701" s="76"/>
      <c r="U701" s="37"/>
      <c r="V701" s="86">
        <f>tbl_Actual_costs_quantities34[[#This Row],[Concrete Works]]*BOQs!$L$5</f>
        <v>0</v>
      </c>
      <c r="W701" s="76"/>
      <c r="X701" s="37"/>
      <c r="Y701" s="86">
        <f>tbl_Actual_costs_quantities34[[#This Row],[Closure External Openings Walls Windows]]*BOQs!$L$6</f>
        <v>0</v>
      </c>
      <c r="Z701" s="76"/>
      <c r="AA701" s="37"/>
      <c r="AB701" s="86">
        <f>tbl_Actual_costs_quantities34[[#This Row],[Plastering Painting]]*BOQs!$L$7</f>
        <v>0</v>
      </c>
      <c r="AC701" s="76"/>
      <c r="AD701" s="37"/>
      <c r="AE701" s="86">
        <f>tbl_Actual_costs_quantities34[[#This Row],[Floor Repairs]]*BOQs!$L$8</f>
        <v>0</v>
      </c>
      <c r="AF701" s="76"/>
      <c r="AG701" s="37"/>
      <c r="AH701" s="86">
        <f>tbl_Actual_costs_quantities34[[#This Row],[Doors Replacement Repair]]*BOQs!$L$9</f>
        <v>0</v>
      </c>
      <c r="AI701" s="76"/>
      <c r="AJ701" s="37"/>
      <c r="AK701" s="86">
        <f>tbl_Actual_costs_quantities34[[#This Row],[Windows Replacement Repair]]*BOQs!$L$10</f>
        <v>0</v>
      </c>
      <c r="AL701" s="76"/>
      <c r="AM701" s="37"/>
      <c r="AN701" s="86">
        <f>tbl_Actual_costs_quantities34[[#This Row],[Bathroom Rehabilitation]]*BOQs!$L$11</f>
        <v>0</v>
      </c>
      <c r="AO701" s="76"/>
      <c r="AP701" s="37"/>
      <c r="AQ701" s="86">
        <f>tbl_Actual_costs_quantities34[[#This Row],[Ceramic Tile Works WASH]]*BOQs!$L$12</f>
        <v>0</v>
      </c>
      <c r="AR701" s="76"/>
      <c r="AS701" s="37"/>
      <c r="AT701" s="86">
        <f>tbl_Actual_costs_quantities34[[#This Row],[Electrical Repairs Lighting]]*BOQs!$L$13</f>
        <v>0</v>
      </c>
      <c r="AU701" s="76"/>
      <c r="AV701" s="37"/>
      <c r="AW701" s="86">
        <f>tbl_Actual_costs_quantities34[[#This Row],[Roof Insulation Leak Sealing]]*BOQs!$L$14</f>
        <v>0</v>
      </c>
      <c r="AX701" s="76"/>
      <c r="AY701" s="37"/>
      <c r="AZ701" s="86">
        <f>tbl_Actual_costs_quantities34[[#This Row],[Chimney Duct Cleaning Repair]]*BOQs!$L$15</f>
        <v>0</v>
      </c>
      <c r="BA701" s="76"/>
      <c r="BB701" s="37"/>
      <c r="BC701" s="89">
        <f>tbl_Actual_costs_quantities34[[#This Row],[Accessibility Adaptations]]*BOQs!$L$16</f>
        <v>0</v>
      </c>
      <c r="BD701" s="41"/>
      <c r="BE701" s="37"/>
      <c r="BF701" s="37"/>
    </row>
    <row r="702" spans="2:58" ht="25.15" customHeight="1" x14ac:dyDescent="0.25">
      <c r="B702" s="49">
        <v>698</v>
      </c>
      <c r="C702" s="37"/>
      <c r="D702" s="41"/>
      <c r="E702" s="40"/>
      <c r="F702" s="87" t="str">
        <f>IF(tbl_Actual_costs_quantities34[[#This Row],[House Code]]&lt;&gt;"",INDEX(tbl_Assessment[],MATCH(tbl_Actual_costs_quantities34[[#This Row],[House Code]],tbl_Assessment[House Code],0),3),"")</f>
        <v/>
      </c>
      <c r="G702" s="116" t="str">
        <f>IF(tbl_Actual_costs_quantities34[[#This Row],[House Code]]&lt;&gt;"",INDEX(tbl_Assessment[],MATCH(tbl_Actual_costs_quantities34[[#This Row],[House Code]],tbl_Assessment[House Code],0),9),"")</f>
        <v/>
      </c>
      <c r="H702" s="41"/>
      <c r="I702" s="41"/>
      <c r="J702" s="41"/>
      <c r="K702" s="116"/>
      <c r="L702" s="117" t="str">
        <f>IF(tbl_Actual_costs_quantities34[[#This Row],[House Code]]&lt;&gt;"",tbl_Actual_costs_quantities34[[#This Row],[Total cost]]/INDEX(tbl_estimated_costs_quantities[],MATCH(tbl_Actual_costs_quantities34[[#This Row],[House Code]],tbl_estimated_costs_quantities[House Code],0),7),"")</f>
        <v/>
      </c>
      <c r="M702"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02" s="75"/>
      <c r="O702" s="37"/>
      <c r="P702" s="86">
        <f>tbl_Actual_costs_quantities34[[#This Row],[Site Preparation]]*BOQs!$L$3</f>
        <v>0</v>
      </c>
      <c r="Q702" s="76"/>
      <c r="R702" s="37"/>
      <c r="S702" s="86">
        <f>tbl_Actual_costs_quantities34[[#This Row],[Demolition Removal Unsafe Structures]]*BOQs!$L$4</f>
        <v>0</v>
      </c>
      <c r="T702" s="76"/>
      <c r="U702" s="37"/>
      <c r="V702" s="86">
        <f>tbl_Actual_costs_quantities34[[#This Row],[Concrete Works]]*BOQs!$L$5</f>
        <v>0</v>
      </c>
      <c r="W702" s="76"/>
      <c r="X702" s="37"/>
      <c r="Y702" s="86">
        <f>tbl_Actual_costs_quantities34[[#This Row],[Closure External Openings Walls Windows]]*BOQs!$L$6</f>
        <v>0</v>
      </c>
      <c r="Z702" s="76"/>
      <c r="AA702" s="37"/>
      <c r="AB702" s="86">
        <f>tbl_Actual_costs_quantities34[[#This Row],[Plastering Painting]]*BOQs!$L$7</f>
        <v>0</v>
      </c>
      <c r="AC702" s="76"/>
      <c r="AD702" s="37"/>
      <c r="AE702" s="86">
        <f>tbl_Actual_costs_quantities34[[#This Row],[Floor Repairs]]*BOQs!$L$8</f>
        <v>0</v>
      </c>
      <c r="AF702" s="76"/>
      <c r="AG702" s="37"/>
      <c r="AH702" s="86">
        <f>tbl_Actual_costs_quantities34[[#This Row],[Doors Replacement Repair]]*BOQs!$L$9</f>
        <v>0</v>
      </c>
      <c r="AI702" s="76"/>
      <c r="AJ702" s="37"/>
      <c r="AK702" s="86">
        <f>tbl_Actual_costs_quantities34[[#This Row],[Windows Replacement Repair]]*BOQs!$L$10</f>
        <v>0</v>
      </c>
      <c r="AL702" s="76"/>
      <c r="AM702" s="37"/>
      <c r="AN702" s="86">
        <f>tbl_Actual_costs_quantities34[[#This Row],[Bathroom Rehabilitation]]*BOQs!$L$11</f>
        <v>0</v>
      </c>
      <c r="AO702" s="76"/>
      <c r="AP702" s="37"/>
      <c r="AQ702" s="86">
        <f>tbl_Actual_costs_quantities34[[#This Row],[Ceramic Tile Works WASH]]*BOQs!$L$12</f>
        <v>0</v>
      </c>
      <c r="AR702" s="76"/>
      <c r="AS702" s="37"/>
      <c r="AT702" s="86">
        <f>tbl_Actual_costs_quantities34[[#This Row],[Electrical Repairs Lighting]]*BOQs!$L$13</f>
        <v>0</v>
      </c>
      <c r="AU702" s="76"/>
      <c r="AV702" s="37"/>
      <c r="AW702" s="86">
        <f>tbl_Actual_costs_quantities34[[#This Row],[Roof Insulation Leak Sealing]]*BOQs!$L$14</f>
        <v>0</v>
      </c>
      <c r="AX702" s="76"/>
      <c r="AY702" s="37"/>
      <c r="AZ702" s="86">
        <f>tbl_Actual_costs_quantities34[[#This Row],[Chimney Duct Cleaning Repair]]*BOQs!$L$15</f>
        <v>0</v>
      </c>
      <c r="BA702" s="76"/>
      <c r="BB702" s="37"/>
      <c r="BC702" s="89">
        <f>tbl_Actual_costs_quantities34[[#This Row],[Accessibility Adaptations]]*BOQs!$L$16</f>
        <v>0</v>
      </c>
      <c r="BD702" s="41"/>
      <c r="BE702" s="37"/>
      <c r="BF702" s="37"/>
    </row>
    <row r="703" spans="2:58" ht="25.15" customHeight="1" x14ac:dyDescent="0.25">
      <c r="B703" s="49">
        <v>699</v>
      </c>
      <c r="C703" s="37"/>
      <c r="D703" s="41"/>
      <c r="E703" s="40"/>
      <c r="F703" s="87" t="str">
        <f>IF(tbl_Actual_costs_quantities34[[#This Row],[House Code]]&lt;&gt;"",INDEX(tbl_Assessment[],MATCH(tbl_Actual_costs_quantities34[[#This Row],[House Code]],tbl_Assessment[House Code],0),3),"")</f>
        <v/>
      </c>
      <c r="G703" s="116" t="str">
        <f>IF(tbl_Actual_costs_quantities34[[#This Row],[House Code]]&lt;&gt;"",INDEX(tbl_Assessment[],MATCH(tbl_Actual_costs_quantities34[[#This Row],[House Code]],tbl_Assessment[House Code],0),9),"")</f>
        <v/>
      </c>
      <c r="H703" s="41"/>
      <c r="I703" s="41"/>
      <c r="J703" s="41"/>
      <c r="K703" s="116"/>
      <c r="L703" s="117" t="str">
        <f>IF(tbl_Actual_costs_quantities34[[#This Row],[House Code]]&lt;&gt;"",tbl_Actual_costs_quantities34[[#This Row],[Total cost]]/INDEX(tbl_estimated_costs_quantities[],MATCH(tbl_Actual_costs_quantities34[[#This Row],[House Code]],tbl_estimated_costs_quantities[House Code],0),7),"")</f>
        <v/>
      </c>
      <c r="M703"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03" s="75"/>
      <c r="O703" s="37"/>
      <c r="P703" s="86">
        <f>tbl_Actual_costs_quantities34[[#This Row],[Site Preparation]]*BOQs!$L$3</f>
        <v>0</v>
      </c>
      <c r="Q703" s="76"/>
      <c r="R703" s="37"/>
      <c r="S703" s="86">
        <f>tbl_Actual_costs_quantities34[[#This Row],[Demolition Removal Unsafe Structures]]*BOQs!$L$4</f>
        <v>0</v>
      </c>
      <c r="T703" s="76"/>
      <c r="U703" s="37"/>
      <c r="V703" s="86">
        <f>tbl_Actual_costs_quantities34[[#This Row],[Concrete Works]]*BOQs!$L$5</f>
        <v>0</v>
      </c>
      <c r="W703" s="76"/>
      <c r="X703" s="37"/>
      <c r="Y703" s="86">
        <f>tbl_Actual_costs_quantities34[[#This Row],[Closure External Openings Walls Windows]]*BOQs!$L$6</f>
        <v>0</v>
      </c>
      <c r="Z703" s="76"/>
      <c r="AA703" s="37"/>
      <c r="AB703" s="86">
        <f>tbl_Actual_costs_quantities34[[#This Row],[Plastering Painting]]*BOQs!$L$7</f>
        <v>0</v>
      </c>
      <c r="AC703" s="76"/>
      <c r="AD703" s="37"/>
      <c r="AE703" s="86">
        <f>tbl_Actual_costs_quantities34[[#This Row],[Floor Repairs]]*BOQs!$L$8</f>
        <v>0</v>
      </c>
      <c r="AF703" s="76"/>
      <c r="AG703" s="37"/>
      <c r="AH703" s="86">
        <f>tbl_Actual_costs_quantities34[[#This Row],[Doors Replacement Repair]]*BOQs!$L$9</f>
        <v>0</v>
      </c>
      <c r="AI703" s="76"/>
      <c r="AJ703" s="37"/>
      <c r="AK703" s="86">
        <f>tbl_Actual_costs_quantities34[[#This Row],[Windows Replacement Repair]]*BOQs!$L$10</f>
        <v>0</v>
      </c>
      <c r="AL703" s="76"/>
      <c r="AM703" s="37"/>
      <c r="AN703" s="86">
        <f>tbl_Actual_costs_quantities34[[#This Row],[Bathroom Rehabilitation]]*BOQs!$L$11</f>
        <v>0</v>
      </c>
      <c r="AO703" s="76"/>
      <c r="AP703" s="37"/>
      <c r="AQ703" s="86">
        <f>tbl_Actual_costs_quantities34[[#This Row],[Ceramic Tile Works WASH]]*BOQs!$L$12</f>
        <v>0</v>
      </c>
      <c r="AR703" s="76"/>
      <c r="AS703" s="37"/>
      <c r="AT703" s="86">
        <f>tbl_Actual_costs_quantities34[[#This Row],[Electrical Repairs Lighting]]*BOQs!$L$13</f>
        <v>0</v>
      </c>
      <c r="AU703" s="76"/>
      <c r="AV703" s="37"/>
      <c r="AW703" s="86">
        <f>tbl_Actual_costs_quantities34[[#This Row],[Roof Insulation Leak Sealing]]*BOQs!$L$14</f>
        <v>0</v>
      </c>
      <c r="AX703" s="76"/>
      <c r="AY703" s="37"/>
      <c r="AZ703" s="86">
        <f>tbl_Actual_costs_quantities34[[#This Row],[Chimney Duct Cleaning Repair]]*BOQs!$L$15</f>
        <v>0</v>
      </c>
      <c r="BA703" s="76"/>
      <c r="BB703" s="37"/>
      <c r="BC703" s="89">
        <f>tbl_Actual_costs_quantities34[[#This Row],[Accessibility Adaptations]]*BOQs!$L$16</f>
        <v>0</v>
      </c>
      <c r="BD703" s="41"/>
      <c r="BE703" s="37"/>
      <c r="BF703" s="37"/>
    </row>
    <row r="704" spans="2:58" ht="25.35" customHeight="1" x14ac:dyDescent="0.25">
      <c r="B704" s="49">
        <v>700</v>
      </c>
      <c r="C704" s="37"/>
      <c r="D704" s="41"/>
      <c r="E704" s="40"/>
      <c r="F704" s="87" t="str">
        <f>IF(tbl_Actual_costs_quantities34[[#This Row],[House Code]]&lt;&gt;"",INDEX(tbl_Assessment[],MATCH(tbl_Actual_costs_quantities34[[#This Row],[House Code]],tbl_Assessment[House Code],0),3),"")</f>
        <v/>
      </c>
      <c r="G704" s="116" t="str">
        <f>IF(tbl_Actual_costs_quantities34[[#This Row],[House Code]]&lt;&gt;"",INDEX(tbl_Assessment[],MATCH(tbl_Actual_costs_quantities34[[#This Row],[House Code]],tbl_Assessment[House Code],0),9),"")</f>
        <v/>
      </c>
      <c r="H704" s="41"/>
      <c r="I704" s="41"/>
      <c r="J704" s="41"/>
      <c r="K704" s="116"/>
      <c r="L704" s="117" t="str">
        <f>IF(tbl_Actual_costs_quantities34[[#This Row],[House Code]]&lt;&gt;"",tbl_Actual_costs_quantities34[[#This Row],[Total cost]]/INDEX(tbl_estimated_costs_quantities[],MATCH(tbl_Actual_costs_quantities34[[#This Row],[House Code]],tbl_estimated_costs_quantities[House Code],0),7),"")</f>
        <v/>
      </c>
      <c r="M704" s="69">
        <f>tbl_Actual_costs_quantities34[[#This Row],[Site Preparation Cost]]+tbl_Actual_costs_quantities34[[#This Row],[Demolition Removal Unsafe Structures Cost]]+tbl_Actual_costs_quantities34[[#This Row],[Concrete Works Cost]]+tbl_Actual_costs_quantities34[[#This Row],[Closure External Openings Walls Windows Cost]]+tbl_Actual_costs_quantities34[[#This Row],[Plastering Painting Cost]]+tbl_Actual_costs_quantities34[[#This Row],[Floor Repairs Cost]]+tbl_Actual_costs_quantities34[[#This Row],[Doors Replacement Repair Cost]]+tbl_Actual_costs_quantities34[[#This Row],[Windows Replacement Repair Cost]]+tbl_Actual_costs_quantities34[[#This Row],[Bathroom Rehabilitation Cost]]+tbl_Actual_costs_quantities34[[#This Row],[Ceramic Tile Works WASH Cost]]+tbl_Actual_costs_quantities34[[#This Row],[Electrical Repairs Lighting Cost]]+tbl_Actual_costs_quantities34[[#This Row],[Roof Insulation Leak Sealing Cost]]+tbl_Actual_costs_quantities34[[#This Row],[Chimney Duct Cleaning Repair Cost]]+tbl_Actual_costs_quantities34[[#This Row],[Accessibility Adaptations Cost]]</f>
        <v>0</v>
      </c>
      <c r="N704" s="75"/>
      <c r="O704" s="37"/>
      <c r="P704" s="86">
        <f>tbl_Actual_costs_quantities34[[#This Row],[Site Preparation]]*BOQs!$L$3</f>
        <v>0</v>
      </c>
      <c r="Q704" s="76"/>
      <c r="R704" s="37"/>
      <c r="S704" s="86">
        <f>tbl_Actual_costs_quantities34[[#This Row],[Demolition Removal Unsafe Structures]]*BOQs!$L$4</f>
        <v>0</v>
      </c>
      <c r="T704" s="76"/>
      <c r="U704" s="37"/>
      <c r="V704" s="86">
        <f>tbl_Actual_costs_quantities34[[#This Row],[Concrete Works]]*BOQs!$L$5</f>
        <v>0</v>
      </c>
      <c r="W704" s="76"/>
      <c r="X704" s="37"/>
      <c r="Y704" s="86">
        <f>tbl_Actual_costs_quantities34[[#This Row],[Closure External Openings Walls Windows]]*BOQs!$L$6</f>
        <v>0</v>
      </c>
      <c r="Z704" s="76"/>
      <c r="AA704" s="37"/>
      <c r="AB704" s="86">
        <f>tbl_Actual_costs_quantities34[[#This Row],[Plastering Painting]]*BOQs!$L$7</f>
        <v>0</v>
      </c>
      <c r="AC704" s="76"/>
      <c r="AD704" s="37"/>
      <c r="AE704" s="86">
        <f>tbl_Actual_costs_quantities34[[#This Row],[Floor Repairs]]*BOQs!$L$8</f>
        <v>0</v>
      </c>
      <c r="AF704" s="76"/>
      <c r="AG704" s="37"/>
      <c r="AH704" s="86">
        <f>tbl_Actual_costs_quantities34[[#This Row],[Doors Replacement Repair]]*BOQs!$L$9</f>
        <v>0</v>
      </c>
      <c r="AI704" s="76"/>
      <c r="AJ704" s="37"/>
      <c r="AK704" s="86">
        <f>tbl_Actual_costs_quantities34[[#This Row],[Windows Replacement Repair]]*BOQs!$L$10</f>
        <v>0</v>
      </c>
      <c r="AL704" s="76"/>
      <c r="AM704" s="37"/>
      <c r="AN704" s="86">
        <f>tbl_Actual_costs_quantities34[[#This Row],[Bathroom Rehabilitation]]*BOQs!$L$11</f>
        <v>0</v>
      </c>
      <c r="AO704" s="76"/>
      <c r="AP704" s="37"/>
      <c r="AQ704" s="86">
        <f>tbl_Actual_costs_quantities34[[#This Row],[Ceramic Tile Works WASH]]*BOQs!$L$12</f>
        <v>0</v>
      </c>
      <c r="AR704" s="76"/>
      <c r="AS704" s="37"/>
      <c r="AT704" s="86">
        <f>tbl_Actual_costs_quantities34[[#This Row],[Electrical Repairs Lighting]]*BOQs!$L$13</f>
        <v>0</v>
      </c>
      <c r="AU704" s="76"/>
      <c r="AV704" s="37"/>
      <c r="AW704" s="86">
        <f>tbl_Actual_costs_quantities34[[#This Row],[Roof Insulation Leak Sealing]]*BOQs!$L$14</f>
        <v>0</v>
      </c>
      <c r="AX704" s="76"/>
      <c r="AY704" s="37"/>
      <c r="AZ704" s="86">
        <f>tbl_Actual_costs_quantities34[[#This Row],[Chimney Duct Cleaning Repair]]*BOQs!$L$15</f>
        <v>0</v>
      </c>
      <c r="BA704" s="76"/>
      <c r="BB704" s="37"/>
      <c r="BC704" s="89">
        <f>tbl_Actual_costs_quantities34[[#This Row],[Accessibility Adaptations]]*BOQs!$L$16</f>
        <v>0</v>
      </c>
      <c r="BD704" s="41"/>
      <c r="BE704" s="37"/>
      <c r="BF704" s="37"/>
    </row>
    <row r="705" s="21" customFormat="1" ht="15" customHeight="1" x14ac:dyDescent="0.25"/>
    <row r="706" s="21" customFormat="1" ht="15" customHeight="1" x14ac:dyDescent="0.25"/>
    <row r="707" s="21" customFormat="1" ht="15" customHeight="1" x14ac:dyDescent="0.25"/>
    <row r="708" s="21" customFormat="1" ht="15" customHeight="1" x14ac:dyDescent="0.25"/>
    <row r="709" s="21" customFormat="1" ht="15" customHeight="1" x14ac:dyDescent="0.25"/>
    <row r="710" s="21" customFormat="1" ht="15" customHeight="1" x14ac:dyDescent="0.25"/>
    <row r="711" s="21" customFormat="1" ht="15" customHeight="1" x14ac:dyDescent="0.25"/>
    <row r="712" s="21" customFormat="1" ht="15" customHeight="1" x14ac:dyDescent="0.25"/>
    <row r="713" s="21" customFormat="1" ht="15" customHeight="1" x14ac:dyDescent="0.25"/>
    <row r="714" s="21" customFormat="1" ht="15" customHeight="1" x14ac:dyDescent="0.25"/>
    <row r="715" s="21" customFormat="1" ht="15" customHeight="1" x14ac:dyDescent="0.25"/>
    <row r="716" s="21" customFormat="1" ht="15" customHeight="1" x14ac:dyDescent="0.25"/>
    <row r="717" s="21" customFormat="1" ht="15" customHeight="1" x14ac:dyDescent="0.25"/>
    <row r="718" s="21" customFormat="1" ht="15" customHeight="1" x14ac:dyDescent="0.25"/>
    <row r="719" s="21" customFormat="1" ht="15" customHeight="1" x14ac:dyDescent="0.25"/>
    <row r="720" s="21" customFormat="1" ht="15" customHeight="1" x14ac:dyDescent="0.25"/>
    <row r="721" s="21" customFormat="1" ht="15" customHeight="1" x14ac:dyDescent="0.25"/>
    <row r="722" s="21" customFormat="1" ht="15" customHeight="1" x14ac:dyDescent="0.25"/>
    <row r="723" s="21" customFormat="1" ht="15" customHeight="1" x14ac:dyDescent="0.25"/>
    <row r="724" s="21" customFormat="1" ht="15" customHeight="1" x14ac:dyDescent="0.25"/>
    <row r="725" s="21" customFormat="1" ht="15" customHeight="1" x14ac:dyDescent="0.25"/>
    <row r="726" s="21" customFormat="1" ht="15" customHeight="1" x14ac:dyDescent="0.25"/>
    <row r="727" s="21" customFormat="1" ht="15" customHeight="1" x14ac:dyDescent="0.25"/>
    <row r="728" s="21" customFormat="1" ht="15" customHeight="1" x14ac:dyDescent="0.25"/>
    <row r="729" s="21" customFormat="1" ht="15" customHeight="1" x14ac:dyDescent="0.25"/>
    <row r="730" s="21" customFormat="1" ht="15" customHeight="1" x14ac:dyDescent="0.25"/>
    <row r="731" s="21" customFormat="1" ht="15" customHeight="1" x14ac:dyDescent="0.25"/>
    <row r="732" s="21" customFormat="1" ht="15" customHeight="1" x14ac:dyDescent="0.25"/>
    <row r="733" s="21" customFormat="1" ht="15" customHeight="1" x14ac:dyDescent="0.25"/>
    <row r="734" s="21" customFormat="1" ht="15" customHeight="1" x14ac:dyDescent="0.25"/>
    <row r="735" s="21" customFormat="1" ht="15" customHeight="1" x14ac:dyDescent="0.25"/>
    <row r="736" s="21" customFormat="1" ht="15" customHeight="1" x14ac:dyDescent="0.25"/>
    <row r="737" s="21" customFormat="1" ht="15" customHeight="1" x14ac:dyDescent="0.25"/>
    <row r="738" s="21" customFormat="1" ht="15" customHeight="1" x14ac:dyDescent="0.25"/>
    <row r="739" s="21" customFormat="1" ht="15" customHeight="1" x14ac:dyDescent="0.25"/>
    <row r="740" s="21" customFormat="1" ht="15" customHeight="1" x14ac:dyDescent="0.25"/>
    <row r="741" s="21" customFormat="1" ht="15" customHeight="1" x14ac:dyDescent="0.25"/>
    <row r="742" s="21" customFormat="1" ht="15" customHeight="1" x14ac:dyDescent="0.25"/>
    <row r="743" s="21" customFormat="1" ht="15" customHeight="1" x14ac:dyDescent="0.25"/>
    <row r="744" s="21" customFormat="1" ht="15" customHeight="1" x14ac:dyDescent="0.25"/>
    <row r="745" s="21" customFormat="1" ht="15" customHeight="1" x14ac:dyDescent="0.25"/>
    <row r="746" s="21" customFormat="1" ht="15" customHeight="1" x14ac:dyDescent="0.25"/>
    <row r="747" s="21" customFormat="1" ht="15" customHeight="1" x14ac:dyDescent="0.25"/>
    <row r="748" s="21" customFormat="1" ht="15" customHeight="1" x14ac:dyDescent="0.25"/>
    <row r="749" s="21" customFormat="1" ht="15" customHeight="1" x14ac:dyDescent="0.25"/>
    <row r="750" s="21" customFormat="1" ht="15" customHeight="1" x14ac:dyDescent="0.25"/>
    <row r="751" s="21" customFormat="1" ht="15" customHeight="1" x14ac:dyDescent="0.25"/>
    <row r="752" s="21" customFormat="1" ht="15" customHeight="1" x14ac:dyDescent="0.25"/>
    <row r="753" s="21" customFormat="1" ht="15" customHeight="1" x14ac:dyDescent="0.25"/>
    <row r="754" s="21" customFormat="1" ht="15" customHeight="1" x14ac:dyDescent="0.25"/>
    <row r="755" s="21" customFormat="1" ht="15" customHeight="1" x14ac:dyDescent="0.25"/>
    <row r="756" s="21" customFormat="1" ht="15" customHeight="1" x14ac:dyDescent="0.25"/>
    <row r="757" s="21" customFormat="1" ht="15" customHeight="1" x14ac:dyDescent="0.25"/>
    <row r="758" s="21" customFormat="1" ht="15" customHeight="1" x14ac:dyDescent="0.25"/>
    <row r="759" s="21" customFormat="1" ht="15" customHeight="1" x14ac:dyDescent="0.25"/>
    <row r="760" s="21" customFormat="1" ht="15" customHeight="1" x14ac:dyDescent="0.25"/>
    <row r="761" s="21" customFormat="1" ht="15" customHeight="1" x14ac:dyDescent="0.25"/>
    <row r="762" s="21" customFormat="1" ht="15" customHeight="1" x14ac:dyDescent="0.25"/>
    <row r="763" s="21" customFormat="1" ht="15" customHeight="1" x14ac:dyDescent="0.25"/>
    <row r="764" s="21" customFormat="1" ht="15" customHeight="1" x14ac:dyDescent="0.25"/>
    <row r="765" s="21" customFormat="1" ht="15" customHeight="1" x14ac:dyDescent="0.25"/>
    <row r="766" s="21" customFormat="1" ht="15" customHeight="1" x14ac:dyDescent="0.25"/>
    <row r="767" s="21" customFormat="1" ht="15" customHeight="1" x14ac:dyDescent="0.25"/>
    <row r="768" s="21" customFormat="1" ht="15" customHeight="1" x14ac:dyDescent="0.25"/>
    <row r="769" s="21" customFormat="1" ht="15" customHeight="1" x14ac:dyDescent="0.25"/>
    <row r="770" s="21" customFormat="1" ht="15" customHeight="1" x14ac:dyDescent="0.25"/>
    <row r="771" s="21" customFormat="1" ht="15" customHeight="1" x14ac:dyDescent="0.25"/>
    <row r="772" s="21" customFormat="1" ht="15" customHeight="1" x14ac:dyDescent="0.25"/>
    <row r="773" s="21" customFormat="1" ht="15" customHeight="1" x14ac:dyDescent="0.25"/>
    <row r="774" s="21" customFormat="1" ht="15" customHeight="1" x14ac:dyDescent="0.25"/>
    <row r="775" s="21" customFormat="1" ht="15" customHeight="1" x14ac:dyDescent="0.25"/>
    <row r="776" s="21" customFormat="1" ht="15" customHeight="1" x14ac:dyDescent="0.25"/>
    <row r="777" s="21" customFormat="1" ht="15" customHeight="1" x14ac:dyDescent="0.25"/>
    <row r="778" s="21" customFormat="1" ht="15" customHeight="1" x14ac:dyDescent="0.25"/>
    <row r="779" s="21" customFormat="1" ht="15" customHeight="1" x14ac:dyDescent="0.25"/>
    <row r="780" s="21" customFormat="1" ht="15" customHeight="1" x14ac:dyDescent="0.25"/>
    <row r="781" s="21" customFormat="1" ht="15" customHeight="1" x14ac:dyDescent="0.25"/>
    <row r="782" s="21" customFormat="1" ht="15" customHeight="1" x14ac:dyDescent="0.25"/>
    <row r="783" s="21" customFormat="1" ht="15" customHeight="1" x14ac:dyDescent="0.25"/>
    <row r="784" s="21" customFormat="1" ht="15" customHeight="1" x14ac:dyDescent="0.25"/>
    <row r="785" s="21" customFormat="1" ht="15" customHeight="1" x14ac:dyDescent="0.25"/>
    <row r="786" s="21" customFormat="1" ht="15" customHeight="1" x14ac:dyDescent="0.25"/>
    <row r="787" s="21" customFormat="1" ht="15" customHeight="1" x14ac:dyDescent="0.25"/>
    <row r="788" s="21" customFormat="1" ht="15" customHeight="1" x14ac:dyDescent="0.25"/>
    <row r="789" s="21" customFormat="1" ht="15" customHeight="1" x14ac:dyDescent="0.25"/>
    <row r="790" s="21" customFormat="1" ht="15" customHeight="1" x14ac:dyDescent="0.25"/>
    <row r="791" s="21" customFormat="1" ht="15" customHeight="1" x14ac:dyDescent="0.25"/>
    <row r="792" s="21" customFormat="1" ht="15" customHeight="1" x14ac:dyDescent="0.25"/>
    <row r="793" s="21" customFormat="1" ht="15" customHeight="1" x14ac:dyDescent="0.25"/>
    <row r="794" s="21" customFormat="1" ht="15" customHeight="1" x14ac:dyDescent="0.25"/>
    <row r="795" s="21" customFormat="1" ht="15" customHeight="1" x14ac:dyDescent="0.25"/>
    <row r="796" s="21" customFormat="1" ht="15" customHeight="1" x14ac:dyDescent="0.25"/>
    <row r="797" s="21" customFormat="1" ht="15" customHeight="1" x14ac:dyDescent="0.25"/>
    <row r="798" s="21" customFormat="1" ht="15" customHeight="1" x14ac:dyDescent="0.25"/>
    <row r="799" s="21" customFormat="1" ht="15" customHeight="1" x14ac:dyDescent="0.25"/>
    <row r="800" s="21" customFormat="1" ht="15" customHeight="1" x14ac:dyDescent="0.25"/>
    <row r="801" s="21" customFormat="1" ht="15" customHeight="1" x14ac:dyDescent="0.25"/>
    <row r="802" s="21" customFormat="1" ht="15" customHeight="1" x14ac:dyDescent="0.25"/>
    <row r="803" s="21" customFormat="1" ht="15" customHeight="1" x14ac:dyDescent="0.25"/>
    <row r="804" s="21" customFormat="1" ht="15" customHeight="1" x14ac:dyDescent="0.25"/>
    <row r="805" s="21" customFormat="1" ht="15" customHeight="1" x14ac:dyDescent="0.25"/>
    <row r="806" s="21" customFormat="1" ht="15" customHeight="1" x14ac:dyDescent="0.25"/>
    <row r="807" s="21" customFormat="1" ht="15" customHeight="1" x14ac:dyDescent="0.25"/>
    <row r="808" s="21" customFormat="1" ht="15" customHeight="1" x14ac:dyDescent="0.25"/>
    <row r="809" s="21" customFormat="1" ht="15" customHeight="1" x14ac:dyDescent="0.25"/>
    <row r="810" s="21" customFormat="1" ht="15" customHeight="1" x14ac:dyDescent="0.25"/>
    <row r="811" s="21" customFormat="1" ht="15" customHeight="1" x14ac:dyDescent="0.25"/>
    <row r="812" s="21" customFormat="1" ht="15" customHeight="1" x14ac:dyDescent="0.25"/>
    <row r="813" s="21" customFormat="1" ht="15" customHeight="1" x14ac:dyDescent="0.25"/>
    <row r="814" s="21" customFormat="1" ht="15" customHeight="1" x14ac:dyDescent="0.25"/>
    <row r="815" s="21" customFormat="1" ht="15" customHeight="1" x14ac:dyDescent="0.25"/>
    <row r="816" s="21" customFormat="1" ht="15" customHeight="1" x14ac:dyDescent="0.25"/>
    <row r="817" s="21" customFormat="1" ht="15" customHeight="1" x14ac:dyDescent="0.25"/>
    <row r="818" s="21" customFormat="1" ht="15" customHeight="1" x14ac:dyDescent="0.25"/>
    <row r="819" s="21" customFormat="1" ht="15" customHeight="1" x14ac:dyDescent="0.25"/>
    <row r="820" s="21" customFormat="1" ht="15" customHeight="1" x14ac:dyDescent="0.25"/>
    <row r="821" s="21" customFormat="1" ht="15" customHeight="1" x14ac:dyDescent="0.25"/>
    <row r="822" s="21" customFormat="1" ht="15" customHeight="1" x14ac:dyDescent="0.25"/>
    <row r="823" s="21" customFormat="1" ht="15" customHeight="1" x14ac:dyDescent="0.25"/>
    <row r="824" s="21" customFormat="1" ht="15" customHeight="1" x14ac:dyDescent="0.25"/>
    <row r="825" s="21" customFormat="1" ht="15" customHeight="1" x14ac:dyDescent="0.25"/>
    <row r="826" s="21" customFormat="1" ht="15" customHeight="1" x14ac:dyDescent="0.25"/>
    <row r="827" s="21" customFormat="1" ht="15" customHeight="1" x14ac:dyDescent="0.25"/>
    <row r="828" s="21" customFormat="1" ht="15" customHeight="1" x14ac:dyDescent="0.25"/>
    <row r="829" s="21" customFormat="1" ht="15" customHeight="1" x14ac:dyDescent="0.25"/>
    <row r="830" s="21" customFormat="1" ht="15" customHeight="1" x14ac:dyDescent="0.25"/>
    <row r="831" s="21" customFormat="1" ht="15" customHeight="1" x14ac:dyDescent="0.25"/>
    <row r="832" s="21" customFormat="1" ht="15" customHeight="1" x14ac:dyDescent="0.25"/>
    <row r="833" s="21" customFormat="1" ht="15" customHeight="1" x14ac:dyDescent="0.25"/>
    <row r="834" s="21" customFormat="1" ht="15" customHeight="1" x14ac:dyDescent="0.25"/>
    <row r="835" s="21" customFormat="1" ht="15" customHeight="1" x14ac:dyDescent="0.25"/>
    <row r="836" s="21" customFormat="1" ht="15" customHeight="1" x14ac:dyDescent="0.25"/>
    <row r="837" s="21" customFormat="1" ht="15" customHeight="1" x14ac:dyDescent="0.25"/>
    <row r="838" s="21" customFormat="1" ht="15" customHeight="1" x14ac:dyDescent="0.25"/>
    <row r="839" s="21" customFormat="1" ht="15" customHeight="1" x14ac:dyDescent="0.25"/>
    <row r="840" s="21" customFormat="1" ht="15" customHeight="1" x14ac:dyDescent="0.25"/>
    <row r="841" s="21" customFormat="1" ht="15" customHeight="1" x14ac:dyDescent="0.25"/>
    <row r="842" s="21" customFormat="1" ht="15" customHeight="1" x14ac:dyDescent="0.25"/>
    <row r="843" s="21" customFormat="1" ht="15" customHeight="1" x14ac:dyDescent="0.25"/>
    <row r="844" s="21" customFormat="1" ht="15" customHeight="1" x14ac:dyDescent="0.25"/>
    <row r="845" s="21" customFormat="1" ht="15" customHeight="1" x14ac:dyDescent="0.25"/>
    <row r="846" s="21" customFormat="1" ht="15" customHeight="1" x14ac:dyDescent="0.25"/>
    <row r="847" s="21" customFormat="1" ht="15" customHeight="1" x14ac:dyDescent="0.25"/>
    <row r="848" s="21" customFormat="1" ht="15" customHeight="1" x14ac:dyDescent="0.25"/>
    <row r="849" s="21" customFormat="1" ht="15" customHeight="1" x14ac:dyDescent="0.25"/>
    <row r="850" s="21" customFormat="1" ht="15" customHeight="1" x14ac:dyDescent="0.25"/>
    <row r="851" s="21" customFormat="1" ht="15" customHeight="1" x14ac:dyDescent="0.25"/>
    <row r="852" s="21" customFormat="1" ht="15" customHeight="1" x14ac:dyDescent="0.25"/>
    <row r="853" s="21" customFormat="1" ht="15" customHeight="1" x14ac:dyDescent="0.25"/>
    <row r="854" s="21" customFormat="1" ht="15" customHeight="1" x14ac:dyDescent="0.25"/>
    <row r="855" s="21" customFormat="1" ht="15" customHeight="1" x14ac:dyDescent="0.25"/>
    <row r="856" s="21" customFormat="1" ht="15" customHeight="1" x14ac:dyDescent="0.25"/>
    <row r="857" s="21" customFormat="1" ht="15" customHeight="1" x14ac:dyDescent="0.25"/>
    <row r="858" s="21" customFormat="1" ht="15" customHeight="1" x14ac:dyDescent="0.25"/>
    <row r="859" s="21" customFormat="1" ht="15" customHeight="1" x14ac:dyDescent="0.25"/>
    <row r="860" s="21" customFormat="1" ht="15" customHeight="1" x14ac:dyDescent="0.25"/>
    <row r="861" s="21" customFormat="1" ht="15" customHeight="1" x14ac:dyDescent="0.25"/>
    <row r="862" s="21" customFormat="1" ht="15" customHeight="1" x14ac:dyDescent="0.25"/>
    <row r="863" s="21" customFormat="1" ht="15" customHeight="1" x14ac:dyDescent="0.25"/>
    <row r="864" s="21" customFormat="1" ht="15" customHeight="1" x14ac:dyDescent="0.25"/>
    <row r="865" s="21" customFormat="1" ht="15" customHeight="1" x14ac:dyDescent="0.25"/>
    <row r="866" s="21" customFormat="1" ht="15" customHeight="1" x14ac:dyDescent="0.25"/>
    <row r="867" s="21" customFormat="1" ht="15" customHeight="1" x14ac:dyDescent="0.25"/>
    <row r="868" s="21" customFormat="1" ht="15" customHeight="1" x14ac:dyDescent="0.25"/>
    <row r="869" s="21" customFormat="1" ht="15" customHeight="1" x14ac:dyDescent="0.25"/>
    <row r="870" s="21" customFormat="1" ht="15" customHeight="1" x14ac:dyDescent="0.25"/>
    <row r="871" s="21" customFormat="1" ht="15" customHeight="1" x14ac:dyDescent="0.25"/>
    <row r="872" s="21" customFormat="1" ht="15" customHeight="1" x14ac:dyDescent="0.25"/>
    <row r="873" s="21" customFormat="1" ht="15" customHeight="1" x14ac:dyDescent="0.25"/>
    <row r="874" s="21" customFormat="1" ht="15" customHeight="1" x14ac:dyDescent="0.25"/>
    <row r="875" s="21" customFormat="1" ht="15" customHeight="1" x14ac:dyDescent="0.25"/>
    <row r="876" s="21" customFormat="1" ht="15" customHeight="1" x14ac:dyDescent="0.25"/>
    <row r="877" s="21" customFormat="1" ht="15" customHeight="1" x14ac:dyDescent="0.25"/>
    <row r="878" s="21" customFormat="1" ht="15" customHeight="1" x14ac:dyDescent="0.25"/>
    <row r="879" s="21" customFormat="1" ht="15" customHeight="1" x14ac:dyDescent="0.25"/>
    <row r="880" s="21" customFormat="1" ht="15" customHeight="1" x14ac:dyDescent="0.25"/>
    <row r="881" s="21" customFormat="1" ht="15" customHeight="1" x14ac:dyDescent="0.25"/>
    <row r="882" s="21" customFormat="1" ht="15" customHeight="1" x14ac:dyDescent="0.25"/>
    <row r="883" s="21" customFormat="1" ht="15" customHeight="1" x14ac:dyDescent="0.25"/>
    <row r="884" s="21" customFormat="1" ht="15" customHeight="1" x14ac:dyDescent="0.25"/>
    <row r="885" s="21" customFormat="1" ht="15" customHeight="1" x14ac:dyDescent="0.25"/>
    <row r="886" s="21" customFormat="1" ht="15" customHeight="1" x14ac:dyDescent="0.25"/>
    <row r="887" s="21" customFormat="1" ht="15" customHeight="1" x14ac:dyDescent="0.25"/>
    <row r="888" s="21" customFormat="1" ht="15" customHeight="1" x14ac:dyDescent="0.25"/>
    <row r="889" s="21" customFormat="1" ht="15" customHeight="1" x14ac:dyDescent="0.25"/>
    <row r="890" s="21" customFormat="1" ht="15" customHeight="1" x14ac:dyDescent="0.25"/>
    <row r="891" s="21" customFormat="1" ht="15" customHeight="1" x14ac:dyDescent="0.25"/>
    <row r="892" s="21" customFormat="1" ht="15" customHeight="1" x14ac:dyDescent="0.25"/>
    <row r="893" s="21" customFormat="1" ht="15" customHeight="1" x14ac:dyDescent="0.25"/>
    <row r="894" s="21" customFormat="1" ht="15" customHeight="1" x14ac:dyDescent="0.25"/>
    <row r="895" s="21" customFormat="1" ht="15" customHeight="1" x14ac:dyDescent="0.25"/>
    <row r="896" s="21" customFormat="1" ht="15" customHeight="1" x14ac:dyDescent="0.25"/>
    <row r="897" s="21" customFormat="1" ht="15" customHeight="1" x14ac:dyDescent="0.25"/>
    <row r="898" s="21" customFormat="1" ht="15" customHeight="1" x14ac:dyDescent="0.25"/>
    <row r="899" s="21" customFormat="1" ht="15" customHeight="1" x14ac:dyDescent="0.25"/>
    <row r="900" s="21" customFormat="1" ht="15" customHeight="1" x14ac:dyDescent="0.25"/>
    <row r="901" s="21" customFormat="1" ht="15" customHeight="1" x14ac:dyDescent="0.25"/>
    <row r="902" s="21" customFormat="1" ht="15" customHeight="1" x14ac:dyDescent="0.25"/>
    <row r="903" s="21" customFormat="1" ht="15" customHeight="1" x14ac:dyDescent="0.25"/>
    <row r="904" s="21" customFormat="1" ht="15" customHeight="1" x14ac:dyDescent="0.25"/>
    <row r="905" s="21" customFormat="1" ht="15" customHeight="1" x14ac:dyDescent="0.25"/>
    <row r="906" s="21" customFormat="1" ht="15" customHeight="1" x14ac:dyDescent="0.25"/>
    <row r="907" s="21" customFormat="1" ht="15" customHeight="1" x14ac:dyDescent="0.25"/>
    <row r="908" s="21" customFormat="1" ht="15" customHeight="1" x14ac:dyDescent="0.25"/>
    <row r="909" s="21" customFormat="1" ht="15" customHeight="1" x14ac:dyDescent="0.25"/>
    <row r="910" s="21" customFormat="1" ht="15" customHeight="1" x14ac:dyDescent="0.25"/>
    <row r="911" s="21" customFormat="1" ht="15" customHeight="1" x14ac:dyDescent="0.25"/>
    <row r="912" s="21" customFormat="1" ht="15" customHeight="1" x14ac:dyDescent="0.25"/>
    <row r="913" s="21" customFormat="1" ht="15" customHeight="1" x14ac:dyDescent="0.25"/>
    <row r="914" s="21" customFormat="1" ht="15" customHeight="1" x14ac:dyDescent="0.25"/>
    <row r="915" s="21" customFormat="1" ht="15" customHeight="1" x14ac:dyDescent="0.25"/>
    <row r="916" s="21" customFormat="1" ht="15" customHeight="1" x14ac:dyDescent="0.25"/>
    <row r="917" s="21" customFormat="1" ht="15" customHeight="1" x14ac:dyDescent="0.25"/>
    <row r="918" s="21" customFormat="1" ht="15" customHeight="1" x14ac:dyDescent="0.25"/>
    <row r="919" s="21" customFormat="1" ht="15" customHeight="1" x14ac:dyDescent="0.25"/>
    <row r="920" s="21" customFormat="1" ht="15" customHeight="1" x14ac:dyDescent="0.25"/>
    <row r="921" s="21" customFormat="1" ht="15" customHeight="1" x14ac:dyDescent="0.25"/>
    <row r="922" s="21" customFormat="1" ht="15" customHeight="1" x14ac:dyDescent="0.25"/>
    <row r="923" s="21" customFormat="1" ht="15" customHeight="1" x14ac:dyDescent="0.25"/>
    <row r="924" s="21" customFormat="1" ht="15" customHeight="1" x14ac:dyDescent="0.25"/>
    <row r="925" s="21" customFormat="1" ht="15" customHeight="1" x14ac:dyDescent="0.25"/>
    <row r="926" s="21" customFormat="1" ht="15" customHeight="1" x14ac:dyDescent="0.25"/>
    <row r="927" s="21" customFormat="1" ht="15" customHeight="1" x14ac:dyDescent="0.25"/>
    <row r="928" s="21" customFormat="1" ht="15" customHeight="1" x14ac:dyDescent="0.25"/>
    <row r="929" s="21" customFormat="1" ht="15" customHeight="1" x14ac:dyDescent="0.25"/>
    <row r="930" s="21" customFormat="1" ht="15" customHeight="1" x14ac:dyDescent="0.25"/>
    <row r="931" s="21" customFormat="1" ht="15" customHeight="1" x14ac:dyDescent="0.25"/>
    <row r="932" s="21" customFormat="1" ht="15" customHeight="1" x14ac:dyDescent="0.25"/>
    <row r="933" s="21" customFormat="1" ht="15" customHeight="1" x14ac:dyDescent="0.25"/>
    <row r="934" s="21" customFormat="1" ht="15" customHeight="1" x14ac:dyDescent="0.25"/>
    <row r="935" s="21" customFormat="1" ht="15" customHeight="1" x14ac:dyDescent="0.25"/>
    <row r="936" s="21" customFormat="1" ht="15" customHeight="1" x14ac:dyDescent="0.25"/>
    <row r="937" s="21" customFormat="1" ht="15" customHeight="1" x14ac:dyDescent="0.25"/>
    <row r="938" s="21" customFormat="1" ht="15" customHeight="1" x14ac:dyDescent="0.25"/>
    <row r="939" s="21" customFormat="1" ht="15" customHeight="1" x14ac:dyDescent="0.25"/>
    <row r="940" s="21" customFormat="1" ht="15" customHeight="1" x14ac:dyDescent="0.25"/>
    <row r="941" s="21" customFormat="1" ht="15" customHeight="1" x14ac:dyDescent="0.25"/>
    <row r="942" s="21" customFormat="1" ht="15" customHeight="1" x14ac:dyDescent="0.25"/>
    <row r="943" s="21" customFormat="1" ht="15" customHeight="1" x14ac:dyDescent="0.25"/>
    <row r="944" s="21" customFormat="1" ht="15" customHeight="1" x14ac:dyDescent="0.25"/>
    <row r="945" s="21" customFormat="1" ht="15" customHeight="1" x14ac:dyDescent="0.25"/>
    <row r="946" s="21" customFormat="1" ht="15" customHeight="1" x14ac:dyDescent="0.25"/>
    <row r="947" s="21" customFormat="1" ht="15" customHeight="1" x14ac:dyDescent="0.25"/>
    <row r="948" s="21" customFormat="1" ht="15" customHeight="1" x14ac:dyDescent="0.25"/>
    <row r="949" s="21" customFormat="1" ht="15" customHeight="1" x14ac:dyDescent="0.25"/>
    <row r="950" s="21" customFormat="1" ht="15" customHeight="1" x14ac:dyDescent="0.25"/>
    <row r="951" s="21" customFormat="1" ht="15" customHeight="1" x14ac:dyDescent="0.25"/>
    <row r="952" s="21" customFormat="1" ht="15" customHeight="1" x14ac:dyDescent="0.25"/>
    <row r="953" s="21" customFormat="1" ht="15" customHeight="1" x14ac:dyDescent="0.25"/>
    <row r="954" s="21" customFormat="1" ht="15" customHeight="1" x14ac:dyDescent="0.25"/>
    <row r="955" s="21" customFormat="1" ht="15" customHeight="1" x14ac:dyDescent="0.25"/>
    <row r="956" s="21" customFormat="1" ht="15" customHeight="1" x14ac:dyDescent="0.25"/>
    <row r="957" s="21" customFormat="1" ht="15" customHeight="1" x14ac:dyDescent="0.25"/>
    <row r="958" s="21" customFormat="1" ht="15" customHeight="1" x14ac:dyDescent="0.25"/>
    <row r="959" s="21" customFormat="1" ht="15" customHeight="1" x14ac:dyDescent="0.25"/>
    <row r="960" s="21" customFormat="1" ht="15" customHeight="1" x14ac:dyDescent="0.25"/>
    <row r="961" s="21" customFormat="1" ht="15" customHeight="1" x14ac:dyDescent="0.25"/>
    <row r="962" s="21" customFormat="1" ht="15" customHeight="1" x14ac:dyDescent="0.25"/>
    <row r="963" s="21" customFormat="1" ht="15" customHeight="1" x14ac:dyDescent="0.25"/>
    <row r="964" s="21" customFormat="1" ht="15" customHeight="1" x14ac:dyDescent="0.25"/>
    <row r="965" s="21" customFormat="1" ht="15" customHeight="1" x14ac:dyDescent="0.25"/>
    <row r="966" s="21" customFormat="1" ht="15" customHeight="1" x14ac:dyDescent="0.25"/>
    <row r="967" s="21" customFormat="1" ht="15" customHeight="1" x14ac:dyDescent="0.25"/>
    <row r="968" s="21" customFormat="1" ht="15" customHeight="1" x14ac:dyDescent="0.25"/>
    <row r="969" s="21" customFormat="1" ht="15" customHeight="1" x14ac:dyDescent="0.25"/>
    <row r="970" s="21" customFormat="1" ht="15" customHeight="1" x14ac:dyDescent="0.25"/>
    <row r="971" s="21" customFormat="1" ht="15" customHeight="1" x14ac:dyDescent="0.25"/>
    <row r="972" s="21" customFormat="1" ht="15" customHeight="1" x14ac:dyDescent="0.25"/>
    <row r="973" s="21" customFormat="1" ht="15" customHeight="1" x14ac:dyDescent="0.25"/>
    <row r="974" s="21" customFormat="1" ht="15" customHeight="1" x14ac:dyDescent="0.25"/>
    <row r="975" s="21" customFormat="1" ht="15" customHeight="1" x14ac:dyDescent="0.25"/>
    <row r="976" s="21" customFormat="1" ht="15" customHeight="1" x14ac:dyDescent="0.25"/>
    <row r="977" s="21" customFormat="1" ht="15" customHeight="1" x14ac:dyDescent="0.25"/>
    <row r="978" s="21" customFormat="1" ht="15" customHeight="1" x14ac:dyDescent="0.25"/>
    <row r="979" s="21" customFormat="1" ht="15" customHeight="1" x14ac:dyDescent="0.25"/>
    <row r="980" s="21" customFormat="1" ht="15" customHeight="1" x14ac:dyDescent="0.25"/>
    <row r="981" s="21" customFormat="1" ht="15" customHeight="1" x14ac:dyDescent="0.25"/>
    <row r="982" s="21" customFormat="1" ht="15" customHeight="1" x14ac:dyDescent="0.25"/>
    <row r="983" s="21" customFormat="1" ht="15" customHeight="1" x14ac:dyDescent="0.25"/>
    <row r="984" s="21" customFormat="1" ht="15" customHeight="1" x14ac:dyDescent="0.25"/>
    <row r="985" s="21" customFormat="1" ht="15" customHeight="1" x14ac:dyDescent="0.25"/>
    <row r="986" s="21" customFormat="1" ht="15" customHeight="1" x14ac:dyDescent="0.25"/>
    <row r="987" s="21" customFormat="1" ht="15" customHeight="1" x14ac:dyDescent="0.25"/>
    <row r="988" s="21" customFormat="1" ht="15" customHeight="1" x14ac:dyDescent="0.25"/>
    <row r="989" s="21" customFormat="1" ht="15" customHeight="1" x14ac:dyDescent="0.25"/>
    <row r="990" s="21" customFormat="1" ht="15" customHeight="1" x14ac:dyDescent="0.25"/>
    <row r="991" s="21" customFormat="1" ht="15" customHeight="1" x14ac:dyDescent="0.25"/>
    <row r="992" s="21" customFormat="1" ht="15" customHeight="1" x14ac:dyDescent="0.25"/>
    <row r="993" s="21" customFormat="1" ht="15" customHeight="1" x14ac:dyDescent="0.25"/>
    <row r="994" s="21" customFormat="1" ht="15" customHeight="1" x14ac:dyDescent="0.25"/>
    <row r="995" s="21" customFormat="1" ht="15" customHeight="1" x14ac:dyDescent="0.25"/>
    <row r="996" s="21" customFormat="1" ht="15" customHeight="1" x14ac:dyDescent="0.25"/>
    <row r="997" s="21" customFormat="1" ht="15" customHeight="1" x14ac:dyDescent="0.25"/>
    <row r="998" s="21" customFormat="1" ht="15" customHeight="1" x14ac:dyDescent="0.25"/>
    <row r="999" s="21" customFormat="1" ht="15" customHeight="1" x14ac:dyDescent="0.25"/>
    <row r="1000" s="21" customFormat="1" ht="15" customHeight="1" x14ac:dyDescent="0.25"/>
    <row r="1001" s="21" customFormat="1" ht="15" customHeight="1" x14ac:dyDescent="0.25"/>
    <row r="1002" s="21" customFormat="1" ht="15" customHeight="1" x14ac:dyDescent="0.25"/>
    <row r="1003" s="21" customFormat="1" ht="15" customHeight="1" x14ac:dyDescent="0.25"/>
    <row r="1004" s="21" customFormat="1" ht="15" customHeight="1" x14ac:dyDescent="0.25"/>
    <row r="1005" s="21" customFormat="1" ht="15" customHeight="1" x14ac:dyDescent="0.25"/>
    <row r="1006" s="21" customFormat="1" ht="15" customHeight="1" x14ac:dyDescent="0.25"/>
    <row r="1007" s="21" customFormat="1" ht="15" customHeight="1" x14ac:dyDescent="0.25"/>
    <row r="1008" s="21" customFormat="1" ht="15" customHeight="1" x14ac:dyDescent="0.25"/>
    <row r="1009" s="21" customFormat="1" ht="15" customHeight="1" x14ac:dyDescent="0.25"/>
    <row r="1010" s="21" customFormat="1" ht="15" customHeight="1" x14ac:dyDescent="0.25"/>
    <row r="1011" s="21" customFormat="1" ht="15" customHeight="1" x14ac:dyDescent="0.25"/>
    <row r="1012" s="21" customFormat="1" ht="15" customHeight="1" x14ac:dyDescent="0.25"/>
    <row r="1013" s="21" customFormat="1" ht="15" customHeight="1" x14ac:dyDescent="0.25"/>
    <row r="1014" s="21" customFormat="1" ht="15" customHeight="1" x14ac:dyDescent="0.25"/>
    <row r="1015" s="21" customFormat="1" ht="15" customHeight="1" x14ac:dyDescent="0.25"/>
    <row r="1016" s="21" customFormat="1" ht="15" customHeight="1" x14ac:dyDescent="0.25"/>
    <row r="1017" s="21" customFormat="1" ht="15" customHeight="1" x14ac:dyDescent="0.25"/>
    <row r="1018" s="21" customFormat="1" ht="15" customHeight="1" x14ac:dyDescent="0.25"/>
    <row r="1019" s="21" customFormat="1" ht="15" customHeight="1" x14ac:dyDescent="0.25"/>
    <row r="1020" s="21" customFormat="1" ht="15" customHeight="1" x14ac:dyDescent="0.25"/>
    <row r="1021" s="21" customFormat="1" ht="15" customHeight="1" x14ac:dyDescent="0.25"/>
    <row r="1022" s="21" customFormat="1" ht="15" customHeight="1" x14ac:dyDescent="0.25"/>
    <row r="1023" s="21" customFormat="1" ht="15" customHeight="1" x14ac:dyDescent="0.25"/>
    <row r="1024" s="21" customFormat="1" ht="15" customHeight="1" x14ac:dyDescent="0.25"/>
    <row r="1025" s="21" customFormat="1" ht="15" customHeight="1" x14ac:dyDescent="0.25"/>
    <row r="1026" s="21" customFormat="1" ht="15" customHeight="1" x14ac:dyDescent="0.25"/>
    <row r="1027" s="21" customFormat="1" ht="15" customHeight="1" x14ac:dyDescent="0.25"/>
    <row r="1028" s="21" customFormat="1" ht="15" customHeight="1" x14ac:dyDescent="0.25"/>
    <row r="1029" s="21" customFormat="1" ht="15" customHeight="1" x14ac:dyDescent="0.25"/>
    <row r="1030" s="21" customFormat="1" ht="15" customHeight="1" x14ac:dyDescent="0.25"/>
    <row r="1031" s="21" customFormat="1" ht="15" customHeight="1" x14ac:dyDescent="0.25"/>
    <row r="1032" s="21" customFormat="1" ht="15" customHeight="1" x14ac:dyDescent="0.25"/>
    <row r="1033" s="21" customFormat="1" ht="15" customHeight="1" x14ac:dyDescent="0.25"/>
    <row r="1034" s="21" customFormat="1" ht="15" customHeight="1" x14ac:dyDescent="0.25"/>
    <row r="1035" s="21" customFormat="1" ht="15" customHeight="1" x14ac:dyDescent="0.25"/>
    <row r="1036" s="21" customFormat="1" ht="15" customHeight="1" x14ac:dyDescent="0.25"/>
    <row r="1037" s="21" customFormat="1" ht="15" customHeight="1" x14ac:dyDescent="0.25"/>
    <row r="1038" s="21" customFormat="1" ht="15" customHeight="1" x14ac:dyDescent="0.25"/>
    <row r="1039" s="21" customFormat="1" ht="15" customHeight="1" x14ac:dyDescent="0.25"/>
    <row r="1040" s="21" customFormat="1" ht="15" customHeight="1" x14ac:dyDescent="0.25"/>
    <row r="1041" s="21" customFormat="1" ht="15" customHeight="1" x14ac:dyDescent="0.25"/>
    <row r="1042" s="21" customFormat="1" ht="15" customHeight="1" x14ac:dyDescent="0.25"/>
    <row r="1043" s="21" customFormat="1" ht="15" customHeight="1" x14ac:dyDescent="0.25"/>
    <row r="1044" s="21" customFormat="1" ht="15" customHeight="1" x14ac:dyDescent="0.25"/>
    <row r="1045" s="21" customFormat="1" ht="15" customHeight="1" x14ac:dyDescent="0.25"/>
    <row r="1046" s="21" customFormat="1" ht="15" customHeight="1" x14ac:dyDescent="0.25"/>
    <row r="1047" s="21" customFormat="1" ht="15" customHeight="1" x14ac:dyDescent="0.25"/>
    <row r="1048" s="21" customFormat="1" ht="15" customHeight="1" x14ac:dyDescent="0.25"/>
    <row r="1049" s="21" customFormat="1" ht="15" customHeight="1" x14ac:dyDescent="0.25"/>
    <row r="1050" s="21" customFormat="1" ht="15" customHeight="1" x14ac:dyDescent="0.25"/>
    <row r="1051" s="21" customFormat="1" ht="15" customHeight="1" x14ac:dyDescent="0.25"/>
    <row r="1052" s="21" customFormat="1" ht="15" customHeight="1" x14ac:dyDescent="0.25"/>
    <row r="1053" s="21" customFormat="1" ht="15" customHeight="1" x14ac:dyDescent="0.25"/>
    <row r="1054" s="21" customFormat="1" ht="15" customHeight="1" x14ac:dyDescent="0.25"/>
    <row r="1055" s="21" customFormat="1" ht="15" customHeight="1" x14ac:dyDescent="0.25"/>
    <row r="1056" s="21" customFormat="1" ht="15" customHeight="1" x14ac:dyDescent="0.25"/>
    <row r="1057" s="21" customFormat="1" ht="15" customHeight="1" x14ac:dyDescent="0.25"/>
    <row r="1058" s="21" customFormat="1" ht="15" customHeight="1" x14ac:dyDescent="0.25"/>
    <row r="1059" s="21" customFormat="1" ht="15" customHeight="1" x14ac:dyDescent="0.25"/>
    <row r="1060" s="21" customFormat="1" ht="15" customHeight="1" x14ac:dyDescent="0.25"/>
    <row r="1061" s="21" customFormat="1" ht="15" customHeight="1" x14ac:dyDescent="0.25"/>
    <row r="1062" s="21" customFormat="1" ht="15" customHeight="1" x14ac:dyDescent="0.25"/>
    <row r="1063" s="21" customFormat="1" ht="15" customHeight="1" x14ac:dyDescent="0.25"/>
    <row r="1064" s="21" customFormat="1" ht="15" customHeight="1" x14ac:dyDescent="0.25"/>
    <row r="1065" s="21" customFormat="1" ht="15" customHeight="1" x14ac:dyDescent="0.25"/>
    <row r="1066" s="21" customFormat="1" ht="15" customHeight="1" x14ac:dyDescent="0.25"/>
    <row r="1067" s="21" customFormat="1" ht="15" customHeight="1" x14ac:dyDescent="0.25"/>
    <row r="1068" s="21" customFormat="1" ht="15" customHeight="1" x14ac:dyDescent="0.25"/>
    <row r="1069" s="21" customFormat="1" ht="15" customHeight="1" x14ac:dyDescent="0.25"/>
    <row r="1070" s="21" customFormat="1" ht="15" customHeight="1" x14ac:dyDescent="0.25"/>
    <row r="1071" s="21" customFormat="1" ht="15" customHeight="1" x14ac:dyDescent="0.25"/>
    <row r="1072" s="21" customFormat="1" ht="15" customHeight="1" x14ac:dyDescent="0.25"/>
    <row r="1073" s="21" customFormat="1" ht="15" customHeight="1" x14ac:dyDescent="0.25"/>
    <row r="1074" s="21" customFormat="1" ht="15" customHeight="1" x14ac:dyDescent="0.25"/>
    <row r="1075" s="21" customFormat="1" ht="15" customHeight="1" x14ac:dyDescent="0.25"/>
    <row r="1076" s="21" customFormat="1" ht="15" customHeight="1" x14ac:dyDescent="0.25"/>
    <row r="1077" s="21" customFormat="1" ht="15" customHeight="1" x14ac:dyDescent="0.25"/>
    <row r="1078" s="21" customFormat="1" ht="15" customHeight="1" x14ac:dyDescent="0.25"/>
    <row r="1079" s="21" customFormat="1" ht="15" customHeight="1" x14ac:dyDescent="0.25"/>
    <row r="1080" s="21" customFormat="1" ht="15" customHeight="1" x14ac:dyDescent="0.25"/>
    <row r="1081" s="21" customFormat="1" ht="15" customHeight="1" x14ac:dyDescent="0.25"/>
    <row r="1082" s="21" customFormat="1" ht="15" customHeight="1" x14ac:dyDescent="0.25"/>
    <row r="1083" s="21" customFormat="1" ht="15" customHeight="1" x14ac:dyDescent="0.25"/>
    <row r="1084" s="21" customFormat="1" ht="15" customHeight="1" x14ac:dyDescent="0.25"/>
    <row r="1085" s="21" customFormat="1" ht="15" customHeight="1" x14ac:dyDescent="0.25"/>
    <row r="1086" s="21" customFormat="1" ht="15" customHeight="1" x14ac:dyDescent="0.25"/>
    <row r="1087" s="21" customFormat="1" ht="15" customHeight="1" x14ac:dyDescent="0.25"/>
    <row r="1088" s="21" customFormat="1" ht="15" customHeight="1" x14ac:dyDescent="0.25"/>
    <row r="1089" s="21" customFormat="1" ht="15" customHeight="1" x14ac:dyDescent="0.25"/>
    <row r="1090" s="21" customFormat="1" ht="15" customHeight="1" x14ac:dyDescent="0.25"/>
    <row r="1091" s="21" customFormat="1" ht="15" customHeight="1" x14ac:dyDescent="0.25"/>
    <row r="1092" s="21" customFormat="1" ht="15" customHeight="1" x14ac:dyDescent="0.25"/>
    <row r="1093" s="21" customFormat="1" ht="15" customHeight="1" x14ac:dyDescent="0.25"/>
    <row r="1094" s="21" customFormat="1" ht="15" customHeight="1" x14ac:dyDescent="0.25"/>
    <row r="1095" s="21" customFormat="1" ht="15" customHeight="1" x14ac:dyDescent="0.25"/>
    <row r="1096" s="21" customFormat="1" ht="15" customHeight="1" x14ac:dyDescent="0.25"/>
    <row r="1097" s="21" customFormat="1" ht="15" customHeight="1" x14ac:dyDescent="0.25"/>
    <row r="1098" s="21" customFormat="1" ht="15" customHeight="1" x14ac:dyDescent="0.25"/>
    <row r="1099" s="21" customFormat="1" ht="15" customHeight="1" x14ac:dyDescent="0.25"/>
    <row r="1100" s="21" customFormat="1" ht="15" customHeight="1" x14ac:dyDescent="0.25"/>
    <row r="1101" s="21" customFormat="1" ht="15" customHeight="1" x14ac:dyDescent="0.25"/>
    <row r="1102" s="21" customFormat="1" ht="15" customHeight="1" x14ac:dyDescent="0.25"/>
    <row r="1103" s="21" customFormat="1" ht="15" customHeight="1" x14ac:dyDescent="0.25"/>
    <row r="1104" s="21" customFormat="1" ht="15" customHeight="1" x14ac:dyDescent="0.25"/>
    <row r="1105" s="21" customFormat="1" ht="15" customHeight="1" x14ac:dyDescent="0.25"/>
    <row r="1106" s="21" customFormat="1" ht="15" customHeight="1" x14ac:dyDescent="0.25"/>
    <row r="1107" s="21" customFormat="1" ht="15" customHeight="1" x14ac:dyDescent="0.25"/>
    <row r="1108" s="21" customFormat="1" ht="15" customHeight="1" x14ac:dyDescent="0.25"/>
    <row r="1109" s="21" customFormat="1" ht="15" customHeight="1" x14ac:dyDescent="0.25"/>
    <row r="1110" s="21" customFormat="1" ht="15" customHeight="1" x14ac:dyDescent="0.25"/>
    <row r="1111" s="21" customFormat="1" ht="15" customHeight="1" x14ac:dyDescent="0.25"/>
    <row r="1112" s="21" customFormat="1" ht="15" customHeight="1" x14ac:dyDescent="0.25"/>
    <row r="1113" s="21" customFormat="1" ht="15" customHeight="1" x14ac:dyDescent="0.25"/>
    <row r="1114" s="21" customFormat="1" ht="15" customHeight="1" x14ac:dyDescent="0.25"/>
    <row r="1115" s="21" customFormat="1" ht="15" customHeight="1" x14ac:dyDescent="0.25"/>
    <row r="1116" s="21" customFormat="1" ht="15" customHeight="1" x14ac:dyDescent="0.25"/>
    <row r="1117" s="21" customFormat="1" ht="15" customHeight="1" x14ac:dyDescent="0.25"/>
    <row r="1118" s="21" customFormat="1" ht="15" customHeight="1" x14ac:dyDescent="0.25"/>
    <row r="1119" s="21" customFormat="1" ht="15" customHeight="1" x14ac:dyDescent="0.25"/>
    <row r="1120" s="21" customFormat="1" ht="15" customHeight="1" x14ac:dyDescent="0.25"/>
    <row r="1121" s="21" customFormat="1" ht="15" customHeight="1" x14ac:dyDescent="0.25"/>
    <row r="1122" s="21" customFormat="1" ht="15" customHeight="1" x14ac:dyDescent="0.25"/>
    <row r="1123" s="21" customFormat="1" ht="15" customHeight="1" x14ac:dyDescent="0.25"/>
    <row r="1124" s="21" customFormat="1" ht="15" customHeight="1" x14ac:dyDescent="0.25"/>
    <row r="1125" s="21" customFormat="1" ht="15" customHeight="1" x14ac:dyDescent="0.25"/>
    <row r="1126" s="21" customFormat="1" ht="15" customHeight="1" x14ac:dyDescent="0.25"/>
    <row r="1127" s="21" customFormat="1" ht="15" customHeight="1" x14ac:dyDescent="0.25"/>
    <row r="1128" s="21" customFormat="1" ht="15" customHeight="1" x14ac:dyDescent="0.25"/>
    <row r="1129" s="21" customFormat="1" ht="15" customHeight="1" x14ac:dyDescent="0.25"/>
    <row r="1130" s="21" customFormat="1" ht="15" customHeight="1" x14ac:dyDescent="0.25"/>
    <row r="1131" s="21" customFormat="1" ht="15" customHeight="1" x14ac:dyDescent="0.25"/>
    <row r="1132" s="21" customFormat="1" ht="15" customHeight="1" x14ac:dyDescent="0.25"/>
    <row r="1133" s="21" customFormat="1" ht="15" customHeight="1" x14ac:dyDescent="0.25"/>
    <row r="1134" s="21" customFormat="1" ht="15" customHeight="1" x14ac:dyDescent="0.25"/>
    <row r="1135" s="21" customFormat="1" ht="15" customHeight="1" x14ac:dyDescent="0.25"/>
    <row r="1136" s="21" customFormat="1" ht="15" customHeight="1" x14ac:dyDescent="0.25"/>
    <row r="1137" s="21" customFormat="1" ht="15" customHeight="1" x14ac:dyDescent="0.25"/>
    <row r="1138" s="21" customFormat="1" ht="15" customHeight="1" x14ac:dyDescent="0.25"/>
    <row r="1139" s="21" customFormat="1" ht="15" customHeight="1" x14ac:dyDescent="0.25"/>
    <row r="1140" s="21" customFormat="1" ht="15" customHeight="1" x14ac:dyDescent="0.25"/>
    <row r="1141" s="21" customFormat="1" ht="15" customHeight="1" x14ac:dyDescent="0.25"/>
    <row r="1142" s="21" customFormat="1" ht="15" customHeight="1" x14ac:dyDescent="0.25"/>
    <row r="1143" s="21" customFormat="1" ht="15" customHeight="1" x14ac:dyDescent="0.25"/>
    <row r="1144" s="21" customFormat="1" ht="15" customHeight="1" x14ac:dyDescent="0.25"/>
    <row r="1145" s="21" customFormat="1" ht="15" customHeight="1" x14ac:dyDescent="0.25"/>
    <row r="1146" s="21" customFormat="1" ht="15" customHeight="1" x14ac:dyDescent="0.25"/>
    <row r="1147" s="21" customFormat="1" ht="15" customHeight="1" x14ac:dyDescent="0.25"/>
    <row r="1148" s="21" customFormat="1" ht="15" customHeight="1" x14ac:dyDescent="0.25"/>
    <row r="1149" s="21" customFormat="1" ht="15" customHeight="1" x14ac:dyDescent="0.25"/>
    <row r="1150" s="21" customFormat="1" ht="15" customHeight="1" x14ac:dyDescent="0.25"/>
    <row r="1151" s="21" customFormat="1" ht="15" customHeight="1" x14ac:dyDescent="0.25"/>
    <row r="1152" s="21" customFormat="1" ht="15" customHeight="1" x14ac:dyDescent="0.25"/>
    <row r="1153" s="21" customFormat="1" ht="15" customHeight="1" x14ac:dyDescent="0.25"/>
    <row r="1154" s="21" customFormat="1" ht="15" customHeight="1" x14ac:dyDescent="0.25"/>
    <row r="1155" s="21" customFormat="1" ht="15" customHeight="1" x14ac:dyDescent="0.25"/>
    <row r="1156" s="21" customFormat="1" ht="15" customHeight="1" x14ac:dyDescent="0.25"/>
    <row r="1157" s="21" customFormat="1" ht="15" customHeight="1" x14ac:dyDescent="0.25"/>
    <row r="1158" s="21" customFormat="1" ht="15" customHeight="1" x14ac:dyDescent="0.25"/>
    <row r="1159" s="21" customFormat="1" ht="15" customHeight="1" x14ac:dyDescent="0.25"/>
    <row r="1160" s="21" customFormat="1" ht="15" customHeight="1" x14ac:dyDescent="0.25"/>
    <row r="1161" s="21" customFormat="1" ht="15" customHeight="1" x14ac:dyDescent="0.25"/>
    <row r="1162" s="21" customFormat="1" ht="15" customHeight="1" x14ac:dyDescent="0.25"/>
    <row r="1163" s="21" customFormat="1" ht="15" customHeight="1" x14ac:dyDescent="0.25"/>
    <row r="1164" s="21" customFormat="1" ht="15" customHeight="1" x14ac:dyDescent="0.25"/>
    <row r="1165" s="21" customFormat="1" ht="15" customHeight="1" x14ac:dyDescent="0.25"/>
    <row r="1166" s="21" customFormat="1" ht="15" customHeight="1" x14ac:dyDescent="0.25"/>
    <row r="1167" s="21" customFormat="1" ht="15" customHeight="1" x14ac:dyDescent="0.25"/>
    <row r="1168" s="21" customFormat="1" ht="15" customHeight="1" x14ac:dyDescent="0.25"/>
    <row r="1169" s="21" customFormat="1" ht="15" customHeight="1" x14ac:dyDescent="0.25"/>
    <row r="1170" s="21" customFormat="1" ht="15" customHeight="1" x14ac:dyDescent="0.25"/>
    <row r="1171" s="21" customFormat="1" ht="15" customHeight="1" x14ac:dyDescent="0.25"/>
    <row r="1172" s="21" customFormat="1" ht="15" customHeight="1" x14ac:dyDescent="0.25"/>
    <row r="1173" s="21" customFormat="1" ht="15" customHeight="1" x14ac:dyDescent="0.25"/>
    <row r="1174" s="21" customFormat="1" ht="15" customHeight="1" x14ac:dyDescent="0.25"/>
    <row r="1175" s="21" customFormat="1" ht="15" customHeight="1" x14ac:dyDescent="0.25"/>
    <row r="1176" s="21" customFormat="1" ht="15" customHeight="1" x14ac:dyDescent="0.25"/>
    <row r="1177" s="21" customFormat="1" ht="15" customHeight="1" x14ac:dyDescent="0.25"/>
    <row r="1178" s="21" customFormat="1" ht="15" customHeight="1" x14ac:dyDescent="0.25"/>
    <row r="1179" s="21" customFormat="1" ht="15" customHeight="1" x14ac:dyDescent="0.25"/>
    <row r="1180" s="21" customFormat="1" ht="15" customHeight="1" x14ac:dyDescent="0.25"/>
    <row r="1181" s="21" customFormat="1" ht="15" customHeight="1" x14ac:dyDescent="0.25"/>
    <row r="1182" s="21" customFormat="1" ht="15" customHeight="1" x14ac:dyDescent="0.25"/>
    <row r="1183" s="21" customFormat="1" ht="15" customHeight="1" x14ac:dyDescent="0.25"/>
    <row r="1184" s="21" customFormat="1" ht="15" customHeight="1" x14ac:dyDescent="0.25"/>
    <row r="1185" s="21" customFormat="1" ht="15" customHeight="1" x14ac:dyDescent="0.25"/>
    <row r="1186" s="21" customFormat="1" ht="15" customHeight="1" x14ac:dyDescent="0.25"/>
    <row r="1187" s="21" customFormat="1" ht="15" customHeight="1" x14ac:dyDescent="0.25"/>
    <row r="1188" s="21" customFormat="1" ht="15" customHeight="1" x14ac:dyDescent="0.25"/>
    <row r="1189" s="21" customFormat="1" ht="15" customHeight="1" x14ac:dyDescent="0.25"/>
    <row r="1190" s="21" customFormat="1" ht="15" customHeight="1" x14ac:dyDescent="0.25"/>
    <row r="1191" s="21" customFormat="1" ht="15" customHeight="1" x14ac:dyDescent="0.25"/>
    <row r="1192" s="21" customFormat="1" ht="15" customHeight="1" x14ac:dyDescent="0.25"/>
    <row r="1193" s="21" customFormat="1" ht="15" customHeight="1" x14ac:dyDescent="0.25"/>
    <row r="1194" s="21" customFormat="1" ht="15" customHeight="1" x14ac:dyDescent="0.25"/>
    <row r="1195" s="21" customFormat="1" ht="15" customHeight="1" x14ac:dyDescent="0.25"/>
    <row r="1196" s="21" customFormat="1" ht="15" customHeight="1" x14ac:dyDescent="0.25"/>
    <row r="1197" s="21" customFormat="1" ht="15" customHeight="1" x14ac:dyDescent="0.25"/>
    <row r="1198" s="21" customFormat="1" ht="15" customHeight="1" x14ac:dyDescent="0.25"/>
    <row r="1199" s="21" customFormat="1" ht="15" customHeight="1" x14ac:dyDescent="0.25"/>
    <row r="1200" s="21" customFormat="1" ht="15" customHeight="1" x14ac:dyDescent="0.25"/>
    <row r="1201" s="21" customFormat="1" ht="15" customHeight="1" x14ac:dyDescent="0.25"/>
    <row r="1202" s="21" customFormat="1" ht="15" customHeight="1" x14ac:dyDescent="0.25"/>
    <row r="1203" s="21" customFormat="1" ht="15" customHeight="1" x14ac:dyDescent="0.25"/>
    <row r="1204" s="21" customFormat="1" ht="15" customHeight="1" x14ac:dyDescent="0.25"/>
    <row r="1205" s="21" customFormat="1" ht="15" customHeight="1" x14ac:dyDescent="0.25"/>
    <row r="1206" s="21" customFormat="1" ht="15" customHeight="1" x14ac:dyDescent="0.25"/>
    <row r="1207" s="21" customFormat="1" ht="15" customHeight="1" x14ac:dyDescent="0.25"/>
    <row r="1208" s="21" customFormat="1" ht="15" customHeight="1" x14ac:dyDescent="0.25"/>
    <row r="1209" s="21" customFormat="1" ht="15" customHeight="1" x14ac:dyDescent="0.25"/>
    <row r="1210" s="21" customFormat="1" ht="15" customHeight="1" x14ac:dyDescent="0.25"/>
    <row r="1211" s="21" customFormat="1" ht="15" customHeight="1" x14ac:dyDescent="0.25"/>
    <row r="1212" s="21" customFormat="1" ht="15" customHeight="1" x14ac:dyDescent="0.25"/>
    <row r="1213" s="21" customFormat="1" ht="15" customHeight="1" x14ac:dyDescent="0.25"/>
    <row r="1214" s="21" customFormat="1" ht="15" customHeight="1" x14ac:dyDescent="0.25"/>
    <row r="1215" s="21" customFormat="1" ht="15" customHeight="1" x14ac:dyDescent="0.25"/>
    <row r="1216" s="21" customFormat="1" ht="15" customHeight="1" x14ac:dyDescent="0.25"/>
    <row r="1217" s="21" customFormat="1" ht="15" customHeight="1" x14ac:dyDescent="0.25"/>
    <row r="1218" s="21" customFormat="1" ht="15" customHeight="1" x14ac:dyDescent="0.25"/>
    <row r="1219" s="21" customFormat="1" ht="15" customHeight="1" x14ac:dyDescent="0.25"/>
    <row r="1220" s="21" customFormat="1" ht="15" customHeight="1" x14ac:dyDescent="0.25"/>
    <row r="1221" s="21" customFormat="1" ht="15" customHeight="1" x14ac:dyDescent="0.25"/>
    <row r="1222" s="21" customFormat="1" ht="15" customHeight="1" x14ac:dyDescent="0.25"/>
    <row r="1223" s="21" customFormat="1" ht="15" customHeight="1" x14ac:dyDescent="0.25"/>
    <row r="1224" s="21" customFormat="1" ht="15" customHeight="1" x14ac:dyDescent="0.25"/>
    <row r="1225" s="21" customFormat="1" ht="15" customHeight="1" x14ac:dyDescent="0.25"/>
    <row r="1226" s="21" customFormat="1" ht="15" customHeight="1" x14ac:dyDescent="0.25"/>
    <row r="1227" s="21" customFormat="1" ht="15" customHeight="1" x14ac:dyDescent="0.25"/>
    <row r="1228" s="21" customFormat="1" ht="15" customHeight="1" x14ac:dyDescent="0.25"/>
    <row r="1229" s="21" customFormat="1" ht="15" customHeight="1" x14ac:dyDescent="0.25"/>
    <row r="1230" s="21" customFormat="1" ht="15" customHeight="1" x14ac:dyDescent="0.25"/>
    <row r="1231" s="21" customFormat="1" ht="15" customHeight="1" x14ac:dyDescent="0.25"/>
    <row r="1232" s="21" customFormat="1" ht="15" customHeight="1" x14ac:dyDescent="0.25"/>
    <row r="1233" s="21" customFormat="1" ht="15" customHeight="1" x14ac:dyDescent="0.25"/>
    <row r="1234" s="21" customFormat="1" ht="15" customHeight="1" x14ac:dyDescent="0.25"/>
    <row r="1235" s="21" customFormat="1" ht="15" customHeight="1" x14ac:dyDescent="0.25"/>
    <row r="1236" s="21" customFormat="1" ht="15" customHeight="1" x14ac:dyDescent="0.25"/>
    <row r="1237" s="21" customFormat="1" ht="15" customHeight="1" x14ac:dyDescent="0.25"/>
    <row r="1238" s="21" customFormat="1" ht="15" customHeight="1" x14ac:dyDescent="0.25"/>
    <row r="1239" s="21" customFormat="1" ht="15" customHeight="1" x14ac:dyDescent="0.25"/>
    <row r="1240" s="21" customFormat="1" ht="15" customHeight="1" x14ac:dyDescent="0.25"/>
    <row r="1241" s="21" customFormat="1" ht="15" customHeight="1" x14ac:dyDescent="0.25"/>
    <row r="1242" s="21" customFormat="1" ht="15" customHeight="1" x14ac:dyDescent="0.25"/>
  </sheetData>
  <sheetProtection sort="0" autoFilter="0"/>
  <mergeCells count="3">
    <mergeCell ref="D1:G2"/>
    <mergeCell ref="N1:BC1"/>
    <mergeCell ref="BD1:BF2"/>
  </mergeCells>
  <phoneticPr fontId="1" type="noConversion"/>
  <dataValidations count="6">
    <dataValidation operator="greaterThan" allowBlank="1" showInputMessage="1" showErrorMessage="1" errorTitle="خطأ في إدخال التاريخ" error="من فضلك أدخل التاريخ بالشكل الصحيح ، mm/dd/yyyy" sqref="F5:G704 L5:L704" xr:uid="{D8FD1DEC-89D9-486A-ABC1-0440C9D415CC}"/>
    <dataValidation type="list" operator="greaterThan" allowBlank="1" showInputMessage="1" showErrorMessage="1" errorTitle="خطأ في إدخال التاريخ" error="من فضلك أدخل التاريخ بالشكل الصحيح ، mm/dd/yyyy" sqref="E5:E704" xr:uid="{25745A0A-330F-43BD-BF92-F0FCAF5E9203}">
      <formula1>INDIRECT("tbl_Assessment[House Code]")</formula1>
    </dataValidation>
    <dataValidation type="decimal" allowBlank="1" showInputMessage="1" showErrorMessage="1" sqref="N5:N704 Q5:Q704" xr:uid="{1994D04C-2D21-4AA4-A8E2-287058ABBCF1}">
      <formula1>0</formula1>
      <formula2>100</formula2>
    </dataValidation>
    <dataValidation type="date" operator="greaterThan" allowBlank="1" showInputMessage="1" showErrorMessage="1" errorTitle="خطأ في إدخال التاريخ" error="من فضلك أدخل التاريخ بالشكل الصحيح ، mm/dd/yyyy" sqref="D5:D704 H5:H704 I5:I704 J5:J704 BD5:BD704" xr:uid="{6BFA97C7-2CEF-4F8B-A379-E444850B7994}">
      <formula1>45962</formula1>
    </dataValidation>
    <dataValidation type="list" allowBlank="1" showInputMessage="1" showErrorMessage="1" sqref="C5:C704" xr:uid="{BDD62001-3286-4AF7-9232-0462AC2348DC}">
      <formula1>INDIRECT("tbl_DataEntry[Data Entry]")</formula1>
    </dataValidation>
    <dataValidation type="list" operator="greaterThan" allowBlank="1" showInputMessage="1" showErrorMessage="1" errorTitle="خطأ في إدخال التاريخ" error="من فضلك أدخل التاريخ بالشكل الصحيح ، mm/dd/yyyy" sqref="K5:K704" xr:uid="{C0B53A04-DBEC-4D10-A2FA-97938D9495FB}">
      <formula1>INDIRECT("tbl_House_Status[House Status]")</formula1>
    </dataValidation>
  </dataValidations>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7" operator="equal" id="{8DBA0181-F9F2-462C-BEDF-6BCAF760D95D}">
            <xm:f>List!#REF!</xm:f>
            <x14:dxf>
              <fill>
                <patternFill>
                  <bgColor rgb="FFFA8697"/>
                </patternFill>
              </fill>
            </x14:dxf>
          </x14:cfRule>
          <x14:cfRule type="cellIs" priority="28" operator="equal" id="{5D0E79E1-B5F6-4BA0-A34C-22BA6208E7A2}">
            <xm:f>List!$G$22</xm:f>
            <x14:dxf>
              <fill>
                <patternFill>
                  <bgColor rgb="FF00B050"/>
                </patternFill>
              </fill>
            </x14:dxf>
          </x14:cfRule>
          <x14:cfRule type="cellIs" priority="29" operator="equal" id="{2A77E575-B229-4413-9D2C-E201F6AC5405}">
            <xm:f>List!$G$21</xm:f>
            <x14:dxf>
              <fill>
                <patternFill>
                  <bgColor rgb="FF1DB9C3"/>
                </patternFill>
              </fill>
            </x14:dxf>
          </x14:cfRule>
          <x14:cfRule type="cellIs" priority="30" operator="equal" id="{5793E8BE-363B-4179-ACBB-F9919CEE8405}">
            <xm:f>List!$G$20</xm:f>
            <x14:dxf>
              <fill>
                <patternFill>
                  <bgColor rgb="FFED7D31"/>
                </patternFill>
              </fill>
            </x14:dxf>
          </x14:cfRule>
          <x14:cfRule type="cellIs" priority="31" operator="equal" id="{3FFAAB0C-29B4-4A9A-89B0-8FFDFD9B3304}">
            <xm:f>List!#REF!</xm:f>
            <x14:dxf>
              <fill>
                <patternFill>
                  <bgColor rgb="FF5B9BD5"/>
                </patternFill>
              </fill>
            </x14:dxf>
          </x14:cfRule>
          <xm:sqref>K5:K704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25EC-E18E-44B6-8ABE-F7325F850278}">
  <sheetPr codeName="Sheet15">
    <tabColor rgb="FF7030A0"/>
  </sheetPr>
  <dimension ref="B1:S22"/>
  <sheetViews>
    <sheetView showGridLines="0" zoomScale="130" zoomScaleNormal="130" workbookViewId="0">
      <selection activeCell="L20" sqref="L20"/>
    </sheetView>
  </sheetViews>
  <sheetFormatPr defaultColWidth="9.140625" defaultRowHeight="15" x14ac:dyDescent="0.25"/>
  <cols>
    <col min="1" max="2" width="1.7109375" style="36" customWidth="1"/>
    <col min="3" max="3" width="4" style="36" bestFit="1" customWidth="1"/>
    <col min="4" max="4" width="17.42578125" style="36" customWidth="1"/>
    <col min="5" max="5" width="7.5703125" style="36" customWidth="1"/>
    <col min="6" max="6" width="4" style="36" bestFit="1" customWidth="1"/>
    <col min="7" max="7" width="20" style="36" bestFit="1" customWidth="1"/>
    <col min="8" max="8" width="9.140625" style="36" customWidth="1"/>
    <col min="9" max="9" width="2.28515625" style="36" customWidth="1"/>
    <col min="10" max="10" width="3.7109375" style="36" customWidth="1"/>
    <col min="11" max="11" width="8.28515625" style="36" customWidth="1"/>
    <col min="12" max="12" width="23.42578125" style="36" bestFit="1" customWidth="1"/>
    <col min="13" max="13" width="6.140625" style="36" customWidth="1"/>
    <col min="14" max="14" width="4" style="36" bestFit="1" customWidth="1"/>
    <col min="15" max="15" width="12.28515625" style="36" customWidth="1"/>
    <col min="16" max="16" width="19.85546875" style="36" bestFit="1" customWidth="1"/>
    <col min="17" max="17" width="7.140625" style="36" customWidth="1"/>
    <col min="18" max="18" width="2.5703125" style="36" customWidth="1"/>
    <col min="19" max="16384" width="9.140625" style="36"/>
  </cols>
  <sheetData>
    <row r="1" spans="2:19" x14ac:dyDescent="0.25">
      <c r="B1" s="1"/>
      <c r="C1" s="1"/>
      <c r="D1" s="1"/>
      <c r="E1" s="1"/>
      <c r="F1" s="1"/>
      <c r="G1" s="1"/>
      <c r="H1" s="1"/>
      <c r="I1" s="1"/>
      <c r="J1" s="1"/>
      <c r="K1" s="1"/>
      <c r="L1" s="1"/>
      <c r="M1" s="1"/>
      <c r="N1" s="1"/>
      <c r="O1" s="1"/>
      <c r="P1" s="1"/>
      <c r="Q1" s="1"/>
      <c r="R1" s="1"/>
      <c r="S1" s="1"/>
    </row>
    <row r="2" spans="2:19" ht="29.25" customHeight="1" x14ac:dyDescent="0.25">
      <c r="B2" s="1"/>
      <c r="C2" s="230" t="s">
        <v>424</v>
      </c>
      <c r="D2" s="230"/>
      <c r="E2" s="230"/>
      <c r="F2" s="230"/>
      <c r="G2" s="230"/>
      <c r="H2" s="230"/>
      <c r="I2" s="1"/>
      <c r="J2" s="231" t="s">
        <v>425</v>
      </c>
      <c r="K2" s="231"/>
      <c r="L2" s="231"/>
      <c r="M2" s="231"/>
      <c r="N2" s="231"/>
      <c r="O2" s="231"/>
      <c r="P2" s="231"/>
      <c r="Q2" s="231"/>
      <c r="R2" s="1"/>
      <c r="S2" s="1"/>
    </row>
    <row r="3" spans="2:19" ht="3.75" customHeight="1" x14ac:dyDescent="0.25">
      <c r="B3" s="1"/>
      <c r="C3" s="1"/>
      <c r="D3" s="1"/>
      <c r="E3" s="1"/>
      <c r="F3" s="1"/>
      <c r="G3" s="1"/>
      <c r="H3" s="1"/>
      <c r="I3" s="1"/>
      <c r="J3" s="1"/>
      <c r="K3" s="1"/>
      <c r="L3" s="1"/>
      <c r="M3" s="1"/>
      <c r="N3" s="1"/>
      <c r="O3" s="1"/>
      <c r="P3" s="1"/>
      <c r="Q3" s="1"/>
      <c r="R3" s="1"/>
      <c r="S3" s="1"/>
    </row>
    <row r="4" spans="2:19" ht="20.100000000000001" customHeight="1" x14ac:dyDescent="0.25">
      <c r="B4" s="1"/>
      <c r="C4" s="121" t="s">
        <v>426</v>
      </c>
      <c r="D4" s="228" t="s">
        <v>427</v>
      </c>
      <c r="E4" s="228"/>
      <c r="F4" s="228"/>
      <c r="G4" s="229"/>
      <c r="H4" s="119">
        <f>COUNTA(tbl_Ben_Info[First Name])</f>
        <v>0</v>
      </c>
      <c r="I4" s="1"/>
      <c r="J4" s="121" t="s">
        <v>426</v>
      </c>
      <c r="K4" s="228" t="s">
        <v>428</v>
      </c>
      <c r="L4" s="228"/>
      <c r="M4" s="228"/>
      <c r="N4" s="228"/>
      <c r="O4" s="228"/>
      <c r="P4" s="229"/>
      <c r="Q4" s="119">
        <f>COUNTA(tbl_Assessment[Ben Code])</f>
        <v>0</v>
      </c>
      <c r="R4" s="1"/>
      <c r="S4" s="1"/>
    </row>
    <row r="5" spans="2:19" ht="3.75" customHeight="1" x14ac:dyDescent="0.25">
      <c r="B5" s="1"/>
      <c r="C5" s="121"/>
      <c r="D5" s="1"/>
      <c r="E5" s="1"/>
      <c r="F5" s="1"/>
      <c r="G5" s="1"/>
      <c r="H5" s="1"/>
      <c r="I5" s="1"/>
      <c r="J5" s="1"/>
      <c r="K5" s="1"/>
      <c r="L5" s="1"/>
      <c r="M5" s="1"/>
      <c r="N5" s="1"/>
      <c r="O5" s="1"/>
      <c r="P5" s="1"/>
      <c r="Q5" s="1"/>
      <c r="R5" s="1"/>
      <c r="S5" s="1"/>
    </row>
    <row r="6" spans="2:19" ht="20.100000000000001" customHeight="1" x14ac:dyDescent="0.25">
      <c r="B6" s="1"/>
      <c r="C6" s="121" t="s">
        <v>429</v>
      </c>
      <c r="D6" s="35" t="s">
        <v>180</v>
      </c>
      <c r="E6" s="119">
        <f>SUM(INDEX(tbl_Ben_Info[], 0, MATCH(D6, tbl_Ben_Info[#Headers], 0)))</f>
        <v>0</v>
      </c>
      <c r="F6" s="121" t="s">
        <v>430</v>
      </c>
      <c r="G6" s="35" t="s">
        <v>431</v>
      </c>
      <c r="H6" s="120">
        <f>IF(H4=0,0,COUNTIF(INDEX(tbl_Ben_Info[], 0, MATCH("Gender", tbl_Ben_Info[#Headers], 0)),"ذكر")/$H$4)</f>
        <v>0</v>
      </c>
      <c r="I6" s="1"/>
      <c r="J6" s="121" t="s">
        <v>432</v>
      </c>
      <c r="K6" s="226" t="s">
        <v>433</v>
      </c>
      <c r="L6" s="35" t="s">
        <v>257</v>
      </c>
      <c r="M6" s="119">
        <f>SUM(INDEX(tbl_Assessment[], 0, MATCH(L6, tbl_Assessment[#Headers], 0)))</f>
        <v>0</v>
      </c>
      <c r="N6" s="130" t="s">
        <v>434</v>
      </c>
      <c r="O6" s="226" t="s">
        <v>435</v>
      </c>
      <c r="P6" s="35" t="s">
        <v>436</v>
      </c>
      <c r="Q6" s="120">
        <f>IF(Q4=0,0,COUNTIF(INDEX(tbl_Assessment[], 0, MATCH("Ownership Proof", tbl_Assessment[#Headers], 0)),"نعم")/$Q$4)</f>
        <v>0</v>
      </c>
      <c r="R6" s="1"/>
      <c r="S6" s="1"/>
    </row>
    <row r="7" spans="2:19" ht="20.100000000000001" customHeight="1" x14ac:dyDescent="0.25">
      <c r="B7" s="1"/>
      <c r="C7" s="121" t="s">
        <v>437</v>
      </c>
      <c r="D7" s="35" t="s">
        <v>181</v>
      </c>
      <c r="E7" s="119">
        <f>SUM(INDEX(tbl_Ben_Info[], 0, MATCH(D7, tbl_Ben_Info[#Headers], 0)))</f>
        <v>0</v>
      </c>
      <c r="F7" s="121" t="s">
        <v>438</v>
      </c>
      <c r="G7" s="35" t="s">
        <v>439</v>
      </c>
      <c r="H7" s="120">
        <f>IF(H4=0,0,1-H6)</f>
        <v>0</v>
      </c>
      <c r="I7" s="1"/>
      <c r="J7" s="121" t="s">
        <v>426</v>
      </c>
      <c r="K7" s="226"/>
      <c r="L7" s="35" t="s">
        <v>258</v>
      </c>
      <c r="M7" s="119">
        <f>SUM(INDEX(tbl_Assessment[], 0, MATCH(L7, tbl_Assessment[#Headers], 0)))</f>
        <v>0</v>
      </c>
      <c r="N7" s="130" t="s">
        <v>440</v>
      </c>
      <c r="O7" s="226"/>
      <c r="P7" s="35" t="s">
        <v>441</v>
      </c>
      <c r="Q7" s="120">
        <f>IF(Q4=0,0,1-Q6)</f>
        <v>0</v>
      </c>
      <c r="R7" s="1"/>
      <c r="S7" s="1"/>
    </row>
    <row r="8" spans="2:19" ht="20.100000000000001" customHeight="1" x14ac:dyDescent="0.25">
      <c r="B8" s="1"/>
      <c r="C8" s="121" t="s">
        <v>442</v>
      </c>
      <c r="D8" s="35" t="s">
        <v>182</v>
      </c>
      <c r="E8" s="119">
        <f>SUM(INDEX(tbl_Ben_Info[], 0, MATCH(D8, tbl_Ben_Info[#Headers], 0)))</f>
        <v>0</v>
      </c>
      <c r="F8" s="121" t="s">
        <v>432</v>
      </c>
      <c r="G8" s="35" t="s">
        <v>163</v>
      </c>
      <c r="H8" s="119">
        <f>COUNTA(INDEX(tbl_Ben_Info[], 0, MATCH(G8, tbl_Ben_Info[#Headers], 0)))</f>
        <v>0</v>
      </c>
      <c r="I8" s="1"/>
      <c r="J8" s="121" t="s">
        <v>443</v>
      </c>
      <c r="K8" s="226"/>
      <c r="L8" s="35" t="s">
        <v>259</v>
      </c>
      <c r="M8" s="119">
        <f>SUM(INDEX(tbl_Assessment[], 0, MATCH(L8, tbl_Assessment[#Headers], 0)))</f>
        <v>0</v>
      </c>
      <c r="N8" s="130" t="s">
        <v>429</v>
      </c>
      <c r="O8" s="227" t="s">
        <v>268</v>
      </c>
      <c r="P8" s="35" t="s">
        <v>444</v>
      </c>
      <c r="Q8" s="120">
        <f>IF(Q4=0,0,COUNTIF(INDEX(tbl_Assessment[], 0, MATCH("House Type", tbl_Assessment[#Headers], 0)),"منزل مستقل")/$Q$4)</f>
        <v>0</v>
      </c>
      <c r="R8" s="1"/>
      <c r="S8" s="1"/>
    </row>
    <row r="9" spans="2:19" ht="20.100000000000001" customHeight="1" x14ac:dyDescent="0.25">
      <c r="B9" s="1"/>
      <c r="C9" s="121" t="s">
        <v>445</v>
      </c>
      <c r="D9" s="35" t="s">
        <v>183</v>
      </c>
      <c r="E9" s="119">
        <f>SUM(INDEX(tbl_Ben_Info[], 0, MATCH(D9, tbl_Ben_Info[#Headers], 0)))</f>
        <v>0</v>
      </c>
      <c r="F9" s="121" t="s">
        <v>426</v>
      </c>
      <c r="G9" s="35" t="s">
        <v>164</v>
      </c>
      <c r="H9" s="119">
        <f>COUNTA(INDEX(tbl_Ben_Info[], 0, MATCH(G9, tbl_Ben_Info[#Headers], 0)))</f>
        <v>0</v>
      </c>
      <c r="I9" s="1"/>
      <c r="J9" s="121" t="s">
        <v>446</v>
      </c>
      <c r="K9" s="227" t="s">
        <v>38</v>
      </c>
      <c r="L9" s="122" t="s">
        <v>42</v>
      </c>
      <c r="M9" s="120">
        <f>IF(Q4=0,0,COUNTIF(INDEX(tbl_Assessment[], 0, MATCH("Damage Description Syndicate", tbl_Assessment[#Headers], 0)),"No or Negligible Damage/لا يوجد ضرر أو ضرر طفيف جدًا")/$Q$4)</f>
        <v>0</v>
      </c>
      <c r="N9" s="130" t="s">
        <v>447</v>
      </c>
      <c r="O9" s="227"/>
      <c r="P9" s="35" t="s">
        <v>448</v>
      </c>
      <c r="Q9" s="120">
        <f>IF(Q4=0,0,COUNTIF(INDEX(tbl_Assessment[], 0, MATCH("House Type", tbl_Assessment[#Headers], 0)),"شقة طابقية")/$Q$4)</f>
        <v>0</v>
      </c>
      <c r="R9" s="1"/>
      <c r="S9" s="1"/>
    </row>
    <row r="10" spans="2:19" ht="20.100000000000001" customHeight="1" x14ac:dyDescent="0.25">
      <c r="B10" s="1"/>
      <c r="C10" s="121" t="s">
        <v>449</v>
      </c>
      <c r="D10" s="35" t="s">
        <v>184</v>
      </c>
      <c r="E10" s="119">
        <f>SUM(INDEX(tbl_Ben_Info[], 0, MATCH(D10, tbl_Ben_Info[#Headers], 0)))</f>
        <v>0</v>
      </c>
      <c r="F10" s="121" t="s">
        <v>450</v>
      </c>
      <c r="G10" s="35" t="s">
        <v>451</v>
      </c>
      <c r="H10" s="120">
        <f>IF(H4=0,0,COUNTIF(INDEX(tbl_Ben_Info[], 0, MATCH("Disability Status", tbl_Ben_Info[#Headers], 0)),"نعم")/$H$4)</f>
        <v>0</v>
      </c>
      <c r="I10" s="1"/>
      <c r="J10" s="121" t="s">
        <v>452</v>
      </c>
      <c r="K10" s="227"/>
      <c r="L10" s="123" t="s">
        <v>47</v>
      </c>
      <c r="M10" s="120">
        <f>IF(Q4=0,0,COUNTIF(INDEX(tbl_Assessment[], 0, MATCH("Damage Description Syndicate", tbl_Assessment[#Headers], 0)),"Minor Damage/ضرر خفيف")/$Q$4)</f>
        <v>0</v>
      </c>
      <c r="N10" s="130" t="s">
        <v>453</v>
      </c>
      <c r="O10" s="227"/>
      <c r="P10" s="35" t="s">
        <v>454</v>
      </c>
      <c r="Q10" s="120">
        <f>IF(Q4=0,0,COUNTIF(INDEX(tbl_Assessment[], 0, MATCH("House Type", tbl_Assessment[#Headers], 0)),"ملحق")/$Q$4)</f>
        <v>0</v>
      </c>
      <c r="R10" s="1"/>
      <c r="S10" s="1"/>
    </row>
    <row r="11" spans="2:19" ht="20.100000000000001" customHeight="1" x14ac:dyDescent="0.25">
      <c r="B11" s="1"/>
      <c r="C11" s="121" t="s">
        <v>455</v>
      </c>
      <c r="D11" s="35" t="s">
        <v>185</v>
      </c>
      <c r="E11" s="119">
        <f>SUM(INDEX(tbl_Ben_Info[], 0, MATCH(D11, tbl_Ben_Info[#Headers], 0)))</f>
        <v>0</v>
      </c>
      <c r="F11" s="121" t="s">
        <v>456</v>
      </c>
      <c r="G11" s="35" t="s">
        <v>457</v>
      </c>
      <c r="H11" s="120">
        <f>IF(H4=0,0,COUNTIF(INDEX(tbl_Ben_Info[], 0, MATCH("Family breadwinner type", tbl_Ben_Info[#Headers], 0)),"منزل يعيله طفل")/$H$4)</f>
        <v>0</v>
      </c>
      <c r="I11" s="1"/>
      <c r="J11" s="121" t="s">
        <v>458</v>
      </c>
      <c r="K11" s="227"/>
      <c r="L11" s="124" t="s">
        <v>52</v>
      </c>
      <c r="M11" s="120">
        <f>IF(Q4=0,0,COUNTIF(INDEX(tbl_Assessment[], 0, MATCH("Damage Description Syndicate", tbl_Assessment[#Headers], 0)),"Moderate Damage/ضرر متوسط")/$Q$4)</f>
        <v>0</v>
      </c>
      <c r="N11" s="130" t="s">
        <v>459</v>
      </c>
      <c r="O11" s="227"/>
      <c r="P11" s="35" t="s">
        <v>460</v>
      </c>
      <c r="Q11" s="120">
        <f>IF(Q5=0,0,COUNTIF(INDEX(tbl_Assessment[], 0, MATCH("House Type", tbl_Assessment[#Headers], 0)),"قبو")/$Q$4)</f>
        <v>0</v>
      </c>
      <c r="R11" s="1"/>
      <c r="S11" s="1"/>
    </row>
    <row r="12" spans="2:19" ht="20.100000000000001" customHeight="1" x14ac:dyDescent="0.25">
      <c r="B12" s="1"/>
      <c r="C12" s="121" t="s">
        <v>456</v>
      </c>
      <c r="D12" s="35" t="s">
        <v>186</v>
      </c>
      <c r="E12" s="119">
        <f>SUM(INDEX(tbl_Ben_Info[], 0, MATCH(D12, tbl_Ben_Info[#Headers], 0)))</f>
        <v>0</v>
      </c>
      <c r="F12" s="121" t="s">
        <v>461</v>
      </c>
      <c r="G12" s="35" t="s">
        <v>462</v>
      </c>
      <c r="H12" s="120">
        <f>IF(H4=0,0,COUNTIF(INDEX(tbl_Ben_Info[], 0, MATCH("Family breadwinner type", tbl_Ben_Info[#Headers], 0)),"منزل يعيله إمراة")/$H$4)</f>
        <v>0</v>
      </c>
      <c r="I12" s="1"/>
      <c r="J12" s="121" t="s">
        <v>463</v>
      </c>
      <c r="K12" s="227"/>
      <c r="L12" s="125" t="s">
        <v>57</v>
      </c>
      <c r="M12" s="120">
        <f>IF(Q4=0,0,COUNTIF(INDEX(tbl_Assessment[], 0, MATCH("Damage Description Syndicate", tbl_Assessment[#Headers], 0)),"Heavy Damage/ضرر شديد")/$Q$4)</f>
        <v>0</v>
      </c>
      <c r="N12" s="131" t="s">
        <v>446</v>
      </c>
      <c r="O12" s="226" t="s">
        <v>301</v>
      </c>
      <c r="P12" s="122" t="s">
        <v>76</v>
      </c>
      <c r="Q12" s="120">
        <f>IF(Q7=0,0,COUNTIF(INDEX(tbl_Assessment[], 0, MATCH("FieldTeam Recommendation", tbl_Assessment[#Headers], 0)),"Accepted/مقبول")/$Q$4)</f>
        <v>0</v>
      </c>
      <c r="R12" s="1"/>
      <c r="S12" s="1"/>
    </row>
    <row r="13" spans="2:19" ht="20.100000000000001" customHeight="1" x14ac:dyDescent="0.25">
      <c r="B13" s="1"/>
      <c r="C13" s="121" t="s">
        <v>464</v>
      </c>
      <c r="D13" s="35" t="s">
        <v>187</v>
      </c>
      <c r="E13" s="119">
        <f>SUM(INDEX(tbl_Ben_Info[], 0, MATCH(D13, tbl_Ben_Info[#Headers], 0)))</f>
        <v>0</v>
      </c>
      <c r="F13" s="121" t="s">
        <v>465</v>
      </c>
      <c r="G13" s="35" t="s">
        <v>466</v>
      </c>
      <c r="H13" s="120">
        <f>IF(H4=0,0,COUNTIF(INDEX(tbl_Ben_Info[], 0, MATCH("Family breadwinner type", tbl_Ben_Info[#Headers], 0)),"منزل يعيله رجل كبير بالسن (فوق 60 سنة)")/$H$4)</f>
        <v>0</v>
      </c>
      <c r="I13" s="1"/>
      <c r="J13" s="121" t="s">
        <v>467</v>
      </c>
      <c r="K13" s="227"/>
      <c r="L13" s="126" t="s">
        <v>62</v>
      </c>
      <c r="M13" s="120">
        <f>IF(Q4=0,0,COUNTIF(INDEX(tbl_Assessment[], 0, MATCH("Damage Description Syndicate", tbl_Assessment[#Headers], 0)),"Severe Damage/ضرر بالغ")/$Q$4)</f>
        <v>0</v>
      </c>
      <c r="N13" s="132" t="s">
        <v>468</v>
      </c>
      <c r="O13" s="226"/>
      <c r="P13" s="128" t="s">
        <v>79</v>
      </c>
      <c r="Q13" s="120">
        <f>IF(Q7=0,0,COUNTIF(INDEX(tbl_Assessment[], 0, MATCH("FieldTeam Recommendation", tbl_Assessment[#Headers], 0)),"Conditionally Accepted/مقبول شرطي")/$Q$4)</f>
        <v>0</v>
      </c>
      <c r="R13" s="1"/>
      <c r="S13" s="1"/>
    </row>
    <row r="14" spans="2:19" ht="20.100000000000001" customHeight="1" x14ac:dyDescent="0.25">
      <c r="B14" s="1"/>
      <c r="C14" s="121" t="s">
        <v>469</v>
      </c>
      <c r="D14" s="35" t="s">
        <v>188</v>
      </c>
      <c r="E14" s="119">
        <f>SUM(INDEX(tbl_Ben_Info[], 0, MATCH(D14, tbl_Ben_Info[#Headers], 0)))</f>
        <v>0</v>
      </c>
      <c r="F14" s="121" t="s">
        <v>470</v>
      </c>
      <c r="G14" s="35" t="s">
        <v>190</v>
      </c>
      <c r="H14" s="119">
        <f>SUM(INDEX(tbl_Ben_Info[], 0, MATCH(G14, tbl_Ben_Info[#Headers], 0)))</f>
        <v>0</v>
      </c>
      <c r="I14" s="1"/>
      <c r="J14" s="121" t="s">
        <v>471</v>
      </c>
      <c r="K14" s="227"/>
      <c r="L14" s="127" t="s">
        <v>67</v>
      </c>
      <c r="M14" s="120">
        <f>IF(Q4=0,0,COUNTIF(INDEX(tbl_Assessment[], 0, MATCH("Damage Description Syndicate", tbl_Assessment[#Headers], 0)),"Destroyed/مهدوم")/$Q$4)</f>
        <v>0</v>
      </c>
      <c r="N14" s="133" t="s">
        <v>467</v>
      </c>
      <c r="O14" s="226"/>
      <c r="P14" s="129" t="s">
        <v>83</v>
      </c>
      <c r="Q14" s="120">
        <f>IF(Q7=0,0,COUNTIF(INDEX(tbl_Assessment[], 0, MATCH("FieldTeam Recommendation", tbl_Assessment[#Headers], 0)),"Rejected/مرفوض")/$Q$4)</f>
        <v>0</v>
      </c>
      <c r="R14" s="1"/>
      <c r="S14" s="1"/>
    </row>
    <row r="15" spans="2:19" ht="20.100000000000001" customHeight="1" x14ac:dyDescent="0.25">
      <c r="B15" s="1"/>
      <c r="C15" s="121" t="s">
        <v>472</v>
      </c>
      <c r="D15" s="35" t="s">
        <v>189</v>
      </c>
      <c r="E15" s="119">
        <f>SUM(INDEX(tbl_Ben_Info[], 0, MATCH(D15, tbl_Ben_Info[#Headers], 0)))</f>
        <v>0</v>
      </c>
      <c r="F15" s="121" t="s">
        <v>473</v>
      </c>
      <c r="G15" s="35" t="s">
        <v>191</v>
      </c>
      <c r="H15" s="119">
        <f>SUM(INDEX(tbl_Ben_Info[], 0, MATCH(G15, tbl_Ben_Info[#Headers], 0)))</f>
        <v>0</v>
      </c>
      <c r="I15" s="1"/>
      <c r="J15" s="1"/>
      <c r="K15" s="1"/>
      <c r="L15" s="1"/>
      <c r="M15" s="1"/>
      <c r="N15" s="131" t="s">
        <v>446</v>
      </c>
      <c r="O15" s="227" t="s">
        <v>305</v>
      </c>
      <c r="P15" s="122" t="s">
        <v>76</v>
      </c>
      <c r="Q15" s="120">
        <f>IF(Q10=0,0,COUNTIF(INDEX(tbl_Assessment[], 0, MATCH("ProjectMgmt Recommendation", tbl_Assessment[#Headers], 0)),"Accepted/مقبول")/$Q$4)</f>
        <v>0</v>
      </c>
      <c r="R15" s="1"/>
      <c r="S15" s="1"/>
    </row>
    <row r="16" spans="2:19" ht="20.100000000000001" customHeight="1" x14ac:dyDescent="0.25">
      <c r="B16" s="1"/>
      <c r="C16" s="121" t="s">
        <v>474</v>
      </c>
      <c r="D16" s="35" t="s">
        <v>192</v>
      </c>
      <c r="E16" s="119">
        <f>SUM(INDEX(tbl_Ben_Info[], 0, MATCH(D16, tbl_Ben_Info[#Headers], 0)))</f>
        <v>0</v>
      </c>
      <c r="F16" s="121" t="s">
        <v>475</v>
      </c>
      <c r="G16" s="35" t="s">
        <v>193</v>
      </c>
      <c r="H16" s="119">
        <f>SUM(INDEX(tbl_Ben_Info[], 0, MATCH(G16, tbl_Ben_Info[#Headers], 0)))</f>
        <v>0</v>
      </c>
      <c r="I16" s="1"/>
      <c r="J16" s="1"/>
      <c r="K16" s="1"/>
      <c r="L16" s="1"/>
      <c r="M16" s="1"/>
      <c r="N16" s="132" t="s">
        <v>468</v>
      </c>
      <c r="O16" s="227"/>
      <c r="P16" s="128" t="s">
        <v>79</v>
      </c>
      <c r="Q16" s="120">
        <f>IF(Q10=0,0,COUNTIF(INDEX(tbl_Assessment[], 0, MATCH("ProjectMgmt Recommendation", tbl_Assessment[#Headers], 0)),"Conditionally Accepted/مقبول شرطي")/$Q$4)</f>
        <v>0</v>
      </c>
      <c r="R16" s="1"/>
      <c r="S16" s="1"/>
    </row>
    <row r="17" spans="2:19" x14ac:dyDescent="0.25">
      <c r="B17" s="1"/>
      <c r="C17" s="1"/>
      <c r="D17" s="1"/>
      <c r="E17" s="1"/>
      <c r="F17" s="1"/>
      <c r="G17" s="1"/>
      <c r="H17" s="1"/>
      <c r="I17" s="1"/>
      <c r="J17" s="1"/>
      <c r="K17" s="1"/>
      <c r="L17" s="1"/>
      <c r="M17" s="1"/>
      <c r="N17" s="133" t="s">
        <v>467</v>
      </c>
      <c r="O17" s="227"/>
      <c r="P17" s="129" t="s">
        <v>83</v>
      </c>
      <c r="Q17" s="120">
        <f>IF(Q10=0,0,COUNTIF(INDEX(tbl_Assessment[], 0, MATCH("ProjectMgmt Recommendation", tbl_Assessment[#Headers], 0)),"Rejected/مرفوض")/$Q$4)</f>
        <v>0</v>
      </c>
      <c r="R17" s="1"/>
      <c r="S17" s="1"/>
    </row>
    <row r="18" spans="2:19" ht="15" customHeight="1" x14ac:dyDescent="0.25">
      <c r="B18" s="1"/>
      <c r="C18" s="1"/>
      <c r="D18" s="1"/>
      <c r="E18" s="1"/>
      <c r="F18" s="1"/>
      <c r="G18" s="1"/>
      <c r="H18" s="1"/>
      <c r="I18" s="1"/>
      <c r="J18" s="1"/>
      <c r="K18" s="1"/>
      <c r="L18" s="1"/>
      <c r="M18" s="1"/>
      <c r="N18" s="131" t="s">
        <v>446</v>
      </c>
      <c r="O18" s="226" t="s">
        <v>309</v>
      </c>
      <c r="P18" s="122" t="s">
        <v>76</v>
      </c>
      <c r="Q18" s="120">
        <f>IF(Q4=0,0,COUNTIF(INDEX(tbl_Assessment[], 0, MATCH("UNDP Recommendation", tbl_Assessment[#Headers], 0)),"Accepted/مقبول")/$Q$4)</f>
        <v>0</v>
      </c>
      <c r="R18" s="1"/>
      <c r="S18" s="1"/>
    </row>
    <row r="19" spans="2:19" x14ac:dyDescent="0.25">
      <c r="B19" s="1"/>
      <c r="C19" s="1"/>
      <c r="D19" s="1"/>
      <c r="E19" s="1"/>
      <c r="F19" s="1"/>
      <c r="G19" s="1"/>
      <c r="H19" s="1"/>
      <c r="I19" s="1"/>
      <c r="J19" s="1"/>
      <c r="K19" s="1"/>
      <c r="L19" s="1"/>
      <c r="M19" s="1"/>
      <c r="N19" s="132" t="s">
        <v>468</v>
      </c>
      <c r="O19" s="226"/>
      <c r="P19" s="128" t="s">
        <v>79</v>
      </c>
      <c r="Q19" s="120">
        <f>IF(Q4=0,0,COUNTIF(INDEX(tbl_Assessment[], 0, MATCH("UNDP Recommendation", tbl_Assessment[#Headers], 0)),"Conditionally Accepted/مقبول شرطي")/$Q$4)</f>
        <v>0</v>
      </c>
      <c r="R19" s="1"/>
      <c r="S19" s="1"/>
    </row>
    <row r="20" spans="2:19" x14ac:dyDescent="0.25">
      <c r="B20" s="1"/>
      <c r="C20" s="1"/>
      <c r="D20" s="1"/>
      <c r="E20" s="1"/>
      <c r="F20" s="1"/>
      <c r="G20" s="1"/>
      <c r="H20" s="1"/>
      <c r="I20" s="1"/>
      <c r="J20" s="1"/>
      <c r="K20" s="1"/>
      <c r="L20" s="1"/>
      <c r="M20" s="1"/>
      <c r="N20" s="133" t="s">
        <v>467</v>
      </c>
      <c r="O20" s="226"/>
      <c r="P20" s="129" t="s">
        <v>83</v>
      </c>
      <c r="Q20" s="120">
        <f>IF(Q4=0,0,COUNTIF(INDEX(tbl_Assessment[], 0, MATCH("UNDP Recommendation", tbl_Assessment[#Headers], 0)),"Rejected/مرفوض")/$Q$4)</f>
        <v>0</v>
      </c>
      <c r="R20" s="1"/>
      <c r="S20" s="1"/>
    </row>
    <row r="21" spans="2:19" x14ac:dyDescent="0.25">
      <c r="B21" s="1"/>
      <c r="C21" s="1"/>
      <c r="D21" s="1"/>
      <c r="E21" s="1"/>
      <c r="F21" s="1"/>
      <c r="G21" s="1"/>
      <c r="H21" s="1"/>
      <c r="I21" s="1"/>
      <c r="J21" s="1"/>
      <c r="K21" s="1"/>
      <c r="L21" s="1"/>
      <c r="M21" s="1"/>
      <c r="N21" s="1"/>
      <c r="O21" s="1"/>
      <c r="P21" s="1"/>
      <c r="Q21" s="1"/>
      <c r="R21" s="1"/>
      <c r="S21" s="1"/>
    </row>
    <row r="22" spans="2:19" x14ac:dyDescent="0.25">
      <c r="B22" s="1"/>
      <c r="C22" s="1"/>
      <c r="D22" s="1"/>
      <c r="E22" s="1"/>
      <c r="F22" s="1"/>
      <c r="G22" s="1"/>
      <c r="H22" s="1"/>
      <c r="I22" s="1"/>
      <c r="J22" s="1"/>
      <c r="K22" s="1"/>
      <c r="L22" s="1"/>
      <c r="M22" s="1"/>
      <c r="N22" s="1"/>
      <c r="O22" s="1"/>
      <c r="P22" s="1"/>
      <c r="Q22" s="1"/>
      <c r="R22" s="1"/>
      <c r="S22" s="1"/>
    </row>
  </sheetData>
  <mergeCells count="11">
    <mergeCell ref="D4:G4"/>
    <mergeCell ref="C2:H2"/>
    <mergeCell ref="J2:Q2"/>
    <mergeCell ref="O12:O14"/>
    <mergeCell ref="K9:K14"/>
    <mergeCell ref="K6:K8"/>
    <mergeCell ref="O18:O20"/>
    <mergeCell ref="O8:O11"/>
    <mergeCell ref="O6:O7"/>
    <mergeCell ref="O15:O17"/>
    <mergeCell ref="K4:P4"/>
  </mergeCells>
  <phoneticPr fontId="1"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D952AB57-579C-4657-8CA8-6A5ADECE7AD4}">
            <xm:f>List!$H$16</xm:f>
            <x14:dxf>
              <fill>
                <patternFill>
                  <bgColor rgb="FFFA8697"/>
                </patternFill>
              </fill>
            </x14:dxf>
          </x14:cfRule>
          <x14:cfRule type="cellIs" priority="2" operator="equal" id="{89D19C0B-C915-413F-8F94-447E9C87C730}">
            <xm:f>List!$H$15</xm:f>
            <x14:dxf>
              <fill>
                <patternFill>
                  <bgColor rgb="FFFFD966"/>
                </patternFill>
              </fill>
            </x14:dxf>
          </x14:cfRule>
          <x14:cfRule type="cellIs" priority="3" operator="equal" id="{2F6F193E-0683-4BA4-A877-4F288AAE2B39}">
            <xm:f>List!$H$14</xm:f>
            <x14:dxf>
              <fill>
                <patternFill>
                  <bgColor rgb="FF00B050"/>
                </patternFill>
              </fill>
            </x14:dxf>
          </x14:cfRule>
          <xm:sqref>P12:P20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00A0D9-11C9-4E9C-8CAF-756479C8B5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BOQs</vt:lpstr>
      <vt:lpstr>Contractors</vt:lpstr>
      <vt:lpstr>List</vt:lpstr>
      <vt:lpstr>181-UNDP Houses Rehab Applic</vt:lpstr>
      <vt:lpstr>rehab_sub_rep</vt:lpstr>
      <vt:lpstr>rehab_main_rep</vt:lpstr>
      <vt:lpstr>🧱 تقييم المنازل</vt:lpstr>
      <vt:lpstr>🏠 معلومات المستفيدين</vt:lpstr>
      <vt:lpstr>💰 التكاليف والكميات التقديرية</vt:lpstr>
      <vt:lpstr>🚧 التنفيذ والمتابعة</vt:lpstr>
      <vt:lpstr>📊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mahmoud.sa@binaadev.org</dc:creator>
  <cp:keywords>181-Tracker</cp:keywords>
  <dc:description/>
  <cp:lastModifiedBy>Mahmoud Salih Almohammad - Binaa</cp:lastModifiedBy>
  <cp:revision/>
  <dcterms:created xsi:type="dcterms:W3CDTF">2023-08-28T12:07:39Z</dcterms:created>
  <dcterms:modified xsi:type="dcterms:W3CDTF">2025-12-05T09:41:36Z</dcterms:modified>
  <cp:category>Tracker</cp:category>
  <cp:contentStatus/>
</cp:coreProperties>
</file>